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  <sheet state="hidden" name="Calculateur (1)" sheetId="8" r:id="rId11"/>
    <sheet state="hidden" name="Paramètres (1)" sheetId="9" r:id="rId12"/>
    <sheet state="visible" name="Valeur BO BI BE" sheetId="10" r:id="rId13"/>
  </sheets>
  <definedNames>
    <definedName name="Essences">'Paramètres (1)'!$A$2:$A$88</definedName>
    <definedName name="Fertilité">'Paramètres (1)'!$P$10:$P$11</definedName>
    <definedName name="VAN">'Paramètres (1)'!$P$2:$P$3</definedName>
    <definedName name="Essence">'Paramètres (1)'!$A$2:$A$86</definedName>
    <definedName name="Incendie">'Paramètres (1)'!$P$5:$P$8</definedName>
  </definedNames>
  <calcPr/>
  <extLst>
    <ext uri="GoogleSheetsCustomDataVersion1">
      <go:sheetsCustomData xmlns:go="http://customooxmlschemas.google.com/" r:id="rId14" roundtripDataSignature="AMtx7mizlthSPf8CAYC3h2tAeSwb2Tl4Mg=="/>
    </ext>
  </extLst>
</workbook>
</file>

<file path=xl/sharedStrings.xml><?xml version="1.0" encoding="utf-8"?>
<sst xmlns="http://schemas.openxmlformats.org/spreadsheetml/2006/main" count="2149" uniqueCount="442">
  <si>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</si>
  <si>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</si>
  <si>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</si>
  <si>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</si>
  <si>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</si>
  <si>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</si>
  <si>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</si>
  <si>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</si>
  <si>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</si>
  <si>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</si>
  <si>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</si>
  <si>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</si>
  <si>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</si>
  <si>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</si>
  <si>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</si>
  <si>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</si>
  <si>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sylvestre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</si>
  <si>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</si>
  <si>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</si>
  <si>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</si>
  <si>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</si>
  <si>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Cèdre de l'Atlas</t>
  </si>
  <si>
    <t>Essence 4</t>
  </si>
  <si>
    <t>Sapin pectiné</t>
  </si>
  <si>
    <t>Essence 5</t>
  </si>
  <si>
    <t>Chêne pubescent</t>
  </si>
  <si>
    <t>Essence 6</t>
  </si>
  <si>
    <t>Chêne sessile</t>
  </si>
  <si>
    <t>Essence 7</t>
  </si>
  <si>
    <t>Châtaignier</t>
  </si>
  <si>
    <t>Essence 8</t>
  </si>
  <si>
    <t>Robinier faux-acacia</t>
  </si>
  <si>
    <t>Essence 9</t>
  </si>
  <si>
    <t>Tilleul</t>
  </si>
  <si>
    <t>Essence 10</t>
  </si>
  <si>
    <t>Cormier</t>
  </si>
  <si>
    <t>+ERABLE + POMMIER &amp; POIRIER SAUVAGES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</si>
  <si>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</si>
  <si>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</si>
  <si>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</si>
  <si>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</si>
  <si>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</si>
  <si>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</si>
  <si>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</si>
  <si>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</si>
  <si>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</si>
  <si>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</si>
  <si>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</si>
  <si>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</si>
  <si>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</si>
  <si>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</si>
  <si>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</si>
  <si>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</si>
  <si>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</si>
  <si>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</si>
  <si>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</si>
  <si>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</si>
  <si>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</si>
  <si>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</si>
  <si>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</si>
  <si>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</si>
  <si>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</si>
  <si>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</si>
  <si>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</si>
  <si>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</si>
  <si>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</si>
  <si>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</si>
  <si>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</si>
  <si>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</si>
  <si>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</si>
  <si>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</si>
  <si>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</si>
  <si>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</si>
  <si>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</si>
  <si>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</si>
  <si>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</si>
  <si>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</si>
  <si>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</si>
  <si>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</si>
  <si>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</si>
  <si>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+ POMMIER &amp; POIRIER SAUVAGES + ERABLE CHAMPÊTRE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</si>
  <si>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</si>
  <si>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</si>
  <si>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</si>
  <si>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</si>
  <si>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</si>
  <si>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</si>
  <si>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</si>
  <si>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</si>
  <si>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</si>
  <si>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</si>
  <si>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</si>
  <si>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</si>
  <si>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</si>
  <si>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</si>
  <si>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</si>
  <si>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</si>
  <si>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</si>
  <si>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</si>
  <si>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</si>
  <si>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</si>
  <si>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</si>
  <si>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</si>
  <si>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</si>
  <si>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</si>
  <si>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</si>
  <si>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</si>
  <si>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</si>
  <si>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</si>
  <si>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</si>
  <si>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</si>
  <si>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</si>
  <si>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</si>
  <si>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</si>
  <si>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</si>
  <si>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</si>
  <si>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</si>
  <si>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</si>
  <si>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</si>
  <si>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</si>
  <si>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</si>
  <si>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</si>
  <si>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</si>
  <si>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</si>
  <si>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</si>
  <si>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</si>
  <si>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</si>
  <si>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</si>
  <si>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</si>
  <si>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</si>
  <si>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</si>
  <si>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</si>
  <si>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</si>
  <si>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</si>
  <si>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</si>
  <si>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</si>
  <si>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</si>
  <si>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</si>
  <si>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</si>
  <si>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</si>
  <si>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</si>
  <si>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</si>
  <si>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</si>
  <si>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</si>
  <si>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</si>
  <si>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</si>
  <si>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</si>
  <si>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</si>
  <si>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</si>
  <si>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</si>
  <si>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</si>
  <si>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</si>
  <si>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</si>
  <si>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</si>
  <si>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</si>
  <si>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</si>
  <si>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</si>
  <si>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</si>
  <si>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</si>
  <si>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</si>
  <si>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</si>
  <si>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</si>
  <si>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</si>
  <si>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</si>
  <si>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</si>
  <si>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</si>
  <si>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</si>
  <si>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</si>
  <si>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</si>
  <si>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</si>
  <si>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</si>
  <si>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</si>
  <si>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</si>
  <si>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</si>
  <si>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</si>
  <si>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</si>
  <si>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</si>
  <si>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</si>
  <si>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</si>
  <si>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</si>
  <si>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</si>
  <si>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</si>
  <si>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</si>
  <si>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</si>
  <si>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</si>
  <si>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</si>
  <si>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</si>
  <si>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</si>
  <si>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</si>
  <si>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</si>
  <si>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</si>
  <si>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</si>
  <si>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</si>
  <si>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</si>
  <si>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</si>
  <si>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</si>
  <si>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</si>
  <si>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</si>
  <si>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</si>
  <si>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</si>
  <si>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</si>
  <si>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</si>
  <si>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</si>
  <si>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</si>
  <si>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</si>
  <si>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</si>
  <si>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</si>
  <si>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</si>
  <si>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</si>
  <si>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</si>
  <si>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</si>
  <si>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</si>
  <si>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</si>
  <si>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</si>
  <si>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</si>
  <si>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</si>
  <si>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</si>
  <si>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</si>
  <si>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</si>
  <si>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</si>
  <si>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</si>
  <si>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</si>
  <si>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</si>
  <si>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</si>
  <si>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</si>
  <si>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</si>
  <si>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</si>
  <si>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</si>
  <si>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</si>
  <si>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</si>
  <si>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</si>
  <si>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</si>
  <si>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</si>
  <si>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</si>
  <si>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</si>
  <si>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</si>
  <si>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</si>
  <si>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</si>
  <si>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</si>
  <si>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</si>
  <si>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</si>
  <si>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</si>
  <si>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</si>
  <si>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</si>
  <si>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</si>
  <si>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</si>
  <si>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</si>
  <si>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</si>
  <si>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</si>
  <si>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</si>
  <si>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</si>
  <si>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</si>
  <si>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</si>
  <si>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</si>
  <si>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</si>
  <si>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</si>
  <si>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</si>
  <si>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</si>
  <si>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</si>
  <si>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</si>
  <si>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</si>
  <si>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</si>
  <si>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</si>
  <si>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</si>
  <si>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</si>
  <si>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</si>
  <si>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</si>
  <si>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</si>
  <si>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</si>
  <si>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</si>
  <si>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</si>
  <si>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</si>
  <si>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</si>
  <si>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</si>
  <si>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</si>
  <si>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</si>
  <si>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</si>
  <si>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</si>
  <si>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</si>
  <si>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</si>
  <si>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</si>
  <si>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</si>
  <si>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</si>
  <si>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</si>
  <si>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</si>
  <si>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</si>
  <si>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</si>
  <si>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</si>
  <si>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</si>
  <si>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</si>
  <si>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</si>
  <si>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</si>
  <si>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</si>
  <si>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</si>
  <si>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</si>
  <si>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</si>
  <si>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</si>
  <si>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</si>
  <si>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</si>
  <si>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</si>
  <si>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</si>
  <si>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</si>
  <si>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</si>
  <si>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</si>
  <si>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</si>
  <si>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</si>
  <si>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</si>
  <si>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</si>
  <si>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</si>
  <si>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</si>
  <si>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</si>
  <si>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</si>
  <si>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</si>
  <si>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</si>
  <si>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</si>
  <si>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</si>
  <si>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</si>
  <si>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</si>
  <si>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</si>
  <si>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</si>
  <si>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</si>
  <si>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</si>
  <si>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</si>
  <si>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</si>
  <si>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</si>
  <si>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</si>
  <si>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</si>
  <si>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</si>
  <si>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</si>
  <si>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</si>
  <si>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</si>
  <si>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</si>
  <si>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</si>
  <si>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</si>
  <si>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2077,15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</si>
  <si>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</si>
  <si>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</si>
  <si>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</si>
  <si>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</si>
  <si>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</si>
  <si>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</si>
  <si>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</si>
  <si>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</si>
  <si>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</si>
  <si>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</si>
  <si>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</si>
  <si>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</si>
  <si>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2137,15</t>
  </si>
  <si>
    <t>3697,15</t>
  </si>
  <si>
    <t>2917,15</t>
  </si>
  <si>
    <t>2797,15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</si>
  <si>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</si>
  <si>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</si>
  <si>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</si>
  <si>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</si>
  <si>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</si>
  <si>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Infradensité (tMS/m3)</t>
  </si>
  <si>
    <t>Type</t>
  </si>
  <si>
    <t>Valeur BO</t>
  </si>
  <si>
    <t>Valeur BI</t>
  </si>
  <si>
    <t>Valeur BE</t>
  </si>
  <si>
    <t>0,62</t>
  </si>
  <si>
    <t>Feuillus</t>
  </si>
  <si>
    <t>13,8</t>
  </si>
  <si>
    <t>0,64</t>
  </si>
  <si>
    <t>??</t>
  </si>
  <si>
    <t>0,42</t>
  </si>
  <si>
    <t>Grands aulnes</t>
  </si>
  <si>
    <t>Bouleaux</t>
  </si>
  <si>
    <t>0,52</t>
  </si>
  <si>
    <t>Cèdre de l’Atlas</t>
  </si>
  <si>
    <t>0,36</t>
  </si>
  <si>
    <t>Résineux</t>
  </si>
  <si>
    <t>19,4</t>
  </si>
  <si>
    <t>0,61</t>
  </si>
  <si>
    <t>0,66</t>
  </si>
  <si>
    <t>0,47</t>
  </si>
  <si>
    <t>0,67</t>
  </si>
  <si>
    <t>0,7</t>
  </si>
  <si>
    <t>0,54</t>
  </si>
  <si>
    <t>0,65</t>
  </si>
  <si>
    <t>Chêne rouge d’Amérique</t>
  </si>
  <si>
    <t>0,56</t>
  </si>
  <si>
    <t>Chêne rouvre (sessile)</t>
  </si>
  <si>
    <t>0,58</t>
  </si>
  <si>
    <t>0,73</t>
  </si>
  <si>
    <t>Chênes indifférenciés</t>
  </si>
  <si>
    <t>Cornouiller mâle</t>
  </si>
  <si>
    <t>0,74</t>
  </si>
  <si>
    <t>Cyprès</t>
  </si>
  <si>
    <t>0,4</t>
  </si>
  <si>
    <t>Cytise aubour</t>
  </si>
  <si>
    <t>0,6</t>
  </si>
  <si>
    <t>0,43</t>
  </si>
  <si>
    <t>0,37</t>
  </si>
  <si>
    <t>Grands érables</t>
  </si>
  <si>
    <t>0,51</t>
  </si>
  <si>
    <t>Petits érables</t>
  </si>
  <si>
    <t>Genévrier thurifère</t>
  </si>
  <si>
    <t>0,48</t>
  </si>
  <si>
    <t>0,55</t>
  </si>
  <si>
    <t>Frênes</t>
  </si>
  <si>
    <t>Fruitiers</t>
  </si>
  <si>
    <t>If</t>
  </si>
  <si>
    <t>Mélèze d’Europe</t>
  </si>
  <si>
    <t>0,5</t>
  </si>
  <si>
    <t>Micocoulier</t>
  </si>
  <si>
    <t>Mûrier</t>
  </si>
  <si>
    <t>0,53</t>
  </si>
  <si>
    <t>Noisetier</t>
  </si>
  <si>
    <t>Olivier</t>
  </si>
  <si>
    <t>0,75</t>
  </si>
  <si>
    <t>Ormes</t>
  </si>
  <si>
    <t>Peupliers cultivés</t>
  </si>
  <si>
    <t>0,35</t>
  </si>
  <si>
    <t>Peupliers</t>
  </si>
  <si>
    <t>Peupliers non cultivés</t>
  </si>
  <si>
    <t>17,5</t>
  </si>
  <si>
    <t>Pin d’Alep</t>
  </si>
  <si>
    <t>0,45</t>
  </si>
  <si>
    <t>0,39</t>
  </si>
  <si>
    <t>0,44</t>
  </si>
  <si>
    <t>0,46</t>
  </si>
  <si>
    <t>Pin Maritime intensif</t>
  </si>
  <si>
    <t>Pin noir d’Autriche</t>
  </si>
  <si>
    <t>Pin Weymouth</t>
  </si>
  <si>
    <t>0,34</t>
  </si>
  <si>
    <t>Platanes</t>
  </si>
  <si>
    <t>Robinier faux acacia</t>
  </si>
  <si>
    <t>0,38</t>
  </si>
  <si>
    <t>Saules</t>
  </si>
  <si>
    <t>Tamaris</t>
  </si>
  <si>
    <t>Tilleuls</t>
  </si>
  <si>
    <t>0,57</t>
  </si>
  <si>
    <t>Infradensité moyenne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</si>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</sst>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000%"/>
    <numFmt numFmtId="165" formatCode="0.0000"/>
    <numFmt numFmtId="166" formatCode="0&quot; m3&quot;"/>
    <numFmt numFmtId="167" formatCode="0.0"/>
    <numFmt numFmtId="168" formatCode="#,##0[$ m3]"/>
    <numFmt numFmtId="169" formatCode="0.0%"/>
    <numFmt numFmtId="170" formatCode="#,##0\ &quot;€&quot;"/>
    <numFmt numFmtId="171" formatCode="#,##0.0\ &quot;€&quot;"/>
    <numFmt numFmtId="172" formatCode="#,##0.00\ &quot;€&quot;"/>
    <numFmt numFmtId="173" formatCode="_-* #,##0.00\ _€_-;\-* #,##0.00\ _€_-;_-* &quot;-&quot;??\ _€_-;_-@"/>
  </numFmts>
  <fonts count="35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sz val="11.0"/>
      <color theme="0"/>
      <name val="Calibri"/>
    </font>
    <font>
      <sz val="11.0"/>
      <color theme="0"/>
      <name val="Calibri"/>
    </font>
    <font>
      <b/>
      <i/>
      <u/>
      <sz val="16.0"/>
      <color theme="1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sz val="11.0"/>
      <color rgb="FFFFFFFF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b/>
      <sz val="11.0"/>
      <color rgb="FF000000"/>
      <name val="&quot;Times New Roman&quot;"/>
    </font>
    <font>
      <sz val="11.0"/>
      <color rgb="FF000000"/>
      <name val="&quot;Times New Roman&quot;"/>
    </font>
    <font>
      <b/>
      <sz val="11.0"/>
      <color rgb="FFFF0000"/>
      <name val="&quot;Times New Roman&quot;"/>
    </font>
    <font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23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0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164" xfId="0" applyAlignment="1" applyBorder="1" applyFont="1" applyNumberFormat="1">
      <alignment horizontal="center" vertical="center"/>
    </xf>
    <xf borderId="15" fillId="2" fontId="3" numFmtId="165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164" xfId="0" applyAlignment="1" applyBorder="1" applyFont="1" applyNumberFormat="1">
      <alignment horizontal="center" readingOrder="0" vertical="center"/>
    </xf>
    <xf quotePrefix="1" borderId="0" fillId="5" fontId="17" numFmtId="49" xfId="0" applyAlignment="1" applyFill="1" applyFont="1" applyNumberFormat="1">
      <alignment readingOrder="0"/>
    </xf>
    <xf borderId="0" fillId="5" fontId="18" numFmtId="0" xfId="0" applyFont="1"/>
    <xf borderId="0" fillId="5" fontId="18" numFmtId="1" xfId="0" applyAlignment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165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9" numFmtId="0" xfId="0" applyAlignment="1" applyFont="1">
      <alignment horizontal="left"/>
    </xf>
    <xf borderId="15" fillId="5" fontId="18" numFmtId="0" xfId="0" applyAlignment="1" applyBorder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20" numFmtId="0" xfId="0" applyFont="1"/>
    <xf borderId="0" fillId="0" fontId="11" numFmtId="0" xfId="0" applyFont="1"/>
    <xf borderId="0" fillId="0" fontId="21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22" fillId="3" fontId="15" numFmtId="1" xfId="0" applyAlignment="1" applyBorder="1" applyFont="1" applyNumberFormat="1">
      <alignment horizontal="center"/>
    </xf>
    <xf borderId="15" fillId="3" fontId="15" numFmtId="0" xfId="0" applyAlignment="1" applyBorder="1" applyFont="1">
      <alignment horizontal="center"/>
    </xf>
    <xf borderId="15" fillId="3" fontId="15" numFmtId="166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/>
    </xf>
    <xf borderId="15" fillId="3" fontId="15" numFmtId="1" xfId="0" applyAlignment="1" applyBorder="1" applyFont="1" applyNumberFormat="1">
      <alignment horizontal="center"/>
    </xf>
    <xf borderId="15" fillId="2" fontId="3" numFmtId="167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 readingOrder="0"/>
    </xf>
    <xf borderId="15" fillId="3" fontId="15" numFmtId="166" xfId="0" applyAlignment="1" applyBorder="1" applyFont="1" applyNumberFormat="1">
      <alignment horizontal="center" readingOrder="0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22" fillId="3" fontId="15" numFmtId="0" xfId="0" applyAlignment="1" applyBorder="1" applyFont="1">
      <alignment horizontal="center"/>
    </xf>
    <xf borderId="15" fillId="3" fontId="15" numFmtId="168" xfId="0" applyAlignment="1" applyBorder="1" applyFont="1" applyNumberFormat="1">
      <alignment horizontal="center"/>
    </xf>
    <xf borderId="23" fillId="3" fontId="15" numFmtId="9" xfId="0" applyAlignment="1" applyBorder="1" applyFont="1" applyNumberFormat="1">
      <alignment horizontal="center"/>
    </xf>
    <xf borderId="24" fillId="3" fontId="15" numFmtId="9" xfId="0" applyAlignment="1" applyBorder="1" applyFont="1" applyNumberFormat="1">
      <alignment horizontal="center"/>
    </xf>
    <xf borderId="15" fillId="3" fontId="15" numFmtId="168" xfId="0" applyAlignment="1" applyBorder="1" applyFont="1" applyNumberFormat="1">
      <alignment horizontal="center" readingOrder="0"/>
    </xf>
    <xf borderId="15" fillId="3" fontId="15" numFmtId="168" xfId="0" applyAlignment="1" applyBorder="1" applyFont="1" applyNumberFormat="1">
      <alignment horizontal="center"/>
    </xf>
    <xf borderId="15" fillId="3" fontId="15" numFmtId="168" xfId="0" applyAlignment="1" applyBorder="1" applyFont="1" applyNumberFormat="1">
      <alignment horizontal="center" readingOrder="0"/>
    </xf>
    <xf borderId="15" fillId="3" fontId="15" numFmtId="0" xfId="0" applyAlignment="1" applyBorder="1" applyFont="1">
      <alignment horizontal="center" readingOrder="0"/>
    </xf>
    <xf borderId="15" fillId="3" fontId="15" numFmtId="9" xfId="0" applyAlignment="1" applyBorder="1" applyFont="1" applyNumberFormat="1">
      <alignment horizontal="center" vertical="center"/>
    </xf>
    <xf borderId="25" fillId="3" fontId="3" numFmtId="9" xfId="0" applyBorder="1" applyFont="1" applyNumberFormat="1"/>
    <xf borderId="25" fillId="3" fontId="15" numFmtId="9" xfId="0" applyAlignment="1" applyBorder="1" applyFont="1" applyNumberFormat="1">
      <alignment horizontal="center"/>
    </xf>
    <xf borderId="24" fillId="3" fontId="3" numFmtId="9" xfId="0" applyBorder="1" applyFont="1" applyNumberFormat="1"/>
    <xf borderId="15" fillId="3" fontId="15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readingOrder="0" vertical="center"/>
    </xf>
    <xf borderId="15" fillId="3" fontId="22" numFmtId="0" xfId="0" applyAlignment="1" applyBorder="1" applyFont="1">
      <alignment horizontal="center"/>
    </xf>
    <xf quotePrefix="1" borderId="0" fillId="5" fontId="23" numFmtId="49" xfId="0" applyAlignment="1" applyFont="1" applyNumberFormat="1">
      <alignment readingOrder="0"/>
    </xf>
    <xf borderId="0" fillId="0" fontId="24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0" fillId="0" fontId="25" numFmtId="0" xfId="0" applyAlignment="1" applyFont="1">
      <alignment vertical="center"/>
    </xf>
    <xf borderId="0" fillId="0" fontId="26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4" numFmtId="9" xfId="0" applyAlignment="1" applyBorder="1" applyFont="1" applyNumberFormat="1">
      <alignment horizontal="center"/>
    </xf>
    <xf borderId="15" fillId="4" fontId="24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6" fillId="11" fontId="6" numFmtId="0" xfId="0" applyAlignment="1" applyBorder="1" applyFill="1" applyFont="1">
      <alignment horizontal="center"/>
    </xf>
    <xf borderId="27" fillId="0" fontId="2" numFmtId="0" xfId="0" applyBorder="1" applyFont="1"/>
    <xf borderId="28" fillId="0" fontId="2" numFmtId="0" xfId="0" applyBorder="1" applyFont="1"/>
    <xf borderId="26" fillId="12" fontId="6" numFmtId="0" xfId="0" applyAlignment="1" applyBorder="1" applyFill="1" applyFont="1">
      <alignment horizontal="center"/>
    </xf>
    <xf borderId="29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30" fillId="11" fontId="11" numFmtId="0" xfId="0" applyAlignment="1" applyBorder="1" applyFont="1">
      <alignment horizontal="center" shrinkToFit="0" vertical="center" wrapText="1"/>
    </xf>
    <xf borderId="31" fillId="11" fontId="11" numFmtId="0" xfId="0" applyAlignment="1" applyBorder="1" applyFont="1">
      <alignment horizontal="center" shrinkToFit="0" vertical="center" wrapText="1"/>
    </xf>
    <xf borderId="32" fillId="11" fontId="11" numFmtId="0" xfId="0" applyAlignment="1" applyBorder="1" applyFont="1">
      <alignment horizontal="center" shrinkToFit="0" vertical="center" wrapText="1"/>
    </xf>
    <xf borderId="33" fillId="12" fontId="11" numFmtId="0" xfId="0" applyAlignment="1" applyBorder="1" applyFont="1">
      <alignment horizontal="center" shrinkToFit="0" vertical="center" wrapText="1"/>
    </xf>
    <xf borderId="34" fillId="12" fontId="11" numFmtId="0" xfId="0" applyAlignment="1" applyBorder="1" applyFont="1">
      <alignment horizontal="center" shrinkToFit="0" vertical="center" wrapText="1"/>
    </xf>
    <xf borderId="31" fillId="12" fontId="11" numFmtId="0" xfId="0" applyAlignment="1" applyBorder="1" applyFont="1">
      <alignment horizontal="center" shrinkToFit="0" vertical="center" wrapText="1"/>
    </xf>
    <xf borderId="31" fillId="7" fontId="11" numFmtId="0" xfId="0" applyAlignment="1" applyBorder="1" applyFont="1">
      <alignment horizontal="center" vertical="center"/>
    </xf>
    <xf borderId="31" fillId="7" fontId="11" numFmtId="0" xfId="0" applyAlignment="1" applyBorder="1" applyFont="1">
      <alignment horizontal="center" shrinkToFit="0" vertical="center" wrapText="1"/>
    </xf>
    <xf borderId="32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5" fillId="11" fontId="3" numFmtId="0" xfId="0" applyAlignment="1" applyBorder="1" applyFont="1">
      <alignment horizontal="center"/>
    </xf>
    <xf borderId="22" fillId="11" fontId="3" numFmtId="167" xfId="0" applyAlignment="1" applyBorder="1" applyFont="1" applyNumberFormat="1">
      <alignment horizontal="center"/>
    </xf>
    <xf borderId="36" fillId="11" fontId="3" numFmtId="167" xfId="0" applyAlignment="1" applyBorder="1" applyFont="1" applyNumberFormat="1">
      <alignment horizontal="center" vertical="center"/>
    </xf>
    <xf borderId="35" fillId="12" fontId="3" numFmtId="167" xfId="0" applyAlignment="1" applyBorder="1" applyFont="1" applyNumberFormat="1">
      <alignment horizontal="center" vertical="center"/>
    </xf>
    <xf borderId="22" fillId="12" fontId="3" numFmtId="167" xfId="0" applyAlignment="1" applyBorder="1" applyFont="1" applyNumberFormat="1">
      <alignment horizontal="center" vertical="center"/>
    </xf>
    <xf borderId="22" fillId="12" fontId="3" numFmtId="0" xfId="0" applyAlignment="1" applyBorder="1" applyFont="1">
      <alignment horizontal="center" vertical="center"/>
    </xf>
    <xf borderId="22" fillId="12" fontId="3" numFmtId="0" xfId="0" applyAlignment="1" applyBorder="1" applyFont="1">
      <alignment horizontal="center"/>
    </xf>
    <xf borderId="22" fillId="12" fontId="3" numFmtId="1" xfId="0" applyAlignment="1" applyBorder="1" applyFont="1" applyNumberFormat="1">
      <alignment horizontal="center"/>
    </xf>
    <xf borderId="22" fillId="7" fontId="3" numFmtId="0" xfId="0" applyAlignment="1" applyBorder="1" applyFont="1">
      <alignment horizontal="center" vertical="center"/>
    </xf>
    <xf borderId="22" fillId="7" fontId="3" numFmtId="9" xfId="0" applyAlignment="1" applyBorder="1" applyFont="1" applyNumberFormat="1">
      <alignment horizontal="center" vertical="center"/>
    </xf>
    <xf borderId="36" fillId="7" fontId="3" numFmtId="0" xfId="0" applyAlignment="1" applyBorder="1" applyFont="1">
      <alignment horizontal="center" vertical="center"/>
    </xf>
    <xf borderId="35" fillId="12" fontId="3" numFmtId="1" xfId="0" applyAlignment="1" applyBorder="1" applyFont="1" applyNumberFormat="1">
      <alignment horizontal="center" vertical="center"/>
    </xf>
    <xf borderId="22" fillId="12" fontId="3" numFmtId="1" xfId="0" applyAlignment="1" applyBorder="1" applyFont="1" applyNumberFormat="1">
      <alignment horizontal="center" vertical="center"/>
    </xf>
    <xf borderId="35" fillId="12" fontId="3" numFmtId="0" xfId="0" applyAlignment="1" applyBorder="1" applyFont="1">
      <alignment horizontal="center" vertical="center"/>
    </xf>
    <xf borderId="22" fillId="11" fontId="3" numFmtId="167" xfId="0" applyAlignment="1" applyBorder="1" applyFont="1" applyNumberFormat="1">
      <alignment horizontal="center" vertical="center"/>
    </xf>
    <xf borderId="22" fillId="12" fontId="3" numFmtId="167" xfId="0" applyAlignment="1" applyBorder="1" applyFont="1" applyNumberFormat="1">
      <alignment horizontal="center"/>
    </xf>
    <xf borderId="22" fillId="7" fontId="3" numFmtId="167" xfId="0" applyAlignment="1" applyBorder="1" applyFont="1" applyNumberFormat="1">
      <alignment horizontal="center" vertical="center"/>
    </xf>
    <xf borderId="36" fillId="7" fontId="3" numFmtId="167" xfId="0" applyAlignment="1" applyBorder="1" applyFont="1" applyNumberFormat="1">
      <alignment horizontal="center" vertical="center"/>
    </xf>
    <xf borderId="22" fillId="7" fontId="3" numFmtId="166" xfId="0" applyAlignment="1" applyBorder="1" applyFont="1" applyNumberFormat="1">
      <alignment horizontal="center" vertical="center"/>
    </xf>
    <xf borderId="22" fillId="7" fontId="3" numFmtId="168" xfId="0" applyAlignment="1" applyBorder="1" applyFont="1" applyNumberFormat="1">
      <alignment horizontal="center" vertical="center"/>
    </xf>
    <xf borderId="22" fillId="7" fontId="3" numFmtId="168" xfId="0" applyAlignment="1" applyBorder="1" applyFont="1" applyNumberFormat="1">
      <alignment horizontal="center" vertical="center"/>
    </xf>
    <xf borderId="0" fillId="0" fontId="3" numFmtId="167" xfId="0" applyAlignment="1" applyFont="1" applyNumberFormat="1">
      <alignment horizontal="center" vertical="center"/>
    </xf>
    <xf borderId="0" fillId="0" fontId="3" numFmtId="167" xfId="0" applyAlignment="1" applyFont="1" applyNumberFormat="1">
      <alignment horizontal="center"/>
    </xf>
    <xf borderId="37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7" fillId="13" fontId="11" numFmtId="0" xfId="0" applyAlignment="1" applyBorder="1" applyFont="1">
      <alignment horizontal="center" vertical="center"/>
    </xf>
    <xf borderId="38" fillId="13" fontId="3" numFmtId="0" xfId="0" applyAlignment="1" applyBorder="1" applyFont="1">
      <alignment horizontal="center" vertical="center"/>
    </xf>
    <xf borderId="37" fillId="13" fontId="3" numFmtId="0" xfId="0" applyAlignment="1" applyBorder="1" applyFont="1">
      <alignment horizontal="center" vertical="center"/>
    </xf>
    <xf borderId="39" fillId="2" fontId="11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vertical="center"/>
    </xf>
    <xf borderId="40" fillId="2" fontId="11" numFmtId="0" xfId="0" applyAlignment="1" applyBorder="1" applyFont="1">
      <alignment horizontal="center" shrinkToFit="0" vertical="center" wrapText="1"/>
    </xf>
    <xf borderId="41" fillId="2" fontId="11" numFmtId="0" xfId="0" applyAlignment="1" applyBorder="1" applyFont="1">
      <alignment horizontal="center" shrinkToFit="0" vertical="center" wrapText="1"/>
    </xf>
    <xf borderId="42" fillId="0" fontId="3" numFmtId="0" xfId="0" applyAlignment="1" applyBorder="1" applyFont="1">
      <alignment horizontal="center" vertical="center"/>
    </xf>
    <xf borderId="43" fillId="0" fontId="13" numFmtId="0" xfId="0" applyAlignment="1" applyBorder="1" applyFont="1">
      <alignment horizontal="center" vertical="center"/>
    </xf>
    <xf borderId="43" fillId="0" fontId="3" numFmtId="0" xfId="0" applyAlignment="1" applyBorder="1" applyFont="1">
      <alignment horizontal="center" vertical="center"/>
    </xf>
    <xf borderId="44" fillId="0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46" fillId="14" fontId="11" numFmtId="0" xfId="0" applyAlignment="1" applyBorder="1" applyFill="1" applyFont="1">
      <alignment horizontal="center" vertical="center"/>
    </xf>
    <xf borderId="45" fillId="6" fontId="3" numFmtId="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8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9" fillId="0" fontId="3" numFmtId="0" xfId="0" applyAlignment="1" applyBorder="1" applyFont="1">
      <alignment horizontal="center" vertical="center"/>
    </xf>
    <xf borderId="50" fillId="0" fontId="2" numFmtId="0" xfId="0" applyBorder="1" applyFont="1"/>
    <xf borderId="51" fillId="6" fontId="3" numFmtId="9" xfId="0" applyAlignment="1" applyBorder="1" applyFont="1" applyNumberFormat="1">
      <alignment horizontal="center" vertical="center"/>
    </xf>
    <xf borderId="52" fillId="0" fontId="2" numFmtId="0" xfId="0" applyBorder="1" applyFont="1"/>
    <xf borderId="49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9" fillId="0" fontId="3" numFmtId="0" xfId="0" applyBorder="1" applyFont="1"/>
    <xf borderId="53" fillId="0" fontId="3" numFmtId="0" xfId="0" applyAlignment="1" applyBorder="1" applyFont="1">
      <alignment horizontal="center" vertical="center"/>
    </xf>
    <xf borderId="54" fillId="0" fontId="3" numFmtId="0" xfId="0" applyBorder="1" applyFont="1"/>
    <xf borderId="54" fillId="0" fontId="3" numFmtId="0" xfId="0" applyAlignment="1" applyBorder="1" applyFont="1">
      <alignment horizontal="center" vertical="center"/>
    </xf>
    <xf borderId="54" fillId="0" fontId="3" numFmtId="0" xfId="0" applyAlignment="1" applyBorder="1" applyFont="1">
      <alignment horizontal="center"/>
    </xf>
    <xf borderId="51" fillId="0" fontId="3" numFmtId="0" xfId="0" applyBorder="1" applyFont="1"/>
    <xf borderId="39" fillId="15" fontId="11" numFmtId="0" xfId="0" applyAlignment="1" applyBorder="1" applyFill="1" applyFont="1">
      <alignment horizontal="center" vertical="center"/>
    </xf>
    <xf borderId="55" fillId="15" fontId="11" numFmtId="0" xfId="0" applyAlignment="1" applyBorder="1" applyFont="1">
      <alignment horizontal="center" shrinkToFit="0" vertical="center" wrapText="1"/>
    </xf>
    <xf borderId="40" fillId="16" fontId="11" numFmtId="0" xfId="0" applyAlignment="1" applyBorder="1" applyFill="1" applyFont="1">
      <alignment horizontal="center" shrinkToFit="0" vertical="center" wrapText="1"/>
    </xf>
    <xf borderId="39" fillId="14" fontId="11" numFmtId="0" xfId="0" applyAlignment="1" applyBorder="1" applyFont="1">
      <alignment horizontal="center" shrinkToFit="0" vertical="center" wrapText="1"/>
    </xf>
    <xf borderId="41" fillId="14" fontId="11" numFmtId="0" xfId="0" applyAlignment="1" applyBorder="1" applyFont="1">
      <alignment horizontal="center" shrinkToFit="0" vertical="center" wrapText="1"/>
    </xf>
    <xf borderId="56" fillId="17" fontId="11" numFmtId="0" xfId="0" applyAlignment="1" applyBorder="1" applyFill="1" applyFont="1">
      <alignment horizontal="center" shrinkToFit="0" vertical="center" wrapText="1"/>
    </xf>
    <xf borderId="55" fillId="17" fontId="11" numFmtId="0" xfId="0" applyAlignment="1" applyBorder="1" applyFont="1">
      <alignment horizontal="center" shrinkToFit="0" vertical="center" wrapText="1"/>
    </xf>
    <xf borderId="57" fillId="15" fontId="11" numFmtId="0" xfId="0" applyAlignment="1" applyBorder="1" applyFont="1">
      <alignment horizontal="center"/>
    </xf>
    <xf borderId="58" fillId="15" fontId="11" numFmtId="2" xfId="0" applyAlignment="1" applyBorder="1" applyFont="1" applyNumberFormat="1">
      <alignment horizontal="center"/>
    </xf>
    <xf borderId="23" fillId="2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24" fillId="10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60" fillId="13" fontId="3" numFmtId="1" xfId="0" applyAlignment="1" applyBorder="1" applyFont="1" applyNumberFormat="1">
      <alignment horizontal="center"/>
    </xf>
    <xf borderId="47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47" fillId="4" fontId="3" numFmtId="1" xfId="0" applyAlignment="1" applyBorder="1" applyFont="1" applyNumberFormat="1">
      <alignment horizontal="center"/>
    </xf>
    <xf borderId="53" fillId="15" fontId="11" numFmtId="0" xfId="0" applyAlignment="1" applyBorder="1" applyFont="1">
      <alignment horizontal="center"/>
    </xf>
    <xf borderId="62" fillId="15" fontId="11" numFmtId="2" xfId="0" applyAlignment="1" applyBorder="1" applyFont="1" applyNumberFormat="1">
      <alignment horizontal="center"/>
    </xf>
    <xf borderId="54" fillId="2" fontId="3" numFmtId="1" xfId="0" applyAlignment="1" applyBorder="1" applyFont="1" applyNumberFormat="1">
      <alignment horizontal="center"/>
    </xf>
    <xf borderId="63" fillId="2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4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0" fontId="3" numFmtId="1" xfId="0" applyAlignment="1" applyBorder="1" applyFont="1" applyNumberFormat="1">
      <alignment horizontal="center"/>
    </xf>
    <xf borderId="68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9" fillId="16" fontId="11" numFmtId="1" xfId="0" applyAlignment="1" applyBorder="1" applyFont="1" applyNumberFormat="1">
      <alignment horizontal="center"/>
    </xf>
    <xf borderId="40" fillId="16" fontId="11" numFmtId="1" xfId="0" applyAlignment="1" applyBorder="1" applyFont="1" applyNumberFormat="1">
      <alignment horizontal="center"/>
    </xf>
    <xf borderId="40" fillId="14" fontId="11" numFmtId="1" xfId="0" applyAlignment="1" applyBorder="1" applyFont="1" applyNumberFormat="1">
      <alignment horizontal="center"/>
    </xf>
    <xf borderId="40" fillId="17" fontId="11" numFmtId="1" xfId="0" applyAlignment="1" applyBorder="1" applyFont="1" applyNumberFormat="1">
      <alignment horizontal="center"/>
    </xf>
    <xf borderId="41" fillId="13" fontId="11" numFmtId="1" xfId="0" applyAlignment="1" applyBorder="1" applyFont="1" applyNumberFormat="1">
      <alignment horizontal="center"/>
    </xf>
    <xf borderId="69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37" fillId="15" fontId="11" numFmtId="0" xfId="0" applyAlignment="1" applyBorder="1" applyFont="1">
      <alignment horizontal="center"/>
    </xf>
    <xf borderId="2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25" fillId="2" fontId="11" numFmtId="169" xfId="0" applyAlignment="1" applyBorder="1" applyFont="1" applyNumberFormat="1">
      <alignment horizontal="center" vertical="center"/>
    </xf>
    <xf borderId="0" fillId="0" fontId="27" numFmtId="0" xfId="0" applyAlignment="1" applyFont="1">
      <alignment horizontal="center"/>
    </xf>
    <xf borderId="33" fillId="19" fontId="3" numFmtId="0" xfId="0" applyBorder="1" applyFill="1" applyFont="1"/>
    <xf borderId="34" fillId="19" fontId="3" numFmtId="0" xfId="0" applyBorder="1" applyFont="1"/>
    <xf borderId="34" fillId="19" fontId="6" numFmtId="0" xfId="0" applyBorder="1" applyFont="1"/>
    <xf borderId="70" fillId="19" fontId="3" numFmtId="0" xfId="0" applyBorder="1" applyFont="1"/>
    <xf borderId="33" fillId="20" fontId="3" numFmtId="0" xfId="0" applyBorder="1" applyFill="1" applyFont="1"/>
    <xf borderId="34" fillId="20" fontId="3" numFmtId="0" xfId="0" applyBorder="1" applyFont="1"/>
    <xf borderId="34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9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70" xfId="0" applyAlignment="1" applyBorder="1" applyFont="1" applyNumberFormat="1">
      <alignment horizontal="center" vertical="center"/>
    </xf>
    <xf borderId="15" fillId="9" fontId="3" numFmtId="171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8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70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quotePrefix="1" borderId="15" fillId="3" fontId="3" numFmtId="170" xfId="0" applyAlignment="1" applyBorder="1" applyFont="1" applyNumberFormat="1">
      <alignment horizontal="center"/>
    </xf>
    <xf quotePrefix="1" borderId="15" fillId="2" fontId="3" numFmtId="170" xfId="0" applyAlignment="1" applyBorder="1" applyFont="1" applyNumberFormat="1">
      <alignment horizontal="center" vertical="center"/>
    </xf>
    <xf borderId="15" fillId="3" fontId="3" numFmtId="170" xfId="0" applyAlignment="1" applyBorder="1" applyFont="1" applyNumberForma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3" fontId="3" numFmtId="170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70" xfId="0" applyAlignment="1" applyBorder="1" applyFont="1" applyNumberFormat="1">
      <alignment horizontal="center"/>
    </xf>
    <xf borderId="15" fillId="3" fontId="3" numFmtId="1" xfId="0" applyAlignment="1" applyBorder="1" applyFont="1" applyNumberFormat="1">
      <alignment horizontal="center" readingOrder="0" vertical="center"/>
    </xf>
    <xf borderId="15" fillId="3" fontId="3" numFmtId="170" xfId="0" applyAlignment="1" applyBorder="1" applyFont="1" applyNumberFormat="1">
      <alignment horizontal="center" readingOrder="0" vertical="center"/>
    </xf>
    <xf borderId="15" fillId="2" fontId="3" numFmtId="166" xfId="0" applyAlignment="1" applyBorder="1" applyFont="1" applyNumberFormat="1">
      <alignment horizontal="center"/>
    </xf>
    <xf borderId="15" fillId="2" fontId="3" numFmtId="170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71" xfId="0" applyAlignment="1" applyBorder="1" applyFont="1" applyNumberFormat="1">
      <alignment horizontal="center" vertical="center"/>
    </xf>
    <xf borderId="72" fillId="0" fontId="3" numFmtId="170" xfId="0" applyAlignment="1" applyBorder="1" applyFont="1" applyNumberFormat="1">
      <alignment horizontal="center" vertical="center"/>
    </xf>
    <xf borderId="18" fillId="0" fontId="3" numFmtId="172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71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15" fillId="2" fontId="3" numFmtId="0" xfId="0" applyAlignment="1" applyBorder="1" applyFont="1">
      <alignment horizontal="center"/>
    </xf>
    <xf borderId="0" fillId="0" fontId="3" numFmtId="170" xfId="0" applyAlignment="1" applyFont="1" applyNumberFormat="1">
      <alignment horizontal="center" vertical="center"/>
    </xf>
    <xf borderId="71" fillId="0" fontId="9" numFmtId="0" xfId="0" applyBorder="1" applyFont="1"/>
    <xf borderId="15" fillId="2" fontId="11" numFmtId="172" xfId="0" applyAlignment="1" applyBorder="1" applyFont="1" applyNumberFormat="1">
      <alignment horizontal="center" vertical="center"/>
    </xf>
    <xf borderId="15" fillId="0" fontId="3" numFmtId="170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70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2" fontId="3" numFmtId="168" xfId="0" applyAlignment="1" applyBorder="1" applyFont="1" applyNumberFormat="1">
      <alignment horizontal="center"/>
    </xf>
    <xf borderId="72" fillId="0" fontId="3" numFmtId="170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0" fillId="0" fontId="3" numFmtId="171" xfId="0" applyAlignment="1" applyFont="1" applyNumberFormat="1">
      <alignment horizontal="center" vertical="center"/>
    </xf>
    <xf borderId="15" fillId="2" fontId="3" numFmtId="168" xfId="0" applyAlignment="1" applyBorder="1" applyFont="1" applyNumberFormat="1">
      <alignment horizontal="center"/>
    </xf>
    <xf borderId="15" fillId="2" fontId="3" numFmtId="1" xfId="0" applyAlignment="1" applyBorder="1" applyFont="1" applyNumberFormat="1">
      <alignment horizontal="center" vertical="center"/>
    </xf>
    <xf quotePrefix="1" borderId="0" fillId="5" fontId="17" numFmtId="0" xfId="0" applyAlignment="1" applyFont="1">
      <alignment readingOrder="0"/>
    </xf>
    <xf borderId="15" fillId="3" fontId="3" numFmtId="2" xfId="0" applyAlignment="1" applyBorder="1" applyFont="1" applyNumberFormat="1">
      <alignment horizontal="center"/>
    </xf>
    <xf borderId="15" fillId="3" fontId="3" numFmtId="0" xfId="0" applyBorder="1" applyFont="1"/>
    <xf borderId="0" fillId="21" fontId="29" numFmtId="0" xfId="0" applyAlignment="1" applyFill="1" applyFont="1">
      <alignment readingOrder="0"/>
    </xf>
    <xf borderId="0" fillId="21" fontId="29" numFmtId="173" xfId="0" applyAlignment="1" applyFont="1" applyNumberFormat="1">
      <alignment readingOrder="0"/>
    </xf>
    <xf borderId="0" fillId="22" fontId="30" numFmtId="0" xfId="0" applyAlignment="1" applyFill="1" applyFont="1">
      <alignment readingOrder="0" shrinkToFit="0" wrapText="0"/>
    </xf>
    <xf borderId="0" fillId="22" fontId="30" numFmtId="0" xfId="0" applyAlignment="1" applyFont="1">
      <alignment horizontal="right" readingOrder="0"/>
    </xf>
    <xf borderId="0" fillId="22" fontId="29" numFmtId="173" xfId="0" applyAlignment="1" applyFont="1" applyNumberFormat="1">
      <alignment readingOrder="0"/>
    </xf>
    <xf borderId="0" fillId="22" fontId="31" numFmtId="0" xfId="0" applyAlignment="1" applyFont="1">
      <alignment horizontal="right" readingOrder="0"/>
    </xf>
    <xf borderId="0" fillId="22" fontId="31" numFmtId="167" xfId="0" applyAlignment="1" applyFont="1" applyNumberFormat="1">
      <alignment horizontal="right" readingOrder="0"/>
    </xf>
    <xf borderId="0" fillId="13" fontId="31" numFmtId="0" xfId="0" applyAlignment="1" applyFont="1">
      <alignment readingOrder="0"/>
    </xf>
    <xf borderId="0" fillId="13" fontId="31" numFmtId="0" xfId="0" applyAlignment="1" applyFont="1">
      <alignment horizontal="right" readingOrder="0"/>
    </xf>
    <xf borderId="0" fillId="22" fontId="29" numFmtId="0" xfId="0" applyAlignment="1" applyFont="1">
      <alignment readingOrder="0" shrinkToFit="0" wrapText="0"/>
    </xf>
    <xf borderId="0" fillId="22" fontId="29" numFmtId="0" xfId="0" applyAlignment="1" applyFont="1">
      <alignment horizontal="right" readingOrder="0"/>
    </xf>
    <xf borderId="0" fillId="22" fontId="29" numFmtId="173" xfId="0" applyFont="1" applyNumberFormat="1"/>
    <xf borderId="0" fillId="22" fontId="31" numFmtId="0" xfId="0" applyFont="1"/>
    <xf borderId="0" fillId="0" fontId="32" numFmtId="0" xfId="0" applyAlignment="1" applyFont="1">
      <alignment shrinkToFit="0" vertical="bottom" wrapText="0"/>
    </xf>
    <xf borderId="0" fillId="0" fontId="33" numFmtId="0" xfId="0" applyAlignment="1" applyFont="1">
      <alignment readingOrder="0" shrinkToFit="0" vertical="bottom" wrapText="0"/>
    </xf>
    <xf borderId="0" fillId="0" fontId="34" numFmtId="0" xfId="0" applyAlignment="1" applyFont="1">
      <alignment readingOrder="0" shrinkToFit="0" vertical="bottom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Valeur BO BI B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2586779"/>
        <c:axId val="491453821"/>
      </c:scatterChart>
      <c:valAx>
        <c:axId val="44258677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91453821"/>
      </c:valAx>
      <c:valAx>
        <c:axId val="4914538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4258677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Calculateur!$GX$3:$GX$203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0495197"/>
        <c:axId val="1465261146"/>
      </c:scatterChart>
      <c:valAx>
        <c:axId val="128049519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5261146"/>
      </c:valAx>
      <c:valAx>
        <c:axId val="14652611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8049519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5412167"/>
        <c:axId val="502103627"/>
      </c:scatterChart>
      <c:valAx>
        <c:axId val="123541216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02103627"/>
      </c:valAx>
      <c:valAx>
        <c:axId val="50210362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541216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643444"/>
        <c:axId val="955287179"/>
      </c:scatterChart>
      <c:valAx>
        <c:axId val="37164344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5287179"/>
      </c:valAx>
      <c:valAx>
        <c:axId val="9552871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7164344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1929812"/>
        <c:axId val="1649683850"/>
      </c:scatterChart>
      <c:valAx>
        <c:axId val="7219298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49683850"/>
      </c:valAx>
      <c:valAx>
        <c:axId val="16496838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219298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6224122"/>
        <c:axId val="345222498"/>
      </c:scatterChart>
      <c:valAx>
        <c:axId val="5962241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45222498"/>
      </c:valAx>
      <c:valAx>
        <c:axId val="3452224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962241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479035"/>
        <c:axId val="574313047"/>
      </c:scatterChart>
      <c:valAx>
        <c:axId val="17547903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74313047"/>
      </c:valAx>
      <c:valAx>
        <c:axId val="5743130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547903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Calculateur!$EM$3:$EM$203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9446122"/>
        <c:axId val="475946795"/>
      </c:scatterChart>
      <c:valAx>
        <c:axId val="12694461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5946795"/>
      </c:valAx>
      <c:valAx>
        <c:axId val="47594679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694461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Calculateur!$FH$3:$FH$203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658941"/>
        <c:axId val="1657306740"/>
      </c:scatterChart>
      <c:valAx>
        <c:axId val="14665894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57306740"/>
      </c:valAx>
      <c:valAx>
        <c:axId val="16573067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665894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Calculateur!$GC$3:$GC$203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045122"/>
        <c:axId val="693271317"/>
      </c:scatterChart>
      <c:valAx>
        <c:axId val="20004512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93271317"/>
      </c:valAx>
      <c:valAx>
        <c:axId val="69327131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004512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724763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12193741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44034054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36947579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45509310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1004909250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195152132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491207731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8172838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33102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G68" displayName="Table_1" id="1">
  <tableColumns count="6">
    <tableColumn name="Essence" id="1"/>
    <tableColumn name="Infradensité (tMS/m3)" id="2"/>
    <tableColumn name="Type" id="3"/>
    <tableColumn name="Valeur BO" id="4"/>
    <tableColumn name="Valeur BI" id="5"/>
    <tableColumn name="Valeur BE" id="6"/>
  </tableColumns>
  <tableStyleInfo name="Valeur BO BI B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hyperlink" Target="https://franceboisforet.fr/wp-content/uploads/2020/05/Indicateur-2020-des-prix-du-bois-sur-pied-en-for%C3%AAt-priv%C3%A9e.pdf" TargetMode="External"/><Relationship Id="rId2" Type="http://schemas.openxmlformats.org/officeDocument/2006/relationships/hyperlink" Target="http://observatoire.franceboisforet.com/donnees-de-la-filiere/amont-forestier/experts-forestiers/" TargetMode="External"/><Relationship Id="rId3" Type="http://schemas.openxmlformats.org/officeDocument/2006/relationships/hyperlink" Target="http://www.leboisinternational.com/asset/uploads/2019/01/V1902-Cours-bois-sur-pied-Nov-Dec-2018.pdf" TargetMode="External"/><Relationship Id="rId4" Type="http://schemas.openxmlformats.org/officeDocument/2006/relationships/hyperlink" Target="https://www.europeansa-online.com/bois_sur_pied.php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arborea.com/vente-et-cours-du-bois/feuillus-nobles/" TargetMode="External"/><Relationship Id="rId6" Type="http://schemas.openxmlformats.org/officeDocument/2006/relationships/hyperlink" Target="https://nouvelle-aquitaine.cnpf.fr/n/le-prix-des-bois/n:2396" TargetMode="External"/><Relationship Id="rId7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86"/>
    <col customWidth="1" min="3" max="5" width="10.71"/>
    <col customWidth="1" min="6" max="6" width="17.86"/>
    <col customWidth="1" min="7" max="26" width="10.71"/>
  </cols>
  <sheetData>
    <row r="1" ht="14.25" customHeight="1"/>
    <row r="2" ht="14.25" customHeight="1">
      <c r="B2" s="293" t="s">
        <v>128</v>
      </c>
      <c r="C2" s="293" t="s">
        <v>356</v>
      </c>
      <c r="D2" s="294" t="s">
        <v>357</v>
      </c>
      <c r="E2" s="293" t="s">
        <v>358</v>
      </c>
      <c r="F2" s="293" t="s">
        <v>359</v>
      </c>
      <c r="G2" s="293" t="s">
        <v>360</v>
      </c>
    </row>
    <row r="3" ht="14.25" customHeight="1">
      <c r="B3" s="295" t="s">
        <v>135</v>
      </c>
      <c r="C3" s="296" t="s">
        <v>361</v>
      </c>
      <c r="D3" s="297" t="s">
        <v>362</v>
      </c>
      <c r="E3" s="298">
        <v>300.0</v>
      </c>
      <c r="F3" s="299" t="s">
        <v>363</v>
      </c>
      <c r="G3" s="298">
        <v>10.0</v>
      </c>
    </row>
    <row r="4" ht="14.25" customHeight="1">
      <c r="B4" s="295" t="s">
        <v>141</v>
      </c>
      <c r="C4" s="296" t="s">
        <v>364</v>
      </c>
      <c r="D4" s="297" t="s">
        <v>362</v>
      </c>
      <c r="E4" s="300" t="s">
        <v>365</v>
      </c>
      <c r="F4" s="299" t="s">
        <v>363</v>
      </c>
      <c r="G4" s="298">
        <v>10.0</v>
      </c>
    </row>
    <row r="5" ht="14.25" customHeight="1">
      <c r="B5" s="295" t="s">
        <v>148</v>
      </c>
      <c r="C5" s="296" t="s">
        <v>366</v>
      </c>
      <c r="D5" s="297" t="s">
        <v>362</v>
      </c>
      <c r="E5" s="298">
        <v>40.0</v>
      </c>
      <c r="F5" s="299" t="s">
        <v>363</v>
      </c>
      <c r="G5" s="298">
        <v>10.0</v>
      </c>
    </row>
    <row r="6" ht="14.25" customHeight="1">
      <c r="B6" s="295" t="s">
        <v>367</v>
      </c>
      <c r="C6" s="296" t="s">
        <v>366</v>
      </c>
      <c r="D6" s="297" t="s">
        <v>362</v>
      </c>
      <c r="E6" s="298">
        <v>40.0</v>
      </c>
      <c r="F6" s="299" t="s">
        <v>363</v>
      </c>
      <c r="G6" s="298">
        <v>10.0</v>
      </c>
    </row>
    <row r="7" ht="14.25" customHeight="1">
      <c r="B7" s="295" t="s">
        <v>368</v>
      </c>
      <c r="C7" s="296" t="s">
        <v>369</v>
      </c>
      <c r="D7" s="297" t="s">
        <v>362</v>
      </c>
      <c r="E7" s="298">
        <v>40.0</v>
      </c>
      <c r="F7" s="299" t="s">
        <v>363</v>
      </c>
      <c r="G7" s="298">
        <v>10.0</v>
      </c>
    </row>
    <row r="8" ht="14.25" customHeight="1">
      <c r="B8" s="295" t="s">
        <v>370</v>
      </c>
      <c r="C8" s="296" t="s">
        <v>371</v>
      </c>
      <c r="D8" s="297" t="s">
        <v>372</v>
      </c>
      <c r="E8" s="301">
        <v>30.0</v>
      </c>
      <c r="F8" s="299" t="s">
        <v>373</v>
      </c>
      <c r="G8" s="298">
        <v>10.0</v>
      </c>
    </row>
    <row r="9" ht="14.25" customHeight="1">
      <c r="B9" s="295" t="s">
        <v>154</v>
      </c>
      <c r="C9" s="296" t="s">
        <v>374</v>
      </c>
      <c r="D9" s="297" t="s">
        <v>362</v>
      </c>
      <c r="E9" s="298">
        <v>50.0</v>
      </c>
      <c r="F9" s="299" t="s">
        <v>363</v>
      </c>
      <c r="G9" s="298">
        <v>10.0</v>
      </c>
    </row>
    <row r="10" ht="14.25" customHeight="1">
      <c r="B10" s="295" t="s">
        <v>156</v>
      </c>
      <c r="C10" s="296" t="s">
        <v>375</v>
      </c>
      <c r="D10" s="297" t="s">
        <v>362</v>
      </c>
      <c r="E10" s="298">
        <v>50.0</v>
      </c>
      <c r="F10" s="299" t="s">
        <v>363</v>
      </c>
      <c r="G10" s="298">
        <v>10.0</v>
      </c>
    </row>
    <row r="11" ht="14.25" customHeight="1">
      <c r="B11" s="295" t="s">
        <v>29</v>
      </c>
      <c r="C11" s="296" t="s">
        <v>376</v>
      </c>
      <c r="D11" s="297" t="s">
        <v>362</v>
      </c>
      <c r="E11" s="298">
        <v>100.0</v>
      </c>
      <c r="F11" s="299" t="s">
        <v>363</v>
      </c>
      <c r="G11" s="298">
        <v>10.0</v>
      </c>
    </row>
    <row r="12" ht="14.25" customHeight="1">
      <c r="B12" s="295" t="s">
        <v>160</v>
      </c>
      <c r="C12" s="296" t="s">
        <v>377</v>
      </c>
      <c r="D12" s="297" t="s">
        <v>362</v>
      </c>
      <c r="E12" s="298">
        <v>150.0</v>
      </c>
      <c r="F12" s="299" t="s">
        <v>363</v>
      </c>
      <c r="G12" s="298">
        <v>10.0</v>
      </c>
    </row>
    <row r="13" ht="14.25" customHeight="1">
      <c r="B13" s="295" t="s">
        <v>163</v>
      </c>
      <c r="C13" s="296" t="s">
        <v>378</v>
      </c>
      <c r="D13" s="297" t="s">
        <v>362</v>
      </c>
      <c r="E13" s="298">
        <v>150.0</v>
      </c>
      <c r="F13" s="299" t="s">
        <v>363</v>
      </c>
      <c r="G13" s="298">
        <v>10.0</v>
      </c>
    </row>
    <row r="14" ht="14.25" customHeight="1">
      <c r="B14" s="295" t="s">
        <v>165</v>
      </c>
      <c r="C14" s="296" t="s">
        <v>379</v>
      </c>
      <c r="D14" s="297" t="s">
        <v>362</v>
      </c>
      <c r="E14" s="298">
        <v>150.0</v>
      </c>
      <c r="F14" s="299" t="s">
        <v>363</v>
      </c>
      <c r="G14" s="298">
        <v>10.0</v>
      </c>
    </row>
    <row r="15" ht="14.25" customHeight="1">
      <c r="B15" s="295" t="s">
        <v>25</v>
      </c>
      <c r="C15" s="296" t="s">
        <v>380</v>
      </c>
      <c r="D15" s="297" t="s">
        <v>362</v>
      </c>
      <c r="E15" s="298">
        <v>150.0</v>
      </c>
      <c r="F15" s="299" t="s">
        <v>363</v>
      </c>
      <c r="G15" s="298">
        <v>10.0</v>
      </c>
    </row>
    <row r="16" ht="14.25" customHeight="1">
      <c r="B16" s="295" t="s">
        <v>381</v>
      </c>
      <c r="C16" s="296" t="s">
        <v>382</v>
      </c>
      <c r="D16" s="297" t="s">
        <v>362</v>
      </c>
      <c r="E16" s="298">
        <v>150.0</v>
      </c>
      <c r="F16" s="299" t="s">
        <v>363</v>
      </c>
      <c r="G16" s="298">
        <v>10.0</v>
      </c>
    </row>
    <row r="17" ht="14.25" customHeight="1">
      <c r="B17" s="295" t="s">
        <v>383</v>
      </c>
      <c r="C17" s="296" t="s">
        <v>384</v>
      </c>
      <c r="D17" s="297" t="s">
        <v>362</v>
      </c>
      <c r="E17" s="298">
        <v>150.0</v>
      </c>
      <c r="F17" s="299" t="s">
        <v>363</v>
      </c>
      <c r="G17" s="298">
        <v>10.0</v>
      </c>
    </row>
    <row r="18" ht="14.25" customHeight="1">
      <c r="B18" s="295" t="s">
        <v>171</v>
      </c>
      <c r="C18" s="296" t="s">
        <v>364</v>
      </c>
      <c r="D18" s="297" t="s">
        <v>362</v>
      </c>
      <c r="E18" s="298">
        <v>150.0</v>
      </c>
      <c r="F18" s="299" t="s">
        <v>363</v>
      </c>
      <c r="G18" s="298">
        <v>10.0</v>
      </c>
    </row>
    <row r="19" ht="14.25" customHeight="1">
      <c r="B19" s="295" t="s">
        <v>173</v>
      </c>
      <c r="C19" s="296" t="s">
        <v>385</v>
      </c>
      <c r="D19" s="297" t="s">
        <v>362</v>
      </c>
      <c r="E19" s="298">
        <v>150.0</v>
      </c>
      <c r="F19" s="299" t="s">
        <v>363</v>
      </c>
      <c r="G19" s="298">
        <v>10.0</v>
      </c>
    </row>
    <row r="20" ht="14.25" customHeight="1">
      <c r="B20" s="295" t="s">
        <v>386</v>
      </c>
      <c r="C20" s="296" t="s">
        <v>382</v>
      </c>
      <c r="D20" s="297" t="s">
        <v>362</v>
      </c>
      <c r="E20" s="298">
        <v>150.0</v>
      </c>
      <c r="F20" s="299" t="s">
        <v>363</v>
      </c>
      <c r="G20" s="298">
        <v>10.0</v>
      </c>
    </row>
    <row r="21" ht="14.25" customHeight="1">
      <c r="B21" s="295" t="s">
        <v>387</v>
      </c>
      <c r="C21" s="296" t="s">
        <v>388</v>
      </c>
      <c r="D21" s="297" t="s">
        <v>362</v>
      </c>
      <c r="E21" s="298">
        <v>300.0</v>
      </c>
      <c r="F21" s="299" t="s">
        <v>363</v>
      </c>
      <c r="G21" s="298">
        <v>10.0</v>
      </c>
    </row>
    <row r="22" ht="14.25" customHeight="1">
      <c r="B22" s="295" t="s">
        <v>389</v>
      </c>
      <c r="C22" s="296" t="s">
        <v>390</v>
      </c>
      <c r="D22" s="297" t="s">
        <v>372</v>
      </c>
      <c r="E22" s="301">
        <v>30.0</v>
      </c>
      <c r="F22" s="299" t="s">
        <v>373</v>
      </c>
      <c r="G22" s="298">
        <v>10.0</v>
      </c>
    </row>
    <row r="23" ht="14.25" customHeight="1">
      <c r="B23" s="295" t="s">
        <v>391</v>
      </c>
      <c r="C23" s="296" t="s">
        <v>392</v>
      </c>
      <c r="D23" s="297" t="s">
        <v>362</v>
      </c>
      <c r="E23" s="298">
        <v>300.0</v>
      </c>
      <c r="F23" s="299" t="s">
        <v>363</v>
      </c>
      <c r="G23" s="298">
        <v>10.0</v>
      </c>
    </row>
    <row r="24" ht="14.25" customHeight="1">
      <c r="B24" s="295" t="s">
        <v>182</v>
      </c>
      <c r="C24" s="296" t="s">
        <v>393</v>
      </c>
      <c r="D24" s="297" t="s">
        <v>372</v>
      </c>
      <c r="E24" s="298">
        <v>59.0</v>
      </c>
      <c r="F24" s="299" t="s">
        <v>373</v>
      </c>
      <c r="G24" s="298">
        <v>10.0</v>
      </c>
    </row>
    <row r="25" ht="14.25" customHeight="1">
      <c r="B25" s="295" t="s">
        <v>184</v>
      </c>
      <c r="C25" s="296" t="s">
        <v>394</v>
      </c>
      <c r="D25" s="297" t="s">
        <v>372</v>
      </c>
      <c r="E25" s="301">
        <v>36.0</v>
      </c>
      <c r="F25" s="299" t="s">
        <v>373</v>
      </c>
      <c r="G25" s="298">
        <v>10.0</v>
      </c>
    </row>
    <row r="26" ht="14.25" customHeight="1">
      <c r="B26" s="295" t="s">
        <v>186</v>
      </c>
      <c r="C26" s="296" t="s">
        <v>371</v>
      </c>
      <c r="D26" s="297" t="s">
        <v>372</v>
      </c>
      <c r="E26" s="298">
        <v>47.0</v>
      </c>
      <c r="F26" s="299" t="s">
        <v>373</v>
      </c>
      <c r="G26" s="298">
        <v>10.0</v>
      </c>
    </row>
    <row r="27" ht="14.25" customHeight="1">
      <c r="B27" s="295" t="s">
        <v>395</v>
      </c>
      <c r="C27" s="296" t="s">
        <v>396</v>
      </c>
      <c r="D27" s="297" t="s">
        <v>362</v>
      </c>
      <c r="E27" s="298">
        <v>60.0</v>
      </c>
      <c r="F27" s="299" t="s">
        <v>363</v>
      </c>
      <c r="G27" s="298">
        <v>10.0</v>
      </c>
    </row>
    <row r="28" ht="14.25" customHeight="1">
      <c r="B28" s="295" t="s">
        <v>397</v>
      </c>
      <c r="C28" s="296" t="s">
        <v>382</v>
      </c>
      <c r="D28" s="297" t="s">
        <v>362</v>
      </c>
      <c r="E28" s="298">
        <v>60.0</v>
      </c>
      <c r="F28" s="299" t="s">
        <v>363</v>
      </c>
      <c r="G28" s="298">
        <v>10.0</v>
      </c>
    </row>
    <row r="29" ht="14.25" customHeight="1">
      <c r="B29" s="295" t="s">
        <v>195</v>
      </c>
      <c r="C29" s="296" t="s">
        <v>382</v>
      </c>
      <c r="D29" s="297" t="s">
        <v>362</v>
      </c>
      <c r="E29" s="300" t="s">
        <v>365</v>
      </c>
      <c r="F29" s="299" t="s">
        <v>363</v>
      </c>
      <c r="G29" s="298">
        <v>10.0</v>
      </c>
    </row>
    <row r="30" ht="14.25" customHeight="1">
      <c r="B30" s="295" t="s">
        <v>398</v>
      </c>
      <c r="C30" s="296" t="s">
        <v>399</v>
      </c>
      <c r="D30" s="297" t="s">
        <v>362</v>
      </c>
      <c r="E30" s="298">
        <v>300.0</v>
      </c>
      <c r="F30" s="299" t="s">
        <v>363</v>
      </c>
      <c r="G30" s="298">
        <v>10.0</v>
      </c>
    </row>
    <row r="31" ht="14.25" customHeight="1">
      <c r="B31" s="295" t="s">
        <v>196</v>
      </c>
      <c r="C31" s="296" t="s">
        <v>400</v>
      </c>
      <c r="D31" s="297" t="s">
        <v>362</v>
      </c>
      <c r="E31" s="298">
        <v>45.0</v>
      </c>
      <c r="F31" s="299" t="s">
        <v>363</v>
      </c>
      <c r="G31" s="298">
        <v>10.0</v>
      </c>
    </row>
    <row r="32" ht="14.25" customHeight="1">
      <c r="B32" s="295" t="s">
        <v>401</v>
      </c>
      <c r="C32" s="296" t="s">
        <v>382</v>
      </c>
      <c r="D32" s="297" t="s">
        <v>362</v>
      </c>
      <c r="E32" s="298">
        <v>90.0</v>
      </c>
      <c r="F32" s="299" t="s">
        <v>363</v>
      </c>
      <c r="G32" s="298">
        <v>10.0</v>
      </c>
    </row>
    <row r="33" ht="14.25" customHeight="1">
      <c r="B33" s="295" t="s">
        <v>402</v>
      </c>
      <c r="C33" s="296" t="s">
        <v>384</v>
      </c>
      <c r="D33" s="297" t="s">
        <v>362</v>
      </c>
      <c r="E33" s="298">
        <v>300.0</v>
      </c>
      <c r="F33" s="299" t="s">
        <v>363</v>
      </c>
      <c r="G33" s="298">
        <v>10.0</v>
      </c>
    </row>
    <row r="34" ht="14.25" customHeight="1">
      <c r="B34" s="295" t="s">
        <v>403</v>
      </c>
      <c r="C34" s="296" t="s">
        <v>384</v>
      </c>
      <c r="D34" s="297" t="s">
        <v>372</v>
      </c>
      <c r="E34" s="298">
        <v>25.0</v>
      </c>
      <c r="F34" s="299" t="s">
        <v>373</v>
      </c>
      <c r="G34" s="298">
        <v>10.0</v>
      </c>
    </row>
    <row r="35" ht="14.25" customHeight="1">
      <c r="B35" s="295" t="s">
        <v>404</v>
      </c>
      <c r="C35" s="296" t="s">
        <v>399</v>
      </c>
      <c r="D35" s="297" t="s">
        <v>372</v>
      </c>
      <c r="E35" s="298">
        <v>50.0</v>
      </c>
      <c r="F35" s="299" t="s">
        <v>373</v>
      </c>
      <c r="G35" s="298">
        <v>10.0</v>
      </c>
    </row>
    <row r="36" ht="14.25" customHeight="1">
      <c r="B36" s="295" t="s">
        <v>203</v>
      </c>
      <c r="C36" s="296" t="s">
        <v>366</v>
      </c>
      <c r="D36" s="297" t="s">
        <v>372</v>
      </c>
      <c r="E36" s="298">
        <v>50.0</v>
      </c>
      <c r="F36" s="299" t="s">
        <v>373</v>
      </c>
      <c r="G36" s="298">
        <v>10.0</v>
      </c>
    </row>
    <row r="37" ht="14.25" customHeight="1">
      <c r="B37" s="295" t="s">
        <v>210</v>
      </c>
      <c r="C37" s="296" t="s">
        <v>405</v>
      </c>
      <c r="D37" s="297" t="s">
        <v>362</v>
      </c>
      <c r="E37" s="298">
        <v>80.0</v>
      </c>
      <c r="F37" s="299" t="s">
        <v>363</v>
      </c>
      <c r="G37" s="298">
        <v>10.0</v>
      </c>
    </row>
    <row r="38" ht="14.25" customHeight="1">
      <c r="B38" s="295" t="s">
        <v>406</v>
      </c>
      <c r="C38" s="296" t="s">
        <v>400</v>
      </c>
      <c r="D38" s="297" t="s">
        <v>362</v>
      </c>
      <c r="E38" s="300" t="s">
        <v>365</v>
      </c>
      <c r="F38" s="299" t="s">
        <v>363</v>
      </c>
      <c r="G38" s="298">
        <v>10.0</v>
      </c>
    </row>
    <row r="39" ht="14.25" customHeight="1">
      <c r="B39" s="295" t="s">
        <v>407</v>
      </c>
      <c r="C39" s="296" t="s">
        <v>408</v>
      </c>
      <c r="D39" s="297" t="s">
        <v>362</v>
      </c>
      <c r="E39" s="300" t="s">
        <v>365</v>
      </c>
      <c r="F39" s="299" t="s">
        <v>363</v>
      </c>
      <c r="G39" s="298">
        <v>10.0</v>
      </c>
    </row>
    <row r="40" ht="14.25" customHeight="1">
      <c r="B40" s="295" t="s">
        <v>409</v>
      </c>
      <c r="C40" s="296" t="s">
        <v>369</v>
      </c>
      <c r="D40" s="297" t="s">
        <v>362</v>
      </c>
      <c r="E40" s="300" t="s">
        <v>365</v>
      </c>
      <c r="F40" s="299" t="s">
        <v>363</v>
      </c>
      <c r="G40" s="298">
        <v>10.0</v>
      </c>
    </row>
    <row r="41" ht="14.25" customHeight="1">
      <c r="B41" s="295" t="s">
        <v>214</v>
      </c>
      <c r="C41" s="296" t="s">
        <v>369</v>
      </c>
      <c r="D41" s="297" t="s">
        <v>362</v>
      </c>
      <c r="E41" s="298">
        <v>300.0</v>
      </c>
      <c r="F41" s="299" t="s">
        <v>363</v>
      </c>
      <c r="G41" s="298">
        <v>10.0</v>
      </c>
    </row>
    <row r="42" ht="14.25" customHeight="1">
      <c r="B42" s="295" t="s">
        <v>410</v>
      </c>
      <c r="C42" s="296" t="s">
        <v>411</v>
      </c>
      <c r="D42" s="297" t="s">
        <v>362</v>
      </c>
      <c r="E42" s="300" t="s">
        <v>365</v>
      </c>
      <c r="F42" s="299" t="s">
        <v>363</v>
      </c>
      <c r="G42" s="298">
        <v>10.0</v>
      </c>
    </row>
    <row r="43" ht="14.25" customHeight="1">
      <c r="B43" s="295" t="s">
        <v>412</v>
      </c>
      <c r="C43" s="296" t="s">
        <v>369</v>
      </c>
      <c r="D43" s="297" t="s">
        <v>362</v>
      </c>
      <c r="E43" s="298">
        <v>50.0</v>
      </c>
      <c r="F43" s="299" t="s">
        <v>363</v>
      </c>
      <c r="G43" s="298">
        <v>10.0</v>
      </c>
    </row>
    <row r="44" ht="14.25" customHeight="1">
      <c r="B44" s="295" t="s">
        <v>413</v>
      </c>
      <c r="C44" s="296" t="s">
        <v>414</v>
      </c>
      <c r="D44" s="297" t="s">
        <v>415</v>
      </c>
      <c r="E44" s="298">
        <v>42.0</v>
      </c>
      <c r="F44" s="299" t="s">
        <v>373</v>
      </c>
      <c r="G44" s="298">
        <v>10.0</v>
      </c>
    </row>
    <row r="45" ht="14.25" customHeight="1">
      <c r="B45" s="295" t="s">
        <v>416</v>
      </c>
      <c r="C45" s="296" t="s">
        <v>394</v>
      </c>
      <c r="D45" s="297" t="s">
        <v>362</v>
      </c>
      <c r="E45" s="298" t="s">
        <v>417</v>
      </c>
      <c r="F45" s="299" t="s">
        <v>363</v>
      </c>
      <c r="G45" s="298">
        <v>10.0</v>
      </c>
    </row>
    <row r="46" ht="14.25" customHeight="1">
      <c r="B46" s="295" t="s">
        <v>418</v>
      </c>
      <c r="C46" s="296" t="s">
        <v>419</v>
      </c>
      <c r="D46" s="297" t="s">
        <v>372</v>
      </c>
      <c r="E46" s="298">
        <v>30.0</v>
      </c>
      <c r="F46" s="299" t="s">
        <v>373</v>
      </c>
      <c r="G46" s="298">
        <v>10.0</v>
      </c>
    </row>
    <row r="47" ht="14.25" customHeight="1">
      <c r="B47" s="295" t="s">
        <v>249</v>
      </c>
      <c r="C47" s="296" t="s">
        <v>420</v>
      </c>
      <c r="D47" s="297" t="s">
        <v>372</v>
      </c>
      <c r="E47" s="298">
        <v>30.0</v>
      </c>
      <c r="F47" s="299" t="s">
        <v>373</v>
      </c>
      <c r="G47" s="298">
        <v>10.0</v>
      </c>
    </row>
    <row r="48" ht="14.25" customHeight="1">
      <c r="B48" s="295" t="s">
        <v>251</v>
      </c>
      <c r="C48" s="296" t="s">
        <v>421</v>
      </c>
      <c r="D48" s="297" t="s">
        <v>372</v>
      </c>
      <c r="E48" s="298">
        <v>30.0</v>
      </c>
      <c r="F48" s="299" t="s">
        <v>373</v>
      </c>
      <c r="G48" s="298">
        <v>10.0</v>
      </c>
    </row>
    <row r="49" ht="14.25" customHeight="1">
      <c r="B49" s="295" t="s">
        <v>19</v>
      </c>
      <c r="C49" s="296" t="s">
        <v>422</v>
      </c>
      <c r="D49" s="297" t="s">
        <v>372</v>
      </c>
      <c r="E49" s="298">
        <v>30.0</v>
      </c>
      <c r="F49" s="299" t="s">
        <v>373</v>
      </c>
      <c r="G49" s="298">
        <v>10.0</v>
      </c>
    </row>
    <row r="50" ht="14.25" customHeight="1">
      <c r="B50" s="295" t="s">
        <v>254</v>
      </c>
      <c r="C50" s="296" t="s">
        <v>422</v>
      </c>
      <c r="D50" s="297" t="s">
        <v>423</v>
      </c>
      <c r="E50" s="298">
        <v>42.0</v>
      </c>
      <c r="F50" s="299" t="s">
        <v>373</v>
      </c>
      <c r="G50" s="298">
        <v>10.0</v>
      </c>
    </row>
    <row r="51" ht="14.25" customHeight="1">
      <c r="B51" s="295" t="s">
        <v>256</v>
      </c>
      <c r="C51" s="296" t="s">
        <v>421</v>
      </c>
      <c r="D51" s="297" t="s">
        <v>372</v>
      </c>
      <c r="E51" s="298">
        <v>30.0</v>
      </c>
      <c r="F51" s="299" t="s">
        <v>373</v>
      </c>
      <c r="G51" s="298">
        <v>10.0</v>
      </c>
    </row>
    <row r="52" ht="14.25" customHeight="1">
      <c r="B52" s="295" t="s">
        <v>424</v>
      </c>
      <c r="C52" s="296" t="s">
        <v>422</v>
      </c>
      <c r="D52" s="297" t="s">
        <v>372</v>
      </c>
      <c r="E52" s="298">
        <v>30.0</v>
      </c>
      <c r="F52" s="299" t="s">
        <v>373</v>
      </c>
      <c r="G52" s="298">
        <v>10.0</v>
      </c>
    </row>
    <row r="53" ht="14.25" customHeight="1">
      <c r="B53" s="295" t="s">
        <v>260</v>
      </c>
      <c r="C53" s="296" t="s">
        <v>399</v>
      </c>
      <c r="D53" s="297" t="s">
        <v>372</v>
      </c>
      <c r="E53" s="298">
        <v>30.0</v>
      </c>
      <c r="F53" s="299" t="s">
        <v>373</v>
      </c>
      <c r="G53" s="298">
        <v>10.0</v>
      </c>
    </row>
    <row r="54" ht="14.25" customHeight="1">
      <c r="B54" s="295" t="s">
        <v>16</v>
      </c>
      <c r="C54" s="296" t="s">
        <v>421</v>
      </c>
      <c r="D54" s="297" t="s">
        <v>372</v>
      </c>
      <c r="E54" s="298">
        <v>30.0</v>
      </c>
      <c r="F54" s="299" t="s">
        <v>373</v>
      </c>
      <c r="G54" s="298">
        <v>10.0</v>
      </c>
    </row>
    <row r="55" ht="14.25" customHeight="1">
      <c r="B55" s="295" t="s">
        <v>425</v>
      </c>
      <c r="C55" s="296" t="s">
        <v>426</v>
      </c>
      <c r="D55" s="297" t="s">
        <v>372</v>
      </c>
      <c r="E55" s="298">
        <v>30.0</v>
      </c>
      <c r="F55" s="299" t="s">
        <v>373</v>
      </c>
      <c r="G55" s="298">
        <v>10.0</v>
      </c>
    </row>
    <row r="56" ht="14.25" customHeight="1">
      <c r="B56" s="295" t="s">
        <v>427</v>
      </c>
      <c r="C56" s="296" t="s">
        <v>405</v>
      </c>
      <c r="D56" s="297" t="s">
        <v>362</v>
      </c>
      <c r="E56" s="298">
        <v>50.0</v>
      </c>
      <c r="F56" s="299" t="s">
        <v>363</v>
      </c>
      <c r="G56" s="298">
        <v>10.0</v>
      </c>
    </row>
    <row r="57" ht="14.25" customHeight="1">
      <c r="B57" s="295" t="s">
        <v>428</v>
      </c>
      <c r="C57" s="296" t="s">
        <v>384</v>
      </c>
      <c r="D57" s="297" t="s">
        <v>362</v>
      </c>
      <c r="E57" s="298">
        <v>70.0</v>
      </c>
      <c r="F57" s="299" t="s">
        <v>363</v>
      </c>
      <c r="G57" s="298">
        <v>10.0</v>
      </c>
    </row>
    <row r="58" ht="14.25" customHeight="1">
      <c r="B58" s="295" t="s">
        <v>276</v>
      </c>
      <c r="C58" s="296" t="s">
        <v>394</v>
      </c>
      <c r="D58" s="297" t="s">
        <v>372</v>
      </c>
      <c r="E58" s="298">
        <v>44.0</v>
      </c>
      <c r="F58" s="299" t="s">
        <v>373</v>
      </c>
      <c r="G58" s="298">
        <v>10.0</v>
      </c>
    </row>
    <row r="59" ht="14.25" customHeight="1">
      <c r="B59" s="295" t="s">
        <v>278</v>
      </c>
      <c r="C59" s="296" t="s">
        <v>394</v>
      </c>
      <c r="D59" s="297" t="s">
        <v>372</v>
      </c>
      <c r="E59" s="298">
        <v>44.0</v>
      </c>
      <c r="F59" s="299" t="s">
        <v>373</v>
      </c>
      <c r="G59" s="298">
        <v>10.0</v>
      </c>
    </row>
    <row r="60" ht="14.25" customHeight="1">
      <c r="B60" s="295" t="s">
        <v>23</v>
      </c>
      <c r="C60" s="296" t="s">
        <v>429</v>
      </c>
      <c r="D60" s="297" t="s">
        <v>372</v>
      </c>
      <c r="E60" s="298">
        <v>37.0</v>
      </c>
      <c r="F60" s="299" t="s">
        <v>373</v>
      </c>
      <c r="G60" s="298">
        <v>10.0</v>
      </c>
    </row>
    <row r="61" ht="14.25" customHeight="1">
      <c r="B61" s="295" t="s">
        <v>281</v>
      </c>
      <c r="C61" s="296" t="s">
        <v>371</v>
      </c>
      <c r="D61" s="297" t="s">
        <v>372</v>
      </c>
      <c r="E61" s="298">
        <v>44.0</v>
      </c>
      <c r="F61" s="299" t="s">
        <v>373</v>
      </c>
      <c r="G61" s="298">
        <v>10.0</v>
      </c>
    </row>
    <row r="62" ht="14.25" customHeight="1">
      <c r="B62" s="295" t="s">
        <v>430</v>
      </c>
      <c r="C62" s="296" t="s">
        <v>394</v>
      </c>
      <c r="D62" s="297" t="s">
        <v>362</v>
      </c>
      <c r="E62" s="298">
        <v>25.0</v>
      </c>
      <c r="F62" s="299" t="s">
        <v>363</v>
      </c>
      <c r="G62" s="298">
        <v>10.0</v>
      </c>
    </row>
    <row r="63" ht="14.25" customHeight="1">
      <c r="B63" s="295" t="s">
        <v>431</v>
      </c>
      <c r="C63" s="296" t="s">
        <v>408</v>
      </c>
      <c r="D63" s="297" t="s">
        <v>362</v>
      </c>
      <c r="E63" s="300" t="s">
        <v>365</v>
      </c>
      <c r="F63" s="299" t="s">
        <v>363</v>
      </c>
      <c r="G63" s="298">
        <v>10.0</v>
      </c>
    </row>
    <row r="64" ht="14.25" customHeight="1">
      <c r="B64" s="295" t="s">
        <v>432</v>
      </c>
      <c r="C64" s="296" t="s">
        <v>393</v>
      </c>
      <c r="D64" s="297" t="s">
        <v>362</v>
      </c>
      <c r="E64" s="298">
        <v>50.0</v>
      </c>
      <c r="F64" s="299" t="s">
        <v>363</v>
      </c>
      <c r="G64" s="298">
        <v>10.0</v>
      </c>
    </row>
    <row r="65" ht="14.25" customHeight="1">
      <c r="B65" s="295" t="s">
        <v>293</v>
      </c>
      <c r="C65" s="296" t="s">
        <v>429</v>
      </c>
      <c r="D65" s="297" t="s">
        <v>362</v>
      </c>
      <c r="E65" s="298">
        <v>25.0</v>
      </c>
      <c r="F65" s="299" t="s">
        <v>363</v>
      </c>
      <c r="G65" s="298">
        <v>10.0</v>
      </c>
    </row>
    <row r="66" ht="14.25" customHeight="1">
      <c r="B66" s="302" t="s">
        <v>97</v>
      </c>
      <c r="C66" s="303" t="s">
        <v>366</v>
      </c>
      <c r="D66" s="297" t="s">
        <v>372</v>
      </c>
      <c r="E66" s="298">
        <v>44.0</v>
      </c>
      <c r="F66" s="299" t="s">
        <v>373</v>
      </c>
      <c r="G66" s="298">
        <v>10.0</v>
      </c>
    </row>
    <row r="67" ht="14.25" customHeight="1">
      <c r="B67" s="302" t="s">
        <v>299</v>
      </c>
      <c r="C67" s="303" t="s">
        <v>433</v>
      </c>
      <c r="D67" s="297" t="s">
        <v>362</v>
      </c>
      <c r="E67" s="301">
        <v>50.0</v>
      </c>
      <c r="F67" s="299" t="s">
        <v>363</v>
      </c>
      <c r="G67" s="298">
        <v>10.0</v>
      </c>
    </row>
    <row r="68" ht="14.25" customHeight="1">
      <c r="B68" s="302" t="s">
        <v>434</v>
      </c>
      <c r="C68" s="303" t="s">
        <v>379</v>
      </c>
      <c r="D68" s="304"/>
      <c r="E68" s="298">
        <v>60.0</v>
      </c>
      <c r="F68" s="305"/>
      <c r="G68" s="298">
        <v>10.0</v>
      </c>
    </row>
    <row r="69" ht="14.25" customHeight="1">
      <c r="B69" s="306"/>
      <c r="C69" s="306"/>
      <c r="D69" s="306"/>
      <c r="E69" s="306"/>
      <c r="F69" s="306"/>
      <c r="G69" s="306"/>
    </row>
    <row r="70" ht="14.25" customHeight="1">
      <c r="B70" s="307" t="s">
        <v>435</v>
      </c>
      <c r="C70" s="306"/>
      <c r="D70" s="306"/>
      <c r="E70" s="306"/>
      <c r="F70" s="306"/>
      <c r="G70" s="306"/>
    </row>
    <row r="71" ht="14.25" customHeight="1">
      <c r="B71" s="308" t="s">
        <v>436</v>
      </c>
    </row>
    <row r="72" ht="14.25" customHeight="1">
      <c r="B72" s="308" t="s">
        <v>437</v>
      </c>
    </row>
    <row r="73" ht="14.25" customHeight="1">
      <c r="B73" s="308" t="s">
        <v>438</v>
      </c>
    </row>
    <row r="74" ht="14.25" customHeight="1">
      <c r="B74" s="308" t="s">
        <v>439</v>
      </c>
      <c r="E74" s="306"/>
      <c r="F74" s="306"/>
      <c r="G74" s="306"/>
    </row>
    <row r="75" ht="14.25" customHeight="1">
      <c r="B75" s="308" t="s">
        <v>440</v>
      </c>
      <c r="E75" s="306"/>
      <c r="F75" s="306"/>
      <c r="G75" s="306"/>
    </row>
    <row r="76" ht="14.25" customHeight="1">
      <c r="B76" s="308" t="s">
        <v>441</v>
      </c>
      <c r="E76" s="306"/>
      <c r="F76" s="306"/>
      <c r="G76" s="306"/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71:G71"/>
    <mergeCell ref="B72:G72"/>
    <mergeCell ref="B73:G73"/>
    <mergeCell ref="B74:D74"/>
    <mergeCell ref="B75:D75"/>
    <mergeCell ref="B76:D76"/>
  </mergeCells>
  <hyperlinks>
    <hyperlink r:id="rId1" ref="B71"/>
    <hyperlink r:id="rId2" ref="B72"/>
    <hyperlink r:id="rId3" ref="B73"/>
    <hyperlink r:id="rId4" ref="B74"/>
    <hyperlink r:id="rId5" ref="B75"/>
    <hyperlink r:id="rId6" ref="B76"/>
  </hyperlinks>
  <printOptions/>
  <pageMargins bottom="0.75" footer="0.0" header="0.0" left="0.7" right="0.7" top="0.75"/>
  <pageSetup orientation="landscape"/>
  <drawing r:id="rId7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15.8017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0.1291</v>
      </c>
      <c r="D9" s="31">
        <f t="shared" ref="D9:D18" si="1">C9*$C$5</f>
        <v>2.03999947</v>
      </c>
      <c r="E9" s="32">
        <v>60.0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6">
        <v>0.137538</v>
      </c>
      <c r="D10" s="31">
        <f t="shared" si="1"/>
        <v>2.173334215</v>
      </c>
      <c r="E10" s="32">
        <v>60.0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29" t="s">
        <v>21</v>
      </c>
      <c r="C11" s="36">
        <v>0.145976</v>
      </c>
      <c r="D11" s="31">
        <f t="shared" si="1"/>
        <v>2.306668959</v>
      </c>
      <c r="E11" s="32">
        <v>70.0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22</v>
      </c>
      <c r="B12" s="29" t="s">
        <v>23</v>
      </c>
      <c r="C12" s="36">
        <v>0.162852</v>
      </c>
      <c r="D12" s="31">
        <f t="shared" si="1"/>
        <v>2.573338448</v>
      </c>
      <c r="E12" s="32">
        <v>60.0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24</v>
      </c>
      <c r="B13" s="29" t="s">
        <v>25</v>
      </c>
      <c r="C13" s="36">
        <v>0.113912</v>
      </c>
      <c r="D13" s="31">
        <f t="shared" si="1"/>
        <v>1.80000325</v>
      </c>
      <c r="E13" s="32">
        <v>150.0</v>
      </c>
      <c r="F13" s="33" t="str">
        <f t="array" ref="F13">IF(E13="","",IF(INDEX(A:A,MAX(IF(ISNUMBER($A$140:$A$159),ROW($A$140:$A$159),"")))&lt;&gt;E13,"Corrigez : révolution incorrecte","OK"))</f>
        <v>OK</v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26</v>
      </c>
      <c r="B14" s="29" t="s">
        <v>27</v>
      </c>
      <c r="C14" s="36">
        <v>0.126042</v>
      </c>
      <c r="D14" s="31">
        <f t="shared" si="1"/>
        <v>1.991677871</v>
      </c>
      <c r="E14" s="32">
        <v>150.0</v>
      </c>
      <c r="F14" s="33" t="str">
        <f t="array" ref="F14">IF(E14="","",IF(INDEX(A:A,MAX(IF(ISNUMBER($A$166:$A$185),ROW($A$166:$A$185),"")))&lt;&gt;E14,"Corrigez : révolution incorrecte","OK"))</f>
        <v>OK</v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28</v>
      </c>
      <c r="B15" s="29" t="s">
        <v>29</v>
      </c>
      <c r="C15" s="36">
        <v>0.071195</v>
      </c>
      <c r="D15" s="31">
        <f t="shared" si="1"/>
        <v>1.125002032</v>
      </c>
      <c r="E15" s="32">
        <v>80.0</v>
      </c>
      <c r="F15" s="33" t="str">
        <f t="array" ref="F15">IF(E15="","",IF(INDEX(A:A,MAX(IF(ISNUMBER($A$192:$A$211),ROW($A$192:$A$211),"")))&lt;&gt;E15,"Corrigez : révolution incorrecte","OK"))</f>
        <v>OK</v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30</v>
      </c>
      <c r="B16" s="29" t="s">
        <v>31</v>
      </c>
      <c r="C16" s="36">
        <v>0.040818</v>
      </c>
      <c r="D16" s="31">
        <f t="shared" si="1"/>
        <v>0.6449937906</v>
      </c>
      <c r="E16" s="32">
        <v>70.0</v>
      </c>
      <c r="F16" s="33" t="str">
        <f t="array" ref="F16">IF(E16="","",IF(INDEX(A:A,MAX(IF(ISNUMBER($A$218:$A$237),ROW($A$218:$A$237),"")))&lt;&gt;E16,"Corrigez : révolution incorrecte","OK"))</f>
        <v>OK</v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32</v>
      </c>
      <c r="B17" s="29" t="s">
        <v>33</v>
      </c>
      <c r="C17" s="36">
        <v>0.013079</v>
      </c>
      <c r="D17" s="31">
        <f t="shared" si="1"/>
        <v>0.2066704343</v>
      </c>
      <c r="E17" s="32">
        <v>60.0</v>
      </c>
      <c r="F17" s="33" t="str">
        <f t="array" ref="F17">IF(E17="","",IF(INDEX(A:A,MAX(IF(ISNUMBER($A$244:$A$263),ROW($A$244:$A$263),"")))&lt;&gt;E17,"Corrigez : révolution incorrecte","OK"))</f>
        <v>OK</v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34</v>
      </c>
      <c r="B18" s="29" t="s">
        <v>35</v>
      </c>
      <c r="C18" s="30">
        <f>1.47664%+1.8458%+2.62631%</f>
        <v>0.0594875</v>
      </c>
      <c r="D18" s="31">
        <f t="shared" si="1"/>
        <v>0.9400036288</v>
      </c>
      <c r="E18" s="32">
        <v>60.0</v>
      </c>
      <c r="F18" s="33" t="str">
        <f t="array" ref="F18">IF(E18="","",IF(INDEX(A:A,MAX(IF(ISNUMBER($A$270:$A$289),ROW($A$270:$A$289),"")))&lt;&gt;E18,"Corrigez : révolution incorrecte","OK"))</f>
        <v>OK</v>
      </c>
      <c r="G18" s="37" t="s">
        <v>36</v>
      </c>
      <c r="H18" s="38"/>
      <c r="I18" s="3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40"/>
      <c r="B19" s="41" t="s">
        <v>37</v>
      </c>
      <c r="C19" s="42">
        <f t="shared" ref="C19:D19" si="2">SUM(C9:C18)</f>
        <v>0.9999995</v>
      </c>
      <c r="D19" s="43">
        <f t="shared" si="2"/>
        <v>15.8016921</v>
      </c>
      <c r="E19" s="9"/>
      <c r="F19" s="44"/>
      <c r="G19" s="44"/>
      <c r="H19" s="44"/>
      <c r="I19" s="44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40"/>
      <c r="B20" s="45" t="s">
        <v>14</v>
      </c>
      <c r="C20" s="46" t="str">
        <f>IF(C19&gt;100%,"Erreur : corrigez","OK")</f>
        <v>OK</v>
      </c>
      <c r="D20" s="47"/>
      <c r="E20" s="9"/>
      <c r="F20" s="24"/>
      <c r="G20" s="24"/>
      <c r="H20" s="44"/>
      <c r="I20" s="44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8"/>
      <c r="I21" s="4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9" t="s">
        <v>38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50" t="s">
        <v>39</v>
      </c>
      <c r="B24" s="51" t="s">
        <v>40</v>
      </c>
      <c r="C24" s="52">
        <v>0.0</v>
      </c>
      <c r="D24" s="53" t="s">
        <v>41</v>
      </c>
      <c r="E24" s="54"/>
      <c r="F24" s="54"/>
      <c r="G24" s="54"/>
      <c r="H24" s="9"/>
      <c r="I24" s="54"/>
      <c r="J24" s="55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50" t="s">
        <v>42</v>
      </c>
      <c r="B25" s="51" t="s">
        <v>43</v>
      </c>
      <c r="C25" s="42">
        <v>0.1</v>
      </c>
      <c r="D25" s="55"/>
      <c r="E25" s="9"/>
      <c r="F25" s="55"/>
      <c r="G25" s="55"/>
      <c r="H25" s="9"/>
      <c r="I25" s="55"/>
      <c r="J25" s="55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50" t="s">
        <v>44</v>
      </c>
      <c r="B26" s="51" t="s">
        <v>45</v>
      </c>
      <c r="C26" s="52">
        <v>0.0</v>
      </c>
      <c r="D26" s="53" t="s">
        <v>46</v>
      </c>
      <c r="E26" s="54"/>
      <c r="F26" s="54"/>
      <c r="G26" s="54"/>
      <c r="H26" s="9"/>
      <c r="I26" s="54"/>
      <c r="J26" s="54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50" t="s">
        <v>47</v>
      </c>
      <c r="B27" s="51" t="s">
        <v>48</v>
      </c>
      <c r="C27" s="52">
        <v>0.0</v>
      </c>
      <c r="D27" s="53" t="s">
        <v>49</v>
      </c>
      <c r="E27" s="54"/>
      <c r="F27" s="54"/>
      <c r="G27" s="54"/>
      <c r="H27" s="9"/>
      <c r="I27" s="54"/>
      <c r="J27" s="54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50</v>
      </c>
      <c r="C30" s="9"/>
      <c r="D30" s="56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6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7" t="s">
        <v>15</v>
      </c>
      <c r="B32" s="58" t="str">
        <f>IF(B9="","",B9)</f>
        <v>Pin sylvestre</v>
      </c>
      <c r="C32" s="9"/>
      <c r="D32" s="59" t="s">
        <v>51</v>
      </c>
      <c r="E32" s="9"/>
      <c r="F32" s="9"/>
      <c r="G32" s="9"/>
      <c r="H32" s="9"/>
      <c r="I32" s="9"/>
      <c r="J32" s="9"/>
      <c r="K32" s="56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7"/>
      <c r="B33" s="9"/>
      <c r="C33" s="9"/>
      <c r="D33" s="9"/>
      <c r="E33" s="9"/>
      <c r="F33" s="9"/>
      <c r="G33" s="9"/>
      <c r="H33" s="9"/>
      <c r="I33" s="9"/>
      <c r="J33" s="9"/>
      <c r="K33" s="56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60" t="s">
        <v>52</v>
      </c>
      <c r="C34" s="61" t="s">
        <v>53</v>
      </c>
      <c r="D34" s="62"/>
      <c r="E34" s="61" t="s">
        <v>54</v>
      </c>
      <c r="F34" s="63"/>
      <c r="G34" s="63"/>
      <c r="H34" s="62"/>
      <c r="I34" s="64"/>
      <c r="J34" s="56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1" t="s">
        <v>55</v>
      </c>
      <c r="B35" s="41" t="s">
        <v>56</v>
      </c>
      <c r="C35" s="65" t="s">
        <v>57</v>
      </c>
      <c r="D35" s="65" t="s">
        <v>58</v>
      </c>
      <c r="E35" s="41" t="s">
        <v>59</v>
      </c>
      <c r="F35" s="41" t="s">
        <v>60</v>
      </c>
      <c r="G35" s="41" t="s">
        <v>61</v>
      </c>
      <c r="H35" s="41" t="s">
        <v>62</v>
      </c>
      <c r="I35" s="65" t="s">
        <v>63</v>
      </c>
      <c r="J35" s="66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7">
        <v>25.0</v>
      </c>
      <c r="B36" s="67">
        <f>86+D36</f>
        <v>98</v>
      </c>
      <c r="C36" s="68">
        <v>1.0</v>
      </c>
      <c r="D36" s="69">
        <v>12.0</v>
      </c>
      <c r="E36" s="70">
        <v>0.0</v>
      </c>
      <c r="F36" s="70">
        <f t="shared" ref="F36:F41" si="3">(1-E36)*56%</f>
        <v>0.56</v>
      </c>
      <c r="G36" s="70">
        <f t="shared" ref="G36:G41" si="4">(1-E36)*44%</f>
        <v>0.44</v>
      </c>
      <c r="H36" s="70"/>
      <c r="I36" s="51">
        <f>IFERROR(B36/A36,"")</f>
        <v>3.92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71">
        <v>30.0</v>
      </c>
      <c r="B37" s="71">
        <f>117+D37</f>
        <v>140</v>
      </c>
      <c r="C37" s="68">
        <v>2.0</v>
      </c>
      <c r="D37" s="69">
        <v>23.0</v>
      </c>
      <c r="E37" s="70">
        <v>0.2</v>
      </c>
      <c r="F37" s="70">
        <f t="shared" si="3"/>
        <v>0.448</v>
      </c>
      <c r="G37" s="70">
        <f t="shared" si="4"/>
        <v>0.352</v>
      </c>
      <c r="H37" s="70"/>
      <c r="I37" s="72">
        <f t="shared" ref="I37:I55" si="5">IF(A37&lt;&gt;0,(B37-(B36-D36))/(A37-A36),"")</f>
        <v>10.8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71">
        <v>35.0</v>
      </c>
      <c r="B38" s="71">
        <f>143+D38</f>
        <v>171</v>
      </c>
      <c r="C38" s="68">
        <v>3.0</v>
      </c>
      <c r="D38" s="69">
        <v>28.0</v>
      </c>
      <c r="E38" s="70">
        <v>0.2</v>
      </c>
      <c r="F38" s="70">
        <f t="shared" si="3"/>
        <v>0.448</v>
      </c>
      <c r="G38" s="70">
        <f t="shared" si="4"/>
        <v>0.352</v>
      </c>
      <c r="H38" s="70"/>
      <c r="I38" s="72">
        <f t="shared" si="5"/>
        <v>10.8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71">
        <v>40.0</v>
      </c>
      <c r="B39" s="71">
        <f>170+D39</f>
        <v>207</v>
      </c>
      <c r="C39" s="68">
        <v>4.0</v>
      </c>
      <c r="D39" s="69">
        <v>37.0</v>
      </c>
      <c r="E39" s="70">
        <v>0.4</v>
      </c>
      <c r="F39" s="70">
        <f t="shared" si="3"/>
        <v>0.336</v>
      </c>
      <c r="G39" s="70">
        <f t="shared" si="4"/>
        <v>0.264</v>
      </c>
      <c r="H39" s="70"/>
      <c r="I39" s="51">
        <f t="shared" si="5"/>
        <v>12.8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71">
        <v>50.0</v>
      </c>
      <c r="B40" s="71">
        <f>221+D40</f>
        <v>286</v>
      </c>
      <c r="C40" s="68">
        <v>5.0</v>
      </c>
      <c r="D40" s="69">
        <v>65.0</v>
      </c>
      <c r="E40" s="70">
        <v>0.6</v>
      </c>
      <c r="F40" s="70">
        <f t="shared" si="3"/>
        <v>0.224</v>
      </c>
      <c r="G40" s="70">
        <f t="shared" si="4"/>
        <v>0.176</v>
      </c>
      <c r="H40" s="70"/>
      <c r="I40" s="51">
        <f t="shared" si="5"/>
        <v>11.6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71">
        <v>60.0</v>
      </c>
      <c r="B41" s="73">
        <v>329.0</v>
      </c>
      <c r="C41" s="68">
        <v>6.0</v>
      </c>
      <c r="D41" s="74">
        <v>329.0</v>
      </c>
      <c r="E41" s="70">
        <v>0.8</v>
      </c>
      <c r="F41" s="70">
        <f t="shared" si="3"/>
        <v>0.112</v>
      </c>
      <c r="G41" s="70">
        <f t="shared" si="4"/>
        <v>0.088</v>
      </c>
      <c r="H41" s="70"/>
      <c r="I41" s="72">
        <f t="shared" si="5"/>
        <v>10.8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8"/>
      <c r="B42" s="68"/>
      <c r="C42" s="68"/>
      <c r="D42" s="68"/>
      <c r="E42" s="70"/>
      <c r="F42" s="70"/>
      <c r="G42" s="70"/>
      <c r="H42" s="70"/>
      <c r="I42" s="72" t="str">
        <f t="shared" si="5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8"/>
      <c r="B43" s="68"/>
      <c r="C43" s="68"/>
      <c r="D43" s="68"/>
      <c r="E43" s="70"/>
      <c r="F43" s="70"/>
      <c r="G43" s="70"/>
      <c r="H43" s="70"/>
      <c r="I43" s="51" t="str">
        <f t="shared" si="5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8"/>
      <c r="B44" s="68"/>
      <c r="C44" s="68"/>
      <c r="D44" s="68"/>
      <c r="E44" s="70"/>
      <c r="F44" s="70"/>
      <c r="G44" s="70"/>
      <c r="H44" s="70"/>
      <c r="I44" s="51" t="str">
        <f t="shared" si="5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8"/>
      <c r="B45" s="68"/>
      <c r="C45" s="68"/>
      <c r="D45" s="68"/>
      <c r="E45" s="70"/>
      <c r="F45" s="70"/>
      <c r="G45" s="70"/>
      <c r="H45" s="70"/>
      <c r="I45" s="51" t="str">
        <f t="shared" si="5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8"/>
      <c r="B46" s="68"/>
      <c r="C46" s="68"/>
      <c r="D46" s="68"/>
      <c r="E46" s="70"/>
      <c r="F46" s="70"/>
      <c r="G46" s="70"/>
      <c r="H46" s="70"/>
      <c r="I46" s="51" t="str">
        <f t="shared" si="5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8"/>
      <c r="B47" s="68"/>
      <c r="C47" s="68"/>
      <c r="D47" s="68"/>
      <c r="E47" s="70"/>
      <c r="F47" s="70"/>
      <c r="G47" s="70"/>
      <c r="H47" s="70"/>
      <c r="I47" s="51" t="str">
        <f t="shared" si="5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8"/>
      <c r="B48" s="68"/>
      <c r="C48" s="68"/>
      <c r="D48" s="68"/>
      <c r="E48" s="70"/>
      <c r="F48" s="70"/>
      <c r="G48" s="70"/>
      <c r="H48" s="70"/>
      <c r="I48" s="51" t="str">
        <f t="shared" si="5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8"/>
      <c r="B49" s="68"/>
      <c r="C49" s="68"/>
      <c r="D49" s="68"/>
      <c r="E49" s="70"/>
      <c r="F49" s="70"/>
      <c r="G49" s="70"/>
      <c r="H49" s="70"/>
      <c r="I49" s="51" t="str">
        <f t="shared" si="5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8"/>
      <c r="B50" s="68"/>
      <c r="C50" s="68"/>
      <c r="D50" s="68"/>
      <c r="E50" s="70"/>
      <c r="F50" s="70"/>
      <c r="G50" s="70"/>
      <c r="H50" s="70"/>
      <c r="I50" s="51" t="str">
        <f t="shared" si="5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8"/>
      <c r="B51" s="68"/>
      <c r="C51" s="68"/>
      <c r="D51" s="68"/>
      <c r="E51" s="70"/>
      <c r="F51" s="70"/>
      <c r="G51" s="70"/>
      <c r="H51" s="70"/>
      <c r="I51" s="51" t="str">
        <f t="shared" si="5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8"/>
      <c r="B52" s="68"/>
      <c r="C52" s="68"/>
      <c r="D52" s="68"/>
      <c r="E52" s="70"/>
      <c r="F52" s="70"/>
      <c r="G52" s="70"/>
      <c r="H52" s="70"/>
      <c r="I52" s="51" t="str">
        <f t="shared" si="5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8"/>
      <c r="B53" s="68"/>
      <c r="C53" s="68"/>
      <c r="D53" s="68"/>
      <c r="E53" s="70"/>
      <c r="F53" s="70"/>
      <c r="G53" s="70"/>
      <c r="H53" s="70"/>
      <c r="I53" s="51" t="str">
        <f t="shared" si="5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8"/>
      <c r="B54" s="68"/>
      <c r="C54" s="68"/>
      <c r="D54" s="68"/>
      <c r="E54" s="70"/>
      <c r="F54" s="70"/>
      <c r="G54" s="70"/>
      <c r="H54" s="70"/>
      <c r="I54" s="51" t="str">
        <f t="shared" si="5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8"/>
      <c r="B55" s="68"/>
      <c r="C55" s="68"/>
      <c r="D55" s="68"/>
      <c r="E55" s="70"/>
      <c r="F55" s="70"/>
      <c r="G55" s="70"/>
      <c r="H55" s="70"/>
      <c r="I55" s="51" t="str">
        <f t="shared" si="5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7" t="s">
        <v>18</v>
      </c>
      <c r="B58" s="75" t="str">
        <f>IF(B10="","",B10)</f>
        <v>Pin laricio</v>
      </c>
      <c r="C58" s="9"/>
      <c r="D58" s="59" t="s">
        <v>51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7"/>
      <c r="B59" s="76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60" t="s">
        <v>52</v>
      </c>
      <c r="C60" s="61" t="s">
        <v>53</v>
      </c>
      <c r="D60" s="62"/>
      <c r="E60" s="61" t="s">
        <v>54</v>
      </c>
      <c r="F60" s="63"/>
      <c r="G60" s="63"/>
      <c r="H60" s="62"/>
      <c r="I60" s="64"/>
      <c r="J60" s="56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1" t="s">
        <v>55</v>
      </c>
      <c r="B61" s="41" t="s">
        <v>64</v>
      </c>
      <c r="C61" s="65" t="s">
        <v>57</v>
      </c>
      <c r="D61" s="65" t="s">
        <v>58</v>
      </c>
      <c r="E61" s="41" t="s">
        <v>59</v>
      </c>
      <c r="F61" s="41" t="s">
        <v>60</v>
      </c>
      <c r="G61" s="41" t="s">
        <v>61</v>
      </c>
      <c r="H61" s="41" t="s">
        <v>62</v>
      </c>
      <c r="I61" s="65" t="s">
        <v>65</v>
      </c>
      <c r="J61" s="66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77">
        <v>22.0</v>
      </c>
      <c r="B62" s="68">
        <f>107+16</f>
        <v>123</v>
      </c>
      <c r="C62" s="68">
        <v>1.0</v>
      </c>
      <c r="D62" s="78">
        <v>16.0</v>
      </c>
      <c r="E62" s="70">
        <v>0.0</v>
      </c>
      <c r="F62" s="70">
        <f t="shared" ref="F62:F70" si="6">(1-E62)*56%</f>
        <v>0.56</v>
      </c>
      <c r="G62" s="70">
        <f t="shared" ref="G62:G70" si="7">(1-E62)*44%</f>
        <v>0.44</v>
      </c>
      <c r="H62" s="70"/>
      <c r="I62" s="72">
        <f>IFERROR(B62/A62,"")</f>
        <v>5.590909091</v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8">
        <v>25.0</v>
      </c>
      <c r="B63" s="68">
        <f>127+17</f>
        <v>144</v>
      </c>
      <c r="C63" s="68">
        <v>2.0</v>
      </c>
      <c r="D63" s="78">
        <v>17.0</v>
      </c>
      <c r="E63" s="70">
        <v>0.0</v>
      </c>
      <c r="F63" s="70">
        <f t="shared" si="6"/>
        <v>0.56</v>
      </c>
      <c r="G63" s="70">
        <f t="shared" si="7"/>
        <v>0.44</v>
      </c>
      <c r="H63" s="70"/>
      <c r="I63" s="51">
        <f t="shared" ref="I63:I81" si="8">IF(A63&lt;&gt;0,(B63-(B62-D62))/(A63-A62),"")</f>
        <v>12.33333333</v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8">
        <v>30.0</v>
      </c>
      <c r="B64" s="68">
        <f>160+34</f>
        <v>194</v>
      </c>
      <c r="C64" s="68">
        <v>3.0</v>
      </c>
      <c r="D64" s="78">
        <v>34.0</v>
      </c>
      <c r="E64" s="79">
        <v>0.2</v>
      </c>
      <c r="F64" s="80">
        <f t="shared" si="6"/>
        <v>0.448</v>
      </c>
      <c r="G64" s="80">
        <f t="shared" si="7"/>
        <v>0.352</v>
      </c>
      <c r="H64" s="70"/>
      <c r="I64" s="51">
        <f t="shared" si="8"/>
        <v>13.4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8">
        <v>35.0</v>
      </c>
      <c r="B65" s="68">
        <f>192+41</f>
        <v>233</v>
      </c>
      <c r="C65" s="68">
        <v>4.0</v>
      </c>
      <c r="D65" s="78">
        <v>41.0</v>
      </c>
      <c r="E65" s="79">
        <v>0.2</v>
      </c>
      <c r="F65" s="80">
        <f t="shared" si="6"/>
        <v>0.448</v>
      </c>
      <c r="G65" s="80">
        <f t="shared" si="7"/>
        <v>0.352</v>
      </c>
      <c r="H65" s="70"/>
      <c r="I65" s="51">
        <f t="shared" si="8"/>
        <v>14.6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8">
        <v>40.0</v>
      </c>
      <c r="B66" s="68">
        <f>223+41</f>
        <v>264</v>
      </c>
      <c r="C66" s="68">
        <v>5.0</v>
      </c>
      <c r="D66" s="78">
        <v>41.0</v>
      </c>
      <c r="E66" s="79">
        <v>0.4</v>
      </c>
      <c r="F66" s="80">
        <f t="shared" si="6"/>
        <v>0.336</v>
      </c>
      <c r="G66" s="80">
        <f t="shared" si="7"/>
        <v>0.264</v>
      </c>
      <c r="H66" s="70"/>
      <c r="I66" s="51">
        <f t="shared" si="8"/>
        <v>14.4</v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8">
        <v>45.0</v>
      </c>
      <c r="B67" s="68">
        <f>265+53</f>
        <v>318</v>
      </c>
      <c r="C67" s="68">
        <v>6.0</v>
      </c>
      <c r="D67" s="78">
        <v>53.0</v>
      </c>
      <c r="E67" s="79">
        <v>0.4</v>
      </c>
      <c r="F67" s="80">
        <f t="shared" si="6"/>
        <v>0.336</v>
      </c>
      <c r="G67" s="80">
        <f t="shared" si="7"/>
        <v>0.264</v>
      </c>
      <c r="H67" s="70"/>
      <c r="I67" s="51">
        <f t="shared" si="8"/>
        <v>19</v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8">
        <v>50.0</v>
      </c>
      <c r="B68" s="68">
        <f>299+53</f>
        <v>352</v>
      </c>
      <c r="C68" s="68">
        <v>7.0</v>
      </c>
      <c r="D68" s="78">
        <v>53.0</v>
      </c>
      <c r="E68" s="79">
        <v>0.6</v>
      </c>
      <c r="F68" s="80">
        <f t="shared" si="6"/>
        <v>0.224</v>
      </c>
      <c r="G68" s="80">
        <f t="shared" si="7"/>
        <v>0.176</v>
      </c>
      <c r="H68" s="70"/>
      <c r="I68" s="51">
        <f t="shared" si="8"/>
        <v>17.4</v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8">
        <v>58.0</v>
      </c>
      <c r="B69" s="68">
        <f t="shared" ref="B69:B70" si="9">362+78</f>
        <v>440</v>
      </c>
      <c r="C69" s="68">
        <v>8.0</v>
      </c>
      <c r="D69" s="81"/>
      <c r="E69" s="79">
        <v>0.6</v>
      </c>
      <c r="F69" s="80">
        <f t="shared" si="6"/>
        <v>0.224</v>
      </c>
      <c r="G69" s="80">
        <f t="shared" si="7"/>
        <v>0.176</v>
      </c>
      <c r="H69" s="70"/>
      <c r="I69" s="51">
        <f t="shared" si="8"/>
        <v>17.625</v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8">
        <v>60.0</v>
      </c>
      <c r="B70" s="68">
        <f t="shared" si="9"/>
        <v>440</v>
      </c>
      <c r="C70" s="68">
        <v>9.0</v>
      </c>
      <c r="D70" s="81">
        <v>440.0</v>
      </c>
      <c r="E70" s="79">
        <v>0.8</v>
      </c>
      <c r="F70" s="80">
        <f t="shared" si="6"/>
        <v>0.112</v>
      </c>
      <c r="G70" s="80">
        <f t="shared" si="7"/>
        <v>0.088</v>
      </c>
      <c r="H70" s="70"/>
      <c r="I70" s="51">
        <f t="shared" si="8"/>
        <v>0</v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8"/>
      <c r="B71" s="68"/>
      <c r="C71" s="68"/>
      <c r="D71" s="68"/>
      <c r="E71" s="70"/>
      <c r="F71" s="70"/>
      <c r="G71" s="70"/>
      <c r="H71" s="70"/>
      <c r="I71" s="51" t="str">
        <f t="shared" si="8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8"/>
      <c r="B72" s="68"/>
      <c r="C72" s="68"/>
      <c r="D72" s="68"/>
      <c r="E72" s="70"/>
      <c r="F72" s="70"/>
      <c r="G72" s="70"/>
      <c r="H72" s="70"/>
      <c r="I72" s="51" t="str">
        <f t="shared" si="8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8"/>
      <c r="B73" s="68"/>
      <c r="C73" s="68"/>
      <c r="D73" s="68"/>
      <c r="E73" s="70"/>
      <c r="F73" s="70"/>
      <c r="G73" s="70"/>
      <c r="H73" s="70"/>
      <c r="I73" s="51" t="str">
        <f t="shared" si="8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8"/>
      <c r="B74" s="68"/>
      <c r="C74" s="68"/>
      <c r="D74" s="68"/>
      <c r="E74" s="70"/>
      <c r="F74" s="70"/>
      <c r="G74" s="70"/>
      <c r="H74" s="70"/>
      <c r="I74" s="51" t="str">
        <f t="shared" si="8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8"/>
      <c r="B75" s="68"/>
      <c r="C75" s="68"/>
      <c r="D75" s="68"/>
      <c r="E75" s="70"/>
      <c r="F75" s="70"/>
      <c r="G75" s="70"/>
      <c r="H75" s="70"/>
      <c r="I75" s="51" t="str">
        <f t="shared" si="8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8"/>
      <c r="B76" s="68"/>
      <c r="C76" s="68"/>
      <c r="D76" s="68"/>
      <c r="E76" s="70"/>
      <c r="F76" s="70"/>
      <c r="G76" s="70"/>
      <c r="H76" s="70"/>
      <c r="I76" s="51" t="str">
        <f t="shared" si="8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8"/>
      <c r="B77" s="68"/>
      <c r="C77" s="68"/>
      <c r="D77" s="68"/>
      <c r="E77" s="70"/>
      <c r="F77" s="70"/>
      <c r="G77" s="70"/>
      <c r="H77" s="70"/>
      <c r="I77" s="51" t="str">
        <f t="shared" si="8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8"/>
      <c r="B78" s="68"/>
      <c r="C78" s="68"/>
      <c r="D78" s="68"/>
      <c r="E78" s="70"/>
      <c r="F78" s="70"/>
      <c r="G78" s="70"/>
      <c r="H78" s="70"/>
      <c r="I78" s="51" t="str">
        <f t="shared" si="8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8"/>
      <c r="B79" s="68"/>
      <c r="C79" s="68"/>
      <c r="D79" s="68"/>
      <c r="E79" s="70"/>
      <c r="F79" s="70"/>
      <c r="G79" s="70"/>
      <c r="H79" s="70"/>
      <c r="I79" s="51" t="str">
        <f t="shared" si="8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8"/>
      <c r="B80" s="68"/>
      <c r="C80" s="68"/>
      <c r="D80" s="68"/>
      <c r="E80" s="70"/>
      <c r="F80" s="70"/>
      <c r="G80" s="70"/>
      <c r="H80" s="70"/>
      <c r="I80" s="51" t="str">
        <f t="shared" si="8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8"/>
      <c r="B81" s="68"/>
      <c r="C81" s="68"/>
      <c r="D81" s="68"/>
      <c r="E81" s="70"/>
      <c r="F81" s="70"/>
      <c r="G81" s="70"/>
      <c r="H81" s="70"/>
      <c r="I81" s="51" t="str">
        <f t="shared" si="8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7" t="s">
        <v>20</v>
      </c>
      <c r="B84" s="75" t="str">
        <f>IF(B11="","",B11)</f>
        <v>Cèdre de l'Atlas</v>
      </c>
      <c r="C84" s="9"/>
      <c r="D84" s="59" t="s">
        <v>51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7"/>
      <c r="B85" s="76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60" t="s">
        <v>52</v>
      </c>
      <c r="C86" s="61" t="s">
        <v>53</v>
      </c>
      <c r="D86" s="62"/>
      <c r="E86" s="61" t="s">
        <v>54</v>
      </c>
      <c r="F86" s="63"/>
      <c r="G86" s="63"/>
      <c r="H86" s="62"/>
      <c r="I86" s="64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1" t="s">
        <v>55</v>
      </c>
      <c r="B87" s="41" t="s">
        <v>66</v>
      </c>
      <c r="C87" s="65" t="s">
        <v>57</v>
      </c>
      <c r="D87" s="65" t="s">
        <v>58</v>
      </c>
      <c r="E87" s="41" t="s">
        <v>59</v>
      </c>
      <c r="F87" s="41" t="s">
        <v>60</v>
      </c>
      <c r="G87" s="41" t="s">
        <v>61</v>
      </c>
      <c r="H87" s="41" t="s">
        <v>62</v>
      </c>
      <c r="I87" s="65" t="s">
        <v>67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8">
        <v>30.0</v>
      </c>
      <c r="B88" s="68">
        <v>140.0</v>
      </c>
      <c r="C88" s="68">
        <v>1.0</v>
      </c>
      <c r="D88" s="82">
        <v>40.0</v>
      </c>
      <c r="E88" s="70">
        <v>0.2</v>
      </c>
      <c r="F88" s="70">
        <f t="shared" ref="F88:F92" si="10">(1-E88)*56%</f>
        <v>0.448</v>
      </c>
      <c r="G88" s="70">
        <f t="shared" ref="G88:G92" si="11">(1-E88)*44%</f>
        <v>0.352</v>
      </c>
      <c r="H88" s="70"/>
      <c r="I88" s="72">
        <f>IFERROR(B88/A88,"")</f>
        <v>4.666666667</v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8">
        <v>40.0</v>
      </c>
      <c r="B89" s="68">
        <v>210.0</v>
      </c>
      <c r="C89" s="68">
        <v>2.0</v>
      </c>
      <c r="D89" s="82">
        <v>50.0</v>
      </c>
      <c r="E89" s="70">
        <v>0.4</v>
      </c>
      <c r="F89" s="70">
        <f t="shared" si="10"/>
        <v>0.336</v>
      </c>
      <c r="G89" s="70">
        <f t="shared" si="11"/>
        <v>0.264</v>
      </c>
      <c r="H89" s="70"/>
      <c r="I89" s="72">
        <f t="shared" ref="I89:I107" si="12">IF(A89&lt;&gt;0,(B89-(B88-D88))/(A89-A88),"")</f>
        <v>11</v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8">
        <v>50.0</v>
      </c>
      <c r="B90" s="68">
        <v>300.0</v>
      </c>
      <c r="C90" s="68">
        <v>3.0</v>
      </c>
      <c r="D90" s="82">
        <v>50.0</v>
      </c>
      <c r="E90" s="70">
        <v>0.6</v>
      </c>
      <c r="F90" s="70">
        <f t="shared" si="10"/>
        <v>0.224</v>
      </c>
      <c r="G90" s="70">
        <f t="shared" si="11"/>
        <v>0.176</v>
      </c>
      <c r="H90" s="70"/>
      <c r="I90" s="72">
        <f t="shared" si="12"/>
        <v>14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8">
        <v>60.0</v>
      </c>
      <c r="B91" s="68">
        <v>390.0</v>
      </c>
      <c r="C91" s="68">
        <v>4.0</v>
      </c>
      <c r="D91" s="82">
        <v>50.0</v>
      </c>
      <c r="E91" s="70">
        <v>0.8</v>
      </c>
      <c r="F91" s="70">
        <f t="shared" si="10"/>
        <v>0.112</v>
      </c>
      <c r="G91" s="70">
        <f t="shared" si="11"/>
        <v>0.088</v>
      </c>
      <c r="H91" s="70"/>
      <c r="I91" s="72">
        <f t="shared" si="12"/>
        <v>14</v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8">
        <v>70.0</v>
      </c>
      <c r="B92" s="68">
        <v>470.0</v>
      </c>
      <c r="C92" s="68">
        <v>5.0</v>
      </c>
      <c r="D92" s="83">
        <v>470.0</v>
      </c>
      <c r="E92" s="70">
        <v>0.9</v>
      </c>
      <c r="F92" s="70">
        <f t="shared" si="10"/>
        <v>0.056</v>
      </c>
      <c r="G92" s="70">
        <f t="shared" si="11"/>
        <v>0.044</v>
      </c>
      <c r="H92" s="70"/>
      <c r="I92" s="72">
        <f t="shared" si="12"/>
        <v>13</v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8"/>
      <c r="B93" s="68"/>
      <c r="C93" s="68"/>
      <c r="D93" s="68"/>
      <c r="E93" s="70"/>
      <c r="F93" s="70"/>
      <c r="G93" s="70"/>
      <c r="H93" s="70"/>
      <c r="I93" s="72" t="str">
        <f t="shared" si="12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8"/>
      <c r="B94" s="68"/>
      <c r="C94" s="68"/>
      <c r="D94" s="68"/>
      <c r="E94" s="70"/>
      <c r="F94" s="70"/>
      <c r="G94" s="70"/>
      <c r="H94" s="70"/>
      <c r="I94" s="72" t="str">
        <f t="shared" si="12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8"/>
      <c r="B95" s="68"/>
      <c r="C95" s="68"/>
      <c r="D95" s="68"/>
      <c r="E95" s="70"/>
      <c r="F95" s="70"/>
      <c r="G95" s="70"/>
      <c r="H95" s="70"/>
      <c r="I95" s="72" t="str">
        <f t="shared" si="12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8"/>
      <c r="B96" s="68"/>
      <c r="C96" s="68"/>
      <c r="D96" s="68"/>
      <c r="E96" s="70"/>
      <c r="F96" s="70"/>
      <c r="G96" s="70"/>
      <c r="H96" s="70"/>
      <c r="I96" s="72" t="str">
        <f t="shared" si="12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8"/>
      <c r="B97" s="68"/>
      <c r="C97" s="68"/>
      <c r="D97" s="68"/>
      <c r="E97" s="70"/>
      <c r="F97" s="70"/>
      <c r="G97" s="70"/>
      <c r="H97" s="70"/>
      <c r="I97" s="72" t="str">
        <f t="shared" si="12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8"/>
      <c r="B98" s="68"/>
      <c r="C98" s="68"/>
      <c r="D98" s="68"/>
      <c r="E98" s="70"/>
      <c r="F98" s="70"/>
      <c r="G98" s="70"/>
      <c r="H98" s="70"/>
      <c r="I98" s="72" t="str">
        <f t="shared" si="12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8"/>
      <c r="B99" s="68"/>
      <c r="C99" s="68"/>
      <c r="D99" s="68"/>
      <c r="E99" s="70"/>
      <c r="F99" s="70"/>
      <c r="G99" s="70"/>
      <c r="H99" s="70"/>
      <c r="I99" s="72" t="str">
        <f t="shared" si="12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8"/>
      <c r="B100" s="68"/>
      <c r="C100" s="68"/>
      <c r="D100" s="68"/>
      <c r="E100" s="70"/>
      <c r="F100" s="70"/>
      <c r="G100" s="70"/>
      <c r="H100" s="70"/>
      <c r="I100" s="72" t="str">
        <f t="shared" si="12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8"/>
      <c r="B101" s="68"/>
      <c r="C101" s="68"/>
      <c r="D101" s="68"/>
      <c r="E101" s="70"/>
      <c r="F101" s="70"/>
      <c r="G101" s="70"/>
      <c r="H101" s="70"/>
      <c r="I101" s="72" t="str">
        <f t="shared" si="12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8"/>
      <c r="B102" s="68"/>
      <c r="C102" s="68"/>
      <c r="D102" s="68"/>
      <c r="E102" s="70"/>
      <c r="F102" s="70"/>
      <c r="G102" s="70"/>
      <c r="H102" s="70"/>
      <c r="I102" s="72" t="str">
        <f t="shared" si="12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8"/>
      <c r="B103" s="68"/>
      <c r="C103" s="68"/>
      <c r="D103" s="68"/>
      <c r="E103" s="70"/>
      <c r="F103" s="70"/>
      <c r="G103" s="70"/>
      <c r="H103" s="70"/>
      <c r="I103" s="72" t="str">
        <f t="shared" si="12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8"/>
      <c r="B104" s="68"/>
      <c r="C104" s="68"/>
      <c r="D104" s="68"/>
      <c r="E104" s="70"/>
      <c r="F104" s="70"/>
      <c r="G104" s="70"/>
      <c r="H104" s="70"/>
      <c r="I104" s="72" t="str">
        <f t="shared" si="12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8"/>
      <c r="B105" s="68"/>
      <c r="C105" s="68"/>
      <c r="D105" s="68"/>
      <c r="E105" s="70"/>
      <c r="F105" s="70"/>
      <c r="G105" s="70"/>
      <c r="H105" s="70"/>
      <c r="I105" s="72" t="str">
        <f t="shared" si="12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8"/>
      <c r="B106" s="68"/>
      <c r="C106" s="68"/>
      <c r="D106" s="68"/>
      <c r="E106" s="70"/>
      <c r="F106" s="70"/>
      <c r="G106" s="70"/>
      <c r="H106" s="70"/>
      <c r="I106" s="72" t="str">
        <f t="shared" si="12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8"/>
      <c r="B107" s="68"/>
      <c r="C107" s="68"/>
      <c r="D107" s="68"/>
      <c r="E107" s="70"/>
      <c r="F107" s="70"/>
      <c r="G107" s="70"/>
      <c r="H107" s="70"/>
      <c r="I107" s="72" t="str">
        <f t="shared" si="12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7" t="s">
        <v>22</v>
      </c>
      <c r="B110" s="75" t="str">
        <f>IF(B12="","",B12)</f>
        <v>Sapin pectiné</v>
      </c>
      <c r="C110" s="9"/>
      <c r="D110" s="59" t="s">
        <v>51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7"/>
      <c r="B111" s="76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60" t="s">
        <v>52</v>
      </c>
      <c r="C112" s="61" t="s">
        <v>53</v>
      </c>
      <c r="D112" s="62"/>
      <c r="E112" s="61" t="s">
        <v>54</v>
      </c>
      <c r="F112" s="63"/>
      <c r="G112" s="63"/>
      <c r="H112" s="62"/>
      <c r="I112" s="64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1" t="s">
        <v>55</v>
      </c>
      <c r="B113" s="41" t="s">
        <v>68</v>
      </c>
      <c r="C113" s="65" t="s">
        <v>57</v>
      </c>
      <c r="D113" s="65" t="s">
        <v>58</v>
      </c>
      <c r="E113" s="41" t="s">
        <v>59</v>
      </c>
      <c r="F113" s="41" t="s">
        <v>60</v>
      </c>
      <c r="G113" s="41" t="s">
        <v>61</v>
      </c>
      <c r="H113" s="41" t="s">
        <v>62</v>
      </c>
      <c r="I113" s="65" t="s">
        <v>69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84">
        <v>15.0</v>
      </c>
      <c r="B114" s="84">
        <v>28.0</v>
      </c>
      <c r="C114" s="68">
        <v>1.0</v>
      </c>
      <c r="D114" s="84">
        <v>0.0</v>
      </c>
      <c r="E114" s="70">
        <v>0.0</v>
      </c>
      <c r="F114" s="70">
        <v>0.56</v>
      </c>
      <c r="G114" s="70">
        <v>0.44</v>
      </c>
      <c r="H114" s="70"/>
      <c r="I114" s="72">
        <f>IFERROR(B114/A114,"")</f>
        <v>1.866666667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84">
        <v>20.0</v>
      </c>
      <c r="B115" s="84">
        <v>128.0</v>
      </c>
      <c r="C115" s="68">
        <v>2.0</v>
      </c>
      <c r="D115" s="84">
        <v>3.0</v>
      </c>
      <c r="E115" s="70">
        <v>0.0</v>
      </c>
      <c r="F115" s="70">
        <v>0.56</v>
      </c>
      <c r="G115" s="70">
        <v>0.44</v>
      </c>
      <c r="H115" s="70"/>
      <c r="I115" s="72">
        <f t="shared" ref="I115:I133" si="13">IF(A115&lt;&gt;0,(B115-(B114-D114))/(A115-A114),"")</f>
        <v>20</v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84">
        <v>25.0</v>
      </c>
      <c r="B116" s="84">
        <v>245.0</v>
      </c>
      <c r="C116" s="68">
        <v>3.0</v>
      </c>
      <c r="D116" s="84">
        <v>63.0</v>
      </c>
      <c r="E116" s="70">
        <v>0.2</v>
      </c>
      <c r="F116" s="70">
        <f t="shared" ref="F116:F118" si="14">(1-E116)*56%</f>
        <v>0.448</v>
      </c>
      <c r="G116" s="70">
        <v>0.35</v>
      </c>
      <c r="H116" s="70"/>
      <c r="I116" s="72">
        <f t="shared" si="13"/>
        <v>24</v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84">
        <v>30.0</v>
      </c>
      <c r="B117" s="84">
        <v>309.0</v>
      </c>
      <c r="C117" s="68">
        <v>4.0</v>
      </c>
      <c r="D117" s="84">
        <v>63.0</v>
      </c>
      <c r="E117" s="70">
        <v>0.2</v>
      </c>
      <c r="F117" s="70">
        <f t="shared" si="14"/>
        <v>0.448</v>
      </c>
      <c r="G117" s="70">
        <v>0.35</v>
      </c>
      <c r="H117" s="70"/>
      <c r="I117" s="72">
        <f t="shared" si="13"/>
        <v>25.4</v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84">
        <v>35.0</v>
      </c>
      <c r="B118" s="84">
        <v>374.0</v>
      </c>
      <c r="C118" s="68">
        <v>5.0</v>
      </c>
      <c r="D118" s="84">
        <v>63.0</v>
      </c>
      <c r="E118" s="70">
        <v>0.4</v>
      </c>
      <c r="F118" s="70">
        <f t="shared" si="14"/>
        <v>0.336</v>
      </c>
      <c r="G118" s="70">
        <v>0.26</v>
      </c>
      <c r="H118" s="70"/>
      <c r="I118" s="72">
        <f t="shared" si="13"/>
        <v>25.6</v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84">
        <v>40.0</v>
      </c>
      <c r="B119" s="84">
        <v>436.0</v>
      </c>
      <c r="C119" s="68">
        <v>6.0</v>
      </c>
      <c r="D119" s="84">
        <v>63.0</v>
      </c>
      <c r="E119" s="70">
        <v>0.4</v>
      </c>
      <c r="F119" s="70">
        <v>0.34</v>
      </c>
      <c r="G119" s="70">
        <v>0.26</v>
      </c>
      <c r="H119" s="70"/>
      <c r="I119" s="72">
        <f t="shared" si="13"/>
        <v>25</v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84">
        <v>45.0</v>
      </c>
      <c r="B120" s="84">
        <v>494.0</v>
      </c>
      <c r="C120" s="68">
        <v>7.0</v>
      </c>
      <c r="D120" s="84">
        <v>63.0</v>
      </c>
      <c r="E120" s="70">
        <v>0.6</v>
      </c>
      <c r="F120" s="70">
        <f>(1-E120)*56%</f>
        <v>0.224</v>
      </c>
      <c r="G120" s="70">
        <v>0.18</v>
      </c>
      <c r="H120" s="70"/>
      <c r="I120" s="72">
        <f t="shared" si="13"/>
        <v>24.2</v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84">
        <v>50.0</v>
      </c>
      <c r="B121" s="84">
        <v>545.0</v>
      </c>
      <c r="C121" s="68">
        <v>8.0</v>
      </c>
      <c r="D121" s="84">
        <v>63.0</v>
      </c>
      <c r="E121" s="70">
        <v>0.6</v>
      </c>
      <c r="F121" s="70">
        <v>0.22</v>
      </c>
      <c r="G121" s="70">
        <v>0.18</v>
      </c>
      <c r="H121" s="70"/>
      <c r="I121" s="72">
        <f t="shared" si="13"/>
        <v>22.8</v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84">
        <v>55.0</v>
      </c>
      <c r="B122" s="68">
        <v>590.0</v>
      </c>
      <c r="C122" s="68">
        <v>9.0</v>
      </c>
      <c r="D122" s="84">
        <v>63.0</v>
      </c>
      <c r="E122" s="70">
        <v>0.8</v>
      </c>
      <c r="F122" s="70">
        <f>(1-E122)*56%</f>
        <v>0.112</v>
      </c>
      <c r="G122" s="70">
        <v>0.09</v>
      </c>
      <c r="H122" s="70"/>
      <c r="I122" s="72">
        <f t="shared" si="13"/>
        <v>21.6</v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84">
        <v>60.0</v>
      </c>
      <c r="B123" s="84">
        <v>629.0</v>
      </c>
      <c r="C123" s="84">
        <v>10.0</v>
      </c>
      <c r="D123" s="84">
        <v>629.0</v>
      </c>
      <c r="E123" s="70">
        <v>0.9</v>
      </c>
      <c r="F123" s="70">
        <v>0.06</v>
      </c>
      <c r="G123" s="70">
        <v>0.04</v>
      </c>
      <c r="H123" s="70"/>
      <c r="I123" s="72">
        <f t="shared" si="13"/>
        <v>20.4</v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8"/>
      <c r="B124" s="68"/>
      <c r="C124" s="68"/>
      <c r="D124" s="68"/>
      <c r="E124" s="70"/>
      <c r="F124" s="70"/>
      <c r="G124" s="70"/>
      <c r="H124" s="70"/>
      <c r="I124" s="72" t="str">
        <f t="shared" si="13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8"/>
      <c r="B125" s="68"/>
      <c r="C125" s="68"/>
      <c r="D125" s="68"/>
      <c r="E125" s="70"/>
      <c r="F125" s="70"/>
      <c r="G125" s="70"/>
      <c r="H125" s="70"/>
      <c r="I125" s="72" t="str">
        <f t="shared" si="13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8"/>
      <c r="B126" s="68"/>
      <c r="C126" s="68"/>
      <c r="D126" s="68"/>
      <c r="E126" s="70"/>
      <c r="F126" s="70"/>
      <c r="G126" s="70"/>
      <c r="H126" s="70"/>
      <c r="I126" s="72" t="str">
        <f t="shared" si="13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8"/>
      <c r="B127" s="68"/>
      <c r="C127" s="68"/>
      <c r="D127" s="68"/>
      <c r="E127" s="70"/>
      <c r="F127" s="70"/>
      <c r="G127" s="70"/>
      <c r="H127" s="70"/>
      <c r="I127" s="72" t="str">
        <f t="shared" si="13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8"/>
      <c r="B128" s="68"/>
      <c r="C128" s="68"/>
      <c r="D128" s="68"/>
      <c r="E128" s="70"/>
      <c r="F128" s="70"/>
      <c r="G128" s="70"/>
      <c r="H128" s="70"/>
      <c r="I128" s="72" t="str">
        <f t="shared" si="13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8"/>
      <c r="B129" s="68"/>
      <c r="C129" s="68"/>
      <c r="D129" s="68"/>
      <c r="E129" s="70"/>
      <c r="F129" s="70"/>
      <c r="G129" s="70"/>
      <c r="H129" s="70"/>
      <c r="I129" s="72" t="str">
        <f t="shared" si="13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8"/>
      <c r="B130" s="68"/>
      <c r="C130" s="68"/>
      <c r="D130" s="68"/>
      <c r="E130" s="70"/>
      <c r="F130" s="70"/>
      <c r="G130" s="70"/>
      <c r="H130" s="70"/>
      <c r="I130" s="72" t="str">
        <f t="shared" si="13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8"/>
      <c r="B131" s="68"/>
      <c r="C131" s="68"/>
      <c r="D131" s="68"/>
      <c r="E131" s="70"/>
      <c r="F131" s="70"/>
      <c r="G131" s="70"/>
      <c r="H131" s="70"/>
      <c r="I131" s="72" t="str">
        <f t="shared" si="13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8"/>
      <c r="B132" s="68"/>
      <c r="C132" s="68"/>
      <c r="D132" s="68"/>
      <c r="E132" s="70"/>
      <c r="F132" s="70"/>
      <c r="G132" s="70"/>
      <c r="H132" s="70"/>
      <c r="I132" s="72" t="str">
        <f t="shared" si="13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8"/>
      <c r="B133" s="68"/>
      <c r="C133" s="68"/>
      <c r="D133" s="68"/>
      <c r="E133" s="70"/>
      <c r="F133" s="70"/>
      <c r="G133" s="70"/>
      <c r="H133" s="70"/>
      <c r="I133" s="72" t="str">
        <f t="shared" si="13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7" t="s">
        <v>24</v>
      </c>
      <c r="B136" s="75" t="str">
        <f>IF(B13="","",B13)</f>
        <v>Chêne pubescent</v>
      </c>
      <c r="C136" s="9"/>
      <c r="D136" s="59" t="s">
        <v>51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7"/>
      <c r="B137" s="76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60" t="s">
        <v>52</v>
      </c>
      <c r="C138" s="61" t="s">
        <v>53</v>
      </c>
      <c r="D138" s="62"/>
      <c r="E138" s="61" t="s">
        <v>54</v>
      </c>
      <c r="F138" s="63"/>
      <c r="G138" s="63"/>
      <c r="H138" s="62"/>
      <c r="I138" s="64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1" t="s">
        <v>55</v>
      </c>
      <c r="B139" s="41" t="s">
        <v>70</v>
      </c>
      <c r="C139" s="65" t="s">
        <v>57</v>
      </c>
      <c r="D139" s="65" t="s">
        <v>58</v>
      </c>
      <c r="E139" s="41" t="s">
        <v>59</v>
      </c>
      <c r="F139" s="41" t="s">
        <v>60</v>
      </c>
      <c r="G139" s="41" t="s">
        <v>61</v>
      </c>
      <c r="H139" s="41" t="s">
        <v>62</v>
      </c>
      <c r="I139" s="65" t="s">
        <v>71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>
        <v>25.0</v>
      </c>
      <c r="B140" s="71">
        <f>30+D140</f>
        <v>30</v>
      </c>
      <c r="C140" s="68">
        <v>1.0</v>
      </c>
      <c r="D140" s="69">
        <v>0.0</v>
      </c>
      <c r="E140" s="70">
        <v>0.0</v>
      </c>
      <c r="F140" s="70"/>
      <c r="G140" s="70"/>
      <c r="H140" s="70">
        <v>1.0</v>
      </c>
      <c r="I140" s="72">
        <f>IFERROR(B140/A140,"")</f>
        <v>1.2</v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71">
        <v>30.0</v>
      </c>
      <c r="B141" s="71">
        <f>54+D141</f>
        <v>54</v>
      </c>
      <c r="C141" s="68">
        <v>2.0</v>
      </c>
      <c r="D141" s="69">
        <v>0.0</v>
      </c>
      <c r="E141" s="70">
        <v>0.0</v>
      </c>
      <c r="F141" s="70"/>
      <c r="G141" s="70"/>
      <c r="H141" s="70">
        <v>1.0</v>
      </c>
      <c r="I141" s="72">
        <f t="shared" ref="I141:I159" si="15">IF(A141&lt;&gt;0,(B141-(B140-D140))/(A141-A140),"")</f>
        <v>4.8</v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71">
        <v>35.0</v>
      </c>
      <c r="B142" s="71">
        <f>66+D142</f>
        <v>79</v>
      </c>
      <c r="C142" s="68">
        <v>3.0</v>
      </c>
      <c r="D142" s="69">
        <v>13.0</v>
      </c>
      <c r="E142" s="70">
        <v>0.0</v>
      </c>
      <c r="F142" s="70"/>
      <c r="G142" s="70"/>
      <c r="H142" s="70">
        <v>1.0</v>
      </c>
      <c r="I142" s="72">
        <f t="shared" si="15"/>
        <v>5</v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71">
        <v>40.0</v>
      </c>
      <c r="B143" s="71">
        <f>79+D143</f>
        <v>93</v>
      </c>
      <c r="C143" s="68">
        <v>4.0</v>
      </c>
      <c r="D143" s="69">
        <v>14.0</v>
      </c>
      <c r="E143" s="70">
        <v>0.0</v>
      </c>
      <c r="F143" s="70"/>
      <c r="G143" s="70"/>
      <c r="H143" s="70">
        <v>1.0</v>
      </c>
      <c r="I143" s="72">
        <f t="shared" si="15"/>
        <v>5.4</v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71">
        <v>45.0</v>
      </c>
      <c r="B144" s="71">
        <f>93+D144</f>
        <v>107</v>
      </c>
      <c r="C144" s="68">
        <v>5.0</v>
      </c>
      <c r="D144" s="69">
        <v>14.0</v>
      </c>
      <c r="E144" s="70">
        <v>0.2</v>
      </c>
      <c r="F144" s="70"/>
      <c r="G144" s="70"/>
      <c r="H144" s="70">
        <v>0.8</v>
      </c>
      <c r="I144" s="72">
        <f t="shared" si="15"/>
        <v>5.6</v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71">
        <v>50.0</v>
      </c>
      <c r="B145" s="71">
        <f>107+D145</f>
        <v>121</v>
      </c>
      <c r="C145" s="68">
        <v>6.0</v>
      </c>
      <c r="D145" s="69">
        <v>14.0</v>
      </c>
      <c r="E145" s="70">
        <v>0.2</v>
      </c>
      <c r="F145" s="70"/>
      <c r="G145" s="70"/>
      <c r="H145" s="70">
        <v>0.8</v>
      </c>
      <c r="I145" s="72">
        <f t="shared" si="15"/>
        <v>5.6</v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71">
        <v>55.0</v>
      </c>
      <c r="B146" s="71">
        <f>121+D146</f>
        <v>135</v>
      </c>
      <c r="C146" s="68">
        <v>7.0</v>
      </c>
      <c r="D146" s="69">
        <v>14.0</v>
      </c>
      <c r="E146" s="70">
        <v>0.3</v>
      </c>
      <c r="F146" s="70"/>
      <c r="G146" s="70"/>
      <c r="H146" s="70">
        <v>0.7</v>
      </c>
      <c r="I146" s="72">
        <f t="shared" si="15"/>
        <v>5.6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71">
        <v>60.0</v>
      </c>
      <c r="B147" s="71">
        <f>134+D147</f>
        <v>148</v>
      </c>
      <c r="C147" s="68">
        <v>8.0</v>
      </c>
      <c r="D147" s="69">
        <v>14.0</v>
      </c>
      <c r="E147" s="70">
        <v>0.3</v>
      </c>
      <c r="F147" s="70"/>
      <c r="G147" s="70"/>
      <c r="H147" s="70">
        <v>0.7</v>
      </c>
      <c r="I147" s="72">
        <f t="shared" si="15"/>
        <v>5.4</v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71">
        <v>65.0</v>
      </c>
      <c r="B148" s="71">
        <f>147+D148</f>
        <v>161</v>
      </c>
      <c r="C148" s="68">
        <v>9.0</v>
      </c>
      <c r="D148" s="69">
        <v>14.0</v>
      </c>
      <c r="E148" s="70">
        <v>0.4</v>
      </c>
      <c r="F148" s="70"/>
      <c r="G148" s="70"/>
      <c r="H148" s="70">
        <v>0.6</v>
      </c>
      <c r="I148" s="72">
        <f t="shared" si="15"/>
        <v>5.4</v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71">
        <v>70.0</v>
      </c>
      <c r="B149" s="71">
        <f>158+D149</f>
        <v>172</v>
      </c>
      <c r="C149" s="68">
        <v>10.0</v>
      </c>
      <c r="D149" s="69">
        <v>14.0</v>
      </c>
      <c r="E149" s="70">
        <v>0.4</v>
      </c>
      <c r="F149" s="70"/>
      <c r="G149" s="70"/>
      <c r="H149" s="70">
        <v>0.6</v>
      </c>
      <c r="I149" s="72">
        <f t="shared" si="15"/>
        <v>5</v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71">
        <v>75.0</v>
      </c>
      <c r="B150" s="71">
        <f>169+D150</f>
        <v>183</v>
      </c>
      <c r="C150" s="68">
        <v>11.0</v>
      </c>
      <c r="D150" s="69">
        <v>14.0</v>
      </c>
      <c r="E150" s="70">
        <v>0.5</v>
      </c>
      <c r="F150" s="70"/>
      <c r="G150" s="70"/>
      <c r="H150" s="70">
        <v>0.5</v>
      </c>
      <c r="I150" s="72">
        <f t="shared" si="15"/>
        <v>5</v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71">
        <v>80.0</v>
      </c>
      <c r="B151" s="71">
        <f>178+D151</f>
        <v>192</v>
      </c>
      <c r="C151" s="68">
        <v>12.0</v>
      </c>
      <c r="D151" s="69">
        <v>14.0</v>
      </c>
      <c r="E151" s="70">
        <v>0.5</v>
      </c>
      <c r="F151" s="70"/>
      <c r="G151" s="70"/>
      <c r="H151" s="70">
        <v>0.5</v>
      </c>
      <c r="I151" s="72">
        <f t="shared" si="15"/>
        <v>4.6</v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71">
        <v>85.0</v>
      </c>
      <c r="B152" s="71">
        <f>186+D152</f>
        <v>200</v>
      </c>
      <c r="C152" s="68">
        <v>13.0</v>
      </c>
      <c r="D152" s="69">
        <v>14.0</v>
      </c>
      <c r="E152" s="70">
        <v>0.6</v>
      </c>
      <c r="F152" s="70"/>
      <c r="G152" s="70"/>
      <c r="H152" s="70">
        <v>0.4</v>
      </c>
      <c r="I152" s="72">
        <f t="shared" si="15"/>
        <v>4.4</v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71">
        <v>90.0</v>
      </c>
      <c r="B153" s="71">
        <f>193+D153</f>
        <v>207</v>
      </c>
      <c r="C153" s="68">
        <v>14.0</v>
      </c>
      <c r="D153" s="69">
        <v>14.0</v>
      </c>
      <c r="E153" s="70">
        <v>0.6</v>
      </c>
      <c r="F153" s="70"/>
      <c r="G153" s="70"/>
      <c r="H153" s="70">
        <v>0.4</v>
      </c>
      <c r="I153" s="72">
        <f t="shared" si="15"/>
        <v>4.2</v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1">
        <v>100.0</v>
      </c>
      <c r="B154" s="71">
        <f>202+D154</f>
        <v>216</v>
      </c>
      <c r="C154" s="68">
        <v>15.0</v>
      </c>
      <c r="D154" s="69">
        <v>14.0</v>
      </c>
      <c r="E154" s="70">
        <v>0.7</v>
      </c>
      <c r="F154" s="70"/>
      <c r="G154" s="70"/>
      <c r="H154" s="70">
        <v>0.3</v>
      </c>
      <c r="I154" s="72">
        <f t="shared" si="15"/>
        <v>2.3</v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1">
        <v>110.0</v>
      </c>
      <c r="B155" s="71">
        <f>206+D155</f>
        <v>219</v>
      </c>
      <c r="C155" s="68">
        <v>16.0</v>
      </c>
      <c r="D155" s="69">
        <v>13.0</v>
      </c>
      <c r="E155" s="70">
        <v>0.7</v>
      </c>
      <c r="F155" s="70"/>
      <c r="G155" s="70"/>
      <c r="H155" s="70">
        <v>0.3</v>
      </c>
      <c r="I155" s="72">
        <f t="shared" si="15"/>
        <v>1.7</v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1">
        <v>120.0</v>
      </c>
      <c r="B156" s="71">
        <f>209+D156</f>
        <v>221</v>
      </c>
      <c r="C156" s="68">
        <v>17.0</v>
      </c>
      <c r="D156" s="69">
        <v>12.0</v>
      </c>
      <c r="E156" s="70">
        <v>0.8</v>
      </c>
      <c r="F156" s="70"/>
      <c r="G156" s="70"/>
      <c r="H156" s="70">
        <v>0.2</v>
      </c>
      <c r="I156" s="72">
        <f t="shared" si="15"/>
        <v>1.5</v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1">
        <v>130.0</v>
      </c>
      <c r="B157" s="71">
        <f t="shared" ref="B157:B158" si="16">210+D157</f>
        <v>220</v>
      </c>
      <c r="C157" s="68">
        <v>18.0</v>
      </c>
      <c r="D157" s="69">
        <v>10.0</v>
      </c>
      <c r="E157" s="70">
        <v>0.8</v>
      </c>
      <c r="F157" s="70"/>
      <c r="G157" s="70"/>
      <c r="H157" s="70">
        <v>0.2</v>
      </c>
      <c r="I157" s="72">
        <f t="shared" si="15"/>
        <v>1.1</v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1">
        <v>140.0</v>
      </c>
      <c r="B158" s="71">
        <f t="shared" si="16"/>
        <v>218</v>
      </c>
      <c r="C158" s="68">
        <v>19.0</v>
      </c>
      <c r="D158" s="69">
        <v>8.0</v>
      </c>
      <c r="E158" s="70">
        <v>0.8</v>
      </c>
      <c r="F158" s="70"/>
      <c r="G158" s="70"/>
      <c r="H158" s="70">
        <v>0.2</v>
      </c>
      <c r="I158" s="72">
        <f t="shared" si="15"/>
        <v>0.8</v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1">
        <v>150.0</v>
      </c>
      <c r="B159" s="73">
        <v>217.0</v>
      </c>
      <c r="C159" s="68">
        <v>20.0</v>
      </c>
      <c r="D159" s="74">
        <v>217.0</v>
      </c>
      <c r="E159" s="70">
        <v>0.9</v>
      </c>
      <c r="F159" s="70"/>
      <c r="G159" s="70"/>
      <c r="H159" s="70">
        <v>0.1</v>
      </c>
      <c r="I159" s="72">
        <f t="shared" si="15"/>
        <v>0.7</v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7" t="s">
        <v>26</v>
      </c>
      <c r="B162" s="75" t="str">
        <f>IF(B14="","",B14)</f>
        <v>Chêne sessile</v>
      </c>
      <c r="C162" s="9"/>
      <c r="D162" s="59" t="s">
        <v>51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7"/>
      <c r="B163" s="76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60" t="s">
        <v>52</v>
      </c>
      <c r="C164" s="61" t="s">
        <v>53</v>
      </c>
      <c r="D164" s="62"/>
      <c r="E164" s="61" t="s">
        <v>54</v>
      </c>
      <c r="F164" s="63"/>
      <c r="G164" s="63"/>
      <c r="H164" s="62"/>
      <c r="I164" s="64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1" t="s">
        <v>55</v>
      </c>
      <c r="B165" s="41" t="s">
        <v>72</v>
      </c>
      <c r="C165" s="65" t="s">
        <v>57</v>
      </c>
      <c r="D165" s="65" t="s">
        <v>58</v>
      </c>
      <c r="E165" s="41" t="s">
        <v>59</v>
      </c>
      <c r="F165" s="41" t="s">
        <v>60</v>
      </c>
      <c r="G165" s="41" t="s">
        <v>61</v>
      </c>
      <c r="H165" s="41" t="s">
        <v>62</v>
      </c>
      <c r="I165" s="65" t="s">
        <v>73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>
        <v>20.0</v>
      </c>
      <c r="B166" s="71">
        <f>42+D166</f>
        <v>42</v>
      </c>
      <c r="C166" s="68">
        <v>1.0</v>
      </c>
      <c r="D166" s="69">
        <v>0.0</v>
      </c>
      <c r="E166" s="70">
        <v>0.0</v>
      </c>
      <c r="F166" s="70"/>
      <c r="G166" s="70"/>
      <c r="H166" s="70">
        <v>1.0</v>
      </c>
      <c r="I166" s="51">
        <f>IFERROR(B166/A166,"")</f>
        <v>2.1</v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71">
        <v>25.0</v>
      </c>
      <c r="B167" s="71">
        <f>62+D167</f>
        <v>70</v>
      </c>
      <c r="C167" s="68">
        <v>2.0</v>
      </c>
      <c r="D167" s="69">
        <v>8.0</v>
      </c>
      <c r="E167" s="70">
        <v>0.0</v>
      </c>
      <c r="F167" s="70"/>
      <c r="G167" s="70"/>
      <c r="H167" s="70">
        <v>1.0</v>
      </c>
      <c r="I167" s="51">
        <f t="shared" ref="I167:I185" si="17">IF(A167&lt;&gt;0,(B167-(B166-D166))/(A167-A166),"")</f>
        <v>5.6</v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71">
        <v>30.0</v>
      </c>
      <c r="B168" s="71">
        <f>76+D168</f>
        <v>97</v>
      </c>
      <c r="C168" s="68">
        <v>3.0</v>
      </c>
      <c r="D168" s="69">
        <v>21.0</v>
      </c>
      <c r="E168" s="70">
        <v>0.0</v>
      </c>
      <c r="F168" s="70"/>
      <c r="G168" s="70"/>
      <c r="H168" s="70">
        <v>1.0</v>
      </c>
      <c r="I168" s="51">
        <f t="shared" si="17"/>
        <v>7</v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71">
        <v>35.0</v>
      </c>
      <c r="B169" s="71">
        <f>95+D169</f>
        <v>116</v>
      </c>
      <c r="C169" s="68">
        <v>4.0</v>
      </c>
      <c r="D169" s="69">
        <v>21.0</v>
      </c>
      <c r="E169" s="70">
        <v>0.0</v>
      </c>
      <c r="F169" s="70"/>
      <c r="G169" s="70"/>
      <c r="H169" s="70">
        <v>1.0</v>
      </c>
      <c r="I169" s="51">
        <f t="shared" si="17"/>
        <v>8</v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71">
        <v>40.0</v>
      </c>
      <c r="B170" s="71">
        <f>116+D170</f>
        <v>137</v>
      </c>
      <c r="C170" s="68">
        <v>5.0</v>
      </c>
      <c r="D170" s="69">
        <v>21.0</v>
      </c>
      <c r="E170" s="70">
        <v>0.2</v>
      </c>
      <c r="F170" s="70"/>
      <c r="G170" s="70"/>
      <c r="H170" s="70">
        <v>0.8</v>
      </c>
      <c r="I170" s="51">
        <f t="shared" si="17"/>
        <v>8.4</v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71">
        <v>45.0</v>
      </c>
      <c r="B171" s="71">
        <f>137+D171</f>
        <v>158</v>
      </c>
      <c r="C171" s="68">
        <v>6.0</v>
      </c>
      <c r="D171" s="69">
        <v>21.0</v>
      </c>
      <c r="E171" s="70">
        <v>0.2</v>
      </c>
      <c r="F171" s="70"/>
      <c r="G171" s="70"/>
      <c r="H171" s="70">
        <v>0.8</v>
      </c>
      <c r="I171" s="51">
        <f t="shared" si="17"/>
        <v>8.4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71">
        <v>50.0</v>
      </c>
      <c r="B172" s="71">
        <f>157+D172</f>
        <v>178</v>
      </c>
      <c r="C172" s="68">
        <v>7.0</v>
      </c>
      <c r="D172" s="69">
        <v>21.0</v>
      </c>
      <c r="E172" s="70">
        <v>0.3</v>
      </c>
      <c r="F172" s="70"/>
      <c r="G172" s="70"/>
      <c r="H172" s="70">
        <v>0.7</v>
      </c>
      <c r="I172" s="51">
        <f t="shared" si="17"/>
        <v>8.2</v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71">
        <v>55.0</v>
      </c>
      <c r="B173" s="71">
        <f>176+D173</f>
        <v>197</v>
      </c>
      <c r="C173" s="68">
        <v>8.0</v>
      </c>
      <c r="D173" s="69">
        <v>21.0</v>
      </c>
      <c r="E173" s="70">
        <v>0.3</v>
      </c>
      <c r="F173" s="70"/>
      <c r="G173" s="70"/>
      <c r="H173" s="70">
        <v>0.7</v>
      </c>
      <c r="I173" s="51">
        <f t="shared" si="17"/>
        <v>8</v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71">
        <v>60.0</v>
      </c>
      <c r="B174" s="71">
        <f>193+D174</f>
        <v>214</v>
      </c>
      <c r="C174" s="68">
        <v>9.0</v>
      </c>
      <c r="D174" s="69">
        <v>21.0</v>
      </c>
      <c r="E174" s="70">
        <v>0.4</v>
      </c>
      <c r="F174" s="70"/>
      <c r="G174" s="70"/>
      <c r="H174" s="70">
        <v>0.6</v>
      </c>
      <c r="I174" s="51">
        <f t="shared" si="17"/>
        <v>7.6</v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71">
        <v>65.0</v>
      </c>
      <c r="B175" s="71">
        <f>208+D175</f>
        <v>229</v>
      </c>
      <c r="C175" s="68">
        <v>10.0</v>
      </c>
      <c r="D175" s="69">
        <v>21.0</v>
      </c>
      <c r="E175" s="70">
        <v>0.4</v>
      </c>
      <c r="F175" s="70"/>
      <c r="G175" s="70"/>
      <c r="H175" s="70">
        <v>0.6</v>
      </c>
      <c r="I175" s="51">
        <f t="shared" si="17"/>
        <v>7.2</v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71">
        <v>70.0</v>
      </c>
      <c r="B176" s="71">
        <f>221+D176</f>
        <v>242</v>
      </c>
      <c r="C176" s="68">
        <v>11.0</v>
      </c>
      <c r="D176" s="69">
        <v>21.0</v>
      </c>
      <c r="E176" s="70">
        <v>0.5</v>
      </c>
      <c r="F176" s="70"/>
      <c r="G176" s="70"/>
      <c r="H176" s="70">
        <v>0.5</v>
      </c>
      <c r="I176" s="51">
        <f t="shared" si="17"/>
        <v>6.8</v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71">
        <v>75.0</v>
      </c>
      <c r="B177" s="71">
        <f>231+D177</f>
        <v>252</v>
      </c>
      <c r="C177" s="68">
        <v>12.0</v>
      </c>
      <c r="D177" s="69">
        <v>21.0</v>
      </c>
      <c r="E177" s="70">
        <v>0.5</v>
      </c>
      <c r="F177" s="70"/>
      <c r="G177" s="70"/>
      <c r="H177" s="70">
        <v>0.5</v>
      </c>
      <c r="I177" s="51">
        <f t="shared" si="17"/>
        <v>6.2</v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71">
        <v>80.0</v>
      </c>
      <c r="B178" s="71">
        <f>240+D178</f>
        <v>261</v>
      </c>
      <c r="C178" s="68">
        <v>13.0</v>
      </c>
      <c r="D178" s="69">
        <v>21.0</v>
      </c>
      <c r="E178" s="70">
        <v>0.6</v>
      </c>
      <c r="F178" s="70"/>
      <c r="G178" s="70"/>
      <c r="H178" s="70">
        <v>0.4</v>
      </c>
      <c r="I178" s="51">
        <f t="shared" si="17"/>
        <v>6</v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71">
        <v>85.0</v>
      </c>
      <c r="B179" s="71">
        <f>248+D179</f>
        <v>269</v>
      </c>
      <c r="C179" s="68">
        <v>14.0</v>
      </c>
      <c r="D179" s="69">
        <v>21.0</v>
      </c>
      <c r="E179" s="70">
        <v>0.6</v>
      </c>
      <c r="F179" s="70"/>
      <c r="G179" s="70"/>
      <c r="H179" s="70">
        <v>0.4</v>
      </c>
      <c r="I179" s="51">
        <f t="shared" si="17"/>
        <v>5.8</v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71">
        <v>90.0</v>
      </c>
      <c r="B180" s="71">
        <f>254+D180</f>
        <v>275</v>
      </c>
      <c r="C180" s="68">
        <v>15.0</v>
      </c>
      <c r="D180" s="69">
        <v>21.0</v>
      </c>
      <c r="E180" s="70">
        <v>0.7</v>
      </c>
      <c r="F180" s="70"/>
      <c r="G180" s="70"/>
      <c r="H180" s="70">
        <v>0.3</v>
      </c>
      <c r="I180" s="51">
        <f t="shared" si="17"/>
        <v>5.4</v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71">
        <v>100.0</v>
      </c>
      <c r="B181" s="71">
        <f>261+D181</f>
        <v>282</v>
      </c>
      <c r="C181" s="68">
        <v>16.0</v>
      </c>
      <c r="D181" s="69">
        <v>21.0</v>
      </c>
      <c r="E181" s="70">
        <v>0.7</v>
      </c>
      <c r="F181" s="70"/>
      <c r="G181" s="70"/>
      <c r="H181" s="70">
        <v>0.3</v>
      </c>
      <c r="I181" s="51">
        <f t="shared" si="17"/>
        <v>2.8</v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71">
        <v>110.0</v>
      </c>
      <c r="B182" s="71">
        <f>266+D182</f>
        <v>285</v>
      </c>
      <c r="C182" s="68">
        <v>17.0</v>
      </c>
      <c r="D182" s="69">
        <v>19.0</v>
      </c>
      <c r="E182" s="70">
        <v>0.8</v>
      </c>
      <c r="F182" s="70"/>
      <c r="G182" s="70"/>
      <c r="H182" s="70">
        <v>0.2</v>
      </c>
      <c r="I182" s="51">
        <f t="shared" si="17"/>
        <v>2.4</v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71">
        <v>120.0</v>
      </c>
      <c r="B183" s="71">
        <f>268+D183</f>
        <v>285</v>
      </c>
      <c r="C183" s="68">
        <v>18.0</v>
      </c>
      <c r="D183" s="69">
        <v>17.0</v>
      </c>
      <c r="E183" s="70">
        <v>0.8</v>
      </c>
      <c r="F183" s="70"/>
      <c r="G183" s="70"/>
      <c r="H183" s="70">
        <v>0.2</v>
      </c>
      <c r="I183" s="51">
        <f t="shared" si="17"/>
        <v>1.9</v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71">
        <v>130.0</v>
      </c>
      <c r="B184" s="71">
        <f>269+D184</f>
        <v>284</v>
      </c>
      <c r="C184" s="68">
        <v>19.0</v>
      </c>
      <c r="D184" s="69">
        <v>15.0</v>
      </c>
      <c r="E184" s="70">
        <v>0.8</v>
      </c>
      <c r="F184" s="70"/>
      <c r="G184" s="70"/>
      <c r="H184" s="70">
        <v>0.2</v>
      </c>
      <c r="I184" s="51">
        <f t="shared" si="17"/>
        <v>1.6</v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>
        <v>150.0</v>
      </c>
      <c r="B185" s="73">
        <v>280.0</v>
      </c>
      <c r="C185" s="68">
        <v>27.0</v>
      </c>
      <c r="D185" s="74">
        <v>280.0</v>
      </c>
      <c r="E185" s="70">
        <v>0.9</v>
      </c>
      <c r="F185" s="70"/>
      <c r="G185" s="70"/>
      <c r="H185" s="70">
        <v>0.1</v>
      </c>
      <c r="I185" s="51">
        <f t="shared" si="17"/>
        <v>0.55</v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7" t="s">
        <v>28</v>
      </c>
      <c r="B188" s="75" t="str">
        <f>IF(B15="","",B15)</f>
        <v>Châtaignier</v>
      </c>
      <c r="C188" s="9"/>
      <c r="D188" s="59" t="s">
        <v>51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7"/>
      <c r="B189" s="76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60" t="s">
        <v>52</v>
      </c>
      <c r="C190" s="61" t="s">
        <v>53</v>
      </c>
      <c r="D190" s="62"/>
      <c r="E190" s="61" t="s">
        <v>54</v>
      </c>
      <c r="F190" s="63"/>
      <c r="G190" s="63"/>
      <c r="H190" s="62"/>
      <c r="I190" s="64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1" t="s">
        <v>55</v>
      </c>
      <c r="B191" s="41" t="s">
        <v>74</v>
      </c>
      <c r="C191" s="65" t="s">
        <v>57</v>
      </c>
      <c r="D191" s="65" t="s">
        <v>58</v>
      </c>
      <c r="E191" s="41" t="s">
        <v>59</v>
      </c>
      <c r="F191" s="41" t="s">
        <v>60</v>
      </c>
      <c r="G191" s="41" t="s">
        <v>61</v>
      </c>
      <c r="H191" s="41" t="s">
        <v>62</v>
      </c>
      <c r="I191" s="65" t="s">
        <v>75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>
        <v>25.0</v>
      </c>
      <c r="B192" s="71">
        <f>40+D192</f>
        <v>40</v>
      </c>
      <c r="C192" s="68">
        <v>1.0</v>
      </c>
      <c r="D192" s="69">
        <v>0.0</v>
      </c>
      <c r="E192" s="70">
        <v>0.0</v>
      </c>
      <c r="F192" s="70"/>
      <c r="G192" s="70"/>
      <c r="H192" s="70">
        <v>1.0</v>
      </c>
      <c r="I192" s="51">
        <f>IFERROR(B192/A192,"")</f>
        <v>1.6</v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71">
        <v>30.0</v>
      </c>
      <c r="B193" s="71">
        <f>61+D193</f>
        <v>73</v>
      </c>
      <c r="C193" s="68">
        <v>2.0</v>
      </c>
      <c r="D193" s="69">
        <v>12.0</v>
      </c>
      <c r="E193" s="70">
        <v>0.2</v>
      </c>
      <c r="F193" s="70"/>
      <c r="G193" s="70"/>
      <c r="H193" s="70">
        <v>0.8</v>
      </c>
      <c r="I193" s="51">
        <f t="shared" ref="I193:I211" si="18">IF(A193&lt;&gt;0,(B193-(B192-D192))/(A193-A192),"")</f>
        <v>6.6</v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71">
        <v>35.0</v>
      </c>
      <c r="B194" s="71">
        <f>76+D194</f>
        <v>97</v>
      </c>
      <c r="C194" s="68">
        <v>3.0</v>
      </c>
      <c r="D194" s="69">
        <v>21.0</v>
      </c>
      <c r="E194" s="70">
        <v>0.2</v>
      </c>
      <c r="F194" s="70"/>
      <c r="G194" s="70"/>
      <c r="H194" s="70">
        <v>0.8</v>
      </c>
      <c r="I194" s="51">
        <f t="shared" si="18"/>
        <v>7.2</v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71">
        <v>40.0</v>
      </c>
      <c r="B195" s="71">
        <f>94+D195</f>
        <v>115</v>
      </c>
      <c r="C195" s="68">
        <v>4.0</v>
      </c>
      <c r="D195" s="69">
        <v>21.0</v>
      </c>
      <c r="E195" s="70">
        <v>0.2</v>
      </c>
      <c r="F195" s="70"/>
      <c r="G195" s="70"/>
      <c r="H195" s="70">
        <v>0.8</v>
      </c>
      <c r="I195" s="51">
        <f t="shared" si="18"/>
        <v>7.8</v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71">
        <v>45.0</v>
      </c>
      <c r="B196" s="71">
        <f>113+D196</f>
        <v>134</v>
      </c>
      <c r="C196" s="68">
        <v>5.0</v>
      </c>
      <c r="D196" s="69">
        <v>21.0</v>
      </c>
      <c r="E196" s="70">
        <v>0.4</v>
      </c>
      <c r="F196" s="70"/>
      <c r="G196" s="70"/>
      <c r="H196" s="70">
        <v>0.6</v>
      </c>
      <c r="I196" s="51">
        <f t="shared" si="18"/>
        <v>8</v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71">
        <v>50.0</v>
      </c>
      <c r="B197" s="71">
        <f>133+D197</f>
        <v>154</v>
      </c>
      <c r="C197" s="68">
        <v>6.0</v>
      </c>
      <c r="D197" s="69">
        <v>21.0</v>
      </c>
      <c r="E197" s="70">
        <v>0.4</v>
      </c>
      <c r="F197" s="70"/>
      <c r="G197" s="70"/>
      <c r="H197" s="70">
        <v>0.6</v>
      </c>
      <c r="I197" s="51">
        <f t="shared" si="18"/>
        <v>8.2</v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71">
        <v>55.0</v>
      </c>
      <c r="B198" s="71">
        <f>155+D198</f>
        <v>176</v>
      </c>
      <c r="C198" s="68">
        <v>7.0</v>
      </c>
      <c r="D198" s="69">
        <v>21.0</v>
      </c>
      <c r="E198" s="70">
        <v>0.4</v>
      </c>
      <c r="F198" s="70"/>
      <c r="G198" s="70"/>
      <c r="H198" s="70">
        <v>0.6</v>
      </c>
      <c r="I198" s="51">
        <f t="shared" si="18"/>
        <v>8.6</v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71">
        <v>60.0</v>
      </c>
      <c r="B199" s="71">
        <f>176+D199</f>
        <v>197</v>
      </c>
      <c r="C199" s="68">
        <v>8.0</v>
      </c>
      <c r="D199" s="69">
        <v>21.0</v>
      </c>
      <c r="E199" s="70">
        <v>0.6</v>
      </c>
      <c r="F199" s="70"/>
      <c r="G199" s="70"/>
      <c r="H199" s="70">
        <v>0.4</v>
      </c>
      <c r="I199" s="51">
        <f t="shared" si="18"/>
        <v>8.4</v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71">
        <v>65.0</v>
      </c>
      <c r="B200" s="71">
        <f>196+D200</f>
        <v>217</v>
      </c>
      <c r="C200" s="68">
        <v>9.0</v>
      </c>
      <c r="D200" s="69">
        <v>21.0</v>
      </c>
      <c r="E200" s="70">
        <v>0.6</v>
      </c>
      <c r="F200" s="70"/>
      <c r="G200" s="70"/>
      <c r="H200" s="70">
        <v>0.4</v>
      </c>
      <c r="I200" s="51">
        <f t="shared" si="18"/>
        <v>8.2</v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71">
        <v>70.0</v>
      </c>
      <c r="B201" s="71">
        <f>216+D201</f>
        <v>237</v>
      </c>
      <c r="C201" s="68">
        <v>10.0</v>
      </c>
      <c r="D201" s="69">
        <v>21.0</v>
      </c>
      <c r="E201" s="70">
        <v>0.6</v>
      </c>
      <c r="F201" s="70"/>
      <c r="G201" s="70"/>
      <c r="H201" s="70">
        <v>0.4</v>
      </c>
      <c r="I201" s="51">
        <f t="shared" si="18"/>
        <v>8.2</v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71">
        <v>75.0</v>
      </c>
      <c r="B202" s="71">
        <f>233+D202</f>
        <v>254</v>
      </c>
      <c r="C202" s="68">
        <v>11.0</v>
      </c>
      <c r="D202" s="69">
        <v>21.0</v>
      </c>
      <c r="E202" s="70">
        <v>0.8</v>
      </c>
      <c r="F202" s="70"/>
      <c r="G202" s="70"/>
      <c r="H202" s="70">
        <v>0.2</v>
      </c>
      <c r="I202" s="51">
        <f t="shared" si="18"/>
        <v>7.6</v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71">
        <v>80.0</v>
      </c>
      <c r="B203" s="73">
        <v>270.0</v>
      </c>
      <c r="C203" s="68">
        <v>12.0</v>
      </c>
      <c r="D203" s="74">
        <v>270.0</v>
      </c>
      <c r="E203" s="70">
        <v>0.9</v>
      </c>
      <c r="F203" s="70"/>
      <c r="G203" s="70"/>
      <c r="H203" s="70">
        <v>0.1</v>
      </c>
      <c r="I203" s="51">
        <f t="shared" si="18"/>
        <v>7.4</v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8"/>
      <c r="B204" s="68"/>
      <c r="C204" s="68"/>
      <c r="D204" s="68"/>
      <c r="E204" s="70"/>
      <c r="F204" s="70"/>
      <c r="G204" s="70"/>
      <c r="H204" s="70"/>
      <c r="I204" s="51" t="str">
        <f t="shared" si="18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8"/>
      <c r="B205" s="68"/>
      <c r="C205" s="68"/>
      <c r="D205" s="68"/>
      <c r="E205" s="70"/>
      <c r="F205" s="70"/>
      <c r="G205" s="70"/>
      <c r="H205" s="70"/>
      <c r="I205" s="51" t="str">
        <f t="shared" si="18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8"/>
      <c r="B206" s="68"/>
      <c r="C206" s="68"/>
      <c r="D206" s="68"/>
      <c r="E206" s="70"/>
      <c r="F206" s="70"/>
      <c r="G206" s="70"/>
      <c r="H206" s="70"/>
      <c r="I206" s="51" t="str">
        <f t="shared" si="18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8"/>
      <c r="B207" s="68"/>
      <c r="C207" s="68"/>
      <c r="D207" s="68"/>
      <c r="E207" s="70"/>
      <c r="F207" s="70"/>
      <c r="G207" s="70"/>
      <c r="H207" s="70"/>
      <c r="I207" s="51" t="str">
        <f t="shared" si="18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8"/>
      <c r="B208" s="68"/>
      <c r="C208" s="68"/>
      <c r="D208" s="68"/>
      <c r="E208" s="70"/>
      <c r="F208" s="70"/>
      <c r="G208" s="70"/>
      <c r="H208" s="70"/>
      <c r="I208" s="51" t="str">
        <f t="shared" si="18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8"/>
      <c r="B209" s="68"/>
      <c r="C209" s="68"/>
      <c r="D209" s="68"/>
      <c r="E209" s="70"/>
      <c r="F209" s="70"/>
      <c r="G209" s="70"/>
      <c r="H209" s="70"/>
      <c r="I209" s="51" t="str">
        <f t="shared" si="18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8"/>
      <c r="B210" s="68"/>
      <c r="C210" s="68"/>
      <c r="D210" s="68"/>
      <c r="E210" s="70"/>
      <c r="F210" s="70"/>
      <c r="G210" s="70"/>
      <c r="H210" s="70"/>
      <c r="I210" s="51" t="str">
        <f t="shared" si="18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8"/>
      <c r="B211" s="68"/>
      <c r="C211" s="68"/>
      <c r="D211" s="68"/>
      <c r="E211" s="70"/>
      <c r="F211" s="70"/>
      <c r="G211" s="70"/>
      <c r="H211" s="70"/>
      <c r="I211" s="51" t="str">
        <f t="shared" si="18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7" t="s">
        <v>30</v>
      </c>
      <c r="B214" s="75" t="str">
        <f>IF(B16="","",B16)</f>
        <v>Robinier faux-acacia</v>
      </c>
      <c r="C214" s="9"/>
      <c r="D214" s="59" t="s">
        <v>51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7"/>
      <c r="B215" s="76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60" t="s">
        <v>52</v>
      </c>
      <c r="C216" s="61" t="s">
        <v>53</v>
      </c>
      <c r="D216" s="62"/>
      <c r="E216" s="61" t="s">
        <v>54</v>
      </c>
      <c r="F216" s="63"/>
      <c r="G216" s="63"/>
      <c r="H216" s="62"/>
      <c r="I216" s="64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1" t="s">
        <v>55</v>
      </c>
      <c r="B217" s="41" t="s">
        <v>76</v>
      </c>
      <c r="C217" s="65" t="s">
        <v>57</v>
      </c>
      <c r="D217" s="65" t="s">
        <v>58</v>
      </c>
      <c r="E217" s="41" t="s">
        <v>59</v>
      </c>
      <c r="F217" s="41" t="s">
        <v>60</v>
      </c>
      <c r="G217" s="41" t="s">
        <v>61</v>
      </c>
      <c r="H217" s="41" t="s">
        <v>62</v>
      </c>
      <c r="I217" s="65" t="s">
        <v>77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8">
        <v>15.0</v>
      </c>
      <c r="B218" s="68">
        <v>113.0</v>
      </c>
      <c r="C218" s="68">
        <v>1.0</v>
      </c>
      <c r="D218" s="68">
        <v>31.0</v>
      </c>
      <c r="E218" s="70">
        <v>0.0</v>
      </c>
      <c r="F218" s="70"/>
      <c r="G218" s="70"/>
      <c r="H218" s="85">
        <v>1.0</v>
      </c>
      <c r="I218" s="72">
        <f>IFERROR(B218/A218,"")</f>
        <v>7.533333333</v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8">
        <v>20.0</v>
      </c>
      <c r="B219" s="68">
        <v>139.0</v>
      </c>
      <c r="C219" s="68">
        <v>2.0</v>
      </c>
      <c r="D219" s="68">
        <v>25.0</v>
      </c>
      <c r="E219" s="70">
        <v>0.0</v>
      </c>
      <c r="F219" s="70"/>
      <c r="G219" s="70"/>
      <c r="H219" s="85">
        <v>1.0</v>
      </c>
      <c r="I219" s="72">
        <f t="shared" ref="I219:I237" si="19">IF(A219&lt;&gt;0,(B219-(B218-D218))/(A219-A218),"")</f>
        <v>11.4</v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8">
        <v>25.0</v>
      </c>
      <c r="B220" s="68">
        <v>165.0</v>
      </c>
      <c r="C220" s="68">
        <v>3.0</v>
      </c>
      <c r="D220" s="68">
        <v>21.0</v>
      </c>
      <c r="E220" s="70">
        <v>0.0</v>
      </c>
      <c r="F220" s="86"/>
      <c r="G220" s="86"/>
      <c r="H220" s="87">
        <v>1.0</v>
      </c>
      <c r="I220" s="72">
        <f t="shared" si="19"/>
        <v>10.2</v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68">
        <v>30.0</v>
      </c>
      <c r="B221" s="68">
        <v>187.0</v>
      </c>
      <c r="C221" s="68">
        <v>4.0</v>
      </c>
      <c r="D221" s="68">
        <v>18.0</v>
      </c>
      <c r="E221" s="70">
        <v>0.0</v>
      </c>
      <c r="F221" s="86"/>
      <c r="G221" s="86"/>
      <c r="H221" s="87">
        <v>1.0</v>
      </c>
      <c r="I221" s="72">
        <f t="shared" si="19"/>
        <v>8.6</v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68">
        <v>35.0</v>
      </c>
      <c r="B222" s="68">
        <v>208.0</v>
      </c>
      <c r="C222" s="68">
        <v>5.0</v>
      </c>
      <c r="D222" s="68">
        <v>16.0</v>
      </c>
      <c r="E222" s="79">
        <v>0.2</v>
      </c>
      <c r="F222" s="88"/>
      <c r="G222" s="88"/>
      <c r="H222" s="80">
        <v>0.8</v>
      </c>
      <c r="I222" s="72">
        <f t="shared" si="19"/>
        <v>7.8</v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89">
        <v>40.0</v>
      </c>
      <c r="B223" s="89">
        <v>227.0</v>
      </c>
      <c r="C223" s="89">
        <v>6.0</v>
      </c>
      <c r="D223" s="89">
        <v>14.0</v>
      </c>
      <c r="E223" s="79">
        <v>0.2</v>
      </c>
      <c r="F223" s="88"/>
      <c r="G223" s="88"/>
      <c r="H223" s="80">
        <v>0.8</v>
      </c>
      <c r="I223" s="72">
        <f t="shared" si="19"/>
        <v>7</v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89">
        <v>45.0</v>
      </c>
      <c r="B224" s="89">
        <v>243.0</v>
      </c>
      <c r="C224" s="89">
        <v>7.0</v>
      </c>
      <c r="D224" s="89">
        <v>13.0</v>
      </c>
      <c r="E224" s="79">
        <v>0.4</v>
      </c>
      <c r="F224" s="88"/>
      <c r="G224" s="88"/>
      <c r="H224" s="80">
        <v>0.6</v>
      </c>
      <c r="I224" s="72">
        <f t="shared" si="19"/>
        <v>6</v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89">
        <v>50.0</v>
      </c>
      <c r="B225" s="89">
        <v>259.0</v>
      </c>
      <c r="C225" s="89">
        <v>8.0</v>
      </c>
      <c r="D225" s="89">
        <v>11.0</v>
      </c>
      <c r="E225" s="79">
        <v>0.4</v>
      </c>
      <c r="F225" s="88"/>
      <c r="G225" s="88"/>
      <c r="H225" s="80">
        <v>0.6</v>
      </c>
      <c r="I225" s="72">
        <f t="shared" si="19"/>
        <v>5.8</v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89">
        <v>55.0</v>
      </c>
      <c r="B226" s="89">
        <v>272.0</v>
      </c>
      <c r="C226" s="89">
        <v>9.0</v>
      </c>
      <c r="D226" s="89">
        <v>10.0</v>
      </c>
      <c r="E226" s="79">
        <v>0.6</v>
      </c>
      <c r="F226" s="88"/>
      <c r="G226" s="88"/>
      <c r="H226" s="80">
        <v>0.4</v>
      </c>
      <c r="I226" s="72">
        <f t="shared" si="19"/>
        <v>4.8</v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89">
        <v>60.0</v>
      </c>
      <c r="B227" s="89">
        <v>284.0</v>
      </c>
      <c r="C227" s="89">
        <v>10.0</v>
      </c>
      <c r="D227" s="89">
        <v>9.0</v>
      </c>
      <c r="E227" s="79">
        <v>0.6</v>
      </c>
      <c r="F227" s="88"/>
      <c r="G227" s="88"/>
      <c r="H227" s="80">
        <v>0.4</v>
      </c>
      <c r="I227" s="72">
        <f t="shared" si="19"/>
        <v>4.4</v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89">
        <v>65.0</v>
      </c>
      <c r="B228" s="89">
        <v>296.0</v>
      </c>
      <c r="C228" s="89">
        <v>11.0</v>
      </c>
      <c r="D228" s="89">
        <v>8.0</v>
      </c>
      <c r="E228" s="79">
        <v>0.8</v>
      </c>
      <c r="F228" s="88"/>
      <c r="G228" s="88"/>
      <c r="H228" s="80">
        <v>0.2</v>
      </c>
      <c r="I228" s="72">
        <f t="shared" si="19"/>
        <v>4.2</v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89">
        <v>70.0</v>
      </c>
      <c r="B229" s="89">
        <v>306.0</v>
      </c>
      <c r="C229" s="89">
        <v>12.0</v>
      </c>
      <c r="D229" s="90">
        <v>306.0</v>
      </c>
      <c r="E229" s="79">
        <v>0.8</v>
      </c>
      <c r="F229" s="88"/>
      <c r="G229" s="88"/>
      <c r="H229" s="80">
        <v>0.2</v>
      </c>
      <c r="I229" s="72">
        <f t="shared" si="19"/>
        <v>3.6</v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89"/>
      <c r="B230" s="89"/>
      <c r="C230" s="89"/>
      <c r="D230" s="89"/>
      <c r="E230" s="85"/>
      <c r="F230" s="85"/>
      <c r="G230" s="85"/>
      <c r="H230" s="85"/>
      <c r="I230" s="72" t="str">
        <f t="shared" si="19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91"/>
      <c r="B231" s="68"/>
      <c r="C231" s="91"/>
      <c r="D231" s="68"/>
      <c r="E231" s="70"/>
      <c r="F231" s="70"/>
      <c r="G231" s="70"/>
      <c r="H231" s="70"/>
      <c r="I231" s="72" t="str">
        <f t="shared" si="19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8"/>
      <c r="B232" s="68"/>
      <c r="C232" s="68"/>
      <c r="D232" s="68"/>
      <c r="E232" s="70"/>
      <c r="F232" s="70"/>
      <c r="G232" s="70"/>
      <c r="H232" s="70"/>
      <c r="I232" s="72" t="str">
        <f t="shared" si="19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8"/>
      <c r="B233" s="68"/>
      <c r="C233" s="68"/>
      <c r="D233" s="68"/>
      <c r="E233" s="70"/>
      <c r="F233" s="70"/>
      <c r="G233" s="70"/>
      <c r="H233" s="70"/>
      <c r="I233" s="72" t="str">
        <f t="shared" si="19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8"/>
      <c r="B234" s="68"/>
      <c r="C234" s="68"/>
      <c r="D234" s="68"/>
      <c r="E234" s="70"/>
      <c r="F234" s="70"/>
      <c r="G234" s="70"/>
      <c r="H234" s="70"/>
      <c r="I234" s="72" t="str">
        <f t="shared" si="19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8"/>
      <c r="B235" s="68"/>
      <c r="C235" s="68"/>
      <c r="D235" s="68"/>
      <c r="E235" s="70"/>
      <c r="F235" s="70"/>
      <c r="G235" s="70"/>
      <c r="H235" s="70"/>
      <c r="I235" s="72" t="str">
        <f t="shared" si="19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8"/>
      <c r="B236" s="68"/>
      <c r="C236" s="68"/>
      <c r="D236" s="68"/>
      <c r="E236" s="70"/>
      <c r="F236" s="70"/>
      <c r="G236" s="70"/>
      <c r="H236" s="70"/>
      <c r="I236" s="72" t="str">
        <f t="shared" si="19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8"/>
      <c r="B237" s="68"/>
      <c r="C237" s="68"/>
      <c r="D237" s="68"/>
      <c r="E237" s="70"/>
      <c r="F237" s="70"/>
      <c r="G237" s="70"/>
      <c r="H237" s="70"/>
      <c r="I237" s="72" t="str">
        <f t="shared" si="19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7" t="s">
        <v>32</v>
      </c>
      <c r="B240" s="75" t="str">
        <f>IF(B17="","",B17)</f>
        <v>Tilleul</v>
      </c>
      <c r="C240" s="9"/>
      <c r="D240" s="59" t="s">
        <v>51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7"/>
      <c r="B241" s="76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60" t="s">
        <v>52</v>
      </c>
      <c r="C242" s="61" t="s">
        <v>53</v>
      </c>
      <c r="D242" s="62"/>
      <c r="E242" s="61" t="s">
        <v>54</v>
      </c>
      <c r="F242" s="63"/>
      <c r="G242" s="63"/>
      <c r="H242" s="62"/>
      <c r="I242" s="64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1" t="s">
        <v>55</v>
      </c>
      <c r="B243" s="41" t="s">
        <v>78</v>
      </c>
      <c r="C243" s="65" t="s">
        <v>57</v>
      </c>
      <c r="D243" s="65" t="s">
        <v>58</v>
      </c>
      <c r="E243" s="41" t="s">
        <v>59</v>
      </c>
      <c r="F243" s="41" t="s">
        <v>60</v>
      </c>
      <c r="G243" s="41" t="s">
        <v>61</v>
      </c>
      <c r="H243" s="41" t="s">
        <v>62</v>
      </c>
      <c r="I243" s="65" t="s">
        <v>79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>
        <v>20.0</v>
      </c>
      <c r="B244" s="71">
        <f>32+D244</f>
        <v>32</v>
      </c>
      <c r="C244" s="68">
        <v>1.0</v>
      </c>
      <c r="D244" s="69">
        <v>0.0</v>
      </c>
      <c r="E244" s="70">
        <v>0.0</v>
      </c>
      <c r="F244" s="70"/>
      <c r="G244" s="70"/>
      <c r="H244" s="85">
        <v>1.0</v>
      </c>
      <c r="I244" s="72">
        <f>IFERROR(B244/A244,"")</f>
        <v>1.6</v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71">
        <v>25.0</v>
      </c>
      <c r="B245" s="71">
        <f>69+D245</f>
        <v>76</v>
      </c>
      <c r="C245" s="68">
        <v>2.0</v>
      </c>
      <c r="D245" s="69">
        <v>7.0</v>
      </c>
      <c r="E245" s="85">
        <v>0.0</v>
      </c>
      <c r="F245" s="85"/>
      <c r="G245" s="85"/>
      <c r="H245" s="85">
        <v>1.0</v>
      </c>
      <c r="I245" s="72">
        <f t="shared" ref="I245:I263" si="20">IF(A245&lt;&gt;0,(B245-(B244-D244))/(A245-A244),"")</f>
        <v>8.8</v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71">
        <v>30.0</v>
      </c>
      <c r="B246" s="71">
        <f>88+D246</f>
        <v>116</v>
      </c>
      <c r="C246" s="68">
        <v>3.0</v>
      </c>
      <c r="D246" s="69">
        <v>28.0</v>
      </c>
      <c r="E246" s="85">
        <v>0.0</v>
      </c>
      <c r="F246" s="85"/>
      <c r="G246" s="85"/>
      <c r="H246" s="85">
        <v>1.0</v>
      </c>
      <c r="I246" s="72">
        <f t="shared" si="20"/>
        <v>9.4</v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71">
        <v>35.0</v>
      </c>
      <c r="B247" s="71">
        <f>111+D247</f>
        <v>139</v>
      </c>
      <c r="C247" s="68">
        <v>4.0</v>
      </c>
      <c r="D247" s="69">
        <v>28.0</v>
      </c>
      <c r="E247" s="85">
        <v>0.2</v>
      </c>
      <c r="F247" s="85"/>
      <c r="G247" s="85"/>
      <c r="H247" s="85">
        <v>0.8</v>
      </c>
      <c r="I247" s="72">
        <f t="shared" si="20"/>
        <v>10.2</v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71">
        <v>40.0</v>
      </c>
      <c r="B248" s="71">
        <f>135+D248</f>
        <v>163</v>
      </c>
      <c r="C248" s="68">
        <v>5.0</v>
      </c>
      <c r="D248" s="69">
        <v>28.0</v>
      </c>
      <c r="E248" s="85">
        <v>0.4</v>
      </c>
      <c r="F248" s="85"/>
      <c r="G248" s="85"/>
      <c r="H248" s="85">
        <v>0.6</v>
      </c>
      <c r="I248" s="72">
        <f t="shared" si="20"/>
        <v>10.4</v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71">
        <v>45.0</v>
      </c>
      <c r="B249" s="71">
        <f>162+D249</f>
        <v>190</v>
      </c>
      <c r="C249" s="68">
        <v>6.0</v>
      </c>
      <c r="D249" s="69">
        <v>28.0</v>
      </c>
      <c r="E249" s="85">
        <v>0.4</v>
      </c>
      <c r="F249" s="85"/>
      <c r="G249" s="85"/>
      <c r="H249" s="85">
        <v>0.6</v>
      </c>
      <c r="I249" s="72">
        <f t="shared" si="20"/>
        <v>11</v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71">
        <v>50.0</v>
      </c>
      <c r="B250" s="71">
        <f>189+D250</f>
        <v>217</v>
      </c>
      <c r="C250" s="68">
        <v>7.0</v>
      </c>
      <c r="D250" s="69">
        <v>28.0</v>
      </c>
      <c r="E250" s="85">
        <v>0.6</v>
      </c>
      <c r="F250" s="85"/>
      <c r="G250" s="85"/>
      <c r="H250" s="85">
        <v>0.4</v>
      </c>
      <c r="I250" s="72">
        <f t="shared" si="20"/>
        <v>11</v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1">
        <v>55.0</v>
      </c>
      <c r="B251" s="71">
        <f>216+D251</f>
        <v>244</v>
      </c>
      <c r="C251" s="68">
        <v>8.0</v>
      </c>
      <c r="D251" s="69">
        <v>28.0</v>
      </c>
      <c r="E251" s="85">
        <v>0.6</v>
      </c>
      <c r="F251" s="85"/>
      <c r="G251" s="85"/>
      <c r="H251" s="85">
        <v>0.4</v>
      </c>
      <c r="I251" s="72">
        <f t="shared" si="20"/>
        <v>11</v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1">
        <v>60.0</v>
      </c>
      <c r="B252" s="73">
        <v>270.0</v>
      </c>
      <c r="C252" s="68">
        <v>9.0</v>
      </c>
      <c r="D252" s="74">
        <v>270.0</v>
      </c>
      <c r="E252" s="85">
        <v>0.8</v>
      </c>
      <c r="F252" s="85"/>
      <c r="G252" s="85"/>
      <c r="H252" s="85">
        <v>0.2</v>
      </c>
      <c r="I252" s="72">
        <f t="shared" si="20"/>
        <v>10.8</v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89"/>
      <c r="B253" s="89"/>
      <c r="C253" s="89"/>
      <c r="D253" s="89"/>
      <c r="E253" s="85"/>
      <c r="F253" s="85"/>
      <c r="G253" s="85"/>
      <c r="H253" s="85"/>
      <c r="I253" s="72" t="str">
        <f t="shared" si="20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89"/>
      <c r="B254" s="89"/>
      <c r="C254" s="89"/>
      <c r="D254" s="89"/>
      <c r="E254" s="85"/>
      <c r="F254" s="85"/>
      <c r="G254" s="85"/>
      <c r="H254" s="85"/>
      <c r="I254" s="72" t="str">
        <f t="shared" si="20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89"/>
      <c r="B255" s="89"/>
      <c r="C255" s="89"/>
      <c r="D255" s="89"/>
      <c r="E255" s="85"/>
      <c r="F255" s="85"/>
      <c r="G255" s="85"/>
      <c r="H255" s="85"/>
      <c r="I255" s="72" t="str">
        <f t="shared" si="20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89"/>
      <c r="B256" s="89"/>
      <c r="C256" s="89"/>
      <c r="D256" s="89"/>
      <c r="E256" s="85"/>
      <c r="F256" s="85"/>
      <c r="G256" s="85"/>
      <c r="H256" s="85"/>
      <c r="I256" s="72" t="str">
        <f t="shared" si="20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91"/>
      <c r="B257" s="68"/>
      <c r="C257" s="91"/>
      <c r="D257" s="68"/>
      <c r="E257" s="70"/>
      <c r="F257" s="70"/>
      <c r="G257" s="70"/>
      <c r="H257" s="70"/>
      <c r="I257" s="72" t="str">
        <f t="shared" si="20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8"/>
      <c r="B258" s="68"/>
      <c r="C258" s="68"/>
      <c r="D258" s="68"/>
      <c r="E258" s="70"/>
      <c r="F258" s="70"/>
      <c r="G258" s="70"/>
      <c r="H258" s="70"/>
      <c r="I258" s="72" t="str">
        <f t="shared" si="20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8"/>
      <c r="B259" s="68"/>
      <c r="C259" s="68"/>
      <c r="D259" s="68"/>
      <c r="E259" s="70"/>
      <c r="F259" s="70"/>
      <c r="G259" s="70"/>
      <c r="H259" s="70"/>
      <c r="I259" s="72" t="str">
        <f t="shared" si="20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8"/>
      <c r="B260" s="68"/>
      <c r="C260" s="68"/>
      <c r="D260" s="68"/>
      <c r="E260" s="70"/>
      <c r="F260" s="70"/>
      <c r="G260" s="70"/>
      <c r="H260" s="70"/>
      <c r="I260" s="72" t="str">
        <f t="shared" si="20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8"/>
      <c r="B261" s="68"/>
      <c r="C261" s="68"/>
      <c r="D261" s="68"/>
      <c r="E261" s="70"/>
      <c r="F261" s="70"/>
      <c r="G261" s="70"/>
      <c r="H261" s="70"/>
      <c r="I261" s="72" t="str">
        <f t="shared" si="20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8"/>
      <c r="B262" s="68"/>
      <c r="C262" s="68"/>
      <c r="D262" s="68"/>
      <c r="E262" s="70"/>
      <c r="F262" s="70"/>
      <c r="G262" s="70"/>
      <c r="H262" s="70"/>
      <c r="I262" s="72" t="str">
        <f t="shared" si="20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8"/>
      <c r="B263" s="68"/>
      <c r="C263" s="68"/>
      <c r="D263" s="68"/>
      <c r="E263" s="70"/>
      <c r="F263" s="70"/>
      <c r="G263" s="70"/>
      <c r="H263" s="70"/>
      <c r="I263" s="72" t="str">
        <f t="shared" si="20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2" t="s">
        <v>80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7" t="s">
        <v>34</v>
      </c>
      <c r="B266" s="75" t="str">
        <f>IF(B18="","",B18)</f>
        <v>Cormier</v>
      </c>
      <c r="C266" s="9"/>
      <c r="D266" s="59" t="s">
        <v>51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7"/>
      <c r="B267" s="76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60" t="s">
        <v>52</v>
      </c>
      <c r="C268" s="61" t="s">
        <v>53</v>
      </c>
      <c r="D268" s="62"/>
      <c r="E268" s="61" t="s">
        <v>54</v>
      </c>
      <c r="F268" s="63"/>
      <c r="G268" s="63"/>
      <c r="H268" s="62"/>
      <c r="I268" s="64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1" t="s">
        <v>55</v>
      </c>
      <c r="B269" s="41" t="s">
        <v>81</v>
      </c>
      <c r="C269" s="65" t="s">
        <v>57</v>
      </c>
      <c r="D269" s="65" t="s">
        <v>58</v>
      </c>
      <c r="E269" s="41" t="s">
        <v>59</v>
      </c>
      <c r="F269" s="41" t="s">
        <v>60</v>
      </c>
      <c r="G269" s="41" t="s">
        <v>61</v>
      </c>
      <c r="H269" s="41" t="s">
        <v>62</v>
      </c>
      <c r="I269" s="65" t="s">
        <v>82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>
        <v>25.0</v>
      </c>
      <c r="B270" s="71">
        <f>30+D270</f>
        <v>30</v>
      </c>
      <c r="C270" s="68">
        <v>1.0</v>
      </c>
      <c r="D270" s="69">
        <v>0.0</v>
      </c>
      <c r="E270" s="70">
        <v>0.0</v>
      </c>
      <c r="F270" s="70"/>
      <c r="G270" s="70"/>
      <c r="H270" s="70">
        <f t="shared" ref="H270:H277" si="21">1-E270</f>
        <v>1</v>
      </c>
      <c r="I270" s="72">
        <f>IFERROR(B270/A270,"")</f>
        <v>1.2</v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71">
        <v>30.0</v>
      </c>
      <c r="B271" s="71">
        <f>54+D271</f>
        <v>54</v>
      </c>
      <c r="C271" s="68">
        <v>2.0</v>
      </c>
      <c r="D271" s="69">
        <v>0.0</v>
      </c>
      <c r="E271" s="70">
        <v>0.0</v>
      </c>
      <c r="F271" s="70"/>
      <c r="G271" s="70"/>
      <c r="H271" s="70">
        <f t="shared" si="21"/>
        <v>1</v>
      </c>
      <c r="I271" s="72">
        <f t="shared" ref="I271:I289" si="22">IF(A271&lt;&gt;0,(B271-(B270-D270))/(A271-A270),"")</f>
        <v>4.8</v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71">
        <v>35.0</v>
      </c>
      <c r="B272" s="71">
        <f>66+D272</f>
        <v>79</v>
      </c>
      <c r="C272" s="68">
        <v>3.0</v>
      </c>
      <c r="D272" s="69">
        <v>13.0</v>
      </c>
      <c r="E272" s="70">
        <v>0.2</v>
      </c>
      <c r="F272" s="70"/>
      <c r="G272" s="70"/>
      <c r="H272" s="70">
        <f t="shared" si="21"/>
        <v>0.8</v>
      </c>
      <c r="I272" s="72">
        <f t="shared" si="22"/>
        <v>5</v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71">
        <v>40.0</v>
      </c>
      <c r="B273" s="71">
        <f>79+D273</f>
        <v>93</v>
      </c>
      <c r="C273" s="68">
        <v>4.0</v>
      </c>
      <c r="D273" s="69">
        <v>14.0</v>
      </c>
      <c r="E273" s="70">
        <v>0.2</v>
      </c>
      <c r="F273" s="70"/>
      <c r="G273" s="70"/>
      <c r="H273" s="70">
        <f t="shared" si="21"/>
        <v>0.8</v>
      </c>
      <c r="I273" s="72">
        <f t="shared" si="22"/>
        <v>5.4</v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71">
        <v>45.0</v>
      </c>
      <c r="B274" s="71">
        <f>93+D274</f>
        <v>107</v>
      </c>
      <c r="C274" s="68">
        <v>5.0</v>
      </c>
      <c r="D274" s="69">
        <v>14.0</v>
      </c>
      <c r="E274" s="70">
        <v>0.4</v>
      </c>
      <c r="F274" s="70"/>
      <c r="G274" s="70"/>
      <c r="H274" s="70">
        <f t="shared" si="21"/>
        <v>0.6</v>
      </c>
      <c r="I274" s="72">
        <f t="shared" si="22"/>
        <v>5.6</v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71">
        <v>50.0</v>
      </c>
      <c r="B275" s="71">
        <f>107+D275</f>
        <v>121</v>
      </c>
      <c r="C275" s="68">
        <v>6.0</v>
      </c>
      <c r="D275" s="69">
        <v>14.0</v>
      </c>
      <c r="E275" s="70">
        <v>0.4</v>
      </c>
      <c r="F275" s="70"/>
      <c r="G275" s="70"/>
      <c r="H275" s="70">
        <f t="shared" si="21"/>
        <v>0.6</v>
      </c>
      <c r="I275" s="72">
        <f t="shared" si="22"/>
        <v>5.6</v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71">
        <v>55.0</v>
      </c>
      <c r="B276" s="71">
        <f>121+D276</f>
        <v>135</v>
      </c>
      <c r="C276" s="68">
        <v>7.0</v>
      </c>
      <c r="D276" s="69">
        <v>14.0</v>
      </c>
      <c r="E276" s="70">
        <v>0.6</v>
      </c>
      <c r="F276" s="70"/>
      <c r="G276" s="70"/>
      <c r="H276" s="70">
        <f t="shared" si="21"/>
        <v>0.4</v>
      </c>
      <c r="I276" s="72">
        <f t="shared" si="22"/>
        <v>5.6</v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1">
        <v>60.0</v>
      </c>
      <c r="B277" s="73">
        <v>148.0</v>
      </c>
      <c r="C277" s="68">
        <v>8.0</v>
      </c>
      <c r="D277" s="74">
        <v>148.0</v>
      </c>
      <c r="E277" s="70">
        <v>0.8</v>
      </c>
      <c r="F277" s="70"/>
      <c r="G277" s="70"/>
      <c r="H277" s="70">
        <f t="shared" si="21"/>
        <v>0.2</v>
      </c>
      <c r="I277" s="72">
        <f t="shared" si="22"/>
        <v>5.4</v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89"/>
      <c r="B278" s="89"/>
      <c r="C278" s="89"/>
      <c r="D278" s="89"/>
      <c r="E278" s="85"/>
      <c r="F278" s="85"/>
      <c r="G278" s="85"/>
      <c r="H278" s="85"/>
      <c r="I278" s="72" t="str">
        <f t="shared" si="2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89"/>
      <c r="B279" s="89"/>
      <c r="C279" s="89"/>
      <c r="D279" s="89"/>
      <c r="E279" s="85"/>
      <c r="F279" s="85"/>
      <c r="G279" s="85"/>
      <c r="H279" s="85"/>
      <c r="I279" s="72" t="str">
        <f t="shared" si="2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89"/>
      <c r="B280" s="89"/>
      <c r="C280" s="89"/>
      <c r="D280" s="89"/>
      <c r="E280" s="85"/>
      <c r="F280" s="85"/>
      <c r="G280" s="85"/>
      <c r="H280" s="85"/>
      <c r="I280" s="72" t="str">
        <f t="shared" si="2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89"/>
      <c r="B281" s="89"/>
      <c r="C281" s="89"/>
      <c r="D281" s="89"/>
      <c r="E281" s="85"/>
      <c r="F281" s="85"/>
      <c r="G281" s="85"/>
      <c r="H281" s="85"/>
      <c r="I281" s="72" t="str">
        <f t="shared" si="2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89"/>
      <c r="B282" s="89"/>
      <c r="C282" s="89"/>
      <c r="D282" s="89"/>
      <c r="E282" s="85"/>
      <c r="F282" s="85"/>
      <c r="G282" s="85"/>
      <c r="H282" s="85"/>
      <c r="I282" s="72" t="str">
        <f t="shared" si="2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91"/>
      <c r="B283" s="68"/>
      <c r="C283" s="91"/>
      <c r="D283" s="68"/>
      <c r="E283" s="70"/>
      <c r="F283" s="70"/>
      <c r="G283" s="70"/>
      <c r="H283" s="70"/>
      <c r="I283" s="72" t="str">
        <f t="shared" si="2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8"/>
      <c r="B284" s="68"/>
      <c r="C284" s="68"/>
      <c r="D284" s="68"/>
      <c r="E284" s="70"/>
      <c r="F284" s="70"/>
      <c r="G284" s="70"/>
      <c r="H284" s="70"/>
      <c r="I284" s="72" t="str">
        <f t="shared" si="2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8"/>
      <c r="B285" s="68"/>
      <c r="C285" s="68"/>
      <c r="D285" s="68"/>
      <c r="E285" s="70"/>
      <c r="F285" s="70"/>
      <c r="G285" s="70"/>
      <c r="H285" s="70"/>
      <c r="I285" s="72" t="str">
        <f t="shared" si="2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8"/>
      <c r="B286" s="68"/>
      <c r="C286" s="68"/>
      <c r="D286" s="68"/>
      <c r="E286" s="70"/>
      <c r="F286" s="70"/>
      <c r="G286" s="70"/>
      <c r="H286" s="70"/>
      <c r="I286" s="72" t="str">
        <f t="shared" si="2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8"/>
      <c r="B287" s="68"/>
      <c r="C287" s="68"/>
      <c r="D287" s="68"/>
      <c r="E287" s="70"/>
      <c r="F287" s="70"/>
      <c r="G287" s="70"/>
      <c r="H287" s="70"/>
      <c r="I287" s="72" t="str">
        <f t="shared" si="2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8"/>
      <c r="B288" s="68"/>
      <c r="C288" s="68"/>
      <c r="D288" s="68"/>
      <c r="E288" s="70"/>
      <c r="F288" s="70"/>
      <c r="G288" s="70"/>
      <c r="H288" s="70"/>
      <c r="I288" s="72" t="str">
        <f t="shared" si="2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8"/>
      <c r="B289" s="68"/>
      <c r="C289" s="68"/>
      <c r="D289" s="68"/>
      <c r="E289" s="70"/>
      <c r="F289" s="70"/>
      <c r="G289" s="70"/>
      <c r="H289" s="70"/>
      <c r="I289" s="72" t="str">
        <f t="shared" si="2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8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B265:C265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7">
      <formula1>Fertilité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3"/>
      <c r="K1" s="93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94" t="s">
        <v>83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95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96" t="s">
        <v>84</v>
      </c>
      <c r="C5" s="96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96"/>
      <c r="C6" s="9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97"/>
      <c r="B7" s="24" t="s">
        <v>85</v>
      </c>
      <c r="C7" s="98" t="s">
        <v>86</v>
      </c>
      <c r="D7" s="99"/>
      <c r="E7" s="99"/>
      <c r="F7" s="24" t="s">
        <v>85</v>
      </c>
      <c r="G7" s="98" t="s">
        <v>87</v>
      </c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</row>
    <row r="8" ht="17.25" customHeight="1">
      <c r="A8" s="100">
        <v>1.0</v>
      </c>
      <c r="B8" s="52">
        <v>0.0</v>
      </c>
      <c r="C8" s="51" t="s">
        <v>88</v>
      </c>
      <c r="D8" s="9"/>
      <c r="E8" s="100">
        <v>4.0</v>
      </c>
      <c r="F8" s="52">
        <v>1.0</v>
      </c>
      <c r="G8" s="101" t="s">
        <v>89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100">
        <v>2.0</v>
      </c>
      <c r="B9" s="52">
        <v>0.0</v>
      </c>
      <c r="C9" s="102" t="s">
        <v>90</v>
      </c>
      <c r="D9" s="9"/>
      <c r="E9" s="100">
        <v>5.0</v>
      </c>
      <c r="F9" s="52">
        <v>0.0</v>
      </c>
      <c r="G9" s="103" t="s">
        <v>91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100">
        <v>3.0</v>
      </c>
      <c r="B10" s="52">
        <v>0.0</v>
      </c>
      <c r="C10" s="104" t="s">
        <v>92</v>
      </c>
      <c r="D10" s="9"/>
      <c r="E10" s="9"/>
      <c r="F10" s="105">
        <f>SUM(F7:F9)</f>
        <v>1</v>
      </c>
      <c r="G10" s="106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105">
        <v>0.0</v>
      </c>
      <c r="C11" s="106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97"/>
      <c r="B13" s="107"/>
      <c r="C13" s="96" t="s">
        <v>93</v>
      </c>
      <c r="D13" s="97"/>
      <c r="E13" s="97"/>
      <c r="F13" s="107"/>
      <c r="G13" s="96" t="s">
        <v>94</v>
      </c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</row>
    <row r="14" ht="21.0" customHeight="1">
      <c r="A14" s="97"/>
      <c r="B14" s="107"/>
      <c r="C14" s="96" t="s">
        <v>95</v>
      </c>
      <c r="D14" s="97"/>
      <c r="E14" s="97"/>
      <c r="F14" s="107"/>
      <c r="G14" s="96" t="s">
        <v>96</v>
      </c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</row>
    <row r="15">
      <c r="A15" s="9"/>
      <c r="B15" s="24" t="s">
        <v>85</v>
      </c>
      <c r="C15" s="9"/>
      <c r="D15" s="9"/>
      <c r="E15" s="9"/>
      <c r="F15" s="9"/>
      <c r="G15" s="108" t="s">
        <v>97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52">
        <v>0.0</v>
      </c>
      <c r="C16" s="109" t="s">
        <v>98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52">
        <v>0.0</v>
      </c>
      <c r="C17" s="109" t="s">
        <v>99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52">
        <v>0.0</v>
      </c>
      <c r="C18" s="109" t="s">
        <v>100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105">
        <f>SUM(B16:B18)</f>
        <v>0</v>
      </c>
      <c r="C19" s="106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5" max="25" width="14.43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110" t="s">
        <v>101</v>
      </c>
      <c r="C1" s="111"/>
      <c r="D1" s="111"/>
      <c r="E1" s="111"/>
      <c r="F1" s="111"/>
      <c r="G1" s="111"/>
      <c r="H1" s="112"/>
      <c r="I1" s="113" t="str">
        <f>IF('Données projet'!$B$9="","",'Données projet'!$B$9)</f>
        <v>Pin sylvestre</v>
      </c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2"/>
      <c r="AD1" s="114" t="str">
        <f>IF('Données projet'!$B$10="","",'Données projet'!$B$10)</f>
        <v>Pin laricio</v>
      </c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2"/>
      <c r="AY1" s="113" t="str">
        <f>IF('Données projet'!$B$11="","",'Données projet'!$B$11)</f>
        <v>Cèdre de l'Atlas</v>
      </c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2"/>
      <c r="BT1" s="113" t="str">
        <f>IF('Données projet'!$B$12="","",'Données projet'!$B$12)</f>
        <v>Sapin pectiné</v>
      </c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2"/>
      <c r="CO1" s="113" t="str">
        <f>IF('Données projet'!$B$13="","",'Données projet'!$B$13)</f>
        <v>Chêne pubescent</v>
      </c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2"/>
      <c r="DJ1" s="113" t="str">
        <f>IF('Données projet'!$B$14="","",'Données projet'!$B$14)</f>
        <v>Chêne sessile</v>
      </c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2"/>
      <c r="EE1" s="113" t="str">
        <f>IF('Données projet'!$B$15="","",'Données projet'!$B$15)</f>
        <v>Châtaignier</v>
      </c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2"/>
      <c r="EZ1" s="113" t="str">
        <f>IF('Données projet'!$B$16="","",'Données projet'!$B$16)</f>
        <v>Robinier faux-acacia</v>
      </c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2"/>
      <c r="FU1" s="113" t="str">
        <f>IF('Données projet'!$B$17="","",'Données projet'!$B$17)</f>
        <v>Tilleul</v>
      </c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2"/>
      <c r="GP1" s="113" t="str">
        <f>IF('Données projet'!$B$18="","",'Données projet'!$B$18)</f>
        <v>Cormier</v>
      </c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2"/>
    </row>
    <row r="2">
      <c r="A2" s="115" t="s">
        <v>102</v>
      </c>
      <c r="B2" s="116" t="s">
        <v>103</v>
      </c>
      <c r="C2" s="117" t="s">
        <v>104</v>
      </c>
      <c r="D2" s="117" t="s">
        <v>105</v>
      </c>
      <c r="E2" s="117" t="s">
        <v>106</v>
      </c>
      <c r="F2" s="117" t="s">
        <v>107</v>
      </c>
      <c r="G2" s="117" t="s">
        <v>108</v>
      </c>
      <c r="H2" s="118" t="s">
        <v>109</v>
      </c>
      <c r="I2" s="119" t="s">
        <v>106</v>
      </c>
      <c r="J2" s="120" t="s">
        <v>107</v>
      </c>
      <c r="K2" s="121" t="s">
        <v>110</v>
      </c>
      <c r="L2" s="121" t="s">
        <v>111</v>
      </c>
      <c r="M2" s="121" t="s">
        <v>111</v>
      </c>
      <c r="N2" s="121" t="s">
        <v>112</v>
      </c>
      <c r="O2" s="121" t="s">
        <v>113</v>
      </c>
      <c r="P2" s="121" t="s">
        <v>114</v>
      </c>
      <c r="Q2" s="121" t="s">
        <v>108</v>
      </c>
      <c r="R2" s="121" t="s">
        <v>115</v>
      </c>
      <c r="S2" s="121" t="s">
        <v>116</v>
      </c>
      <c r="T2" s="121" t="s">
        <v>117</v>
      </c>
      <c r="U2" s="122" t="s">
        <v>118</v>
      </c>
      <c r="V2" s="123" t="s">
        <v>119</v>
      </c>
      <c r="W2" s="122" t="s">
        <v>59</v>
      </c>
      <c r="X2" s="122" t="s">
        <v>60</v>
      </c>
      <c r="Y2" s="122" t="s">
        <v>120</v>
      </c>
      <c r="Z2" s="123" t="s">
        <v>121</v>
      </c>
      <c r="AA2" s="123" t="s">
        <v>122</v>
      </c>
      <c r="AB2" s="123" t="s">
        <v>123</v>
      </c>
      <c r="AC2" s="124" t="s">
        <v>124</v>
      </c>
      <c r="AD2" s="120" t="s">
        <v>106</v>
      </c>
      <c r="AE2" s="120" t="s">
        <v>107</v>
      </c>
      <c r="AF2" s="121" t="s">
        <v>110</v>
      </c>
      <c r="AG2" s="121" t="s">
        <v>111</v>
      </c>
      <c r="AH2" s="121" t="s">
        <v>111</v>
      </c>
      <c r="AI2" s="121" t="s">
        <v>112</v>
      </c>
      <c r="AJ2" s="121" t="s">
        <v>113</v>
      </c>
      <c r="AK2" s="121" t="s">
        <v>114</v>
      </c>
      <c r="AL2" s="121" t="s">
        <v>108</v>
      </c>
      <c r="AM2" s="121" t="s">
        <v>115</v>
      </c>
      <c r="AN2" s="121" t="s">
        <v>116</v>
      </c>
      <c r="AO2" s="121" t="s">
        <v>117</v>
      </c>
      <c r="AP2" s="122" t="s">
        <v>118</v>
      </c>
      <c r="AQ2" s="123" t="s">
        <v>119</v>
      </c>
      <c r="AR2" s="122" t="s">
        <v>59</v>
      </c>
      <c r="AS2" s="122" t="s">
        <v>60</v>
      </c>
      <c r="AT2" s="123" t="s">
        <v>125</v>
      </c>
      <c r="AU2" s="123" t="s">
        <v>121</v>
      </c>
      <c r="AV2" s="123" t="s">
        <v>122</v>
      </c>
      <c r="AW2" s="123" t="s">
        <v>123</v>
      </c>
      <c r="AX2" s="123" t="s">
        <v>124</v>
      </c>
      <c r="AY2" s="119" t="s">
        <v>106</v>
      </c>
      <c r="AZ2" s="120" t="s">
        <v>107</v>
      </c>
      <c r="BA2" s="121" t="s">
        <v>110</v>
      </c>
      <c r="BB2" s="121" t="s">
        <v>111</v>
      </c>
      <c r="BC2" s="121" t="s">
        <v>111</v>
      </c>
      <c r="BD2" s="121" t="s">
        <v>112</v>
      </c>
      <c r="BE2" s="121" t="s">
        <v>113</v>
      </c>
      <c r="BF2" s="121" t="s">
        <v>114</v>
      </c>
      <c r="BG2" s="121" t="s">
        <v>108</v>
      </c>
      <c r="BH2" s="121" t="s">
        <v>115</v>
      </c>
      <c r="BI2" s="121" t="s">
        <v>116</v>
      </c>
      <c r="BJ2" s="121" t="s">
        <v>117</v>
      </c>
      <c r="BK2" s="122" t="s">
        <v>118</v>
      </c>
      <c r="BL2" s="123" t="s">
        <v>119</v>
      </c>
      <c r="BM2" s="122" t="s">
        <v>59</v>
      </c>
      <c r="BN2" s="122" t="s">
        <v>60</v>
      </c>
      <c r="BO2" s="123" t="s">
        <v>125</v>
      </c>
      <c r="BP2" s="123" t="s">
        <v>121</v>
      </c>
      <c r="BQ2" s="123" t="s">
        <v>122</v>
      </c>
      <c r="BR2" s="123" t="s">
        <v>123</v>
      </c>
      <c r="BS2" s="124" t="s">
        <v>124</v>
      </c>
      <c r="BT2" s="119" t="s">
        <v>106</v>
      </c>
      <c r="BU2" s="120" t="s">
        <v>107</v>
      </c>
      <c r="BV2" s="121" t="s">
        <v>110</v>
      </c>
      <c r="BW2" s="121" t="s">
        <v>111</v>
      </c>
      <c r="BX2" s="121" t="s">
        <v>111</v>
      </c>
      <c r="BY2" s="121" t="s">
        <v>112</v>
      </c>
      <c r="BZ2" s="121" t="s">
        <v>113</v>
      </c>
      <c r="CA2" s="121" t="s">
        <v>114</v>
      </c>
      <c r="CB2" s="121" t="s">
        <v>108</v>
      </c>
      <c r="CC2" s="121" t="s">
        <v>115</v>
      </c>
      <c r="CD2" s="121" t="s">
        <v>116</v>
      </c>
      <c r="CE2" s="121" t="s">
        <v>117</v>
      </c>
      <c r="CF2" s="122" t="s">
        <v>118</v>
      </c>
      <c r="CG2" s="123" t="s">
        <v>119</v>
      </c>
      <c r="CH2" s="122" t="s">
        <v>59</v>
      </c>
      <c r="CI2" s="122" t="s">
        <v>60</v>
      </c>
      <c r="CJ2" s="123" t="s">
        <v>125</v>
      </c>
      <c r="CK2" s="123" t="s">
        <v>121</v>
      </c>
      <c r="CL2" s="123" t="s">
        <v>122</v>
      </c>
      <c r="CM2" s="123" t="s">
        <v>123</v>
      </c>
      <c r="CN2" s="124" t="s">
        <v>124</v>
      </c>
      <c r="CO2" s="119" t="s">
        <v>106</v>
      </c>
      <c r="CP2" s="120" t="s">
        <v>107</v>
      </c>
      <c r="CQ2" s="121" t="s">
        <v>110</v>
      </c>
      <c r="CR2" s="121" t="s">
        <v>111</v>
      </c>
      <c r="CS2" s="121" t="s">
        <v>111</v>
      </c>
      <c r="CT2" s="121" t="s">
        <v>112</v>
      </c>
      <c r="CU2" s="121" t="s">
        <v>113</v>
      </c>
      <c r="CV2" s="121" t="s">
        <v>114</v>
      </c>
      <c r="CW2" s="121" t="s">
        <v>108</v>
      </c>
      <c r="CX2" s="121" t="s">
        <v>115</v>
      </c>
      <c r="CY2" s="121" t="s">
        <v>116</v>
      </c>
      <c r="CZ2" s="121" t="s">
        <v>117</v>
      </c>
      <c r="DA2" s="122" t="s">
        <v>118</v>
      </c>
      <c r="DB2" s="123" t="s">
        <v>119</v>
      </c>
      <c r="DC2" s="122" t="s">
        <v>59</v>
      </c>
      <c r="DD2" s="122" t="s">
        <v>60</v>
      </c>
      <c r="DE2" s="123" t="s">
        <v>125</v>
      </c>
      <c r="DF2" s="123" t="s">
        <v>121</v>
      </c>
      <c r="DG2" s="123" t="s">
        <v>122</v>
      </c>
      <c r="DH2" s="123" t="s">
        <v>123</v>
      </c>
      <c r="DI2" s="124" t="s">
        <v>124</v>
      </c>
      <c r="DJ2" s="119" t="s">
        <v>106</v>
      </c>
      <c r="DK2" s="120" t="s">
        <v>107</v>
      </c>
      <c r="DL2" s="121" t="s">
        <v>110</v>
      </c>
      <c r="DM2" s="121" t="s">
        <v>111</v>
      </c>
      <c r="DN2" s="121" t="s">
        <v>111</v>
      </c>
      <c r="DO2" s="121" t="s">
        <v>112</v>
      </c>
      <c r="DP2" s="121" t="s">
        <v>113</v>
      </c>
      <c r="DQ2" s="121" t="s">
        <v>114</v>
      </c>
      <c r="DR2" s="121" t="s">
        <v>108</v>
      </c>
      <c r="DS2" s="121" t="s">
        <v>115</v>
      </c>
      <c r="DT2" s="121" t="s">
        <v>116</v>
      </c>
      <c r="DU2" s="121" t="s">
        <v>117</v>
      </c>
      <c r="DV2" s="122" t="s">
        <v>118</v>
      </c>
      <c r="DW2" s="123" t="s">
        <v>119</v>
      </c>
      <c r="DX2" s="122" t="s">
        <v>59</v>
      </c>
      <c r="DY2" s="122" t="s">
        <v>60</v>
      </c>
      <c r="DZ2" s="123" t="s">
        <v>125</v>
      </c>
      <c r="EA2" s="123" t="s">
        <v>121</v>
      </c>
      <c r="EB2" s="123" t="s">
        <v>122</v>
      </c>
      <c r="EC2" s="123" t="s">
        <v>123</v>
      </c>
      <c r="ED2" s="124" t="s">
        <v>124</v>
      </c>
      <c r="EE2" s="119" t="s">
        <v>106</v>
      </c>
      <c r="EF2" s="120" t="s">
        <v>107</v>
      </c>
      <c r="EG2" s="121" t="s">
        <v>110</v>
      </c>
      <c r="EH2" s="121" t="s">
        <v>111</v>
      </c>
      <c r="EI2" s="121" t="s">
        <v>111</v>
      </c>
      <c r="EJ2" s="121" t="s">
        <v>112</v>
      </c>
      <c r="EK2" s="121" t="s">
        <v>113</v>
      </c>
      <c r="EL2" s="121" t="s">
        <v>114</v>
      </c>
      <c r="EM2" s="121" t="s">
        <v>108</v>
      </c>
      <c r="EN2" s="121" t="s">
        <v>115</v>
      </c>
      <c r="EO2" s="121" t="s">
        <v>116</v>
      </c>
      <c r="EP2" s="121" t="s">
        <v>117</v>
      </c>
      <c r="EQ2" s="122" t="s">
        <v>118</v>
      </c>
      <c r="ER2" s="123" t="s">
        <v>119</v>
      </c>
      <c r="ES2" s="122" t="s">
        <v>59</v>
      </c>
      <c r="ET2" s="122" t="s">
        <v>60</v>
      </c>
      <c r="EU2" s="123" t="s">
        <v>125</v>
      </c>
      <c r="EV2" s="123" t="s">
        <v>121</v>
      </c>
      <c r="EW2" s="123" t="s">
        <v>122</v>
      </c>
      <c r="EX2" s="123" t="s">
        <v>123</v>
      </c>
      <c r="EY2" s="124" t="s">
        <v>124</v>
      </c>
      <c r="EZ2" s="119" t="s">
        <v>106</v>
      </c>
      <c r="FA2" s="120" t="s">
        <v>107</v>
      </c>
      <c r="FB2" s="121" t="s">
        <v>110</v>
      </c>
      <c r="FC2" s="121" t="s">
        <v>111</v>
      </c>
      <c r="FD2" s="121" t="s">
        <v>111</v>
      </c>
      <c r="FE2" s="121" t="s">
        <v>112</v>
      </c>
      <c r="FF2" s="121" t="s">
        <v>113</v>
      </c>
      <c r="FG2" s="121" t="s">
        <v>114</v>
      </c>
      <c r="FH2" s="121" t="s">
        <v>108</v>
      </c>
      <c r="FI2" s="121" t="s">
        <v>115</v>
      </c>
      <c r="FJ2" s="121" t="s">
        <v>116</v>
      </c>
      <c r="FK2" s="121" t="s">
        <v>117</v>
      </c>
      <c r="FL2" s="122" t="s">
        <v>118</v>
      </c>
      <c r="FM2" s="123" t="s">
        <v>119</v>
      </c>
      <c r="FN2" s="122" t="s">
        <v>59</v>
      </c>
      <c r="FO2" s="122" t="s">
        <v>60</v>
      </c>
      <c r="FP2" s="123" t="s">
        <v>126</v>
      </c>
      <c r="FQ2" s="123" t="s">
        <v>121</v>
      </c>
      <c r="FR2" s="123" t="s">
        <v>122</v>
      </c>
      <c r="FS2" s="123" t="s">
        <v>123</v>
      </c>
      <c r="FT2" s="124" t="s">
        <v>124</v>
      </c>
      <c r="FU2" s="119" t="s">
        <v>106</v>
      </c>
      <c r="FV2" s="120" t="s">
        <v>107</v>
      </c>
      <c r="FW2" s="121" t="s">
        <v>110</v>
      </c>
      <c r="FX2" s="121" t="s">
        <v>111</v>
      </c>
      <c r="FY2" s="121" t="s">
        <v>111</v>
      </c>
      <c r="FZ2" s="121" t="s">
        <v>112</v>
      </c>
      <c r="GA2" s="121" t="s">
        <v>113</v>
      </c>
      <c r="GB2" s="121" t="s">
        <v>114</v>
      </c>
      <c r="GC2" s="121" t="s">
        <v>108</v>
      </c>
      <c r="GD2" s="121" t="s">
        <v>115</v>
      </c>
      <c r="GE2" s="121" t="s">
        <v>116</v>
      </c>
      <c r="GF2" s="121" t="s">
        <v>117</v>
      </c>
      <c r="GG2" s="122" t="s">
        <v>118</v>
      </c>
      <c r="GH2" s="123" t="s">
        <v>119</v>
      </c>
      <c r="GI2" s="122" t="s">
        <v>59</v>
      </c>
      <c r="GJ2" s="122" t="s">
        <v>60</v>
      </c>
      <c r="GK2" s="123" t="s">
        <v>125</v>
      </c>
      <c r="GL2" s="123" t="s">
        <v>121</v>
      </c>
      <c r="GM2" s="123" t="s">
        <v>122</v>
      </c>
      <c r="GN2" s="123" t="s">
        <v>123</v>
      </c>
      <c r="GO2" s="123" t="s">
        <v>124</v>
      </c>
      <c r="GP2" s="119" t="s">
        <v>106</v>
      </c>
      <c r="GQ2" s="120" t="s">
        <v>107</v>
      </c>
      <c r="GR2" s="121" t="s">
        <v>110</v>
      </c>
      <c r="GS2" s="121" t="s">
        <v>111</v>
      </c>
      <c r="GT2" s="121" t="s">
        <v>111</v>
      </c>
      <c r="GU2" s="121" t="s">
        <v>112</v>
      </c>
      <c r="GV2" s="121" t="s">
        <v>113</v>
      </c>
      <c r="GW2" s="121" t="s">
        <v>114</v>
      </c>
      <c r="GX2" s="121" t="s">
        <v>108</v>
      </c>
      <c r="GY2" s="121" t="s">
        <v>115</v>
      </c>
      <c r="GZ2" s="121" t="s">
        <v>116</v>
      </c>
      <c r="HA2" s="121" t="s">
        <v>117</v>
      </c>
      <c r="HB2" s="122" t="s">
        <v>118</v>
      </c>
      <c r="HC2" s="123" t="s">
        <v>119</v>
      </c>
      <c r="HD2" s="122" t="s">
        <v>59</v>
      </c>
      <c r="HE2" s="122" t="s">
        <v>60</v>
      </c>
      <c r="HF2" s="123" t="s">
        <v>125</v>
      </c>
      <c r="HG2" s="123" t="s">
        <v>121</v>
      </c>
      <c r="HH2" s="123" t="s">
        <v>122</v>
      </c>
      <c r="HI2" s="123" t="s">
        <v>123</v>
      </c>
      <c r="HJ2" s="124" t="s">
        <v>124</v>
      </c>
    </row>
    <row r="3">
      <c r="A3" s="125">
        <v>0.0</v>
      </c>
      <c r="B3" s="126">
        <f>'Scénario référence'!$B$16*5+'Scénario référence'!$B$17*0+'Scénario référence'!$B$18*5</f>
        <v>0</v>
      </c>
      <c r="C3" s="127">
        <v>0.0</v>
      </c>
      <c r="D3" s="127">
        <v>0.0</v>
      </c>
      <c r="E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7">
        <f>IF(OR('Scénario référence'!$F$8&gt;0,'Scénario référence'!$F$9&gt;0),('Scénario référence'!$F$8+'Scénario référence'!$F$9)*10,0)</f>
        <v>10</v>
      </c>
      <c r="G3" s="127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28">
        <f t="shared" ref="H3:H203" si="1">(B3+E3+F3)*44/12+(C3+D3)*0.475*44/12</f>
        <v>293.3333333</v>
      </c>
      <c r="I3" s="12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0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1">
        <v>0.0</v>
      </c>
      <c r="L3" s="131" t="str">
        <f>VLOOKUP(A3,'Données projet'!$A$35:$I$55,9,0)</f>
        <v>#N/A</v>
      </c>
      <c r="M3" s="131">
        <v>0.0</v>
      </c>
      <c r="N3" s="130">
        <v>0.0</v>
      </c>
      <c r="O3" s="131">
        <f>N3*VLOOKUP('Données projet'!$B$9,'Paramètres'!$A$1:$I$89,3,0)*VLOOKUP('Données projet'!$B$9,'Paramètres'!$A$1:$I$89,5,0)</f>
        <v>0</v>
      </c>
      <c r="P3" s="131">
        <v>0.0</v>
      </c>
      <c r="Q3" s="132">
        <f t="shared" ref="Q3:Q203" si="2">(O3+P3)*0.475*44/12</f>
        <v>0</v>
      </c>
      <c r="R3" s="133">
        <f t="shared" ref="R3:R203" si="3">Q3+(I3+J3)*44/12</f>
        <v>293.3333333</v>
      </c>
      <c r="S3" s="133">
        <f>AVERAGE(OFFSET($R$3,0,0,'Données projet'!$E$9+1,1))-AVERAGE(OFFSET($H$3,0,0,'Données projet'!$E$9+1,1))</f>
        <v>126.9946492</v>
      </c>
      <c r="T3" s="133">
        <f>IF('Données projet'!E9&gt;30,$R$33-$H$33,LOOKUP('Données projet'!$E$9,$A$3:$A$203,R3:R203)-LOOKUP('Données projet'!$E$9,$A$3:$A$203,$H$3:$H$203))</f>
        <v>140.039049</v>
      </c>
      <c r="U3" s="134">
        <f>IF(ISNA(VLOOKUP(A3,'Données projet'!$A$35:$I$55,3,0)),0,VLOOKUP(A3,'Données projet'!$A$35:$I$55,3,0))</f>
        <v>0</v>
      </c>
      <c r="V3" s="134">
        <f>IF(ISNA(VLOOKUP(A3,'Données projet'!$A$35:$I$55,4,0)),0,VLOOKUP(A3,'Données projet'!$A$35:$I$55,4,0))</f>
        <v>0</v>
      </c>
      <c r="W3" s="135">
        <f>IF(ISNA(VLOOKUP(A3,'Données projet'!$A$35:$I$55,5,0)),0%,VLOOKUP(A3,'Données projet'!$A$35:$I$55,5,0)*VLOOKUP('Données projet'!$B$9,'Paramètres'!$A$1:$I$89,7,0))</f>
        <v>0</v>
      </c>
      <c r="X3" s="135">
        <f>IF(ISNA(VLOOKUP(A3,'Données projet'!$A$35:$I$55,6,0)),0%,VLOOKUP(A3,'Données projet'!$A$35:$I$55,6,0)*VLOOKUP('Données projet'!$B$9,'Paramètres'!$A$1:$I$89,7,0))</f>
        <v>0</v>
      </c>
      <c r="Y3" s="135">
        <f>IF(ISNA(VLOOKUP(A3,'Données projet'!$A$35:$I$55,7,0)),0%,VLOOKUP(A3,'Données projet'!$A$35:$I$55,7,0))</f>
        <v>0</v>
      </c>
      <c r="Z3" s="134">
        <v>0.0</v>
      </c>
      <c r="AA3" s="134">
        <v>0.0</v>
      </c>
      <c r="AB3" s="134">
        <v>0.0</v>
      </c>
      <c r="AC3" s="136">
        <f t="shared" ref="AC3:AC203" si="4">SUM(Z3:AB3)</f>
        <v>0</v>
      </c>
      <c r="AD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0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1">
        <v>0.0</v>
      </c>
      <c r="AG3" s="131" t="str">
        <f>VLOOKUP(A3,'Données projet'!$A$61:$I$81,9,0)</f>
        <v>#N/A</v>
      </c>
      <c r="AH3" s="131">
        <v>0.0</v>
      </c>
      <c r="AI3" s="130">
        <v>0.0</v>
      </c>
      <c r="AJ3" s="130">
        <f>AI3*VLOOKUP('Données projet'!$B$10,'Paramètres'!$A$1:$I$89,3,0)*VLOOKUP('Données projet'!$B$10,'Paramètres'!$A$1:$I$89,5,0)</f>
        <v>0</v>
      </c>
      <c r="AK3" s="131">
        <v>0.0</v>
      </c>
      <c r="AL3" s="132">
        <f t="shared" ref="AL3:AL203" si="5">(AJ3+AK3)*0.475*44/12</f>
        <v>0</v>
      </c>
      <c r="AM3" s="133">
        <f t="shared" ref="AM3:AM203" si="6">AL3+(AD3+AE3)*44/12</f>
        <v>293.3333333</v>
      </c>
      <c r="AN3" s="133">
        <f>AVERAGE(OFFSET($AM$3,0,0,'Données projet'!$E$10+1,1))-AVERAGE(OFFSET($H$3,0,0,'Données projet'!$E$10+1,1))</f>
        <v>196.874484</v>
      </c>
      <c r="AO3" s="133">
        <f>IF('Données projet'!E10&gt;30,$AM$33-$H$33,LOOKUP('Données projet'!$E$10,$A$3:$A$203,AM3:AM203)-LOOKUP('Données projet'!$E$10,$A$3:$A$203,$H$3:$H$203))</f>
        <v>217.5750859</v>
      </c>
      <c r="AP3" s="134">
        <f>IF(ISNA(VLOOKUP(A3,'Données projet'!$A$61:$I$81,3,0)),0,VLOOKUP(A3,'Données projet'!$A$61:$I$81,3,0))</f>
        <v>0</v>
      </c>
      <c r="AQ3" s="134">
        <f>IF(ISNA(VLOOKUP(A3,'Données projet'!$A$61:$I$81,4,0)),0,VLOOKUP(A3,'Données projet'!$A$61:$I$81,4,0))</f>
        <v>0</v>
      </c>
      <c r="AR3" s="135">
        <f>IF(ISNA(VLOOKUP(A3,'Données projet'!$A$61:$I$81,5,0)),0%,VLOOKUP(A3,'Données projet'!$A$61:$I$81,5,0)*VLOOKUP('Données projet'!$B$10,'Paramètres'!$A$1:$I$89,7,0))</f>
        <v>0</v>
      </c>
      <c r="AS3" s="135">
        <f>IF(ISNA(VLOOKUP(A3,'Données projet'!$A$61:$I$81,6,0)),0%,VLOOKUP(A3,'Données projet'!$A$61:$I$81,6,0)*VLOOKUP('Données projet'!$B$10,'Paramètres'!$A$1:$I$89,7,0))</f>
        <v>0</v>
      </c>
      <c r="AT3" s="135">
        <f>IF(ISNA(VLOOKUP(A3,'Données projet'!$A$61:$I$81,7,0)),0%,VLOOKUP(A3,'Données projet'!$A$61:$I$81,7,0))</f>
        <v>0</v>
      </c>
      <c r="AU3" s="134">
        <v>0.0</v>
      </c>
      <c r="AV3" s="134">
        <v>0.0</v>
      </c>
      <c r="AW3" s="134">
        <v>0.0</v>
      </c>
      <c r="AX3" s="134">
        <f t="shared" ref="AX3:AX203" si="7">SUM(AU3:AW3)</f>
        <v>0</v>
      </c>
      <c r="AY3" s="13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1">
        <v>0.0</v>
      </c>
      <c r="BB3" s="131" t="str">
        <f>VLOOKUP(A3,'Données projet'!$A$87:$I$107,9,0)</f>
        <v>#N/A</v>
      </c>
      <c r="BC3" s="131">
        <v>0.0</v>
      </c>
      <c r="BD3" s="131">
        <v>0.0</v>
      </c>
      <c r="BE3" s="138">
        <f>BD3*VLOOKUP('Données projet'!$B$11,'Paramètres'!$A$1:$I$89,3,0)*VLOOKUP('Données projet'!$B$11,'Paramètres'!$A$1:$I$89,5,0)</f>
        <v>0</v>
      </c>
      <c r="BF3" s="131">
        <v>0.0</v>
      </c>
      <c r="BG3" s="132">
        <f t="shared" ref="BG3:BG203" si="8">(BE3+BF3)*0.475*44/12</f>
        <v>0</v>
      </c>
      <c r="BH3" s="133">
        <f t="shared" ref="BH3:BH203" si="9">BG3+(AY3+AZ3)*44/12</f>
        <v>293.3333333</v>
      </c>
      <c r="BI3" s="133">
        <f>AVERAGE(OFFSET($BH$3,0,0,'Données projet'!$E$11+1,1))-AVERAGE(OFFSET($H$3,0,0,'Données projet'!$E$11+1,1))</f>
        <v>134.0948534</v>
      </c>
      <c r="BJ3" s="133">
        <f>IF('Données projet'!E11&gt;30,$BH$33-$H$33,LOOKUP('Données projet'!$E$11,$A$3:$A$203,BH3:BH203)-LOOKUP('Données projet'!$E$11,$A$3:$A$203,$H$3:$H$203))</f>
        <v>108.4102536</v>
      </c>
      <c r="BK3" s="134">
        <f>IF(ISNA(VLOOKUP(A3,'Données projet'!$A$87:$I$107,3,0)),0,VLOOKUP(A3,'Données projet'!$A$87:$I$107,3,0))</f>
        <v>0</v>
      </c>
      <c r="BL3" s="134">
        <f>IF(ISNA(VLOOKUP(A3,'Données projet'!$A$87:$I$107,4,0)),0,VLOOKUP(A3,'Données projet'!$A$87:$I$107,4,0))</f>
        <v>0</v>
      </c>
      <c r="BM3" s="135">
        <f>IF(ISNA(VLOOKUP(A3,'Données projet'!$A$87:$I$107,5,0)),0%,VLOOKUP(A3,'Données projet'!$A$87:$I$107,5,0)*VLOOKUP('Données projet'!$B$11,'Paramètres'!$A$1:$I$89,7,0))</f>
        <v>0</v>
      </c>
      <c r="BN3" s="135">
        <f>IF(ISNA(VLOOKUP(A3,'Données projet'!$A$87:$I$107,6,0)),0%,VLOOKUP(A3,'Données projet'!$A$87:$I$107,6,0)*VLOOKUP('Données projet'!$B$11,'Paramètres'!$A$1:$I$89,7,0))</f>
        <v>0</v>
      </c>
      <c r="BO3" s="135">
        <f>IF(ISNA(VLOOKUP(A3,'Données projet'!$A$87:$I$107,7,0)),0%,VLOOKUP(A3,'Données projet'!$A$87:$I$107,7,0))</f>
        <v>0</v>
      </c>
      <c r="BP3" s="134">
        <v>0.0</v>
      </c>
      <c r="BQ3" s="134">
        <v>0.0</v>
      </c>
      <c r="BR3" s="134">
        <v>0.0</v>
      </c>
      <c r="BS3" s="136">
        <f t="shared" ref="BS3:BS203" si="10">SUM(BP3:BR3)</f>
        <v>0</v>
      </c>
      <c r="BT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1">
        <v>0.0</v>
      </c>
      <c r="BW3" s="131" t="str">
        <f>VLOOKUP(A3,'Données projet'!$A$113:$I$133,9,0)</f>
        <v>#N/A</v>
      </c>
      <c r="BX3" s="131">
        <v>0.0</v>
      </c>
      <c r="BY3" s="131">
        <v>0.0</v>
      </c>
      <c r="BZ3" s="138">
        <f>BY3*VLOOKUP('Données projet'!$B$12,'Paramètres'!$A$1:$I$89,3,0)*VLOOKUP('Données projet'!$B$12,'Paramètres'!$A$1:$I$89,5,0)</f>
        <v>0</v>
      </c>
      <c r="CA3" s="131">
        <v>0.0</v>
      </c>
      <c r="CB3" s="132">
        <f t="shared" ref="CB3:CB203" si="11">(BZ3+CA3)*0.475*44/12</f>
        <v>0</v>
      </c>
      <c r="CC3" s="133">
        <f t="shared" ref="CC3:CC203" si="12">CB3+(BT3+BU3)*44/12</f>
        <v>293.3333333</v>
      </c>
      <c r="CD3" s="133">
        <f>AVERAGE(OFFSET($CC$3,0,0,'Données projet'!$E$12+1,1))-AVERAGE(OFFSET($H$3,0,0,'Données projet'!$E$12+1,1))</f>
        <v>258.1672054</v>
      </c>
      <c r="CE3" s="133">
        <f>IF('Données projet'!E12&gt;30,$CC$33-$H$33,LOOKUP('Données projet'!$E$12,$A$3:$A$203,CC3:CC203)-LOOKUP('Données projet'!$E$12,$A$3:$A$203,$H$3:$H$203))</f>
        <v>296.0724261</v>
      </c>
      <c r="CF3" s="134">
        <f>IF(ISNA(VLOOKUP(A3,'Données projet'!$A$113:$I$133,3,0)),0,VLOOKUP(A3,'Données projet'!$A$113:$I$133,3,0))</f>
        <v>0</v>
      </c>
      <c r="CG3" s="134">
        <f>IF(ISNA(VLOOKUP(A3,'Données projet'!$A$113:$I$133,4,0)),0,VLOOKUP(A3,'Données projet'!$A$113:$I$133,4,0))</f>
        <v>0</v>
      </c>
      <c r="CH3" s="135">
        <f>IF(ISNA(VLOOKUP(A3,'Données projet'!$A$113:$I$133,5,0)),0%,VLOOKUP(A3,'Données projet'!$A$113:$I$133,5,0)*VLOOKUP('Données projet'!$B$12,'Paramètres'!$A$1:$I$89,7,0))</f>
        <v>0</v>
      </c>
      <c r="CI3" s="135">
        <f>IF(ISNA(VLOOKUP(A3,'Données projet'!$A$113:$I$133,6,0)),0%,VLOOKUP(A3,'Données projet'!$A$113:$I$133,6,0)*VLOOKUP('Données projet'!$B$12,'Paramètres'!$A$1:$I$89,7,0))</f>
        <v>0</v>
      </c>
      <c r="CJ3" s="135">
        <f>IF(ISNA(VLOOKUP(A3,'Données projet'!$A$113:$I$133,7,0)),0%,VLOOKUP(A3,'Données projet'!$A$113:$I$133,7,0))</f>
        <v>0</v>
      </c>
      <c r="CK3" s="134">
        <v>0.0</v>
      </c>
      <c r="CL3" s="134">
        <v>0.0</v>
      </c>
      <c r="CM3" s="134">
        <v>0.0</v>
      </c>
      <c r="CN3" s="136">
        <f t="shared" ref="CN3:CN203" si="13">SUM(CK3:CM3)</f>
        <v>0</v>
      </c>
      <c r="CO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1">
        <v>0.0</v>
      </c>
      <c r="CR3" s="131" t="str">
        <f>VLOOKUP(A3,'Données projet'!$A$139:$I$159,9,0)</f>
        <v>#N/A</v>
      </c>
      <c r="CS3" s="131">
        <v>0.0</v>
      </c>
      <c r="CT3" s="131">
        <v>0.0</v>
      </c>
      <c r="CU3" s="138">
        <f>CT3*VLOOKUP('Données projet'!$B$13,'Paramètres'!$A$1:$I$89,3,0)*VLOOKUP('Données projet'!$B$13,'Paramètres'!$A$1:$I$89,5,0)</f>
        <v>0</v>
      </c>
      <c r="CV3" s="131">
        <v>0.0</v>
      </c>
      <c r="CW3" s="132">
        <f t="shared" ref="CW3:CW203" si="14">(CU3+CV3)*0.475*44/12</f>
        <v>0</v>
      </c>
      <c r="CX3" s="133">
        <f t="shared" ref="CX3:CX203" si="15">CW3+(CO3+CP3)*44/12</f>
        <v>293.3333333</v>
      </c>
      <c r="CY3" s="133">
        <f>AVERAGE(OFFSET($CX$3,0,0,'Données projet'!$E$13+1,1))-AVERAGE(OFFSET($H$3,0,0,'Données projet'!$E$13+1,1))</f>
        <v>223.783507</v>
      </c>
      <c r="CZ3" s="133">
        <f>IF('Données projet'!E13&gt;30,$CX$33-$H$33,LOOKUP('Données projet'!$E$13,$A$3:$A$203,CX3:CX203)-LOOKUP('Données projet'!$E$13,$A$3:$A$203,$H$3:$H$203))</f>
        <v>84.92349117</v>
      </c>
      <c r="DA3" s="134">
        <f>IF(ISNA(VLOOKUP(A3,'Données projet'!$A$139:$I$159,3,0)),0,VLOOKUP(A3,'Données projet'!$A$139:$I$159,3,0))</f>
        <v>0</v>
      </c>
      <c r="DB3" s="134">
        <f>IF(ISNA(VLOOKUP(A3,'Données projet'!$A$139:$I$159,4,0)),0,VLOOKUP(A3,'Données projet'!$A$139:$I$159,4,0))</f>
        <v>0</v>
      </c>
      <c r="DC3" s="135">
        <f>IF(ISNA(VLOOKUP(A3,'Données projet'!$A$139:$I$159,5,0)),0%,VLOOKUP(A3,'Données projet'!$A$139:$I$159,5,0)*VLOOKUP('Données projet'!$B$13,'Paramètres'!$A$1:$I$89,7,0))</f>
        <v>0</v>
      </c>
      <c r="DD3" s="135">
        <f>IF(ISNA(VLOOKUP(A3,'Données projet'!$A$139:$I$159,6,0)),0%,VLOOKUP(A3,'Données projet'!$A$139:$I$159,6,0)*VLOOKUP('Données projet'!$B$13,'Paramètres'!$A$1:$I$89,7,0))</f>
        <v>0</v>
      </c>
      <c r="DE3" s="135">
        <f>IF(ISNA(VLOOKUP(A3,'Données projet'!$A$139:$I$159,7,0)),0%,VLOOKUP(A3,'Données projet'!$A$139:$I$159,7,0))</f>
        <v>0</v>
      </c>
      <c r="DF3" s="134">
        <v>0.0</v>
      </c>
      <c r="DG3" s="134">
        <v>0.0</v>
      </c>
      <c r="DH3" s="134">
        <v>0.0</v>
      </c>
      <c r="DI3" s="136">
        <f t="shared" ref="DI3:DI203" si="16">SUM(DF3:DH3)</f>
        <v>0</v>
      </c>
      <c r="DJ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1">
        <v>0.0</v>
      </c>
      <c r="DM3" s="131" t="str">
        <f>VLOOKUP(A3,'Données projet'!$A$165:$I$185,9,0)</f>
        <v>#N/A</v>
      </c>
      <c r="DN3" s="131">
        <v>0.0</v>
      </c>
      <c r="DO3" s="131">
        <v>0.0</v>
      </c>
      <c r="DP3" s="138">
        <f>DO3*VLOOKUP('Données projet'!$B$14,'Paramètres'!$A$1:$I$89,3,0)*VLOOKUP('Données projet'!$B$14,'Paramètres'!$A$1:$I$89,5,0)</f>
        <v>0</v>
      </c>
      <c r="DQ3" s="131">
        <v>0.0</v>
      </c>
      <c r="DR3" s="132">
        <f t="shared" ref="DR3:DR203" si="17">(DP3+DQ3)*0.475*44/12</f>
        <v>0</v>
      </c>
      <c r="DS3" s="133">
        <f t="shared" ref="DS3:DS203" si="18">DR3+(DJ3+DK3)*44/12</f>
        <v>293.3333333</v>
      </c>
      <c r="DT3" s="133">
        <f>AVERAGE(OFFSET($DS$3,0,0,'Données projet'!$E$14+1,1))-AVERAGE(OFFSET($H$3,0,0,'Données projet'!$E$14+1,1))</f>
        <v>287.9334714</v>
      </c>
      <c r="DU3" s="133">
        <f>IF('Données projet'!E14&gt;30,$DS$33-$H$33,LOOKUP('Données projet'!$E$14,$A$3:$A$203,DS3:DS203)-LOOKUP('Données projet'!$E$14,$A$3:$A$203,$H$3:$H$203))</f>
        <v>156.6796502</v>
      </c>
      <c r="DV3" s="134">
        <f>IF(ISNA(VLOOKUP(A3,'Données projet'!$A$165:$I$185,3,0)),0,VLOOKUP(A3,'Données projet'!$A$165:$I$185,3,0))</f>
        <v>0</v>
      </c>
      <c r="DW3" s="134">
        <f>IF(ISNA(VLOOKUP(A3,'Données projet'!$A$165:$I$185,4,0)),0,VLOOKUP(A3,'Données projet'!$A$165:$I$185,4,0))</f>
        <v>0</v>
      </c>
      <c r="DX3" s="135">
        <f>IF(ISNA(VLOOKUP(A3,'Données projet'!$A$165:$I$185,5,0)),0%,VLOOKUP(A3,'Données projet'!$A$165:$I$185,5,0)*VLOOKUP('Données projet'!$B$14,'Paramètres'!$A$1:$I$89,7,0))</f>
        <v>0</v>
      </c>
      <c r="DY3" s="135">
        <f>IF(ISNA(VLOOKUP(A3,'Données projet'!$A$165:$I$185,6,0)),0%,VLOOKUP(A3,'Données projet'!$A$165:$I$185,6,0)*VLOOKUP('Données projet'!$B$14,'Paramètres'!$A$1:$I$89,7,0))</f>
        <v>0</v>
      </c>
      <c r="DZ3" s="135">
        <f>IF(ISNA(VLOOKUP(A3,'Données projet'!$A$165:$I$185,7,0)),0%,VLOOKUP(A3,'Données projet'!$A$165:$I$185,7,0))</f>
        <v>0</v>
      </c>
      <c r="EA3" s="134">
        <v>0.0</v>
      </c>
      <c r="EB3" s="134">
        <v>0.0</v>
      </c>
      <c r="EC3" s="134">
        <v>0.0</v>
      </c>
      <c r="ED3" s="136">
        <f t="shared" ref="ED3:ED203" si="19">SUM(EA3:EC3)</f>
        <v>0</v>
      </c>
      <c r="EE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1">
        <v>0.0</v>
      </c>
      <c r="EH3" s="131" t="str">
        <f>VLOOKUP(A3,'Données projet'!$A$191:$I$211,9,0)</f>
        <v>#N/A</v>
      </c>
      <c r="EI3" s="131">
        <v>0.0</v>
      </c>
      <c r="EJ3" s="131">
        <v>0.0</v>
      </c>
      <c r="EK3" s="138">
        <f>EJ3*VLOOKUP('Données projet'!$B$15,'Paramètres'!$A$1:$I$89,3,0)*VLOOKUP('Données projet'!$B$15,'Paramètres'!$A$1:$I$89,5,0)</f>
        <v>0</v>
      </c>
      <c r="EL3" s="131">
        <v>0.0</v>
      </c>
      <c r="EM3" s="132">
        <f t="shared" ref="EM3:EM203" si="20">(EK3+EL3)*0.475*44/12</f>
        <v>0</v>
      </c>
      <c r="EN3" s="133">
        <f t="shared" ref="EN3:EN203" si="21">EM3+(EE3+EF3)*44/12</f>
        <v>293.3333333</v>
      </c>
      <c r="EO3" s="133">
        <f>AVERAGE(OFFSET($EN$3,0,0,'Données projet'!$E$15+1,1))-AVERAGE(OFFSET($H$3,0,0,'Données projet'!$E$15+1,1))</f>
        <v>130.3193339</v>
      </c>
      <c r="EP3" s="133">
        <f>IF('Données projet'!E15&gt;30,$EN$33-$H$33,LOOKUP('Données projet'!$E$15,$A$3:$A$203,EN3:EN203)-LOOKUP('Données projet'!$E$15,$A$3:$A$203,$H$3:$H$203))</f>
        <v>82.22784365</v>
      </c>
      <c r="EQ3" s="134">
        <f>IF(ISNA(VLOOKUP(A3,'Données projet'!$A$191:$I$211,3,0)),0,VLOOKUP(A3,'Données projet'!$A$191:$I$211,3,0))</f>
        <v>0</v>
      </c>
      <c r="ER3" s="134">
        <f>IF(ISNA(VLOOKUP(A3,'Données projet'!$A$191:$I$211,4,0)),0,VLOOKUP(A3,'Données projet'!$A$191:$I$211,4,0))</f>
        <v>0</v>
      </c>
      <c r="ES3" s="135">
        <f>IF(ISNA(VLOOKUP(A3,'Données projet'!$A$191:$I$211,5,0)),0%,VLOOKUP(A3,'Données projet'!$A$191:$I$211,5,0)*VLOOKUP('Données projet'!$B$15,'Paramètres'!$A$1:$I$89,7,0))</f>
        <v>0</v>
      </c>
      <c r="ET3" s="135">
        <f>IF(ISNA(VLOOKUP(A3,'Données projet'!$A$191:$I$211,6,0)),0%,VLOOKUP(A3,'Données projet'!$A$191:$I$211,6,0)*VLOOKUP('Données projet'!$B$15,'Paramètres'!$A$1:$I$89,7,0))</f>
        <v>0</v>
      </c>
      <c r="EU3" s="135">
        <f>IF(ISNA(VLOOKUP(A3,'Données projet'!$A$191:$I$211,7,0)),0%,VLOOKUP(A3,'Données projet'!$A$191:$I$211,7,0))</f>
        <v>0</v>
      </c>
      <c r="EV3" s="134">
        <v>0.0</v>
      </c>
      <c r="EW3" s="134">
        <v>0.0</v>
      </c>
      <c r="EX3" s="134">
        <v>0.0</v>
      </c>
      <c r="EY3" s="136">
        <f t="shared" ref="EY3:EY203" si="22">SUM(EV3:EX3)</f>
        <v>0</v>
      </c>
      <c r="EZ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1">
        <v>0.0</v>
      </c>
      <c r="FC3" s="131" t="str">
        <f>VLOOKUP(A3,'Données projet'!$A$217:$I$237,9,0)</f>
        <v>#N/A</v>
      </c>
      <c r="FD3" s="131">
        <v>0.0</v>
      </c>
      <c r="FE3" s="131">
        <v>0.0</v>
      </c>
      <c r="FF3" s="138">
        <f>FE3*VLOOKUP('Données projet'!$B$16,'Paramètres'!$A$1:$I$89,3,0)*VLOOKUP('Données projet'!$B$16,'Paramètres'!$A$1:$I$89,5,0)</f>
        <v>0</v>
      </c>
      <c r="FG3" s="131">
        <v>0.0</v>
      </c>
      <c r="FH3" s="132">
        <f t="shared" ref="FH3:FH203" si="23">(FF3+FG3)*0.475*44/12</f>
        <v>0</v>
      </c>
      <c r="FI3" s="133">
        <f t="shared" ref="FI3:FI203" si="24">FH3+(EZ3+FA3)*44/12</f>
        <v>293.3333333</v>
      </c>
      <c r="FJ3" s="133">
        <f>AVERAGE(OFFSET($FI$3,0,0,'Données projet'!$E$16+1,1))-AVERAGE(OFFSET($H$3,0,0,'Données projet'!$E$16+1,1))</f>
        <v>305.6252353</v>
      </c>
      <c r="FK3" s="133">
        <f>IF('Données projet'!E16&gt;30,$FI$33-$H$33,LOOKUP('Données projet'!$E$16,$A$3:$A$203,FI3:FI203)-LOOKUP('Données projet'!$E$16,$A$3:$A$203,$H$3:$H$203))</f>
        <v>331.397916</v>
      </c>
      <c r="FL3" s="134">
        <f>IF(ISNA(VLOOKUP(A3,'Données projet'!$A$217:$I$237,3,0)),0,VLOOKUP(A3,'Données projet'!$A$217:$I$237,3,0))</f>
        <v>0</v>
      </c>
      <c r="FM3" s="134">
        <f>IF(ISNA(VLOOKUP(A3,'Données projet'!$A$217:$I$237,4,0)),0,VLOOKUP(A3,'Données projet'!$A$217:$I$237,4,0))</f>
        <v>0</v>
      </c>
      <c r="FN3" s="135">
        <f>IF(ISNA(VLOOKUP(A3,'Données projet'!$A$217:$I$237,5,0)),0%,VLOOKUP(A3,'Données projet'!$A$217:$I$237,5,0)*VLOOKUP('Données projet'!$B$16,'Paramètres'!$A$1:$I$89,7,0))</f>
        <v>0</v>
      </c>
      <c r="FO3" s="135">
        <f>IF(ISNA(VLOOKUP(A3,'Données projet'!$A$217:$I$237,6,0)),0%,VLOOKUP(A3,'Données projet'!$A$217:$I$237,6,0)*VLOOKUP('Données projet'!$B$16,'Paramètres'!$A$1:$I$89,7,0))</f>
        <v>0</v>
      </c>
      <c r="FP3" s="135">
        <f>IF(ISNA(VLOOKUP(A3,'Données projet'!$A$217:$I$237,7,0)),0%,VLOOKUP(A3,'Données projet'!$A$217:$I$237,7,0))</f>
        <v>0</v>
      </c>
      <c r="FQ3" s="134">
        <v>0.0</v>
      </c>
      <c r="FR3" s="134">
        <v>0.0</v>
      </c>
      <c r="FS3" s="134">
        <v>0.0</v>
      </c>
      <c r="FT3" s="136">
        <f t="shared" ref="FT3:FT203" si="25">SUM(FQ3:FS3)</f>
        <v>0</v>
      </c>
      <c r="FU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1">
        <v>0.0</v>
      </c>
      <c r="FX3" s="131" t="str">
        <f>VLOOKUP(A3,'Données projet'!$A$243:$I$263,9,0)</f>
        <v>#N/A</v>
      </c>
      <c r="FY3" s="131">
        <v>0.0</v>
      </c>
      <c r="FZ3" s="131">
        <v>0.0</v>
      </c>
      <c r="GA3" s="138">
        <f>FZ3*VLOOKUP('Données projet'!$B$17,'Paramètres'!$A$1:$I$89,3,0)*VLOOKUP('Données projet'!$B$17,'Paramètres'!$A$1:$I$89,5,0)</f>
        <v>0</v>
      </c>
      <c r="GB3" s="131">
        <v>0.0</v>
      </c>
      <c r="GC3" s="132">
        <f t="shared" ref="GC3:GC203" si="26">(GA3+GB3)*0.475*44/12</f>
        <v>0</v>
      </c>
      <c r="GD3" s="133">
        <f t="shared" ref="GD3:GD203" si="27">GC3+(FU3+FV3)*44/12</f>
        <v>293.3333333</v>
      </c>
      <c r="GE3" s="133">
        <f>AVERAGE(OFFSET($GD$3,0,0,'Données projet'!$E$17+1,1))-AVERAGE(OFFSET($H$3,0,0,'Données projet'!$E$17+1,1))</f>
        <v>118.7368745</v>
      </c>
      <c r="GF3" s="133">
        <f>IF('Données projet'!E17&gt;30,$GD$33-$H$33,LOOKUP('Données projet'!$E$17,$A$3:$A$203,GD3:GD203)-LOOKUP('Données projet'!$E$17,$A$3:$A$203,$H$3:$H$203))</f>
        <v>135.1233677</v>
      </c>
      <c r="GG3" s="134">
        <f>IF(ISNA(VLOOKUP(A3,'Données projet'!$A$243:$I$263,3,0)),0,VLOOKUP(A3,'Données projet'!$A$243:$I$263,3,0))</f>
        <v>0</v>
      </c>
      <c r="GH3" s="134">
        <f>IF(ISNA(VLOOKUP(A3,'Données projet'!$A$243:$I$263,4,0)),0,VLOOKUP(A3,'Données projet'!$A$243:$I$263,4,0))</f>
        <v>0</v>
      </c>
      <c r="GI3" s="135">
        <f>IF(ISNA(VLOOKUP(A3,'Données projet'!$A$243:$I$263,5,0)),0%,VLOOKUP(A3,'Données projet'!$A$243:$I$263,5,0)*VLOOKUP('Données projet'!$B$17,'Paramètres'!$A$1:$I$89,7,0))</f>
        <v>0</v>
      </c>
      <c r="GJ3" s="135">
        <f>IF(ISNA(VLOOKUP(A3,'Données projet'!$A$243:$I$263,6,0)),0%,VLOOKUP(A3,'Données projet'!$A$243:$I$263,6,0)*VLOOKUP('Données projet'!$B$17,'Paramètres'!$A$1:$I$89,7,0))</f>
        <v>0</v>
      </c>
      <c r="GK3" s="135">
        <f>IF(ISNA(VLOOKUP(A3,'Données projet'!$A$243:$I$263,7,0)),0%,VLOOKUP(A3,'Données projet'!$A$243:$I$263,7,0))</f>
        <v>0</v>
      </c>
      <c r="GL3" s="134">
        <v>0.0</v>
      </c>
      <c r="GM3" s="134">
        <v>0.0</v>
      </c>
      <c r="GN3" s="134">
        <v>0.0</v>
      </c>
      <c r="GO3" s="134">
        <f t="shared" ref="GO3:GO203" si="28">SUM(GL3:GN3)</f>
        <v>0</v>
      </c>
      <c r="GP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1">
        <v>0.0</v>
      </c>
      <c r="GS3" s="131" t="str">
        <f>VLOOKUP(A3,'Données projet'!$A$269:$I$289,9,0)</f>
        <v>#N/A</v>
      </c>
      <c r="GT3" s="131">
        <v>0.0</v>
      </c>
      <c r="GU3" s="131">
        <v>0.0</v>
      </c>
      <c r="GV3" s="138">
        <f>GU3*VLOOKUP('Données projet'!$B$18,'Paramètres'!$A$1:$I$89,3,0)*VLOOKUP('Données projet'!$B$18,'Paramètres'!$A$1:$I$89,5,0)</f>
        <v>0</v>
      </c>
      <c r="GW3" s="131">
        <v>0.0</v>
      </c>
      <c r="GX3" s="132">
        <f t="shared" ref="GX3:GX203" si="29">(GV3+GW3)*0.475*44/12</f>
        <v>0</v>
      </c>
      <c r="GY3" s="133">
        <f t="shared" ref="GY3:GY203" si="30">GX3+(GP3+GQ3)*44/12</f>
        <v>293.3333333</v>
      </c>
      <c r="GZ3" s="133">
        <f>AVERAGE(OFFSET($GY$3,0,0,'Données projet'!$E$18+1,1))-AVERAGE(OFFSET($H$3,0,0,'Données projet'!$E$18+1,1))</f>
        <v>100.5427875</v>
      </c>
      <c r="HA3" s="133">
        <f>IF('Données projet'!E18&gt;30,$GY$33-$H$33,LOOKUP('Données projet'!$E$18,$A$3:$A$203,GY3:GY203)-LOOKUP('Données projet'!$E$18,$A$3:$A$203,$H$3:$H$203))</f>
        <v>92.28663609</v>
      </c>
      <c r="HB3" s="134">
        <f>IF(ISNA(VLOOKUP(A3,'Données projet'!$A$269:$I$289,3,0)),0,VLOOKUP(A3,'Données projet'!$A$269:$I$289,3,0))</f>
        <v>0</v>
      </c>
      <c r="HC3" s="134">
        <f>IF(ISNA(VLOOKUP(A3,'Données projet'!$A$269:$I$289,4,0)),0,VLOOKUP(A3,'Données projet'!$A$269:$I$289,4,0))</f>
        <v>0</v>
      </c>
      <c r="HD3" s="135">
        <f>IF(ISNA(VLOOKUP(A3,'Données projet'!$A$269:$I$289,5,0)),0%,VLOOKUP(A3,'Données projet'!$A$269:$I$289,5,0)*VLOOKUP('Données projet'!$B$18,'Paramètres'!$A$1:$I$89,7,0))</f>
        <v>0</v>
      </c>
      <c r="HE3" s="135">
        <f>IF(ISNA(VLOOKUP(A3,'Données projet'!$A$269:$I$289,6,0)),0%,VLOOKUP(A3,'Données projet'!$A$269:$I$289,6,0)*VLOOKUP('Données projet'!$B$18,'Paramètres'!$A$1:$I$89,7,0))</f>
        <v>0</v>
      </c>
      <c r="HF3" s="135">
        <f>IF(ISNA(VLOOKUP(A3,'Données projet'!$A$269:$I$289,7,0)),0%,VLOOKUP(A3,'Données projet'!$A$269:$I$289,7,0))</f>
        <v>0</v>
      </c>
      <c r="HG3" s="134">
        <v>0.0</v>
      </c>
      <c r="HH3" s="134">
        <v>0.0</v>
      </c>
      <c r="HI3" s="134">
        <v>0.0</v>
      </c>
      <c r="HJ3" s="136">
        <f t="shared" ref="HJ3:HJ203" si="31">SUM(HG3:HI3)</f>
        <v>0</v>
      </c>
    </row>
    <row r="4">
      <c r="A4" s="125">
        <f t="shared" ref="A4:A203" si="32">A3+1</f>
        <v>1</v>
      </c>
      <c r="B4" s="126">
        <f>'Scénario référence'!$B$16*5+'Scénario référence'!$B$17*0+'Scénario référence'!$B$18*5</f>
        <v>0</v>
      </c>
      <c r="C4" s="140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0.546</v>
      </c>
      <c r="D4" s="127">
        <f t="shared" ref="D4:D203" si="33">IFERROR(EXP(-1.0587+0.8836*LN(C4)+0.284),0)</f>
        <v>0.2699824188</v>
      </c>
      <c r="E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7">
        <f>IF(OR('Scénario référence'!$F$8&gt;0,'Scénario référence'!$F$9&gt;0),('Scénario référence'!$F$8+'Scénario référence'!$F$9)*10,0)</f>
        <v>10</v>
      </c>
      <c r="G4" s="127">
        <f>'Scénario référence'!$B$8*B4*44/12+'Scénario référence'!$B$9*(C4+D4)/0.475*44/12+'Scénario référence'!$B$10*(C4+D4)/0.475*44/12+'Scénario référence'!$F$8*(C4+D4)/0.475*44/12+'Scénario référence'!$F$9*(C4+D4)/0.475*44/12</f>
        <v>6.298811654</v>
      </c>
      <c r="H4" s="128">
        <f t="shared" si="1"/>
        <v>294.7545027</v>
      </c>
      <c r="I4" s="12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0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1" t="str">
        <f>VLOOKUP(A4,'Données projet'!$A$35:$I$55,2,0)</f>
        <v>#N/A</v>
      </c>
      <c r="L4" s="131" t="str">
        <f>VLOOKUP(A4,'Données projet'!$A$35:$I$55,9,0)</f>
        <v>#N/A</v>
      </c>
      <c r="M4" s="131">
        <f t="array" ref="M4">INDEX(L:L,MIN(IF(ISNUMBER(L4:L200),ROW(L4:L200),"")))</f>
        <v>3.92</v>
      </c>
      <c r="N4" s="130">
        <f>IF('Données projet'!$A$36&gt;35,N3+M4-V3,IF(A4&lt;'Données projet'!$A$36,$K$205^A4,IF(A4='Données projet'!$A$36,'Données projet'!$B$36,N3+M4-V3)))</f>
        <v>1.201293267</v>
      </c>
      <c r="O4" s="130">
        <f>N4*VLOOKUP('Données projet'!$B$9,'Paramètres'!$A$1:$I$89,3,0)*VLOOKUP('Données projet'!$B$9,'Paramètres'!$A$1:$I$89,5,0)</f>
        <v>0.6871397488</v>
      </c>
      <c r="P4" s="130">
        <f t="shared" ref="P4:P203" si="34">EXP(-1.0587+0.8836*LN(O4)+0.284)</f>
        <v>0.3307996873</v>
      </c>
      <c r="Q4" s="141">
        <f t="shared" si="2"/>
        <v>1.772911185</v>
      </c>
      <c r="R4" s="133">
        <f t="shared" si="3"/>
        <v>295.1062445</v>
      </c>
      <c r="S4" s="133">
        <f>AVERAGE(OFFSET($R$3,0,0,'Données projet'!$E$9+1,1))-AVERAGE(OFFSET($H$3,0,0,'Données projet'!$E$9+1,1))</f>
        <v>126.9946492</v>
      </c>
      <c r="T4" s="133">
        <f t="shared" ref="T4:T203" si="35">$T$3</f>
        <v>140.039049</v>
      </c>
      <c r="U4" s="134">
        <f>IF(ISNA(VLOOKUP(A4,'Données projet'!$A$35:$I$55,3,0)),0,VLOOKUP(A4,'Données projet'!$A$35:$I$55,3,0))</f>
        <v>0</v>
      </c>
      <c r="V4" s="134">
        <f>IF(ISNA(VLOOKUP(A4,'Données projet'!$A$35:$I$55,4,0)),0,VLOOKUP(A4,'Données projet'!$A$35:$I$55,4,0))</f>
        <v>0</v>
      </c>
      <c r="W4" s="135">
        <f>IF(ISNA(VLOOKUP(A4,'Données projet'!$A$35:$I$55,5,0)),0%,VLOOKUP(A4,'Données projet'!$A$35:$I$55,5,0)*VLOOKUP('Données projet'!$B$9,'Paramètres'!$A$1:$I$89,7,0))</f>
        <v>0</v>
      </c>
      <c r="X4" s="135">
        <f>IF(ISNA(VLOOKUP(A4,'Données projet'!$A$35:$I$55,6,0)),0%,VLOOKUP(A4,'Données projet'!$A$35:$I$55,6,0)*VLOOKUP('Données projet'!$B$9,'Paramètres'!$A$1:$I$89,7,0))</f>
        <v>0</v>
      </c>
      <c r="Y4" s="135">
        <f>IF(ISNA(VLOOKUP(A4,'Données projet'!$A$35:$I$55,7,0)),0%,VLOOKUP(A4,'Données projet'!$A$35:$I$55,7,0))</f>
        <v>0</v>
      </c>
      <c r="Z4" s="142">
        <f>EXP(-LN(2)/35)*Z3+(1-EXP(-LN(2)/35))/(LN(2)/35)*V4*W4*VLOOKUP('Données projet'!$B$9,'Paramètres'!$A$1:$I$89,3,0)*0.475*44/12</f>
        <v>0</v>
      </c>
      <c r="AA4" s="142">
        <f>EXP(-LN(2)/25)*AA3+(1-EXP(-LN(2)/25))/(LN(2)/25)*Calculateur!V4*Calculateur!X4*VLOOKUP('Données projet'!$B$9,'Paramètres'!$A$1:$I$89,3,0)*0.475*44/12</f>
        <v>0</v>
      </c>
      <c r="AB4" s="142">
        <f>EXP(-LN(2)/2)*AB3+(1-EXP(-LN(2)/2))/(LN(2)/2)*V4*Y4*VLOOKUP('Données projet'!$B$9,'Paramètres'!$A$1:$I$89,3,0)*0.475*44/12</f>
        <v>0</v>
      </c>
      <c r="AC4" s="143">
        <f t="shared" si="4"/>
        <v>0</v>
      </c>
      <c r="AD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0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1" t="str">
        <f>VLOOKUP(A4,'Données projet'!$A$61:$I$81,2,0)</f>
        <v>#N/A</v>
      </c>
      <c r="AG4" s="131" t="str">
        <f>VLOOKUP(A4,'Données projet'!$A$61:$I$81,9,0)</f>
        <v>#N/A</v>
      </c>
      <c r="AH4" s="130">
        <f t="array" ref="AH4">INDEX(AG:AG,MIN(IF(ISNUMBER(AG4:AG200),ROW(AG4:AG200),"")))</f>
        <v>5.590909091</v>
      </c>
      <c r="AI4" s="130">
        <f>IF('Données projet'!$A$62&gt;35,AI3+AH4-AQ3,IF(A4&lt;'Données projet'!$A$62,$AF$205^A4,IF(A4='Données projet'!$A$62,'Données projet'!$B$62,AI3+AH4-AQ3)))</f>
        <v>1.244502252</v>
      </c>
      <c r="AJ4" s="130">
        <f>AI4*VLOOKUP('Données projet'!$B$10,'Paramètres'!$A$1:$I$89,3,0)*VLOOKUP('Données projet'!$B$10,'Paramètres'!$A$1:$I$89,5,0)</f>
        <v>0.7442123468</v>
      </c>
      <c r="AK4" s="130">
        <f t="shared" ref="AK4:AK203" si="36">EXP(-1.0587+0.8836*LN(AJ4)+0.284)</f>
        <v>0.3549632728</v>
      </c>
      <c r="AL4" s="141">
        <f t="shared" si="5"/>
        <v>1.914397537</v>
      </c>
      <c r="AM4" s="133">
        <f t="shared" si="6"/>
        <v>295.2477309</v>
      </c>
      <c r="AN4" s="133">
        <f>AVERAGE(OFFSET($AM$3,0,0,'Données projet'!$E$10+1,1))-AVERAGE(OFFSET($H$3,0,0,'Données projet'!$E$10+1,1))</f>
        <v>196.874484</v>
      </c>
      <c r="AO4" s="133">
        <f t="shared" ref="AO4:AO203" si="37">$AO$3</f>
        <v>217.5750859</v>
      </c>
      <c r="AP4" s="134">
        <f>IF(ISNA(VLOOKUP(A4,'Données projet'!$A$61:$I$81,3,0)),0,VLOOKUP(A4,'Données projet'!$A$61:$I$81,3,0))</f>
        <v>0</v>
      </c>
      <c r="AQ4" s="134">
        <f>IF(ISNA(VLOOKUP(A4,'Données projet'!$A$61:$I$81,4,0)),0,VLOOKUP(A4,'Données projet'!$A$61:$I$81,4,0))</f>
        <v>0</v>
      </c>
      <c r="AR4" s="135">
        <f>IF(ISNA(VLOOKUP(A4,'Données projet'!$A$61:$I$81,5,0)),0%,VLOOKUP(A4,'Données projet'!$A$61:$I$81,5,0)*VLOOKUP('Données projet'!$B$10,'Paramètres'!$A$1:$I$89,7,0))</f>
        <v>0</v>
      </c>
      <c r="AS4" s="135">
        <f>IF(ISNA(VLOOKUP(A4,'Données projet'!$A$61:$I$81,6,0)),0%,VLOOKUP(A4,'Données projet'!$A$61:$I$81,6,0)*VLOOKUP('Données projet'!$B$10,'Paramètres'!$A$1:$I$89,7,0))</f>
        <v>0</v>
      </c>
      <c r="AT4" s="135">
        <f>IF(ISNA(VLOOKUP(A4,'Données projet'!$A$61:$I$81,7,0)),0%,VLOOKUP(A4,'Données projet'!$A$61:$I$81,7,0))</f>
        <v>0</v>
      </c>
      <c r="AU4" s="142">
        <f>EXP(-LN(2)/35)*AU3+(1-EXP(-LN(2)/35))/(LN(2)/35)*AQ4*AR4*VLOOKUP('Données projet'!$B$10,'Paramètres'!$A$1:$I$89,3,0)*0.475*44/12</f>
        <v>0</v>
      </c>
      <c r="AV4" s="142">
        <f>EXP(-LN(2)/25)*AV3+(1-EXP(-LN(2)/25))/(LN(2)/25)*Calculateur!AQ4*Calculateur!AS4*VLOOKUP('Données projet'!$B$10,'Paramètres'!$A$1:$I$89,3,0)*0.475*44/12</f>
        <v>0</v>
      </c>
      <c r="AW4" s="142">
        <f>EXP(-LN(2)/2)*AW3+(1-EXP(-LN(2)/2))/(LN(2)/2)*AQ4*AT4*VLOOKUP('Données projet'!$B$10,'Paramètres'!$A$1:$I$89,3,0)*0.475*44/12</f>
        <v>0</v>
      </c>
      <c r="AX4" s="142">
        <f t="shared" si="7"/>
        <v>0</v>
      </c>
      <c r="AY4" s="13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1" t="str">
        <f>VLOOKUP(A4,'Données projet'!$A$87:$I$107,2,0)</f>
        <v>#N/A</v>
      </c>
      <c r="BB4" s="131" t="str">
        <f>VLOOKUP(A4,'Données projet'!$A$87:$I$107,9,0)</f>
        <v>#N/A</v>
      </c>
      <c r="BC4" s="130">
        <f t="array" ref="BC4">INDEX(BB:BB,MIN(IF(ISNUMBER(BB4:BB200),ROW(BB4:BB200),"")))</f>
        <v>4.666666667</v>
      </c>
      <c r="BD4" s="131">
        <f>IF('Données projet'!$A$88&gt;35,BD3+BC4-BL3,IF(A4&lt;'Données projet'!$A$88,$BA$205^A4,IF(A4='Données projet'!$A$88,'Données projet'!$B$88,BD3+BC4-BL3)))</f>
        <v>1.179064602</v>
      </c>
      <c r="BE4" s="130">
        <f>BD4*VLOOKUP('Données projet'!$B$11,'Paramètres'!$A$1:$I$89,3,0)*VLOOKUP('Données projet'!$B$11,'Paramètres'!$A$1:$I$89,5,0)</f>
        <v>0.5518022338</v>
      </c>
      <c r="BF4" s="130">
        <f t="shared" ref="BF4:BF203" si="38">EXP(-1.0587+0.8836*LN(BE4)+0.284)</f>
        <v>0.2725159494</v>
      </c>
      <c r="BG4" s="141">
        <f t="shared" si="8"/>
        <v>1.435687502</v>
      </c>
      <c r="BH4" s="133">
        <f t="shared" si="9"/>
        <v>294.7690208</v>
      </c>
      <c r="BI4" s="133">
        <f>AVERAGE(OFFSET($BH$3,0,0,'Données projet'!$E$11+1,1))-AVERAGE(OFFSET($H$3,0,0,'Données projet'!$E$11+1,1))</f>
        <v>134.0948534</v>
      </c>
      <c r="BJ4" s="133">
        <f t="shared" ref="BJ4:BJ203" si="39">$BJ$3</f>
        <v>108.4102536</v>
      </c>
      <c r="BK4" s="134">
        <f>IF(ISNA(VLOOKUP(A4,'Données projet'!$A$87:$I$107,3,0)),0,VLOOKUP(A4,'Données projet'!$A$87:$I$107,3,0))</f>
        <v>0</v>
      </c>
      <c r="BL4" s="134">
        <f>IF(ISNA(VLOOKUP(A4,'Données projet'!$A$87:$I$107,4,0)),0,VLOOKUP(A4,'Données projet'!$A$87:$I$107,4,0))</f>
        <v>0</v>
      </c>
      <c r="BM4" s="135">
        <f>IF(ISNA(VLOOKUP(A4,'Données projet'!$A$87:$I$107,5,0)),0%,VLOOKUP(A4,'Données projet'!$A$87:$I$107,5,0)*VLOOKUP('Données projet'!$B$11,'Paramètres'!$A$1:$I$89,7,0))</f>
        <v>0</v>
      </c>
      <c r="BN4" s="135">
        <f>IF(ISNA(VLOOKUP(A4,'Données projet'!$A$87:$I$107,6,0)),0%,VLOOKUP(A4,'Données projet'!$A$87:$I$107,6,0)*VLOOKUP('Données projet'!$B$11,'Paramètres'!$A$1:$I$89,7,0))</f>
        <v>0</v>
      </c>
      <c r="BO4" s="135">
        <f>IF(ISNA(VLOOKUP(A4,'Données projet'!$A$87:$I$107,7,0)),0%,VLOOKUP(A4,'Données projet'!$A$87:$I$107,7,0))</f>
        <v>0</v>
      </c>
      <c r="BP4" s="142">
        <f>EXP(-LN(2)/35)*BP3+(1-EXP(-LN(2)/35))/(LN(2)/35)*BL4*BM4*VLOOKUP('Données projet'!$B$11,'Paramètres'!$A$1:$I$89,3,0)*0.475*44/12</f>
        <v>0</v>
      </c>
      <c r="BQ4" s="142">
        <f>EXP(-LN(2)/25)*BQ3+(1-EXP(-LN(2)/25))/(LN(2)/25)*Calculateur!BL4*Calculateur!BN4*VLOOKUP('Données projet'!$B$11,'Paramètres'!$A$1:$I$89,3,0)*0.475*44/12</f>
        <v>0</v>
      </c>
      <c r="BR4" s="142">
        <f>EXP(-LN(2)/2)*BR3+(1-EXP(-LN(2)/2))/(LN(2)/2)*BL4*BO4*VLOOKUP('Données projet'!$B$11,'Paramètres'!$A$1:$I$89,3,0)*0.475*44/12</f>
        <v>0</v>
      </c>
      <c r="BS4" s="143">
        <f t="shared" si="10"/>
        <v>0</v>
      </c>
      <c r="BT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1" t="str">
        <f>VLOOKUP(A4,'Données projet'!$A$113:$I$133,2,0)</f>
        <v>#N/A</v>
      </c>
      <c r="BW4" s="131" t="str">
        <f>VLOOKUP(A4,'Données projet'!$A$113:$I$133,9,0)</f>
        <v>#N/A</v>
      </c>
      <c r="BX4" s="130">
        <f t="array" ref="BX4">INDEX(BW:BW,MIN(IF(ISNUMBER(BW4:BW200),ROW(BW4:BW200),"")))</f>
        <v>1.866666667</v>
      </c>
      <c r="BY4" s="131">
        <f>IF('Données projet'!$A$114&gt;35,BY3+BX4-CG3,IF(A4&lt;'Données projet'!$A$114,$BV$205^A4,IF(A4='Données projet'!$A$114,'Données projet'!$B$114,BY3+BX4-CG3)))</f>
        <v>1.248754891</v>
      </c>
      <c r="BZ4" s="130">
        <f>BY4*VLOOKUP('Données projet'!$B$12,'Paramètres'!$A$1:$I$89,3,0)*VLOOKUP('Données projet'!$B$12,'Paramètres'!$A$1:$I$89,5,0)</f>
        <v>0.6168849159</v>
      </c>
      <c r="CA4" s="130">
        <f t="shared" ref="CA4:CA203" si="40">EXP(-1.0587+0.8836*LN(BZ4)+0.284)</f>
        <v>0.3007297912</v>
      </c>
      <c r="CB4" s="141">
        <f t="shared" si="11"/>
        <v>1.598178948</v>
      </c>
      <c r="CC4" s="133">
        <f t="shared" si="12"/>
        <v>294.9315123</v>
      </c>
      <c r="CD4" s="133">
        <f>AVERAGE(OFFSET($CC$3,0,0,'Données projet'!$E$12+1,1))-AVERAGE(OFFSET($H$3,0,0,'Données projet'!$E$12+1,1))</f>
        <v>258.1672054</v>
      </c>
      <c r="CE4" s="133">
        <f t="shared" ref="CE4:CE203" si="41">$CE$3</f>
        <v>296.0724261</v>
      </c>
      <c r="CF4" s="134">
        <f>IF(ISNA(VLOOKUP(A4,'Données projet'!$A$113:$I$133,3,0)),0,VLOOKUP(A4,'Données projet'!$A$113:$I$133,3,0))</f>
        <v>0</v>
      </c>
      <c r="CG4" s="134">
        <f>IF(ISNA(VLOOKUP(A4,'Données projet'!$A$113:$I$133,4,0)),0,VLOOKUP(A4,'Données projet'!$A$113:$I$133,4,0))</f>
        <v>0</v>
      </c>
      <c r="CH4" s="135">
        <f>IF(ISNA(VLOOKUP(A4,'Données projet'!$A$113:$I$133,5,0)),0%,VLOOKUP(A4,'Données projet'!$A$113:$I$133,5,0)*VLOOKUP('Données projet'!$B$12,'Paramètres'!$A$1:$I$89,7,0))</f>
        <v>0</v>
      </c>
      <c r="CI4" s="135">
        <f>IF(ISNA(VLOOKUP(A4,'Données projet'!$A$113:$I$133,6,0)),0%,VLOOKUP(A4,'Données projet'!$A$113:$I$133,6,0)*VLOOKUP('Données projet'!$B$12,'Paramètres'!$A$1:$I$89,7,0))</f>
        <v>0</v>
      </c>
      <c r="CJ4" s="135">
        <f>IF(ISNA(VLOOKUP(A4,'Données projet'!$A$113:$I$133,7,0)),0%,VLOOKUP(A4,'Données projet'!$A$113:$I$133,7,0))</f>
        <v>0</v>
      </c>
      <c r="CK4" s="142">
        <f>EXP(-LN(2)/35)*CK3+(1-EXP(-LN(2)/35))/(LN(2)/35)*CG4*CH4*VLOOKUP('Données projet'!$B$12,'Paramètres'!$A$1:$I$89,3,0)*0.475*44/12</f>
        <v>0</v>
      </c>
      <c r="CL4" s="142">
        <f>EXP(-LN(2)/25)*CL3+(1-EXP(-LN(2)/25))/(LN(2)/25)*Calculateur!CG4*Calculateur!CI4*VLOOKUP('Données projet'!$B$12,'Paramètres'!$A$1:$I$89,3,0)*0.475*44/12</f>
        <v>0</v>
      </c>
      <c r="CM4" s="142">
        <f>EXP(-LN(2)/2)*CM3+(1-EXP(-LN(2)/2))/(LN(2)/2)*CG4*CJ4*VLOOKUP('Données projet'!$B$12,'Paramètres'!$A$1:$I$89,3,0)*0.475*44/12</f>
        <v>0</v>
      </c>
      <c r="CN4" s="143">
        <f t="shared" si="13"/>
        <v>0</v>
      </c>
      <c r="CO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1" t="str">
        <f>VLOOKUP(A4,'Données projet'!$A$139:$I$159,2,0)</f>
        <v>#N/A</v>
      </c>
      <c r="CR4" s="131" t="str">
        <f>VLOOKUP(A4,'Données projet'!$A$139:$I$159,9,0)</f>
        <v>#N/A</v>
      </c>
      <c r="CS4" s="130">
        <f t="array" ref="CS4">INDEX(CR:CR,MIN(IF(ISNUMBER(CR4:CR200),ROW(CR4:CR200),"")))</f>
        <v>1.2</v>
      </c>
      <c r="CT4" s="131">
        <f>IF('Données projet'!$A$140&gt;35,CT3+CS4-DB3,IF(A4&lt;'Données projet'!$A$140,$CQ$205^A4,IF(A4='Données projet'!$A$140,'Données projet'!$B$140,CT3+CS4-DB3)))</f>
        <v>1.145736768</v>
      </c>
      <c r="CU4" s="138">
        <f>CT4*VLOOKUP('Données projet'!$B$13,'Paramètres'!$A$1:$I$89,3,0)*VLOOKUP('Données projet'!$B$13,'Paramètres'!$A$1:$I$89,5,0)</f>
        <v>1.161777082</v>
      </c>
      <c r="CV4" s="130">
        <f t="shared" ref="CV4:CV203" si="42">EXP(-1.0587+0.8836*LN(CU4)+0.284)</f>
        <v>0.5261318287</v>
      </c>
      <c r="CW4" s="141">
        <f t="shared" si="14"/>
        <v>2.939774687</v>
      </c>
      <c r="CX4" s="133">
        <f t="shared" si="15"/>
        <v>296.273108</v>
      </c>
      <c r="CY4" s="133">
        <f>AVERAGE(OFFSET($CX$3,0,0,'Données projet'!$E$13+1,1))-AVERAGE(OFFSET($H$3,0,0,'Données projet'!$E$13+1,1))</f>
        <v>223.783507</v>
      </c>
      <c r="CZ4" s="133">
        <f t="shared" ref="CZ4:CZ203" si="43">$CZ$3</f>
        <v>84.92349117</v>
      </c>
      <c r="DA4" s="134">
        <f>IF(ISNA(VLOOKUP(A4,'Données projet'!$A$139:$I$159,3,0)),0,VLOOKUP(A4,'Données projet'!$A$139:$I$159,3,0))</f>
        <v>0</v>
      </c>
      <c r="DB4" s="134">
        <f>IF(ISNA(VLOOKUP(A4,'Données projet'!$A$139:$I$159,4,0)),0,VLOOKUP(A4,'Données projet'!$A$139:$I$159,4,0))</f>
        <v>0</v>
      </c>
      <c r="DC4" s="135">
        <f>IF(ISNA(VLOOKUP(A4,'Données projet'!$A$139:$I$159,5,0)),0%,VLOOKUP(A4,'Données projet'!$A$139:$I$159,5,0)*VLOOKUP('Données projet'!$B$13,'Paramètres'!$A$1:$I$89,7,0))</f>
        <v>0</v>
      </c>
      <c r="DD4" s="135">
        <f>IF(ISNA(VLOOKUP(A4,'Données projet'!$A$139:$I$159,6,0)),0%,VLOOKUP(A4,'Données projet'!$A$139:$I$159,6,0)*VLOOKUP('Données projet'!$B$13,'Paramètres'!$A$1:$I$89,7,0))</f>
        <v>0</v>
      </c>
      <c r="DE4" s="135">
        <f>IF(ISNA(VLOOKUP(A4,'Données projet'!$A$139:$I$159,7,0)),0%,VLOOKUP(A4,'Données projet'!$A$139:$I$159,7,0))</f>
        <v>0</v>
      </c>
      <c r="DF4" s="142">
        <f>EXP(-LN(2)/35)*DF3+(1-EXP(-LN(2)/35))/(LN(2)/35)*DB4*DC4*VLOOKUP('Données projet'!$B$13,'Paramètres'!$A$1:$I$89,3,0)*0.475*44/12</f>
        <v>0</v>
      </c>
      <c r="DG4" s="142">
        <f>EXP(-LN(2)/25)*DG3+(1-EXP(-LN(2)/25))/(LN(2)/25)*Calculateur!DB4*Calculateur!DD4*VLOOKUP('Données projet'!$B$13,'Paramètres'!$A$1:$I$89,3,0)*0.475*44/12</f>
        <v>0</v>
      </c>
      <c r="DH4" s="142">
        <f>EXP(-LN(2)/2)*DH3+(1-EXP(-LN(2)/2))/(LN(2)/2)*DB4*DE4*VLOOKUP('Données projet'!$B$13,'Paramètres'!$A$1:$I$89,3,0)*0.475*44/12</f>
        <v>0</v>
      </c>
      <c r="DI4" s="143">
        <f t="shared" si="16"/>
        <v>0</v>
      </c>
      <c r="DJ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1" t="str">
        <f>VLOOKUP(A4,'Données projet'!$A$165:$I$185,2,0)</f>
        <v>#N/A</v>
      </c>
      <c r="DM4" s="131" t="str">
        <f>VLOOKUP(A4,'Données projet'!$A$165:$I$185,9,0)</f>
        <v>#N/A</v>
      </c>
      <c r="DN4" s="131">
        <f t="array" ref="DN4">INDEX(DM:DM,MIN(IF(ISNUMBER(DM4:DM200),ROW(DM4:DM200),"")))</f>
        <v>2.1</v>
      </c>
      <c r="DO4" s="131">
        <f>IF('Données projet'!$A$166&gt;35,DO3+DN4-DW3,IF(A4&lt;'Données projet'!$A$166,$DL$205^A4,IF(A4='Données projet'!$A$166,'Données projet'!$B$166,DO3+DN4-DW3)))</f>
        <v>1.205486815</v>
      </c>
      <c r="DP4" s="138">
        <f>DO4*VLOOKUP('Données projet'!$B$14,'Paramètres'!$A$1:$I$89,3,0)*VLOOKUP('Données projet'!$B$14,'Paramètres'!$A$1:$I$89,5,0)</f>
        <v>1.09072447</v>
      </c>
      <c r="DQ4" s="130">
        <f t="shared" ref="DQ4:DQ203" si="44">EXP(-1.0587+0.8836*LN(DP4)+0.284)</f>
        <v>0.4975962385</v>
      </c>
      <c r="DR4" s="141">
        <f t="shared" si="17"/>
        <v>2.766325234</v>
      </c>
      <c r="DS4" s="133">
        <f t="shared" si="18"/>
        <v>296.0996586</v>
      </c>
      <c r="DT4" s="133">
        <f>AVERAGE(OFFSET($DS$3,0,0,'Données projet'!$E$14+1,1))-AVERAGE(OFFSET($H$3,0,0,'Données projet'!$E$14+1,1))</f>
        <v>287.9334714</v>
      </c>
      <c r="DU4" s="133">
        <f t="shared" ref="DU4:DU203" si="45">$DU$3</f>
        <v>156.6796502</v>
      </c>
      <c r="DV4" s="134">
        <f>IF(ISNA(VLOOKUP(A4,'Données projet'!$A$165:$I$185,3,0)),0,VLOOKUP(A4,'Données projet'!$A$165:$I$185,3,0))</f>
        <v>0</v>
      </c>
      <c r="DW4" s="134">
        <f>IF(ISNA(VLOOKUP(A4,'Données projet'!$A$165:$I$185,4,0)),0,VLOOKUP(A4,'Données projet'!$A$165:$I$185,4,0))</f>
        <v>0</v>
      </c>
      <c r="DX4" s="135">
        <f>IF(ISNA(VLOOKUP(A4,'Données projet'!$A$165:$I$185,5,0)),0%,VLOOKUP(A4,'Données projet'!$A$165:$I$185,5,0)*VLOOKUP('Données projet'!$B$14,'Paramètres'!$A$1:$I$89,7,0))</f>
        <v>0</v>
      </c>
      <c r="DY4" s="135">
        <f>IF(ISNA(VLOOKUP(A4,'Données projet'!$A$165:$I$185,6,0)),0%,VLOOKUP(A4,'Données projet'!$A$165:$I$185,6,0)*VLOOKUP('Données projet'!$B$14,'Paramètres'!$A$1:$I$89,7,0))</f>
        <v>0</v>
      </c>
      <c r="DZ4" s="135">
        <f>IF(ISNA(VLOOKUP(A4,'Données projet'!$A$165:$I$185,7,0)),0%,VLOOKUP(A4,'Données projet'!$A$165:$I$185,7,0))</f>
        <v>0</v>
      </c>
      <c r="EA4" s="142">
        <f>EXP(-LN(2)/35)*EA3+(1-EXP(-LN(2)/35))/(LN(2)/35)*DW4*DX4*VLOOKUP('Données projet'!$B$14,'Paramètres'!$A$1:$I$89,3,0)*0.475*44/12</f>
        <v>0</v>
      </c>
      <c r="EB4" s="142">
        <f>EXP(-LN(2)/25)*EB3+(1-EXP(-LN(2)/25))/(LN(2)/25)*Calculateur!DW4*Calculateur!DY4*VLOOKUP('Données projet'!$B$14,'Paramètres'!$A$1:$I$89,3,0)*0.475*44/12</f>
        <v>0</v>
      </c>
      <c r="EC4" s="142">
        <f>EXP(-LN(2)/2)*EC3+(1-EXP(-LN(2)/2))/(LN(2)/2)*DW4*DZ4*VLOOKUP('Données projet'!$B$14,'Paramètres'!$A$1:$I$89,3,0)*0.475*44/12</f>
        <v>0</v>
      </c>
      <c r="ED4" s="143">
        <f t="shared" si="19"/>
        <v>0</v>
      </c>
      <c r="EE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1" t="str">
        <f>VLOOKUP(A4,'Données projet'!$A$191:$I$211,2,0)</f>
        <v>#N/A</v>
      </c>
      <c r="EH4" s="131" t="str">
        <f>VLOOKUP(A4,'Données projet'!$A$191:$I$211,9,0)</f>
        <v>#N/A</v>
      </c>
      <c r="EI4" s="131">
        <f t="array" ref="EI4">INDEX(EH:EH,MIN(IF(ISNUMBER(EH4:EH200),ROW(EH4:EH200),"")))</f>
        <v>1.6</v>
      </c>
      <c r="EJ4" s="131">
        <f>IF('Données projet'!$A$192&gt;35,EJ3+EI4-ER3,IF(A4&lt;'Données projet'!$A$192,$EG$205^A4,IF(A4='Données projet'!$A$192,'Données projet'!$B$192,EJ3+EI4-ER3)))</f>
        <v>1.158997234</v>
      </c>
      <c r="EK4" s="138">
        <f>EJ4*VLOOKUP('Données projet'!$B$15,'Paramètres'!$A$1:$I$89,3,0)*VLOOKUP('Données projet'!$B$15,'Paramètres'!$A$1:$I$89,5,0)</f>
        <v>0.8497767723</v>
      </c>
      <c r="EL4" s="130">
        <f t="shared" ref="EL4:EL203" si="46">EXP(-1.0587+0.8836*LN(EK4)+0.284)</f>
        <v>0.3991037749</v>
      </c>
      <c r="EM4" s="141">
        <f t="shared" si="20"/>
        <v>2.17513362</v>
      </c>
      <c r="EN4" s="133">
        <f t="shared" si="21"/>
        <v>295.508467</v>
      </c>
      <c r="EO4" s="133">
        <f>AVERAGE(OFFSET($EN$3,0,0,'Données projet'!$E$15+1,1))-AVERAGE(OFFSET($H$3,0,0,'Données projet'!$E$15+1,1))</f>
        <v>130.3193339</v>
      </c>
      <c r="EP4" s="133">
        <f t="shared" ref="EP4:EP203" si="47">$EP$3</f>
        <v>82.22784365</v>
      </c>
      <c r="EQ4" s="134">
        <f>IF(ISNA(VLOOKUP(A4,'Données projet'!$A$191:$I$211,3,0)),0,VLOOKUP(A4,'Données projet'!$A$191:$I$211,3,0))</f>
        <v>0</v>
      </c>
      <c r="ER4" s="134">
        <f>IF(ISNA(VLOOKUP(A4,'Données projet'!$A$191:$I$211,4,0)),0,VLOOKUP(A4,'Données projet'!$A$191:$I$211,4,0))</f>
        <v>0</v>
      </c>
      <c r="ES4" s="135">
        <f>IF(ISNA(VLOOKUP(A4,'Données projet'!$A$191:$I$211,5,0)),0%,VLOOKUP(A4,'Données projet'!$A$191:$I$211,5,0)*VLOOKUP('Données projet'!$B$15,'Paramètres'!$A$1:$I$89,7,0))</f>
        <v>0</v>
      </c>
      <c r="ET4" s="135">
        <f>IF(ISNA(VLOOKUP(A4,'Données projet'!$A$191:$I$211,6,0)),0%,VLOOKUP(A4,'Données projet'!$A$191:$I$211,6,0)*VLOOKUP('Données projet'!$B$15,'Paramètres'!$A$1:$I$89,7,0))</f>
        <v>0</v>
      </c>
      <c r="EU4" s="135">
        <f>IF(ISNA(VLOOKUP(A4,'Données projet'!$A$191:$I$211,7,0)),0%,VLOOKUP(A4,'Données projet'!$A$191:$I$211,7,0))</f>
        <v>0</v>
      </c>
      <c r="EV4" s="142">
        <f>EXP(-LN(2)/35)*EV3+(1-EXP(-LN(2)/35))/(LN(2)/35)*ER4*ES4*VLOOKUP('Données projet'!$B$15,'Paramètres'!$A$1:$I$89,3,0)*0.475*44/12</f>
        <v>0</v>
      </c>
      <c r="EW4" s="142">
        <f>EXP(-LN(2)/25)*EW3+(1-EXP(-LN(2)/25))/(LN(2)/25)*Calculateur!ER4*Calculateur!ET4*VLOOKUP('Données projet'!$B$15,'Paramètres'!$A$1:$I$89,3,0)*0.475*44/12</f>
        <v>0</v>
      </c>
      <c r="EX4" s="142">
        <f>EXP(-LN(2)/2)*EX3+(1-EXP(-LN(2)/2))/(LN(2)/2)*ER4*EU4*VLOOKUP('Données projet'!$B$15,'Paramètres'!$A$1:$I$89,3,0)*0.475*44/12</f>
        <v>0</v>
      </c>
      <c r="EY4" s="143">
        <f t="shared" si="22"/>
        <v>0</v>
      </c>
      <c r="EZ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1" t="str">
        <f>VLOOKUP(A4,'Données projet'!$A$217:$I$237,2,0)</f>
        <v>#N/A</v>
      </c>
      <c r="FC4" s="131" t="str">
        <f>VLOOKUP(A4,'Données projet'!$A$217:$I$237,9,0)</f>
        <v>#N/A</v>
      </c>
      <c r="FD4" s="130">
        <f t="array" ref="FD4">INDEX(FC:FC,MIN(IF(ISNUMBER(FC4:FC200),ROW(FC4:FC200),"")))</f>
        <v>7.533333333</v>
      </c>
      <c r="FE4" s="131">
        <f>IF('Données projet'!$A$218&gt;35,FE3+FD4-FM3,IF(A4&lt;'Données projet'!$A$218,$FB$205^A4,IF(A4='Données projet'!$A$218,'Données projet'!$B$218,FE3+FD4-FM3)))</f>
        <v>1.370477457</v>
      </c>
      <c r="FF4" s="138">
        <f>FE4*VLOOKUP('Données projet'!$B$16,'Paramètres'!$A$1:$I$89,3,0)*VLOOKUP('Données projet'!$B$16,'Paramètres'!$A$1:$I$89,5,0)</f>
        <v>1.240008003</v>
      </c>
      <c r="FG4" s="130">
        <f t="shared" ref="FG4:FG203" si="48">EXP(-1.0587+0.8836*LN(FF4)+0.284)</f>
        <v>0.5573165533</v>
      </c>
      <c r="FH4" s="141">
        <f t="shared" si="23"/>
        <v>3.130340269</v>
      </c>
      <c r="FI4" s="133">
        <f t="shared" si="24"/>
        <v>296.4636736</v>
      </c>
      <c r="FJ4" s="133">
        <f>AVERAGE(OFFSET($FI$3,0,0,'Données projet'!$E$16+1,1))-AVERAGE(OFFSET($H$3,0,0,'Données projet'!$E$16+1,1))</f>
        <v>305.6252353</v>
      </c>
      <c r="FK4" s="133">
        <f t="shared" ref="FK4:FK203" si="49">$FK$3</f>
        <v>331.397916</v>
      </c>
      <c r="FL4" s="134">
        <f>IF(ISNA(VLOOKUP(A4,'Données projet'!$A$217:$I$237,3,0)),0,VLOOKUP(A4,'Données projet'!$A$217:$I$237,3,0))</f>
        <v>0</v>
      </c>
      <c r="FM4" s="134">
        <f>IF(ISNA(VLOOKUP(A4,'Données projet'!$A$217:$I$237,4,0)),0,VLOOKUP(A4,'Données projet'!$A$217:$I$237,4,0))</f>
        <v>0</v>
      </c>
      <c r="FN4" s="135">
        <f>IF(ISNA(VLOOKUP(A4,'Données projet'!$A$217:$I$237,5,0)),0%,VLOOKUP(A4,'Données projet'!$A$217:$I$237,5,0)*VLOOKUP('Données projet'!$B$16,'Paramètres'!$A$1:$I$89,7,0))</f>
        <v>0</v>
      </c>
      <c r="FO4" s="135">
        <f>IF(ISNA(VLOOKUP(A4,'Données projet'!$A$217:$I$237,6,0)),0%,VLOOKUP(A4,'Données projet'!$A$217:$I$237,6,0)*VLOOKUP('Données projet'!$B$16,'Paramètres'!$A$1:$I$89,7,0))</f>
        <v>0</v>
      </c>
      <c r="FP4" s="135">
        <f>IF(ISNA(VLOOKUP(A4,'Données projet'!$A$217:$I$237,7,0)),0%,VLOOKUP(A4,'Données projet'!$A$217:$I$237,7,0))</f>
        <v>0</v>
      </c>
      <c r="FQ4" s="142">
        <f>EXP(-LN(2)/35)*FQ3+(1-EXP(-LN(2)/35))/(LN(2)/35)*FM4*FN4*VLOOKUP('Données projet'!$B$16,'Paramètres'!$A$1:$I$89,3,0)*0.475*44/12</f>
        <v>0</v>
      </c>
      <c r="FR4" s="142">
        <f>EXP(-LN(2)/25)*FR3+(1-EXP(-LN(2)/25))/(LN(2)/25)*Calculateur!FM4*Calculateur!FO4*VLOOKUP('Données projet'!$B$16,'Paramètres'!$A$1:$I$89,3,0)*0.475*44/12</f>
        <v>0</v>
      </c>
      <c r="FS4" s="142">
        <f>EXP(-LN(2)/2)*FS3+(1-EXP(-LN(2)/2))/(LN(2)/2)*FM4*FP4*VLOOKUP('Données projet'!$B$16,'Paramètres'!$A$1:$I$89,3,0)*0.475*44/12</f>
        <v>0</v>
      </c>
      <c r="FT4" s="143">
        <f t="shared" si="25"/>
        <v>0</v>
      </c>
      <c r="FU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1" t="str">
        <f>VLOOKUP(A4,'Données projet'!$A$243:$I$263,2,0)</f>
        <v>#N/A</v>
      </c>
      <c r="FX4" s="131" t="str">
        <f>VLOOKUP(A4,'Données projet'!$A$243:$I$263,9,0)</f>
        <v>#N/A</v>
      </c>
      <c r="FY4" s="130">
        <f t="array" ref="FY4">INDEX(FX:FX,MIN(IF(ISNUMBER(FX4:FX200),ROW(FX4:FX200),"")))</f>
        <v>1.6</v>
      </c>
      <c r="FZ4" s="131">
        <f>IF('Données projet'!$A$244&gt;35,FZ3+FY4-GH3,IF(A4&lt;'Données projet'!$A$244,$FW$205^A4,IF(A4='Données projet'!$A$244,'Données projet'!$B$244,FZ3+FY4-GH3)))</f>
        <v>1.189207115</v>
      </c>
      <c r="GA4" s="138">
        <f>FZ4*VLOOKUP('Données projet'!$B$17,'Paramètres'!$A$1:$I$89,3,0)*VLOOKUP('Données projet'!$B$17,'Paramètres'!$A$1:$I$89,5,0)</f>
        <v>0.7977201327</v>
      </c>
      <c r="GB4" s="130">
        <f t="shared" ref="GB4:GB203" si="50">EXP(-1.0587+0.8836*LN(GA4)+0.284)</f>
        <v>0.3774220015</v>
      </c>
      <c r="GC4" s="141">
        <f t="shared" si="26"/>
        <v>2.046705884</v>
      </c>
      <c r="GD4" s="133">
        <f t="shared" si="27"/>
        <v>295.3800392</v>
      </c>
      <c r="GE4" s="133">
        <f>AVERAGE(OFFSET($GD$3,0,0,'Données projet'!$E$17+1,1))-AVERAGE(OFFSET($H$3,0,0,'Données projet'!$E$17+1,1))</f>
        <v>118.7368745</v>
      </c>
      <c r="GF4" s="133">
        <f t="shared" ref="GF4:GF203" si="51">$GF$3</f>
        <v>135.1233677</v>
      </c>
      <c r="GG4" s="134">
        <f>IF(ISNA(VLOOKUP(A4,'Données projet'!$A$243:$I$263,3,0)),0,VLOOKUP(A4,'Données projet'!$A$243:$I$263,3,0))</f>
        <v>0</v>
      </c>
      <c r="GH4" s="134">
        <f>IF(ISNA(VLOOKUP(A4,'Données projet'!$A$243:$I$263,4,0)),0,VLOOKUP(A4,'Données projet'!$A$243:$I$263,4,0))</f>
        <v>0</v>
      </c>
      <c r="GI4" s="135">
        <f>IF(ISNA(VLOOKUP(A4,'Données projet'!$A$243:$I$263,5,0)),0%,VLOOKUP(A4,'Données projet'!$A$243:$I$263,5,0)*VLOOKUP('Données projet'!$B$17,'Paramètres'!$A$1:$I$89,7,0))</f>
        <v>0</v>
      </c>
      <c r="GJ4" s="135">
        <f>IF(ISNA(VLOOKUP(A4,'Données projet'!$A$243:$I$263,6,0)),0%,VLOOKUP(A4,'Données projet'!$A$243:$I$263,6,0)*VLOOKUP('Données projet'!$B$17,'Paramètres'!$A$1:$I$89,7,0))</f>
        <v>0</v>
      </c>
      <c r="GK4" s="135">
        <f>IF(ISNA(VLOOKUP(A4,'Données projet'!$A$243:$I$263,7,0)),0%,VLOOKUP(A4,'Données projet'!$A$243:$I$263,7,0))</f>
        <v>0</v>
      </c>
      <c r="GL4" s="142">
        <f>EXP(-LN(2)/35)*GL3+(1-EXP(-LN(2)/35))/(LN(2)/35)*GH4*GI4*VLOOKUP('Données projet'!$B$17,'Paramètres'!$A$1:$I$89,3,0)*0.475*44/12</f>
        <v>0</v>
      </c>
      <c r="GM4" s="142">
        <f>EXP(-LN(2)/25)*GM3+(1-EXP(-LN(2)/25))/(LN(2)/25)*Calculateur!GH4*Calculateur!GJ4*VLOOKUP('Données projet'!$B$17,'Paramètres'!$A$1:$I$89,3,0)*0.475*44/12</f>
        <v>0</v>
      </c>
      <c r="GN4" s="142">
        <f>EXP(-LN(2)/2)*GN3+(1-EXP(-LN(2)/2))/(LN(2)/2)*GH4*GK4*VLOOKUP('Données projet'!$B$17,'Paramètres'!$A$1:$I$89,3,0)*0.475*44/12</f>
        <v>0</v>
      </c>
      <c r="GO4" s="142">
        <f t="shared" si="28"/>
        <v>0</v>
      </c>
      <c r="GP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1" t="str">
        <f>VLOOKUP(A4,'Données projet'!$A$269:$I$289,2,0)</f>
        <v>#N/A</v>
      </c>
      <c r="GS4" s="131" t="str">
        <f>VLOOKUP(A4,'Données projet'!$A$269:$I$289,9,0)</f>
        <v>#N/A</v>
      </c>
      <c r="GT4" s="130">
        <f t="array" ref="GT4">INDEX(GS:GS,MIN(IF(ISNUMBER(GS4:GS200),ROW(GS4:GS200),"")))</f>
        <v>1.2</v>
      </c>
      <c r="GU4" s="131">
        <f>IF('Données projet'!$A$270&gt;35,GU3+GT4-HC3,IF(A4&lt;'Données projet'!$A$270,$GR$205^A4,IF(A4='Données projet'!$A$270,'Données projet'!$B$270,GU3+GT4-HC3)))</f>
        <v>1.145736768</v>
      </c>
      <c r="GV4" s="138">
        <f>GU4*VLOOKUP('Données projet'!$B$18,'Paramètres'!$A$1:$I$89,3,0)*VLOOKUP('Données projet'!$B$18,'Paramètres'!$A$1:$I$89,5,0)</f>
        <v>1.233271057</v>
      </c>
      <c r="GW4" s="130">
        <f t="shared" ref="GW4:GW203" si="52">EXP(-1.0587+0.8836*LN(GV4)+0.284)</f>
        <v>0.5546402592</v>
      </c>
      <c r="GX4" s="141">
        <f t="shared" si="29"/>
        <v>3.113945542</v>
      </c>
      <c r="GY4" s="133">
        <f t="shared" si="30"/>
        <v>296.4472789</v>
      </c>
      <c r="GZ4" s="133">
        <f>AVERAGE(OFFSET($GY$3,0,0,'Données projet'!$E$18+1,1))-AVERAGE(OFFSET($H$3,0,0,'Données projet'!$E$18+1,1))</f>
        <v>100.5427875</v>
      </c>
      <c r="HA4" s="133">
        <f t="shared" ref="HA4:HA203" si="53">$HA$3</f>
        <v>92.28663609</v>
      </c>
      <c r="HB4" s="134">
        <f>IF(ISNA(VLOOKUP(A4,'Données projet'!$A$269:$I$289,3,0)),0,VLOOKUP(A4,'Données projet'!$A$269:$I$289,3,0))</f>
        <v>0</v>
      </c>
      <c r="HC4" s="134">
        <f>IF(ISNA(VLOOKUP(A4,'Données projet'!$A$269:$I$289,4,0)),0,VLOOKUP(A4,'Données projet'!$A$269:$I$289,4,0))</f>
        <v>0</v>
      </c>
      <c r="HD4" s="135">
        <f>IF(ISNA(VLOOKUP(A4,'Données projet'!$A$269:$I$289,5,0)),0%,VLOOKUP(A4,'Données projet'!$A$269:$I$289,5,0)*VLOOKUP('Données projet'!$B$18,'Paramètres'!$A$1:$I$89,7,0))</f>
        <v>0</v>
      </c>
      <c r="HE4" s="135">
        <f>IF(ISNA(VLOOKUP(A4,'Données projet'!$A$269:$I$289,6,0)),0%,VLOOKUP(A4,'Données projet'!$A$269:$I$289,6,0)*VLOOKUP('Données projet'!$B$18,'Paramètres'!$A$1:$I$89,7,0))</f>
        <v>0</v>
      </c>
      <c r="HF4" s="135">
        <f>IF(ISNA(VLOOKUP(A4,'Données projet'!$A$269:$I$289,7,0)),0%,VLOOKUP(A4,'Données projet'!$A$269:$I$289,7,0))</f>
        <v>0</v>
      </c>
      <c r="HG4" s="142">
        <f>EXP(-LN(2)/35)*HG3+(1-EXP(-LN(2)/35))/(LN(2)/35)*HC4*HD4*VLOOKUP('Données projet'!$B$18,'Paramètres'!$A$1:$I$89,3,0)*0.475*44/12</f>
        <v>0</v>
      </c>
      <c r="HH4" s="142">
        <f>EXP(-LN(2)/25)*HH3+(1-EXP(-LN(2)/25))/(LN(2)/25)*Calculateur!HC4*Calculateur!HE4*VLOOKUP('Données projet'!$B$18,'Paramètres'!$A$1:$I$89,3,0)*0.475*44/12</f>
        <v>0</v>
      </c>
      <c r="HI4" s="142">
        <f>EXP(-LN(2)/2)*HI3+(1-EXP(-LN(2)/2))/(LN(2)/2)*HC4*HF4*VLOOKUP('Données projet'!$B$18,'Paramètres'!$A$1:$I$89,3,0)*0.475*44/12</f>
        <v>0</v>
      </c>
      <c r="HJ4" s="143">
        <f t="shared" si="31"/>
        <v>0</v>
      </c>
    </row>
    <row r="5">
      <c r="A5" s="125">
        <f t="shared" si="32"/>
        <v>2</v>
      </c>
      <c r="B5" s="126">
        <f>'Scénario référence'!$B$16*5+'Scénario référence'!$B$17*0+'Scénario référence'!$B$18*5</f>
        <v>0</v>
      </c>
      <c r="C5" s="140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1.092</v>
      </c>
      <c r="D5" s="127">
        <f t="shared" si="33"/>
        <v>0.4981103756</v>
      </c>
      <c r="E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7">
        <f>IF(OR('Scénario référence'!$F$8&gt;0,'Scénario référence'!$F$9&gt;0),('Scénario référence'!$F$8+'Scénario référence'!$F$9)*10,0)</f>
        <v>10</v>
      </c>
      <c r="G5" s="127">
        <f>'Scénario référence'!$B$8*B5*44/12+'Scénario référence'!$B$9*(C5+D5)/0.475*44/12+'Scénario référence'!$B$10*(C5+D5)/0.475*44/12+'Scénario référence'!$F$8*(C5+D5)/0.475*44/12+'Scénario référence'!$F$9*(C5+D5)/0.475*44/12</f>
        <v>12.27453623</v>
      </c>
      <c r="H5" s="128">
        <f t="shared" si="1"/>
        <v>296.1027756</v>
      </c>
      <c r="I5" s="12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0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1" t="str">
        <f>VLOOKUP(A5,'Données projet'!$A$35:$I$55,2,0)</f>
        <v>#N/A</v>
      </c>
      <c r="L5" s="131" t="str">
        <f>VLOOKUP(A5,'Données projet'!$A$35:$I$55,9,0)</f>
        <v>#N/A</v>
      </c>
      <c r="M5" s="131">
        <f t="array" ref="M5">INDEX(L:L,MIN(IF(ISNUMBER(L5:L201),ROW(L5:L201),"")))</f>
        <v>3.92</v>
      </c>
      <c r="N5" s="130">
        <f>IF('Données projet'!$A$36&gt;35,N4+M5-V4,IF(A5&lt;'Données projet'!$A$36,$K$205^A5,IF(A5='Données projet'!$A$36,'Données projet'!$B$36,N4+M5-V4)))</f>
        <v>1.443105514</v>
      </c>
      <c r="O5" s="130">
        <f>N5*VLOOKUP('Données projet'!$B$9,'Paramètres'!$A$1:$I$89,3,0)*VLOOKUP('Données projet'!$B$9,'Paramètres'!$A$1:$I$89,5,0)</f>
        <v>0.8254563539</v>
      </c>
      <c r="P5" s="130">
        <f t="shared" si="34"/>
        <v>0.3889940735</v>
      </c>
      <c r="Q5" s="141">
        <f t="shared" si="2"/>
        <v>2.115167828</v>
      </c>
      <c r="R5" s="133">
        <f t="shared" si="3"/>
        <v>295.4485012</v>
      </c>
      <c r="S5" s="133">
        <f>AVERAGE(OFFSET($R$3,0,0,'Données projet'!$E$9+1,1))-AVERAGE(OFFSET($H$3,0,0,'Données projet'!$E$9+1,1))</f>
        <v>126.9946492</v>
      </c>
      <c r="T5" s="133">
        <f t="shared" si="35"/>
        <v>140.039049</v>
      </c>
      <c r="U5" s="134">
        <f>IF(ISNA(VLOOKUP(A5,'Données projet'!$A$35:$I$55,3,0)),0,VLOOKUP(A5,'Données projet'!$A$35:$I$55,3,0))</f>
        <v>0</v>
      </c>
      <c r="V5" s="134">
        <f>IF(ISNA(VLOOKUP(A5,'Données projet'!$A$35:$I$55,4,0)),0,VLOOKUP(A5,'Données projet'!$A$35:$I$55,4,0))</f>
        <v>0</v>
      </c>
      <c r="W5" s="135">
        <f>IF(ISNA(VLOOKUP(A5,'Données projet'!$A$35:$I$55,5,0)),0%,VLOOKUP(A5,'Données projet'!$A$35:$I$55,5,0)*VLOOKUP('Données projet'!$B$9,'Paramètres'!$A$1:$I$89,7,0))</f>
        <v>0</v>
      </c>
      <c r="X5" s="135">
        <f>IF(ISNA(VLOOKUP(A5,'Données projet'!$A$35:$I$55,6,0)),0%,VLOOKUP(A5,'Données projet'!$A$35:$I$55,6,0)*VLOOKUP('Données projet'!$B$9,'Paramètres'!$A$1:$I$89,7,0))</f>
        <v>0</v>
      </c>
      <c r="Y5" s="135">
        <f>IF(ISNA(VLOOKUP(A5,'Données projet'!$A$35:$I$55,7,0)),0%,VLOOKUP(A5,'Données projet'!$A$35:$I$55,7,0))</f>
        <v>0</v>
      </c>
      <c r="Z5" s="142">
        <f>EXP(-LN(2)/35)*Z4+(1-EXP(-LN(2)/35))/(LN(2)/35)*V5*W5*VLOOKUP('Données projet'!$B$9,'Paramètres'!$A$1:$I$89,3,0)*0.475*44/12</f>
        <v>0</v>
      </c>
      <c r="AA5" s="142">
        <f>EXP(-LN(2)/25)*AA4+(1-EXP(-LN(2)/25))/(LN(2)/25)*Calculateur!V5*Calculateur!X5*VLOOKUP('Données projet'!$B$9,'Paramètres'!$A$1:$I$89,3,0)*0.475*44/12</f>
        <v>0</v>
      </c>
      <c r="AB5" s="142">
        <f>EXP(-LN(2)/2)*AB4+(1-EXP(-LN(2)/2))/(LN(2)/2)*V5*Y5*VLOOKUP('Données projet'!$B$9,'Paramètres'!$A$1:$I$89,3,0)*0.475*44/12</f>
        <v>0</v>
      </c>
      <c r="AC5" s="143">
        <f t="shared" si="4"/>
        <v>0</v>
      </c>
      <c r="AD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0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1" t="str">
        <f>VLOOKUP(A5,'Données projet'!$A$61:$I$81,2,0)</f>
        <v>#N/A</v>
      </c>
      <c r="AG5" s="131" t="str">
        <f>VLOOKUP(A5,'Données projet'!$A$61:$I$81,9,0)</f>
        <v>#N/A</v>
      </c>
      <c r="AH5" s="130">
        <f t="array" ref="AH5">INDEX(AG:AG,MIN(IF(ISNUMBER(AG5:AG201),ROW(AG5:AG201),"")))</f>
        <v>5.590909091</v>
      </c>
      <c r="AI5" s="130">
        <f>IF('Données projet'!$A$62&gt;35,AI4+AH5-AQ4,IF(A5&lt;'Données projet'!$A$62,$AF$205^A5,IF(A5='Données projet'!$A$62,'Données projet'!$B$62,AI4+AH5-AQ4)))</f>
        <v>1.548785856</v>
      </c>
      <c r="AJ5" s="130">
        <f>AI5*VLOOKUP('Données projet'!$B$10,'Paramètres'!$A$1:$I$89,3,0)*VLOOKUP('Données projet'!$B$10,'Paramètres'!$A$1:$I$89,5,0)</f>
        <v>0.9261739417</v>
      </c>
      <c r="AK5" s="130">
        <f t="shared" si="36"/>
        <v>0.4306471812</v>
      </c>
      <c r="AL5" s="141">
        <f t="shared" si="5"/>
        <v>2.363130122</v>
      </c>
      <c r="AM5" s="133">
        <f t="shared" si="6"/>
        <v>295.6964635</v>
      </c>
      <c r="AN5" s="133">
        <f>AVERAGE(OFFSET($AM$3,0,0,'Données projet'!$E$10+1,1))-AVERAGE(OFFSET($H$3,0,0,'Données projet'!$E$10+1,1))</f>
        <v>196.874484</v>
      </c>
      <c r="AO5" s="133">
        <f t="shared" si="37"/>
        <v>217.5750859</v>
      </c>
      <c r="AP5" s="134">
        <f>IF(ISNA(VLOOKUP(A5,'Données projet'!$A$61:$I$81,3,0)),0,VLOOKUP(A5,'Données projet'!$A$61:$I$81,3,0))</f>
        <v>0</v>
      </c>
      <c r="AQ5" s="134">
        <f>IF(ISNA(VLOOKUP(A5,'Données projet'!$A$61:$I$81,4,0)),0,VLOOKUP(A5,'Données projet'!$A$61:$I$81,4,0))</f>
        <v>0</v>
      </c>
      <c r="AR5" s="135">
        <f>IF(ISNA(VLOOKUP(A5,'Données projet'!$A$61:$I$81,5,0)),0%,VLOOKUP(A5,'Données projet'!$A$61:$I$81,5,0)*VLOOKUP('Données projet'!$B$10,'Paramètres'!$A$1:$I$89,7,0))</f>
        <v>0</v>
      </c>
      <c r="AS5" s="135">
        <f>IF(ISNA(VLOOKUP(A5,'Données projet'!$A$61:$I$81,6,0)),0%,VLOOKUP(A5,'Données projet'!$A$61:$I$81,6,0)*VLOOKUP('Données projet'!$B$10,'Paramètres'!$A$1:$I$89,7,0))</f>
        <v>0</v>
      </c>
      <c r="AT5" s="135">
        <f>IF(ISNA(VLOOKUP(A5,'Données projet'!$A$61:$I$81,7,0)),0%,VLOOKUP(A5,'Données projet'!$A$61:$I$81,7,0))</f>
        <v>0</v>
      </c>
      <c r="AU5" s="142">
        <f>EXP(-LN(2)/35)*AU4+(1-EXP(-LN(2)/35))/(LN(2)/35)*AQ5*AR5*VLOOKUP('Données projet'!$B$10,'Paramètres'!$A$1:$I$89,3,0)*0.475*44/12</f>
        <v>0</v>
      </c>
      <c r="AV5" s="142">
        <f>EXP(-LN(2)/25)*AV4+(1-EXP(-LN(2)/25))/(LN(2)/25)*Calculateur!AQ5*Calculateur!AS5*VLOOKUP('Données projet'!$B$10,'Paramètres'!$A$1:$I$89,3,0)*0.475*44/12</f>
        <v>0</v>
      </c>
      <c r="AW5" s="142">
        <f>EXP(-LN(2)/2)*AW4+(1-EXP(-LN(2)/2))/(LN(2)/2)*AQ5*AT5*VLOOKUP('Données projet'!$B$10,'Paramètres'!$A$1:$I$89,3,0)*0.475*44/12</f>
        <v>0</v>
      </c>
      <c r="AX5" s="142">
        <f t="shared" si="7"/>
        <v>0</v>
      </c>
      <c r="AY5" s="13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1" t="str">
        <f>VLOOKUP(A5,'Données projet'!$A$87:$I$107,2,0)</f>
        <v>#N/A</v>
      </c>
      <c r="BB5" s="131" t="str">
        <f>VLOOKUP(A5,'Données projet'!$A$87:$I$107,9,0)</f>
        <v>#N/A</v>
      </c>
      <c r="BC5" s="130">
        <f t="array" ref="BC5">INDEX(BB:BB,MIN(IF(ISNUMBER(BB5:BB201),ROW(BB5:BB201),"")))</f>
        <v>4.666666667</v>
      </c>
      <c r="BD5" s="131">
        <f>IF('Données projet'!$A$88&gt;35,BD4+BC5-BL4,IF(A5&lt;'Données projet'!$A$88,$BA$205^A5,IF(A5='Données projet'!$A$88,'Données projet'!$B$88,BD4+BC5-BL4)))</f>
        <v>1.390193336</v>
      </c>
      <c r="BE5" s="130">
        <f>BD5*VLOOKUP('Données projet'!$B$11,'Paramètres'!$A$1:$I$89,3,0)*VLOOKUP('Données projet'!$B$11,'Paramètres'!$A$1:$I$89,5,0)</f>
        <v>0.6506104813</v>
      </c>
      <c r="BF5" s="130">
        <f t="shared" si="38"/>
        <v>0.3152118599</v>
      </c>
      <c r="BG5" s="141">
        <f t="shared" si="8"/>
        <v>1.682140577</v>
      </c>
      <c r="BH5" s="133">
        <f t="shared" si="9"/>
        <v>295.0154739</v>
      </c>
      <c r="BI5" s="133">
        <f>AVERAGE(OFFSET($BH$3,0,0,'Données projet'!$E$11+1,1))-AVERAGE(OFFSET($H$3,0,0,'Données projet'!$E$11+1,1))</f>
        <v>134.0948534</v>
      </c>
      <c r="BJ5" s="133">
        <f t="shared" si="39"/>
        <v>108.4102536</v>
      </c>
      <c r="BK5" s="134">
        <f>IF(ISNA(VLOOKUP(A5,'Données projet'!$A$87:$I$107,3,0)),0,VLOOKUP(A5,'Données projet'!$A$87:$I$107,3,0))</f>
        <v>0</v>
      </c>
      <c r="BL5" s="134">
        <f>IF(ISNA(VLOOKUP(A5,'Données projet'!$A$87:$I$107,4,0)),0,VLOOKUP(A5,'Données projet'!$A$87:$I$107,4,0))</f>
        <v>0</v>
      </c>
      <c r="BM5" s="135">
        <f>IF(ISNA(VLOOKUP(A5,'Données projet'!$A$87:$I$107,5,0)),0%,VLOOKUP(A5,'Données projet'!$A$87:$I$107,5,0)*VLOOKUP('Données projet'!$B$11,'Paramètres'!$A$1:$I$89,7,0))</f>
        <v>0</v>
      </c>
      <c r="BN5" s="135">
        <f>IF(ISNA(VLOOKUP(A5,'Données projet'!$A$87:$I$107,6,0)),0%,VLOOKUP(A5,'Données projet'!$A$87:$I$107,6,0)*VLOOKUP('Données projet'!$B$11,'Paramètres'!$A$1:$I$89,7,0))</f>
        <v>0</v>
      </c>
      <c r="BO5" s="135">
        <f>IF(ISNA(VLOOKUP(A5,'Données projet'!$A$87:$I$107,7,0)),0%,VLOOKUP(A5,'Données projet'!$A$87:$I$107,7,0))</f>
        <v>0</v>
      </c>
      <c r="BP5" s="142">
        <f>EXP(-LN(2)/35)*BP4+(1-EXP(-LN(2)/35))/(LN(2)/35)*BL5*BM5*VLOOKUP('Données projet'!$B$11,'Paramètres'!$A$1:$I$89,3,0)*0.475*44/12</f>
        <v>0</v>
      </c>
      <c r="BQ5" s="142">
        <f>EXP(-LN(2)/25)*BQ4+(1-EXP(-LN(2)/25))/(LN(2)/25)*Calculateur!BL5*Calculateur!BN5*VLOOKUP('Données projet'!$B$11,'Paramètres'!$A$1:$I$89,3,0)*0.475*44/12</f>
        <v>0</v>
      </c>
      <c r="BR5" s="142">
        <f>EXP(-LN(2)/2)*BR4+(1-EXP(-LN(2)/2))/(LN(2)/2)*BL5*BO5*VLOOKUP('Données projet'!$B$11,'Paramètres'!$A$1:$I$89,3,0)*0.475*44/12</f>
        <v>0</v>
      </c>
      <c r="BS5" s="143">
        <f t="shared" si="10"/>
        <v>0</v>
      </c>
      <c r="BT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1" t="str">
        <f>VLOOKUP(A5,'Données projet'!$A$113:$I$133,2,0)</f>
        <v>#N/A</v>
      </c>
      <c r="BW5" s="131" t="str">
        <f>VLOOKUP(A5,'Données projet'!$A$113:$I$133,9,0)</f>
        <v>#N/A</v>
      </c>
      <c r="BX5" s="130">
        <f t="array" ref="BX5">INDEX(BW:BW,MIN(IF(ISNUMBER(BW5:BW201),ROW(BW5:BW201),"")))</f>
        <v>1.866666667</v>
      </c>
      <c r="BY5" s="131">
        <f>IF('Données projet'!$A$114&gt;35,BY4+BX5-CG4,IF(A5&lt;'Données projet'!$A$114,$BV$205^A5,IF(A5='Données projet'!$A$114,'Données projet'!$B$114,BY4+BX5-CG4)))</f>
        <v>1.559388777</v>
      </c>
      <c r="BZ5" s="130">
        <f>BY5*VLOOKUP('Données projet'!$B$12,'Paramètres'!$A$1:$I$89,3,0)*VLOOKUP('Données projet'!$B$12,'Paramètres'!$A$1:$I$89,5,0)</f>
        <v>0.7703380557</v>
      </c>
      <c r="CA5" s="130">
        <f t="shared" si="40"/>
        <v>0.365951649</v>
      </c>
      <c r="CB5" s="141">
        <f t="shared" si="11"/>
        <v>1.979037902</v>
      </c>
      <c r="CC5" s="133">
        <f t="shared" si="12"/>
        <v>295.3123712</v>
      </c>
      <c r="CD5" s="133">
        <f>AVERAGE(OFFSET($CC$3,0,0,'Données projet'!$E$12+1,1))-AVERAGE(OFFSET($H$3,0,0,'Données projet'!$E$12+1,1))</f>
        <v>258.1672054</v>
      </c>
      <c r="CE5" s="133">
        <f t="shared" si="41"/>
        <v>296.0724261</v>
      </c>
      <c r="CF5" s="134">
        <f>IF(ISNA(VLOOKUP(A5,'Données projet'!$A$113:$I$133,3,0)),0,VLOOKUP(A5,'Données projet'!$A$113:$I$133,3,0))</f>
        <v>0</v>
      </c>
      <c r="CG5" s="134">
        <f>IF(ISNA(VLOOKUP(A5,'Données projet'!$A$113:$I$133,4,0)),0,VLOOKUP(A5,'Données projet'!$A$113:$I$133,4,0))</f>
        <v>0</v>
      </c>
      <c r="CH5" s="135">
        <f>IF(ISNA(VLOOKUP(A5,'Données projet'!$A$113:$I$133,5,0)),0%,VLOOKUP(A5,'Données projet'!$A$113:$I$133,5,0)*VLOOKUP('Données projet'!$B$12,'Paramètres'!$A$1:$I$89,7,0))</f>
        <v>0</v>
      </c>
      <c r="CI5" s="135">
        <f>IF(ISNA(VLOOKUP(A5,'Données projet'!$A$113:$I$133,6,0)),0%,VLOOKUP(A5,'Données projet'!$A$113:$I$133,6,0)*VLOOKUP('Données projet'!$B$12,'Paramètres'!$A$1:$I$89,7,0))</f>
        <v>0</v>
      </c>
      <c r="CJ5" s="135">
        <f>IF(ISNA(VLOOKUP(A5,'Données projet'!$A$113:$I$133,7,0)),0%,VLOOKUP(A5,'Données projet'!$A$113:$I$133,7,0))</f>
        <v>0</v>
      </c>
      <c r="CK5" s="142">
        <f>EXP(-LN(2)/35)*CK4+(1-EXP(-LN(2)/35))/(LN(2)/35)*CG5*CH5*VLOOKUP('Données projet'!$B$12,'Paramètres'!$A$1:$I$89,3,0)*0.475*44/12</f>
        <v>0</v>
      </c>
      <c r="CL5" s="142">
        <f>EXP(-LN(2)/25)*CL4+(1-EXP(-LN(2)/25))/(LN(2)/25)*Calculateur!CG5*Calculateur!CI5*VLOOKUP('Données projet'!$B$12,'Paramètres'!$A$1:$I$89,3,0)*0.475*44/12</f>
        <v>0</v>
      </c>
      <c r="CM5" s="142">
        <f>EXP(-LN(2)/2)*CM4+(1-EXP(-LN(2)/2))/(LN(2)/2)*CG5*CJ5*VLOOKUP('Données projet'!$B$12,'Paramètres'!$A$1:$I$89,3,0)*0.475*44/12</f>
        <v>0</v>
      </c>
      <c r="CN5" s="143">
        <f t="shared" si="13"/>
        <v>0</v>
      </c>
      <c r="CO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1" t="str">
        <f>VLOOKUP(A5,'Données projet'!$A$139:$I$159,2,0)</f>
        <v>#N/A</v>
      </c>
      <c r="CR5" s="131" t="str">
        <f>VLOOKUP(A5,'Données projet'!$A$139:$I$159,9,0)</f>
        <v>#N/A</v>
      </c>
      <c r="CS5" s="130">
        <f t="array" ref="CS5">INDEX(CR:CR,MIN(IF(ISNUMBER(CR5:CR201),ROW(CR5:CR201),"")))</f>
        <v>1.2</v>
      </c>
      <c r="CT5" s="131">
        <f>IF('Données projet'!$A$140&gt;35,CT4+CS5-DB4,IF(A5&lt;'Données projet'!$A$140,$CQ$205^A5,IF(A5='Données projet'!$A$140,'Données projet'!$B$140,CT4+CS5-DB4)))</f>
        <v>1.312712741</v>
      </c>
      <c r="CU5" s="138">
        <f>CT5*VLOOKUP('Données projet'!$B$13,'Paramètres'!$A$1:$I$89,3,0)*VLOOKUP('Données projet'!$B$13,'Paramètres'!$A$1:$I$89,5,0)</f>
        <v>1.331090719</v>
      </c>
      <c r="CV5" s="130">
        <f t="shared" si="42"/>
        <v>0.5933377073</v>
      </c>
      <c r="CW5" s="141">
        <f t="shared" si="14"/>
        <v>3.351712843</v>
      </c>
      <c r="CX5" s="133">
        <f t="shared" si="15"/>
        <v>296.6850462</v>
      </c>
      <c r="CY5" s="133">
        <f>AVERAGE(OFFSET($CX$3,0,0,'Données projet'!$E$13+1,1))-AVERAGE(OFFSET($H$3,0,0,'Données projet'!$E$13+1,1))</f>
        <v>223.783507</v>
      </c>
      <c r="CZ5" s="133">
        <f t="shared" si="43"/>
        <v>84.92349117</v>
      </c>
      <c r="DA5" s="134">
        <f>IF(ISNA(VLOOKUP(A5,'Données projet'!$A$139:$I$159,3,0)),0,VLOOKUP(A5,'Données projet'!$A$139:$I$159,3,0))</f>
        <v>0</v>
      </c>
      <c r="DB5" s="134">
        <f>IF(ISNA(VLOOKUP(A5,'Données projet'!$A$139:$I$159,4,0)),0,VLOOKUP(A5,'Données projet'!$A$139:$I$159,4,0))</f>
        <v>0</v>
      </c>
      <c r="DC5" s="135">
        <f>IF(ISNA(VLOOKUP(A5,'Données projet'!$A$139:$I$159,5,0)),0%,VLOOKUP(A5,'Données projet'!$A$139:$I$159,5,0)*VLOOKUP('Données projet'!$B$13,'Paramètres'!$A$1:$I$89,7,0))</f>
        <v>0</v>
      </c>
      <c r="DD5" s="135">
        <f>IF(ISNA(VLOOKUP(A5,'Données projet'!$A$139:$I$159,6,0)),0%,VLOOKUP(A5,'Données projet'!$A$139:$I$159,6,0)*VLOOKUP('Données projet'!$B$13,'Paramètres'!$A$1:$I$89,7,0))</f>
        <v>0</v>
      </c>
      <c r="DE5" s="135">
        <f>IF(ISNA(VLOOKUP(A5,'Données projet'!$A$139:$I$159,7,0)),0%,VLOOKUP(A5,'Données projet'!$A$139:$I$159,7,0))</f>
        <v>0</v>
      </c>
      <c r="DF5" s="142">
        <f>EXP(-LN(2)/35)*DF4+(1-EXP(-LN(2)/35))/(LN(2)/35)*DB5*DC5*VLOOKUP('Données projet'!$B$13,'Paramètres'!$A$1:$I$89,3,0)*0.475*44/12</f>
        <v>0</v>
      </c>
      <c r="DG5" s="142">
        <f>EXP(-LN(2)/25)*DG4+(1-EXP(-LN(2)/25))/(LN(2)/25)*Calculateur!DB5*Calculateur!DD5*VLOOKUP('Données projet'!$B$13,'Paramètres'!$A$1:$I$89,3,0)*0.475*44/12</f>
        <v>0</v>
      </c>
      <c r="DH5" s="142">
        <f>EXP(-LN(2)/2)*DH4+(1-EXP(-LN(2)/2))/(LN(2)/2)*DB5*DE5*VLOOKUP('Données projet'!$B$13,'Paramètres'!$A$1:$I$89,3,0)*0.475*44/12</f>
        <v>0</v>
      </c>
      <c r="DI5" s="143">
        <f t="shared" si="16"/>
        <v>0</v>
      </c>
      <c r="DJ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1" t="str">
        <f>VLOOKUP(A5,'Données projet'!$A$165:$I$185,2,0)</f>
        <v>#N/A</v>
      </c>
      <c r="DM5" s="131" t="str">
        <f>VLOOKUP(A5,'Données projet'!$A$165:$I$185,9,0)</f>
        <v>#N/A</v>
      </c>
      <c r="DN5" s="131">
        <f t="array" ref="DN5">INDEX(DM:DM,MIN(IF(ISNUMBER(DM5:DM201),ROW(DM5:DM201),"")))</f>
        <v>2.1</v>
      </c>
      <c r="DO5" s="131">
        <f>IF('Données projet'!$A$166&gt;35,DO4+DN5-DW4,IF(A5&lt;'Données projet'!$A$166,$DL$205^A5,IF(A5='Données projet'!$A$166,'Données projet'!$B$166,DO4+DN5-DW4)))</f>
        <v>1.45319846</v>
      </c>
      <c r="DP5" s="138">
        <f>DO5*VLOOKUP('Données projet'!$B$14,'Paramètres'!$A$1:$I$89,3,0)*VLOOKUP('Données projet'!$B$14,'Paramètres'!$A$1:$I$89,5,0)</f>
        <v>1.314853967</v>
      </c>
      <c r="DQ5" s="130">
        <f t="shared" si="44"/>
        <v>0.5869380196</v>
      </c>
      <c r="DR5" s="141">
        <f t="shared" si="17"/>
        <v>3.31228771</v>
      </c>
      <c r="DS5" s="133">
        <f t="shared" si="18"/>
        <v>296.645621</v>
      </c>
      <c r="DT5" s="133">
        <f>AVERAGE(OFFSET($DS$3,0,0,'Données projet'!$E$14+1,1))-AVERAGE(OFFSET($H$3,0,0,'Données projet'!$E$14+1,1))</f>
        <v>287.9334714</v>
      </c>
      <c r="DU5" s="133">
        <f t="shared" si="45"/>
        <v>156.6796502</v>
      </c>
      <c r="DV5" s="134">
        <f>IF(ISNA(VLOOKUP(A5,'Données projet'!$A$165:$I$185,3,0)),0,VLOOKUP(A5,'Données projet'!$A$165:$I$185,3,0))</f>
        <v>0</v>
      </c>
      <c r="DW5" s="134">
        <f>IF(ISNA(VLOOKUP(A5,'Données projet'!$A$165:$I$185,4,0)),0,VLOOKUP(A5,'Données projet'!$A$165:$I$185,4,0))</f>
        <v>0</v>
      </c>
      <c r="DX5" s="135">
        <f>IF(ISNA(VLOOKUP(A5,'Données projet'!$A$165:$I$185,5,0)),0%,VLOOKUP(A5,'Données projet'!$A$165:$I$185,5,0)*VLOOKUP('Données projet'!$B$14,'Paramètres'!$A$1:$I$89,7,0))</f>
        <v>0</v>
      </c>
      <c r="DY5" s="135">
        <f>IF(ISNA(VLOOKUP(A5,'Données projet'!$A$165:$I$185,6,0)),0%,VLOOKUP(A5,'Données projet'!$A$165:$I$185,6,0)*VLOOKUP('Données projet'!$B$14,'Paramètres'!$A$1:$I$89,7,0))</f>
        <v>0</v>
      </c>
      <c r="DZ5" s="135">
        <f>IF(ISNA(VLOOKUP(A5,'Données projet'!$A$165:$I$185,7,0)),0%,VLOOKUP(A5,'Données projet'!$A$165:$I$185,7,0))</f>
        <v>0</v>
      </c>
      <c r="EA5" s="142">
        <f>EXP(-LN(2)/35)*EA4+(1-EXP(-LN(2)/35))/(LN(2)/35)*DW5*DX5*VLOOKUP('Données projet'!$B$14,'Paramètres'!$A$1:$I$89,3,0)*0.475*44/12</f>
        <v>0</v>
      </c>
      <c r="EB5" s="142">
        <f>EXP(-LN(2)/25)*EB4+(1-EXP(-LN(2)/25))/(LN(2)/25)*Calculateur!DW5*Calculateur!DY5*VLOOKUP('Données projet'!$B$14,'Paramètres'!$A$1:$I$89,3,0)*0.475*44/12</f>
        <v>0</v>
      </c>
      <c r="EC5" s="142">
        <f>EXP(-LN(2)/2)*EC4+(1-EXP(-LN(2)/2))/(LN(2)/2)*DW5*DZ5*VLOOKUP('Données projet'!$B$14,'Paramètres'!$A$1:$I$89,3,0)*0.475*44/12</f>
        <v>0</v>
      </c>
      <c r="ED5" s="143">
        <f t="shared" si="19"/>
        <v>0</v>
      </c>
      <c r="EE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1" t="str">
        <f>VLOOKUP(A5,'Données projet'!$A$191:$I$211,2,0)</f>
        <v>#N/A</v>
      </c>
      <c r="EH5" s="131" t="str">
        <f>VLOOKUP(A5,'Données projet'!$A$191:$I$211,9,0)</f>
        <v>#N/A</v>
      </c>
      <c r="EI5" s="131">
        <f t="array" ref="EI5">INDEX(EH:EH,MIN(IF(ISNUMBER(EH5:EH201),ROW(EH5:EH201),"")))</f>
        <v>1.6</v>
      </c>
      <c r="EJ5" s="131">
        <f>IF('Données projet'!$A$192&gt;35,EJ4+EI5-ER4,IF(A5&lt;'Données projet'!$A$192,$EG$205^A5,IF(A5='Données projet'!$A$192,'Données projet'!$B$192,EJ4+EI5-ER4)))</f>
        <v>1.343274589</v>
      </c>
      <c r="EK5" s="138">
        <f>EJ5*VLOOKUP('Données projet'!$B$15,'Paramètres'!$A$1:$I$89,3,0)*VLOOKUP('Données projet'!$B$15,'Paramètres'!$A$1:$I$89,5,0)</f>
        <v>0.9848889289</v>
      </c>
      <c r="EL5" s="130">
        <f t="shared" si="46"/>
        <v>0.4546833425</v>
      </c>
      <c r="EM5" s="141">
        <f t="shared" si="20"/>
        <v>2.507255039</v>
      </c>
      <c r="EN5" s="133">
        <f t="shared" si="21"/>
        <v>295.8405884</v>
      </c>
      <c r="EO5" s="133">
        <f>AVERAGE(OFFSET($EN$3,0,0,'Données projet'!$E$15+1,1))-AVERAGE(OFFSET($H$3,0,0,'Données projet'!$E$15+1,1))</f>
        <v>130.3193339</v>
      </c>
      <c r="EP5" s="133">
        <f t="shared" si="47"/>
        <v>82.22784365</v>
      </c>
      <c r="EQ5" s="134">
        <f>IF(ISNA(VLOOKUP(A5,'Données projet'!$A$191:$I$211,3,0)),0,VLOOKUP(A5,'Données projet'!$A$191:$I$211,3,0))</f>
        <v>0</v>
      </c>
      <c r="ER5" s="134">
        <f>IF(ISNA(VLOOKUP(A5,'Données projet'!$A$191:$I$211,4,0)),0,VLOOKUP(A5,'Données projet'!$A$191:$I$211,4,0))</f>
        <v>0</v>
      </c>
      <c r="ES5" s="135">
        <f>IF(ISNA(VLOOKUP(A5,'Données projet'!$A$191:$I$211,5,0)),0%,VLOOKUP(A5,'Données projet'!$A$191:$I$211,5,0)*VLOOKUP('Données projet'!$B$15,'Paramètres'!$A$1:$I$89,7,0))</f>
        <v>0</v>
      </c>
      <c r="ET5" s="135">
        <f>IF(ISNA(VLOOKUP(A5,'Données projet'!$A$191:$I$211,6,0)),0%,VLOOKUP(A5,'Données projet'!$A$191:$I$211,6,0)*VLOOKUP('Données projet'!$B$15,'Paramètres'!$A$1:$I$89,7,0))</f>
        <v>0</v>
      </c>
      <c r="EU5" s="135">
        <f>IF(ISNA(VLOOKUP(A5,'Données projet'!$A$191:$I$211,7,0)),0%,VLOOKUP(A5,'Données projet'!$A$191:$I$211,7,0))</f>
        <v>0</v>
      </c>
      <c r="EV5" s="142">
        <f>EXP(-LN(2)/35)*EV4+(1-EXP(-LN(2)/35))/(LN(2)/35)*ER5*ES5*VLOOKUP('Données projet'!$B$15,'Paramètres'!$A$1:$I$89,3,0)*0.475*44/12</f>
        <v>0</v>
      </c>
      <c r="EW5" s="142">
        <f>EXP(-LN(2)/25)*EW4+(1-EXP(-LN(2)/25))/(LN(2)/25)*Calculateur!ER5*Calculateur!ET5*VLOOKUP('Données projet'!$B$15,'Paramètres'!$A$1:$I$89,3,0)*0.475*44/12</f>
        <v>0</v>
      </c>
      <c r="EX5" s="142">
        <f>EXP(-LN(2)/2)*EX4+(1-EXP(-LN(2)/2))/(LN(2)/2)*ER5*EU5*VLOOKUP('Données projet'!$B$15,'Paramètres'!$A$1:$I$89,3,0)*0.475*44/12</f>
        <v>0</v>
      </c>
      <c r="EY5" s="143">
        <f t="shared" si="22"/>
        <v>0</v>
      </c>
      <c r="EZ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1" t="str">
        <f>VLOOKUP(A5,'Données projet'!$A$217:$I$237,2,0)</f>
        <v>#N/A</v>
      </c>
      <c r="FC5" s="131" t="str">
        <f>VLOOKUP(A5,'Données projet'!$A$217:$I$237,9,0)</f>
        <v>#N/A</v>
      </c>
      <c r="FD5" s="130">
        <f t="array" ref="FD5">INDEX(FC:FC,MIN(IF(ISNUMBER(FC5:FC201),ROW(FC5:FC201),"")))</f>
        <v>7.533333333</v>
      </c>
      <c r="FE5" s="131">
        <f>IF('Données projet'!$A$218&gt;35,FE4+FD5-FM4,IF(A5&lt;'Données projet'!$A$218,$FB$205^A5,IF(A5='Données projet'!$A$218,'Données projet'!$B$218,FE4+FD5-FM4)))</f>
        <v>1.87820846</v>
      </c>
      <c r="FF5" s="138">
        <f>FE5*VLOOKUP('Données projet'!$B$16,'Paramètres'!$A$1:$I$89,3,0)*VLOOKUP('Données projet'!$B$16,'Paramètres'!$A$1:$I$89,5,0)</f>
        <v>1.699403015</v>
      </c>
      <c r="FG5" s="130">
        <f t="shared" si="48"/>
        <v>0.7362782139</v>
      </c>
      <c r="FH5" s="141">
        <f t="shared" si="23"/>
        <v>4.242144807</v>
      </c>
      <c r="FI5" s="133">
        <f t="shared" si="24"/>
        <v>297.5754781</v>
      </c>
      <c r="FJ5" s="133">
        <f>AVERAGE(OFFSET($FI$3,0,0,'Données projet'!$E$16+1,1))-AVERAGE(OFFSET($H$3,0,0,'Données projet'!$E$16+1,1))</f>
        <v>305.6252353</v>
      </c>
      <c r="FK5" s="133">
        <f t="shared" si="49"/>
        <v>331.397916</v>
      </c>
      <c r="FL5" s="134">
        <f>IF(ISNA(VLOOKUP(A5,'Données projet'!$A$217:$I$237,3,0)),0,VLOOKUP(A5,'Données projet'!$A$217:$I$237,3,0))</f>
        <v>0</v>
      </c>
      <c r="FM5" s="134">
        <f>IF(ISNA(VLOOKUP(A5,'Données projet'!$A$217:$I$237,4,0)),0,VLOOKUP(A5,'Données projet'!$A$217:$I$237,4,0))</f>
        <v>0</v>
      </c>
      <c r="FN5" s="135">
        <f>IF(ISNA(VLOOKUP(A5,'Données projet'!$A$217:$I$237,5,0)),0%,VLOOKUP(A5,'Données projet'!$A$217:$I$237,5,0)*VLOOKUP('Données projet'!$B$16,'Paramètres'!$A$1:$I$89,7,0))</f>
        <v>0</v>
      </c>
      <c r="FO5" s="135">
        <f>IF(ISNA(VLOOKUP(A5,'Données projet'!$A$217:$I$237,6,0)),0%,VLOOKUP(A5,'Données projet'!$A$217:$I$237,6,0)*VLOOKUP('Données projet'!$B$16,'Paramètres'!$A$1:$I$89,7,0))</f>
        <v>0</v>
      </c>
      <c r="FP5" s="135">
        <f>IF(ISNA(VLOOKUP(A5,'Données projet'!$A$217:$I$237,7,0)),0%,VLOOKUP(A5,'Données projet'!$A$217:$I$237,7,0))</f>
        <v>0</v>
      </c>
      <c r="FQ5" s="142">
        <f>EXP(-LN(2)/35)*FQ4+(1-EXP(-LN(2)/35))/(LN(2)/35)*FM5*FN5*VLOOKUP('Données projet'!$B$16,'Paramètres'!$A$1:$I$89,3,0)*0.475*44/12</f>
        <v>0</v>
      </c>
      <c r="FR5" s="142">
        <f>EXP(-LN(2)/25)*FR4+(1-EXP(-LN(2)/25))/(LN(2)/25)*Calculateur!FM5*Calculateur!FO5*VLOOKUP('Données projet'!$B$16,'Paramètres'!$A$1:$I$89,3,0)*0.475*44/12</f>
        <v>0</v>
      </c>
      <c r="FS5" s="142">
        <f>EXP(-LN(2)/2)*FS4+(1-EXP(-LN(2)/2))/(LN(2)/2)*FM5*FP5*VLOOKUP('Données projet'!$B$16,'Paramètres'!$A$1:$I$89,3,0)*0.475*44/12</f>
        <v>0</v>
      </c>
      <c r="FT5" s="143">
        <f t="shared" si="25"/>
        <v>0</v>
      </c>
      <c r="FU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1" t="str">
        <f>VLOOKUP(A5,'Données projet'!$A$243:$I$263,2,0)</f>
        <v>#N/A</v>
      </c>
      <c r="FX5" s="131" t="str">
        <f>VLOOKUP(A5,'Données projet'!$A$243:$I$263,9,0)</f>
        <v>#N/A</v>
      </c>
      <c r="FY5" s="130">
        <f t="array" ref="FY5">INDEX(FX:FX,MIN(IF(ISNUMBER(FX5:FX201),ROW(FX5:FX201),"")))</f>
        <v>1.6</v>
      </c>
      <c r="FZ5" s="131">
        <f>IF('Données projet'!$A$244&gt;35,FZ4+FY5-GH4,IF(A5&lt;'Données projet'!$A$244,$FW$205^A5,IF(A5='Données projet'!$A$244,'Données projet'!$B$244,FZ4+FY5-GH4)))</f>
        <v>1.414213562</v>
      </c>
      <c r="GA5" s="138">
        <f>FZ5*VLOOKUP('Données projet'!$B$17,'Paramètres'!$A$1:$I$89,3,0)*VLOOKUP('Données projet'!$B$17,'Paramètres'!$A$1:$I$89,5,0)</f>
        <v>0.9486544576</v>
      </c>
      <c r="GB5" s="130">
        <f t="shared" si="50"/>
        <v>0.4398704012</v>
      </c>
      <c r="GC5" s="141">
        <f t="shared" si="26"/>
        <v>2.418347463</v>
      </c>
      <c r="GD5" s="133">
        <f t="shared" si="27"/>
        <v>295.7516808</v>
      </c>
      <c r="GE5" s="133">
        <f>AVERAGE(OFFSET($GD$3,0,0,'Données projet'!$E$17+1,1))-AVERAGE(OFFSET($H$3,0,0,'Données projet'!$E$17+1,1))</f>
        <v>118.7368745</v>
      </c>
      <c r="GF5" s="133">
        <f t="shared" si="51"/>
        <v>135.1233677</v>
      </c>
      <c r="GG5" s="134">
        <f>IF(ISNA(VLOOKUP(A5,'Données projet'!$A$243:$I$263,3,0)),0,VLOOKUP(A5,'Données projet'!$A$243:$I$263,3,0))</f>
        <v>0</v>
      </c>
      <c r="GH5" s="134">
        <f>IF(ISNA(VLOOKUP(A5,'Données projet'!$A$243:$I$263,4,0)),0,VLOOKUP(A5,'Données projet'!$A$243:$I$263,4,0))</f>
        <v>0</v>
      </c>
      <c r="GI5" s="135">
        <f>IF(ISNA(VLOOKUP(A5,'Données projet'!$A$243:$I$263,5,0)),0%,VLOOKUP(A5,'Données projet'!$A$243:$I$263,5,0)*VLOOKUP('Données projet'!$B$17,'Paramètres'!$A$1:$I$89,7,0))</f>
        <v>0</v>
      </c>
      <c r="GJ5" s="135">
        <f>IF(ISNA(VLOOKUP(A5,'Données projet'!$A$243:$I$263,6,0)),0%,VLOOKUP(A5,'Données projet'!$A$243:$I$263,6,0)*VLOOKUP('Données projet'!$B$17,'Paramètres'!$A$1:$I$89,7,0))</f>
        <v>0</v>
      </c>
      <c r="GK5" s="135">
        <f>IF(ISNA(VLOOKUP(A5,'Données projet'!$A$243:$I$263,7,0)),0%,VLOOKUP(A5,'Données projet'!$A$243:$I$263,7,0))</f>
        <v>0</v>
      </c>
      <c r="GL5" s="142">
        <f>EXP(-LN(2)/35)*GL4+(1-EXP(-LN(2)/35))/(LN(2)/35)*GH5*GI5*VLOOKUP('Données projet'!$B$17,'Paramètres'!$A$1:$I$89,3,0)*0.475*44/12</f>
        <v>0</v>
      </c>
      <c r="GM5" s="142">
        <f>EXP(-LN(2)/25)*GM4+(1-EXP(-LN(2)/25))/(LN(2)/25)*Calculateur!GH5*Calculateur!GJ5*VLOOKUP('Données projet'!$B$17,'Paramètres'!$A$1:$I$89,3,0)*0.475*44/12</f>
        <v>0</v>
      </c>
      <c r="GN5" s="142">
        <f>EXP(-LN(2)/2)*GN4+(1-EXP(-LN(2)/2))/(LN(2)/2)*GH5*GK5*VLOOKUP('Données projet'!$B$17,'Paramètres'!$A$1:$I$89,3,0)*0.475*44/12</f>
        <v>0</v>
      </c>
      <c r="GO5" s="142">
        <f t="shared" si="28"/>
        <v>0</v>
      </c>
      <c r="GP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1" t="str">
        <f>VLOOKUP(A5,'Données projet'!$A$269:$I$289,2,0)</f>
        <v>#N/A</v>
      </c>
      <c r="GS5" s="131" t="str">
        <f>VLOOKUP(A5,'Données projet'!$A$269:$I$289,9,0)</f>
        <v>#N/A</v>
      </c>
      <c r="GT5" s="130">
        <f t="array" ref="GT5">INDEX(GS:GS,MIN(IF(ISNUMBER(GS5:GS201),ROW(GS5:GS201),"")))</f>
        <v>1.2</v>
      </c>
      <c r="GU5" s="131">
        <f>IF('Données projet'!$A$270&gt;35,GU4+GT5-HC4,IF(A5&lt;'Données projet'!$A$270,$GR$205^A5,IF(A5='Données projet'!$A$270,'Données projet'!$B$270,GU4+GT5-HC4)))</f>
        <v>1.312712741</v>
      </c>
      <c r="GV5" s="138">
        <f>GU5*VLOOKUP('Données projet'!$B$18,'Paramètres'!$A$1:$I$89,3,0)*VLOOKUP('Données projet'!$B$18,'Paramètres'!$A$1:$I$89,5,0)</f>
        <v>1.413003994</v>
      </c>
      <c r="GW5" s="130">
        <f t="shared" si="52"/>
        <v>0.6254876855</v>
      </c>
      <c r="GX5" s="141">
        <f t="shared" si="29"/>
        <v>3.550373009</v>
      </c>
      <c r="GY5" s="133">
        <f t="shared" si="30"/>
        <v>296.8837063</v>
      </c>
      <c r="GZ5" s="133">
        <f>AVERAGE(OFFSET($GY$3,0,0,'Données projet'!$E$18+1,1))-AVERAGE(OFFSET($H$3,0,0,'Données projet'!$E$18+1,1))</f>
        <v>100.5427875</v>
      </c>
      <c r="HA5" s="133">
        <f t="shared" si="53"/>
        <v>92.28663609</v>
      </c>
      <c r="HB5" s="134">
        <f>IF(ISNA(VLOOKUP(A5,'Données projet'!$A$269:$I$289,3,0)),0,VLOOKUP(A5,'Données projet'!$A$269:$I$289,3,0))</f>
        <v>0</v>
      </c>
      <c r="HC5" s="134">
        <f>IF(ISNA(VLOOKUP(A5,'Données projet'!$A$269:$I$289,4,0)),0,VLOOKUP(A5,'Données projet'!$A$269:$I$289,4,0))</f>
        <v>0</v>
      </c>
      <c r="HD5" s="135">
        <f>IF(ISNA(VLOOKUP(A5,'Données projet'!$A$269:$I$289,5,0)),0%,VLOOKUP(A5,'Données projet'!$A$269:$I$289,5,0)*VLOOKUP('Données projet'!$B$18,'Paramètres'!$A$1:$I$89,7,0))</f>
        <v>0</v>
      </c>
      <c r="HE5" s="135">
        <f>IF(ISNA(VLOOKUP(A5,'Données projet'!$A$269:$I$289,6,0)),0%,VLOOKUP(A5,'Données projet'!$A$269:$I$289,6,0)*VLOOKUP('Données projet'!$B$18,'Paramètres'!$A$1:$I$89,7,0))</f>
        <v>0</v>
      </c>
      <c r="HF5" s="135">
        <f>IF(ISNA(VLOOKUP(A5,'Données projet'!$A$269:$I$289,7,0)),0%,VLOOKUP(A5,'Données projet'!$A$269:$I$289,7,0))</f>
        <v>0</v>
      </c>
      <c r="HG5" s="142">
        <f>EXP(-LN(2)/35)*HG4+(1-EXP(-LN(2)/35))/(LN(2)/35)*HC5*HD5*VLOOKUP('Données projet'!$B$18,'Paramètres'!$A$1:$I$89,3,0)*0.475*44/12</f>
        <v>0</v>
      </c>
      <c r="HH5" s="142">
        <f>EXP(-LN(2)/25)*HH4+(1-EXP(-LN(2)/25))/(LN(2)/25)*Calculateur!HC5*Calculateur!HE5*VLOOKUP('Données projet'!$B$18,'Paramètres'!$A$1:$I$89,3,0)*0.475*44/12</f>
        <v>0</v>
      </c>
      <c r="HI5" s="142">
        <f>EXP(-LN(2)/2)*HI4+(1-EXP(-LN(2)/2))/(LN(2)/2)*HC5*HF5*VLOOKUP('Données projet'!$B$18,'Paramètres'!$A$1:$I$89,3,0)*0.475*44/12</f>
        <v>0</v>
      </c>
      <c r="HJ5" s="143">
        <f t="shared" si="31"/>
        <v>0</v>
      </c>
    </row>
    <row r="6">
      <c r="A6" s="125">
        <f t="shared" si="32"/>
        <v>3</v>
      </c>
      <c r="B6" s="126">
        <f>'Scénario référence'!$B$16*5+'Scénario référence'!$B$17*0+'Scénario référence'!$B$18*5</f>
        <v>0</v>
      </c>
      <c r="C6" s="140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1.638</v>
      </c>
      <c r="D6" s="127">
        <f t="shared" si="33"/>
        <v>0.712721442</v>
      </c>
      <c r="E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7">
        <f>IF(OR('Scénario référence'!$F$8&gt;0,'Scénario référence'!$F$9&gt;0),('Scénario référence'!$F$8+'Scénario référence'!$F$9)*10,0)</f>
        <v>10</v>
      </c>
      <c r="G6" s="127">
        <f>'Scénario référence'!$B$8*B6*44/12+'Scénario référence'!$B$9*(C6+D6)/0.475*44/12+'Scénario référence'!$B$10*(C6+D6)/0.475*44/12+'Scénario référence'!$F$8*(C6+D6)/0.475*44/12+'Scénario référence'!$F$9*(C6+D6)/0.475*44/12</f>
        <v>18.1459199</v>
      </c>
      <c r="H6" s="128">
        <f t="shared" si="1"/>
        <v>297.4275065</v>
      </c>
      <c r="I6" s="12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0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1" t="str">
        <f>VLOOKUP(A6,'Données projet'!$A$35:$I$55,2,0)</f>
        <v>#N/A</v>
      </c>
      <c r="L6" s="131" t="str">
        <f>VLOOKUP(A6,'Données projet'!$A$35:$I$55,9,0)</f>
        <v>#N/A</v>
      </c>
      <c r="M6" s="131">
        <f t="array" ref="M6">INDEX(L:L,MIN(IF(ISNUMBER(L6:L202),ROW(L6:L202),"")))</f>
        <v>3.92</v>
      </c>
      <c r="N6" s="130">
        <f>IF('Données projet'!$A$36&gt;35,N5+M6-V5,IF(A6&lt;'Données projet'!$A$36,$K$205^A6,IF(A6='Données projet'!$A$36,'Données projet'!$B$36,N5+M6-V5)))</f>
        <v>1.733592938</v>
      </c>
      <c r="O6" s="130">
        <f>N6*VLOOKUP('Données projet'!$B$9,'Paramètres'!$A$1:$I$89,3,0)*VLOOKUP('Données projet'!$B$9,'Paramètres'!$A$1:$I$89,5,0)</f>
        <v>0.9916151604</v>
      </c>
      <c r="P6" s="130">
        <f t="shared" si="34"/>
        <v>0.4574260347</v>
      </c>
      <c r="Q6" s="141">
        <f t="shared" si="2"/>
        <v>2.523746748</v>
      </c>
      <c r="R6" s="133">
        <f t="shared" si="3"/>
        <v>295.8570801</v>
      </c>
      <c r="S6" s="133">
        <f>AVERAGE(OFFSET($R$3,0,0,'Données projet'!$E$9+1,1))-AVERAGE(OFFSET($H$3,0,0,'Données projet'!$E$9+1,1))</f>
        <v>126.9946492</v>
      </c>
      <c r="T6" s="133">
        <f t="shared" si="35"/>
        <v>140.039049</v>
      </c>
      <c r="U6" s="134">
        <f>IF(ISNA(VLOOKUP(A6,'Données projet'!$A$35:$I$55,3,0)),0,VLOOKUP(A6,'Données projet'!$A$35:$I$55,3,0))</f>
        <v>0</v>
      </c>
      <c r="V6" s="134">
        <f>IF(ISNA(VLOOKUP(A6,'Données projet'!$A$35:$I$55,4,0)),0,VLOOKUP(A6,'Données projet'!$A$35:$I$55,4,0))</f>
        <v>0</v>
      </c>
      <c r="W6" s="135">
        <f>IF(ISNA(VLOOKUP(A6,'Données projet'!$A$35:$I$55,5,0)),0%,VLOOKUP(A6,'Données projet'!$A$35:$I$55,5,0)*VLOOKUP('Données projet'!$B$9,'Paramètres'!$A$1:$I$89,7,0))</f>
        <v>0</v>
      </c>
      <c r="X6" s="135">
        <f>IF(ISNA(VLOOKUP(A6,'Données projet'!$A$35:$I$55,6,0)),0%,VLOOKUP(A6,'Données projet'!$A$35:$I$55,6,0)*VLOOKUP('Données projet'!$B$9,'Paramètres'!$A$1:$I$89,7,0))</f>
        <v>0</v>
      </c>
      <c r="Y6" s="135">
        <f>IF(ISNA(VLOOKUP(A6,'Données projet'!$A$35:$I$55,7,0)),0%,VLOOKUP(A6,'Données projet'!$A$35:$I$55,7,0))</f>
        <v>0</v>
      </c>
      <c r="Z6" s="142">
        <f>EXP(-LN(2)/35)*Z5+(1-EXP(-LN(2)/35))/(LN(2)/35)*V6*W6*VLOOKUP('Données projet'!$B$9,'Paramètres'!$A$1:$I$89,3,0)*0.475*44/12</f>
        <v>0</v>
      </c>
      <c r="AA6" s="142">
        <f>EXP(-LN(2)/25)*AA5+(1-EXP(-LN(2)/25))/(LN(2)/25)*Calculateur!V6*Calculateur!X6*VLOOKUP('Données projet'!$B$9,'Paramètres'!$A$1:$I$89,3,0)*0.475*44/12</f>
        <v>0</v>
      </c>
      <c r="AB6" s="142">
        <f>EXP(-LN(2)/2)*AB5+(1-EXP(-LN(2)/2))/(LN(2)/2)*V6*Y6*VLOOKUP('Données projet'!$B$9,'Paramètres'!$A$1:$I$89,3,0)*0.475*44/12</f>
        <v>0</v>
      </c>
      <c r="AC6" s="143">
        <f t="shared" si="4"/>
        <v>0</v>
      </c>
      <c r="AD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0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1" t="str">
        <f>VLOOKUP(A6,'Données projet'!$A$61:$I$81,2,0)</f>
        <v>#N/A</v>
      </c>
      <c r="AG6" s="131" t="str">
        <f>VLOOKUP(A6,'Données projet'!$A$61:$I$81,9,0)</f>
        <v>#N/A</v>
      </c>
      <c r="AH6" s="130">
        <f t="array" ref="AH6">INDEX(AG:AG,MIN(IF(ISNUMBER(AG6:AG202),ROW(AG6:AG202),"")))</f>
        <v>5.590909091</v>
      </c>
      <c r="AI6" s="130">
        <f>IF('Données projet'!$A$62&gt;35,AI5+AH6-AQ5,IF(A6&lt;'Données projet'!$A$62,$AF$205^A6,IF(A6='Données projet'!$A$62,'Données projet'!$B$62,AI5+AH6-AQ5)))</f>
        <v>1.927467485</v>
      </c>
      <c r="AJ6" s="130">
        <f>AI6*VLOOKUP('Données projet'!$B$10,'Paramètres'!$A$1:$I$89,3,0)*VLOOKUP('Données projet'!$B$10,'Paramètres'!$A$1:$I$89,5,0)</f>
        <v>1.152625556</v>
      </c>
      <c r="AK6" s="130">
        <f t="shared" si="36"/>
        <v>0.5224681225</v>
      </c>
      <c r="AL6" s="141">
        <f t="shared" si="5"/>
        <v>2.917454824</v>
      </c>
      <c r="AM6" s="133">
        <f t="shared" si="6"/>
        <v>296.2507882</v>
      </c>
      <c r="AN6" s="133">
        <f>AVERAGE(OFFSET($AM$3,0,0,'Données projet'!$E$10+1,1))-AVERAGE(OFFSET($H$3,0,0,'Données projet'!$E$10+1,1))</f>
        <v>196.874484</v>
      </c>
      <c r="AO6" s="133">
        <f t="shared" si="37"/>
        <v>217.5750859</v>
      </c>
      <c r="AP6" s="134">
        <f>IF(ISNA(VLOOKUP(A6,'Données projet'!$A$61:$I$81,3,0)),0,VLOOKUP(A6,'Données projet'!$A$61:$I$81,3,0))</f>
        <v>0</v>
      </c>
      <c r="AQ6" s="134">
        <f>IF(ISNA(VLOOKUP(A6,'Données projet'!$A$61:$I$81,4,0)),0,VLOOKUP(A6,'Données projet'!$A$61:$I$81,4,0))</f>
        <v>0</v>
      </c>
      <c r="AR6" s="135">
        <f>IF(ISNA(VLOOKUP(A6,'Données projet'!$A$61:$I$81,5,0)),0%,VLOOKUP(A6,'Données projet'!$A$61:$I$81,5,0)*VLOOKUP('Données projet'!$B$10,'Paramètres'!$A$1:$I$89,7,0))</f>
        <v>0</v>
      </c>
      <c r="AS6" s="135">
        <f>IF(ISNA(VLOOKUP(A6,'Données projet'!$A$61:$I$81,6,0)),0%,VLOOKUP(A6,'Données projet'!$A$61:$I$81,6,0)*VLOOKUP('Données projet'!$B$10,'Paramètres'!$A$1:$I$89,7,0))</f>
        <v>0</v>
      </c>
      <c r="AT6" s="135">
        <f>IF(ISNA(VLOOKUP(A6,'Données projet'!$A$61:$I$81,7,0)),0%,VLOOKUP(A6,'Données projet'!$A$61:$I$81,7,0))</f>
        <v>0</v>
      </c>
      <c r="AU6" s="142">
        <f>EXP(-LN(2)/35)*AU5+(1-EXP(-LN(2)/35))/(LN(2)/35)*AQ6*AR6*VLOOKUP('Données projet'!$B$10,'Paramètres'!$A$1:$I$89,3,0)*0.475*44/12</f>
        <v>0</v>
      </c>
      <c r="AV6" s="142">
        <f>EXP(-LN(2)/25)*AV5+(1-EXP(-LN(2)/25))/(LN(2)/25)*Calculateur!AQ6*Calculateur!AS6*VLOOKUP('Données projet'!$B$10,'Paramètres'!$A$1:$I$89,3,0)*0.475*44/12</f>
        <v>0</v>
      </c>
      <c r="AW6" s="142">
        <f>EXP(-LN(2)/2)*AW5+(1-EXP(-LN(2)/2))/(LN(2)/2)*AQ6*AT6*VLOOKUP('Données projet'!$B$10,'Paramètres'!$A$1:$I$89,3,0)*0.475*44/12</f>
        <v>0</v>
      </c>
      <c r="AX6" s="142">
        <f t="shared" si="7"/>
        <v>0</v>
      </c>
      <c r="AY6" s="13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1" t="str">
        <f>VLOOKUP(A6,'Données projet'!$A$87:$I$107,2,0)</f>
        <v>#N/A</v>
      </c>
      <c r="BB6" s="131" t="str">
        <f>VLOOKUP(A6,'Données projet'!$A$87:$I$107,9,0)</f>
        <v>#N/A</v>
      </c>
      <c r="BC6" s="130">
        <f t="array" ref="BC6">INDEX(BB:BB,MIN(IF(ISNUMBER(BB6:BB202),ROW(BB6:BB202),"")))</f>
        <v>4.666666667</v>
      </c>
      <c r="BD6" s="131">
        <f>IF('Données projet'!$A$88&gt;35,BD5+BC6-BL5,IF(A6&lt;'Données projet'!$A$88,$BA$205^A6,IF(A6='Données projet'!$A$88,'Données projet'!$B$88,BD5+BC6-BL5)))</f>
        <v>1.639127753</v>
      </c>
      <c r="BE6" s="130">
        <f>BD6*VLOOKUP('Données projet'!$B$11,'Paramètres'!$A$1:$I$89,3,0)*VLOOKUP('Données projet'!$B$11,'Paramètres'!$A$1:$I$89,5,0)</f>
        <v>0.7671117883</v>
      </c>
      <c r="BF6" s="130">
        <f t="shared" si="38"/>
        <v>0.3645970697</v>
      </c>
      <c r="BG6" s="141">
        <f t="shared" si="8"/>
        <v>1.971059594</v>
      </c>
      <c r="BH6" s="133">
        <f t="shared" si="9"/>
        <v>295.3043929</v>
      </c>
      <c r="BI6" s="133">
        <f>AVERAGE(OFFSET($BH$3,0,0,'Données projet'!$E$11+1,1))-AVERAGE(OFFSET($H$3,0,0,'Données projet'!$E$11+1,1))</f>
        <v>134.0948534</v>
      </c>
      <c r="BJ6" s="133">
        <f t="shared" si="39"/>
        <v>108.4102536</v>
      </c>
      <c r="BK6" s="134">
        <f>IF(ISNA(VLOOKUP(A6,'Données projet'!$A$87:$I$107,3,0)),0,VLOOKUP(A6,'Données projet'!$A$87:$I$107,3,0))</f>
        <v>0</v>
      </c>
      <c r="BL6" s="134">
        <f>IF(ISNA(VLOOKUP(A6,'Données projet'!$A$87:$I$107,4,0)),0,VLOOKUP(A6,'Données projet'!$A$87:$I$107,4,0))</f>
        <v>0</v>
      </c>
      <c r="BM6" s="135">
        <f>IF(ISNA(VLOOKUP(A6,'Données projet'!$A$87:$I$107,5,0)),0%,VLOOKUP(A6,'Données projet'!$A$87:$I$107,5,0)*VLOOKUP('Données projet'!$B$11,'Paramètres'!$A$1:$I$89,7,0))</f>
        <v>0</v>
      </c>
      <c r="BN6" s="135">
        <f>IF(ISNA(VLOOKUP(A6,'Données projet'!$A$87:$I$107,6,0)),0%,VLOOKUP(A6,'Données projet'!$A$87:$I$107,6,0)*VLOOKUP('Données projet'!$B$11,'Paramètres'!$A$1:$I$89,7,0))</f>
        <v>0</v>
      </c>
      <c r="BO6" s="135">
        <f>IF(ISNA(VLOOKUP(A6,'Données projet'!$A$87:$I$107,7,0)),0%,VLOOKUP(A6,'Données projet'!$A$87:$I$107,7,0))</f>
        <v>0</v>
      </c>
      <c r="BP6" s="142">
        <f>EXP(-LN(2)/35)*BP5+(1-EXP(-LN(2)/35))/(LN(2)/35)*BL6*BM6*VLOOKUP('Données projet'!$B$11,'Paramètres'!$A$1:$I$89,3,0)*0.475*44/12</f>
        <v>0</v>
      </c>
      <c r="BQ6" s="142">
        <f>EXP(-LN(2)/25)*BQ5+(1-EXP(-LN(2)/25))/(LN(2)/25)*Calculateur!BL6*Calculateur!BN6*VLOOKUP('Données projet'!$B$11,'Paramètres'!$A$1:$I$89,3,0)*0.475*44/12</f>
        <v>0</v>
      </c>
      <c r="BR6" s="142">
        <f>EXP(-LN(2)/2)*BR5+(1-EXP(-LN(2)/2))/(LN(2)/2)*BL6*BO6*VLOOKUP('Données projet'!$B$11,'Paramètres'!$A$1:$I$89,3,0)*0.475*44/12</f>
        <v>0</v>
      </c>
      <c r="BS6" s="143">
        <f t="shared" si="10"/>
        <v>0</v>
      </c>
      <c r="BT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1" t="str">
        <f>VLOOKUP(A6,'Données projet'!$A$113:$I$133,2,0)</f>
        <v>#N/A</v>
      </c>
      <c r="BW6" s="131" t="str">
        <f>VLOOKUP(A6,'Données projet'!$A$113:$I$133,9,0)</f>
        <v>#N/A</v>
      </c>
      <c r="BX6" s="130">
        <f t="array" ref="BX6">INDEX(BW:BW,MIN(IF(ISNUMBER(BW6:BW202),ROW(BW6:BW202),"")))</f>
        <v>1.866666667</v>
      </c>
      <c r="BY6" s="131">
        <f>IF('Données projet'!$A$114&gt;35,BY5+BX6-CG5,IF(A6&lt;'Données projet'!$A$114,$BV$205^A6,IF(A6='Données projet'!$A$114,'Données projet'!$B$114,BY5+BX6-CG5)))</f>
        <v>1.947294361</v>
      </c>
      <c r="BZ6" s="130">
        <f>BY6*VLOOKUP('Données projet'!$B$12,'Paramètres'!$A$1:$I$89,3,0)*VLOOKUP('Données projet'!$B$12,'Paramètres'!$A$1:$I$89,5,0)</f>
        <v>0.9619634144</v>
      </c>
      <c r="CA6" s="130">
        <f t="shared" si="40"/>
        <v>0.4453187325</v>
      </c>
      <c r="CB6" s="141">
        <f t="shared" si="11"/>
        <v>2.451016406</v>
      </c>
      <c r="CC6" s="133">
        <f t="shared" si="12"/>
        <v>295.7843497</v>
      </c>
      <c r="CD6" s="133">
        <f>AVERAGE(OFFSET($CC$3,0,0,'Données projet'!$E$12+1,1))-AVERAGE(OFFSET($H$3,0,0,'Données projet'!$E$12+1,1))</f>
        <v>258.1672054</v>
      </c>
      <c r="CE6" s="133">
        <f t="shared" si="41"/>
        <v>296.0724261</v>
      </c>
      <c r="CF6" s="134">
        <f>IF(ISNA(VLOOKUP(A6,'Données projet'!$A$113:$I$133,3,0)),0,VLOOKUP(A6,'Données projet'!$A$113:$I$133,3,0))</f>
        <v>0</v>
      </c>
      <c r="CG6" s="134">
        <f>IF(ISNA(VLOOKUP(A6,'Données projet'!$A$113:$I$133,4,0)),0,VLOOKUP(A6,'Données projet'!$A$113:$I$133,4,0))</f>
        <v>0</v>
      </c>
      <c r="CH6" s="135">
        <f>IF(ISNA(VLOOKUP(A6,'Données projet'!$A$113:$I$133,5,0)),0%,VLOOKUP(A6,'Données projet'!$A$113:$I$133,5,0)*VLOOKUP('Données projet'!$B$12,'Paramètres'!$A$1:$I$89,7,0))</f>
        <v>0</v>
      </c>
      <c r="CI6" s="135">
        <f>IF(ISNA(VLOOKUP(A6,'Données projet'!$A$113:$I$133,6,0)),0%,VLOOKUP(A6,'Données projet'!$A$113:$I$133,6,0)*VLOOKUP('Données projet'!$B$12,'Paramètres'!$A$1:$I$89,7,0))</f>
        <v>0</v>
      </c>
      <c r="CJ6" s="135">
        <f>IF(ISNA(VLOOKUP(A6,'Données projet'!$A$113:$I$133,7,0)),0%,VLOOKUP(A6,'Données projet'!$A$113:$I$133,7,0))</f>
        <v>0</v>
      </c>
      <c r="CK6" s="142">
        <f>EXP(-LN(2)/35)*CK5+(1-EXP(-LN(2)/35))/(LN(2)/35)*CG6*CH6*VLOOKUP('Données projet'!$B$12,'Paramètres'!$A$1:$I$89,3,0)*0.475*44/12</f>
        <v>0</v>
      </c>
      <c r="CL6" s="142">
        <f>EXP(-LN(2)/25)*CL5+(1-EXP(-LN(2)/25))/(LN(2)/25)*Calculateur!CG6*Calculateur!CI6*VLOOKUP('Données projet'!$B$12,'Paramètres'!$A$1:$I$89,3,0)*0.475*44/12</f>
        <v>0</v>
      </c>
      <c r="CM6" s="142">
        <f>EXP(-LN(2)/2)*CM5+(1-EXP(-LN(2)/2))/(LN(2)/2)*CG6*CJ6*VLOOKUP('Données projet'!$B$12,'Paramètres'!$A$1:$I$89,3,0)*0.475*44/12</f>
        <v>0</v>
      </c>
      <c r="CN6" s="143">
        <f t="shared" si="13"/>
        <v>0</v>
      </c>
      <c r="CO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1" t="str">
        <f>VLOOKUP(A6,'Données projet'!$A$139:$I$159,2,0)</f>
        <v>#N/A</v>
      </c>
      <c r="CR6" s="131" t="str">
        <f>VLOOKUP(A6,'Données projet'!$A$139:$I$159,9,0)</f>
        <v>#N/A</v>
      </c>
      <c r="CS6" s="130">
        <f t="array" ref="CS6">INDEX(CR:CR,MIN(IF(ISNUMBER(CR6:CR202),ROW(CR6:CR202),"")))</f>
        <v>1.2</v>
      </c>
      <c r="CT6" s="131">
        <f>IF('Données projet'!$A$140&gt;35,CT5+CS6-DB5,IF(A6&lt;'Données projet'!$A$140,$CQ$205^A6,IF(A6='Données projet'!$A$140,'Données projet'!$B$140,CT5+CS6-DB5)))</f>
        <v>1.504023252</v>
      </c>
      <c r="CU6" s="138">
        <f>CT6*VLOOKUP('Données projet'!$B$13,'Paramètres'!$A$1:$I$89,3,0)*VLOOKUP('Données projet'!$B$13,'Paramètres'!$A$1:$I$89,5,0)</f>
        <v>1.525079578</v>
      </c>
      <c r="CV6" s="130">
        <f t="shared" si="42"/>
        <v>0.6691281837</v>
      </c>
      <c r="CW6" s="141">
        <f t="shared" si="14"/>
        <v>3.821578518</v>
      </c>
      <c r="CX6" s="133">
        <f t="shared" si="15"/>
        <v>297.1549119</v>
      </c>
      <c r="CY6" s="133">
        <f>AVERAGE(OFFSET($CX$3,0,0,'Données projet'!$E$13+1,1))-AVERAGE(OFFSET($H$3,0,0,'Données projet'!$E$13+1,1))</f>
        <v>223.783507</v>
      </c>
      <c r="CZ6" s="133">
        <f t="shared" si="43"/>
        <v>84.92349117</v>
      </c>
      <c r="DA6" s="134">
        <f>IF(ISNA(VLOOKUP(A6,'Données projet'!$A$139:$I$159,3,0)),0,VLOOKUP(A6,'Données projet'!$A$139:$I$159,3,0))</f>
        <v>0</v>
      </c>
      <c r="DB6" s="134">
        <f>IF(ISNA(VLOOKUP(A6,'Données projet'!$A$139:$I$159,4,0)),0,VLOOKUP(A6,'Données projet'!$A$139:$I$159,4,0))</f>
        <v>0</v>
      </c>
      <c r="DC6" s="135">
        <f>IF(ISNA(VLOOKUP(A6,'Données projet'!$A$139:$I$159,5,0)),0%,VLOOKUP(A6,'Données projet'!$A$139:$I$159,5,0)*VLOOKUP('Données projet'!$B$13,'Paramètres'!$A$1:$I$89,7,0))</f>
        <v>0</v>
      </c>
      <c r="DD6" s="135">
        <f>IF(ISNA(VLOOKUP(A6,'Données projet'!$A$139:$I$159,6,0)),0%,VLOOKUP(A6,'Données projet'!$A$139:$I$159,6,0)*VLOOKUP('Données projet'!$B$13,'Paramètres'!$A$1:$I$89,7,0))</f>
        <v>0</v>
      </c>
      <c r="DE6" s="135">
        <f>IF(ISNA(VLOOKUP(A6,'Données projet'!$A$139:$I$159,7,0)),0%,VLOOKUP(A6,'Données projet'!$A$139:$I$159,7,0))</f>
        <v>0</v>
      </c>
      <c r="DF6" s="142">
        <f>EXP(-LN(2)/35)*DF5+(1-EXP(-LN(2)/35))/(LN(2)/35)*DB6*DC6*VLOOKUP('Données projet'!$B$13,'Paramètres'!$A$1:$I$89,3,0)*0.475*44/12</f>
        <v>0</v>
      </c>
      <c r="DG6" s="142">
        <f>EXP(-LN(2)/25)*DG5+(1-EXP(-LN(2)/25))/(LN(2)/25)*Calculateur!DB6*Calculateur!DD6*VLOOKUP('Données projet'!$B$13,'Paramètres'!$A$1:$I$89,3,0)*0.475*44/12</f>
        <v>0</v>
      </c>
      <c r="DH6" s="142">
        <f>EXP(-LN(2)/2)*DH5+(1-EXP(-LN(2)/2))/(LN(2)/2)*DB6*DE6*VLOOKUP('Données projet'!$B$13,'Paramètres'!$A$1:$I$89,3,0)*0.475*44/12</f>
        <v>0</v>
      </c>
      <c r="DI6" s="143">
        <f t="shared" si="16"/>
        <v>0</v>
      </c>
      <c r="DJ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1" t="str">
        <f>VLOOKUP(A6,'Données projet'!$A$165:$I$185,2,0)</f>
        <v>#N/A</v>
      </c>
      <c r="DM6" s="131" t="str">
        <f>VLOOKUP(A6,'Données projet'!$A$165:$I$185,9,0)</f>
        <v>#N/A</v>
      </c>
      <c r="DN6" s="131">
        <f t="array" ref="DN6">INDEX(DM:DM,MIN(IF(ISNUMBER(DM6:DM202),ROW(DM6:DM202),"")))</f>
        <v>2.1</v>
      </c>
      <c r="DO6" s="131">
        <f>IF('Données projet'!$A$166&gt;35,DO5+DN6-DW5,IF(A6&lt;'Données projet'!$A$166,$DL$205^A6,IF(A6='Données projet'!$A$166,'Données projet'!$B$166,DO5+DN6-DW5)))</f>
        <v>1.751811583</v>
      </c>
      <c r="DP6" s="138">
        <f>DO6*VLOOKUP('Données projet'!$B$14,'Paramètres'!$A$1:$I$89,3,0)*VLOOKUP('Données projet'!$B$14,'Paramètres'!$A$1:$I$89,5,0)</f>
        <v>1.58503912</v>
      </c>
      <c r="DQ6" s="130">
        <f t="shared" si="44"/>
        <v>0.692320826</v>
      </c>
      <c r="DR6" s="141">
        <f t="shared" si="17"/>
        <v>3.966401906</v>
      </c>
      <c r="DS6" s="133">
        <f t="shared" si="18"/>
        <v>297.2997352</v>
      </c>
      <c r="DT6" s="133">
        <f>AVERAGE(OFFSET($DS$3,0,0,'Données projet'!$E$14+1,1))-AVERAGE(OFFSET($H$3,0,0,'Données projet'!$E$14+1,1))</f>
        <v>287.9334714</v>
      </c>
      <c r="DU6" s="133">
        <f t="shared" si="45"/>
        <v>156.6796502</v>
      </c>
      <c r="DV6" s="134">
        <f>IF(ISNA(VLOOKUP(A6,'Données projet'!$A$165:$I$185,3,0)),0,VLOOKUP(A6,'Données projet'!$A$165:$I$185,3,0))</f>
        <v>0</v>
      </c>
      <c r="DW6" s="134">
        <f>IF(ISNA(VLOOKUP(A6,'Données projet'!$A$165:$I$185,4,0)),0,VLOOKUP(A6,'Données projet'!$A$165:$I$185,4,0))</f>
        <v>0</v>
      </c>
      <c r="DX6" s="135">
        <f>IF(ISNA(VLOOKUP(A6,'Données projet'!$A$165:$I$185,5,0)),0%,VLOOKUP(A6,'Données projet'!$A$165:$I$185,5,0)*VLOOKUP('Données projet'!$B$14,'Paramètres'!$A$1:$I$89,7,0))</f>
        <v>0</v>
      </c>
      <c r="DY6" s="135">
        <f>IF(ISNA(VLOOKUP(A6,'Données projet'!$A$165:$I$185,6,0)),0%,VLOOKUP(A6,'Données projet'!$A$165:$I$185,6,0)*VLOOKUP('Données projet'!$B$14,'Paramètres'!$A$1:$I$89,7,0))</f>
        <v>0</v>
      </c>
      <c r="DZ6" s="135">
        <f>IF(ISNA(VLOOKUP(A6,'Données projet'!$A$165:$I$185,7,0)),0%,VLOOKUP(A6,'Données projet'!$A$165:$I$185,7,0))</f>
        <v>0</v>
      </c>
      <c r="EA6" s="142">
        <f>EXP(-LN(2)/35)*EA5+(1-EXP(-LN(2)/35))/(LN(2)/35)*DW6*DX6*VLOOKUP('Données projet'!$B$14,'Paramètres'!$A$1:$I$89,3,0)*0.475*44/12</f>
        <v>0</v>
      </c>
      <c r="EB6" s="142">
        <f>EXP(-LN(2)/25)*EB5+(1-EXP(-LN(2)/25))/(LN(2)/25)*Calculateur!DW6*Calculateur!DY6*VLOOKUP('Données projet'!$B$14,'Paramètres'!$A$1:$I$89,3,0)*0.475*44/12</f>
        <v>0</v>
      </c>
      <c r="EC6" s="142">
        <f>EXP(-LN(2)/2)*EC5+(1-EXP(-LN(2)/2))/(LN(2)/2)*DW6*DZ6*VLOOKUP('Données projet'!$B$14,'Paramètres'!$A$1:$I$89,3,0)*0.475*44/12</f>
        <v>0</v>
      </c>
      <c r="ED6" s="143">
        <f t="shared" si="19"/>
        <v>0</v>
      </c>
      <c r="EE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1" t="str">
        <f>VLOOKUP(A6,'Données projet'!$A$191:$I$211,2,0)</f>
        <v>#N/A</v>
      </c>
      <c r="EH6" s="131" t="str">
        <f>VLOOKUP(A6,'Données projet'!$A$191:$I$211,9,0)</f>
        <v>#N/A</v>
      </c>
      <c r="EI6" s="131">
        <f t="array" ref="EI6">INDEX(EH:EH,MIN(IF(ISNUMBER(EH6:EH202),ROW(EH6:EH202),"")))</f>
        <v>1.6</v>
      </c>
      <c r="EJ6" s="131">
        <f>IF('Données projet'!$A$192&gt;35,EJ5+EI6-ER5,IF(A6&lt;'Données projet'!$A$192,$EG$205^A6,IF(A6='Données projet'!$A$192,'Données projet'!$B$192,EJ5+EI6-ER5)))</f>
        <v>1.556851534</v>
      </c>
      <c r="EK6" s="138">
        <f>EJ6*VLOOKUP('Données projet'!$B$15,'Paramètres'!$A$1:$I$89,3,0)*VLOOKUP('Données projet'!$B$15,'Paramètres'!$A$1:$I$89,5,0)</f>
        <v>1.141483545</v>
      </c>
      <c r="EL6" s="130">
        <f t="shared" si="46"/>
        <v>0.5180029729</v>
      </c>
      <c r="EM6" s="141">
        <f t="shared" si="20"/>
        <v>2.890272352</v>
      </c>
      <c r="EN6" s="133">
        <f t="shared" si="21"/>
        <v>296.2236057</v>
      </c>
      <c r="EO6" s="133">
        <f>AVERAGE(OFFSET($EN$3,0,0,'Données projet'!$E$15+1,1))-AVERAGE(OFFSET($H$3,0,0,'Données projet'!$E$15+1,1))</f>
        <v>130.3193339</v>
      </c>
      <c r="EP6" s="133">
        <f t="shared" si="47"/>
        <v>82.22784365</v>
      </c>
      <c r="EQ6" s="134">
        <f>IF(ISNA(VLOOKUP(A6,'Données projet'!$A$191:$I$211,3,0)),0,VLOOKUP(A6,'Données projet'!$A$191:$I$211,3,0))</f>
        <v>0</v>
      </c>
      <c r="ER6" s="134">
        <f>IF(ISNA(VLOOKUP(A6,'Données projet'!$A$191:$I$211,4,0)),0,VLOOKUP(A6,'Données projet'!$A$191:$I$211,4,0))</f>
        <v>0</v>
      </c>
      <c r="ES6" s="135">
        <f>IF(ISNA(VLOOKUP(A6,'Données projet'!$A$191:$I$211,5,0)),0%,VLOOKUP(A6,'Données projet'!$A$191:$I$211,5,0)*VLOOKUP('Données projet'!$B$15,'Paramètres'!$A$1:$I$89,7,0))</f>
        <v>0</v>
      </c>
      <c r="ET6" s="135">
        <f>IF(ISNA(VLOOKUP(A6,'Données projet'!$A$191:$I$211,6,0)),0%,VLOOKUP(A6,'Données projet'!$A$191:$I$211,6,0)*VLOOKUP('Données projet'!$B$15,'Paramètres'!$A$1:$I$89,7,0))</f>
        <v>0</v>
      </c>
      <c r="EU6" s="135">
        <f>IF(ISNA(VLOOKUP(A6,'Données projet'!$A$191:$I$211,7,0)),0%,VLOOKUP(A6,'Données projet'!$A$191:$I$211,7,0))</f>
        <v>0</v>
      </c>
      <c r="EV6" s="142">
        <f>EXP(-LN(2)/35)*EV5+(1-EXP(-LN(2)/35))/(LN(2)/35)*ER6*ES6*VLOOKUP('Données projet'!$B$15,'Paramètres'!$A$1:$I$89,3,0)*0.475*44/12</f>
        <v>0</v>
      </c>
      <c r="EW6" s="142">
        <f>EXP(-LN(2)/25)*EW5+(1-EXP(-LN(2)/25))/(LN(2)/25)*Calculateur!ER6*Calculateur!ET6*VLOOKUP('Données projet'!$B$15,'Paramètres'!$A$1:$I$89,3,0)*0.475*44/12</f>
        <v>0</v>
      </c>
      <c r="EX6" s="142">
        <f>EXP(-LN(2)/2)*EX5+(1-EXP(-LN(2)/2))/(LN(2)/2)*ER6*EU6*VLOOKUP('Données projet'!$B$15,'Paramètres'!$A$1:$I$89,3,0)*0.475*44/12</f>
        <v>0</v>
      </c>
      <c r="EY6" s="143">
        <f t="shared" si="22"/>
        <v>0</v>
      </c>
      <c r="EZ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1" t="str">
        <f>VLOOKUP(A6,'Données projet'!$A$217:$I$237,2,0)</f>
        <v>#N/A</v>
      </c>
      <c r="FC6" s="131" t="str">
        <f>VLOOKUP(A6,'Données projet'!$A$217:$I$237,9,0)</f>
        <v>#N/A</v>
      </c>
      <c r="FD6" s="130">
        <f t="array" ref="FD6">INDEX(FC:FC,MIN(IF(ISNUMBER(FC6:FC202),ROW(FC6:FC202),"")))</f>
        <v>7.533333333</v>
      </c>
      <c r="FE6" s="131">
        <f>IF('Données projet'!$A$218&gt;35,FE5+FD6-FM5,IF(A6&lt;'Données projet'!$A$218,$FB$205^A6,IF(A6='Données projet'!$A$218,'Données projet'!$B$218,FE5+FD6-FM5)))</f>
        <v>2.574042354</v>
      </c>
      <c r="FF6" s="138">
        <f>FE6*VLOOKUP('Données projet'!$B$16,'Paramètres'!$A$1:$I$89,3,0)*VLOOKUP('Données projet'!$B$16,'Paramètres'!$A$1:$I$89,5,0)</f>
        <v>2.328993522</v>
      </c>
      <c r="FG6" s="130">
        <f t="shared" si="48"/>
        <v>0.9727068127</v>
      </c>
      <c r="FH6" s="141">
        <f t="shared" si="23"/>
        <v>5.750461417</v>
      </c>
      <c r="FI6" s="133">
        <f t="shared" si="24"/>
        <v>299.0837948</v>
      </c>
      <c r="FJ6" s="133">
        <f>AVERAGE(OFFSET($FI$3,0,0,'Données projet'!$E$16+1,1))-AVERAGE(OFFSET($H$3,0,0,'Données projet'!$E$16+1,1))</f>
        <v>305.6252353</v>
      </c>
      <c r="FK6" s="133">
        <f t="shared" si="49"/>
        <v>331.397916</v>
      </c>
      <c r="FL6" s="134">
        <f>IF(ISNA(VLOOKUP(A6,'Données projet'!$A$217:$I$237,3,0)),0,VLOOKUP(A6,'Données projet'!$A$217:$I$237,3,0))</f>
        <v>0</v>
      </c>
      <c r="FM6" s="134">
        <f>IF(ISNA(VLOOKUP(A6,'Données projet'!$A$217:$I$237,4,0)),0,VLOOKUP(A6,'Données projet'!$A$217:$I$237,4,0))</f>
        <v>0</v>
      </c>
      <c r="FN6" s="135">
        <f>IF(ISNA(VLOOKUP(A6,'Données projet'!$A$217:$I$237,5,0)),0%,VLOOKUP(A6,'Données projet'!$A$217:$I$237,5,0)*VLOOKUP('Données projet'!$B$16,'Paramètres'!$A$1:$I$89,7,0))</f>
        <v>0</v>
      </c>
      <c r="FO6" s="135">
        <f>IF(ISNA(VLOOKUP(A6,'Données projet'!$A$217:$I$237,6,0)),0%,VLOOKUP(A6,'Données projet'!$A$217:$I$237,6,0)*VLOOKUP('Données projet'!$B$16,'Paramètres'!$A$1:$I$89,7,0))</f>
        <v>0</v>
      </c>
      <c r="FP6" s="135">
        <f>IF(ISNA(VLOOKUP(A6,'Données projet'!$A$217:$I$237,7,0)),0%,VLOOKUP(A6,'Données projet'!$A$217:$I$237,7,0))</f>
        <v>0</v>
      </c>
      <c r="FQ6" s="142">
        <f>EXP(-LN(2)/35)*FQ5+(1-EXP(-LN(2)/35))/(LN(2)/35)*FM6*FN6*VLOOKUP('Données projet'!$B$16,'Paramètres'!$A$1:$I$89,3,0)*0.475*44/12</f>
        <v>0</v>
      </c>
      <c r="FR6" s="142">
        <f>EXP(-LN(2)/25)*FR5+(1-EXP(-LN(2)/25))/(LN(2)/25)*Calculateur!FM6*Calculateur!FO6*VLOOKUP('Données projet'!$B$16,'Paramètres'!$A$1:$I$89,3,0)*0.475*44/12</f>
        <v>0</v>
      </c>
      <c r="FS6" s="142">
        <f>EXP(-LN(2)/2)*FS5+(1-EXP(-LN(2)/2))/(LN(2)/2)*FM6*FP6*VLOOKUP('Données projet'!$B$16,'Paramètres'!$A$1:$I$89,3,0)*0.475*44/12</f>
        <v>0</v>
      </c>
      <c r="FT6" s="143">
        <f t="shared" si="25"/>
        <v>0</v>
      </c>
      <c r="FU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1" t="str">
        <f>VLOOKUP(A6,'Données projet'!$A$243:$I$263,2,0)</f>
        <v>#N/A</v>
      </c>
      <c r="FX6" s="131" t="str">
        <f>VLOOKUP(A6,'Données projet'!$A$243:$I$263,9,0)</f>
        <v>#N/A</v>
      </c>
      <c r="FY6" s="130">
        <f t="array" ref="FY6">INDEX(FX:FX,MIN(IF(ISNUMBER(FX6:FX202),ROW(FX6:FX202),"")))</f>
        <v>1.6</v>
      </c>
      <c r="FZ6" s="131">
        <f>IF('Données projet'!$A$244&gt;35,FZ5+FY6-GH5,IF(A6&lt;'Données projet'!$A$244,$FW$205^A6,IF(A6='Données projet'!$A$244,'Données projet'!$B$244,FZ5+FY6-GH5)))</f>
        <v>1.681792831</v>
      </c>
      <c r="GA6" s="138">
        <f>FZ6*VLOOKUP('Données projet'!$B$17,'Paramètres'!$A$1:$I$89,3,0)*VLOOKUP('Données projet'!$B$17,'Paramètres'!$A$1:$I$89,5,0)</f>
        <v>1.128146631</v>
      </c>
      <c r="GB6" s="130">
        <f t="shared" si="50"/>
        <v>0.512651539</v>
      </c>
      <c r="GC6" s="141">
        <f t="shared" si="26"/>
        <v>2.857723479</v>
      </c>
      <c r="GD6" s="133">
        <f t="shared" si="27"/>
        <v>296.1910568</v>
      </c>
      <c r="GE6" s="133">
        <f>AVERAGE(OFFSET($GD$3,0,0,'Données projet'!$E$17+1,1))-AVERAGE(OFFSET($H$3,0,0,'Données projet'!$E$17+1,1))</f>
        <v>118.7368745</v>
      </c>
      <c r="GF6" s="133">
        <f t="shared" si="51"/>
        <v>135.1233677</v>
      </c>
      <c r="GG6" s="134">
        <f>IF(ISNA(VLOOKUP(A6,'Données projet'!$A$243:$I$263,3,0)),0,VLOOKUP(A6,'Données projet'!$A$243:$I$263,3,0))</f>
        <v>0</v>
      </c>
      <c r="GH6" s="134">
        <f>IF(ISNA(VLOOKUP(A6,'Données projet'!$A$243:$I$263,4,0)),0,VLOOKUP(A6,'Données projet'!$A$243:$I$263,4,0))</f>
        <v>0</v>
      </c>
      <c r="GI6" s="135">
        <f>IF(ISNA(VLOOKUP(A6,'Données projet'!$A$243:$I$263,5,0)),0%,VLOOKUP(A6,'Données projet'!$A$243:$I$263,5,0)*VLOOKUP('Données projet'!$B$17,'Paramètres'!$A$1:$I$89,7,0))</f>
        <v>0</v>
      </c>
      <c r="GJ6" s="135">
        <f>IF(ISNA(VLOOKUP(A6,'Données projet'!$A$243:$I$263,6,0)),0%,VLOOKUP(A6,'Données projet'!$A$243:$I$263,6,0)*VLOOKUP('Données projet'!$B$17,'Paramètres'!$A$1:$I$89,7,0))</f>
        <v>0</v>
      </c>
      <c r="GK6" s="135">
        <f>IF(ISNA(VLOOKUP(A6,'Données projet'!$A$243:$I$263,7,0)),0%,VLOOKUP(A6,'Données projet'!$A$243:$I$263,7,0))</f>
        <v>0</v>
      </c>
      <c r="GL6" s="142">
        <f>EXP(-LN(2)/35)*GL5+(1-EXP(-LN(2)/35))/(LN(2)/35)*GH6*GI6*VLOOKUP('Données projet'!$B$17,'Paramètres'!$A$1:$I$89,3,0)*0.475*44/12</f>
        <v>0</v>
      </c>
      <c r="GM6" s="142">
        <f>EXP(-LN(2)/25)*GM5+(1-EXP(-LN(2)/25))/(LN(2)/25)*Calculateur!GH6*Calculateur!GJ6*VLOOKUP('Données projet'!$B$17,'Paramètres'!$A$1:$I$89,3,0)*0.475*44/12</f>
        <v>0</v>
      </c>
      <c r="GN6" s="142">
        <f>EXP(-LN(2)/2)*GN5+(1-EXP(-LN(2)/2))/(LN(2)/2)*GH6*GK6*VLOOKUP('Données projet'!$B$17,'Paramètres'!$A$1:$I$89,3,0)*0.475*44/12</f>
        <v>0</v>
      </c>
      <c r="GO6" s="142">
        <f t="shared" si="28"/>
        <v>0</v>
      </c>
      <c r="GP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1" t="str">
        <f>VLOOKUP(A6,'Données projet'!$A$269:$I$289,2,0)</f>
        <v>#N/A</v>
      </c>
      <c r="GS6" s="131" t="str">
        <f>VLOOKUP(A6,'Données projet'!$A$269:$I$289,9,0)</f>
        <v>#N/A</v>
      </c>
      <c r="GT6" s="130">
        <f t="array" ref="GT6">INDEX(GS:GS,MIN(IF(ISNUMBER(GS6:GS202),ROW(GS6:GS202),"")))</f>
        <v>1.2</v>
      </c>
      <c r="GU6" s="131">
        <f>IF('Données projet'!$A$270&gt;35,GU5+GT6-HC5,IF(A6&lt;'Données projet'!$A$270,$GR$205^A6,IF(A6='Données projet'!$A$270,'Données projet'!$B$270,GU5+GT6-HC5)))</f>
        <v>1.504023252</v>
      </c>
      <c r="GV6" s="138">
        <f>GU6*VLOOKUP('Données projet'!$B$18,'Paramètres'!$A$1:$I$89,3,0)*VLOOKUP('Données projet'!$B$18,'Paramètres'!$A$1:$I$89,5,0)</f>
        <v>1.618930629</v>
      </c>
      <c r="GW6" s="130">
        <f t="shared" si="52"/>
        <v>0.7053848656</v>
      </c>
      <c r="GX6" s="141">
        <f t="shared" si="29"/>
        <v>4.04818282</v>
      </c>
      <c r="GY6" s="133">
        <f t="shared" si="30"/>
        <v>297.3815162</v>
      </c>
      <c r="GZ6" s="133">
        <f>AVERAGE(OFFSET($GY$3,0,0,'Données projet'!$E$18+1,1))-AVERAGE(OFFSET($H$3,0,0,'Données projet'!$E$18+1,1))</f>
        <v>100.5427875</v>
      </c>
      <c r="HA6" s="133">
        <f t="shared" si="53"/>
        <v>92.28663609</v>
      </c>
      <c r="HB6" s="134">
        <f>IF(ISNA(VLOOKUP(A6,'Données projet'!$A$269:$I$289,3,0)),0,VLOOKUP(A6,'Données projet'!$A$269:$I$289,3,0))</f>
        <v>0</v>
      </c>
      <c r="HC6" s="134">
        <f>IF(ISNA(VLOOKUP(A6,'Données projet'!$A$269:$I$289,4,0)),0,VLOOKUP(A6,'Données projet'!$A$269:$I$289,4,0))</f>
        <v>0</v>
      </c>
      <c r="HD6" s="135">
        <f>IF(ISNA(VLOOKUP(A6,'Données projet'!$A$269:$I$289,5,0)),0%,VLOOKUP(A6,'Données projet'!$A$269:$I$289,5,0)*VLOOKUP('Données projet'!$B$18,'Paramètres'!$A$1:$I$89,7,0))</f>
        <v>0</v>
      </c>
      <c r="HE6" s="135">
        <f>IF(ISNA(VLOOKUP(A6,'Données projet'!$A$269:$I$289,6,0)),0%,VLOOKUP(A6,'Données projet'!$A$269:$I$289,6,0)*VLOOKUP('Données projet'!$B$18,'Paramètres'!$A$1:$I$89,7,0))</f>
        <v>0</v>
      </c>
      <c r="HF6" s="135">
        <f>IF(ISNA(VLOOKUP(A6,'Données projet'!$A$269:$I$289,7,0)),0%,VLOOKUP(A6,'Données projet'!$A$269:$I$289,7,0))</f>
        <v>0</v>
      </c>
      <c r="HG6" s="142">
        <f>EXP(-LN(2)/35)*HG5+(1-EXP(-LN(2)/35))/(LN(2)/35)*HC6*HD6*VLOOKUP('Données projet'!$B$18,'Paramètres'!$A$1:$I$89,3,0)*0.475*44/12</f>
        <v>0</v>
      </c>
      <c r="HH6" s="142">
        <f>EXP(-LN(2)/25)*HH5+(1-EXP(-LN(2)/25))/(LN(2)/25)*Calculateur!HC6*Calculateur!HE6*VLOOKUP('Données projet'!$B$18,'Paramètres'!$A$1:$I$89,3,0)*0.475*44/12</f>
        <v>0</v>
      </c>
      <c r="HI6" s="142">
        <f>EXP(-LN(2)/2)*HI5+(1-EXP(-LN(2)/2))/(LN(2)/2)*HC6*HF6*VLOOKUP('Données projet'!$B$18,'Paramètres'!$A$1:$I$89,3,0)*0.475*44/12</f>
        <v>0</v>
      </c>
      <c r="HJ6" s="143">
        <f t="shared" si="31"/>
        <v>0</v>
      </c>
    </row>
    <row r="7">
      <c r="A7" s="125">
        <f t="shared" si="32"/>
        <v>4</v>
      </c>
      <c r="B7" s="126">
        <f>'Scénario référence'!$B$16*5+'Scénario référence'!$B$17*0+'Scénario référence'!$B$18*5</f>
        <v>0</v>
      </c>
      <c r="C7" s="140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2.184</v>
      </c>
      <c r="D7" s="127">
        <f t="shared" si="33"/>
        <v>0.9190003828</v>
      </c>
      <c r="E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7">
        <f>IF(OR('Scénario référence'!$F$8&gt;0,'Scénario référence'!$F$9&gt;0),('Scénario référence'!$F$8+'Scénario référence'!$F$9)*10,0)</f>
        <v>10</v>
      </c>
      <c r="G7" s="127">
        <f>'Scénario référence'!$B$8*B7*44/12+'Scénario référence'!$B$9*(C7+D7)/0.475*44/12+'Scénario référence'!$B$10*(C7+D7)/0.475*44/12+'Scénario référence'!$F$8*(C7+D7)/0.475*44/12+'Scénario référence'!$F$9*(C7+D7)/0.475*44/12</f>
        <v>23.95298541</v>
      </c>
      <c r="H7" s="128">
        <f t="shared" si="1"/>
        <v>298.7377257</v>
      </c>
      <c r="I7" s="12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0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1" t="str">
        <f>VLOOKUP(A7,'Données projet'!$A$35:$I$55,2,0)</f>
        <v>#N/A</v>
      </c>
      <c r="L7" s="131" t="str">
        <f>VLOOKUP(A7,'Données projet'!$A$35:$I$55,9,0)</f>
        <v>#N/A</v>
      </c>
      <c r="M7" s="131">
        <f t="array" ref="M7">INDEX(L:L,MIN(IF(ISNUMBER(L7:L203),ROW(L7:L203),"")))</f>
        <v>3.92</v>
      </c>
      <c r="N7" s="130">
        <f>IF('Données projet'!$A$36&gt;35,N6+M7-V6,IF(A7&lt;'Données projet'!$A$36,$K$205^A7,IF(A7='Données projet'!$A$36,'Données projet'!$B$36,N6+M7-V6)))</f>
        <v>2.082553524</v>
      </c>
      <c r="O7" s="130">
        <f>N7*VLOOKUP('Données projet'!$B$9,'Paramètres'!$A$1:$I$89,3,0)*VLOOKUP('Données projet'!$B$9,'Paramètres'!$A$1:$I$89,5,0)</f>
        <v>1.191220616</v>
      </c>
      <c r="P7" s="130">
        <f t="shared" si="34"/>
        <v>0.5378965683</v>
      </c>
      <c r="Q7" s="141">
        <f t="shared" si="2"/>
        <v>3.011545762</v>
      </c>
      <c r="R7" s="133">
        <f t="shared" si="3"/>
        <v>296.3448791</v>
      </c>
      <c r="S7" s="133">
        <f>AVERAGE(OFFSET($R$3,0,0,'Données projet'!$E$9+1,1))-AVERAGE(OFFSET($H$3,0,0,'Données projet'!$E$9+1,1))</f>
        <v>126.9946492</v>
      </c>
      <c r="T7" s="133">
        <f t="shared" si="35"/>
        <v>140.039049</v>
      </c>
      <c r="U7" s="134">
        <f>IF(ISNA(VLOOKUP(A7,'Données projet'!$A$35:$I$55,3,0)),0,VLOOKUP(A7,'Données projet'!$A$35:$I$55,3,0))</f>
        <v>0</v>
      </c>
      <c r="V7" s="134">
        <f>IF(ISNA(VLOOKUP(A7,'Données projet'!$A$35:$I$55,4,0)),0,VLOOKUP(A7,'Données projet'!$A$35:$I$55,4,0))</f>
        <v>0</v>
      </c>
      <c r="W7" s="135">
        <f>IF(ISNA(VLOOKUP(A7,'Données projet'!$A$35:$I$55,5,0)),0%,VLOOKUP(A7,'Données projet'!$A$35:$I$55,5,0)*VLOOKUP('Données projet'!$B$9,'Paramètres'!$A$1:$I$89,7,0))</f>
        <v>0</v>
      </c>
      <c r="X7" s="135">
        <f>IF(ISNA(VLOOKUP(A7,'Données projet'!$A$35:$I$55,6,0)),0%,VLOOKUP(A7,'Données projet'!$A$35:$I$55,6,0)*VLOOKUP('Données projet'!$B$9,'Paramètres'!$A$1:$I$89,7,0))</f>
        <v>0</v>
      </c>
      <c r="Y7" s="135">
        <f>IF(ISNA(VLOOKUP(A7,'Données projet'!$A$35:$I$55,7,0)),0%,VLOOKUP(A7,'Données projet'!$A$35:$I$55,7,0))</f>
        <v>0</v>
      </c>
      <c r="Z7" s="142">
        <f>EXP(-LN(2)/35)*Z6+(1-EXP(-LN(2)/35))/(LN(2)/35)*V7*W7*VLOOKUP('Données projet'!$B$9,'Paramètres'!$A$1:$I$89,3,0)*0.475*44/12</f>
        <v>0</v>
      </c>
      <c r="AA7" s="142">
        <f>EXP(-LN(2)/25)*AA6+(1-EXP(-LN(2)/25))/(LN(2)/25)*Calculateur!V7*Calculateur!X7*VLOOKUP('Données projet'!$B$9,'Paramètres'!$A$1:$I$89,3,0)*0.475*44/12</f>
        <v>0</v>
      </c>
      <c r="AB7" s="142">
        <f>EXP(-LN(2)/2)*AB6+(1-EXP(-LN(2)/2))/(LN(2)/2)*V7*Y7*VLOOKUP('Données projet'!$B$9,'Paramètres'!$A$1:$I$89,3,0)*0.475*44/12</f>
        <v>0</v>
      </c>
      <c r="AC7" s="143">
        <f t="shared" si="4"/>
        <v>0</v>
      </c>
      <c r="AD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0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1" t="str">
        <f>VLOOKUP(A7,'Données projet'!$A$61:$I$81,2,0)</f>
        <v>#N/A</v>
      </c>
      <c r="AG7" s="131" t="str">
        <f>VLOOKUP(A7,'Données projet'!$A$61:$I$81,9,0)</f>
        <v>#N/A</v>
      </c>
      <c r="AH7" s="130">
        <f t="array" ref="AH7">INDEX(AG:AG,MIN(IF(ISNUMBER(AG7:AG203),ROW(AG7:AG203),"")))</f>
        <v>5.590909091</v>
      </c>
      <c r="AI7" s="130">
        <f>IF('Données projet'!$A$62&gt;35,AI6+AH7-AQ6,IF(A7&lt;'Données projet'!$A$62,$AF$205^A7,IF(A7='Données projet'!$A$62,'Données projet'!$B$62,AI6+AH7-AQ6)))</f>
        <v>2.398737627</v>
      </c>
      <c r="AJ7" s="130">
        <f>AI7*VLOOKUP('Données projet'!$B$10,'Paramètres'!$A$1:$I$89,3,0)*VLOOKUP('Données projet'!$B$10,'Paramètres'!$A$1:$I$89,5,0)</f>
        <v>1.434445101</v>
      </c>
      <c r="AK7" s="130">
        <f t="shared" si="36"/>
        <v>0.6338667729</v>
      </c>
      <c r="AL7" s="141">
        <f t="shared" si="5"/>
        <v>3.602309847</v>
      </c>
      <c r="AM7" s="133">
        <f t="shared" si="6"/>
        <v>296.9356432</v>
      </c>
      <c r="AN7" s="133">
        <f>AVERAGE(OFFSET($AM$3,0,0,'Données projet'!$E$10+1,1))-AVERAGE(OFFSET($H$3,0,0,'Données projet'!$E$10+1,1))</f>
        <v>196.874484</v>
      </c>
      <c r="AO7" s="133">
        <f t="shared" si="37"/>
        <v>217.5750859</v>
      </c>
      <c r="AP7" s="134">
        <f>IF(ISNA(VLOOKUP(A7,'Données projet'!$A$61:$I$81,3,0)),0,VLOOKUP(A7,'Données projet'!$A$61:$I$81,3,0))</f>
        <v>0</v>
      </c>
      <c r="AQ7" s="134">
        <f>IF(ISNA(VLOOKUP(A7,'Données projet'!$A$61:$I$81,4,0)),0,VLOOKUP(A7,'Données projet'!$A$61:$I$81,4,0))</f>
        <v>0</v>
      </c>
      <c r="AR7" s="135">
        <f>IF(ISNA(VLOOKUP(A7,'Données projet'!$A$61:$I$81,5,0)),0%,VLOOKUP(A7,'Données projet'!$A$61:$I$81,5,0)*VLOOKUP('Données projet'!$B$10,'Paramètres'!$A$1:$I$89,7,0))</f>
        <v>0</v>
      </c>
      <c r="AS7" s="135">
        <f>IF(ISNA(VLOOKUP(A7,'Données projet'!$A$61:$I$81,6,0)),0%,VLOOKUP(A7,'Données projet'!$A$61:$I$81,6,0)*VLOOKUP('Données projet'!$B$10,'Paramètres'!$A$1:$I$89,7,0))</f>
        <v>0</v>
      </c>
      <c r="AT7" s="135">
        <f>IF(ISNA(VLOOKUP(A7,'Données projet'!$A$61:$I$81,7,0)),0%,VLOOKUP(A7,'Données projet'!$A$61:$I$81,7,0))</f>
        <v>0</v>
      </c>
      <c r="AU7" s="142">
        <f>EXP(-LN(2)/35)*AU6+(1-EXP(-LN(2)/35))/(LN(2)/35)*AQ7*AR7*VLOOKUP('Données projet'!$B$10,'Paramètres'!$A$1:$I$89,3,0)*0.475*44/12</f>
        <v>0</v>
      </c>
      <c r="AV7" s="142">
        <f>EXP(-LN(2)/25)*AV6+(1-EXP(-LN(2)/25))/(LN(2)/25)*Calculateur!AQ7*Calculateur!AS7*VLOOKUP('Données projet'!$B$10,'Paramètres'!$A$1:$I$89,3,0)*0.475*44/12</f>
        <v>0</v>
      </c>
      <c r="AW7" s="142">
        <f>EXP(-LN(2)/2)*AW6+(1-EXP(-LN(2)/2))/(LN(2)/2)*AQ7*AT7*VLOOKUP('Données projet'!$B$10,'Paramètres'!$A$1:$I$89,3,0)*0.475*44/12</f>
        <v>0</v>
      </c>
      <c r="AX7" s="142">
        <f t="shared" si="7"/>
        <v>0</v>
      </c>
      <c r="AY7" s="13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1" t="str">
        <f>VLOOKUP(A7,'Données projet'!$A$87:$I$107,2,0)</f>
        <v>#N/A</v>
      </c>
      <c r="BB7" s="131" t="str">
        <f>VLOOKUP(A7,'Données projet'!$A$87:$I$107,9,0)</f>
        <v>#N/A</v>
      </c>
      <c r="BC7" s="130">
        <f t="array" ref="BC7">INDEX(BB:BB,MIN(IF(ISNUMBER(BB7:BB203),ROW(BB7:BB203),"")))</f>
        <v>4.666666667</v>
      </c>
      <c r="BD7" s="131">
        <f>IF('Données projet'!$A$88&gt;35,BD6+BC7-BL6,IF(A7&lt;'Données projet'!$A$88,$BA$205^A7,IF(A7='Données projet'!$A$88,'Données projet'!$B$88,BD6+BC7-BL6)))</f>
        <v>1.932637512</v>
      </c>
      <c r="BE7" s="130">
        <f>BD7*VLOOKUP('Données projet'!$B$11,'Paramètres'!$A$1:$I$89,3,0)*VLOOKUP('Données projet'!$B$11,'Paramètres'!$A$1:$I$89,5,0)</f>
        <v>0.9044743555</v>
      </c>
      <c r="BF7" s="130">
        <f t="shared" si="38"/>
        <v>0.421719612</v>
      </c>
      <c r="BG7" s="141">
        <f t="shared" si="8"/>
        <v>2.309787827</v>
      </c>
      <c r="BH7" s="133">
        <f t="shared" si="9"/>
        <v>295.6431212</v>
      </c>
      <c r="BI7" s="133">
        <f>AVERAGE(OFFSET($BH$3,0,0,'Données projet'!$E$11+1,1))-AVERAGE(OFFSET($H$3,0,0,'Données projet'!$E$11+1,1))</f>
        <v>134.0948534</v>
      </c>
      <c r="BJ7" s="133">
        <f t="shared" si="39"/>
        <v>108.4102536</v>
      </c>
      <c r="BK7" s="134">
        <f>IF(ISNA(VLOOKUP(A7,'Données projet'!$A$87:$I$107,3,0)),0,VLOOKUP(A7,'Données projet'!$A$87:$I$107,3,0))</f>
        <v>0</v>
      </c>
      <c r="BL7" s="134">
        <f>IF(ISNA(VLOOKUP(A7,'Données projet'!$A$87:$I$107,4,0)),0,VLOOKUP(A7,'Données projet'!$A$87:$I$107,4,0))</f>
        <v>0</v>
      </c>
      <c r="BM7" s="135">
        <f>IF(ISNA(VLOOKUP(A7,'Données projet'!$A$87:$I$107,5,0)),0%,VLOOKUP(A7,'Données projet'!$A$87:$I$107,5,0)*VLOOKUP('Données projet'!$B$11,'Paramètres'!$A$1:$I$89,7,0))</f>
        <v>0</v>
      </c>
      <c r="BN7" s="135">
        <f>IF(ISNA(VLOOKUP(A7,'Données projet'!$A$87:$I$107,6,0)),0%,VLOOKUP(A7,'Données projet'!$A$87:$I$107,6,0)*VLOOKUP('Données projet'!$B$11,'Paramètres'!$A$1:$I$89,7,0))</f>
        <v>0</v>
      </c>
      <c r="BO7" s="135">
        <f>IF(ISNA(VLOOKUP(A7,'Données projet'!$A$87:$I$107,7,0)),0%,VLOOKUP(A7,'Données projet'!$A$87:$I$107,7,0))</f>
        <v>0</v>
      </c>
      <c r="BP7" s="142">
        <f>EXP(-LN(2)/35)*BP6+(1-EXP(-LN(2)/35))/(LN(2)/35)*BL7*BM7*VLOOKUP('Données projet'!$B$11,'Paramètres'!$A$1:$I$89,3,0)*0.475*44/12</f>
        <v>0</v>
      </c>
      <c r="BQ7" s="142">
        <f>EXP(-LN(2)/25)*BQ6+(1-EXP(-LN(2)/25))/(LN(2)/25)*Calculateur!BL7*Calculateur!BN7*VLOOKUP('Données projet'!$B$11,'Paramètres'!$A$1:$I$89,3,0)*0.475*44/12</f>
        <v>0</v>
      </c>
      <c r="BR7" s="142">
        <f>EXP(-LN(2)/2)*BR6+(1-EXP(-LN(2)/2))/(LN(2)/2)*BL7*BO7*VLOOKUP('Données projet'!$B$11,'Paramètres'!$A$1:$I$89,3,0)*0.475*44/12</f>
        <v>0</v>
      </c>
      <c r="BS7" s="143">
        <f t="shared" si="10"/>
        <v>0</v>
      </c>
      <c r="BT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1" t="str">
        <f>VLOOKUP(A7,'Données projet'!$A$113:$I$133,2,0)</f>
        <v>#N/A</v>
      </c>
      <c r="BW7" s="131" t="str">
        <f>VLOOKUP(A7,'Données projet'!$A$113:$I$133,9,0)</f>
        <v>#N/A</v>
      </c>
      <c r="BX7" s="130">
        <f t="array" ref="BX7">INDEX(BW:BW,MIN(IF(ISNUMBER(BW7:BW203),ROW(BW7:BW203),"")))</f>
        <v>1.866666667</v>
      </c>
      <c r="BY7" s="131">
        <f>IF('Données projet'!$A$114&gt;35,BY6+BX7-CG6,IF(A7&lt;'Données projet'!$A$114,$BV$205^A7,IF(A7='Données projet'!$A$114,'Données projet'!$B$114,BY6+BX7-CG6)))</f>
        <v>2.431693357</v>
      </c>
      <c r="BZ7" s="130">
        <f>BY7*VLOOKUP('Données projet'!$B$12,'Paramètres'!$A$1:$I$89,3,0)*VLOOKUP('Données projet'!$B$12,'Paramètres'!$A$1:$I$89,5,0)</f>
        <v>1.201256518</v>
      </c>
      <c r="CA7" s="130">
        <f t="shared" si="40"/>
        <v>0.5418988383</v>
      </c>
      <c r="CB7" s="141">
        <f t="shared" si="11"/>
        <v>3.03599558</v>
      </c>
      <c r="CC7" s="133">
        <f t="shared" si="12"/>
        <v>296.3693289</v>
      </c>
      <c r="CD7" s="133">
        <f>AVERAGE(OFFSET($CC$3,0,0,'Données projet'!$E$12+1,1))-AVERAGE(OFFSET($H$3,0,0,'Données projet'!$E$12+1,1))</f>
        <v>258.1672054</v>
      </c>
      <c r="CE7" s="133">
        <f t="shared" si="41"/>
        <v>296.0724261</v>
      </c>
      <c r="CF7" s="134">
        <f>IF(ISNA(VLOOKUP(A7,'Données projet'!$A$113:$I$133,3,0)),0,VLOOKUP(A7,'Données projet'!$A$113:$I$133,3,0))</f>
        <v>0</v>
      </c>
      <c r="CG7" s="134">
        <f>IF(ISNA(VLOOKUP(A7,'Données projet'!$A$113:$I$133,4,0)),0,VLOOKUP(A7,'Données projet'!$A$113:$I$133,4,0))</f>
        <v>0</v>
      </c>
      <c r="CH7" s="135">
        <f>IF(ISNA(VLOOKUP(A7,'Données projet'!$A$113:$I$133,5,0)),0%,VLOOKUP(A7,'Données projet'!$A$113:$I$133,5,0)*VLOOKUP('Données projet'!$B$12,'Paramètres'!$A$1:$I$89,7,0))</f>
        <v>0</v>
      </c>
      <c r="CI7" s="135">
        <f>IF(ISNA(VLOOKUP(A7,'Données projet'!$A$113:$I$133,6,0)),0%,VLOOKUP(A7,'Données projet'!$A$113:$I$133,6,0)*VLOOKUP('Données projet'!$B$12,'Paramètres'!$A$1:$I$89,7,0))</f>
        <v>0</v>
      </c>
      <c r="CJ7" s="135">
        <f>IF(ISNA(VLOOKUP(A7,'Données projet'!$A$113:$I$133,7,0)),0%,VLOOKUP(A7,'Données projet'!$A$113:$I$133,7,0))</f>
        <v>0</v>
      </c>
      <c r="CK7" s="142">
        <f>EXP(-LN(2)/35)*CK6+(1-EXP(-LN(2)/35))/(LN(2)/35)*CG7*CH7*VLOOKUP('Données projet'!$B$12,'Paramètres'!$A$1:$I$89,3,0)*0.475*44/12</f>
        <v>0</v>
      </c>
      <c r="CL7" s="142">
        <f>EXP(-LN(2)/25)*CL6+(1-EXP(-LN(2)/25))/(LN(2)/25)*Calculateur!CG7*Calculateur!CI7*VLOOKUP('Données projet'!$B$12,'Paramètres'!$A$1:$I$89,3,0)*0.475*44/12</f>
        <v>0</v>
      </c>
      <c r="CM7" s="142">
        <f>EXP(-LN(2)/2)*CM6+(1-EXP(-LN(2)/2))/(LN(2)/2)*CG7*CJ7*VLOOKUP('Données projet'!$B$12,'Paramètres'!$A$1:$I$89,3,0)*0.475*44/12</f>
        <v>0</v>
      </c>
      <c r="CN7" s="143">
        <f t="shared" si="13"/>
        <v>0</v>
      </c>
      <c r="CO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1" t="str">
        <f>VLOOKUP(A7,'Données projet'!$A$139:$I$159,2,0)</f>
        <v>#N/A</v>
      </c>
      <c r="CR7" s="131" t="str">
        <f>VLOOKUP(A7,'Données projet'!$A$139:$I$159,9,0)</f>
        <v>#N/A</v>
      </c>
      <c r="CS7" s="130">
        <f t="array" ref="CS7">INDEX(CR:CR,MIN(IF(ISNUMBER(CR7:CR203),ROW(CR7:CR203),"")))</f>
        <v>1.2</v>
      </c>
      <c r="CT7" s="131">
        <f>IF('Données projet'!$A$140&gt;35,CT6+CS7-DB6,IF(A7&lt;'Données projet'!$A$140,$CQ$205^A7,IF(A7='Données projet'!$A$140,'Données projet'!$B$140,CT6+CS7-DB6)))</f>
        <v>1.72321474</v>
      </c>
      <c r="CU7" s="138">
        <f>CT7*VLOOKUP('Données projet'!$B$13,'Paramètres'!$A$1:$I$89,3,0)*VLOOKUP('Données projet'!$B$13,'Paramètres'!$A$1:$I$89,5,0)</f>
        <v>1.747339746</v>
      </c>
      <c r="CV7" s="130">
        <f t="shared" si="42"/>
        <v>0.7545998185</v>
      </c>
      <c r="CW7" s="141">
        <f t="shared" si="14"/>
        <v>4.357544742</v>
      </c>
      <c r="CX7" s="133">
        <f t="shared" si="15"/>
        <v>297.6908781</v>
      </c>
      <c r="CY7" s="133">
        <f>AVERAGE(OFFSET($CX$3,0,0,'Données projet'!$E$13+1,1))-AVERAGE(OFFSET($H$3,0,0,'Données projet'!$E$13+1,1))</f>
        <v>223.783507</v>
      </c>
      <c r="CZ7" s="133">
        <f t="shared" si="43"/>
        <v>84.92349117</v>
      </c>
      <c r="DA7" s="134">
        <f>IF(ISNA(VLOOKUP(A7,'Données projet'!$A$139:$I$159,3,0)),0,VLOOKUP(A7,'Données projet'!$A$139:$I$159,3,0))</f>
        <v>0</v>
      </c>
      <c r="DB7" s="134">
        <f>IF(ISNA(VLOOKUP(A7,'Données projet'!$A$139:$I$159,4,0)),0,VLOOKUP(A7,'Données projet'!$A$139:$I$159,4,0))</f>
        <v>0</v>
      </c>
      <c r="DC7" s="135">
        <f>IF(ISNA(VLOOKUP(A7,'Données projet'!$A$139:$I$159,5,0)),0%,VLOOKUP(A7,'Données projet'!$A$139:$I$159,5,0)*VLOOKUP('Données projet'!$B$13,'Paramètres'!$A$1:$I$89,7,0))</f>
        <v>0</v>
      </c>
      <c r="DD7" s="135">
        <f>IF(ISNA(VLOOKUP(A7,'Données projet'!$A$139:$I$159,6,0)),0%,VLOOKUP(A7,'Données projet'!$A$139:$I$159,6,0)*VLOOKUP('Données projet'!$B$13,'Paramètres'!$A$1:$I$89,7,0))</f>
        <v>0</v>
      </c>
      <c r="DE7" s="135">
        <f>IF(ISNA(VLOOKUP(A7,'Données projet'!$A$139:$I$159,7,0)),0%,VLOOKUP(A7,'Données projet'!$A$139:$I$159,7,0))</f>
        <v>0</v>
      </c>
      <c r="DF7" s="142">
        <f>EXP(-LN(2)/35)*DF6+(1-EXP(-LN(2)/35))/(LN(2)/35)*DB7*DC7*VLOOKUP('Données projet'!$B$13,'Paramètres'!$A$1:$I$89,3,0)*0.475*44/12</f>
        <v>0</v>
      </c>
      <c r="DG7" s="142">
        <f>EXP(-LN(2)/25)*DG6+(1-EXP(-LN(2)/25))/(LN(2)/25)*Calculateur!DB7*Calculateur!DD7*VLOOKUP('Données projet'!$B$13,'Paramètres'!$A$1:$I$89,3,0)*0.475*44/12</f>
        <v>0</v>
      </c>
      <c r="DH7" s="142">
        <f>EXP(-LN(2)/2)*DH6+(1-EXP(-LN(2)/2))/(LN(2)/2)*DB7*DE7*VLOOKUP('Données projet'!$B$13,'Paramètres'!$A$1:$I$89,3,0)*0.475*44/12</f>
        <v>0</v>
      </c>
      <c r="DI7" s="143">
        <f t="shared" si="16"/>
        <v>0</v>
      </c>
      <c r="DJ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1" t="str">
        <f>VLOOKUP(A7,'Données projet'!$A$165:$I$185,2,0)</f>
        <v>#N/A</v>
      </c>
      <c r="DM7" s="131" t="str">
        <f>VLOOKUP(A7,'Données projet'!$A$165:$I$185,9,0)</f>
        <v>#N/A</v>
      </c>
      <c r="DN7" s="131">
        <f t="array" ref="DN7">INDEX(DM:DM,MIN(IF(ISNUMBER(DM7:DM203),ROW(DM7:DM203),"")))</f>
        <v>2.1</v>
      </c>
      <c r="DO7" s="131">
        <f>IF('Données projet'!$A$166&gt;35,DO6+DN7-DW6,IF(A7&lt;'Données projet'!$A$166,$DL$205^A7,IF(A7='Données projet'!$A$166,'Données projet'!$B$166,DO6+DN7-DW6)))</f>
        <v>2.111785765</v>
      </c>
      <c r="DP7" s="138">
        <f>DO7*VLOOKUP('Données projet'!$B$14,'Paramètres'!$A$1:$I$89,3,0)*VLOOKUP('Données projet'!$B$14,'Paramètres'!$A$1:$I$89,5,0)</f>
        <v>1.91074376</v>
      </c>
      <c r="DQ7" s="130">
        <f t="shared" si="44"/>
        <v>0.8166247715</v>
      </c>
      <c r="DR7" s="141">
        <f t="shared" si="17"/>
        <v>4.750166859</v>
      </c>
      <c r="DS7" s="133">
        <f t="shared" si="18"/>
        <v>298.0835002</v>
      </c>
      <c r="DT7" s="133">
        <f>AVERAGE(OFFSET($DS$3,0,0,'Données projet'!$E$14+1,1))-AVERAGE(OFFSET($H$3,0,0,'Données projet'!$E$14+1,1))</f>
        <v>287.9334714</v>
      </c>
      <c r="DU7" s="133">
        <f t="shared" si="45"/>
        <v>156.6796502</v>
      </c>
      <c r="DV7" s="134">
        <f>IF(ISNA(VLOOKUP(A7,'Données projet'!$A$165:$I$185,3,0)),0,VLOOKUP(A7,'Données projet'!$A$165:$I$185,3,0))</f>
        <v>0</v>
      </c>
      <c r="DW7" s="134">
        <f>IF(ISNA(VLOOKUP(A7,'Données projet'!$A$165:$I$185,4,0)),0,VLOOKUP(A7,'Données projet'!$A$165:$I$185,4,0))</f>
        <v>0</v>
      </c>
      <c r="DX7" s="135">
        <f>IF(ISNA(VLOOKUP(A7,'Données projet'!$A$165:$I$185,5,0)),0%,VLOOKUP(A7,'Données projet'!$A$165:$I$185,5,0)*VLOOKUP('Données projet'!$B$14,'Paramètres'!$A$1:$I$89,7,0))</f>
        <v>0</v>
      </c>
      <c r="DY7" s="135">
        <f>IF(ISNA(VLOOKUP(A7,'Données projet'!$A$165:$I$185,6,0)),0%,VLOOKUP(A7,'Données projet'!$A$165:$I$185,6,0)*VLOOKUP('Données projet'!$B$14,'Paramètres'!$A$1:$I$89,7,0))</f>
        <v>0</v>
      </c>
      <c r="DZ7" s="135">
        <f>IF(ISNA(VLOOKUP(A7,'Données projet'!$A$165:$I$185,7,0)),0%,VLOOKUP(A7,'Données projet'!$A$165:$I$185,7,0))</f>
        <v>0</v>
      </c>
      <c r="EA7" s="142">
        <f>EXP(-LN(2)/35)*EA6+(1-EXP(-LN(2)/35))/(LN(2)/35)*DW7*DX7*VLOOKUP('Données projet'!$B$14,'Paramètres'!$A$1:$I$89,3,0)*0.475*44/12</f>
        <v>0</v>
      </c>
      <c r="EB7" s="142">
        <f>EXP(-LN(2)/25)*EB6+(1-EXP(-LN(2)/25))/(LN(2)/25)*Calculateur!DW7*Calculateur!DY7*VLOOKUP('Données projet'!$B$14,'Paramètres'!$A$1:$I$89,3,0)*0.475*44/12</f>
        <v>0</v>
      </c>
      <c r="EC7" s="142">
        <f>EXP(-LN(2)/2)*EC6+(1-EXP(-LN(2)/2))/(LN(2)/2)*DW7*DZ7*VLOOKUP('Données projet'!$B$14,'Paramètres'!$A$1:$I$89,3,0)*0.475*44/12</f>
        <v>0</v>
      </c>
      <c r="ED7" s="143">
        <f t="shared" si="19"/>
        <v>0</v>
      </c>
      <c r="EE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1" t="str">
        <f>VLOOKUP(A7,'Données projet'!$A$191:$I$211,2,0)</f>
        <v>#N/A</v>
      </c>
      <c r="EH7" s="131" t="str">
        <f>VLOOKUP(A7,'Données projet'!$A$191:$I$211,9,0)</f>
        <v>#N/A</v>
      </c>
      <c r="EI7" s="131">
        <f t="array" ref="EI7">INDEX(EH:EH,MIN(IF(ISNUMBER(EH7:EH203),ROW(EH7:EH203),"")))</f>
        <v>1.6</v>
      </c>
      <c r="EJ7" s="131">
        <f>IF('Données projet'!$A$192&gt;35,EJ6+EI7-ER6,IF(A7&lt;'Données projet'!$A$192,$EG$205^A7,IF(A7='Données projet'!$A$192,'Données projet'!$B$192,EJ6+EI7-ER6)))</f>
        <v>1.804386622</v>
      </c>
      <c r="EK7" s="138">
        <f>EJ7*VLOOKUP('Données projet'!$B$15,'Paramètres'!$A$1:$I$89,3,0)*VLOOKUP('Données projet'!$B$15,'Paramètres'!$A$1:$I$89,5,0)</f>
        <v>1.322976272</v>
      </c>
      <c r="EL7" s="130">
        <f t="shared" si="46"/>
        <v>0.5901405547</v>
      </c>
      <c r="EM7" s="141">
        <f t="shared" si="20"/>
        <v>3.332011806</v>
      </c>
      <c r="EN7" s="133">
        <f t="shared" si="21"/>
        <v>296.6653451</v>
      </c>
      <c r="EO7" s="133">
        <f>AVERAGE(OFFSET($EN$3,0,0,'Données projet'!$E$15+1,1))-AVERAGE(OFFSET($H$3,0,0,'Données projet'!$E$15+1,1))</f>
        <v>130.3193339</v>
      </c>
      <c r="EP7" s="133">
        <f t="shared" si="47"/>
        <v>82.22784365</v>
      </c>
      <c r="EQ7" s="134">
        <f>IF(ISNA(VLOOKUP(A7,'Données projet'!$A$191:$I$211,3,0)),0,VLOOKUP(A7,'Données projet'!$A$191:$I$211,3,0))</f>
        <v>0</v>
      </c>
      <c r="ER7" s="134">
        <f>IF(ISNA(VLOOKUP(A7,'Données projet'!$A$191:$I$211,4,0)),0,VLOOKUP(A7,'Données projet'!$A$191:$I$211,4,0))</f>
        <v>0</v>
      </c>
      <c r="ES7" s="135">
        <f>IF(ISNA(VLOOKUP(A7,'Données projet'!$A$191:$I$211,5,0)),0%,VLOOKUP(A7,'Données projet'!$A$191:$I$211,5,0)*VLOOKUP('Données projet'!$B$15,'Paramètres'!$A$1:$I$89,7,0))</f>
        <v>0</v>
      </c>
      <c r="ET7" s="135">
        <f>IF(ISNA(VLOOKUP(A7,'Données projet'!$A$191:$I$211,6,0)),0%,VLOOKUP(A7,'Données projet'!$A$191:$I$211,6,0)*VLOOKUP('Données projet'!$B$15,'Paramètres'!$A$1:$I$89,7,0))</f>
        <v>0</v>
      </c>
      <c r="EU7" s="135">
        <f>IF(ISNA(VLOOKUP(A7,'Données projet'!$A$191:$I$211,7,0)),0%,VLOOKUP(A7,'Données projet'!$A$191:$I$211,7,0))</f>
        <v>0</v>
      </c>
      <c r="EV7" s="142">
        <f>EXP(-LN(2)/35)*EV6+(1-EXP(-LN(2)/35))/(LN(2)/35)*ER7*ES7*VLOOKUP('Données projet'!$B$15,'Paramètres'!$A$1:$I$89,3,0)*0.475*44/12</f>
        <v>0</v>
      </c>
      <c r="EW7" s="142">
        <f>EXP(-LN(2)/25)*EW6+(1-EXP(-LN(2)/25))/(LN(2)/25)*Calculateur!ER7*Calculateur!ET7*VLOOKUP('Données projet'!$B$15,'Paramètres'!$A$1:$I$89,3,0)*0.475*44/12</f>
        <v>0</v>
      </c>
      <c r="EX7" s="142">
        <f>EXP(-LN(2)/2)*EX6+(1-EXP(-LN(2)/2))/(LN(2)/2)*ER7*EU7*VLOOKUP('Données projet'!$B$15,'Paramètres'!$A$1:$I$89,3,0)*0.475*44/12</f>
        <v>0</v>
      </c>
      <c r="EY7" s="143">
        <f t="shared" si="22"/>
        <v>0</v>
      </c>
      <c r="EZ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1" t="str">
        <f>VLOOKUP(A7,'Données projet'!$A$217:$I$237,2,0)</f>
        <v>#N/A</v>
      </c>
      <c r="FC7" s="131" t="str">
        <f>VLOOKUP(A7,'Données projet'!$A$217:$I$237,9,0)</f>
        <v>#N/A</v>
      </c>
      <c r="FD7" s="130">
        <f t="array" ref="FD7">INDEX(FC:FC,MIN(IF(ISNUMBER(FC7:FC203),ROW(FC7:FC203),"")))</f>
        <v>7.533333333</v>
      </c>
      <c r="FE7" s="131">
        <f>IF('Données projet'!$A$218&gt;35,FE6+FD7-FM6,IF(A7&lt;'Données projet'!$A$218,$FB$205^A7,IF(A7='Données projet'!$A$218,'Données projet'!$B$218,FE6+FD7-FM6)))</f>
        <v>3.52766702</v>
      </c>
      <c r="FF7" s="138">
        <f>FE7*VLOOKUP('Données projet'!$B$16,'Paramètres'!$A$1:$I$89,3,0)*VLOOKUP('Données projet'!$B$16,'Paramètres'!$A$1:$I$89,5,0)</f>
        <v>3.19183312</v>
      </c>
      <c r="FG7" s="130">
        <f t="shared" si="48"/>
        <v>1.285055738</v>
      </c>
      <c r="FH7" s="141">
        <f t="shared" si="23"/>
        <v>7.797248094</v>
      </c>
      <c r="FI7" s="133">
        <f t="shared" si="24"/>
        <v>301.1305814</v>
      </c>
      <c r="FJ7" s="133">
        <f>AVERAGE(OFFSET($FI$3,0,0,'Données projet'!$E$16+1,1))-AVERAGE(OFFSET($H$3,0,0,'Données projet'!$E$16+1,1))</f>
        <v>305.6252353</v>
      </c>
      <c r="FK7" s="133">
        <f t="shared" si="49"/>
        <v>331.397916</v>
      </c>
      <c r="FL7" s="134">
        <f>IF(ISNA(VLOOKUP(A7,'Données projet'!$A$217:$I$237,3,0)),0,VLOOKUP(A7,'Données projet'!$A$217:$I$237,3,0))</f>
        <v>0</v>
      </c>
      <c r="FM7" s="134">
        <f>IF(ISNA(VLOOKUP(A7,'Données projet'!$A$217:$I$237,4,0)),0,VLOOKUP(A7,'Données projet'!$A$217:$I$237,4,0))</f>
        <v>0</v>
      </c>
      <c r="FN7" s="135">
        <f>IF(ISNA(VLOOKUP(A7,'Données projet'!$A$217:$I$237,5,0)),0%,VLOOKUP(A7,'Données projet'!$A$217:$I$237,5,0)*VLOOKUP('Données projet'!$B$16,'Paramètres'!$A$1:$I$89,7,0))</f>
        <v>0</v>
      </c>
      <c r="FO7" s="135">
        <f>IF(ISNA(VLOOKUP(A7,'Données projet'!$A$217:$I$237,6,0)),0%,VLOOKUP(A7,'Données projet'!$A$217:$I$237,6,0)*VLOOKUP('Données projet'!$B$16,'Paramètres'!$A$1:$I$89,7,0))</f>
        <v>0</v>
      </c>
      <c r="FP7" s="135">
        <f>IF(ISNA(VLOOKUP(A7,'Données projet'!$A$217:$I$237,7,0)),0%,VLOOKUP(A7,'Données projet'!$A$217:$I$237,7,0))</f>
        <v>0</v>
      </c>
      <c r="FQ7" s="142">
        <f>EXP(-LN(2)/35)*FQ6+(1-EXP(-LN(2)/35))/(LN(2)/35)*FM7*FN7*VLOOKUP('Données projet'!$B$16,'Paramètres'!$A$1:$I$89,3,0)*0.475*44/12</f>
        <v>0</v>
      </c>
      <c r="FR7" s="142">
        <f>EXP(-LN(2)/25)*FR6+(1-EXP(-LN(2)/25))/(LN(2)/25)*Calculateur!FM7*Calculateur!FO7*VLOOKUP('Données projet'!$B$16,'Paramètres'!$A$1:$I$89,3,0)*0.475*44/12</f>
        <v>0</v>
      </c>
      <c r="FS7" s="142">
        <f>EXP(-LN(2)/2)*FS6+(1-EXP(-LN(2)/2))/(LN(2)/2)*FM7*FP7*VLOOKUP('Données projet'!$B$16,'Paramètres'!$A$1:$I$89,3,0)*0.475*44/12</f>
        <v>0</v>
      </c>
      <c r="FT7" s="143">
        <f t="shared" si="25"/>
        <v>0</v>
      </c>
      <c r="FU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1" t="str">
        <f>VLOOKUP(A7,'Données projet'!$A$243:$I$263,2,0)</f>
        <v>#N/A</v>
      </c>
      <c r="FX7" s="131" t="str">
        <f>VLOOKUP(A7,'Données projet'!$A$243:$I$263,9,0)</f>
        <v>#N/A</v>
      </c>
      <c r="FY7" s="130">
        <f t="array" ref="FY7">INDEX(FX:FX,MIN(IF(ISNUMBER(FX7:FX203),ROW(FX7:FX203),"")))</f>
        <v>1.6</v>
      </c>
      <c r="FZ7" s="131">
        <f>IF('Données projet'!$A$244&gt;35,FZ6+FY7-GH6,IF(A7&lt;'Données projet'!$A$244,$FW$205^A7,IF(A7='Données projet'!$A$244,'Données projet'!$B$244,FZ6+FY7-GH6)))</f>
        <v>2</v>
      </c>
      <c r="GA7" s="138">
        <f>FZ7*VLOOKUP('Données projet'!$B$17,'Paramètres'!$A$1:$I$89,3,0)*VLOOKUP('Données projet'!$B$17,'Paramètres'!$A$1:$I$89,5,0)</f>
        <v>1.3416</v>
      </c>
      <c r="GB7" s="130">
        <f t="shared" si="50"/>
        <v>0.5974750737</v>
      </c>
      <c r="GC7" s="141">
        <f t="shared" si="26"/>
        <v>3.37722242</v>
      </c>
      <c r="GD7" s="133">
        <f t="shared" si="27"/>
        <v>296.7105558</v>
      </c>
      <c r="GE7" s="133">
        <f>AVERAGE(OFFSET($GD$3,0,0,'Données projet'!$E$17+1,1))-AVERAGE(OFFSET($H$3,0,0,'Données projet'!$E$17+1,1))</f>
        <v>118.7368745</v>
      </c>
      <c r="GF7" s="133">
        <f t="shared" si="51"/>
        <v>135.1233677</v>
      </c>
      <c r="GG7" s="134">
        <f>IF(ISNA(VLOOKUP(A7,'Données projet'!$A$243:$I$263,3,0)),0,VLOOKUP(A7,'Données projet'!$A$243:$I$263,3,0))</f>
        <v>0</v>
      </c>
      <c r="GH7" s="134">
        <f>IF(ISNA(VLOOKUP(A7,'Données projet'!$A$243:$I$263,4,0)),0,VLOOKUP(A7,'Données projet'!$A$243:$I$263,4,0))</f>
        <v>0</v>
      </c>
      <c r="GI7" s="135">
        <f>IF(ISNA(VLOOKUP(A7,'Données projet'!$A$243:$I$263,5,0)),0%,VLOOKUP(A7,'Données projet'!$A$243:$I$263,5,0)*VLOOKUP('Données projet'!$B$17,'Paramètres'!$A$1:$I$89,7,0))</f>
        <v>0</v>
      </c>
      <c r="GJ7" s="135">
        <f>IF(ISNA(VLOOKUP(A7,'Données projet'!$A$243:$I$263,6,0)),0%,VLOOKUP(A7,'Données projet'!$A$243:$I$263,6,0)*VLOOKUP('Données projet'!$B$17,'Paramètres'!$A$1:$I$89,7,0))</f>
        <v>0</v>
      </c>
      <c r="GK7" s="135">
        <f>IF(ISNA(VLOOKUP(A7,'Données projet'!$A$243:$I$263,7,0)),0%,VLOOKUP(A7,'Données projet'!$A$243:$I$263,7,0))</f>
        <v>0</v>
      </c>
      <c r="GL7" s="142">
        <f>EXP(-LN(2)/35)*GL6+(1-EXP(-LN(2)/35))/(LN(2)/35)*GH7*GI7*VLOOKUP('Données projet'!$B$17,'Paramètres'!$A$1:$I$89,3,0)*0.475*44/12</f>
        <v>0</v>
      </c>
      <c r="GM7" s="142">
        <f>EXP(-LN(2)/25)*GM6+(1-EXP(-LN(2)/25))/(LN(2)/25)*Calculateur!GH7*Calculateur!GJ7*VLOOKUP('Données projet'!$B$17,'Paramètres'!$A$1:$I$89,3,0)*0.475*44/12</f>
        <v>0</v>
      </c>
      <c r="GN7" s="142">
        <f>EXP(-LN(2)/2)*GN6+(1-EXP(-LN(2)/2))/(LN(2)/2)*GH7*GK7*VLOOKUP('Données projet'!$B$17,'Paramètres'!$A$1:$I$89,3,0)*0.475*44/12</f>
        <v>0</v>
      </c>
      <c r="GO7" s="142">
        <f t="shared" si="28"/>
        <v>0</v>
      </c>
      <c r="GP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1" t="str">
        <f>VLOOKUP(A7,'Données projet'!$A$269:$I$289,2,0)</f>
        <v>#N/A</v>
      </c>
      <c r="GS7" s="131" t="str">
        <f>VLOOKUP(A7,'Données projet'!$A$269:$I$289,9,0)</f>
        <v>#N/A</v>
      </c>
      <c r="GT7" s="130">
        <f t="array" ref="GT7">INDEX(GS:GS,MIN(IF(ISNUMBER(GS7:GS203),ROW(GS7:GS203),"")))</f>
        <v>1.2</v>
      </c>
      <c r="GU7" s="131">
        <f>IF('Données projet'!$A$270&gt;35,GU6+GT7-HC6,IF(A7&lt;'Données projet'!$A$270,$GR$205^A7,IF(A7='Données projet'!$A$270,'Données projet'!$B$270,GU6+GT7-HC6)))</f>
        <v>1.72321474</v>
      </c>
      <c r="GV7" s="138">
        <f>GU7*VLOOKUP('Données projet'!$B$18,'Paramètres'!$A$1:$I$89,3,0)*VLOOKUP('Données projet'!$B$18,'Paramètres'!$A$1:$I$89,5,0)</f>
        <v>1.854868346</v>
      </c>
      <c r="GW7" s="130">
        <f t="shared" si="52"/>
        <v>0.7954877773</v>
      </c>
      <c r="GX7" s="141">
        <f t="shared" si="29"/>
        <v>4.616036914</v>
      </c>
      <c r="GY7" s="133">
        <f t="shared" si="30"/>
        <v>297.9493702</v>
      </c>
      <c r="GZ7" s="133">
        <f>AVERAGE(OFFSET($GY$3,0,0,'Données projet'!$E$18+1,1))-AVERAGE(OFFSET($H$3,0,0,'Données projet'!$E$18+1,1))</f>
        <v>100.5427875</v>
      </c>
      <c r="HA7" s="133">
        <f t="shared" si="53"/>
        <v>92.28663609</v>
      </c>
      <c r="HB7" s="134">
        <f>IF(ISNA(VLOOKUP(A7,'Données projet'!$A$269:$I$289,3,0)),0,VLOOKUP(A7,'Données projet'!$A$269:$I$289,3,0))</f>
        <v>0</v>
      </c>
      <c r="HC7" s="134">
        <f>IF(ISNA(VLOOKUP(A7,'Données projet'!$A$269:$I$289,4,0)),0,VLOOKUP(A7,'Données projet'!$A$269:$I$289,4,0))</f>
        <v>0</v>
      </c>
      <c r="HD7" s="135">
        <f>IF(ISNA(VLOOKUP(A7,'Données projet'!$A$269:$I$289,5,0)),0%,VLOOKUP(A7,'Données projet'!$A$269:$I$289,5,0)*VLOOKUP('Données projet'!$B$18,'Paramètres'!$A$1:$I$89,7,0))</f>
        <v>0</v>
      </c>
      <c r="HE7" s="135">
        <f>IF(ISNA(VLOOKUP(A7,'Données projet'!$A$269:$I$289,6,0)),0%,VLOOKUP(A7,'Données projet'!$A$269:$I$289,6,0)*VLOOKUP('Données projet'!$B$18,'Paramètres'!$A$1:$I$89,7,0))</f>
        <v>0</v>
      </c>
      <c r="HF7" s="135">
        <f>IF(ISNA(VLOOKUP(A7,'Données projet'!$A$269:$I$289,7,0)),0%,VLOOKUP(A7,'Données projet'!$A$269:$I$289,7,0))</f>
        <v>0</v>
      </c>
      <c r="HG7" s="142">
        <f>EXP(-LN(2)/35)*HG6+(1-EXP(-LN(2)/35))/(LN(2)/35)*HC7*HD7*VLOOKUP('Données projet'!$B$18,'Paramètres'!$A$1:$I$89,3,0)*0.475*44/12</f>
        <v>0</v>
      </c>
      <c r="HH7" s="142">
        <f>EXP(-LN(2)/25)*HH6+(1-EXP(-LN(2)/25))/(LN(2)/25)*Calculateur!HC7*Calculateur!HE7*VLOOKUP('Données projet'!$B$18,'Paramètres'!$A$1:$I$89,3,0)*0.475*44/12</f>
        <v>0</v>
      </c>
      <c r="HI7" s="142">
        <f>EXP(-LN(2)/2)*HI6+(1-EXP(-LN(2)/2))/(LN(2)/2)*HC7*HF7*VLOOKUP('Données projet'!$B$18,'Paramètres'!$A$1:$I$89,3,0)*0.475*44/12</f>
        <v>0</v>
      </c>
      <c r="HJ7" s="143">
        <f t="shared" si="31"/>
        <v>0</v>
      </c>
    </row>
    <row r="8">
      <c r="A8" s="125">
        <f t="shared" si="32"/>
        <v>5</v>
      </c>
      <c r="B8" s="126">
        <f>'Scénario référence'!$B$16*5+'Scénario référence'!$B$17*0+'Scénario référence'!$B$18*5</f>
        <v>0</v>
      </c>
      <c r="C8" s="140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2.73</v>
      </c>
      <c r="D8" s="127">
        <f t="shared" si="33"/>
        <v>1.119297103</v>
      </c>
      <c r="E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7">
        <f>IF(OR('Scénario référence'!$F$8&gt;0,'Scénario référence'!$F$9&gt;0),('Scénario référence'!$F$8+'Scénario référence'!$F$9)*10,0)</f>
        <v>10</v>
      </c>
      <c r="G8" s="127">
        <f>'Scénario référence'!$B$8*B8*44/12+'Scénario référence'!$B$9*(C8+D8)/0.475*44/12+'Scénario référence'!$B$10*(C8+D8)/0.475*44/12+'Scénario référence'!$F$8*(C8+D8)/0.475*44/12+'Scénario référence'!$F$9*(C8+D8)/0.475*44/12</f>
        <v>29.71387238</v>
      </c>
      <c r="H8" s="128">
        <f t="shared" si="1"/>
        <v>300.0375258</v>
      </c>
      <c r="I8" s="12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0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1" t="str">
        <f>VLOOKUP(A8,'Données projet'!$A$35:$I$55,2,0)</f>
        <v>#N/A</v>
      </c>
      <c r="L8" s="131" t="str">
        <f>VLOOKUP(A8,'Données projet'!$A$35:$I$55,9,0)</f>
        <v>#N/A</v>
      </c>
      <c r="M8" s="131">
        <f t="array" ref="M8">INDEX(L:L,MIN(IF(ISNUMBER(L8:L204),ROW(L8:L204),"")))</f>
        <v>3.92</v>
      </c>
      <c r="N8" s="130">
        <f>IF('Données projet'!$A$36&gt;35,N7+M8-V7,IF(A8&lt;'Données projet'!$A$36,$K$205^A8,IF(A8='Données projet'!$A$36,'Données projet'!$B$36,N7+M8-V7)))</f>
        <v>2.501757527</v>
      </c>
      <c r="O8" s="130">
        <f>N8*VLOOKUP('Données projet'!$B$9,'Paramètres'!$A$1:$I$89,3,0)*VLOOKUP('Données projet'!$B$9,'Paramètres'!$A$1:$I$89,5,0)</f>
        <v>1.431005306</v>
      </c>
      <c r="P8" s="130">
        <f t="shared" si="34"/>
        <v>0.6325235038</v>
      </c>
      <c r="Q8" s="141">
        <f t="shared" si="2"/>
        <v>3.593979343</v>
      </c>
      <c r="R8" s="133">
        <f t="shared" si="3"/>
        <v>296.9273127</v>
      </c>
      <c r="S8" s="133">
        <f>AVERAGE(OFFSET($R$3,0,0,'Données projet'!$E$9+1,1))-AVERAGE(OFFSET($H$3,0,0,'Données projet'!$E$9+1,1))</f>
        <v>126.9946492</v>
      </c>
      <c r="T8" s="133">
        <f t="shared" si="35"/>
        <v>140.039049</v>
      </c>
      <c r="U8" s="134">
        <f>IF(ISNA(VLOOKUP(A8,'Données projet'!$A$35:$I$55,3,0)),0,VLOOKUP(A8,'Données projet'!$A$35:$I$55,3,0))</f>
        <v>0</v>
      </c>
      <c r="V8" s="134">
        <f>IF(ISNA(VLOOKUP(A8,'Données projet'!$A$35:$I$55,4,0)),0,VLOOKUP(A8,'Données projet'!$A$35:$I$55,4,0))</f>
        <v>0</v>
      </c>
      <c r="W8" s="135">
        <f>IF(ISNA(VLOOKUP(A8,'Données projet'!$A$35:$I$55,5,0)),0%,VLOOKUP(A8,'Données projet'!$A$35:$I$55,5,0)*VLOOKUP('Données projet'!$B$9,'Paramètres'!$A$1:$I$89,7,0))</f>
        <v>0</v>
      </c>
      <c r="X8" s="135">
        <f>IF(ISNA(VLOOKUP(A8,'Données projet'!$A$35:$I$55,6,0)),0%,VLOOKUP(A8,'Données projet'!$A$35:$I$55,6,0)*VLOOKUP('Données projet'!$B$9,'Paramètres'!$A$1:$I$89,7,0))</f>
        <v>0</v>
      </c>
      <c r="Y8" s="135">
        <f>IF(ISNA(VLOOKUP(A8,'Données projet'!$A$35:$I$55,7,0)),0%,VLOOKUP(A8,'Données projet'!$A$35:$I$55,7,0))</f>
        <v>0</v>
      </c>
      <c r="Z8" s="142">
        <f>EXP(-LN(2)/35)*Z7+(1-EXP(-LN(2)/35))/(LN(2)/35)*V8*W8*VLOOKUP('Données projet'!$B$9,'Paramètres'!$A$1:$I$89,3,0)*0.475*44/12</f>
        <v>0</v>
      </c>
      <c r="AA8" s="142">
        <f>EXP(-LN(2)/25)*AA7+(1-EXP(-LN(2)/25))/(LN(2)/25)*Calculateur!V8*Calculateur!X8*VLOOKUP('Données projet'!$B$9,'Paramètres'!$A$1:$I$89,3,0)*0.475*44/12</f>
        <v>0</v>
      </c>
      <c r="AB8" s="142">
        <f>EXP(-LN(2)/2)*AB7+(1-EXP(-LN(2)/2))/(LN(2)/2)*V8*Y8*VLOOKUP('Données projet'!$B$9,'Paramètres'!$A$1:$I$89,3,0)*0.475*44/12</f>
        <v>0</v>
      </c>
      <c r="AC8" s="143">
        <f t="shared" si="4"/>
        <v>0</v>
      </c>
      <c r="AD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0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1" t="str">
        <f>VLOOKUP(A8,'Données projet'!$A$61:$I$81,2,0)</f>
        <v>#N/A</v>
      </c>
      <c r="AG8" s="131" t="str">
        <f>VLOOKUP(A8,'Données projet'!$A$61:$I$81,9,0)</f>
        <v>#N/A</v>
      </c>
      <c r="AH8" s="130">
        <f t="array" ref="AH8">INDEX(AG:AG,MIN(IF(ISNUMBER(AG8:AG204),ROW(AG8:AG204),"")))</f>
        <v>5.590909091</v>
      </c>
      <c r="AI8" s="130">
        <f>IF('Données projet'!$A$62&gt;35,AI7+AH8-AQ7,IF(A8&lt;'Données projet'!$A$62,$AF$205^A8,IF(A8='Données projet'!$A$62,'Données projet'!$B$62,AI7+AH8-AQ7)))</f>
        <v>2.985234379</v>
      </c>
      <c r="AJ8" s="130">
        <f>AI8*VLOOKUP('Données projet'!$B$10,'Paramètres'!$A$1:$I$89,3,0)*VLOOKUP('Données projet'!$B$10,'Paramètres'!$A$1:$I$89,5,0)</f>
        <v>1.785170158</v>
      </c>
      <c r="AK8" s="130">
        <f t="shared" si="36"/>
        <v>0.7690174165</v>
      </c>
      <c r="AL8" s="141">
        <f t="shared" si="5"/>
        <v>4.44854336</v>
      </c>
      <c r="AM8" s="133">
        <f t="shared" si="6"/>
        <v>297.7818767</v>
      </c>
      <c r="AN8" s="133">
        <f>AVERAGE(OFFSET($AM$3,0,0,'Données projet'!$E$10+1,1))-AVERAGE(OFFSET($H$3,0,0,'Données projet'!$E$10+1,1))</f>
        <v>196.874484</v>
      </c>
      <c r="AO8" s="133">
        <f t="shared" si="37"/>
        <v>217.5750859</v>
      </c>
      <c r="AP8" s="134">
        <f>IF(ISNA(VLOOKUP(A8,'Données projet'!$A$61:$I$81,3,0)),0,VLOOKUP(A8,'Données projet'!$A$61:$I$81,3,0))</f>
        <v>0</v>
      </c>
      <c r="AQ8" s="134">
        <f>IF(ISNA(VLOOKUP(A8,'Données projet'!$A$61:$I$81,4,0)),0,VLOOKUP(A8,'Données projet'!$A$61:$I$81,4,0))</f>
        <v>0</v>
      </c>
      <c r="AR8" s="135">
        <f>IF(ISNA(VLOOKUP(A8,'Données projet'!$A$61:$I$81,5,0)),0%,VLOOKUP(A8,'Données projet'!$A$61:$I$81,5,0)*VLOOKUP('Données projet'!$B$10,'Paramètres'!$A$1:$I$89,7,0))</f>
        <v>0</v>
      </c>
      <c r="AS8" s="135">
        <f>IF(ISNA(VLOOKUP(A8,'Données projet'!$A$61:$I$81,6,0)),0%,VLOOKUP(A8,'Données projet'!$A$61:$I$81,6,0)*VLOOKUP('Données projet'!$B$10,'Paramètres'!$A$1:$I$89,7,0))</f>
        <v>0</v>
      </c>
      <c r="AT8" s="135">
        <f>IF(ISNA(VLOOKUP(A8,'Données projet'!$A$61:$I$81,7,0)),0%,VLOOKUP(A8,'Données projet'!$A$61:$I$81,7,0))</f>
        <v>0</v>
      </c>
      <c r="AU8" s="142">
        <f>EXP(-LN(2)/35)*AU7+(1-EXP(-LN(2)/35))/(LN(2)/35)*AQ8*AR8*VLOOKUP('Données projet'!$B$10,'Paramètres'!$A$1:$I$89,3,0)*0.475*44/12</f>
        <v>0</v>
      </c>
      <c r="AV8" s="142">
        <f>EXP(-LN(2)/25)*AV7+(1-EXP(-LN(2)/25))/(LN(2)/25)*Calculateur!AQ8*Calculateur!AS8*VLOOKUP('Données projet'!$B$10,'Paramètres'!$A$1:$I$89,3,0)*0.475*44/12</f>
        <v>0</v>
      </c>
      <c r="AW8" s="142">
        <f>EXP(-LN(2)/2)*AW7+(1-EXP(-LN(2)/2))/(LN(2)/2)*AQ8*AT8*VLOOKUP('Données projet'!$B$10,'Paramètres'!$A$1:$I$89,3,0)*0.475*44/12</f>
        <v>0</v>
      </c>
      <c r="AX8" s="142">
        <f t="shared" si="7"/>
        <v>0</v>
      </c>
      <c r="AY8" s="13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1" t="str">
        <f>VLOOKUP(A8,'Données projet'!$A$87:$I$107,2,0)</f>
        <v>#N/A</v>
      </c>
      <c r="BB8" s="131" t="str">
        <f>VLOOKUP(A8,'Données projet'!$A$87:$I$107,9,0)</f>
        <v>#N/A</v>
      </c>
      <c r="BC8" s="130">
        <f t="array" ref="BC8">INDEX(BB:BB,MIN(IF(ISNUMBER(BB8:BB204),ROW(BB8:BB204),"")))</f>
        <v>4.666666667</v>
      </c>
      <c r="BD8" s="131">
        <f>IF('Données projet'!$A$88&gt;35,BD7+BC8-BL7,IF(A8&lt;'Données projet'!$A$88,$BA$205^A8,IF(A8='Données projet'!$A$88,'Données projet'!$B$88,BD7+BC8-BL7)))</f>
        <v>2.278704479</v>
      </c>
      <c r="BE8" s="130">
        <f>BD8*VLOOKUP('Données projet'!$B$11,'Paramètres'!$A$1:$I$89,3,0)*VLOOKUP('Données projet'!$B$11,'Paramètres'!$A$1:$I$89,5,0)</f>
        <v>1.066433696</v>
      </c>
      <c r="BF8" s="130">
        <f t="shared" si="38"/>
        <v>0.4877917184</v>
      </c>
      <c r="BG8" s="141">
        <f t="shared" si="8"/>
        <v>2.706942597</v>
      </c>
      <c r="BH8" s="133">
        <f t="shared" si="9"/>
        <v>296.0402759</v>
      </c>
      <c r="BI8" s="133">
        <f>AVERAGE(OFFSET($BH$3,0,0,'Données projet'!$E$11+1,1))-AVERAGE(OFFSET($H$3,0,0,'Données projet'!$E$11+1,1))</f>
        <v>134.0948534</v>
      </c>
      <c r="BJ8" s="133">
        <f t="shared" si="39"/>
        <v>108.4102536</v>
      </c>
      <c r="BK8" s="134">
        <f>IF(ISNA(VLOOKUP(A8,'Données projet'!$A$87:$I$107,3,0)),0,VLOOKUP(A8,'Données projet'!$A$87:$I$107,3,0))</f>
        <v>0</v>
      </c>
      <c r="BL8" s="134">
        <f>IF(ISNA(VLOOKUP(A8,'Données projet'!$A$87:$I$107,4,0)),0,VLOOKUP(A8,'Données projet'!$A$87:$I$107,4,0))</f>
        <v>0</v>
      </c>
      <c r="BM8" s="135">
        <f>IF(ISNA(VLOOKUP(A8,'Données projet'!$A$87:$I$107,5,0)),0%,VLOOKUP(A8,'Données projet'!$A$87:$I$107,5,0)*VLOOKUP('Données projet'!$B$11,'Paramètres'!$A$1:$I$89,7,0))</f>
        <v>0</v>
      </c>
      <c r="BN8" s="135">
        <f>IF(ISNA(VLOOKUP(A8,'Données projet'!$A$87:$I$107,6,0)),0%,VLOOKUP(A8,'Données projet'!$A$87:$I$107,6,0)*VLOOKUP('Données projet'!$B$11,'Paramètres'!$A$1:$I$89,7,0))</f>
        <v>0</v>
      </c>
      <c r="BO8" s="135">
        <f>IF(ISNA(VLOOKUP(A8,'Données projet'!$A$87:$I$107,7,0)),0%,VLOOKUP(A8,'Données projet'!$A$87:$I$107,7,0))</f>
        <v>0</v>
      </c>
      <c r="BP8" s="142">
        <f>EXP(-LN(2)/35)*BP7+(1-EXP(-LN(2)/35))/(LN(2)/35)*BL8*BM8*VLOOKUP('Données projet'!$B$11,'Paramètres'!$A$1:$I$89,3,0)*0.475*44/12</f>
        <v>0</v>
      </c>
      <c r="BQ8" s="142">
        <f>EXP(-LN(2)/25)*BQ7+(1-EXP(-LN(2)/25))/(LN(2)/25)*Calculateur!BL8*Calculateur!BN8*VLOOKUP('Données projet'!$B$11,'Paramètres'!$A$1:$I$89,3,0)*0.475*44/12</f>
        <v>0</v>
      </c>
      <c r="BR8" s="142">
        <f>EXP(-LN(2)/2)*BR7+(1-EXP(-LN(2)/2))/(LN(2)/2)*BL8*BO8*VLOOKUP('Données projet'!$B$11,'Paramètres'!$A$1:$I$89,3,0)*0.475*44/12</f>
        <v>0</v>
      </c>
      <c r="BS8" s="143">
        <f t="shared" si="10"/>
        <v>0</v>
      </c>
      <c r="BT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1" t="str">
        <f>VLOOKUP(A8,'Données projet'!$A$113:$I$133,2,0)</f>
        <v>#N/A</v>
      </c>
      <c r="BW8" s="131" t="str">
        <f>VLOOKUP(A8,'Données projet'!$A$113:$I$133,9,0)</f>
        <v>#N/A</v>
      </c>
      <c r="BX8" s="130">
        <f t="array" ref="BX8">INDEX(BW:BW,MIN(IF(ISNUMBER(BW8:BW204),ROW(BW8:BW204),"")))</f>
        <v>1.866666667</v>
      </c>
      <c r="BY8" s="131">
        <f>IF('Données projet'!$A$114&gt;35,BY7+BX8-CG7,IF(A8&lt;'Données projet'!$A$114,$BV$205^A8,IF(A8='Données projet'!$A$114,'Données projet'!$B$114,BY7+BX8-CG7)))</f>
        <v>3.036588972</v>
      </c>
      <c r="BZ8" s="130">
        <f>BY8*VLOOKUP('Données projet'!$B$12,'Paramètres'!$A$1:$I$89,3,0)*VLOOKUP('Données projet'!$B$12,'Paramètres'!$A$1:$I$89,5,0)</f>
        <v>1.500074952</v>
      </c>
      <c r="CA8" s="130">
        <f t="shared" si="40"/>
        <v>0.6594251029</v>
      </c>
      <c r="CB8" s="141">
        <f t="shared" si="11"/>
        <v>3.761129262</v>
      </c>
      <c r="CC8" s="133">
        <f t="shared" si="12"/>
        <v>297.0944626</v>
      </c>
      <c r="CD8" s="133">
        <f>AVERAGE(OFFSET($CC$3,0,0,'Données projet'!$E$12+1,1))-AVERAGE(OFFSET($H$3,0,0,'Données projet'!$E$12+1,1))</f>
        <v>258.1672054</v>
      </c>
      <c r="CE8" s="133">
        <f t="shared" si="41"/>
        <v>296.0724261</v>
      </c>
      <c r="CF8" s="134">
        <f>IF(ISNA(VLOOKUP(A8,'Données projet'!$A$113:$I$133,3,0)),0,VLOOKUP(A8,'Données projet'!$A$113:$I$133,3,0))</f>
        <v>0</v>
      </c>
      <c r="CG8" s="134">
        <f>IF(ISNA(VLOOKUP(A8,'Données projet'!$A$113:$I$133,4,0)),0,VLOOKUP(A8,'Données projet'!$A$113:$I$133,4,0))</f>
        <v>0</v>
      </c>
      <c r="CH8" s="135">
        <f>IF(ISNA(VLOOKUP(A8,'Données projet'!$A$113:$I$133,5,0)),0%,VLOOKUP(A8,'Données projet'!$A$113:$I$133,5,0)*VLOOKUP('Données projet'!$B$12,'Paramètres'!$A$1:$I$89,7,0))</f>
        <v>0</v>
      </c>
      <c r="CI8" s="135">
        <f>IF(ISNA(VLOOKUP(A8,'Données projet'!$A$113:$I$133,6,0)),0%,VLOOKUP(A8,'Données projet'!$A$113:$I$133,6,0)*VLOOKUP('Données projet'!$B$12,'Paramètres'!$A$1:$I$89,7,0))</f>
        <v>0</v>
      </c>
      <c r="CJ8" s="135">
        <f>IF(ISNA(VLOOKUP(A8,'Données projet'!$A$113:$I$133,7,0)),0%,VLOOKUP(A8,'Données projet'!$A$113:$I$133,7,0))</f>
        <v>0</v>
      </c>
      <c r="CK8" s="142">
        <f>EXP(-LN(2)/35)*CK7+(1-EXP(-LN(2)/35))/(LN(2)/35)*CG8*CH8*VLOOKUP('Données projet'!$B$12,'Paramètres'!$A$1:$I$89,3,0)*0.475*44/12</f>
        <v>0</v>
      </c>
      <c r="CL8" s="142">
        <f>EXP(-LN(2)/25)*CL7+(1-EXP(-LN(2)/25))/(LN(2)/25)*Calculateur!CG8*Calculateur!CI8*VLOOKUP('Données projet'!$B$12,'Paramètres'!$A$1:$I$89,3,0)*0.475*44/12</f>
        <v>0</v>
      </c>
      <c r="CM8" s="142">
        <f>EXP(-LN(2)/2)*CM7+(1-EXP(-LN(2)/2))/(LN(2)/2)*CG8*CJ8*VLOOKUP('Données projet'!$B$12,'Paramètres'!$A$1:$I$89,3,0)*0.475*44/12</f>
        <v>0</v>
      </c>
      <c r="CN8" s="143">
        <f t="shared" si="13"/>
        <v>0</v>
      </c>
      <c r="CO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1" t="str">
        <f>VLOOKUP(A8,'Données projet'!$A$139:$I$159,2,0)</f>
        <v>#N/A</v>
      </c>
      <c r="CR8" s="131" t="str">
        <f>VLOOKUP(A8,'Données projet'!$A$139:$I$159,9,0)</f>
        <v>#N/A</v>
      </c>
      <c r="CS8" s="130">
        <f t="array" ref="CS8">INDEX(CR:CR,MIN(IF(ISNUMBER(CR8:CR204),ROW(CR8:CR204),"")))</f>
        <v>1.2</v>
      </c>
      <c r="CT8" s="131">
        <f>IF('Données projet'!$A$140&gt;35,CT7+CS8-DB7,IF(A8&lt;'Données projet'!$A$140,$CQ$205^A8,IF(A8='Données projet'!$A$140,'Données projet'!$B$140,CT7+CS8-DB7)))</f>
        <v>1.974350486</v>
      </c>
      <c r="CU8" s="138">
        <f>CT8*VLOOKUP('Données projet'!$B$13,'Paramètres'!$A$1:$I$89,3,0)*VLOOKUP('Données projet'!$B$13,'Paramètres'!$A$1:$I$89,5,0)</f>
        <v>2.001991393</v>
      </c>
      <c r="CV8" s="130">
        <f t="shared" si="42"/>
        <v>0.8509892423</v>
      </c>
      <c r="CW8" s="141">
        <f t="shared" si="14"/>
        <v>4.968941273</v>
      </c>
      <c r="CX8" s="133">
        <f t="shared" si="15"/>
        <v>298.3022746</v>
      </c>
      <c r="CY8" s="133">
        <f>AVERAGE(OFFSET($CX$3,0,0,'Données projet'!$E$13+1,1))-AVERAGE(OFFSET($H$3,0,0,'Données projet'!$E$13+1,1))</f>
        <v>223.783507</v>
      </c>
      <c r="CZ8" s="133">
        <f t="shared" si="43"/>
        <v>84.92349117</v>
      </c>
      <c r="DA8" s="134">
        <f>IF(ISNA(VLOOKUP(A8,'Données projet'!$A$139:$I$159,3,0)),0,VLOOKUP(A8,'Données projet'!$A$139:$I$159,3,0))</f>
        <v>0</v>
      </c>
      <c r="DB8" s="134">
        <f>IF(ISNA(VLOOKUP(A8,'Données projet'!$A$139:$I$159,4,0)),0,VLOOKUP(A8,'Données projet'!$A$139:$I$159,4,0))</f>
        <v>0</v>
      </c>
      <c r="DC8" s="135">
        <f>IF(ISNA(VLOOKUP(A8,'Données projet'!$A$139:$I$159,5,0)),0%,VLOOKUP(A8,'Données projet'!$A$139:$I$159,5,0)*VLOOKUP('Données projet'!$B$13,'Paramètres'!$A$1:$I$89,7,0))</f>
        <v>0</v>
      </c>
      <c r="DD8" s="135">
        <f>IF(ISNA(VLOOKUP(A8,'Données projet'!$A$139:$I$159,6,0)),0%,VLOOKUP(A8,'Données projet'!$A$139:$I$159,6,0)*VLOOKUP('Données projet'!$B$13,'Paramètres'!$A$1:$I$89,7,0))</f>
        <v>0</v>
      </c>
      <c r="DE8" s="135">
        <f>IF(ISNA(VLOOKUP(A8,'Données projet'!$A$139:$I$159,7,0)),0%,VLOOKUP(A8,'Données projet'!$A$139:$I$159,7,0))</f>
        <v>0</v>
      </c>
      <c r="DF8" s="142">
        <f>EXP(-LN(2)/35)*DF7+(1-EXP(-LN(2)/35))/(LN(2)/35)*DB8*DC8*VLOOKUP('Données projet'!$B$13,'Paramètres'!$A$1:$I$89,3,0)*0.475*44/12</f>
        <v>0</v>
      </c>
      <c r="DG8" s="142">
        <f>EXP(-LN(2)/25)*DG7+(1-EXP(-LN(2)/25))/(LN(2)/25)*Calculateur!DB8*Calculateur!DD8*VLOOKUP('Données projet'!$B$13,'Paramètres'!$A$1:$I$89,3,0)*0.475*44/12</f>
        <v>0</v>
      </c>
      <c r="DH8" s="142">
        <f>EXP(-LN(2)/2)*DH7+(1-EXP(-LN(2)/2))/(LN(2)/2)*DB8*DE8*VLOOKUP('Données projet'!$B$13,'Paramètres'!$A$1:$I$89,3,0)*0.475*44/12</f>
        <v>0</v>
      </c>
      <c r="DI8" s="143">
        <f t="shared" si="16"/>
        <v>0</v>
      </c>
      <c r="DJ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1" t="str">
        <f>VLOOKUP(A8,'Données projet'!$A$165:$I$185,2,0)</f>
        <v>#N/A</v>
      </c>
      <c r="DM8" s="131" t="str">
        <f>VLOOKUP(A8,'Données projet'!$A$165:$I$185,9,0)</f>
        <v>#N/A</v>
      </c>
      <c r="DN8" s="131">
        <f t="array" ref="DN8">INDEX(DM:DM,MIN(IF(ISNUMBER(DM8:DM204),ROW(DM8:DM204),"")))</f>
        <v>2.1</v>
      </c>
      <c r="DO8" s="131">
        <f>IF('Données projet'!$A$166&gt;35,DO7+DN8-DW7,IF(A8&lt;'Données projet'!$A$166,$DL$205^A8,IF(A8='Données projet'!$A$166,'Données projet'!$B$166,DO7+DN8-DW7)))</f>
        <v>2.545729895</v>
      </c>
      <c r="DP8" s="138">
        <f>DO8*VLOOKUP('Données projet'!$B$14,'Paramètres'!$A$1:$I$89,3,0)*VLOOKUP('Données projet'!$B$14,'Paramètres'!$A$1:$I$89,5,0)</f>
        <v>2.303376409</v>
      </c>
      <c r="DQ8" s="130">
        <f t="shared" si="44"/>
        <v>0.9632470848</v>
      </c>
      <c r="DR8" s="141">
        <f t="shared" si="17"/>
        <v>5.689369252</v>
      </c>
      <c r="DS8" s="133">
        <f t="shared" si="18"/>
        <v>299.0227026</v>
      </c>
      <c r="DT8" s="133">
        <f>AVERAGE(OFFSET($DS$3,0,0,'Données projet'!$E$14+1,1))-AVERAGE(OFFSET($H$3,0,0,'Données projet'!$E$14+1,1))</f>
        <v>287.9334714</v>
      </c>
      <c r="DU8" s="133">
        <f t="shared" si="45"/>
        <v>156.6796502</v>
      </c>
      <c r="DV8" s="134">
        <f>IF(ISNA(VLOOKUP(A8,'Données projet'!$A$165:$I$185,3,0)),0,VLOOKUP(A8,'Données projet'!$A$165:$I$185,3,0))</f>
        <v>0</v>
      </c>
      <c r="DW8" s="134">
        <f>IF(ISNA(VLOOKUP(A8,'Données projet'!$A$165:$I$185,4,0)),0,VLOOKUP(A8,'Données projet'!$A$165:$I$185,4,0))</f>
        <v>0</v>
      </c>
      <c r="DX8" s="135">
        <f>IF(ISNA(VLOOKUP(A8,'Données projet'!$A$165:$I$185,5,0)),0%,VLOOKUP(A8,'Données projet'!$A$165:$I$185,5,0)*VLOOKUP('Données projet'!$B$14,'Paramètres'!$A$1:$I$89,7,0))</f>
        <v>0</v>
      </c>
      <c r="DY8" s="135">
        <f>IF(ISNA(VLOOKUP(A8,'Données projet'!$A$165:$I$185,6,0)),0%,VLOOKUP(A8,'Données projet'!$A$165:$I$185,6,0)*VLOOKUP('Données projet'!$B$14,'Paramètres'!$A$1:$I$89,7,0))</f>
        <v>0</v>
      </c>
      <c r="DZ8" s="135">
        <f>IF(ISNA(VLOOKUP(A8,'Données projet'!$A$165:$I$185,7,0)),0%,VLOOKUP(A8,'Données projet'!$A$165:$I$185,7,0))</f>
        <v>0</v>
      </c>
      <c r="EA8" s="142">
        <f>EXP(-LN(2)/35)*EA7+(1-EXP(-LN(2)/35))/(LN(2)/35)*DW8*DX8*VLOOKUP('Données projet'!$B$14,'Paramètres'!$A$1:$I$89,3,0)*0.475*44/12</f>
        <v>0</v>
      </c>
      <c r="EB8" s="142">
        <f>EXP(-LN(2)/25)*EB7+(1-EXP(-LN(2)/25))/(LN(2)/25)*Calculateur!DW8*Calculateur!DY8*VLOOKUP('Données projet'!$B$14,'Paramètres'!$A$1:$I$89,3,0)*0.475*44/12</f>
        <v>0</v>
      </c>
      <c r="EC8" s="142">
        <f>EXP(-LN(2)/2)*EC7+(1-EXP(-LN(2)/2))/(LN(2)/2)*DW8*DZ8*VLOOKUP('Données projet'!$B$14,'Paramètres'!$A$1:$I$89,3,0)*0.475*44/12</f>
        <v>0</v>
      </c>
      <c r="ED8" s="143">
        <f t="shared" si="19"/>
        <v>0</v>
      </c>
      <c r="EE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1" t="str">
        <f>VLOOKUP(A8,'Données projet'!$A$191:$I$211,2,0)</f>
        <v>#N/A</v>
      </c>
      <c r="EH8" s="131" t="str">
        <f>VLOOKUP(A8,'Données projet'!$A$191:$I$211,9,0)</f>
        <v>#N/A</v>
      </c>
      <c r="EI8" s="131">
        <f t="array" ref="EI8">INDEX(EH:EH,MIN(IF(ISNUMBER(EH8:EH204),ROW(EH8:EH204),"")))</f>
        <v>1.6</v>
      </c>
      <c r="EJ8" s="131">
        <f>IF('Données projet'!$A$192&gt;35,EJ7+EI8-ER7,IF(A8&lt;'Données projet'!$A$192,$EG$205^A8,IF(A8='Données projet'!$A$192,'Données projet'!$B$192,EJ7+EI8-ER7)))</f>
        <v>2.091279105</v>
      </c>
      <c r="EK8" s="138">
        <f>EJ8*VLOOKUP('Données projet'!$B$15,'Paramètres'!$A$1:$I$89,3,0)*VLOOKUP('Données projet'!$B$15,'Paramètres'!$A$1:$I$89,5,0)</f>
        <v>1.53332584</v>
      </c>
      <c r="EL8" s="130">
        <f t="shared" si="46"/>
        <v>0.6723240841</v>
      </c>
      <c r="EM8" s="141">
        <f t="shared" si="20"/>
        <v>3.841506951</v>
      </c>
      <c r="EN8" s="133">
        <f t="shared" si="21"/>
        <v>297.1748403</v>
      </c>
      <c r="EO8" s="133">
        <f>AVERAGE(OFFSET($EN$3,0,0,'Données projet'!$E$15+1,1))-AVERAGE(OFFSET($H$3,0,0,'Données projet'!$E$15+1,1))</f>
        <v>130.3193339</v>
      </c>
      <c r="EP8" s="133">
        <f t="shared" si="47"/>
        <v>82.22784365</v>
      </c>
      <c r="EQ8" s="134">
        <f>IF(ISNA(VLOOKUP(A8,'Données projet'!$A$191:$I$211,3,0)),0,VLOOKUP(A8,'Données projet'!$A$191:$I$211,3,0))</f>
        <v>0</v>
      </c>
      <c r="ER8" s="134">
        <f>IF(ISNA(VLOOKUP(A8,'Données projet'!$A$191:$I$211,4,0)),0,VLOOKUP(A8,'Données projet'!$A$191:$I$211,4,0))</f>
        <v>0</v>
      </c>
      <c r="ES8" s="135">
        <f>IF(ISNA(VLOOKUP(A8,'Données projet'!$A$191:$I$211,5,0)),0%,VLOOKUP(A8,'Données projet'!$A$191:$I$211,5,0)*VLOOKUP('Données projet'!$B$15,'Paramètres'!$A$1:$I$89,7,0))</f>
        <v>0</v>
      </c>
      <c r="ET8" s="135">
        <f>IF(ISNA(VLOOKUP(A8,'Données projet'!$A$191:$I$211,6,0)),0%,VLOOKUP(A8,'Données projet'!$A$191:$I$211,6,0)*VLOOKUP('Données projet'!$B$15,'Paramètres'!$A$1:$I$89,7,0))</f>
        <v>0</v>
      </c>
      <c r="EU8" s="135">
        <f>IF(ISNA(VLOOKUP(A8,'Données projet'!$A$191:$I$211,7,0)),0%,VLOOKUP(A8,'Données projet'!$A$191:$I$211,7,0))</f>
        <v>0</v>
      </c>
      <c r="EV8" s="142">
        <f>EXP(-LN(2)/35)*EV7+(1-EXP(-LN(2)/35))/(LN(2)/35)*ER8*ES8*VLOOKUP('Données projet'!$B$15,'Paramètres'!$A$1:$I$89,3,0)*0.475*44/12</f>
        <v>0</v>
      </c>
      <c r="EW8" s="142">
        <f>EXP(-LN(2)/25)*EW7+(1-EXP(-LN(2)/25))/(LN(2)/25)*Calculateur!ER8*Calculateur!ET8*VLOOKUP('Données projet'!$B$15,'Paramètres'!$A$1:$I$89,3,0)*0.475*44/12</f>
        <v>0</v>
      </c>
      <c r="EX8" s="142">
        <f>EXP(-LN(2)/2)*EX7+(1-EXP(-LN(2)/2))/(LN(2)/2)*ER8*EU8*VLOOKUP('Données projet'!$B$15,'Paramètres'!$A$1:$I$89,3,0)*0.475*44/12</f>
        <v>0</v>
      </c>
      <c r="EY8" s="143">
        <f t="shared" si="22"/>
        <v>0</v>
      </c>
      <c r="EZ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1" t="str">
        <f>VLOOKUP(A8,'Données projet'!$A$217:$I$237,2,0)</f>
        <v>#N/A</v>
      </c>
      <c r="FC8" s="131" t="str">
        <f>VLOOKUP(A8,'Données projet'!$A$217:$I$237,9,0)</f>
        <v>#N/A</v>
      </c>
      <c r="FD8" s="130">
        <f t="array" ref="FD8">INDEX(FC:FC,MIN(IF(ISNUMBER(FC8:FC204),ROW(FC8:FC204),"")))</f>
        <v>7.533333333</v>
      </c>
      <c r="FE8" s="131">
        <f>IF('Données projet'!$A$218&gt;35,FE7+FD8-FM7,IF(A8&lt;'Données projet'!$A$218,$FB$205^A8,IF(A8='Données projet'!$A$218,'Données projet'!$B$218,FE7+FD8-FM7)))</f>
        <v>4.834588127</v>
      </c>
      <c r="FF8" s="138">
        <f>FE8*VLOOKUP('Données projet'!$B$16,'Paramètres'!$A$1:$I$89,3,0)*VLOOKUP('Données projet'!$B$16,'Paramètres'!$A$1:$I$89,5,0)</f>
        <v>4.374335337</v>
      </c>
      <c r="FG8" s="130">
        <f t="shared" si="48"/>
        <v>1.697704003</v>
      </c>
      <c r="FH8" s="141">
        <f t="shared" si="23"/>
        <v>10.57546852</v>
      </c>
      <c r="FI8" s="133">
        <f t="shared" si="24"/>
        <v>303.9088019</v>
      </c>
      <c r="FJ8" s="133">
        <f>AVERAGE(OFFSET($FI$3,0,0,'Données projet'!$E$16+1,1))-AVERAGE(OFFSET($H$3,0,0,'Données projet'!$E$16+1,1))</f>
        <v>305.6252353</v>
      </c>
      <c r="FK8" s="133">
        <f t="shared" si="49"/>
        <v>331.397916</v>
      </c>
      <c r="FL8" s="134">
        <f>IF(ISNA(VLOOKUP(A8,'Données projet'!$A$217:$I$237,3,0)),0,VLOOKUP(A8,'Données projet'!$A$217:$I$237,3,0))</f>
        <v>0</v>
      </c>
      <c r="FM8" s="134">
        <f>IF(ISNA(VLOOKUP(A8,'Données projet'!$A$217:$I$237,4,0)),0,VLOOKUP(A8,'Données projet'!$A$217:$I$237,4,0))</f>
        <v>0</v>
      </c>
      <c r="FN8" s="135">
        <f>IF(ISNA(VLOOKUP(A8,'Données projet'!$A$217:$I$237,5,0)),0%,VLOOKUP(A8,'Données projet'!$A$217:$I$237,5,0)*VLOOKUP('Données projet'!$B$16,'Paramètres'!$A$1:$I$89,7,0))</f>
        <v>0</v>
      </c>
      <c r="FO8" s="135">
        <f>IF(ISNA(VLOOKUP(A8,'Données projet'!$A$217:$I$237,6,0)),0%,VLOOKUP(A8,'Données projet'!$A$217:$I$237,6,0)*VLOOKUP('Données projet'!$B$16,'Paramètres'!$A$1:$I$89,7,0))</f>
        <v>0</v>
      </c>
      <c r="FP8" s="135">
        <f>IF(ISNA(VLOOKUP(A8,'Données projet'!$A$217:$I$237,7,0)),0%,VLOOKUP(A8,'Données projet'!$A$217:$I$237,7,0))</f>
        <v>0</v>
      </c>
      <c r="FQ8" s="142">
        <f>EXP(-LN(2)/35)*FQ7+(1-EXP(-LN(2)/35))/(LN(2)/35)*FM8*FN8*VLOOKUP('Données projet'!$B$16,'Paramètres'!$A$1:$I$89,3,0)*0.475*44/12</f>
        <v>0</v>
      </c>
      <c r="FR8" s="142">
        <f>EXP(-LN(2)/25)*FR7+(1-EXP(-LN(2)/25))/(LN(2)/25)*Calculateur!FM8*Calculateur!FO8*VLOOKUP('Données projet'!$B$16,'Paramètres'!$A$1:$I$89,3,0)*0.475*44/12</f>
        <v>0</v>
      </c>
      <c r="FS8" s="142">
        <f>EXP(-LN(2)/2)*FS7+(1-EXP(-LN(2)/2))/(LN(2)/2)*FM8*FP8*VLOOKUP('Données projet'!$B$16,'Paramètres'!$A$1:$I$89,3,0)*0.475*44/12</f>
        <v>0</v>
      </c>
      <c r="FT8" s="143">
        <f t="shared" si="25"/>
        <v>0</v>
      </c>
      <c r="FU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1" t="str">
        <f>VLOOKUP(A8,'Données projet'!$A$243:$I$263,2,0)</f>
        <v>#N/A</v>
      </c>
      <c r="FX8" s="131" t="str">
        <f>VLOOKUP(A8,'Données projet'!$A$243:$I$263,9,0)</f>
        <v>#N/A</v>
      </c>
      <c r="FY8" s="130">
        <f t="array" ref="FY8">INDEX(FX:FX,MIN(IF(ISNUMBER(FX8:FX204),ROW(FX8:FX204),"")))</f>
        <v>1.6</v>
      </c>
      <c r="FZ8" s="131">
        <f>IF('Données projet'!$A$244&gt;35,FZ7+FY8-GH7,IF(A8&lt;'Données projet'!$A$244,$FW$205^A8,IF(A8='Données projet'!$A$244,'Données projet'!$B$244,FZ7+FY8-GH7)))</f>
        <v>2.37841423</v>
      </c>
      <c r="GA8" s="138">
        <f>FZ8*VLOOKUP('Données projet'!$B$17,'Paramètres'!$A$1:$I$89,3,0)*VLOOKUP('Données projet'!$B$17,'Paramètres'!$A$1:$I$89,5,0)</f>
        <v>1.595440265</v>
      </c>
      <c r="GB8" s="130">
        <f t="shared" si="50"/>
        <v>0.6963335454</v>
      </c>
      <c r="GC8" s="141">
        <f t="shared" si="26"/>
        <v>3.991506054</v>
      </c>
      <c r="GD8" s="133">
        <f t="shared" si="27"/>
        <v>297.3248394</v>
      </c>
      <c r="GE8" s="133">
        <f>AVERAGE(OFFSET($GD$3,0,0,'Données projet'!$E$17+1,1))-AVERAGE(OFFSET($H$3,0,0,'Données projet'!$E$17+1,1))</f>
        <v>118.7368745</v>
      </c>
      <c r="GF8" s="133">
        <f t="shared" si="51"/>
        <v>135.1233677</v>
      </c>
      <c r="GG8" s="134">
        <f>IF(ISNA(VLOOKUP(A8,'Données projet'!$A$243:$I$263,3,0)),0,VLOOKUP(A8,'Données projet'!$A$243:$I$263,3,0))</f>
        <v>0</v>
      </c>
      <c r="GH8" s="134">
        <f>IF(ISNA(VLOOKUP(A8,'Données projet'!$A$243:$I$263,4,0)),0,VLOOKUP(A8,'Données projet'!$A$243:$I$263,4,0))</f>
        <v>0</v>
      </c>
      <c r="GI8" s="135">
        <f>IF(ISNA(VLOOKUP(A8,'Données projet'!$A$243:$I$263,5,0)),0%,VLOOKUP(A8,'Données projet'!$A$243:$I$263,5,0)*VLOOKUP('Données projet'!$B$17,'Paramètres'!$A$1:$I$89,7,0))</f>
        <v>0</v>
      </c>
      <c r="GJ8" s="135">
        <f>IF(ISNA(VLOOKUP(A8,'Données projet'!$A$243:$I$263,6,0)),0%,VLOOKUP(A8,'Données projet'!$A$243:$I$263,6,0)*VLOOKUP('Données projet'!$B$17,'Paramètres'!$A$1:$I$89,7,0))</f>
        <v>0</v>
      </c>
      <c r="GK8" s="135">
        <f>IF(ISNA(VLOOKUP(A8,'Données projet'!$A$243:$I$263,7,0)),0%,VLOOKUP(A8,'Données projet'!$A$243:$I$263,7,0))</f>
        <v>0</v>
      </c>
      <c r="GL8" s="142">
        <f>EXP(-LN(2)/35)*GL7+(1-EXP(-LN(2)/35))/(LN(2)/35)*GH8*GI8*VLOOKUP('Données projet'!$B$17,'Paramètres'!$A$1:$I$89,3,0)*0.475*44/12</f>
        <v>0</v>
      </c>
      <c r="GM8" s="142">
        <f>EXP(-LN(2)/25)*GM7+(1-EXP(-LN(2)/25))/(LN(2)/25)*Calculateur!GH8*Calculateur!GJ8*VLOOKUP('Données projet'!$B$17,'Paramètres'!$A$1:$I$89,3,0)*0.475*44/12</f>
        <v>0</v>
      </c>
      <c r="GN8" s="142">
        <f>EXP(-LN(2)/2)*GN7+(1-EXP(-LN(2)/2))/(LN(2)/2)*GH8*GK8*VLOOKUP('Données projet'!$B$17,'Paramètres'!$A$1:$I$89,3,0)*0.475*44/12</f>
        <v>0</v>
      </c>
      <c r="GO8" s="142">
        <f t="shared" si="28"/>
        <v>0</v>
      </c>
      <c r="GP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1" t="str">
        <f>VLOOKUP(A8,'Données projet'!$A$269:$I$289,2,0)</f>
        <v>#N/A</v>
      </c>
      <c r="GS8" s="131" t="str">
        <f>VLOOKUP(A8,'Données projet'!$A$269:$I$289,9,0)</f>
        <v>#N/A</v>
      </c>
      <c r="GT8" s="130">
        <f t="array" ref="GT8">INDEX(GS:GS,MIN(IF(ISNUMBER(GS8:GS204),ROW(GS8:GS204),"")))</f>
        <v>1.2</v>
      </c>
      <c r="GU8" s="131">
        <f>IF('Données projet'!$A$270&gt;35,GU7+GT8-HC7,IF(A8&lt;'Données projet'!$A$270,$GR$205^A8,IF(A8='Données projet'!$A$270,'Données projet'!$B$270,GU7+GT8-HC7)))</f>
        <v>1.974350486</v>
      </c>
      <c r="GV8" s="138">
        <f>GU8*VLOOKUP('Données projet'!$B$18,'Paramètres'!$A$1:$I$89,3,0)*VLOOKUP('Données projet'!$B$18,'Paramètres'!$A$1:$I$89,5,0)</f>
        <v>2.125190863</v>
      </c>
      <c r="GW8" s="130">
        <f t="shared" si="52"/>
        <v>0.8971000579</v>
      </c>
      <c r="GX8" s="141">
        <f t="shared" si="29"/>
        <v>5.263823354</v>
      </c>
      <c r="GY8" s="133">
        <f t="shared" si="30"/>
        <v>298.5971567</v>
      </c>
      <c r="GZ8" s="133">
        <f>AVERAGE(OFFSET($GY$3,0,0,'Données projet'!$E$18+1,1))-AVERAGE(OFFSET($H$3,0,0,'Données projet'!$E$18+1,1))</f>
        <v>100.5427875</v>
      </c>
      <c r="HA8" s="133">
        <f t="shared" si="53"/>
        <v>92.28663609</v>
      </c>
      <c r="HB8" s="134">
        <f>IF(ISNA(VLOOKUP(A8,'Données projet'!$A$269:$I$289,3,0)),0,VLOOKUP(A8,'Données projet'!$A$269:$I$289,3,0))</f>
        <v>0</v>
      </c>
      <c r="HC8" s="134">
        <f>IF(ISNA(VLOOKUP(A8,'Données projet'!$A$269:$I$289,4,0)),0,VLOOKUP(A8,'Données projet'!$A$269:$I$289,4,0))</f>
        <v>0</v>
      </c>
      <c r="HD8" s="135">
        <f>IF(ISNA(VLOOKUP(A8,'Données projet'!$A$269:$I$289,5,0)),0%,VLOOKUP(A8,'Données projet'!$A$269:$I$289,5,0)*VLOOKUP('Données projet'!$B$18,'Paramètres'!$A$1:$I$89,7,0))</f>
        <v>0</v>
      </c>
      <c r="HE8" s="135">
        <f>IF(ISNA(VLOOKUP(A8,'Données projet'!$A$269:$I$289,6,0)),0%,VLOOKUP(A8,'Données projet'!$A$269:$I$289,6,0)*VLOOKUP('Données projet'!$B$18,'Paramètres'!$A$1:$I$89,7,0))</f>
        <v>0</v>
      </c>
      <c r="HF8" s="135">
        <f>IF(ISNA(VLOOKUP(A8,'Données projet'!$A$269:$I$289,7,0)),0%,VLOOKUP(A8,'Données projet'!$A$269:$I$289,7,0))</f>
        <v>0</v>
      </c>
      <c r="HG8" s="142">
        <f>EXP(-LN(2)/35)*HG7+(1-EXP(-LN(2)/35))/(LN(2)/35)*HC8*HD8*VLOOKUP('Données projet'!$B$18,'Paramètres'!$A$1:$I$89,3,0)*0.475*44/12</f>
        <v>0</v>
      </c>
      <c r="HH8" s="142">
        <f>EXP(-LN(2)/25)*HH7+(1-EXP(-LN(2)/25))/(LN(2)/25)*Calculateur!HC8*Calculateur!HE8*VLOOKUP('Données projet'!$B$18,'Paramètres'!$A$1:$I$89,3,0)*0.475*44/12</f>
        <v>0</v>
      </c>
      <c r="HI8" s="142">
        <f>EXP(-LN(2)/2)*HI7+(1-EXP(-LN(2)/2))/(LN(2)/2)*HC8*HF8*VLOOKUP('Données projet'!$B$18,'Paramètres'!$A$1:$I$89,3,0)*0.475*44/12</f>
        <v>0</v>
      </c>
      <c r="HJ8" s="143">
        <f t="shared" si="31"/>
        <v>0</v>
      </c>
    </row>
    <row r="9">
      <c r="A9" s="125">
        <f t="shared" si="32"/>
        <v>6</v>
      </c>
      <c r="B9" s="126">
        <f>'Scénario référence'!$B$16*5+'Scénario référence'!$B$17*0+'Scénario référence'!$B$18*5</f>
        <v>0</v>
      </c>
      <c r="C9" s="140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3.276</v>
      </c>
      <c r="D9" s="127">
        <f t="shared" si="33"/>
        <v>1.314952087</v>
      </c>
      <c r="E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7">
        <f>IF(OR('Scénario référence'!$F$8&gt;0,'Scénario référence'!$F$9&gt;0),('Scénario référence'!$F$8+'Scénario référence'!$F$9)*10,0)</f>
        <v>10</v>
      </c>
      <c r="G9" s="127">
        <f>'Scénario référence'!$B$8*B9*44/12+'Scénario référence'!$B$9*(C9+D9)/0.475*44/12+'Scénario référence'!$B$10*(C9+D9)/0.475*44/12+'Scénario référence'!$F$8*(C9+D9)/0.475*44/12+'Scénario référence'!$F$9*(C9+D9)/0.475*44/12</f>
        <v>35.43892839</v>
      </c>
      <c r="H9" s="128">
        <f t="shared" si="1"/>
        <v>301.3292416</v>
      </c>
      <c r="I9" s="12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0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1" t="str">
        <f>VLOOKUP(A9,'Données projet'!$A$35:$I$55,2,0)</f>
        <v>#N/A</v>
      </c>
      <c r="L9" s="131" t="str">
        <f>VLOOKUP(A9,'Données projet'!$A$35:$I$55,9,0)</f>
        <v>#N/A</v>
      </c>
      <c r="M9" s="131">
        <f t="array" ref="M9">INDEX(L:L,MIN(IF(ISNUMBER(L9:L205),ROW(L9:L205),"")))</f>
        <v>3.92</v>
      </c>
      <c r="N9" s="130">
        <f>IF('Données projet'!$A$36&gt;35,N8+M9-V8,IF(A9&lt;'Données projet'!$A$36,$K$205^A9,IF(A9='Données projet'!$A$36,'Données projet'!$B$36,N8+M9-V8)))</f>
        <v>3.005344474</v>
      </c>
      <c r="O9" s="130">
        <f>N9*VLOOKUP('Données projet'!$B$9,'Paramètres'!$A$1:$I$89,3,0)*VLOOKUP('Données projet'!$B$9,'Paramètres'!$A$1:$I$89,5,0)</f>
        <v>1.719057039</v>
      </c>
      <c r="P9" s="130">
        <f t="shared" si="34"/>
        <v>0.7437972399</v>
      </c>
      <c r="Q9" s="141">
        <f t="shared" si="2"/>
        <v>4.289471202</v>
      </c>
      <c r="R9" s="133">
        <f t="shared" si="3"/>
        <v>297.6228045</v>
      </c>
      <c r="S9" s="133">
        <f>AVERAGE(OFFSET($R$3,0,0,'Données projet'!$E$9+1,1))-AVERAGE(OFFSET($H$3,0,0,'Données projet'!$E$9+1,1))</f>
        <v>126.9946492</v>
      </c>
      <c r="T9" s="133">
        <f t="shared" si="35"/>
        <v>140.039049</v>
      </c>
      <c r="U9" s="134">
        <f>IF(ISNA(VLOOKUP(A9,'Données projet'!$A$35:$I$55,3,0)),0,VLOOKUP(A9,'Données projet'!$A$35:$I$55,3,0))</f>
        <v>0</v>
      </c>
      <c r="V9" s="134">
        <f>IF(ISNA(VLOOKUP(A9,'Données projet'!$A$35:$I$55,4,0)),0,VLOOKUP(A9,'Données projet'!$A$35:$I$55,4,0))</f>
        <v>0</v>
      </c>
      <c r="W9" s="135">
        <f>IF(ISNA(VLOOKUP(A9,'Données projet'!$A$35:$I$55,5,0)),0%,VLOOKUP(A9,'Données projet'!$A$35:$I$55,5,0)*VLOOKUP('Données projet'!$B$9,'Paramètres'!$A$1:$I$89,7,0))</f>
        <v>0</v>
      </c>
      <c r="X9" s="135">
        <f>IF(ISNA(VLOOKUP(A9,'Données projet'!$A$35:$I$55,6,0)),0%,VLOOKUP(A9,'Données projet'!$A$35:$I$55,6,0)*VLOOKUP('Données projet'!$B$9,'Paramètres'!$A$1:$I$89,7,0))</f>
        <v>0</v>
      </c>
      <c r="Y9" s="135">
        <f>IF(ISNA(VLOOKUP(A9,'Données projet'!$A$35:$I$55,7,0)),0%,VLOOKUP(A9,'Données projet'!$A$35:$I$55,7,0))</f>
        <v>0</v>
      </c>
      <c r="Z9" s="142">
        <f>EXP(-LN(2)/35)*Z8+(1-EXP(-LN(2)/35))/(LN(2)/35)*V9*W9*VLOOKUP('Données projet'!$B$9,'Paramètres'!$A$1:$I$89,3,0)*0.475*44/12</f>
        <v>0</v>
      </c>
      <c r="AA9" s="142">
        <f>EXP(-LN(2)/25)*AA8+(1-EXP(-LN(2)/25))/(LN(2)/25)*Calculateur!V9*Calculateur!X9*VLOOKUP('Données projet'!$B$9,'Paramètres'!$A$1:$I$89,3,0)*0.475*44/12</f>
        <v>0</v>
      </c>
      <c r="AB9" s="142">
        <f>EXP(-LN(2)/2)*AB8+(1-EXP(-LN(2)/2))/(LN(2)/2)*V9*Y9*VLOOKUP('Données projet'!$B$9,'Paramètres'!$A$1:$I$89,3,0)*0.475*44/12</f>
        <v>0</v>
      </c>
      <c r="AC9" s="143">
        <f t="shared" si="4"/>
        <v>0</v>
      </c>
      <c r="AD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0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1" t="str">
        <f>VLOOKUP(A9,'Données projet'!$A$61:$I$81,2,0)</f>
        <v>#N/A</v>
      </c>
      <c r="AG9" s="131" t="str">
        <f>VLOOKUP(A9,'Données projet'!$A$61:$I$81,9,0)</f>
        <v>#N/A</v>
      </c>
      <c r="AH9" s="130">
        <f t="array" ref="AH9">INDEX(AG:AG,MIN(IF(ISNUMBER(AG9:AG205),ROW(AG9:AG205),"")))</f>
        <v>5.590909091</v>
      </c>
      <c r="AI9" s="130">
        <f>IF('Données projet'!$A$62&gt;35,AI8+AH9-AQ8,IF(A9&lt;'Données projet'!$A$62,$AF$205^A9,IF(A9='Données projet'!$A$62,'Données projet'!$B$62,AI8+AH9-AQ8)))</f>
        <v>3.715130908</v>
      </c>
      <c r="AJ9" s="130">
        <f>AI9*VLOOKUP('Données projet'!$B$10,'Paramètres'!$A$1:$I$89,3,0)*VLOOKUP('Données projet'!$B$10,'Paramètres'!$A$1:$I$89,5,0)</f>
        <v>2.221648283</v>
      </c>
      <c r="AK9" s="130">
        <f t="shared" si="36"/>
        <v>0.9329843623</v>
      </c>
      <c r="AL9" s="141">
        <f t="shared" si="5"/>
        <v>5.494318523</v>
      </c>
      <c r="AM9" s="133">
        <f t="shared" si="6"/>
        <v>298.8276519</v>
      </c>
      <c r="AN9" s="133">
        <f>AVERAGE(OFFSET($AM$3,0,0,'Données projet'!$E$10+1,1))-AVERAGE(OFFSET($H$3,0,0,'Données projet'!$E$10+1,1))</f>
        <v>196.874484</v>
      </c>
      <c r="AO9" s="133">
        <f t="shared" si="37"/>
        <v>217.5750859</v>
      </c>
      <c r="AP9" s="134">
        <f>IF(ISNA(VLOOKUP(A9,'Données projet'!$A$61:$I$81,3,0)),0,VLOOKUP(A9,'Données projet'!$A$61:$I$81,3,0))</f>
        <v>0</v>
      </c>
      <c r="AQ9" s="134">
        <f>IF(ISNA(VLOOKUP(A9,'Données projet'!$A$61:$I$81,4,0)),0,VLOOKUP(A9,'Données projet'!$A$61:$I$81,4,0))</f>
        <v>0</v>
      </c>
      <c r="AR9" s="135">
        <f>IF(ISNA(VLOOKUP(A9,'Données projet'!$A$61:$I$81,5,0)),0%,VLOOKUP(A9,'Données projet'!$A$61:$I$81,5,0)*VLOOKUP('Données projet'!$B$10,'Paramètres'!$A$1:$I$89,7,0))</f>
        <v>0</v>
      </c>
      <c r="AS9" s="135">
        <f>IF(ISNA(VLOOKUP(A9,'Données projet'!$A$61:$I$81,6,0)),0%,VLOOKUP(A9,'Données projet'!$A$61:$I$81,6,0)*VLOOKUP('Données projet'!$B$10,'Paramètres'!$A$1:$I$89,7,0))</f>
        <v>0</v>
      </c>
      <c r="AT9" s="135">
        <f>IF(ISNA(VLOOKUP(A9,'Données projet'!$A$61:$I$81,7,0)),0%,VLOOKUP(A9,'Données projet'!$A$61:$I$81,7,0))</f>
        <v>0</v>
      </c>
      <c r="AU9" s="142">
        <f>EXP(-LN(2)/35)*AU8+(1-EXP(-LN(2)/35))/(LN(2)/35)*AQ9*AR9*VLOOKUP('Données projet'!$B$10,'Paramètres'!$A$1:$I$89,3,0)*0.475*44/12</f>
        <v>0</v>
      </c>
      <c r="AV9" s="142">
        <f>EXP(-LN(2)/25)*AV8+(1-EXP(-LN(2)/25))/(LN(2)/25)*Calculateur!AQ9*Calculateur!AS9*VLOOKUP('Données projet'!$B$10,'Paramètres'!$A$1:$I$89,3,0)*0.475*44/12</f>
        <v>0</v>
      </c>
      <c r="AW9" s="142">
        <f>EXP(-LN(2)/2)*AW8+(1-EXP(-LN(2)/2))/(LN(2)/2)*AQ9*AT9*VLOOKUP('Données projet'!$B$10,'Paramètres'!$A$1:$I$89,3,0)*0.475*44/12</f>
        <v>0</v>
      </c>
      <c r="AX9" s="142">
        <f t="shared" si="7"/>
        <v>0</v>
      </c>
      <c r="AY9" s="13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1" t="str">
        <f>VLOOKUP(A9,'Données projet'!$A$87:$I$107,2,0)</f>
        <v>#N/A</v>
      </c>
      <c r="BB9" s="131" t="str">
        <f>VLOOKUP(A9,'Données projet'!$A$87:$I$107,9,0)</f>
        <v>#N/A</v>
      </c>
      <c r="BC9" s="130">
        <f t="array" ref="BC9">INDEX(BB:BB,MIN(IF(ISNUMBER(BB9:BB205),ROW(BB9:BB205),"")))</f>
        <v>4.666666667</v>
      </c>
      <c r="BD9" s="131">
        <f>IF('Données projet'!$A$88&gt;35,BD8+BC9-BL8,IF(A9&lt;'Données projet'!$A$88,$BA$205^A9,IF(A9='Données projet'!$A$88,'Données projet'!$B$88,BD8+BC9-BL8)))</f>
        <v>2.68673979</v>
      </c>
      <c r="BE9" s="130">
        <f>BD9*VLOOKUP('Données projet'!$B$11,'Paramètres'!$A$1:$I$89,3,0)*VLOOKUP('Données projet'!$B$11,'Paramètres'!$A$1:$I$89,5,0)</f>
        <v>1.257394222</v>
      </c>
      <c r="BF9" s="130">
        <f t="shared" si="38"/>
        <v>0.5642155445</v>
      </c>
      <c r="BG9" s="141">
        <f t="shared" si="8"/>
        <v>3.172637009</v>
      </c>
      <c r="BH9" s="133">
        <f t="shared" si="9"/>
        <v>296.5059703</v>
      </c>
      <c r="BI9" s="133">
        <f>AVERAGE(OFFSET($BH$3,0,0,'Données projet'!$E$11+1,1))-AVERAGE(OFFSET($H$3,0,0,'Données projet'!$E$11+1,1))</f>
        <v>134.0948534</v>
      </c>
      <c r="BJ9" s="133">
        <f t="shared" si="39"/>
        <v>108.4102536</v>
      </c>
      <c r="BK9" s="134">
        <f>IF(ISNA(VLOOKUP(A9,'Données projet'!$A$87:$I$107,3,0)),0,VLOOKUP(A9,'Données projet'!$A$87:$I$107,3,0))</f>
        <v>0</v>
      </c>
      <c r="BL9" s="134">
        <f>IF(ISNA(VLOOKUP(A9,'Données projet'!$A$87:$I$107,4,0)),0,VLOOKUP(A9,'Données projet'!$A$87:$I$107,4,0))</f>
        <v>0</v>
      </c>
      <c r="BM9" s="135">
        <f>IF(ISNA(VLOOKUP(A9,'Données projet'!$A$87:$I$107,5,0)),0%,VLOOKUP(A9,'Données projet'!$A$87:$I$107,5,0)*VLOOKUP('Données projet'!$B$11,'Paramètres'!$A$1:$I$89,7,0))</f>
        <v>0</v>
      </c>
      <c r="BN9" s="135">
        <f>IF(ISNA(VLOOKUP(A9,'Données projet'!$A$87:$I$107,6,0)),0%,VLOOKUP(A9,'Données projet'!$A$87:$I$107,6,0)*VLOOKUP('Données projet'!$B$11,'Paramètres'!$A$1:$I$89,7,0))</f>
        <v>0</v>
      </c>
      <c r="BO9" s="135">
        <f>IF(ISNA(VLOOKUP(A9,'Données projet'!$A$87:$I$107,7,0)),0%,VLOOKUP(A9,'Données projet'!$A$87:$I$107,7,0))</f>
        <v>0</v>
      </c>
      <c r="BP9" s="142">
        <f>EXP(-LN(2)/35)*BP8+(1-EXP(-LN(2)/35))/(LN(2)/35)*BL9*BM9*VLOOKUP('Données projet'!$B$11,'Paramètres'!$A$1:$I$89,3,0)*0.475*44/12</f>
        <v>0</v>
      </c>
      <c r="BQ9" s="142">
        <f>EXP(-LN(2)/25)*BQ8+(1-EXP(-LN(2)/25))/(LN(2)/25)*Calculateur!BL9*Calculateur!BN9*VLOOKUP('Données projet'!$B$11,'Paramètres'!$A$1:$I$89,3,0)*0.475*44/12</f>
        <v>0</v>
      </c>
      <c r="BR9" s="142">
        <f>EXP(-LN(2)/2)*BR8+(1-EXP(-LN(2)/2))/(LN(2)/2)*BL9*BO9*VLOOKUP('Données projet'!$B$11,'Paramètres'!$A$1:$I$89,3,0)*0.475*44/12</f>
        <v>0</v>
      </c>
      <c r="BS9" s="143">
        <f t="shared" si="10"/>
        <v>0</v>
      </c>
      <c r="BT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1" t="str">
        <f>VLOOKUP(A9,'Données projet'!$A$113:$I$133,2,0)</f>
        <v>#N/A</v>
      </c>
      <c r="BW9" s="131" t="str">
        <f>VLOOKUP(A9,'Données projet'!$A$113:$I$133,9,0)</f>
        <v>#N/A</v>
      </c>
      <c r="BX9" s="130">
        <f t="array" ref="BX9">INDEX(BW:BW,MIN(IF(ISNUMBER(BW9:BW205),ROW(BW9:BW205),"")))</f>
        <v>1.866666667</v>
      </c>
      <c r="BY9" s="131">
        <f>IF('Données projet'!$A$114&gt;35,BY8+BX9-CG8,IF(A9&lt;'Données projet'!$A$114,$BV$205^A9,IF(A9='Données projet'!$A$114,'Données projet'!$B$114,BY8+BX9-CG8)))</f>
        <v>3.791955329</v>
      </c>
      <c r="BZ9" s="130">
        <f>BY9*VLOOKUP('Données projet'!$B$12,'Paramètres'!$A$1:$I$89,3,0)*VLOOKUP('Données projet'!$B$12,'Paramètres'!$A$1:$I$89,5,0)</f>
        <v>1.873225933</v>
      </c>
      <c r="CA9" s="130">
        <f t="shared" si="40"/>
        <v>0.8024402999</v>
      </c>
      <c r="CB9" s="141">
        <f t="shared" si="11"/>
        <v>4.660118688</v>
      </c>
      <c r="CC9" s="133">
        <f t="shared" si="12"/>
        <v>297.993452</v>
      </c>
      <c r="CD9" s="133">
        <f>AVERAGE(OFFSET($CC$3,0,0,'Données projet'!$E$12+1,1))-AVERAGE(OFFSET($H$3,0,0,'Données projet'!$E$12+1,1))</f>
        <v>258.1672054</v>
      </c>
      <c r="CE9" s="133">
        <f t="shared" si="41"/>
        <v>296.0724261</v>
      </c>
      <c r="CF9" s="134">
        <f>IF(ISNA(VLOOKUP(A9,'Données projet'!$A$113:$I$133,3,0)),0,VLOOKUP(A9,'Données projet'!$A$113:$I$133,3,0))</f>
        <v>0</v>
      </c>
      <c r="CG9" s="134">
        <f>IF(ISNA(VLOOKUP(A9,'Données projet'!$A$113:$I$133,4,0)),0,VLOOKUP(A9,'Données projet'!$A$113:$I$133,4,0))</f>
        <v>0</v>
      </c>
      <c r="CH9" s="135">
        <f>IF(ISNA(VLOOKUP(A9,'Données projet'!$A$113:$I$133,5,0)),0%,VLOOKUP(A9,'Données projet'!$A$113:$I$133,5,0)*VLOOKUP('Données projet'!$B$12,'Paramètres'!$A$1:$I$89,7,0))</f>
        <v>0</v>
      </c>
      <c r="CI9" s="135">
        <f>IF(ISNA(VLOOKUP(A9,'Données projet'!$A$113:$I$133,6,0)),0%,VLOOKUP(A9,'Données projet'!$A$113:$I$133,6,0)*VLOOKUP('Données projet'!$B$12,'Paramètres'!$A$1:$I$89,7,0))</f>
        <v>0</v>
      </c>
      <c r="CJ9" s="135">
        <f>IF(ISNA(VLOOKUP(A9,'Données projet'!$A$113:$I$133,7,0)),0%,VLOOKUP(A9,'Données projet'!$A$113:$I$133,7,0))</f>
        <v>0</v>
      </c>
      <c r="CK9" s="142">
        <f>EXP(-LN(2)/35)*CK8+(1-EXP(-LN(2)/35))/(LN(2)/35)*CG9*CH9*VLOOKUP('Données projet'!$B$12,'Paramètres'!$A$1:$I$89,3,0)*0.475*44/12</f>
        <v>0</v>
      </c>
      <c r="CL9" s="142">
        <f>EXP(-LN(2)/25)*CL8+(1-EXP(-LN(2)/25))/(LN(2)/25)*Calculateur!CG9*Calculateur!CI9*VLOOKUP('Données projet'!$B$12,'Paramètres'!$A$1:$I$89,3,0)*0.475*44/12</f>
        <v>0</v>
      </c>
      <c r="CM9" s="142">
        <f>EXP(-LN(2)/2)*CM8+(1-EXP(-LN(2)/2))/(LN(2)/2)*CG9*CJ9*VLOOKUP('Données projet'!$B$12,'Paramètres'!$A$1:$I$89,3,0)*0.475*44/12</f>
        <v>0</v>
      </c>
      <c r="CN9" s="143">
        <f t="shared" si="13"/>
        <v>0</v>
      </c>
      <c r="CO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1" t="str">
        <f>VLOOKUP(A9,'Données projet'!$A$139:$I$159,2,0)</f>
        <v>#N/A</v>
      </c>
      <c r="CR9" s="131" t="str">
        <f>VLOOKUP(A9,'Données projet'!$A$139:$I$159,9,0)</f>
        <v>#N/A</v>
      </c>
      <c r="CS9" s="130">
        <f t="array" ref="CS9">INDEX(CR:CR,MIN(IF(ISNUMBER(CR9:CR205),ROW(CR9:CR205),"")))</f>
        <v>1.2</v>
      </c>
      <c r="CT9" s="131">
        <f>IF('Données projet'!$A$140&gt;35,CT8+CS9-DB8,IF(A9&lt;'Données projet'!$A$140,$CQ$205^A9,IF(A9='Données projet'!$A$140,'Données projet'!$B$140,CT8+CS9-DB8)))</f>
        <v>2.262085944</v>
      </c>
      <c r="CU9" s="138">
        <f>CT9*VLOOKUP('Données projet'!$B$13,'Paramètres'!$A$1:$I$89,3,0)*VLOOKUP('Données projet'!$B$13,'Paramètres'!$A$1:$I$89,5,0)</f>
        <v>2.293755147</v>
      </c>
      <c r="CV9" s="130">
        <f t="shared" si="42"/>
        <v>0.9596910479</v>
      </c>
      <c r="CW9" s="141">
        <f t="shared" si="14"/>
        <v>5.66641879</v>
      </c>
      <c r="CX9" s="133">
        <f t="shared" si="15"/>
        <v>298.9997521</v>
      </c>
      <c r="CY9" s="133">
        <f>AVERAGE(OFFSET($CX$3,0,0,'Données projet'!$E$13+1,1))-AVERAGE(OFFSET($H$3,0,0,'Données projet'!$E$13+1,1))</f>
        <v>223.783507</v>
      </c>
      <c r="CZ9" s="133">
        <f t="shared" si="43"/>
        <v>84.92349117</v>
      </c>
      <c r="DA9" s="134">
        <f>IF(ISNA(VLOOKUP(A9,'Données projet'!$A$139:$I$159,3,0)),0,VLOOKUP(A9,'Données projet'!$A$139:$I$159,3,0))</f>
        <v>0</v>
      </c>
      <c r="DB9" s="134">
        <f>IF(ISNA(VLOOKUP(A9,'Données projet'!$A$139:$I$159,4,0)),0,VLOOKUP(A9,'Données projet'!$A$139:$I$159,4,0))</f>
        <v>0</v>
      </c>
      <c r="DC9" s="135">
        <f>IF(ISNA(VLOOKUP(A9,'Données projet'!$A$139:$I$159,5,0)),0%,VLOOKUP(A9,'Données projet'!$A$139:$I$159,5,0)*VLOOKUP('Données projet'!$B$13,'Paramètres'!$A$1:$I$89,7,0))</f>
        <v>0</v>
      </c>
      <c r="DD9" s="135">
        <f>IF(ISNA(VLOOKUP(A9,'Données projet'!$A$139:$I$159,6,0)),0%,VLOOKUP(A9,'Données projet'!$A$139:$I$159,6,0)*VLOOKUP('Données projet'!$B$13,'Paramètres'!$A$1:$I$89,7,0))</f>
        <v>0</v>
      </c>
      <c r="DE9" s="135">
        <f>IF(ISNA(VLOOKUP(A9,'Données projet'!$A$139:$I$159,7,0)),0%,VLOOKUP(A9,'Données projet'!$A$139:$I$159,7,0))</f>
        <v>0</v>
      </c>
      <c r="DF9" s="142">
        <f>EXP(-LN(2)/35)*DF8+(1-EXP(-LN(2)/35))/(LN(2)/35)*DB9*DC9*VLOOKUP('Données projet'!$B$13,'Paramètres'!$A$1:$I$89,3,0)*0.475*44/12</f>
        <v>0</v>
      </c>
      <c r="DG9" s="142">
        <f>EXP(-LN(2)/25)*DG8+(1-EXP(-LN(2)/25))/(LN(2)/25)*Calculateur!DB9*Calculateur!DD9*VLOOKUP('Données projet'!$B$13,'Paramètres'!$A$1:$I$89,3,0)*0.475*44/12</f>
        <v>0</v>
      </c>
      <c r="DH9" s="142">
        <f>EXP(-LN(2)/2)*DH8+(1-EXP(-LN(2)/2))/(LN(2)/2)*DB9*DE9*VLOOKUP('Données projet'!$B$13,'Paramètres'!$A$1:$I$89,3,0)*0.475*44/12</f>
        <v>0</v>
      </c>
      <c r="DI9" s="143">
        <f t="shared" si="16"/>
        <v>0</v>
      </c>
      <c r="DJ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1" t="str">
        <f>VLOOKUP(A9,'Données projet'!$A$165:$I$185,2,0)</f>
        <v>#N/A</v>
      </c>
      <c r="DM9" s="131" t="str">
        <f>VLOOKUP(A9,'Données projet'!$A$165:$I$185,9,0)</f>
        <v>#N/A</v>
      </c>
      <c r="DN9" s="131">
        <f t="array" ref="DN9">INDEX(DM:DM,MIN(IF(ISNUMBER(DM9:DM205),ROW(DM9:DM205),"")))</f>
        <v>2.1</v>
      </c>
      <c r="DO9" s="131">
        <f>IF('Données projet'!$A$166&gt;35,DO8+DN9-DW8,IF(A9&lt;'Données projet'!$A$166,$DL$205^A9,IF(A9='Données projet'!$A$166,'Données projet'!$B$166,DO8+DN9-DW8)))</f>
        <v>3.068843822</v>
      </c>
      <c r="DP9" s="138">
        <f>DO9*VLOOKUP('Données projet'!$B$14,'Paramètres'!$A$1:$I$89,3,0)*VLOOKUP('Données projet'!$B$14,'Paramètres'!$A$1:$I$89,5,0)</f>
        <v>2.77668989</v>
      </c>
      <c r="DQ9" s="130">
        <f t="shared" si="44"/>
        <v>1.136194956</v>
      </c>
      <c r="DR9" s="141">
        <f t="shared" si="17"/>
        <v>6.814941107</v>
      </c>
      <c r="DS9" s="133">
        <f t="shared" si="18"/>
        <v>300.1482744</v>
      </c>
      <c r="DT9" s="133">
        <f>AVERAGE(OFFSET($DS$3,0,0,'Données projet'!$E$14+1,1))-AVERAGE(OFFSET($H$3,0,0,'Données projet'!$E$14+1,1))</f>
        <v>287.9334714</v>
      </c>
      <c r="DU9" s="133">
        <f t="shared" si="45"/>
        <v>156.6796502</v>
      </c>
      <c r="DV9" s="134">
        <f>IF(ISNA(VLOOKUP(A9,'Données projet'!$A$165:$I$185,3,0)),0,VLOOKUP(A9,'Données projet'!$A$165:$I$185,3,0))</f>
        <v>0</v>
      </c>
      <c r="DW9" s="134">
        <f>IF(ISNA(VLOOKUP(A9,'Données projet'!$A$165:$I$185,4,0)),0,VLOOKUP(A9,'Données projet'!$A$165:$I$185,4,0))</f>
        <v>0</v>
      </c>
      <c r="DX9" s="135">
        <f>IF(ISNA(VLOOKUP(A9,'Données projet'!$A$165:$I$185,5,0)),0%,VLOOKUP(A9,'Données projet'!$A$165:$I$185,5,0)*VLOOKUP('Données projet'!$B$14,'Paramètres'!$A$1:$I$89,7,0))</f>
        <v>0</v>
      </c>
      <c r="DY9" s="135">
        <f>IF(ISNA(VLOOKUP(A9,'Données projet'!$A$165:$I$185,6,0)),0%,VLOOKUP(A9,'Données projet'!$A$165:$I$185,6,0)*VLOOKUP('Données projet'!$B$14,'Paramètres'!$A$1:$I$89,7,0))</f>
        <v>0</v>
      </c>
      <c r="DZ9" s="135">
        <f>IF(ISNA(VLOOKUP(A9,'Données projet'!$A$165:$I$185,7,0)),0%,VLOOKUP(A9,'Données projet'!$A$165:$I$185,7,0))</f>
        <v>0</v>
      </c>
      <c r="EA9" s="142">
        <f>EXP(-LN(2)/35)*EA8+(1-EXP(-LN(2)/35))/(LN(2)/35)*DW9*DX9*VLOOKUP('Données projet'!$B$14,'Paramètres'!$A$1:$I$89,3,0)*0.475*44/12</f>
        <v>0</v>
      </c>
      <c r="EB9" s="142">
        <f>EXP(-LN(2)/25)*EB8+(1-EXP(-LN(2)/25))/(LN(2)/25)*Calculateur!DW9*Calculateur!DY9*VLOOKUP('Données projet'!$B$14,'Paramètres'!$A$1:$I$89,3,0)*0.475*44/12</f>
        <v>0</v>
      </c>
      <c r="EC9" s="142">
        <f>EXP(-LN(2)/2)*EC8+(1-EXP(-LN(2)/2))/(LN(2)/2)*DW9*DZ9*VLOOKUP('Données projet'!$B$14,'Paramètres'!$A$1:$I$89,3,0)*0.475*44/12</f>
        <v>0</v>
      </c>
      <c r="ED9" s="143">
        <f t="shared" si="19"/>
        <v>0</v>
      </c>
      <c r="EE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1" t="str">
        <f>VLOOKUP(A9,'Données projet'!$A$191:$I$211,2,0)</f>
        <v>#N/A</v>
      </c>
      <c r="EH9" s="131" t="str">
        <f>VLOOKUP(A9,'Données projet'!$A$191:$I$211,9,0)</f>
        <v>#N/A</v>
      </c>
      <c r="EI9" s="131">
        <f t="array" ref="EI9">INDEX(EH:EH,MIN(IF(ISNUMBER(EH9:EH205),ROW(EH9:EH205),"")))</f>
        <v>1.6</v>
      </c>
      <c r="EJ9" s="131">
        <f>IF('Données projet'!$A$192&gt;35,EJ8+EI9-ER8,IF(A9&lt;'Données projet'!$A$192,$EG$205^A9,IF(A9='Données projet'!$A$192,'Données projet'!$B$192,EJ8+EI9-ER8)))</f>
        <v>2.423786699</v>
      </c>
      <c r="EK9" s="138">
        <f>EJ9*VLOOKUP('Données projet'!$B$15,'Paramètres'!$A$1:$I$89,3,0)*VLOOKUP('Données projet'!$B$15,'Paramètres'!$A$1:$I$89,5,0)</f>
        <v>1.777120408</v>
      </c>
      <c r="EL9" s="130">
        <f t="shared" si="46"/>
        <v>0.7659525692</v>
      </c>
      <c r="EM9" s="141">
        <f t="shared" si="20"/>
        <v>4.429185435</v>
      </c>
      <c r="EN9" s="133">
        <f t="shared" si="21"/>
        <v>297.7625188</v>
      </c>
      <c r="EO9" s="133">
        <f>AVERAGE(OFFSET($EN$3,0,0,'Données projet'!$E$15+1,1))-AVERAGE(OFFSET($H$3,0,0,'Données projet'!$E$15+1,1))</f>
        <v>130.3193339</v>
      </c>
      <c r="EP9" s="133">
        <f t="shared" si="47"/>
        <v>82.22784365</v>
      </c>
      <c r="EQ9" s="134">
        <f>IF(ISNA(VLOOKUP(A9,'Données projet'!$A$191:$I$211,3,0)),0,VLOOKUP(A9,'Données projet'!$A$191:$I$211,3,0))</f>
        <v>0</v>
      </c>
      <c r="ER9" s="134">
        <f>IF(ISNA(VLOOKUP(A9,'Données projet'!$A$191:$I$211,4,0)),0,VLOOKUP(A9,'Données projet'!$A$191:$I$211,4,0))</f>
        <v>0</v>
      </c>
      <c r="ES9" s="135">
        <f>IF(ISNA(VLOOKUP(A9,'Données projet'!$A$191:$I$211,5,0)),0%,VLOOKUP(A9,'Données projet'!$A$191:$I$211,5,0)*VLOOKUP('Données projet'!$B$15,'Paramètres'!$A$1:$I$89,7,0))</f>
        <v>0</v>
      </c>
      <c r="ET9" s="135">
        <f>IF(ISNA(VLOOKUP(A9,'Données projet'!$A$191:$I$211,6,0)),0%,VLOOKUP(A9,'Données projet'!$A$191:$I$211,6,0)*VLOOKUP('Données projet'!$B$15,'Paramètres'!$A$1:$I$89,7,0))</f>
        <v>0</v>
      </c>
      <c r="EU9" s="135">
        <f>IF(ISNA(VLOOKUP(A9,'Données projet'!$A$191:$I$211,7,0)),0%,VLOOKUP(A9,'Données projet'!$A$191:$I$211,7,0))</f>
        <v>0</v>
      </c>
      <c r="EV9" s="142">
        <f>EXP(-LN(2)/35)*EV8+(1-EXP(-LN(2)/35))/(LN(2)/35)*ER9*ES9*VLOOKUP('Données projet'!$B$15,'Paramètres'!$A$1:$I$89,3,0)*0.475*44/12</f>
        <v>0</v>
      </c>
      <c r="EW9" s="142">
        <f>EXP(-LN(2)/25)*EW8+(1-EXP(-LN(2)/25))/(LN(2)/25)*Calculateur!ER9*Calculateur!ET9*VLOOKUP('Données projet'!$B$15,'Paramètres'!$A$1:$I$89,3,0)*0.475*44/12</f>
        <v>0</v>
      </c>
      <c r="EX9" s="142">
        <f>EXP(-LN(2)/2)*EX8+(1-EXP(-LN(2)/2))/(LN(2)/2)*ER9*EU9*VLOOKUP('Données projet'!$B$15,'Paramètres'!$A$1:$I$89,3,0)*0.475*44/12</f>
        <v>0</v>
      </c>
      <c r="EY9" s="143">
        <f t="shared" si="22"/>
        <v>0</v>
      </c>
      <c r="EZ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1" t="str">
        <f>VLOOKUP(A9,'Données projet'!$A$217:$I$237,2,0)</f>
        <v>#N/A</v>
      </c>
      <c r="FC9" s="131" t="str">
        <f>VLOOKUP(A9,'Données projet'!$A$217:$I$237,9,0)</f>
        <v>#N/A</v>
      </c>
      <c r="FD9" s="130">
        <f t="array" ref="FD9">INDEX(FC:FC,MIN(IF(ISNUMBER(FC9:FC205),ROW(FC9:FC205),"")))</f>
        <v>7.533333333</v>
      </c>
      <c r="FE9" s="131">
        <f>IF('Données projet'!$A$218&gt;35,FE8+FD9-FM8,IF(A9&lt;'Données projet'!$A$218,$FB$205^A9,IF(A9='Données projet'!$A$218,'Données projet'!$B$218,FE8+FD9-FM8)))</f>
        <v>6.625694042</v>
      </c>
      <c r="FF9" s="138">
        <f>FE9*VLOOKUP('Données projet'!$B$16,'Paramètres'!$A$1:$I$89,3,0)*VLOOKUP('Données projet'!$B$16,'Paramètres'!$A$1:$I$89,5,0)</f>
        <v>5.994927969</v>
      </c>
      <c r="FG9" s="130">
        <f t="shared" si="48"/>
        <v>2.242859042</v>
      </c>
      <c r="FH9" s="141">
        <f t="shared" si="23"/>
        <v>14.34747905</v>
      </c>
      <c r="FI9" s="133">
        <f t="shared" si="24"/>
        <v>307.6808124</v>
      </c>
      <c r="FJ9" s="133">
        <f>AVERAGE(OFFSET($FI$3,0,0,'Données projet'!$E$16+1,1))-AVERAGE(OFFSET($H$3,0,0,'Données projet'!$E$16+1,1))</f>
        <v>305.6252353</v>
      </c>
      <c r="FK9" s="133">
        <f t="shared" si="49"/>
        <v>331.397916</v>
      </c>
      <c r="FL9" s="134">
        <f>IF(ISNA(VLOOKUP(A9,'Données projet'!$A$217:$I$237,3,0)),0,VLOOKUP(A9,'Données projet'!$A$217:$I$237,3,0))</f>
        <v>0</v>
      </c>
      <c r="FM9" s="134">
        <f>IF(ISNA(VLOOKUP(A9,'Données projet'!$A$217:$I$237,4,0)),0,VLOOKUP(A9,'Données projet'!$A$217:$I$237,4,0))</f>
        <v>0</v>
      </c>
      <c r="FN9" s="135">
        <f>IF(ISNA(VLOOKUP(A9,'Données projet'!$A$217:$I$237,5,0)),0%,VLOOKUP(A9,'Données projet'!$A$217:$I$237,5,0)*VLOOKUP('Données projet'!$B$16,'Paramètres'!$A$1:$I$89,7,0))</f>
        <v>0</v>
      </c>
      <c r="FO9" s="135">
        <f>IF(ISNA(VLOOKUP(A9,'Données projet'!$A$217:$I$237,6,0)),0%,VLOOKUP(A9,'Données projet'!$A$217:$I$237,6,0)*VLOOKUP('Données projet'!$B$16,'Paramètres'!$A$1:$I$89,7,0))</f>
        <v>0</v>
      </c>
      <c r="FP9" s="135">
        <f>IF(ISNA(VLOOKUP(A9,'Données projet'!$A$217:$I$237,7,0)),0%,VLOOKUP(A9,'Données projet'!$A$217:$I$237,7,0))</f>
        <v>0</v>
      </c>
      <c r="FQ9" s="142">
        <f>EXP(-LN(2)/35)*FQ8+(1-EXP(-LN(2)/35))/(LN(2)/35)*FM9*FN9*VLOOKUP('Données projet'!$B$16,'Paramètres'!$A$1:$I$89,3,0)*0.475*44/12</f>
        <v>0</v>
      </c>
      <c r="FR9" s="142">
        <f>EXP(-LN(2)/25)*FR8+(1-EXP(-LN(2)/25))/(LN(2)/25)*Calculateur!FM9*Calculateur!FO9*VLOOKUP('Données projet'!$B$16,'Paramètres'!$A$1:$I$89,3,0)*0.475*44/12</f>
        <v>0</v>
      </c>
      <c r="FS9" s="142">
        <f>EXP(-LN(2)/2)*FS8+(1-EXP(-LN(2)/2))/(LN(2)/2)*FM9*FP9*VLOOKUP('Données projet'!$B$16,'Paramètres'!$A$1:$I$89,3,0)*0.475*44/12</f>
        <v>0</v>
      </c>
      <c r="FT9" s="143">
        <f t="shared" si="25"/>
        <v>0</v>
      </c>
      <c r="FU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1" t="str">
        <f>VLOOKUP(A9,'Données projet'!$A$243:$I$263,2,0)</f>
        <v>#N/A</v>
      </c>
      <c r="FX9" s="131" t="str">
        <f>VLOOKUP(A9,'Données projet'!$A$243:$I$263,9,0)</f>
        <v>#N/A</v>
      </c>
      <c r="FY9" s="130">
        <f t="array" ref="FY9">INDEX(FX:FX,MIN(IF(ISNUMBER(FX9:FX205),ROW(FX9:FX205),"")))</f>
        <v>1.6</v>
      </c>
      <c r="FZ9" s="131">
        <f>IF('Données projet'!$A$244&gt;35,FZ8+FY9-GH8,IF(A9&lt;'Données projet'!$A$244,$FW$205^A9,IF(A9='Données projet'!$A$244,'Données projet'!$B$244,FZ8+FY9-GH8)))</f>
        <v>2.828427125</v>
      </c>
      <c r="GA9" s="138">
        <f>FZ9*VLOOKUP('Données projet'!$B$17,'Paramètres'!$A$1:$I$89,3,0)*VLOOKUP('Données projet'!$B$17,'Paramètres'!$A$1:$I$89,5,0)</f>
        <v>1.897308915</v>
      </c>
      <c r="GB9" s="130">
        <f t="shared" si="50"/>
        <v>0.8115491806</v>
      </c>
      <c r="GC9" s="141">
        <f t="shared" si="26"/>
        <v>4.71792785</v>
      </c>
      <c r="GD9" s="133">
        <f t="shared" si="27"/>
        <v>298.0512612</v>
      </c>
      <c r="GE9" s="133">
        <f>AVERAGE(OFFSET($GD$3,0,0,'Données projet'!$E$17+1,1))-AVERAGE(OFFSET($H$3,0,0,'Données projet'!$E$17+1,1))</f>
        <v>118.7368745</v>
      </c>
      <c r="GF9" s="133">
        <f t="shared" si="51"/>
        <v>135.1233677</v>
      </c>
      <c r="GG9" s="134">
        <f>IF(ISNA(VLOOKUP(A9,'Données projet'!$A$243:$I$263,3,0)),0,VLOOKUP(A9,'Données projet'!$A$243:$I$263,3,0))</f>
        <v>0</v>
      </c>
      <c r="GH9" s="134">
        <f>IF(ISNA(VLOOKUP(A9,'Données projet'!$A$243:$I$263,4,0)),0,VLOOKUP(A9,'Données projet'!$A$243:$I$263,4,0))</f>
        <v>0</v>
      </c>
      <c r="GI9" s="135">
        <f>IF(ISNA(VLOOKUP(A9,'Données projet'!$A$243:$I$263,5,0)),0%,VLOOKUP(A9,'Données projet'!$A$243:$I$263,5,0)*VLOOKUP('Données projet'!$B$17,'Paramètres'!$A$1:$I$89,7,0))</f>
        <v>0</v>
      </c>
      <c r="GJ9" s="135">
        <f>IF(ISNA(VLOOKUP(A9,'Données projet'!$A$243:$I$263,6,0)),0%,VLOOKUP(A9,'Données projet'!$A$243:$I$263,6,0)*VLOOKUP('Données projet'!$B$17,'Paramètres'!$A$1:$I$89,7,0))</f>
        <v>0</v>
      </c>
      <c r="GK9" s="135">
        <f>IF(ISNA(VLOOKUP(A9,'Données projet'!$A$243:$I$263,7,0)),0%,VLOOKUP(A9,'Données projet'!$A$243:$I$263,7,0))</f>
        <v>0</v>
      </c>
      <c r="GL9" s="142">
        <f>EXP(-LN(2)/35)*GL8+(1-EXP(-LN(2)/35))/(LN(2)/35)*GH9*GI9*VLOOKUP('Données projet'!$B$17,'Paramètres'!$A$1:$I$89,3,0)*0.475*44/12</f>
        <v>0</v>
      </c>
      <c r="GM9" s="142">
        <f>EXP(-LN(2)/25)*GM8+(1-EXP(-LN(2)/25))/(LN(2)/25)*Calculateur!GH9*Calculateur!GJ9*VLOOKUP('Données projet'!$B$17,'Paramètres'!$A$1:$I$89,3,0)*0.475*44/12</f>
        <v>0</v>
      </c>
      <c r="GN9" s="142">
        <f>EXP(-LN(2)/2)*GN8+(1-EXP(-LN(2)/2))/(LN(2)/2)*GH9*GK9*VLOOKUP('Données projet'!$B$17,'Paramètres'!$A$1:$I$89,3,0)*0.475*44/12</f>
        <v>0</v>
      </c>
      <c r="GO9" s="142">
        <f t="shared" si="28"/>
        <v>0</v>
      </c>
      <c r="GP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1" t="str">
        <f>VLOOKUP(A9,'Données projet'!$A$269:$I$289,2,0)</f>
        <v>#N/A</v>
      </c>
      <c r="GS9" s="131" t="str">
        <f>VLOOKUP(A9,'Données projet'!$A$269:$I$289,9,0)</f>
        <v>#N/A</v>
      </c>
      <c r="GT9" s="130">
        <f t="array" ref="GT9">INDEX(GS:GS,MIN(IF(ISNUMBER(GS9:GS205),ROW(GS9:GS205),"")))</f>
        <v>1.2</v>
      </c>
      <c r="GU9" s="131">
        <f>IF('Données projet'!$A$270&gt;35,GU8+GT9-HC8,IF(A9&lt;'Données projet'!$A$270,$GR$205^A9,IF(A9='Données projet'!$A$270,'Données projet'!$B$270,GU8+GT9-HC8)))</f>
        <v>2.262085944</v>
      </c>
      <c r="GV9" s="138">
        <f>GU9*VLOOKUP('Données projet'!$B$18,'Paramètres'!$A$1:$I$89,3,0)*VLOOKUP('Données projet'!$B$18,'Paramètres'!$A$1:$I$89,5,0)</f>
        <v>2.43490931</v>
      </c>
      <c r="GW9" s="130">
        <f t="shared" si="52"/>
        <v>1.011691866</v>
      </c>
      <c r="GX9" s="141">
        <f t="shared" si="29"/>
        <v>6.002830382</v>
      </c>
      <c r="GY9" s="133">
        <f t="shared" si="30"/>
        <v>299.3361637</v>
      </c>
      <c r="GZ9" s="133">
        <f>AVERAGE(OFFSET($GY$3,0,0,'Données projet'!$E$18+1,1))-AVERAGE(OFFSET($H$3,0,0,'Données projet'!$E$18+1,1))</f>
        <v>100.5427875</v>
      </c>
      <c r="HA9" s="133">
        <f t="shared" si="53"/>
        <v>92.28663609</v>
      </c>
      <c r="HB9" s="134">
        <f>IF(ISNA(VLOOKUP(A9,'Données projet'!$A$269:$I$289,3,0)),0,VLOOKUP(A9,'Données projet'!$A$269:$I$289,3,0))</f>
        <v>0</v>
      </c>
      <c r="HC9" s="134">
        <f>IF(ISNA(VLOOKUP(A9,'Données projet'!$A$269:$I$289,4,0)),0,VLOOKUP(A9,'Données projet'!$A$269:$I$289,4,0))</f>
        <v>0</v>
      </c>
      <c r="HD9" s="135">
        <f>IF(ISNA(VLOOKUP(A9,'Données projet'!$A$269:$I$289,5,0)),0%,VLOOKUP(A9,'Données projet'!$A$269:$I$289,5,0)*VLOOKUP('Données projet'!$B$18,'Paramètres'!$A$1:$I$89,7,0))</f>
        <v>0</v>
      </c>
      <c r="HE9" s="135">
        <f>IF(ISNA(VLOOKUP(A9,'Données projet'!$A$269:$I$289,6,0)),0%,VLOOKUP(A9,'Données projet'!$A$269:$I$289,6,0)*VLOOKUP('Données projet'!$B$18,'Paramètres'!$A$1:$I$89,7,0))</f>
        <v>0</v>
      </c>
      <c r="HF9" s="135">
        <f>IF(ISNA(VLOOKUP(A9,'Données projet'!$A$269:$I$289,7,0)),0%,VLOOKUP(A9,'Données projet'!$A$269:$I$289,7,0))</f>
        <v>0</v>
      </c>
      <c r="HG9" s="142">
        <f>EXP(-LN(2)/35)*HG8+(1-EXP(-LN(2)/35))/(LN(2)/35)*HC9*HD9*VLOOKUP('Données projet'!$B$18,'Paramètres'!$A$1:$I$89,3,0)*0.475*44/12</f>
        <v>0</v>
      </c>
      <c r="HH9" s="142">
        <f>EXP(-LN(2)/25)*HH8+(1-EXP(-LN(2)/25))/(LN(2)/25)*Calculateur!HC9*Calculateur!HE9*VLOOKUP('Données projet'!$B$18,'Paramètres'!$A$1:$I$89,3,0)*0.475*44/12</f>
        <v>0</v>
      </c>
      <c r="HI9" s="142">
        <f>EXP(-LN(2)/2)*HI8+(1-EXP(-LN(2)/2))/(LN(2)/2)*HC9*HF9*VLOOKUP('Données projet'!$B$18,'Paramètres'!$A$1:$I$89,3,0)*0.475*44/12</f>
        <v>0</v>
      </c>
      <c r="HJ9" s="143">
        <f t="shared" si="31"/>
        <v>0</v>
      </c>
    </row>
    <row r="10">
      <c r="A10" s="125">
        <f t="shared" si="32"/>
        <v>7</v>
      </c>
      <c r="B10" s="126">
        <f>'Scénario référence'!$B$16*5+'Scénario référence'!$B$17*0+'Scénario référence'!$B$18*5</f>
        <v>0</v>
      </c>
      <c r="C10" s="140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3.822</v>
      </c>
      <c r="D10" s="127">
        <f t="shared" si="33"/>
        <v>1.506829493</v>
      </c>
      <c r="E1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7">
        <f>IF(OR('Scénario référence'!$F$8&gt;0,'Scénario référence'!$F$9&gt;0),('Scénario référence'!$F$8+'Scénario référence'!$F$9)*10,0)</f>
        <v>10</v>
      </c>
      <c r="G10" s="127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41.13482416</v>
      </c>
      <c r="H10" s="128">
        <f t="shared" si="1"/>
        <v>302.614378</v>
      </c>
      <c r="I10" s="12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1" t="str">
        <f>VLOOKUP(A10,'Données projet'!$A$35:$I$55,2,0)</f>
        <v>#N/A</v>
      </c>
      <c r="L10" s="131" t="str">
        <f>VLOOKUP(A10,'Données projet'!$A$35:$I$55,9,0)</f>
        <v>#N/A</v>
      </c>
      <c r="M10" s="131">
        <f t="array" ref="M10">INDEX(L:L,MIN(IF(ISNUMBER(L10:L206),ROW(L10:L206),"")))</f>
        <v>3.92</v>
      </c>
      <c r="N10" s="130">
        <f>IF('Données projet'!$A$36&gt;35,N9+M10-V9,IF(A10&lt;'Données projet'!$A$36,$K$205^A10,IF(A10='Données projet'!$A$36,'Données projet'!$B$36,N9+M10-V9)))</f>
        <v>3.610300082</v>
      </c>
      <c r="O10" s="130">
        <f>N10*VLOOKUP('Données projet'!$B$9,'Paramètres'!$A$1:$I$89,3,0)*VLOOKUP('Données projet'!$B$9,'Paramètres'!$A$1:$I$89,5,0)</f>
        <v>2.065091647</v>
      </c>
      <c r="P10" s="130">
        <f t="shared" si="34"/>
        <v>0.874646287</v>
      </c>
      <c r="Q10" s="141">
        <f t="shared" si="2"/>
        <v>5.120043568</v>
      </c>
      <c r="R10" s="133">
        <f t="shared" si="3"/>
        <v>298.4533769</v>
      </c>
      <c r="S10" s="133">
        <f>AVERAGE(OFFSET($R$3,0,0,'Données projet'!$E$9+1,1))-AVERAGE(OFFSET($H$3,0,0,'Données projet'!$E$9+1,1))</f>
        <v>126.9946492</v>
      </c>
      <c r="T10" s="133">
        <f t="shared" si="35"/>
        <v>140.039049</v>
      </c>
      <c r="U10" s="134">
        <f>IF(ISNA(VLOOKUP(A10,'Données projet'!$A$35:$I$55,3,0)),0,VLOOKUP(A10,'Données projet'!$A$35:$I$55,3,0))</f>
        <v>0</v>
      </c>
      <c r="V10" s="134">
        <f>IF(ISNA(VLOOKUP(A10,'Données projet'!$A$35:$I$55,4,0)),0,VLOOKUP(A10,'Données projet'!$A$35:$I$55,4,0))</f>
        <v>0</v>
      </c>
      <c r="W10" s="135">
        <f>IF(ISNA(VLOOKUP(A10,'Données projet'!$A$35:$I$55,5,0)),0%,VLOOKUP(A10,'Données projet'!$A$35:$I$55,5,0)*VLOOKUP('Données projet'!$B$9,'Paramètres'!$A$1:$I$89,7,0))</f>
        <v>0</v>
      </c>
      <c r="X10" s="135">
        <f>IF(ISNA(VLOOKUP(A10,'Données projet'!$A$35:$I$55,6,0)),0%,VLOOKUP(A10,'Données projet'!$A$35:$I$55,6,0)*VLOOKUP('Données projet'!$B$9,'Paramètres'!$A$1:$I$89,7,0))</f>
        <v>0</v>
      </c>
      <c r="Y10" s="135">
        <f>IF(ISNA(VLOOKUP(A10,'Données projet'!$A$35:$I$55,7,0)),0%,VLOOKUP(A10,'Données projet'!$A$35:$I$55,7,0))</f>
        <v>0</v>
      </c>
      <c r="Z10" s="142">
        <f>EXP(-LN(2)/35)*Z9+(1-EXP(-LN(2)/35))/(LN(2)/35)*V10*W10*VLOOKUP('Données projet'!$B$9,'Paramètres'!$A$1:$I$89,3,0)*0.475*44/12</f>
        <v>0</v>
      </c>
      <c r="AA10" s="142">
        <f>EXP(-LN(2)/25)*AA9+(1-EXP(-LN(2)/25))/(LN(2)/25)*Calculateur!V10*Calculateur!X10*VLOOKUP('Données projet'!$B$9,'Paramètres'!$A$1:$I$89,3,0)*0.475*44/12</f>
        <v>0</v>
      </c>
      <c r="AB10" s="142">
        <f>EXP(-LN(2)/2)*AB9+(1-EXP(-LN(2)/2))/(LN(2)/2)*V10*Y10*VLOOKUP('Données projet'!$B$9,'Paramètres'!$A$1:$I$89,3,0)*0.475*44/12</f>
        <v>0</v>
      </c>
      <c r="AC10" s="143">
        <f t="shared" si="4"/>
        <v>0</v>
      </c>
      <c r="AD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0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1" t="str">
        <f>VLOOKUP(A10,'Données projet'!$A$61:$I$81,2,0)</f>
        <v>#N/A</v>
      </c>
      <c r="AG10" s="131" t="str">
        <f>VLOOKUP(A10,'Données projet'!$A$61:$I$81,9,0)</f>
        <v>#N/A</v>
      </c>
      <c r="AH10" s="130">
        <f t="array" ref="AH10">INDEX(AG:AG,MIN(IF(ISNUMBER(AG10:AG206),ROW(AG10:AG206),"")))</f>
        <v>5.590909091</v>
      </c>
      <c r="AI10" s="130">
        <f>IF('Données projet'!$A$62&gt;35,AI9+AH10-AQ9,IF(A10&lt;'Données projet'!$A$62,$AF$205^A10,IF(A10='Données projet'!$A$62,'Données projet'!$B$62,AI9+AH10-AQ9)))</f>
        <v>4.623488781</v>
      </c>
      <c r="AJ10" s="130">
        <f>AI10*VLOOKUP('Données projet'!$B$10,'Paramètres'!$A$1:$I$89,3,0)*VLOOKUP('Données projet'!$B$10,'Paramètres'!$A$1:$I$89,5,0)</f>
        <v>2.764846291</v>
      </c>
      <c r="AK10" s="130">
        <f t="shared" si="36"/>
        <v>1.131911712</v>
      </c>
      <c r="AL10" s="141">
        <f t="shared" si="5"/>
        <v>6.786853522</v>
      </c>
      <c r="AM10" s="133">
        <f t="shared" si="6"/>
        <v>300.1201869</v>
      </c>
      <c r="AN10" s="133">
        <f>AVERAGE(OFFSET($AM$3,0,0,'Données projet'!$E$10+1,1))-AVERAGE(OFFSET($H$3,0,0,'Données projet'!$E$10+1,1))</f>
        <v>196.874484</v>
      </c>
      <c r="AO10" s="133">
        <f t="shared" si="37"/>
        <v>217.5750859</v>
      </c>
      <c r="AP10" s="134">
        <f>IF(ISNA(VLOOKUP(A10,'Données projet'!$A$61:$I$81,3,0)),0,VLOOKUP(A10,'Données projet'!$A$61:$I$81,3,0))</f>
        <v>0</v>
      </c>
      <c r="AQ10" s="134">
        <f>IF(ISNA(VLOOKUP(A10,'Données projet'!$A$61:$I$81,4,0)),0,VLOOKUP(A10,'Données projet'!$A$61:$I$81,4,0))</f>
        <v>0</v>
      </c>
      <c r="AR10" s="135">
        <f>IF(ISNA(VLOOKUP(A10,'Données projet'!$A$61:$I$81,5,0)),0%,VLOOKUP(A10,'Données projet'!$A$61:$I$81,5,0)*VLOOKUP('Données projet'!$B$10,'Paramètres'!$A$1:$I$89,7,0))</f>
        <v>0</v>
      </c>
      <c r="AS10" s="135">
        <f>IF(ISNA(VLOOKUP(A10,'Données projet'!$A$61:$I$81,6,0)),0%,VLOOKUP(A10,'Données projet'!$A$61:$I$81,6,0)*VLOOKUP('Données projet'!$B$10,'Paramètres'!$A$1:$I$89,7,0))</f>
        <v>0</v>
      </c>
      <c r="AT10" s="135">
        <f>IF(ISNA(VLOOKUP(A10,'Données projet'!$A$61:$I$81,7,0)),0%,VLOOKUP(A10,'Données projet'!$A$61:$I$81,7,0))</f>
        <v>0</v>
      </c>
      <c r="AU10" s="142">
        <f>EXP(-LN(2)/35)*AU9+(1-EXP(-LN(2)/35))/(LN(2)/35)*AQ10*AR10*VLOOKUP('Données projet'!$B$10,'Paramètres'!$A$1:$I$89,3,0)*0.475*44/12</f>
        <v>0</v>
      </c>
      <c r="AV10" s="142">
        <f>EXP(-LN(2)/25)*AV9+(1-EXP(-LN(2)/25))/(LN(2)/25)*Calculateur!AQ10*Calculateur!AS10*VLOOKUP('Données projet'!$B$10,'Paramètres'!$A$1:$I$89,3,0)*0.475*44/12</f>
        <v>0</v>
      </c>
      <c r="AW10" s="142">
        <f>EXP(-LN(2)/2)*AW9+(1-EXP(-LN(2)/2))/(LN(2)/2)*AQ10*AT10*VLOOKUP('Données projet'!$B$10,'Paramètres'!$A$1:$I$89,3,0)*0.475*44/12</f>
        <v>0</v>
      </c>
      <c r="AX10" s="142">
        <f t="shared" si="7"/>
        <v>0</v>
      </c>
      <c r="AY10" s="13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1" t="str">
        <f>VLOOKUP(A10,'Données projet'!$A$87:$I$107,2,0)</f>
        <v>#N/A</v>
      </c>
      <c r="BB10" s="131" t="str">
        <f>VLOOKUP(A10,'Données projet'!$A$87:$I$107,9,0)</f>
        <v>#N/A</v>
      </c>
      <c r="BC10" s="130">
        <f t="array" ref="BC10">INDEX(BB:BB,MIN(IF(ISNUMBER(BB10:BB206),ROW(BB10:BB206),"")))</f>
        <v>4.666666667</v>
      </c>
      <c r="BD10" s="131">
        <f>IF('Données projet'!$A$88&gt;35,BD9+BC10-BL9,IF(A10&lt;'Données projet'!$A$88,$BA$205^A10,IF(A10='Données projet'!$A$88,'Données projet'!$B$88,BD9+BC10-BL9)))</f>
        <v>3.167839781</v>
      </c>
      <c r="BE10" s="130">
        <f>BD10*VLOOKUP('Données projet'!$B$11,'Paramètres'!$A$1:$I$89,3,0)*VLOOKUP('Données projet'!$B$11,'Paramètres'!$A$1:$I$89,5,0)</f>
        <v>1.482549018</v>
      </c>
      <c r="BF10" s="130">
        <f t="shared" si="38"/>
        <v>0.6526129262</v>
      </c>
      <c r="BG10" s="141">
        <f t="shared" si="8"/>
        <v>3.718740386</v>
      </c>
      <c r="BH10" s="133">
        <f t="shared" si="9"/>
        <v>297.0520737</v>
      </c>
      <c r="BI10" s="133">
        <f>AVERAGE(OFFSET($BH$3,0,0,'Données projet'!$E$11+1,1))-AVERAGE(OFFSET($H$3,0,0,'Données projet'!$E$11+1,1))</f>
        <v>134.0948534</v>
      </c>
      <c r="BJ10" s="133">
        <f t="shared" si="39"/>
        <v>108.4102536</v>
      </c>
      <c r="BK10" s="134">
        <f>IF(ISNA(VLOOKUP(A10,'Données projet'!$A$87:$I$107,3,0)),0,VLOOKUP(A10,'Données projet'!$A$87:$I$107,3,0))</f>
        <v>0</v>
      </c>
      <c r="BL10" s="134">
        <f>IF(ISNA(VLOOKUP(A10,'Données projet'!$A$87:$I$107,4,0)),0,VLOOKUP(A10,'Données projet'!$A$87:$I$107,4,0))</f>
        <v>0</v>
      </c>
      <c r="BM10" s="135">
        <f>IF(ISNA(VLOOKUP(A10,'Données projet'!$A$87:$I$107,5,0)),0%,VLOOKUP(A10,'Données projet'!$A$87:$I$107,5,0)*VLOOKUP('Données projet'!$B$11,'Paramètres'!$A$1:$I$89,7,0))</f>
        <v>0</v>
      </c>
      <c r="BN10" s="135">
        <f>IF(ISNA(VLOOKUP(A10,'Données projet'!$A$87:$I$107,6,0)),0%,VLOOKUP(A10,'Données projet'!$A$87:$I$107,6,0)*VLOOKUP('Données projet'!$B$11,'Paramètres'!$A$1:$I$89,7,0))</f>
        <v>0</v>
      </c>
      <c r="BO10" s="135">
        <f>IF(ISNA(VLOOKUP(A10,'Données projet'!$A$87:$I$107,7,0)),0%,VLOOKUP(A10,'Données projet'!$A$87:$I$107,7,0))</f>
        <v>0</v>
      </c>
      <c r="BP10" s="142">
        <f>EXP(-LN(2)/35)*BP9+(1-EXP(-LN(2)/35))/(LN(2)/35)*BL10*BM10*VLOOKUP('Données projet'!$B$11,'Paramètres'!$A$1:$I$89,3,0)*0.475*44/12</f>
        <v>0</v>
      </c>
      <c r="BQ10" s="142">
        <f>EXP(-LN(2)/25)*BQ9+(1-EXP(-LN(2)/25))/(LN(2)/25)*Calculateur!BL10*Calculateur!BN10*VLOOKUP('Données projet'!$B$11,'Paramètres'!$A$1:$I$89,3,0)*0.475*44/12</f>
        <v>0</v>
      </c>
      <c r="BR10" s="142">
        <f>EXP(-LN(2)/2)*BR9+(1-EXP(-LN(2)/2))/(LN(2)/2)*BL10*BO10*VLOOKUP('Données projet'!$B$11,'Paramètres'!$A$1:$I$89,3,0)*0.475*44/12</f>
        <v>0</v>
      </c>
      <c r="BS10" s="143">
        <f t="shared" si="10"/>
        <v>0</v>
      </c>
      <c r="BT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1" t="str">
        <f>VLOOKUP(A10,'Données projet'!$A$113:$I$133,2,0)</f>
        <v>#N/A</v>
      </c>
      <c r="BW10" s="131" t="str">
        <f>VLOOKUP(A10,'Données projet'!$A$113:$I$133,9,0)</f>
        <v>#N/A</v>
      </c>
      <c r="BX10" s="130">
        <f t="array" ref="BX10">INDEX(BW:BW,MIN(IF(ISNUMBER(BW10:BW206),ROW(BW10:BW206),"")))</f>
        <v>1.866666667</v>
      </c>
      <c r="BY10" s="131">
        <f>IF('Données projet'!$A$114&gt;35,BY9+BX10-CG9,IF(A10&lt;'Données projet'!$A$114,$BV$205^A10,IF(A10='Données projet'!$A$114,'Données projet'!$B$114,BY9+BX10-CG9)))</f>
        <v>4.735222762</v>
      </c>
      <c r="BZ10" s="130">
        <f>BY10*VLOOKUP('Données projet'!$B$12,'Paramètres'!$A$1:$I$89,3,0)*VLOOKUP('Données projet'!$B$12,'Paramètres'!$A$1:$I$89,5,0)</f>
        <v>2.339200045</v>
      </c>
      <c r="CA10" s="130">
        <f t="shared" si="40"/>
        <v>0.9764724334</v>
      </c>
      <c r="CB10" s="141">
        <f t="shared" si="11"/>
        <v>5.774796232</v>
      </c>
      <c r="CC10" s="133">
        <f t="shared" si="12"/>
        <v>299.1081296</v>
      </c>
      <c r="CD10" s="133">
        <f>AVERAGE(OFFSET($CC$3,0,0,'Données projet'!$E$12+1,1))-AVERAGE(OFFSET($H$3,0,0,'Données projet'!$E$12+1,1))</f>
        <v>258.1672054</v>
      </c>
      <c r="CE10" s="133">
        <f t="shared" si="41"/>
        <v>296.0724261</v>
      </c>
      <c r="CF10" s="134">
        <f>IF(ISNA(VLOOKUP(A10,'Données projet'!$A$113:$I$133,3,0)),0,VLOOKUP(A10,'Données projet'!$A$113:$I$133,3,0))</f>
        <v>0</v>
      </c>
      <c r="CG10" s="134">
        <f>IF(ISNA(VLOOKUP(A10,'Données projet'!$A$113:$I$133,4,0)),0,VLOOKUP(A10,'Données projet'!$A$113:$I$133,4,0))</f>
        <v>0</v>
      </c>
      <c r="CH10" s="135">
        <f>IF(ISNA(VLOOKUP(A10,'Données projet'!$A$113:$I$133,5,0)),0%,VLOOKUP(A10,'Données projet'!$A$113:$I$133,5,0)*VLOOKUP('Données projet'!$B$12,'Paramètres'!$A$1:$I$89,7,0))</f>
        <v>0</v>
      </c>
      <c r="CI10" s="135">
        <f>IF(ISNA(VLOOKUP(A10,'Données projet'!$A$113:$I$133,6,0)),0%,VLOOKUP(A10,'Données projet'!$A$113:$I$133,6,0)*VLOOKUP('Données projet'!$B$12,'Paramètres'!$A$1:$I$89,7,0))</f>
        <v>0</v>
      </c>
      <c r="CJ10" s="135">
        <f>IF(ISNA(VLOOKUP(A10,'Données projet'!$A$113:$I$133,7,0)),0%,VLOOKUP(A10,'Données projet'!$A$113:$I$133,7,0))</f>
        <v>0</v>
      </c>
      <c r="CK10" s="142">
        <f>EXP(-LN(2)/35)*CK9+(1-EXP(-LN(2)/35))/(LN(2)/35)*CG10*CH10*VLOOKUP('Données projet'!$B$12,'Paramètres'!$A$1:$I$89,3,0)*0.475*44/12</f>
        <v>0</v>
      </c>
      <c r="CL10" s="142">
        <f>EXP(-LN(2)/25)*CL9+(1-EXP(-LN(2)/25))/(LN(2)/25)*Calculateur!CG10*Calculateur!CI10*VLOOKUP('Données projet'!$B$12,'Paramètres'!$A$1:$I$89,3,0)*0.475*44/12</f>
        <v>0</v>
      </c>
      <c r="CM10" s="142">
        <f>EXP(-LN(2)/2)*CM9+(1-EXP(-LN(2)/2))/(LN(2)/2)*CG10*CJ10*VLOOKUP('Données projet'!$B$12,'Paramètres'!$A$1:$I$89,3,0)*0.475*44/12</f>
        <v>0</v>
      </c>
      <c r="CN10" s="143">
        <f t="shared" si="13"/>
        <v>0</v>
      </c>
      <c r="CO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1" t="str">
        <f>VLOOKUP(A10,'Données projet'!$A$139:$I$159,2,0)</f>
        <v>#N/A</v>
      </c>
      <c r="CR10" s="131" t="str">
        <f>VLOOKUP(A10,'Données projet'!$A$139:$I$159,9,0)</f>
        <v>#N/A</v>
      </c>
      <c r="CS10" s="130">
        <f t="array" ref="CS10">INDEX(CR:CR,MIN(IF(ISNUMBER(CR10:CR206),ROW(CR10:CR206),"")))</f>
        <v>1.2</v>
      </c>
      <c r="CT10" s="131">
        <f>IF('Données projet'!$A$140&gt;35,CT9+CS10-DB9,IF(A10&lt;'Données projet'!$A$140,$CQ$205^A10,IF(A10='Données projet'!$A$140,'Données projet'!$B$140,CT9+CS10-DB9)))</f>
        <v>2.591755037</v>
      </c>
      <c r="CU10" s="138">
        <f>CT10*VLOOKUP('Données projet'!$B$13,'Paramètres'!$A$1:$I$89,3,0)*VLOOKUP('Données projet'!$B$13,'Paramètres'!$A$1:$I$89,5,0)</f>
        <v>2.628039608</v>
      </c>
      <c r="CV10" s="130">
        <f t="shared" si="42"/>
        <v>1.082277967</v>
      </c>
      <c r="CW10" s="141">
        <f t="shared" si="14"/>
        <v>6.462136444</v>
      </c>
      <c r="CX10" s="133">
        <f t="shared" si="15"/>
        <v>299.7954698</v>
      </c>
      <c r="CY10" s="133">
        <f>AVERAGE(OFFSET($CX$3,0,0,'Données projet'!$E$13+1,1))-AVERAGE(OFFSET($H$3,0,0,'Données projet'!$E$13+1,1))</f>
        <v>223.783507</v>
      </c>
      <c r="CZ10" s="133">
        <f t="shared" si="43"/>
        <v>84.92349117</v>
      </c>
      <c r="DA10" s="134">
        <f>IF(ISNA(VLOOKUP(A10,'Données projet'!$A$139:$I$159,3,0)),0,VLOOKUP(A10,'Données projet'!$A$139:$I$159,3,0))</f>
        <v>0</v>
      </c>
      <c r="DB10" s="134">
        <f>IF(ISNA(VLOOKUP(A10,'Données projet'!$A$139:$I$159,4,0)),0,VLOOKUP(A10,'Données projet'!$A$139:$I$159,4,0))</f>
        <v>0</v>
      </c>
      <c r="DC10" s="135">
        <f>IF(ISNA(VLOOKUP(A10,'Données projet'!$A$139:$I$159,5,0)),0%,VLOOKUP(A10,'Données projet'!$A$139:$I$159,5,0)*VLOOKUP('Données projet'!$B$13,'Paramètres'!$A$1:$I$89,7,0))</f>
        <v>0</v>
      </c>
      <c r="DD10" s="135">
        <f>IF(ISNA(VLOOKUP(A10,'Données projet'!$A$139:$I$159,6,0)),0%,VLOOKUP(A10,'Données projet'!$A$139:$I$159,6,0)*VLOOKUP('Données projet'!$B$13,'Paramètres'!$A$1:$I$89,7,0))</f>
        <v>0</v>
      </c>
      <c r="DE10" s="135">
        <f>IF(ISNA(VLOOKUP(A10,'Données projet'!$A$139:$I$159,7,0)),0%,VLOOKUP(A10,'Données projet'!$A$139:$I$159,7,0))</f>
        <v>0</v>
      </c>
      <c r="DF10" s="142">
        <f>EXP(-LN(2)/35)*DF9+(1-EXP(-LN(2)/35))/(LN(2)/35)*DB10*DC10*VLOOKUP('Données projet'!$B$13,'Paramètres'!$A$1:$I$89,3,0)*0.475*44/12</f>
        <v>0</v>
      </c>
      <c r="DG10" s="142">
        <f>EXP(-LN(2)/25)*DG9+(1-EXP(-LN(2)/25))/(LN(2)/25)*Calculateur!DB10*Calculateur!DD10*VLOOKUP('Données projet'!$B$13,'Paramètres'!$A$1:$I$89,3,0)*0.475*44/12</f>
        <v>0</v>
      </c>
      <c r="DH10" s="142">
        <f>EXP(-LN(2)/2)*DH9+(1-EXP(-LN(2)/2))/(LN(2)/2)*DB10*DE10*VLOOKUP('Données projet'!$B$13,'Paramètres'!$A$1:$I$89,3,0)*0.475*44/12</f>
        <v>0</v>
      </c>
      <c r="DI10" s="143">
        <f t="shared" si="16"/>
        <v>0</v>
      </c>
      <c r="DJ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1" t="str">
        <f>VLOOKUP(A10,'Données projet'!$A$165:$I$185,2,0)</f>
        <v>#N/A</v>
      </c>
      <c r="DM10" s="131" t="str">
        <f>VLOOKUP(A10,'Données projet'!$A$165:$I$185,9,0)</f>
        <v>#N/A</v>
      </c>
      <c r="DN10" s="131">
        <f t="array" ref="DN10">INDEX(DM:DM,MIN(IF(ISNUMBER(DM10:DM206),ROW(DM10:DM206),"")))</f>
        <v>2.1</v>
      </c>
      <c r="DO10" s="131">
        <f>IF('Données projet'!$A$166&gt;35,DO9+DN10-DW9,IF(A10&lt;'Données projet'!$A$166,$DL$205^A10,IF(A10='Données projet'!$A$166,'Données projet'!$B$166,DO9+DN10-DW9)))</f>
        <v>3.699450764</v>
      </c>
      <c r="DP10" s="138">
        <f>DO10*VLOOKUP('Données projet'!$B$14,'Paramètres'!$A$1:$I$89,3,0)*VLOOKUP('Données projet'!$B$14,'Paramètres'!$A$1:$I$89,5,0)</f>
        <v>3.347263051</v>
      </c>
      <c r="DQ10" s="130">
        <f t="shared" si="44"/>
        <v>1.340195053</v>
      </c>
      <c r="DR10" s="141">
        <f t="shared" si="17"/>
        <v>8.163989532</v>
      </c>
      <c r="DS10" s="133">
        <f t="shared" si="18"/>
        <v>301.4973229</v>
      </c>
      <c r="DT10" s="133">
        <f>AVERAGE(OFFSET($DS$3,0,0,'Données projet'!$E$14+1,1))-AVERAGE(OFFSET($H$3,0,0,'Données projet'!$E$14+1,1))</f>
        <v>287.9334714</v>
      </c>
      <c r="DU10" s="133">
        <f t="shared" si="45"/>
        <v>156.6796502</v>
      </c>
      <c r="DV10" s="134">
        <f>IF(ISNA(VLOOKUP(A10,'Données projet'!$A$165:$I$185,3,0)),0,VLOOKUP(A10,'Données projet'!$A$165:$I$185,3,0))</f>
        <v>0</v>
      </c>
      <c r="DW10" s="134">
        <f>IF(ISNA(VLOOKUP(A10,'Données projet'!$A$165:$I$185,4,0)),0,VLOOKUP(A10,'Données projet'!$A$165:$I$185,4,0))</f>
        <v>0</v>
      </c>
      <c r="DX10" s="135">
        <f>IF(ISNA(VLOOKUP(A10,'Données projet'!$A$165:$I$185,5,0)),0%,VLOOKUP(A10,'Données projet'!$A$165:$I$185,5,0)*VLOOKUP('Données projet'!$B$14,'Paramètres'!$A$1:$I$89,7,0))</f>
        <v>0</v>
      </c>
      <c r="DY10" s="135">
        <f>IF(ISNA(VLOOKUP(A10,'Données projet'!$A$165:$I$185,6,0)),0%,VLOOKUP(A10,'Données projet'!$A$165:$I$185,6,0)*VLOOKUP('Données projet'!$B$14,'Paramètres'!$A$1:$I$89,7,0))</f>
        <v>0</v>
      </c>
      <c r="DZ10" s="135">
        <f>IF(ISNA(VLOOKUP(A10,'Données projet'!$A$165:$I$185,7,0)),0%,VLOOKUP(A10,'Données projet'!$A$165:$I$185,7,0))</f>
        <v>0</v>
      </c>
      <c r="EA10" s="142">
        <f>EXP(-LN(2)/35)*EA9+(1-EXP(-LN(2)/35))/(LN(2)/35)*DW10*DX10*VLOOKUP('Données projet'!$B$14,'Paramètres'!$A$1:$I$89,3,0)*0.475*44/12</f>
        <v>0</v>
      </c>
      <c r="EB10" s="142">
        <f>EXP(-LN(2)/25)*EB9+(1-EXP(-LN(2)/25))/(LN(2)/25)*Calculateur!DW10*Calculateur!DY10*VLOOKUP('Données projet'!$B$14,'Paramètres'!$A$1:$I$89,3,0)*0.475*44/12</f>
        <v>0</v>
      </c>
      <c r="EC10" s="142">
        <f>EXP(-LN(2)/2)*EC9+(1-EXP(-LN(2)/2))/(LN(2)/2)*DW10*DZ10*VLOOKUP('Données projet'!$B$14,'Paramètres'!$A$1:$I$89,3,0)*0.475*44/12</f>
        <v>0</v>
      </c>
      <c r="ED10" s="143">
        <f t="shared" si="19"/>
        <v>0</v>
      </c>
      <c r="EE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1" t="str">
        <f>VLOOKUP(A10,'Données projet'!$A$191:$I$211,2,0)</f>
        <v>#N/A</v>
      </c>
      <c r="EH10" s="131" t="str">
        <f>VLOOKUP(A10,'Données projet'!$A$191:$I$211,9,0)</f>
        <v>#N/A</v>
      </c>
      <c r="EI10" s="131">
        <f t="array" ref="EI10">INDEX(EH:EH,MIN(IF(ISNUMBER(EH10:EH206),ROW(EH10:EH206),"")))</f>
        <v>1.6</v>
      </c>
      <c r="EJ10" s="131">
        <f>IF('Données projet'!$A$192&gt;35,EJ9+EI10-ER9,IF(A10&lt;'Données projet'!$A$192,$EG$205^A10,IF(A10='Données projet'!$A$192,'Données projet'!$B$192,EJ9+EI10-ER9)))</f>
        <v>2.809162081</v>
      </c>
      <c r="EK10" s="138">
        <f>EJ10*VLOOKUP('Données projet'!$B$15,'Paramètres'!$A$1:$I$89,3,0)*VLOOKUP('Données projet'!$B$15,'Paramètres'!$A$1:$I$89,5,0)</f>
        <v>2.059677638</v>
      </c>
      <c r="EL10" s="130">
        <f t="shared" si="46"/>
        <v>0.8726198453</v>
      </c>
      <c r="EM10" s="141">
        <f t="shared" si="20"/>
        <v>5.107084783</v>
      </c>
      <c r="EN10" s="133">
        <f t="shared" si="21"/>
        <v>298.4404181</v>
      </c>
      <c r="EO10" s="133">
        <f>AVERAGE(OFFSET($EN$3,0,0,'Données projet'!$E$15+1,1))-AVERAGE(OFFSET($H$3,0,0,'Données projet'!$E$15+1,1))</f>
        <v>130.3193339</v>
      </c>
      <c r="EP10" s="133">
        <f t="shared" si="47"/>
        <v>82.22784365</v>
      </c>
      <c r="EQ10" s="134">
        <f>IF(ISNA(VLOOKUP(A10,'Données projet'!$A$191:$I$211,3,0)),0,VLOOKUP(A10,'Données projet'!$A$191:$I$211,3,0))</f>
        <v>0</v>
      </c>
      <c r="ER10" s="134">
        <f>IF(ISNA(VLOOKUP(A10,'Données projet'!$A$191:$I$211,4,0)),0,VLOOKUP(A10,'Données projet'!$A$191:$I$211,4,0))</f>
        <v>0</v>
      </c>
      <c r="ES10" s="135">
        <f>IF(ISNA(VLOOKUP(A10,'Données projet'!$A$191:$I$211,5,0)),0%,VLOOKUP(A10,'Données projet'!$A$191:$I$211,5,0)*VLOOKUP('Données projet'!$B$15,'Paramètres'!$A$1:$I$89,7,0))</f>
        <v>0</v>
      </c>
      <c r="ET10" s="135">
        <f>IF(ISNA(VLOOKUP(A10,'Données projet'!$A$191:$I$211,6,0)),0%,VLOOKUP(A10,'Données projet'!$A$191:$I$211,6,0)*VLOOKUP('Données projet'!$B$15,'Paramètres'!$A$1:$I$89,7,0))</f>
        <v>0</v>
      </c>
      <c r="EU10" s="135">
        <f>IF(ISNA(VLOOKUP(A10,'Données projet'!$A$191:$I$211,7,0)),0%,VLOOKUP(A10,'Données projet'!$A$191:$I$211,7,0))</f>
        <v>0</v>
      </c>
      <c r="EV10" s="142">
        <f>EXP(-LN(2)/35)*EV9+(1-EXP(-LN(2)/35))/(LN(2)/35)*ER10*ES10*VLOOKUP('Données projet'!$B$15,'Paramètres'!$A$1:$I$89,3,0)*0.475*44/12</f>
        <v>0</v>
      </c>
      <c r="EW10" s="142">
        <f>EXP(-LN(2)/25)*EW9+(1-EXP(-LN(2)/25))/(LN(2)/25)*Calculateur!ER10*Calculateur!ET10*VLOOKUP('Données projet'!$B$15,'Paramètres'!$A$1:$I$89,3,0)*0.475*44/12</f>
        <v>0</v>
      </c>
      <c r="EX10" s="142">
        <f>EXP(-LN(2)/2)*EX9+(1-EXP(-LN(2)/2))/(LN(2)/2)*ER10*EU10*VLOOKUP('Données projet'!$B$15,'Paramètres'!$A$1:$I$89,3,0)*0.475*44/12</f>
        <v>0</v>
      </c>
      <c r="EY10" s="143">
        <f t="shared" si="22"/>
        <v>0</v>
      </c>
      <c r="EZ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1" t="str">
        <f>VLOOKUP(A10,'Données projet'!$A$217:$I$237,2,0)</f>
        <v>#N/A</v>
      </c>
      <c r="FC10" s="131" t="str">
        <f>VLOOKUP(A10,'Données projet'!$A$217:$I$237,9,0)</f>
        <v>#N/A</v>
      </c>
      <c r="FD10" s="130">
        <f t="array" ref="FD10">INDEX(FC:FC,MIN(IF(ISNUMBER(FC10:FC206),ROW(FC10:FC206),"")))</f>
        <v>7.533333333</v>
      </c>
      <c r="FE10" s="131">
        <f>IF('Données projet'!$A$218&gt;35,FE9+FD10-FM9,IF(A10&lt;'Données projet'!$A$218,$FB$205^A10,IF(A10='Données projet'!$A$218,'Données projet'!$B$218,FE9+FD10-FM9)))</f>
        <v>9.080364322</v>
      </c>
      <c r="FF10" s="138">
        <f>FE10*VLOOKUP('Données projet'!$B$16,'Paramètres'!$A$1:$I$89,3,0)*VLOOKUP('Données projet'!$B$16,'Paramètres'!$A$1:$I$89,5,0)</f>
        <v>8.215913639</v>
      </c>
      <c r="FG10" s="130">
        <f t="shared" si="48"/>
        <v>2.96307052</v>
      </c>
      <c r="FH10" s="141">
        <f t="shared" si="23"/>
        <v>19.47006408</v>
      </c>
      <c r="FI10" s="133">
        <f t="shared" si="24"/>
        <v>312.8033974</v>
      </c>
      <c r="FJ10" s="133">
        <f>AVERAGE(OFFSET($FI$3,0,0,'Données projet'!$E$16+1,1))-AVERAGE(OFFSET($H$3,0,0,'Données projet'!$E$16+1,1))</f>
        <v>305.6252353</v>
      </c>
      <c r="FK10" s="133">
        <f t="shared" si="49"/>
        <v>331.397916</v>
      </c>
      <c r="FL10" s="134">
        <f>IF(ISNA(VLOOKUP(A10,'Données projet'!$A$217:$I$237,3,0)),0,VLOOKUP(A10,'Données projet'!$A$217:$I$237,3,0))</f>
        <v>0</v>
      </c>
      <c r="FM10" s="134">
        <f>IF(ISNA(VLOOKUP(A10,'Données projet'!$A$217:$I$237,4,0)),0,VLOOKUP(A10,'Données projet'!$A$217:$I$237,4,0))</f>
        <v>0</v>
      </c>
      <c r="FN10" s="135">
        <f>IF(ISNA(VLOOKUP(A10,'Données projet'!$A$217:$I$237,5,0)),0%,VLOOKUP(A10,'Données projet'!$A$217:$I$237,5,0)*VLOOKUP('Données projet'!$B$16,'Paramètres'!$A$1:$I$89,7,0))</f>
        <v>0</v>
      </c>
      <c r="FO10" s="135">
        <f>IF(ISNA(VLOOKUP(A10,'Données projet'!$A$217:$I$237,6,0)),0%,VLOOKUP(A10,'Données projet'!$A$217:$I$237,6,0)*VLOOKUP('Données projet'!$B$16,'Paramètres'!$A$1:$I$89,7,0))</f>
        <v>0</v>
      </c>
      <c r="FP10" s="135">
        <f>IF(ISNA(VLOOKUP(A10,'Données projet'!$A$217:$I$237,7,0)),0%,VLOOKUP(A10,'Données projet'!$A$217:$I$237,7,0))</f>
        <v>0</v>
      </c>
      <c r="FQ10" s="142">
        <f>EXP(-LN(2)/35)*FQ9+(1-EXP(-LN(2)/35))/(LN(2)/35)*FM10*FN10*VLOOKUP('Données projet'!$B$16,'Paramètres'!$A$1:$I$89,3,0)*0.475*44/12</f>
        <v>0</v>
      </c>
      <c r="FR10" s="142">
        <f>EXP(-LN(2)/25)*FR9+(1-EXP(-LN(2)/25))/(LN(2)/25)*Calculateur!FM10*Calculateur!FO10*VLOOKUP('Données projet'!$B$16,'Paramètres'!$A$1:$I$89,3,0)*0.475*44/12</f>
        <v>0</v>
      </c>
      <c r="FS10" s="142">
        <f>EXP(-LN(2)/2)*FS9+(1-EXP(-LN(2)/2))/(LN(2)/2)*FM10*FP10*VLOOKUP('Données projet'!$B$16,'Paramètres'!$A$1:$I$89,3,0)*0.475*44/12</f>
        <v>0</v>
      </c>
      <c r="FT10" s="143">
        <f t="shared" si="25"/>
        <v>0</v>
      </c>
      <c r="FU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1" t="str">
        <f>VLOOKUP(A10,'Données projet'!$A$243:$I$263,2,0)</f>
        <v>#N/A</v>
      </c>
      <c r="FX10" s="131" t="str">
        <f>VLOOKUP(A10,'Données projet'!$A$243:$I$263,9,0)</f>
        <v>#N/A</v>
      </c>
      <c r="FY10" s="130">
        <f t="array" ref="FY10">INDEX(FX:FX,MIN(IF(ISNUMBER(FX10:FX206),ROW(FX10:FX206),"")))</f>
        <v>1.6</v>
      </c>
      <c r="FZ10" s="131">
        <f>IF('Données projet'!$A$244&gt;35,FZ9+FY10-GH9,IF(A10&lt;'Données projet'!$A$244,$FW$205^A10,IF(A10='Données projet'!$A$244,'Données projet'!$B$244,FZ9+FY10-GH9)))</f>
        <v>3.363585661</v>
      </c>
      <c r="GA10" s="138">
        <f>FZ10*VLOOKUP('Données projet'!$B$17,'Paramètres'!$A$1:$I$89,3,0)*VLOOKUP('Données projet'!$B$17,'Paramètres'!$A$1:$I$89,5,0)</f>
        <v>2.256293261</v>
      </c>
      <c r="GB10" s="130">
        <f t="shared" si="50"/>
        <v>0.9458284422</v>
      </c>
      <c r="GC10" s="141">
        <f t="shared" si="26"/>
        <v>5.577028634</v>
      </c>
      <c r="GD10" s="133">
        <f t="shared" si="27"/>
        <v>298.910362</v>
      </c>
      <c r="GE10" s="133">
        <f>AVERAGE(OFFSET($GD$3,0,0,'Données projet'!$E$17+1,1))-AVERAGE(OFFSET($H$3,0,0,'Données projet'!$E$17+1,1))</f>
        <v>118.7368745</v>
      </c>
      <c r="GF10" s="133">
        <f t="shared" si="51"/>
        <v>135.1233677</v>
      </c>
      <c r="GG10" s="134">
        <f>IF(ISNA(VLOOKUP(A10,'Données projet'!$A$243:$I$263,3,0)),0,VLOOKUP(A10,'Données projet'!$A$243:$I$263,3,0))</f>
        <v>0</v>
      </c>
      <c r="GH10" s="134">
        <f>IF(ISNA(VLOOKUP(A10,'Données projet'!$A$243:$I$263,4,0)),0,VLOOKUP(A10,'Données projet'!$A$243:$I$263,4,0))</f>
        <v>0</v>
      </c>
      <c r="GI10" s="135">
        <f>IF(ISNA(VLOOKUP(A10,'Données projet'!$A$243:$I$263,5,0)),0%,VLOOKUP(A10,'Données projet'!$A$243:$I$263,5,0)*VLOOKUP('Données projet'!$B$17,'Paramètres'!$A$1:$I$89,7,0))</f>
        <v>0</v>
      </c>
      <c r="GJ10" s="135">
        <f>IF(ISNA(VLOOKUP(A10,'Données projet'!$A$243:$I$263,6,0)),0%,VLOOKUP(A10,'Données projet'!$A$243:$I$263,6,0)*VLOOKUP('Données projet'!$B$17,'Paramètres'!$A$1:$I$89,7,0))</f>
        <v>0</v>
      </c>
      <c r="GK10" s="135">
        <f>IF(ISNA(VLOOKUP(A10,'Données projet'!$A$243:$I$263,7,0)),0%,VLOOKUP(A10,'Données projet'!$A$243:$I$263,7,0))</f>
        <v>0</v>
      </c>
      <c r="GL10" s="142">
        <f>EXP(-LN(2)/35)*GL9+(1-EXP(-LN(2)/35))/(LN(2)/35)*GH10*GI10*VLOOKUP('Données projet'!$B$17,'Paramètres'!$A$1:$I$89,3,0)*0.475*44/12</f>
        <v>0</v>
      </c>
      <c r="GM10" s="142">
        <f>EXP(-LN(2)/25)*GM9+(1-EXP(-LN(2)/25))/(LN(2)/25)*Calculateur!GH10*Calculateur!GJ10*VLOOKUP('Données projet'!$B$17,'Paramètres'!$A$1:$I$89,3,0)*0.475*44/12</f>
        <v>0</v>
      </c>
      <c r="GN10" s="142">
        <f>EXP(-LN(2)/2)*GN9+(1-EXP(-LN(2)/2))/(LN(2)/2)*GH10*GK10*VLOOKUP('Données projet'!$B$17,'Paramètres'!$A$1:$I$89,3,0)*0.475*44/12</f>
        <v>0</v>
      </c>
      <c r="GO10" s="142">
        <f t="shared" si="28"/>
        <v>0</v>
      </c>
      <c r="GP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1" t="str">
        <f>VLOOKUP(A10,'Données projet'!$A$269:$I$289,2,0)</f>
        <v>#N/A</v>
      </c>
      <c r="GS10" s="131" t="str">
        <f>VLOOKUP(A10,'Données projet'!$A$269:$I$289,9,0)</f>
        <v>#N/A</v>
      </c>
      <c r="GT10" s="130">
        <f t="array" ref="GT10">INDEX(GS:GS,MIN(IF(ISNUMBER(GS10:GS206),ROW(GS10:GS206),"")))</f>
        <v>1.2</v>
      </c>
      <c r="GU10" s="131">
        <f>IF('Données projet'!$A$270&gt;35,GU9+GT10-HC9,IF(A10&lt;'Données projet'!$A$270,$GR$205^A10,IF(A10='Données projet'!$A$270,'Données projet'!$B$270,GU9+GT10-HC9)))</f>
        <v>2.591755037</v>
      </c>
      <c r="GV10" s="138">
        <f>GU10*VLOOKUP('Données projet'!$B$18,'Paramètres'!$A$1:$I$89,3,0)*VLOOKUP('Données projet'!$B$18,'Paramètres'!$A$1:$I$89,5,0)</f>
        <v>2.789765122</v>
      </c>
      <c r="GW10" s="130">
        <f t="shared" si="52"/>
        <v>1.140921152</v>
      </c>
      <c r="GX10" s="141">
        <f t="shared" si="29"/>
        <v>6.845945262</v>
      </c>
      <c r="GY10" s="133">
        <f t="shared" si="30"/>
        <v>300.1792786</v>
      </c>
      <c r="GZ10" s="133">
        <f>AVERAGE(OFFSET($GY$3,0,0,'Données projet'!$E$18+1,1))-AVERAGE(OFFSET($H$3,0,0,'Données projet'!$E$18+1,1))</f>
        <v>100.5427875</v>
      </c>
      <c r="HA10" s="133">
        <f t="shared" si="53"/>
        <v>92.28663609</v>
      </c>
      <c r="HB10" s="134">
        <f>IF(ISNA(VLOOKUP(A10,'Données projet'!$A$269:$I$289,3,0)),0,VLOOKUP(A10,'Données projet'!$A$269:$I$289,3,0))</f>
        <v>0</v>
      </c>
      <c r="HC10" s="134">
        <f>IF(ISNA(VLOOKUP(A10,'Données projet'!$A$269:$I$289,4,0)),0,VLOOKUP(A10,'Données projet'!$A$269:$I$289,4,0))</f>
        <v>0</v>
      </c>
      <c r="HD10" s="135">
        <f>IF(ISNA(VLOOKUP(A10,'Données projet'!$A$269:$I$289,5,0)),0%,VLOOKUP(A10,'Données projet'!$A$269:$I$289,5,0)*VLOOKUP('Données projet'!$B$18,'Paramètres'!$A$1:$I$89,7,0))</f>
        <v>0</v>
      </c>
      <c r="HE10" s="135">
        <f>IF(ISNA(VLOOKUP(A10,'Données projet'!$A$269:$I$289,6,0)),0%,VLOOKUP(A10,'Données projet'!$A$269:$I$289,6,0)*VLOOKUP('Données projet'!$B$18,'Paramètres'!$A$1:$I$89,7,0))</f>
        <v>0</v>
      </c>
      <c r="HF10" s="135">
        <f>IF(ISNA(VLOOKUP(A10,'Données projet'!$A$269:$I$289,7,0)),0%,VLOOKUP(A10,'Données projet'!$A$269:$I$289,7,0))</f>
        <v>0</v>
      </c>
      <c r="HG10" s="142">
        <f>EXP(-LN(2)/35)*HG9+(1-EXP(-LN(2)/35))/(LN(2)/35)*HC10*HD10*VLOOKUP('Données projet'!$B$18,'Paramètres'!$A$1:$I$89,3,0)*0.475*44/12</f>
        <v>0</v>
      </c>
      <c r="HH10" s="142">
        <f>EXP(-LN(2)/25)*HH9+(1-EXP(-LN(2)/25))/(LN(2)/25)*Calculateur!HC10*Calculateur!HE10*VLOOKUP('Données projet'!$B$18,'Paramètres'!$A$1:$I$89,3,0)*0.475*44/12</f>
        <v>0</v>
      </c>
      <c r="HI10" s="142">
        <f>EXP(-LN(2)/2)*HI9+(1-EXP(-LN(2)/2))/(LN(2)/2)*HC10*HF10*VLOOKUP('Données projet'!$B$18,'Paramètres'!$A$1:$I$89,3,0)*0.475*44/12</f>
        <v>0</v>
      </c>
      <c r="HJ10" s="143">
        <f t="shared" si="31"/>
        <v>0</v>
      </c>
    </row>
    <row r="11">
      <c r="A11" s="125">
        <f t="shared" si="32"/>
        <v>8</v>
      </c>
      <c r="B11" s="126">
        <f>'Scénario référence'!$B$16*5+'Scénario référence'!$B$17*0+'Scénario référence'!$B$18*5</f>
        <v>0</v>
      </c>
      <c r="C11" s="140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4.368</v>
      </c>
      <c r="D11" s="127">
        <f t="shared" si="33"/>
        <v>1.695531242</v>
      </c>
      <c r="E1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7">
        <f>IF(OR('Scénario référence'!$F$8&gt;0,'Scénario référence'!$F$9&gt;0),('Scénario référence'!$F$8+'Scénario référence'!$F$9)*10,0)</f>
        <v>10</v>
      </c>
      <c r="G11" s="127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46.80620608</v>
      </c>
      <c r="H11" s="128">
        <f t="shared" si="1"/>
        <v>303.8939836</v>
      </c>
      <c r="I11" s="12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1" t="str">
        <f>VLOOKUP(A11,'Données projet'!$A$35:$I$55,2,0)</f>
        <v>#N/A</v>
      </c>
      <c r="L11" s="131" t="str">
        <f>VLOOKUP(A11,'Données projet'!$A$35:$I$55,9,0)</f>
        <v>#N/A</v>
      </c>
      <c r="M11" s="131">
        <f t="array" ref="M11">INDEX(L:L,MIN(IF(ISNUMBER(L11:L207),ROW(L11:L207),"")))</f>
        <v>3.92</v>
      </c>
      <c r="N11" s="130">
        <f>IF('Données projet'!$A$36&gt;35,N10+M11-V10,IF(A11&lt;'Données projet'!$A$36,$K$205^A11,IF(A11='Données projet'!$A$36,'Données projet'!$B$36,N10+M11-V10)))</f>
        <v>4.337029181</v>
      </c>
      <c r="O11" s="130">
        <f>N11*VLOOKUP('Données projet'!$B$9,'Paramètres'!$A$1:$I$89,3,0)*VLOOKUP('Données projet'!$B$9,'Paramètres'!$A$1:$I$89,5,0)</f>
        <v>2.480780691</v>
      </c>
      <c r="P11" s="130">
        <f t="shared" si="34"/>
        <v>1.02851434</v>
      </c>
      <c r="Q11" s="141">
        <f t="shared" si="2"/>
        <v>6.11202218</v>
      </c>
      <c r="R11" s="133">
        <f t="shared" si="3"/>
        <v>299.4453555</v>
      </c>
      <c r="S11" s="133">
        <f>AVERAGE(OFFSET($R$3,0,0,'Données projet'!$E$9+1,1))-AVERAGE(OFFSET($H$3,0,0,'Données projet'!$E$9+1,1))</f>
        <v>126.9946492</v>
      </c>
      <c r="T11" s="133">
        <f t="shared" si="35"/>
        <v>140.039049</v>
      </c>
      <c r="U11" s="134">
        <f>IF(ISNA(VLOOKUP(A11,'Données projet'!$A$35:$I$55,3,0)),0,VLOOKUP(A11,'Données projet'!$A$35:$I$55,3,0))</f>
        <v>0</v>
      </c>
      <c r="V11" s="134">
        <f>IF(ISNA(VLOOKUP(A11,'Données projet'!$A$35:$I$55,4,0)),0,VLOOKUP(A11,'Données projet'!$A$35:$I$55,4,0))</f>
        <v>0</v>
      </c>
      <c r="W11" s="135">
        <f>IF(ISNA(VLOOKUP(A11,'Données projet'!$A$35:$I$55,5,0)),0%,VLOOKUP(A11,'Données projet'!$A$35:$I$55,5,0)*VLOOKUP('Données projet'!$B$9,'Paramètres'!$A$1:$I$89,7,0))</f>
        <v>0</v>
      </c>
      <c r="X11" s="135">
        <f>IF(ISNA(VLOOKUP(A11,'Données projet'!$A$35:$I$55,6,0)),0%,VLOOKUP(A11,'Données projet'!$A$35:$I$55,6,0)*VLOOKUP('Données projet'!$B$9,'Paramètres'!$A$1:$I$89,7,0))</f>
        <v>0</v>
      </c>
      <c r="Y11" s="135">
        <f>IF(ISNA(VLOOKUP(A11,'Données projet'!$A$35:$I$55,7,0)),0%,VLOOKUP(A11,'Données projet'!$A$35:$I$55,7,0))</f>
        <v>0</v>
      </c>
      <c r="Z11" s="142">
        <f>EXP(-LN(2)/35)*Z10+(1-EXP(-LN(2)/35))/(LN(2)/35)*V11*W11*VLOOKUP('Données projet'!$B$9,'Paramètres'!$A$1:$I$89,3,0)*0.475*44/12</f>
        <v>0</v>
      </c>
      <c r="AA11" s="142">
        <f>EXP(-LN(2)/25)*AA10+(1-EXP(-LN(2)/25))/(LN(2)/25)*Calculateur!V11*Calculateur!X11*VLOOKUP('Données projet'!$B$9,'Paramètres'!$A$1:$I$89,3,0)*0.475*44/12</f>
        <v>0</v>
      </c>
      <c r="AB11" s="142">
        <f>EXP(-LN(2)/2)*AB10+(1-EXP(-LN(2)/2))/(LN(2)/2)*V11*Y11*VLOOKUP('Données projet'!$B$9,'Paramètres'!$A$1:$I$89,3,0)*0.475*44/12</f>
        <v>0</v>
      </c>
      <c r="AC11" s="143">
        <f t="shared" si="4"/>
        <v>0</v>
      </c>
      <c r="AD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0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1" t="str">
        <f>VLOOKUP(A11,'Données projet'!$A$61:$I$81,2,0)</f>
        <v>#N/A</v>
      </c>
      <c r="AG11" s="131" t="str">
        <f>VLOOKUP(A11,'Données projet'!$A$61:$I$81,9,0)</f>
        <v>#N/A</v>
      </c>
      <c r="AH11" s="130">
        <f t="array" ref="AH11">INDEX(AG:AG,MIN(IF(ISNUMBER(AG11:AG207),ROW(AG11:AG207),"")))</f>
        <v>5.590909091</v>
      </c>
      <c r="AI11" s="130">
        <f>IF('Données projet'!$A$62&gt;35,AI10+AH11-AQ10,IF(A11&lt;'Données projet'!$A$62,$AF$205^A11,IF(A11='Données projet'!$A$62,'Données projet'!$B$62,AI10+AH11-AQ10)))</f>
        <v>5.753942201</v>
      </c>
      <c r="AJ11" s="130">
        <f>AI11*VLOOKUP('Données projet'!$B$10,'Paramètres'!$A$1:$I$89,3,0)*VLOOKUP('Données projet'!$B$10,'Paramètres'!$A$1:$I$89,5,0)</f>
        <v>3.440857436</v>
      </c>
      <c r="AK11" s="130">
        <f t="shared" si="36"/>
        <v>1.373253588</v>
      </c>
      <c r="AL11" s="141">
        <f t="shared" si="5"/>
        <v>8.384576701</v>
      </c>
      <c r="AM11" s="133">
        <f t="shared" si="6"/>
        <v>301.71791</v>
      </c>
      <c r="AN11" s="133">
        <f>AVERAGE(OFFSET($AM$3,0,0,'Données projet'!$E$10+1,1))-AVERAGE(OFFSET($H$3,0,0,'Données projet'!$E$10+1,1))</f>
        <v>196.874484</v>
      </c>
      <c r="AO11" s="133">
        <f t="shared" si="37"/>
        <v>217.5750859</v>
      </c>
      <c r="AP11" s="134">
        <f>IF(ISNA(VLOOKUP(A11,'Données projet'!$A$61:$I$81,3,0)),0,VLOOKUP(A11,'Données projet'!$A$61:$I$81,3,0))</f>
        <v>0</v>
      </c>
      <c r="AQ11" s="134">
        <f>IF(ISNA(VLOOKUP(A11,'Données projet'!$A$61:$I$81,4,0)),0,VLOOKUP(A11,'Données projet'!$A$61:$I$81,4,0))</f>
        <v>0</v>
      </c>
      <c r="AR11" s="135">
        <f>IF(ISNA(VLOOKUP(A11,'Données projet'!$A$61:$I$81,5,0)),0%,VLOOKUP(A11,'Données projet'!$A$61:$I$81,5,0)*VLOOKUP('Données projet'!$B$10,'Paramètres'!$A$1:$I$89,7,0))</f>
        <v>0</v>
      </c>
      <c r="AS11" s="135">
        <f>IF(ISNA(VLOOKUP(A11,'Données projet'!$A$61:$I$81,6,0)),0%,VLOOKUP(A11,'Données projet'!$A$61:$I$81,6,0)*VLOOKUP('Données projet'!$B$10,'Paramètres'!$A$1:$I$89,7,0))</f>
        <v>0</v>
      </c>
      <c r="AT11" s="135">
        <f>IF(ISNA(VLOOKUP(A11,'Données projet'!$A$61:$I$81,7,0)),0%,VLOOKUP(A11,'Données projet'!$A$61:$I$81,7,0))</f>
        <v>0</v>
      </c>
      <c r="AU11" s="142">
        <f>EXP(-LN(2)/35)*AU10+(1-EXP(-LN(2)/35))/(LN(2)/35)*AQ11*AR11*VLOOKUP('Données projet'!$B$10,'Paramètres'!$A$1:$I$89,3,0)*0.475*44/12</f>
        <v>0</v>
      </c>
      <c r="AV11" s="142">
        <f>EXP(-LN(2)/25)*AV10+(1-EXP(-LN(2)/25))/(LN(2)/25)*Calculateur!AQ11*Calculateur!AS11*VLOOKUP('Données projet'!$B$10,'Paramètres'!$A$1:$I$89,3,0)*0.475*44/12</f>
        <v>0</v>
      </c>
      <c r="AW11" s="142">
        <f>EXP(-LN(2)/2)*AW10+(1-EXP(-LN(2)/2))/(LN(2)/2)*AQ11*AT11*VLOOKUP('Données projet'!$B$10,'Paramètres'!$A$1:$I$89,3,0)*0.475*44/12</f>
        <v>0</v>
      </c>
      <c r="AX11" s="142">
        <f t="shared" si="7"/>
        <v>0</v>
      </c>
      <c r="AY11" s="13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1" t="str">
        <f>VLOOKUP(A11,'Données projet'!$A$87:$I$107,2,0)</f>
        <v>#N/A</v>
      </c>
      <c r="BB11" s="131" t="str">
        <f>VLOOKUP(A11,'Données projet'!$A$87:$I$107,9,0)</f>
        <v>#N/A</v>
      </c>
      <c r="BC11" s="130">
        <f t="array" ref="BC11">INDEX(BB:BB,MIN(IF(ISNUMBER(BB11:BB207),ROW(BB11:BB207),"")))</f>
        <v>4.666666667</v>
      </c>
      <c r="BD11" s="131">
        <f>IF('Données projet'!$A$88&gt;35,BD10+BC11-BL10,IF(A11&lt;'Données projet'!$A$88,$BA$205^A11,IF(A11='Données projet'!$A$88,'Données projet'!$B$88,BD10+BC11-BL10)))</f>
        <v>3.735087752</v>
      </c>
      <c r="BE11" s="130">
        <f>BD11*VLOOKUP('Données projet'!$B$11,'Paramètres'!$A$1:$I$89,3,0)*VLOOKUP('Données projet'!$B$11,'Paramètres'!$A$1:$I$89,5,0)</f>
        <v>1.748021068</v>
      </c>
      <c r="BF11" s="130">
        <f t="shared" si="38"/>
        <v>0.754859797</v>
      </c>
      <c r="BG11" s="141">
        <f t="shared" si="8"/>
        <v>4.359184173</v>
      </c>
      <c r="BH11" s="133">
        <f t="shared" si="9"/>
        <v>297.6925175</v>
      </c>
      <c r="BI11" s="133">
        <f>AVERAGE(OFFSET($BH$3,0,0,'Données projet'!$E$11+1,1))-AVERAGE(OFFSET($H$3,0,0,'Données projet'!$E$11+1,1))</f>
        <v>134.0948534</v>
      </c>
      <c r="BJ11" s="133">
        <f t="shared" si="39"/>
        <v>108.4102536</v>
      </c>
      <c r="BK11" s="134">
        <f>IF(ISNA(VLOOKUP(A11,'Données projet'!$A$87:$I$107,3,0)),0,VLOOKUP(A11,'Données projet'!$A$87:$I$107,3,0))</f>
        <v>0</v>
      </c>
      <c r="BL11" s="134">
        <f>IF(ISNA(VLOOKUP(A11,'Données projet'!$A$87:$I$107,4,0)),0,VLOOKUP(A11,'Données projet'!$A$87:$I$107,4,0))</f>
        <v>0</v>
      </c>
      <c r="BM11" s="135">
        <f>IF(ISNA(VLOOKUP(A11,'Données projet'!$A$87:$I$107,5,0)),0%,VLOOKUP(A11,'Données projet'!$A$87:$I$107,5,0)*VLOOKUP('Données projet'!$B$11,'Paramètres'!$A$1:$I$89,7,0))</f>
        <v>0</v>
      </c>
      <c r="BN11" s="135">
        <f>IF(ISNA(VLOOKUP(A11,'Données projet'!$A$87:$I$107,6,0)),0%,VLOOKUP(A11,'Données projet'!$A$87:$I$107,6,0)*VLOOKUP('Données projet'!$B$11,'Paramètres'!$A$1:$I$89,7,0))</f>
        <v>0</v>
      </c>
      <c r="BO11" s="135">
        <f>IF(ISNA(VLOOKUP(A11,'Données projet'!$A$87:$I$107,7,0)),0%,VLOOKUP(A11,'Données projet'!$A$87:$I$107,7,0))</f>
        <v>0</v>
      </c>
      <c r="BP11" s="142">
        <f>EXP(-LN(2)/35)*BP10+(1-EXP(-LN(2)/35))/(LN(2)/35)*BL11*BM11*VLOOKUP('Données projet'!$B$11,'Paramètres'!$A$1:$I$89,3,0)*0.475*44/12</f>
        <v>0</v>
      </c>
      <c r="BQ11" s="142">
        <f>EXP(-LN(2)/25)*BQ10+(1-EXP(-LN(2)/25))/(LN(2)/25)*Calculateur!BL11*Calculateur!BN11*VLOOKUP('Données projet'!$B$11,'Paramètres'!$A$1:$I$89,3,0)*0.475*44/12</f>
        <v>0</v>
      </c>
      <c r="BR11" s="142">
        <f>EXP(-LN(2)/2)*BR10+(1-EXP(-LN(2)/2))/(LN(2)/2)*BL11*BO11*VLOOKUP('Données projet'!$B$11,'Paramètres'!$A$1:$I$89,3,0)*0.475*44/12</f>
        <v>0</v>
      </c>
      <c r="BS11" s="143">
        <f t="shared" si="10"/>
        <v>0</v>
      </c>
      <c r="BT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1" t="str">
        <f>VLOOKUP(A11,'Données projet'!$A$113:$I$133,2,0)</f>
        <v>#N/A</v>
      </c>
      <c r="BW11" s="131" t="str">
        <f>VLOOKUP(A11,'Données projet'!$A$113:$I$133,9,0)</f>
        <v>#N/A</v>
      </c>
      <c r="BX11" s="130">
        <f t="array" ref="BX11">INDEX(BW:BW,MIN(IF(ISNUMBER(BW11:BW207),ROW(BW11:BW207),"")))</f>
        <v>1.866666667</v>
      </c>
      <c r="BY11" s="131">
        <f>IF('Données projet'!$A$114&gt;35,BY10+BX11-CG10,IF(A11&lt;'Données projet'!$A$114,$BV$205^A11,IF(A11='Données projet'!$A$114,'Données projet'!$B$114,BY10+BX11-CG10)))</f>
        <v>5.913132582</v>
      </c>
      <c r="BZ11" s="130">
        <f>BY11*VLOOKUP('Données projet'!$B$12,'Paramètres'!$A$1:$I$89,3,0)*VLOOKUP('Données projet'!$B$12,'Paramètres'!$A$1:$I$89,5,0)</f>
        <v>2.921087496</v>
      </c>
      <c r="CA11" s="130">
        <f t="shared" si="40"/>
        <v>1.188248413</v>
      </c>
      <c r="CB11" s="141">
        <f t="shared" si="11"/>
        <v>7.157093375</v>
      </c>
      <c r="CC11" s="133">
        <f t="shared" si="12"/>
        <v>300.4904267</v>
      </c>
      <c r="CD11" s="133">
        <f>AVERAGE(OFFSET($CC$3,0,0,'Données projet'!$E$12+1,1))-AVERAGE(OFFSET($H$3,0,0,'Données projet'!$E$12+1,1))</f>
        <v>258.1672054</v>
      </c>
      <c r="CE11" s="133">
        <f t="shared" si="41"/>
        <v>296.0724261</v>
      </c>
      <c r="CF11" s="134">
        <f>IF(ISNA(VLOOKUP(A11,'Données projet'!$A$113:$I$133,3,0)),0,VLOOKUP(A11,'Données projet'!$A$113:$I$133,3,0))</f>
        <v>0</v>
      </c>
      <c r="CG11" s="134">
        <f>IF(ISNA(VLOOKUP(A11,'Données projet'!$A$113:$I$133,4,0)),0,VLOOKUP(A11,'Données projet'!$A$113:$I$133,4,0))</f>
        <v>0</v>
      </c>
      <c r="CH11" s="135">
        <f>IF(ISNA(VLOOKUP(A11,'Données projet'!$A$113:$I$133,5,0)),0%,VLOOKUP(A11,'Données projet'!$A$113:$I$133,5,0)*VLOOKUP('Données projet'!$B$12,'Paramètres'!$A$1:$I$89,7,0))</f>
        <v>0</v>
      </c>
      <c r="CI11" s="135">
        <f>IF(ISNA(VLOOKUP(A11,'Données projet'!$A$113:$I$133,6,0)),0%,VLOOKUP(A11,'Données projet'!$A$113:$I$133,6,0)*VLOOKUP('Données projet'!$B$12,'Paramètres'!$A$1:$I$89,7,0))</f>
        <v>0</v>
      </c>
      <c r="CJ11" s="135">
        <f>IF(ISNA(VLOOKUP(A11,'Données projet'!$A$113:$I$133,7,0)),0%,VLOOKUP(A11,'Données projet'!$A$113:$I$133,7,0))</f>
        <v>0</v>
      </c>
      <c r="CK11" s="142">
        <f>EXP(-LN(2)/35)*CK10+(1-EXP(-LN(2)/35))/(LN(2)/35)*CG11*CH11*VLOOKUP('Données projet'!$B$12,'Paramètres'!$A$1:$I$89,3,0)*0.475*44/12</f>
        <v>0</v>
      </c>
      <c r="CL11" s="142">
        <f>EXP(-LN(2)/25)*CL10+(1-EXP(-LN(2)/25))/(LN(2)/25)*Calculateur!CG11*Calculateur!CI11*VLOOKUP('Données projet'!$B$12,'Paramètres'!$A$1:$I$89,3,0)*0.475*44/12</f>
        <v>0</v>
      </c>
      <c r="CM11" s="142">
        <f>EXP(-LN(2)/2)*CM10+(1-EXP(-LN(2)/2))/(LN(2)/2)*CG11*CJ11*VLOOKUP('Données projet'!$B$12,'Paramètres'!$A$1:$I$89,3,0)*0.475*44/12</f>
        <v>0</v>
      </c>
      <c r="CN11" s="143">
        <f t="shared" si="13"/>
        <v>0</v>
      </c>
      <c r="CO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1" t="str">
        <f>VLOOKUP(A11,'Données projet'!$A$139:$I$159,2,0)</f>
        <v>#N/A</v>
      </c>
      <c r="CR11" s="131" t="str">
        <f>VLOOKUP(A11,'Données projet'!$A$139:$I$159,9,0)</f>
        <v>#N/A</v>
      </c>
      <c r="CS11" s="130">
        <f t="array" ref="CS11">INDEX(CR:CR,MIN(IF(ISNUMBER(CR11:CR207),ROW(CR11:CR207),"")))</f>
        <v>1.2</v>
      </c>
      <c r="CT11" s="131">
        <f>IF('Données projet'!$A$140&gt;35,CT10+CS11-DB10,IF(A11&lt;'Données projet'!$A$140,$CQ$205^A11,IF(A11='Données projet'!$A$140,'Données projet'!$B$140,CT10+CS11-DB10)))</f>
        <v>2.969469039</v>
      </c>
      <c r="CU11" s="138">
        <f>CT11*VLOOKUP('Données projet'!$B$13,'Paramètres'!$A$1:$I$89,3,0)*VLOOKUP('Données projet'!$B$13,'Paramètres'!$A$1:$I$89,5,0)</f>
        <v>3.011041606</v>
      </c>
      <c r="CV11" s="130">
        <f t="shared" si="42"/>
        <v>1.220523627</v>
      </c>
      <c r="CW11" s="141">
        <f t="shared" si="14"/>
        <v>7.369976113</v>
      </c>
      <c r="CX11" s="133">
        <f t="shared" si="15"/>
        <v>300.7033094</v>
      </c>
      <c r="CY11" s="133">
        <f>AVERAGE(OFFSET($CX$3,0,0,'Données projet'!$E$13+1,1))-AVERAGE(OFFSET($H$3,0,0,'Données projet'!$E$13+1,1))</f>
        <v>223.783507</v>
      </c>
      <c r="CZ11" s="133">
        <f t="shared" si="43"/>
        <v>84.92349117</v>
      </c>
      <c r="DA11" s="134">
        <f>IF(ISNA(VLOOKUP(A11,'Données projet'!$A$139:$I$159,3,0)),0,VLOOKUP(A11,'Données projet'!$A$139:$I$159,3,0))</f>
        <v>0</v>
      </c>
      <c r="DB11" s="134">
        <f>IF(ISNA(VLOOKUP(A11,'Données projet'!$A$139:$I$159,4,0)),0,VLOOKUP(A11,'Données projet'!$A$139:$I$159,4,0))</f>
        <v>0</v>
      </c>
      <c r="DC11" s="135">
        <f>IF(ISNA(VLOOKUP(A11,'Données projet'!$A$139:$I$159,5,0)),0%,VLOOKUP(A11,'Données projet'!$A$139:$I$159,5,0)*VLOOKUP('Données projet'!$B$13,'Paramètres'!$A$1:$I$89,7,0))</f>
        <v>0</v>
      </c>
      <c r="DD11" s="135">
        <f>IF(ISNA(VLOOKUP(A11,'Données projet'!$A$139:$I$159,6,0)),0%,VLOOKUP(A11,'Données projet'!$A$139:$I$159,6,0)*VLOOKUP('Données projet'!$B$13,'Paramètres'!$A$1:$I$89,7,0))</f>
        <v>0</v>
      </c>
      <c r="DE11" s="135">
        <f>IF(ISNA(VLOOKUP(A11,'Données projet'!$A$139:$I$159,7,0)),0%,VLOOKUP(A11,'Données projet'!$A$139:$I$159,7,0))</f>
        <v>0</v>
      </c>
      <c r="DF11" s="142">
        <f>EXP(-LN(2)/35)*DF10+(1-EXP(-LN(2)/35))/(LN(2)/35)*DB11*DC11*VLOOKUP('Données projet'!$B$13,'Paramètres'!$A$1:$I$89,3,0)*0.475*44/12</f>
        <v>0</v>
      </c>
      <c r="DG11" s="142">
        <f>EXP(-LN(2)/25)*DG10+(1-EXP(-LN(2)/25))/(LN(2)/25)*Calculateur!DB11*Calculateur!DD11*VLOOKUP('Données projet'!$B$13,'Paramètres'!$A$1:$I$89,3,0)*0.475*44/12</f>
        <v>0</v>
      </c>
      <c r="DH11" s="142">
        <f>EXP(-LN(2)/2)*DH10+(1-EXP(-LN(2)/2))/(LN(2)/2)*DB11*DE11*VLOOKUP('Données projet'!$B$13,'Paramètres'!$A$1:$I$89,3,0)*0.475*44/12</f>
        <v>0</v>
      </c>
      <c r="DI11" s="143">
        <f t="shared" si="16"/>
        <v>0</v>
      </c>
      <c r="DJ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1" t="str">
        <f>VLOOKUP(A11,'Données projet'!$A$165:$I$185,2,0)</f>
        <v>#N/A</v>
      </c>
      <c r="DM11" s="131" t="str">
        <f>VLOOKUP(A11,'Données projet'!$A$165:$I$185,9,0)</f>
        <v>#N/A</v>
      </c>
      <c r="DN11" s="131">
        <f t="array" ref="DN11">INDEX(DM:DM,MIN(IF(ISNUMBER(DM11:DM207),ROW(DM11:DM207),"")))</f>
        <v>2.1</v>
      </c>
      <c r="DO11" s="131">
        <f>IF('Données projet'!$A$166&gt;35,DO10+DN11-DW10,IF(A11&lt;'Données projet'!$A$166,$DL$205^A11,IF(A11='Données projet'!$A$166,'Données projet'!$B$166,DO10+DN11-DW10)))</f>
        <v>4.459639117</v>
      </c>
      <c r="DP11" s="138">
        <f>DO11*VLOOKUP('Données projet'!$B$14,'Paramètres'!$A$1:$I$89,3,0)*VLOOKUP('Données projet'!$B$14,'Paramètres'!$A$1:$I$89,5,0)</f>
        <v>4.035081473</v>
      </c>
      <c r="DQ11" s="130">
        <f t="shared" si="44"/>
        <v>1.580822703</v>
      </c>
      <c r="DR11" s="141">
        <f t="shared" si="17"/>
        <v>9.781033106</v>
      </c>
      <c r="DS11" s="133">
        <f t="shared" si="18"/>
        <v>303.1143664</v>
      </c>
      <c r="DT11" s="133">
        <f>AVERAGE(OFFSET($DS$3,0,0,'Données projet'!$E$14+1,1))-AVERAGE(OFFSET($H$3,0,0,'Données projet'!$E$14+1,1))</f>
        <v>287.9334714</v>
      </c>
      <c r="DU11" s="133">
        <f t="shared" si="45"/>
        <v>156.6796502</v>
      </c>
      <c r="DV11" s="134">
        <f>IF(ISNA(VLOOKUP(A11,'Données projet'!$A$165:$I$185,3,0)),0,VLOOKUP(A11,'Données projet'!$A$165:$I$185,3,0))</f>
        <v>0</v>
      </c>
      <c r="DW11" s="134">
        <f>IF(ISNA(VLOOKUP(A11,'Données projet'!$A$165:$I$185,4,0)),0,VLOOKUP(A11,'Données projet'!$A$165:$I$185,4,0))</f>
        <v>0</v>
      </c>
      <c r="DX11" s="135">
        <f>IF(ISNA(VLOOKUP(A11,'Données projet'!$A$165:$I$185,5,0)),0%,VLOOKUP(A11,'Données projet'!$A$165:$I$185,5,0)*VLOOKUP('Données projet'!$B$14,'Paramètres'!$A$1:$I$89,7,0))</f>
        <v>0</v>
      </c>
      <c r="DY11" s="135">
        <f>IF(ISNA(VLOOKUP(A11,'Données projet'!$A$165:$I$185,6,0)),0%,VLOOKUP(A11,'Données projet'!$A$165:$I$185,6,0)*VLOOKUP('Données projet'!$B$14,'Paramètres'!$A$1:$I$89,7,0))</f>
        <v>0</v>
      </c>
      <c r="DZ11" s="135">
        <f>IF(ISNA(VLOOKUP(A11,'Données projet'!$A$165:$I$185,7,0)),0%,VLOOKUP(A11,'Données projet'!$A$165:$I$185,7,0))</f>
        <v>0</v>
      </c>
      <c r="EA11" s="142">
        <f>EXP(-LN(2)/35)*EA10+(1-EXP(-LN(2)/35))/(LN(2)/35)*DW11*DX11*VLOOKUP('Données projet'!$B$14,'Paramètres'!$A$1:$I$89,3,0)*0.475*44/12</f>
        <v>0</v>
      </c>
      <c r="EB11" s="142">
        <f>EXP(-LN(2)/25)*EB10+(1-EXP(-LN(2)/25))/(LN(2)/25)*Calculateur!DW11*Calculateur!DY11*VLOOKUP('Données projet'!$B$14,'Paramètres'!$A$1:$I$89,3,0)*0.475*44/12</f>
        <v>0</v>
      </c>
      <c r="EC11" s="142">
        <f>EXP(-LN(2)/2)*EC10+(1-EXP(-LN(2)/2))/(LN(2)/2)*DW11*DZ11*VLOOKUP('Données projet'!$B$14,'Paramètres'!$A$1:$I$89,3,0)*0.475*44/12</f>
        <v>0</v>
      </c>
      <c r="ED11" s="143">
        <f t="shared" si="19"/>
        <v>0</v>
      </c>
      <c r="EE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1" t="str">
        <f>VLOOKUP(A11,'Données projet'!$A$191:$I$211,2,0)</f>
        <v>#N/A</v>
      </c>
      <c r="EH11" s="131" t="str">
        <f>VLOOKUP(A11,'Données projet'!$A$191:$I$211,9,0)</f>
        <v>#N/A</v>
      </c>
      <c r="EI11" s="131">
        <f t="array" ref="EI11">INDEX(EH:EH,MIN(IF(ISNUMBER(EH11:EH207),ROW(EH11:EH207),"")))</f>
        <v>1.6</v>
      </c>
      <c r="EJ11" s="131">
        <f>IF('Données projet'!$A$192&gt;35,EJ10+EI11-ER10,IF(A11&lt;'Données projet'!$A$192,$EG$205^A11,IF(A11='Données projet'!$A$192,'Données projet'!$B$192,EJ10+EI11-ER10)))</f>
        <v>3.255811083</v>
      </c>
      <c r="EK11" s="138">
        <f>EJ11*VLOOKUP('Données projet'!$B$15,'Paramètres'!$A$1:$I$89,3,0)*VLOOKUP('Données projet'!$B$15,'Paramètres'!$A$1:$I$89,5,0)</f>
        <v>2.387160686</v>
      </c>
      <c r="EL11" s="130">
        <f t="shared" si="46"/>
        <v>0.9941417067</v>
      </c>
      <c r="EM11" s="141">
        <f t="shared" si="20"/>
        <v>5.889101668</v>
      </c>
      <c r="EN11" s="133">
        <f t="shared" si="21"/>
        <v>299.222435</v>
      </c>
      <c r="EO11" s="133">
        <f>AVERAGE(OFFSET($EN$3,0,0,'Données projet'!$E$15+1,1))-AVERAGE(OFFSET($H$3,0,0,'Données projet'!$E$15+1,1))</f>
        <v>130.3193339</v>
      </c>
      <c r="EP11" s="133">
        <f t="shared" si="47"/>
        <v>82.22784365</v>
      </c>
      <c r="EQ11" s="134">
        <f>IF(ISNA(VLOOKUP(A11,'Données projet'!$A$191:$I$211,3,0)),0,VLOOKUP(A11,'Données projet'!$A$191:$I$211,3,0))</f>
        <v>0</v>
      </c>
      <c r="ER11" s="134">
        <f>IF(ISNA(VLOOKUP(A11,'Données projet'!$A$191:$I$211,4,0)),0,VLOOKUP(A11,'Données projet'!$A$191:$I$211,4,0))</f>
        <v>0</v>
      </c>
      <c r="ES11" s="135">
        <f>IF(ISNA(VLOOKUP(A11,'Données projet'!$A$191:$I$211,5,0)),0%,VLOOKUP(A11,'Données projet'!$A$191:$I$211,5,0)*VLOOKUP('Données projet'!$B$15,'Paramètres'!$A$1:$I$89,7,0))</f>
        <v>0</v>
      </c>
      <c r="ET11" s="135">
        <f>IF(ISNA(VLOOKUP(A11,'Données projet'!$A$191:$I$211,6,0)),0%,VLOOKUP(A11,'Données projet'!$A$191:$I$211,6,0)*VLOOKUP('Données projet'!$B$15,'Paramètres'!$A$1:$I$89,7,0))</f>
        <v>0</v>
      </c>
      <c r="EU11" s="135">
        <f>IF(ISNA(VLOOKUP(A11,'Données projet'!$A$191:$I$211,7,0)),0%,VLOOKUP(A11,'Données projet'!$A$191:$I$211,7,0))</f>
        <v>0</v>
      </c>
      <c r="EV11" s="142">
        <f>EXP(-LN(2)/35)*EV10+(1-EXP(-LN(2)/35))/(LN(2)/35)*ER11*ES11*VLOOKUP('Données projet'!$B$15,'Paramètres'!$A$1:$I$89,3,0)*0.475*44/12</f>
        <v>0</v>
      </c>
      <c r="EW11" s="142">
        <f>EXP(-LN(2)/25)*EW10+(1-EXP(-LN(2)/25))/(LN(2)/25)*Calculateur!ER11*Calculateur!ET11*VLOOKUP('Données projet'!$B$15,'Paramètres'!$A$1:$I$89,3,0)*0.475*44/12</f>
        <v>0</v>
      </c>
      <c r="EX11" s="142">
        <f>EXP(-LN(2)/2)*EX10+(1-EXP(-LN(2)/2))/(LN(2)/2)*ER11*EU11*VLOOKUP('Données projet'!$B$15,'Paramètres'!$A$1:$I$89,3,0)*0.475*44/12</f>
        <v>0</v>
      </c>
      <c r="EY11" s="143">
        <f t="shared" si="22"/>
        <v>0</v>
      </c>
      <c r="EZ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1" t="str">
        <f>VLOOKUP(A11,'Données projet'!$A$217:$I$237,2,0)</f>
        <v>#N/A</v>
      </c>
      <c r="FC11" s="131" t="str">
        <f>VLOOKUP(A11,'Données projet'!$A$217:$I$237,9,0)</f>
        <v>#N/A</v>
      </c>
      <c r="FD11" s="130">
        <f t="array" ref="FD11">INDEX(FC:FC,MIN(IF(ISNUMBER(FC11:FC207),ROW(FC11:FC207),"")))</f>
        <v>7.533333333</v>
      </c>
      <c r="FE11" s="131">
        <f>IF('Données projet'!$A$218&gt;35,FE10+FD11-FM10,IF(A11&lt;'Données projet'!$A$218,$FB$205^A11,IF(A11='Données projet'!$A$218,'Données projet'!$B$218,FE10+FD11-FM10)))</f>
        <v>12.44443461</v>
      </c>
      <c r="FF11" s="138">
        <f>FE11*VLOOKUP('Données projet'!$B$16,'Paramètres'!$A$1:$I$89,3,0)*VLOOKUP('Données projet'!$B$16,'Paramètres'!$A$1:$I$89,5,0)</f>
        <v>11.25972443</v>
      </c>
      <c r="FG11" s="130">
        <f t="shared" si="48"/>
        <v>3.914551357</v>
      </c>
      <c r="FH11" s="141">
        <f t="shared" si="23"/>
        <v>26.42853033</v>
      </c>
      <c r="FI11" s="133">
        <f t="shared" si="24"/>
        <v>319.7618637</v>
      </c>
      <c r="FJ11" s="133">
        <f>AVERAGE(OFFSET($FI$3,0,0,'Données projet'!$E$16+1,1))-AVERAGE(OFFSET($H$3,0,0,'Données projet'!$E$16+1,1))</f>
        <v>305.6252353</v>
      </c>
      <c r="FK11" s="133">
        <f t="shared" si="49"/>
        <v>331.397916</v>
      </c>
      <c r="FL11" s="134">
        <f>IF(ISNA(VLOOKUP(A11,'Données projet'!$A$217:$I$237,3,0)),0,VLOOKUP(A11,'Données projet'!$A$217:$I$237,3,0))</f>
        <v>0</v>
      </c>
      <c r="FM11" s="134">
        <f>IF(ISNA(VLOOKUP(A11,'Données projet'!$A$217:$I$237,4,0)),0,VLOOKUP(A11,'Données projet'!$A$217:$I$237,4,0))</f>
        <v>0</v>
      </c>
      <c r="FN11" s="135">
        <f>IF(ISNA(VLOOKUP(A11,'Données projet'!$A$217:$I$237,5,0)),0%,VLOOKUP(A11,'Données projet'!$A$217:$I$237,5,0)*VLOOKUP('Données projet'!$B$16,'Paramètres'!$A$1:$I$89,7,0))</f>
        <v>0</v>
      </c>
      <c r="FO11" s="135">
        <f>IF(ISNA(VLOOKUP(A11,'Données projet'!$A$217:$I$237,6,0)),0%,VLOOKUP(A11,'Données projet'!$A$217:$I$237,6,0)*VLOOKUP('Données projet'!$B$16,'Paramètres'!$A$1:$I$89,7,0))</f>
        <v>0</v>
      </c>
      <c r="FP11" s="135">
        <f>IF(ISNA(VLOOKUP(A11,'Données projet'!$A$217:$I$237,7,0)),0%,VLOOKUP(A11,'Données projet'!$A$217:$I$237,7,0))</f>
        <v>0</v>
      </c>
      <c r="FQ11" s="142">
        <f>EXP(-LN(2)/35)*FQ10+(1-EXP(-LN(2)/35))/(LN(2)/35)*FM11*FN11*VLOOKUP('Données projet'!$B$16,'Paramètres'!$A$1:$I$89,3,0)*0.475*44/12</f>
        <v>0</v>
      </c>
      <c r="FR11" s="142">
        <f>EXP(-LN(2)/25)*FR10+(1-EXP(-LN(2)/25))/(LN(2)/25)*Calculateur!FM11*Calculateur!FO11*VLOOKUP('Données projet'!$B$16,'Paramètres'!$A$1:$I$89,3,0)*0.475*44/12</f>
        <v>0</v>
      </c>
      <c r="FS11" s="142">
        <f>EXP(-LN(2)/2)*FS10+(1-EXP(-LN(2)/2))/(LN(2)/2)*FM11*FP11*VLOOKUP('Données projet'!$B$16,'Paramètres'!$A$1:$I$89,3,0)*0.475*44/12</f>
        <v>0</v>
      </c>
      <c r="FT11" s="143">
        <f t="shared" si="25"/>
        <v>0</v>
      </c>
      <c r="FU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1" t="str">
        <f>VLOOKUP(A11,'Données projet'!$A$243:$I$263,2,0)</f>
        <v>#N/A</v>
      </c>
      <c r="FX11" s="131" t="str">
        <f>VLOOKUP(A11,'Données projet'!$A$243:$I$263,9,0)</f>
        <v>#N/A</v>
      </c>
      <c r="FY11" s="130">
        <f t="array" ref="FY11">INDEX(FX:FX,MIN(IF(ISNUMBER(FX11:FX207),ROW(FX11:FX207),"")))</f>
        <v>1.6</v>
      </c>
      <c r="FZ11" s="131">
        <f>IF('Données projet'!$A$244&gt;35,FZ10+FY11-GH10,IF(A11&lt;'Données projet'!$A$244,$FW$205^A11,IF(A11='Données projet'!$A$244,'Données projet'!$B$244,FZ10+FY11-GH10)))</f>
        <v>4</v>
      </c>
      <c r="GA11" s="138">
        <f>FZ11*VLOOKUP('Données projet'!$B$17,'Paramètres'!$A$1:$I$89,3,0)*VLOOKUP('Données projet'!$B$17,'Paramètres'!$A$1:$I$89,5,0)</f>
        <v>2.6832</v>
      </c>
      <c r="GB11" s="130">
        <f t="shared" si="50"/>
        <v>1.102325606</v>
      </c>
      <c r="GC11" s="141">
        <f t="shared" si="26"/>
        <v>6.593123763</v>
      </c>
      <c r="GD11" s="133">
        <f t="shared" si="27"/>
        <v>299.9264571</v>
      </c>
      <c r="GE11" s="133">
        <f>AVERAGE(OFFSET($GD$3,0,0,'Données projet'!$E$17+1,1))-AVERAGE(OFFSET($H$3,0,0,'Données projet'!$E$17+1,1))</f>
        <v>118.7368745</v>
      </c>
      <c r="GF11" s="133">
        <f t="shared" si="51"/>
        <v>135.1233677</v>
      </c>
      <c r="GG11" s="134">
        <f>IF(ISNA(VLOOKUP(A11,'Données projet'!$A$243:$I$263,3,0)),0,VLOOKUP(A11,'Données projet'!$A$243:$I$263,3,0))</f>
        <v>0</v>
      </c>
      <c r="GH11" s="134">
        <f>IF(ISNA(VLOOKUP(A11,'Données projet'!$A$243:$I$263,4,0)),0,VLOOKUP(A11,'Données projet'!$A$243:$I$263,4,0))</f>
        <v>0</v>
      </c>
      <c r="GI11" s="135">
        <f>IF(ISNA(VLOOKUP(A11,'Données projet'!$A$243:$I$263,5,0)),0%,VLOOKUP(A11,'Données projet'!$A$243:$I$263,5,0)*VLOOKUP('Données projet'!$B$17,'Paramètres'!$A$1:$I$89,7,0))</f>
        <v>0</v>
      </c>
      <c r="GJ11" s="135">
        <f>IF(ISNA(VLOOKUP(A11,'Données projet'!$A$243:$I$263,6,0)),0%,VLOOKUP(A11,'Données projet'!$A$243:$I$263,6,0)*VLOOKUP('Données projet'!$B$17,'Paramètres'!$A$1:$I$89,7,0))</f>
        <v>0</v>
      </c>
      <c r="GK11" s="135">
        <f>IF(ISNA(VLOOKUP(A11,'Données projet'!$A$243:$I$263,7,0)),0%,VLOOKUP(A11,'Données projet'!$A$243:$I$263,7,0))</f>
        <v>0</v>
      </c>
      <c r="GL11" s="142">
        <f>EXP(-LN(2)/35)*GL10+(1-EXP(-LN(2)/35))/(LN(2)/35)*GH11*GI11*VLOOKUP('Données projet'!$B$17,'Paramètres'!$A$1:$I$89,3,0)*0.475*44/12</f>
        <v>0</v>
      </c>
      <c r="GM11" s="142">
        <f>EXP(-LN(2)/25)*GM10+(1-EXP(-LN(2)/25))/(LN(2)/25)*Calculateur!GH11*Calculateur!GJ11*VLOOKUP('Données projet'!$B$17,'Paramètres'!$A$1:$I$89,3,0)*0.475*44/12</f>
        <v>0</v>
      </c>
      <c r="GN11" s="142">
        <f>EXP(-LN(2)/2)*GN10+(1-EXP(-LN(2)/2))/(LN(2)/2)*GH11*GK11*VLOOKUP('Données projet'!$B$17,'Paramètres'!$A$1:$I$89,3,0)*0.475*44/12</f>
        <v>0</v>
      </c>
      <c r="GO11" s="142">
        <f t="shared" si="28"/>
        <v>0</v>
      </c>
      <c r="GP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1" t="str">
        <f>VLOOKUP(A11,'Données projet'!$A$269:$I$289,2,0)</f>
        <v>#N/A</v>
      </c>
      <c r="GS11" s="131" t="str">
        <f>VLOOKUP(A11,'Données projet'!$A$269:$I$289,9,0)</f>
        <v>#N/A</v>
      </c>
      <c r="GT11" s="130">
        <f t="array" ref="GT11">INDEX(GS:GS,MIN(IF(ISNUMBER(GS11:GS207),ROW(GS11:GS207),"")))</f>
        <v>1.2</v>
      </c>
      <c r="GU11" s="131">
        <f>IF('Données projet'!$A$270&gt;35,GU10+GT11-HC10,IF(A11&lt;'Données projet'!$A$270,$GR$205^A11,IF(A11='Données projet'!$A$270,'Données projet'!$B$270,GU10+GT11-HC10)))</f>
        <v>2.969469039</v>
      </c>
      <c r="GV11" s="138">
        <f>GU11*VLOOKUP('Données projet'!$B$18,'Paramètres'!$A$1:$I$89,3,0)*VLOOKUP('Données projet'!$B$18,'Paramètres'!$A$1:$I$89,5,0)</f>
        <v>3.196336474</v>
      </c>
      <c r="GW11" s="130">
        <f t="shared" si="52"/>
        <v>1.286657647</v>
      </c>
      <c r="GX11" s="141">
        <f t="shared" si="29"/>
        <v>7.807881427</v>
      </c>
      <c r="GY11" s="133">
        <f t="shared" si="30"/>
        <v>301.1412148</v>
      </c>
      <c r="GZ11" s="133">
        <f>AVERAGE(OFFSET($GY$3,0,0,'Données projet'!$E$18+1,1))-AVERAGE(OFFSET($H$3,0,0,'Données projet'!$E$18+1,1))</f>
        <v>100.5427875</v>
      </c>
      <c r="HA11" s="133">
        <f t="shared" si="53"/>
        <v>92.28663609</v>
      </c>
      <c r="HB11" s="134">
        <f>IF(ISNA(VLOOKUP(A11,'Données projet'!$A$269:$I$289,3,0)),0,VLOOKUP(A11,'Données projet'!$A$269:$I$289,3,0))</f>
        <v>0</v>
      </c>
      <c r="HC11" s="134">
        <f>IF(ISNA(VLOOKUP(A11,'Données projet'!$A$269:$I$289,4,0)),0,VLOOKUP(A11,'Données projet'!$A$269:$I$289,4,0))</f>
        <v>0</v>
      </c>
      <c r="HD11" s="135">
        <f>IF(ISNA(VLOOKUP(A11,'Données projet'!$A$269:$I$289,5,0)),0%,VLOOKUP(A11,'Données projet'!$A$269:$I$289,5,0)*VLOOKUP('Données projet'!$B$18,'Paramètres'!$A$1:$I$89,7,0))</f>
        <v>0</v>
      </c>
      <c r="HE11" s="135">
        <f>IF(ISNA(VLOOKUP(A11,'Données projet'!$A$269:$I$289,6,0)),0%,VLOOKUP(A11,'Données projet'!$A$269:$I$289,6,0)*VLOOKUP('Données projet'!$B$18,'Paramètres'!$A$1:$I$89,7,0))</f>
        <v>0</v>
      </c>
      <c r="HF11" s="135">
        <f>IF(ISNA(VLOOKUP(A11,'Données projet'!$A$269:$I$289,7,0)),0%,VLOOKUP(A11,'Données projet'!$A$269:$I$289,7,0))</f>
        <v>0</v>
      </c>
      <c r="HG11" s="142">
        <f>EXP(-LN(2)/35)*HG10+(1-EXP(-LN(2)/35))/(LN(2)/35)*HC11*HD11*VLOOKUP('Données projet'!$B$18,'Paramètres'!$A$1:$I$89,3,0)*0.475*44/12</f>
        <v>0</v>
      </c>
      <c r="HH11" s="142">
        <f>EXP(-LN(2)/25)*HH10+(1-EXP(-LN(2)/25))/(LN(2)/25)*Calculateur!HC11*Calculateur!HE11*VLOOKUP('Données projet'!$B$18,'Paramètres'!$A$1:$I$89,3,0)*0.475*44/12</f>
        <v>0</v>
      </c>
      <c r="HI11" s="142">
        <f>EXP(-LN(2)/2)*HI10+(1-EXP(-LN(2)/2))/(LN(2)/2)*HC11*HF11*VLOOKUP('Données projet'!$B$18,'Paramètres'!$A$1:$I$89,3,0)*0.475*44/12</f>
        <v>0</v>
      </c>
      <c r="HJ11" s="143">
        <f t="shared" si="31"/>
        <v>0</v>
      </c>
    </row>
    <row r="12">
      <c r="A12" s="125">
        <f t="shared" si="32"/>
        <v>9</v>
      </c>
      <c r="B12" s="126">
        <f>'Scénario référence'!$B$16*5+'Scénario référence'!$B$17*0+'Scénario référence'!$B$18*5</f>
        <v>0</v>
      </c>
      <c r="C12" s="140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4.914</v>
      </c>
      <c r="D12" s="127">
        <f t="shared" si="33"/>
        <v>1.881499752</v>
      </c>
      <c r="E1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7">
        <f>IF(OR('Scénario référence'!$F$8&gt;0,'Scénario référence'!$F$9&gt;0),('Scénario référence'!$F$8+'Scénario référence'!$F$9)*10,0)</f>
        <v>10</v>
      </c>
      <c r="G12" s="127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</v>
      </c>
      <c r="H12" s="128">
        <f t="shared" si="1"/>
        <v>305.1688287</v>
      </c>
      <c r="I12" s="12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1" t="str">
        <f>VLOOKUP(A12,'Données projet'!$A$35:$I$55,2,0)</f>
        <v>#N/A</v>
      </c>
      <c r="L12" s="131" t="str">
        <f>VLOOKUP(A12,'Données projet'!$A$35:$I$55,9,0)</f>
        <v>#N/A</v>
      </c>
      <c r="M12" s="131">
        <f t="array" ref="M12">INDEX(L:L,MIN(IF(ISNUMBER(L12:L208),ROW(L12:L208),"")))</f>
        <v>3.92</v>
      </c>
      <c r="N12" s="130">
        <f>IF('Données projet'!$A$36&gt;35,N11+M12-V11,IF(A12&lt;'Données projet'!$A$36,$K$205^A12,IF(A12='Données projet'!$A$36,'Données projet'!$B$36,N11+M12-V11)))</f>
        <v>5.210043955</v>
      </c>
      <c r="O12" s="130">
        <f>N12*VLOOKUP('Données projet'!$B$9,'Paramètres'!$A$1:$I$89,3,0)*VLOOKUP('Données projet'!$B$9,'Paramètres'!$A$1:$I$89,5,0)</f>
        <v>2.980145142</v>
      </c>
      <c r="P12" s="130">
        <f t="shared" si="34"/>
        <v>1.20945091</v>
      </c>
      <c r="Q12" s="141">
        <f t="shared" si="2"/>
        <v>7.296879791</v>
      </c>
      <c r="R12" s="133">
        <f t="shared" si="3"/>
        <v>300.6302131</v>
      </c>
      <c r="S12" s="133">
        <f>AVERAGE(OFFSET($R$3,0,0,'Données projet'!$E$9+1,1))-AVERAGE(OFFSET($H$3,0,0,'Données projet'!$E$9+1,1))</f>
        <v>126.9946492</v>
      </c>
      <c r="T12" s="133">
        <f t="shared" si="35"/>
        <v>140.039049</v>
      </c>
      <c r="U12" s="134">
        <f>IF(ISNA(VLOOKUP(A12,'Données projet'!$A$35:$I$55,3,0)),0,VLOOKUP(A12,'Données projet'!$A$35:$I$55,3,0))</f>
        <v>0</v>
      </c>
      <c r="V12" s="134">
        <f>IF(ISNA(VLOOKUP(A12,'Données projet'!$A$35:$I$55,4,0)),0,VLOOKUP(A12,'Données projet'!$A$35:$I$55,4,0))</f>
        <v>0</v>
      </c>
      <c r="W12" s="135">
        <f>IF(ISNA(VLOOKUP(A12,'Données projet'!$A$35:$I$55,5,0)),0%,VLOOKUP(A12,'Données projet'!$A$35:$I$55,5,0)*VLOOKUP('Données projet'!$B$9,'Paramètres'!$A$1:$I$89,7,0))</f>
        <v>0</v>
      </c>
      <c r="X12" s="135">
        <f>IF(ISNA(VLOOKUP(A12,'Données projet'!$A$35:$I$55,6,0)),0%,VLOOKUP(A12,'Données projet'!$A$35:$I$55,6,0)*VLOOKUP('Données projet'!$B$9,'Paramètres'!$A$1:$I$89,7,0))</f>
        <v>0</v>
      </c>
      <c r="Y12" s="135">
        <f>IF(ISNA(VLOOKUP(A12,'Données projet'!$A$35:$I$55,7,0)),0%,VLOOKUP(A12,'Données projet'!$A$35:$I$55,7,0))</f>
        <v>0</v>
      </c>
      <c r="Z12" s="142">
        <f>EXP(-LN(2)/35)*Z11+(1-EXP(-LN(2)/35))/(LN(2)/35)*V12*W12*VLOOKUP('Données projet'!$B$9,'Paramètres'!$A$1:$I$89,3,0)*0.475*44/12</f>
        <v>0</v>
      </c>
      <c r="AA12" s="142">
        <f>EXP(-LN(2)/25)*AA11+(1-EXP(-LN(2)/25))/(LN(2)/25)*Calculateur!V12*Calculateur!X12*VLOOKUP('Données projet'!$B$9,'Paramètres'!$A$1:$I$89,3,0)*0.475*44/12</f>
        <v>0</v>
      </c>
      <c r="AB12" s="142">
        <f>EXP(-LN(2)/2)*AB11+(1-EXP(-LN(2)/2))/(LN(2)/2)*V12*Y12*VLOOKUP('Données projet'!$B$9,'Paramètres'!$A$1:$I$89,3,0)*0.475*44/12</f>
        <v>0</v>
      </c>
      <c r="AC12" s="143">
        <f t="shared" si="4"/>
        <v>0</v>
      </c>
      <c r="AD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0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1" t="str">
        <f>VLOOKUP(A12,'Données projet'!$A$61:$I$81,2,0)</f>
        <v>#N/A</v>
      </c>
      <c r="AG12" s="131" t="str">
        <f>VLOOKUP(A12,'Données projet'!$A$61:$I$81,9,0)</f>
        <v>#N/A</v>
      </c>
      <c r="AH12" s="130">
        <f t="array" ref="AH12">INDEX(AG:AG,MIN(IF(ISNUMBER(AG12:AG208),ROW(AG12:AG208),"")))</f>
        <v>5.590909091</v>
      </c>
      <c r="AI12" s="130">
        <f>IF('Données projet'!$A$62&gt;35,AI11+AH12-AQ11,IF(A12&lt;'Données projet'!$A$62,$AF$205^A12,IF(A12='Données projet'!$A$62,'Données projet'!$B$62,AI11+AH12-AQ11)))</f>
        <v>7.160794028</v>
      </c>
      <c r="AJ12" s="130">
        <f>AI12*VLOOKUP('Données projet'!$B$10,'Paramètres'!$A$1:$I$89,3,0)*VLOOKUP('Données projet'!$B$10,'Paramètres'!$A$1:$I$89,5,0)</f>
        <v>4.282154829</v>
      </c>
      <c r="AK12" s="130">
        <f t="shared" si="36"/>
        <v>1.666053454</v>
      </c>
      <c r="AL12" s="141">
        <f t="shared" si="5"/>
        <v>10.35979609</v>
      </c>
      <c r="AM12" s="133">
        <f t="shared" si="6"/>
        <v>303.6931294</v>
      </c>
      <c r="AN12" s="133">
        <f>AVERAGE(OFFSET($AM$3,0,0,'Données projet'!$E$10+1,1))-AVERAGE(OFFSET($H$3,0,0,'Données projet'!$E$10+1,1))</f>
        <v>196.874484</v>
      </c>
      <c r="AO12" s="133">
        <f t="shared" si="37"/>
        <v>217.5750859</v>
      </c>
      <c r="AP12" s="134">
        <f>IF(ISNA(VLOOKUP(A12,'Données projet'!$A$61:$I$81,3,0)),0,VLOOKUP(A12,'Données projet'!$A$61:$I$81,3,0))</f>
        <v>0</v>
      </c>
      <c r="AQ12" s="134">
        <f>IF(ISNA(VLOOKUP(A12,'Données projet'!$A$61:$I$81,4,0)),0,VLOOKUP(A12,'Données projet'!$A$61:$I$81,4,0))</f>
        <v>0</v>
      </c>
      <c r="AR12" s="135">
        <f>IF(ISNA(VLOOKUP(A12,'Données projet'!$A$61:$I$81,5,0)),0%,VLOOKUP(A12,'Données projet'!$A$61:$I$81,5,0)*VLOOKUP('Données projet'!$B$10,'Paramètres'!$A$1:$I$89,7,0))</f>
        <v>0</v>
      </c>
      <c r="AS12" s="135">
        <f>IF(ISNA(VLOOKUP(A12,'Données projet'!$A$61:$I$81,6,0)),0%,VLOOKUP(A12,'Données projet'!$A$61:$I$81,6,0)*VLOOKUP('Données projet'!$B$10,'Paramètres'!$A$1:$I$89,7,0))</f>
        <v>0</v>
      </c>
      <c r="AT12" s="135">
        <f>IF(ISNA(VLOOKUP(A12,'Données projet'!$A$61:$I$81,7,0)),0%,VLOOKUP(A12,'Données projet'!$A$61:$I$81,7,0))</f>
        <v>0</v>
      </c>
      <c r="AU12" s="142">
        <f>EXP(-LN(2)/35)*AU11+(1-EXP(-LN(2)/35))/(LN(2)/35)*AQ12*AR12*VLOOKUP('Données projet'!$B$10,'Paramètres'!$A$1:$I$89,3,0)*0.475*44/12</f>
        <v>0</v>
      </c>
      <c r="AV12" s="142">
        <f>EXP(-LN(2)/25)*AV11+(1-EXP(-LN(2)/25))/(LN(2)/25)*Calculateur!AQ12*Calculateur!AS12*VLOOKUP('Données projet'!$B$10,'Paramètres'!$A$1:$I$89,3,0)*0.475*44/12</f>
        <v>0</v>
      </c>
      <c r="AW12" s="142">
        <f>EXP(-LN(2)/2)*AW11+(1-EXP(-LN(2)/2))/(LN(2)/2)*AQ12*AT12*VLOOKUP('Données projet'!$B$10,'Paramètres'!$A$1:$I$89,3,0)*0.475*44/12</f>
        <v>0</v>
      </c>
      <c r="AX12" s="142">
        <f t="shared" si="7"/>
        <v>0</v>
      </c>
      <c r="AY12" s="13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1" t="str">
        <f>VLOOKUP(A12,'Données projet'!$A$87:$I$107,2,0)</f>
        <v>#N/A</v>
      </c>
      <c r="BB12" s="131" t="str">
        <f>VLOOKUP(A12,'Données projet'!$A$87:$I$107,9,0)</f>
        <v>#N/A</v>
      </c>
      <c r="BC12" s="130">
        <f t="array" ref="BC12">INDEX(BB:BB,MIN(IF(ISNUMBER(BB12:BB208),ROW(BB12:BB208),"")))</f>
        <v>4.666666667</v>
      </c>
      <c r="BD12" s="131">
        <f>IF('Données projet'!$A$88&gt;35,BD11+BC12-BL11,IF(A12&lt;'Données projet'!$A$88,$BA$205^A12,IF(A12='Données projet'!$A$88,'Données projet'!$B$88,BD11+BC12-BL11)))</f>
        <v>4.403909754</v>
      </c>
      <c r="BE12" s="130">
        <f>BD12*VLOOKUP('Données projet'!$B$11,'Paramètres'!$A$1:$I$89,3,0)*VLOOKUP('Données projet'!$B$11,'Paramètres'!$A$1:$I$89,5,0)</f>
        <v>2.061029765</v>
      </c>
      <c r="BF12" s="130">
        <f t="shared" si="38"/>
        <v>0.873125999</v>
      </c>
      <c r="BG12" s="141">
        <f t="shared" si="8"/>
        <v>5.110321289</v>
      </c>
      <c r="BH12" s="133">
        <f t="shared" si="9"/>
        <v>298.4436546</v>
      </c>
      <c r="BI12" s="133">
        <f>AVERAGE(OFFSET($BH$3,0,0,'Données projet'!$E$11+1,1))-AVERAGE(OFFSET($H$3,0,0,'Données projet'!$E$11+1,1))</f>
        <v>134.0948534</v>
      </c>
      <c r="BJ12" s="133">
        <f t="shared" si="39"/>
        <v>108.4102536</v>
      </c>
      <c r="BK12" s="134">
        <f>IF(ISNA(VLOOKUP(A12,'Données projet'!$A$87:$I$107,3,0)),0,VLOOKUP(A12,'Données projet'!$A$87:$I$107,3,0))</f>
        <v>0</v>
      </c>
      <c r="BL12" s="134">
        <f>IF(ISNA(VLOOKUP(A12,'Données projet'!$A$87:$I$107,4,0)),0,VLOOKUP(A12,'Données projet'!$A$87:$I$107,4,0))</f>
        <v>0</v>
      </c>
      <c r="BM12" s="135">
        <f>IF(ISNA(VLOOKUP(A12,'Données projet'!$A$87:$I$107,5,0)),0%,VLOOKUP(A12,'Données projet'!$A$87:$I$107,5,0)*VLOOKUP('Données projet'!$B$11,'Paramètres'!$A$1:$I$89,7,0))</f>
        <v>0</v>
      </c>
      <c r="BN12" s="135">
        <f>IF(ISNA(VLOOKUP(A12,'Données projet'!$A$87:$I$107,6,0)),0%,VLOOKUP(A12,'Données projet'!$A$87:$I$107,6,0)*VLOOKUP('Données projet'!$B$11,'Paramètres'!$A$1:$I$89,7,0))</f>
        <v>0</v>
      </c>
      <c r="BO12" s="135">
        <f>IF(ISNA(VLOOKUP(A12,'Données projet'!$A$87:$I$107,7,0)),0%,VLOOKUP(A12,'Données projet'!$A$87:$I$107,7,0))</f>
        <v>0</v>
      </c>
      <c r="BP12" s="142">
        <f>EXP(-LN(2)/35)*BP11+(1-EXP(-LN(2)/35))/(LN(2)/35)*BL12*BM12*VLOOKUP('Données projet'!$B$11,'Paramètres'!$A$1:$I$89,3,0)*0.475*44/12</f>
        <v>0</v>
      </c>
      <c r="BQ12" s="142">
        <f>EXP(-LN(2)/25)*BQ11+(1-EXP(-LN(2)/25))/(LN(2)/25)*Calculateur!BL12*Calculateur!BN12*VLOOKUP('Données projet'!$B$11,'Paramètres'!$A$1:$I$89,3,0)*0.475*44/12</f>
        <v>0</v>
      </c>
      <c r="BR12" s="142">
        <f>EXP(-LN(2)/2)*BR11+(1-EXP(-LN(2)/2))/(LN(2)/2)*BL12*BO12*VLOOKUP('Données projet'!$B$11,'Paramètres'!$A$1:$I$89,3,0)*0.475*44/12</f>
        <v>0</v>
      </c>
      <c r="BS12" s="143">
        <f t="shared" si="10"/>
        <v>0</v>
      </c>
      <c r="BT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1" t="str">
        <f>VLOOKUP(A12,'Données projet'!$A$113:$I$133,2,0)</f>
        <v>#N/A</v>
      </c>
      <c r="BW12" s="131" t="str">
        <f>VLOOKUP(A12,'Données projet'!$A$113:$I$133,9,0)</f>
        <v>#N/A</v>
      </c>
      <c r="BX12" s="130">
        <f t="array" ref="BX12">INDEX(BW:BW,MIN(IF(ISNUMBER(BW12:BW208),ROW(BW12:BW208),"")))</f>
        <v>1.866666667</v>
      </c>
      <c r="BY12" s="131">
        <f>IF('Données projet'!$A$114&gt;35,BY11+BX12-CG11,IF(A12&lt;'Données projet'!$A$114,$BV$205^A12,IF(A12='Données projet'!$A$114,'Données projet'!$B$114,BY11+BX12-CG11)))</f>
        <v>7.384053231</v>
      </c>
      <c r="BZ12" s="130">
        <f>BY12*VLOOKUP('Données projet'!$B$12,'Paramètres'!$A$1:$I$89,3,0)*VLOOKUP('Données projet'!$B$12,'Paramètres'!$A$1:$I$89,5,0)</f>
        <v>3.647722296</v>
      </c>
      <c r="CA12" s="130">
        <f t="shared" si="40"/>
        <v>1.445954073</v>
      </c>
      <c r="CB12" s="141">
        <f t="shared" si="11"/>
        <v>8.871486342</v>
      </c>
      <c r="CC12" s="133">
        <f t="shared" si="12"/>
        <v>302.2048197</v>
      </c>
      <c r="CD12" s="133">
        <f>AVERAGE(OFFSET($CC$3,0,0,'Données projet'!$E$12+1,1))-AVERAGE(OFFSET($H$3,0,0,'Données projet'!$E$12+1,1))</f>
        <v>258.1672054</v>
      </c>
      <c r="CE12" s="133">
        <f t="shared" si="41"/>
        <v>296.0724261</v>
      </c>
      <c r="CF12" s="134">
        <f>IF(ISNA(VLOOKUP(A12,'Données projet'!$A$113:$I$133,3,0)),0,VLOOKUP(A12,'Données projet'!$A$113:$I$133,3,0))</f>
        <v>0</v>
      </c>
      <c r="CG12" s="134">
        <f>IF(ISNA(VLOOKUP(A12,'Données projet'!$A$113:$I$133,4,0)),0,VLOOKUP(A12,'Données projet'!$A$113:$I$133,4,0))</f>
        <v>0</v>
      </c>
      <c r="CH12" s="135">
        <f>IF(ISNA(VLOOKUP(A12,'Données projet'!$A$113:$I$133,5,0)),0%,VLOOKUP(A12,'Données projet'!$A$113:$I$133,5,0)*VLOOKUP('Données projet'!$B$12,'Paramètres'!$A$1:$I$89,7,0))</f>
        <v>0</v>
      </c>
      <c r="CI12" s="135">
        <f>IF(ISNA(VLOOKUP(A12,'Données projet'!$A$113:$I$133,6,0)),0%,VLOOKUP(A12,'Données projet'!$A$113:$I$133,6,0)*VLOOKUP('Données projet'!$B$12,'Paramètres'!$A$1:$I$89,7,0))</f>
        <v>0</v>
      </c>
      <c r="CJ12" s="135">
        <f>IF(ISNA(VLOOKUP(A12,'Données projet'!$A$113:$I$133,7,0)),0%,VLOOKUP(A12,'Données projet'!$A$113:$I$133,7,0))</f>
        <v>0</v>
      </c>
      <c r="CK12" s="142">
        <f>EXP(-LN(2)/35)*CK11+(1-EXP(-LN(2)/35))/(LN(2)/35)*CG12*CH12*VLOOKUP('Données projet'!$B$12,'Paramètres'!$A$1:$I$89,3,0)*0.475*44/12</f>
        <v>0</v>
      </c>
      <c r="CL12" s="142">
        <f>EXP(-LN(2)/25)*CL11+(1-EXP(-LN(2)/25))/(LN(2)/25)*Calculateur!CG12*Calculateur!CI12*VLOOKUP('Données projet'!$B$12,'Paramètres'!$A$1:$I$89,3,0)*0.475*44/12</f>
        <v>0</v>
      </c>
      <c r="CM12" s="142">
        <f>EXP(-LN(2)/2)*CM11+(1-EXP(-LN(2)/2))/(LN(2)/2)*CG12*CJ12*VLOOKUP('Données projet'!$B$12,'Paramètres'!$A$1:$I$89,3,0)*0.475*44/12</f>
        <v>0</v>
      </c>
      <c r="CN12" s="143">
        <f t="shared" si="13"/>
        <v>0</v>
      </c>
      <c r="CO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1" t="str">
        <f>VLOOKUP(A12,'Données projet'!$A$139:$I$159,2,0)</f>
        <v>#N/A</v>
      </c>
      <c r="CR12" s="131" t="str">
        <f>VLOOKUP(A12,'Données projet'!$A$139:$I$159,9,0)</f>
        <v>#N/A</v>
      </c>
      <c r="CS12" s="130">
        <f t="array" ref="CS12">INDEX(CR:CR,MIN(IF(ISNUMBER(CR12:CR208),ROW(CR12:CR208),"")))</f>
        <v>1.2</v>
      </c>
      <c r="CT12" s="131">
        <f>IF('Données projet'!$A$140&gt;35,CT11+CS12-DB11,IF(A12&lt;'Données projet'!$A$140,$CQ$205^A12,IF(A12='Données projet'!$A$140,'Données projet'!$B$140,CT11+CS12-DB11)))</f>
        <v>3.402229859</v>
      </c>
      <c r="CU12" s="138">
        <f>CT12*VLOOKUP('Données projet'!$B$13,'Paramètres'!$A$1:$I$89,3,0)*VLOOKUP('Données projet'!$B$13,'Paramètres'!$A$1:$I$89,5,0)</f>
        <v>3.449861077</v>
      </c>
      <c r="CV12" s="130">
        <f t="shared" si="42"/>
        <v>1.376428209</v>
      </c>
      <c r="CW12" s="141">
        <f t="shared" si="14"/>
        <v>8.405787172</v>
      </c>
      <c r="CX12" s="133">
        <f t="shared" si="15"/>
        <v>301.7391205</v>
      </c>
      <c r="CY12" s="133">
        <f>AVERAGE(OFFSET($CX$3,0,0,'Données projet'!$E$13+1,1))-AVERAGE(OFFSET($H$3,0,0,'Données projet'!$E$13+1,1))</f>
        <v>223.783507</v>
      </c>
      <c r="CZ12" s="133">
        <f t="shared" si="43"/>
        <v>84.92349117</v>
      </c>
      <c r="DA12" s="134">
        <f>IF(ISNA(VLOOKUP(A12,'Données projet'!$A$139:$I$159,3,0)),0,VLOOKUP(A12,'Données projet'!$A$139:$I$159,3,0))</f>
        <v>0</v>
      </c>
      <c r="DB12" s="134">
        <f>IF(ISNA(VLOOKUP(A12,'Données projet'!$A$139:$I$159,4,0)),0,VLOOKUP(A12,'Données projet'!$A$139:$I$159,4,0))</f>
        <v>0</v>
      </c>
      <c r="DC12" s="135">
        <f>IF(ISNA(VLOOKUP(A12,'Données projet'!$A$139:$I$159,5,0)),0%,VLOOKUP(A12,'Données projet'!$A$139:$I$159,5,0)*VLOOKUP('Données projet'!$B$13,'Paramètres'!$A$1:$I$89,7,0))</f>
        <v>0</v>
      </c>
      <c r="DD12" s="135">
        <f>IF(ISNA(VLOOKUP(A12,'Données projet'!$A$139:$I$159,6,0)),0%,VLOOKUP(A12,'Données projet'!$A$139:$I$159,6,0)*VLOOKUP('Données projet'!$B$13,'Paramètres'!$A$1:$I$89,7,0))</f>
        <v>0</v>
      </c>
      <c r="DE12" s="135">
        <f>IF(ISNA(VLOOKUP(A12,'Données projet'!$A$139:$I$159,7,0)),0%,VLOOKUP(A12,'Données projet'!$A$139:$I$159,7,0))</f>
        <v>0</v>
      </c>
      <c r="DF12" s="142">
        <f>EXP(-LN(2)/35)*DF11+(1-EXP(-LN(2)/35))/(LN(2)/35)*DB12*DC12*VLOOKUP('Données projet'!$B$13,'Paramètres'!$A$1:$I$89,3,0)*0.475*44/12</f>
        <v>0</v>
      </c>
      <c r="DG12" s="142">
        <f>EXP(-LN(2)/25)*DG11+(1-EXP(-LN(2)/25))/(LN(2)/25)*Calculateur!DB12*Calculateur!DD12*VLOOKUP('Données projet'!$B$13,'Paramètres'!$A$1:$I$89,3,0)*0.475*44/12</f>
        <v>0</v>
      </c>
      <c r="DH12" s="142">
        <f>EXP(-LN(2)/2)*DH11+(1-EXP(-LN(2)/2))/(LN(2)/2)*DB12*DE12*VLOOKUP('Données projet'!$B$13,'Paramètres'!$A$1:$I$89,3,0)*0.475*44/12</f>
        <v>0</v>
      </c>
      <c r="DI12" s="143">
        <f t="shared" si="16"/>
        <v>0</v>
      </c>
      <c r="DJ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1" t="str">
        <f>VLOOKUP(A12,'Données projet'!$A$165:$I$185,2,0)</f>
        <v>#N/A</v>
      </c>
      <c r="DM12" s="131" t="str">
        <f>VLOOKUP(A12,'Données projet'!$A$165:$I$185,9,0)</f>
        <v>#N/A</v>
      </c>
      <c r="DN12" s="131">
        <f t="array" ref="DN12">INDEX(DM:DM,MIN(IF(ISNUMBER(DM12:DM208),ROW(DM12:DM208),"")))</f>
        <v>2.1</v>
      </c>
      <c r="DO12" s="131">
        <f>IF('Données projet'!$A$166&gt;35,DO11+DN12-DW11,IF(A12&lt;'Données projet'!$A$166,$DL$205^A12,IF(A12='Données projet'!$A$166,'Données projet'!$B$166,DO11+DN12-DW11)))</f>
        <v>5.376036154</v>
      </c>
      <c r="DP12" s="138">
        <f>DO12*VLOOKUP('Données projet'!$B$14,'Paramètres'!$A$1:$I$89,3,0)*VLOOKUP('Données projet'!$B$14,'Paramètres'!$A$1:$I$89,5,0)</f>
        <v>4.864237512</v>
      </c>
      <c r="DQ12" s="130">
        <f t="shared" si="44"/>
        <v>1.864654261</v>
      </c>
      <c r="DR12" s="141">
        <f t="shared" si="17"/>
        <v>11.7194865</v>
      </c>
      <c r="DS12" s="133">
        <f t="shared" si="18"/>
        <v>305.0528198</v>
      </c>
      <c r="DT12" s="133">
        <f>AVERAGE(OFFSET($DS$3,0,0,'Données projet'!$E$14+1,1))-AVERAGE(OFFSET($H$3,0,0,'Données projet'!$E$14+1,1))</f>
        <v>287.9334714</v>
      </c>
      <c r="DU12" s="133">
        <f t="shared" si="45"/>
        <v>156.6796502</v>
      </c>
      <c r="DV12" s="134">
        <f>IF(ISNA(VLOOKUP(A12,'Données projet'!$A$165:$I$185,3,0)),0,VLOOKUP(A12,'Données projet'!$A$165:$I$185,3,0))</f>
        <v>0</v>
      </c>
      <c r="DW12" s="134">
        <f>IF(ISNA(VLOOKUP(A12,'Données projet'!$A$165:$I$185,4,0)),0,VLOOKUP(A12,'Données projet'!$A$165:$I$185,4,0))</f>
        <v>0</v>
      </c>
      <c r="DX12" s="135">
        <f>IF(ISNA(VLOOKUP(A12,'Données projet'!$A$165:$I$185,5,0)),0%,VLOOKUP(A12,'Données projet'!$A$165:$I$185,5,0)*VLOOKUP('Données projet'!$B$14,'Paramètres'!$A$1:$I$89,7,0))</f>
        <v>0</v>
      </c>
      <c r="DY12" s="135">
        <f>IF(ISNA(VLOOKUP(A12,'Données projet'!$A$165:$I$185,6,0)),0%,VLOOKUP(A12,'Données projet'!$A$165:$I$185,6,0)*VLOOKUP('Données projet'!$B$14,'Paramètres'!$A$1:$I$89,7,0))</f>
        <v>0</v>
      </c>
      <c r="DZ12" s="135">
        <f>IF(ISNA(VLOOKUP(A12,'Données projet'!$A$165:$I$185,7,0)),0%,VLOOKUP(A12,'Données projet'!$A$165:$I$185,7,0))</f>
        <v>0</v>
      </c>
      <c r="EA12" s="142">
        <f>EXP(-LN(2)/35)*EA11+(1-EXP(-LN(2)/35))/(LN(2)/35)*DW12*DX12*VLOOKUP('Données projet'!$B$14,'Paramètres'!$A$1:$I$89,3,0)*0.475*44/12</f>
        <v>0</v>
      </c>
      <c r="EB12" s="142">
        <f>EXP(-LN(2)/25)*EB11+(1-EXP(-LN(2)/25))/(LN(2)/25)*Calculateur!DW12*Calculateur!DY12*VLOOKUP('Données projet'!$B$14,'Paramètres'!$A$1:$I$89,3,0)*0.475*44/12</f>
        <v>0</v>
      </c>
      <c r="EC12" s="142">
        <f>EXP(-LN(2)/2)*EC11+(1-EXP(-LN(2)/2))/(LN(2)/2)*DW12*DZ12*VLOOKUP('Données projet'!$B$14,'Paramètres'!$A$1:$I$89,3,0)*0.475*44/12</f>
        <v>0</v>
      </c>
      <c r="ED12" s="143">
        <f t="shared" si="19"/>
        <v>0</v>
      </c>
      <c r="EE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1" t="str">
        <f>VLOOKUP(A12,'Données projet'!$A$191:$I$211,2,0)</f>
        <v>#N/A</v>
      </c>
      <c r="EH12" s="131" t="str">
        <f>VLOOKUP(A12,'Données projet'!$A$191:$I$211,9,0)</f>
        <v>#N/A</v>
      </c>
      <c r="EI12" s="131">
        <f t="array" ref="EI12">INDEX(EH:EH,MIN(IF(ISNUMBER(EH12:EH208),ROW(EH12:EH208),"")))</f>
        <v>1.6</v>
      </c>
      <c r="EJ12" s="131">
        <f>IF('Données projet'!$A$192&gt;35,EJ11+EI12-ER11,IF(A12&lt;'Données projet'!$A$192,$EG$205^A12,IF(A12='Données projet'!$A$192,'Données projet'!$B$192,EJ11+EI12-ER11)))</f>
        <v>3.773476041</v>
      </c>
      <c r="EK12" s="138">
        <f>EJ12*VLOOKUP('Données projet'!$B$15,'Paramètres'!$A$1:$I$89,3,0)*VLOOKUP('Données projet'!$B$15,'Paramètres'!$A$1:$I$89,5,0)</f>
        <v>2.766712633</v>
      </c>
      <c r="EL12" s="130">
        <f t="shared" si="46"/>
        <v>1.132586817</v>
      </c>
      <c r="EM12" s="141">
        <f t="shared" si="20"/>
        <v>6.791279876</v>
      </c>
      <c r="EN12" s="133">
        <f t="shared" si="21"/>
        <v>300.1246132</v>
      </c>
      <c r="EO12" s="133">
        <f>AVERAGE(OFFSET($EN$3,0,0,'Données projet'!$E$15+1,1))-AVERAGE(OFFSET($H$3,0,0,'Données projet'!$E$15+1,1))</f>
        <v>130.3193339</v>
      </c>
      <c r="EP12" s="133">
        <f t="shared" si="47"/>
        <v>82.22784365</v>
      </c>
      <c r="EQ12" s="134">
        <f>IF(ISNA(VLOOKUP(A12,'Données projet'!$A$191:$I$211,3,0)),0,VLOOKUP(A12,'Données projet'!$A$191:$I$211,3,0))</f>
        <v>0</v>
      </c>
      <c r="ER12" s="134">
        <f>IF(ISNA(VLOOKUP(A12,'Données projet'!$A$191:$I$211,4,0)),0,VLOOKUP(A12,'Données projet'!$A$191:$I$211,4,0))</f>
        <v>0</v>
      </c>
      <c r="ES12" s="135">
        <f>IF(ISNA(VLOOKUP(A12,'Données projet'!$A$191:$I$211,5,0)),0%,VLOOKUP(A12,'Données projet'!$A$191:$I$211,5,0)*VLOOKUP('Données projet'!$B$15,'Paramètres'!$A$1:$I$89,7,0))</f>
        <v>0</v>
      </c>
      <c r="ET12" s="135">
        <f>IF(ISNA(VLOOKUP(A12,'Données projet'!$A$191:$I$211,6,0)),0%,VLOOKUP(A12,'Données projet'!$A$191:$I$211,6,0)*VLOOKUP('Données projet'!$B$15,'Paramètres'!$A$1:$I$89,7,0))</f>
        <v>0</v>
      </c>
      <c r="EU12" s="135">
        <f>IF(ISNA(VLOOKUP(A12,'Données projet'!$A$191:$I$211,7,0)),0%,VLOOKUP(A12,'Données projet'!$A$191:$I$211,7,0))</f>
        <v>0</v>
      </c>
      <c r="EV12" s="142">
        <f>EXP(-LN(2)/35)*EV11+(1-EXP(-LN(2)/35))/(LN(2)/35)*ER12*ES12*VLOOKUP('Données projet'!$B$15,'Paramètres'!$A$1:$I$89,3,0)*0.475*44/12</f>
        <v>0</v>
      </c>
      <c r="EW12" s="142">
        <f>EXP(-LN(2)/25)*EW11+(1-EXP(-LN(2)/25))/(LN(2)/25)*Calculateur!ER12*Calculateur!ET12*VLOOKUP('Données projet'!$B$15,'Paramètres'!$A$1:$I$89,3,0)*0.475*44/12</f>
        <v>0</v>
      </c>
      <c r="EX12" s="142">
        <f>EXP(-LN(2)/2)*EX11+(1-EXP(-LN(2)/2))/(LN(2)/2)*ER12*EU12*VLOOKUP('Données projet'!$B$15,'Paramètres'!$A$1:$I$89,3,0)*0.475*44/12</f>
        <v>0</v>
      </c>
      <c r="EY12" s="143">
        <f t="shared" si="22"/>
        <v>0</v>
      </c>
      <c r="EZ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1" t="str">
        <f>VLOOKUP(A12,'Données projet'!$A$217:$I$237,2,0)</f>
        <v>#N/A</v>
      </c>
      <c r="FC12" s="131" t="str">
        <f>VLOOKUP(A12,'Données projet'!$A$217:$I$237,9,0)</f>
        <v>#N/A</v>
      </c>
      <c r="FD12" s="130">
        <f t="array" ref="FD12">INDEX(FC:FC,MIN(IF(ISNUMBER(FC12:FC208),ROW(FC12:FC208),"")))</f>
        <v>7.533333333</v>
      </c>
      <c r="FE12" s="131">
        <f>IF('Données projet'!$A$218&gt;35,FE11+FD12-FM11,IF(A12&lt;'Données projet'!$A$218,$FB$205^A12,IF(A12='Données projet'!$A$218,'Données projet'!$B$218,FE11+FD12-FM11)))</f>
        <v>17.05481709</v>
      </c>
      <c r="FF12" s="138">
        <f>FE12*VLOOKUP('Données projet'!$B$16,'Paramètres'!$A$1:$I$89,3,0)*VLOOKUP('Données projet'!$B$16,'Paramètres'!$A$1:$I$89,5,0)</f>
        <v>15.43119851</v>
      </c>
      <c r="FG12" s="130">
        <f t="shared" si="48"/>
        <v>5.17156518</v>
      </c>
      <c r="FH12" s="141">
        <f t="shared" si="23"/>
        <v>35.88314675</v>
      </c>
      <c r="FI12" s="133">
        <f t="shared" si="24"/>
        <v>329.2164801</v>
      </c>
      <c r="FJ12" s="133">
        <f>AVERAGE(OFFSET($FI$3,0,0,'Données projet'!$E$16+1,1))-AVERAGE(OFFSET($H$3,0,0,'Données projet'!$E$16+1,1))</f>
        <v>305.6252353</v>
      </c>
      <c r="FK12" s="133">
        <f t="shared" si="49"/>
        <v>331.397916</v>
      </c>
      <c r="FL12" s="134">
        <f>IF(ISNA(VLOOKUP(A12,'Données projet'!$A$217:$I$237,3,0)),0,VLOOKUP(A12,'Données projet'!$A$217:$I$237,3,0))</f>
        <v>0</v>
      </c>
      <c r="FM12" s="134">
        <f>IF(ISNA(VLOOKUP(A12,'Données projet'!$A$217:$I$237,4,0)),0,VLOOKUP(A12,'Données projet'!$A$217:$I$237,4,0))</f>
        <v>0</v>
      </c>
      <c r="FN12" s="135">
        <f>IF(ISNA(VLOOKUP(A12,'Données projet'!$A$217:$I$237,5,0)),0%,VLOOKUP(A12,'Données projet'!$A$217:$I$237,5,0)*VLOOKUP('Données projet'!$B$16,'Paramètres'!$A$1:$I$89,7,0))</f>
        <v>0</v>
      </c>
      <c r="FO12" s="135">
        <f>IF(ISNA(VLOOKUP(A12,'Données projet'!$A$217:$I$237,6,0)),0%,VLOOKUP(A12,'Données projet'!$A$217:$I$237,6,0)*VLOOKUP('Données projet'!$B$16,'Paramètres'!$A$1:$I$89,7,0))</f>
        <v>0</v>
      </c>
      <c r="FP12" s="135">
        <f>IF(ISNA(VLOOKUP(A12,'Données projet'!$A$217:$I$237,7,0)),0%,VLOOKUP(A12,'Données projet'!$A$217:$I$237,7,0))</f>
        <v>0</v>
      </c>
      <c r="FQ12" s="142">
        <f>EXP(-LN(2)/35)*FQ11+(1-EXP(-LN(2)/35))/(LN(2)/35)*FM12*FN12*VLOOKUP('Données projet'!$B$16,'Paramètres'!$A$1:$I$89,3,0)*0.475*44/12</f>
        <v>0</v>
      </c>
      <c r="FR12" s="142">
        <f>EXP(-LN(2)/25)*FR11+(1-EXP(-LN(2)/25))/(LN(2)/25)*Calculateur!FM12*Calculateur!FO12*VLOOKUP('Données projet'!$B$16,'Paramètres'!$A$1:$I$89,3,0)*0.475*44/12</f>
        <v>0</v>
      </c>
      <c r="FS12" s="142">
        <f>EXP(-LN(2)/2)*FS11+(1-EXP(-LN(2)/2))/(LN(2)/2)*FM12*FP12*VLOOKUP('Données projet'!$B$16,'Paramètres'!$A$1:$I$89,3,0)*0.475*44/12</f>
        <v>0</v>
      </c>
      <c r="FT12" s="143">
        <f t="shared" si="25"/>
        <v>0</v>
      </c>
      <c r="FU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1" t="str">
        <f>VLOOKUP(A12,'Données projet'!$A$243:$I$263,2,0)</f>
        <v>#N/A</v>
      </c>
      <c r="FX12" s="131" t="str">
        <f>VLOOKUP(A12,'Données projet'!$A$243:$I$263,9,0)</f>
        <v>#N/A</v>
      </c>
      <c r="FY12" s="130">
        <f t="array" ref="FY12">INDEX(FX:FX,MIN(IF(ISNUMBER(FX12:FX208),ROW(FX12:FX208),"")))</f>
        <v>1.6</v>
      </c>
      <c r="FZ12" s="131">
        <f>IF('Données projet'!$A$244&gt;35,FZ11+FY12-GH11,IF(A12&lt;'Données projet'!$A$244,$FW$205^A12,IF(A12='Données projet'!$A$244,'Données projet'!$B$244,FZ11+FY12-GH11)))</f>
        <v>4.75682846</v>
      </c>
      <c r="GA12" s="138">
        <f>FZ12*VLOOKUP('Données projet'!$B$17,'Paramètres'!$A$1:$I$89,3,0)*VLOOKUP('Données projet'!$B$17,'Paramètres'!$A$1:$I$89,5,0)</f>
        <v>3.190880531</v>
      </c>
      <c r="GB12" s="130">
        <f t="shared" si="50"/>
        <v>1.284716854</v>
      </c>
      <c r="GC12" s="141">
        <f t="shared" si="26"/>
        <v>7.794998779</v>
      </c>
      <c r="GD12" s="133">
        <f t="shared" si="27"/>
        <v>301.1283321</v>
      </c>
      <c r="GE12" s="133">
        <f>AVERAGE(OFFSET($GD$3,0,0,'Données projet'!$E$17+1,1))-AVERAGE(OFFSET($H$3,0,0,'Données projet'!$E$17+1,1))</f>
        <v>118.7368745</v>
      </c>
      <c r="GF12" s="133">
        <f t="shared" si="51"/>
        <v>135.1233677</v>
      </c>
      <c r="GG12" s="134">
        <f>IF(ISNA(VLOOKUP(A12,'Données projet'!$A$243:$I$263,3,0)),0,VLOOKUP(A12,'Données projet'!$A$243:$I$263,3,0))</f>
        <v>0</v>
      </c>
      <c r="GH12" s="134">
        <f>IF(ISNA(VLOOKUP(A12,'Données projet'!$A$243:$I$263,4,0)),0,VLOOKUP(A12,'Données projet'!$A$243:$I$263,4,0))</f>
        <v>0</v>
      </c>
      <c r="GI12" s="135">
        <f>IF(ISNA(VLOOKUP(A12,'Données projet'!$A$243:$I$263,5,0)),0%,VLOOKUP(A12,'Données projet'!$A$243:$I$263,5,0)*VLOOKUP('Données projet'!$B$17,'Paramètres'!$A$1:$I$89,7,0))</f>
        <v>0</v>
      </c>
      <c r="GJ12" s="135">
        <f>IF(ISNA(VLOOKUP(A12,'Données projet'!$A$243:$I$263,6,0)),0%,VLOOKUP(A12,'Données projet'!$A$243:$I$263,6,0)*VLOOKUP('Données projet'!$B$17,'Paramètres'!$A$1:$I$89,7,0))</f>
        <v>0</v>
      </c>
      <c r="GK12" s="135">
        <f>IF(ISNA(VLOOKUP(A12,'Données projet'!$A$243:$I$263,7,0)),0%,VLOOKUP(A12,'Données projet'!$A$243:$I$263,7,0))</f>
        <v>0</v>
      </c>
      <c r="GL12" s="142">
        <f>EXP(-LN(2)/35)*GL11+(1-EXP(-LN(2)/35))/(LN(2)/35)*GH12*GI12*VLOOKUP('Données projet'!$B$17,'Paramètres'!$A$1:$I$89,3,0)*0.475*44/12</f>
        <v>0</v>
      </c>
      <c r="GM12" s="142">
        <f>EXP(-LN(2)/25)*GM11+(1-EXP(-LN(2)/25))/(LN(2)/25)*Calculateur!GH12*Calculateur!GJ12*VLOOKUP('Données projet'!$B$17,'Paramètres'!$A$1:$I$89,3,0)*0.475*44/12</f>
        <v>0</v>
      </c>
      <c r="GN12" s="142">
        <f>EXP(-LN(2)/2)*GN11+(1-EXP(-LN(2)/2))/(LN(2)/2)*GH12*GK12*VLOOKUP('Données projet'!$B$17,'Paramètres'!$A$1:$I$89,3,0)*0.475*44/12</f>
        <v>0</v>
      </c>
      <c r="GO12" s="142">
        <f t="shared" si="28"/>
        <v>0</v>
      </c>
      <c r="GP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1" t="str">
        <f>VLOOKUP(A12,'Données projet'!$A$269:$I$289,2,0)</f>
        <v>#N/A</v>
      </c>
      <c r="GS12" s="131" t="str">
        <f>VLOOKUP(A12,'Données projet'!$A$269:$I$289,9,0)</f>
        <v>#N/A</v>
      </c>
      <c r="GT12" s="130">
        <f t="array" ref="GT12">INDEX(GS:GS,MIN(IF(ISNUMBER(GS12:GS208),ROW(GS12:GS208),"")))</f>
        <v>1.2</v>
      </c>
      <c r="GU12" s="131">
        <f>IF('Données projet'!$A$270&gt;35,GU11+GT12-HC11,IF(A12&lt;'Données projet'!$A$270,$GR$205^A12,IF(A12='Données projet'!$A$270,'Données projet'!$B$270,GU11+GT12-HC11)))</f>
        <v>3.402229859</v>
      </c>
      <c r="GV12" s="138">
        <f>GU12*VLOOKUP('Données projet'!$B$18,'Paramètres'!$A$1:$I$89,3,0)*VLOOKUP('Données projet'!$B$18,'Paramètres'!$A$1:$I$89,5,0)</f>
        <v>3.66216022</v>
      </c>
      <c r="GW12" s="130">
        <f t="shared" si="52"/>
        <v>1.451009912</v>
      </c>
      <c r="GX12" s="141">
        <f t="shared" si="29"/>
        <v>8.90543798</v>
      </c>
      <c r="GY12" s="133">
        <f t="shared" si="30"/>
        <v>302.2387713</v>
      </c>
      <c r="GZ12" s="133">
        <f>AVERAGE(OFFSET($GY$3,0,0,'Données projet'!$E$18+1,1))-AVERAGE(OFFSET($H$3,0,0,'Données projet'!$E$18+1,1))</f>
        <v>100.5427875</v>
      </c>
      <c r="HA12" s="133">
        <f t="shared" si="53"/>
        <v>92.28663609</v>
      </c>
      <c r="HB12" s="134">
        <f>IF(ISNA(VLOOKUP(A12,'Données projet'!$A$269:$I$289,3,0)),0,VLOOKUP(A12,'Données projet'!$A$269:$I$289,3,0))</f>
        <v>0</v>
      </c>
      <c r="HC12" s="134">
        <f>IF(ISNA(VLOOKUP(A12,'Données projet'!$A$269:$I$289,4,0)),0,VLOOKUP(A12,'Données projet'!$A$269:$I$289,4,0))</f>
        <v>0</v>
      </c>
      <c r="HD12" s="135">
        <f>IF(ISNA(VLOOKUP(A12,'Données projet'!$A$269:$I$289,5,0)),0%,VLOOKUP(A12,'Données projet'!$A$269:$I$289,5,0)*VLOOKUP('Données projet'!$B$18,'Paramètres'!$A$1:$I$89,7,0))</f>
        <v>0</v>
      </c>
      <c r="HE12" s="135">
        <f>IF(ISNA(VLOOKUP(A12,'Données projet'!$A$269:$I$289,6,0)),0%,VLOOKUP(A12,'Données projet'!$A$269:$I$289,6,0)*VLOOKUP('Données projet'!$B$18,'Paramètres'!$A$1:$I$89,7,0))</f>
        <v>0</v>
      </c>
      <c r="HF12" s="135">
        <f>IF(ISNA(VLOOKUP(A12,'Données projet'!$A$269:$I$289,7,0)),0%,VLOOKUP(A12,'Données projet'!$A$269:$I$289,7,0))</f>
        <v>0</v>
      </c>
      <c r="HG12" s="142">
        <f>EXP(-LN(2)/35)*HG11+(1-EXP(-LN(2)/35))/(LN(2)/35)*HC12*HD12*VLOOKUP('Données projet'!$B$18,'Paramètres'!$A$1:$I$89,3,0)*0.475*44/12</f>
        <v>0</v>
      </c>
      <c r="HH12" s="142">
        <f>EXP(-LN(2)/25)*HH11+(1-EXP(-LN(2)/25))/(LN(2)/25)*Calculateur!HC12*Calculateur!HE12*VLOOKUP('Données projet'!$B$18,'Paramètres'!$A$1:$I$89,3,0)*0.475*44/12</f>
        <v>0</v>
      </c>
      <c r="HI12" s="142">
        <f>EXP(-LN(2)/2)*HI11+(1-EXP(-LN(2)/2))/(LN(2)/2)*HC12*HF12*VLOOKUP('Données projet'!$B$18,'Paramètres'!$A$1:$I$89,3,0)*0.475*44/12</f>
        <v>0</v>
      </c>
      <c r="HJ12" s="143">
        <f t="shared" si="31"/>
        <v>0</v>
      </c>
    </row>
    <row r="13">
      <c r="A13" s="125">
        <f t="shared" si="32"/>
        <v>10</v>
      </c>
      <c r="B13" s="126">
        <f>'Scénario référence'!$B$16*5+'Scénario référence'!$B$17*0+'Scénario référence'!$B$18*5</f>
        <v>0</v>
      </c>
      <c r="C13" s="140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5.46</v>
      </c>
      <c r="D13" s="127">
        <f t="shared" si="33"/>
        <v>2.065073359</v>
      </c>
      <c r="E1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7">
        <f>IF(OR('Scénario référence'!$F$8&gt;0,'Scénario référence'!$F$9&gt;0),('Scénario référence'!$F$8+'Scénario référence'!$F$9)*10,0)</f>
        <v>10</v>
      </c>
      <c r="G13" s="127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58.08828558</v>
      </c>
      <c r="H13" s="128">
        <f t="shared" si="1"/>
        <v>306.4395028</v>
      </c>
      <c r="I13" s="12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1" t="str">
        <f>VLOOKUP(A13,'Données projet'!$A$35:$I$55,2,0)</f>
        <v>#N/A</v>
      </c>
      <c r="L13" s="131" t="str">
        <f>VLOOKUP(A13,'Données projet'!$A$35:$I$55,9,0)</f>
        <v>#N/A</v>
      </c>
      <c r="M13" s="131">
        <f t="array" ref="M13">INDEX(L:L,MIN(IF(ISNUMBER(L13:L209),ROW(L13:L209),"")))</f>
        <v>3.92</v>
      </c>
      <c r="N13" s="130">
        <f>IF('Données projet'!$A$36&gt;35,N12+M13-V12,IF(A13&lt;'Données projet'!$A$36,$K$205^A13,IF(A13='Données projet'!$A$36,'Données projet'!$B$36,N12+M13-V12)))</f>
        <v>6.258790725</v>
      </c>
      <c r="O13" s="130">
        <f>N13*VLOOKUP('Données projet'!$B$9,'Paramètres'!$A$1:$I$89,3,0)*VLOOKUP('Données projet'!$B$9,'Paramètres'!$A$1:$I$89,5,0)</f>
        <v>3.580028294</v>
      </c>
      <c r="P13" s="130">
        <f t="shared" si="34"/>
        <v>1.422217899</v>
      </c>
      <c r="Q13" s="141">
        <f t="shared" si="2"/>
        <v>8.712245454</v>
      </c>
      <c r="R13" s="133">
        <f t="shared" si="3"/>
        <v>302.0455788</v>
      </c>
      <c r="S13" s="133">
        <f>AVERAGE(OFFSET($R$3,0,0,'Données projet'!$E$9+1,1))-AVERAGE(OFFSET($H$3,0,0,'Données projet'!$E$9+1,1))</f>
        <v>126.9946492</v>
      </c>
      <c r="T13" s="133">
        <f t="shared" si="35"/>
        <v>140.039049</v>
      </c>
      <c r="U13" s="134">
        <f>IF(ISNA(VLOOKUP(A13,'Données projet'!$A$35:$I$55,3,0)),0,VLOOKUP(A13,'Données projet'!$A$35:$I$55,3,0))</f>
        <v>0</v>
      </c>
      <c r="V13" s="134">
        <f>IF(ISNA(VLOOKUP(A13,'Données projet'!$A$35:$I$55,4,0)),0,VLOOKUP(A13,'Données projet'!$A$35:$I$55,4,0))</f>
        <v>0</v>
      </c>
      <c r="W13" s="135">
        <f>IF(ISNA(VLOOKUP(A13,'Données projet'!$A$35:$I$55,5,0)),0%,VLOOKUP(A13,'Données projet'!$A$35:$I$55,5,0)*VLOOKUP('Données projet'!$B$9,'Paramètres'!$A$1:$I$89,7,0))</f>
        <v>0</v>
      </c>
      <c r="X13" s="135">
        <f>IF(ISNA(VLOOKUP(A13,'Données projet'!$A$35:$I$55,6,0)),0%,VLOOKUP(A13,'Données projet'!$A$35:$I$55,6,0)*VLOOKUP('Données projet'!$B$9,'Paramètres'!$A$1:$I$89,7,0))</f>
        <v>0</v>
      </c>
      <c r="Y13" s="135">
        <f>IF(ISNA(VLOOKUP(A13,'Données projet'!$A$35:$I$55,7,0)),0%,VLOOKUP(A13,'Données projet'!$A$35:$I$55,7,0))</f>
        <v>0</v>
      </c>
      <c r="Z13" s="142">
        <f>EXP(-LN(2)/35)*Z12+(1-EXP(-LN(2)/35))/(LN(2)/35)*V13*W13*VLOOKUP('Données projet'!$B$9,'Paramètres'!$A$1:$I$89,3,0)*0.475*44/12</f>
        <v>0</v>
      </c>
      <c r="AA13" s="142">
        <f>EXP(-LN(2)/25)*AA12+(1-EXP(-LN(2)/25))/(LN(2)/25)*Calculateur!V13*Calculateur!X13*VLOOKUP('Données projet'!$B$9,'Paramètres'!$A$1:$I$89,3,0)*0.475*44/12</f>
        <v>0</v>
      </c>
      <c r="AB13" s="142">
        <f>EXP(-LN(2)/2)*AB12+(1-EXP(-LN(2)/2))/(LN(2)/2)*V13*Y13*VLOOKUP('Données projet'!$B$9,'Paramètres'!$A$1:$I$89,3,0)*0.475*44/12</f>
        <v>0</v>
      </c>
      <c r="AC13" s="143">
        <f t="shared" si="4"/>
        <v>0</v>
      </c>
      <c r="AD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0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1" t="str">
        <f>VLOOKUP(A13,'Données projet'!$A$61:$I$81,2,0)</f>
        <v>#N/A</v>
      </c>
      <c r="AG13" s="131" t="str">
        <f>VLOOKUP(A13,'Données projet'!$A$61:$I$81,9,0)</f>
        <v>#N/A</v>
      </c>
      <c r="AH13" s="130">
        <f t="array" ref="AH13">INDEX(AG:AG,MIN(IF(ISNUMBER(AG13:AG209),ROW(AG13:AG209),"")))</f>
        <v>5.590909091</v>
      </c>
      <c r="AI13" s="130">
        <f>IF('Données projet'!$A$62&gt;35,AI12+AH13-AQ12,IF(A13&lt;'Données projet'!$A$62,$AF$205^A13,IF(A13='Données projet'!$A$62,'Données projet'!$B$62,AI12+AH13-AQ12)))</f>
        <v>8.911624296</v>
      </c>
      <c r="AJ13" s="130">
        <f>AI13*VLOOKUP('Données projet'!$B$10,'Paramètres'!$A$1:$I$89,3,0)*VLOOKUP('Données projet'!$B$10,'Paramètres'!$A$1:$I$89,5,0)</f>
        <v>5.329151329</v>
      </c>
      <c r="AK13" s="130">
        <f t="shared" si="36"/>
        <v>2.021282986</v>
      </c>
      <c r="AL13" s="141">
        <f t="shared" si="5"/>
        <v>12.80200643</v>
      </c>
      <c r="AM13" s="133">
        <f t="shared" si="6"/>
        <v>306.1353398</v>
      </c>
      <c r="AN13" s="133">
        <f>AVERAGE(OFFSET($AM$3,0,0,'Données projet'!$E$10+1,1))-AVERAGE(OFFSET($H$3,0,0,'Données projet'!$E$10+1,1))</f>
        <v>196.874484</v>
      </c>
      <c r="AO13" s="133">
        <f t="shared" si="37"/>
        <v>217.5750859</v>
      </c>
      <c r="AP13" s="134">
        <f>IF(ISNA(VLOOKUP(A13,'Données projet'!$A$61:$I$81,3,0)),0,VLOOKUP(A13,'Données projet'!$A$61:$I$81,3,0))</f>
        <v>0</v>
      </c>
      <c r="AQ13" s="134">
        <f>IF(ISNA(VLOOKUP(A13,'Données projet'!$A$61:$I$81,4,0)),0,VLOOKUP(A13,'Données projet'!$A$61:$I$81,4,0))</f>
        <v>0</v>
      </c>
      <c r="AR13" s="135">
        <f>IF(ISNA(VLOOKUP(A13,'Données projet'!$A$61:$I$81,5,0)),0%,VLOOKUP(A13,'Données projet'!$A$61:$I$81,5,0)*VLOOKUP('Données projet'!$B$10,'Paramètres'!$A$1:$I$89,7,0))</f>
        <v>0</v>
      </c>
      <c r="AS13" s="135">
        <f>IF(ISNA(VLOOKUP(A13,'Données projet'!$A$61:$I$81,6,0)),0%,VLOOKUP(A13,'Données projet'!$A$61:$I$81,6,0)*VLOOKUP('Données projet'!$B$10,'Paramètres'!$A$1:$I$89,7,0))</f>
        <v>0</v>
      </c>
      <c r="AT13" s="135">
        <f>IF(ISNA(VLOOKUP(A13,'Données projet'!$A$61:$I$81,7,0)),0%,VLOOKUP(A13,'Données projet'!$A$61:$I$81,7,0))</f>
        <v>0</v>
      </c>
      <c r="AU13" s="142">
        <f>EXP(-LN(2)/35)*AU12+(1-EXP(-LN(2)/35))/(LN(2)/35)*AQ13*AR13*VLOOKUP('Données projet'!$B$10,'Paramètres'!$A$1:$I$89,3,0)*0.475*44/12</f>
        <v>0</v>
      </c>
      <c r="AV13" s="142">
        <f>EXP(-LN(2)/25)*AV12+(1-EXP(-LN(2)/25))/(LN(2)/25)*Calculateur!AQ13*Calculateur!AS13*VLOOKUP('Données projet'!$B$10,'Paramètres'!$A$1:$I$89,3,0)*0.475*44/12</f>
        <v>0</v>
      </c>
      <c r="AW13" s="142">
        <f>EXP(-LN(2)/2)*AW12+(1-EXP(-LN(2)/2))/(LN(2)/2)*AQ13*AT13*VLOOKUP('Données projet'!$B$10,'Paramètres'!$A$1:$I$89,3,0)*0.475*44/12</f>
        <v>0</v>
      </c>
      <c r="AX13" s="142">
        <f t="shared" si="7"/>
        <v>0</v>
      </c>
      <c r="AY13" s="13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1" t="str">
        <f>VLOOKUP(A13,'Données projet'!$A$87:$I$107,2,0)</f>
        <v>#N/A</v>
      </c>
      <c r="BB13" s="131" t="str">
        <f>VLOOKUP(A13,'Données projet'!$A$87:$I$107,9,0)</f>
        <v>#N/A</v>
      </c>
      <c r="BC13" s="130">
        <f t="array" ref="BC13">INDEX(BB:BB,MIN(IF(ISNUMBER(BB13:BB209),ROW(BB13:BB209),"")))</f>
        <v>4.666666667</v>
      </c>
      <c r="BD13" s="131">
        <f>IF('Données projet'!$A$88&gt;35,BD12+BC13-BL12,IF(A13&lt;'Données projet'!$A$88,$BA$205^A13,IF(A13='Données projet'!$A$88,'Données projet'!$B$88,BD12+BC13-BL12)))</f>
        <v>5.192494102</v>
      </c>
      <c r="BE13" s="130">
        <f>BD13*VLOOKUP('Données projet'!$B$11,'Paramètres'!$A$1:$I$89,3,0)*VLOOKUP('Données projet'!$B$11,'Paramètres'!$A$1:$I$89,5,0)</f>
        <v>2.43008724</v>
      </c>
      <c r="BF13" s="130">
        <f t="shared" si="38"/>
        <v>1.00992133</v>
      </c>
      <c r="BG13" s="141">
        <f t="shared" si="8"/>
        <v>5.991348259</v>
      </c>
      <c r="BH13" s="133">
        <f t="shared" si="9"/>
        <v>299.3246816</v>
      </c>
      <c r="BI13" s="133">
        <f>AVERAGE(OFFSET($BH$3,0,0,'Données projet'!$E$11+1,1))-AVERAGE(OFFSET($H$3,0,0,'Données projet'!$E$11+1,1))</f>
        <v>134.0948534</v>
      </c>
      <c r="BJ13" s="133">
        <f t="shared" si="39"/>
        <v>108.4102536</v>
      </c>
      <c r="BK13" s="134">
        <f>IF(ISNA(VLOOKUP(A13,'Données projet'!$A$87:$I$107,3,0)),0,VLOOKUP(A13,'Données projet'!$A$87:$I$107,3,0))</f>
        <v>0</v>
      </c>
      <c r="BL13" s="134">
        <f>IF(ISNA(VLOOKUP(A13,'Données projet'!$A$87:$I$107,4,0)),0,VLOOKUP(A13,'Données projet'!$A$87:$I$107,4,0))</f>
        <v>0</v>
      </c>
      <c r="BM13" s="135">
        <f>IF(ISNA(VLOOKUP(A13,'Données projet'!$A$87:$I$107,5,0)),0%,VLOOKUP(A13,'Données projet'!$A$87:$I$107,5,0)*VLOOKUP('Données projet'!$B$11,'Paramètres'!$A$1:$I$89,7,0))</f>
        <v>0</v>
      </c>
      <c r="BN13" s="135">
        <f>IF(ISNA(VLOOKUP(A13,'Données projet'!$A$87:$I$107,6,0)),0%,VLOOKUP(A13,'Données projet'!$A$87:$I$107,6,0)*VLOOKUP('Données projet'!$B$11,'Paramètres'!$A$1:$I$89,7,0))</f>
        <v>0</v>
      </c>
      <c r="BO13" s="135">
        <f>IF(ISNA(VLOOKUP(A13,'Données projet'!$A$87:$I$107,7,0)),0%,VLOOKUP(A13,'Données projet'!$A$87:$I$107,7,0))</f>
        <v>0</v>
      </c>
      <c r="BP13" s="142">
        <f>EXP(-LN(2)/35)*BP12+(1-EXP(-LN(2)/35))/(LN(2)/35)*BL13*BM13*VLOOKUP('Données projet'!$B$11,'Paramètres'!$A$1:$I$89,3,0)*0.475*44/12</f>
        <v>0</v>
      </c>
      <c r="BQ13" s="142">
        <f>EXP(-LN(2)/25)*BQ12+(1-EXP(-LN(2)/25))/(LN(2)/25)*Calculateur!BL13*Calculateur!BN13*VLOOKUP('Données projet'!$B$11,'Paramètres'!$A$1:$I$89,3,0)*0.475*44/12</f>
        <v>0</v>
      </c>
      <c r="BR13" s="142">
        <f>EXP(-LN(2)/2)*BR12+(1-EXP(-LN(2)/2))/(LN(2)/2)*BL13*BO13*VLOOKUP('Données projet'!$B$11,'Paramètres'!$A$1:$I$89,3,0)*0.475*44/12</f>
        <v>0</v>
      </c>
      <c r="BS13" s="143">
        <f t="shared" si="10"/>
        <v>0</v>
      </c>
      <c r="BT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1" t="str">
        <f>VLOOKUP(A13,'Données projet'!$A$113:$I$133,2,0)</f>
        <v>#N/A</v>
      </c>
      <c r="BW13" s="131" t="str">
        <f>VLOOKUP(A13,'Données projet'!$A$113:$I$133,9,0)</f>
        <v>#N/A</v>
      </c>
      <c r="BX13" s="130">
        <f t="array" ref="BX13">INDEX(BW:BW,MIN(IF(ISNUMBER(BW13:BW209),ROW(BW13:BW209),"")))</f>
        <v>1.866666667</v>
      </c>
      <c r="BY13" s="131">
        <f>IF('Données projet'!$A$114&gt;35,BY12+BX13-CG12,IF(A13&lt;'Données projet'!$A$114,$BV$205^A13,IF(A13='Données projet'!$A$114,'Données projet'!$B$114,BY12+BX13-CG12)))</f>
        <v>9.220872584</v>
      </c>
      <c r="BZ13" s="130">
        <f>BY13*VLOOKUP('Données projet'!$B$12,'Paramètres'!$A$1:$I$89,3,0)*VLOOKUP('Données projet'!$B$12,'Paramètres'!$A$1:$I$89,5,0)</f>
        <v>4.555111057</v>
      </c>
      <c r="CA13" s="130">
        <f t="shared" si="40"/>
        <v>1.759550576</v>
      </c>
      <c r="CB13" s="141">
        <f t="shared" si="11"/>
        <v>10.99803568</v>
      </c>
      <c r="CC13" s="133">
        <f t="shared" si="12"/>
        <v>304.331369</v>
      </c>
      <c r="CD13" s="133">
        <f>AVERAGE(OFFSET($CC$3,0,0,'Données projet'!$E$12+1,1))-AVERAGE(OFFSET($H$3,0,0,'Données projet'!$E$12+1,1))</f>
        <v>258.1672054</v>
      </c>
      <c r="CE13" s="133">
        <f t="shared" si="41"/>
        <v>296.0724261</v>
      </c>
      <c r="CF13" s="134">
        <f>IF(ISNA(VLOOKUP(A13,'Données projet'!$A$113:$I$133,3,0)),0,VLOOKUP(A13,'Données projet'!$A$113:$I$133,3,0))</f>
        <v>0</v>
      </c>
      <c r="CG13" s="134">
        <f>IF(ISNA(VLOOKUP(A13,'Données projet'!$A$113:$I$133,4,0)),0,VLOOKUP(A13,'Données projet'!$A$113:$I$133,4,0))</f>
        <v>0</v>
      </c>
      <c r="CH13" s="135">
        <f>IF(ISNA(VLOOKUP(A13,'Données projet'!$A$113:$I$133,5,0)),0%,VLOOKUP(A13,'Données projet'!$A$113:$I$133,5,0)*VLOOKUP('Données projet'!$B$12,'Paramètres'!$A$1:$I$89,7,0))</f>
        <v>0</v>
      </c>
      <c r="CI13" s="135">
        <f>IF(ISNA(VLOOKUP(A13,'Données projet'!$A$113:$I$133,6,0)),0%,VLOOKUP(A13,'Données projet'!$A$113:$I$133,6,0)*VLOOKUP('Données projet'!$B$12,'Paramètres'!$A$1:$I$89,7,0))</f>
        <v>0</v>
      </c>
      <c r="CJ13" s="135">
        <f>IF(ISNA(VLOOKUP(A13,'Données projet'!$A$113:$I$133,7,0)),0%,VLOOKUP(A13,'Données projet'!$A$113:$I$133,7,0))</f>
        <v>0</v>
      </c>
      <c r="CK13" s="142">
        <f>EXP(-LN(2)/35)*CK12+(1-EXP(-LN(2)/35))/(LN(2)/35)*CG13*CH13*VLOOKUP('Données projet'!$B$12,'Paramètres'!$A$1:$I$89,3,0)*0.475*44/12</f>
        <v>0</v>
      </c>
      <c r="CL13" s="142">
        <f>EXP(-LN(2)/25)*CL12+(1-EXP(-LN(2)/25))/(LN(2)/25)*Calculateur!CG13*Calculateur!CI13*VLOOKUP('Données projet'!$B$12,'Paramètres'!$A$1:$I$89,3,0)*0.475*44/12</f>
        <v>0</v>
      </c>
      <c r="CM13" s="142">
        <f>EXP(-LN(2)/2)*CM12+(1-EXP(-LN(2)/2))/(LN(2)/2)*CG13*CJ13*VLOOKUP('Données projet'!$B$12,'Paramètres'!$A$1:$I$89,3,0)*0.475*44/12</f>
        <v>0</v>
      </c>
      <c r="CN13" s="143">
        <f t="shared" si="13"/>
        <v>0</v>
      </c>
      <c r="CO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1" t="str">
        <f>VLOOKUP(A13,'Données projet'!$A$139:$I$159,2,0)</f>
        <v>#N/A</v>
      </c>
      <c r="CR13" s="131" t="str">
        <f>VLOOKUP(A13,'Données projet'!$A$139:$I$159,9,0)</f>
        <v>#N/A</v>
      </c>
      <c r="CS13" s="130">
        <f t="array" ref="CS13">INDEX(CR:CR,MIN(IF(ISNUMBER(CR13:CR209),ROW(CR13:CR209),"")))</f>
        <v>1.2</v>
      </c>
      <c r="CT13" s="131">
        <f>IF('Données projet'!$A$140&gt;35,CT12+CS13-DB12,IF(A13&lt;'Données projet'!$A$140,$CQ$205^A13,IF(A13='Données projet'!$A$140,'Données projet'!$B$140,CT12+CS13-DB12)))</f>
        <v>3.898059841</v>
      </c>
      <c r="CU13" s="138">
        <f>CT13*VLOOKUP('Données projet'!$B$13,'Paramètres'!$A$1:$I$89,3,0)*VLOOKUP('Données projet'!$B$13,'Paramètres'!$A$1:$I$89,5,0)</f>
        <v>3.952632679</v>
      </c>
      <c r="CV13" s="130">
        <f t="shared" si="42"/>
        <v>1.55224739</v>
      </c>
      <c r="CW13" s="141">
        <f t="shared" si="14"/>
        <v>9.587666119</v>
      </c>
      <c r="CX13" s="133">
        <f t="shared" si="15"/>
        <v>302.9209995</v>
      </c>
      <c r="CY13" s="133">
        <f>AVERAGE(OFFSET($CX$3,0,0,'Données projet'!$E$13+1,1))-AVERAGE(OFFSET($H$3,0,0,'Données projet'!$E$13+1,1))</f>
        <v>223.783507</v>
      </c>
      <c r="CZ13" s="133">
        <f t="shared" si="43"/>
        <v>84.92349117</v>
      </c>
      <c r="DA13" s="134">
        <f>IF(ISNA(VLOOKUP(A13,'Données projet'!$A$139:$I$159,3,0)),0,VLOOKUP(A13,'Données projet'!$A$139:$I$159,3,0))</f>
        <v>0</v>
      </c>
      <c r="DB13" s="134">
        <f>IF(ISNA(VLOOKUP(A13,'Données projet'!$A$139:$I$159,4,0)),0,VLOOKUP(A13,'Données projet'!$A$139:$I$159,4,0))</f>
        <v>0</v>
      </c>
      <c r="DC13" s="135">
        <f>IF(ISNA(VLOOKUP(A13,'Données projet'!$A$139:$I$159,5,0)),0%,VLOOKUP(A13,'Données projet'!$A$139:$I$159,5,0)*VLOOKUP('Données projet'!$B$13,'Paramètres'!$A$1:$I$89,7,0))</f>
        <v>0</v>
      </c>
      <c r="DD13" s="135">
        <f>IF(ISNA(VLOOKUP(A13,'Données projet'!$A$139:$I$159,6,0)),0%,VLOOKUP(A13,'Données projet'!$A$139:$I$159,6,0)*VLOOKUP('Données projet'!$B$13,'Paramètres'!$A$1:$I$89,7,0))</f>
        <v>0</v>
      </c>
      <c r="DE13" s="135">
        <f>IF(ISNA(VLOOKUP(A13,'Données projet'!$A$139:$I$159,7,0)),0%,VLOOKUP(A13,'Données projet'!$A$139:$I$159,7,0))</f>
        <v>0</v>
      </c>
      <c r="DF13" s="142">
        <f>EXP(-LN(2)/35)*DF12+(1-EXP(-LN(2)/35))/(LN(2)/35)*DB13*DC13*VLOOKUP('Données projet'!$B$13,'Paramètres'!$A$1:$I$89,3,0)*0.475*44/12</f>
        <v>0</v>
      </c>
      <c r="DG13" s="142">
        <f>EXP(-LN(2)/25)*DG12+(1-EXP(-LN(2)/25))/(LN(2)/25)*Calculateur!DB13*Calculateur!DD13*VLOOKUP('Données projet'!$B$13,'Paramètres'!$A$1:$I$89,3,0)*0.475*44/12</f>
        <v>0</v>
      </c>
      <c r="DH13" s="142">
        <f>EXP(-LN(2)/2)*DH12+(1-EXP(-LN(2)/2))/(LN(2)/2)*DB13*DE13*VLOOKUP('Données projet'!$B$13,'Paramètres'!$A$1:$I$89,3,0)*0.475*44/12</f>
        <v>0</v>
      </c>
      <c r="DI13" s="143">
        <f t="shared" si="16"/>
        <v>0</v>
      </c>
      <c r="DJ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1" t="str">
        <f>VLOOKUP(A13,'Données projet'!$A$165:$I$185,2,0)</f>
        <v>#N/A</v>
      </c>
      <c r="DM13" s="131" t="str">
        <f>VLOOKUP(A13,'Données projet'!$A$165:$I$185,9,0)</f>
        <v>#N/A</v>
      </c>
      <c r="DN13" s="131">
        <f t="array" ref="DN13">INDEX(DM:DM,MIN(IF(ISNUMBER(DM13:DM209),ROW(DM13:DM209),"")))</f>
        <v>2.1</v>
      </c>
      <c r="DO13" s="131">
        <f>IF('Données projet'!$A$166&gt;35,DO12+DN13-DW12,IF(A13&lt;'Données projet'!$A$166,$DL$205^A13,IF(A13='Données projet'!$A$166,'Données projet'!$B$166,DO12+DN13-DW12)))</f>
        <v>6.480740698</v>
      </c>
      <c r="DP13" s="138">
        <f>DO13*VLOOKUP('Données projet'!$B$14,'Paramètres'!$A$1:$I$89,3,0)*VLOOKUP('Données projet'!$B$14,'Paramètres'!$A$1:$I$89,5,0)</f>
        <v>5.863774184</v>
      </c>
      <c r="DQ13" s="130">
        <f t="shared" si="44"/>
        <v>2.19944685</v>
      </c>
      <c r="DR13" s="141">
        <f t="shared" si="17"/>
        <v>14.0434433</v>
      </c>
      <c r="DS13" s="133">
        <f t="shared" si="18"/>
        <v>307.3767766</v>
      </c>
      <c r="DT13" s="133">
        <f>AVERAGE(OFFSET($DS$3,0,0,'Données projet'!$E$14+1,1))-AVERAGE(OFFSET($H$3,0,0,'Données projet'!$E$14+1,1))</f>
        <v>287.9334714</v>
      </c>
      <c r="DU13" s="133">
        <f t="shared" si="45"/>
        <v>156.6796502</v>
      </c>
      <c r="DV13" s="134">
        <f>IF(ISNA(VLOOKUP(A13,'Données projet'!$A$165:$I$185,3,0)),0,VLOOKUP(A13,'Données projet'!$A$165:$I$185,3,0))</f>
        <v>0</v>
      </c>
      <c r="DW13" s="134">
        <f>IF(ISNA(VLOOKUP(A13,'Données projet'!$A$165:$I$185,4,0)),0,VLOOKUP(A13,'Données projet'!$A$165:$I$185,4,0))</f>
        <v>0</v>
      </c>
      <c r="DX13" s="135">
        <f>IF(ISNA(VLOOKUP(A13,'Données projet'!$A$165:$I$185,5,0)),0%,VLOOKUP(A13,'Données projet'!$A$165:$I$185,5,0)*VLOOKUP('Données projet'!$B$14,'Paramètres'!$A$1:$I$89,7,0))</f>
        <v>0</v>
      </c>
      <c r="DY13" s="135">
        <f>IF(ISNA(VLOOKUP(A13,'Données projet'!$A$165:$I$185,6,0)),0%,VLOOKUP(A13,'Données projet'!$A$165:$I$185,6,0)*VLOOKUP('Données projet'!$B$14,'Paramètres'!$A$1:$I$89,7,0))</f>
        <v>0</v>
      </c>
      <c r="DZ13" s="135">
        <f>IF(ISNA(VLOOKUP(A13,'Données projet'!$A$165:$I$185,7,0)),0%,VLOOKUP(A13,'Données projet'!$A$165:$I$185,7,0))</f>
        <v>0</v>
      </c>
      <c r="EA13" s="142">
        <f>EXP(-LN(2)/35)*EA12+(1-EXP(-LN(2)/35))/(LN(2)/35)*DW13*DX13*VLOOKUP('Données projet'!$B$14,'Paramètres'!$A$1:$I$89,3,0)*0.475*44/12</f>
        <v>0</v>
      </c>
      <c r="EB13" s="142">
        <f>EXP(-LN(2)/25)*EB12+(1-EXP(-LN(2)/25))/(LN(2)/25)*Calculateur!DW13*Calculateur!DY13*VLOOKUP('Données projet'!$B$14,'Paramètres'!$A$1:$I$89,3,0)*0.475*44/12</f>
        <v>0</v>
      </c>
      <c r="EC13" s="142">
        <f>EXP(-LN(2)/2)*EC12+(1-EXP(-LN(2)/2))/(LN(2)/2)*DW13*DZ13*VLOOKUP('Données projet'!$B$14,'Paramètres'!$A$1:$I$89,3,0)*0.475*44/12</f>
        <v>0</v>
      </c>
      <c r="ED13" s="143">
        <f t="shared" si="19"/>
        <v>0</v>
      </c>
      <c r="EE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1" t="str">
        <f>VLOOKUP(A13,'Données projet'!$A$191:$I$211,2,0)</f>
        <v>#N/A</v>
      </c>
      <c r="EH13" s="131" t="str">
        <f>VLOOKUP(A13,'Données projet'!$A$191:$I$211,9,0)</f>
        <v>#N/A</v>
      </c>
      <c r="EI13" s="131">
        <f t="array" ref="EI13">INDEX(EH:EH,MIN(IF(ISNUMBER(EH13:EH209),ROW(EH13:EH209),"")))</f>
        <v>1.6</v>
      </c>
      <c r="EJ13" s="131">
        <f>IF('Données projet'!$A$192&gt;35,EJ12+EI13-ER12,IF(A13&lt;'Données projet'!$A$192,$EG$205^A13,IF(A13='Données projet'!$A$192,'Données projet'!$B$192,EJ12+EI13-ER12)))</f>
        <v>4.373448296</v>
      </c>
      <c r="EK13" s="138">
        <f>EJ13*VLOOKUP('Données projet'!$B$15,'Paramètres'!$A$1:$I$89,3,0)*VLOOKUP('Données projet'!$B$15,'Paramètres'!$A$1:$I$89,5,0)</f>
        <v>3.20661229</v>
      </c>
      <c r="EL13" s="130">
        <f t="shared" si="46"/>
        <v>1.290311924</v>
      </c>
      <c r="EM13" s="141">
        <f t="shared" si="20"/>
        <v>7.832143006</v>
      </c>
      <c r="EN13" s="133">
        <f t="shared" si="21"/>
        <v>301.1654763</v>
      </c>
      <c r="EO13" s="133">
        <f>AVERAGE(OFFSET($EN$3,0,0,'Données projet'!$E$15+1,1))-AVERAGE(OFFSET($H$3,0,0,'Données projet'!$E$15+1,1))</f>
        <v>130.3193339</v>
      </c>
      <c r="EP13" s="133">
        <f t="shared" si="47"/>
        <v>82.22784365</v>
      </c>
      <c r="EQ13" s="134">
        <f>IF(ISNA(VLOOKUP(A13,'Données projet'!$A$191:$I$211,3,0)),0,VLOOKUP(A13,'Données projet'!$A$191:$I$211,3,0))</f>
        <v>0</v>
      </c>
      <c r="ER13" s="134">
        <f>IF(ISNA(VLOOKUP(A13,'Données projet'!$A$191:$I$211,4,0)),0,VLOOKUP(A13,'Données projet'!$A$191:$I$211,4,0))</f>
        <v>0</v>
      </c>
      <c r="ES13" s="135">
        <f>IF(ISNA(VLOOKUP(A13,'Données projet'!$A$191:$I$211,5,0)),0%,VLOOKUP(A13,'Données projet'!$A$191:$I$211,5,0)*VLOOKUP('Données projet'!$B$15,'Paramètres'!$A$1:$I$89,7,0))</f>
        <v>0</v>
      </c>
      <c r="ET13" s="135">
        <f>IF(ISNA(VLOOKUP(A13,'Données projet'!$A$191:$I$211,6,0)),0%,VLOOKUP(A13,'Données projet'!$A$191:$I$211,6,0)*VLOOKUP('Données projet'!$B$15,'Paramètres'!$A$1:$I$89,7,0))</f>
        <v>0</v>
      </c>
      <c r="EU13" s="135">
        <f>IF(ISNA(VLOOKUP(A13,'Données projet'!$A$191:$I$211,7,0)),0%,VLOOKUP(A13,'Données projet'!$A$191:$I$211,7,0))</f>
        <v>0</v>
      </c>
      <c r="EV13" s="142">
        <f>EXP(-LN(2)/35)*EV12+(1-EXP(-LN(2)/35))/(LN(2)/35)*ER13*ES13*VLOOKUP('Données projet'!$B$15,'Paramètres'!$A$1:$I$89,3,0)*0.475*44/12</f>
        <v>0</v>
      </c>
      <c r="EW13" s="142">
        <f>EXP(-LN(2)/25)*EW12+(1-EXP(-LN(2)/25))/(LN(2)/25)*Calculateur!ER13*Calculateur!ET13*VLOOKUP('Données projet'!$B$15,'Paramètres'!$A$1:$I$89,3,0)*0.475*44/12</f>
        <v>0</v>
      </c>
      <c r="EX13" s="142">
        <f>EXP(-LN(2)/2)*EX12+(1-EXP(-LN(2)/2))/(LN(2)/2)*ER13*EU13*VLOOKUP('Données projet'!$B$15,'Paramètres'!$A$1:$I$89,3,0)*0.475*44/12</f>
        <v>0</v>
      </c>
      <c r="EY13" s="143">
        <f t="shared" si="22"/>
        <v>0</v>
      </c>
      <c r="EZ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1" t="str">
        <f>VLOOKUP(A13,'Données projet'!$A$217:$I$237,2,0)</f>
        <v>#N/A</v>
      </c>
      <c r="FC13" s="131" t="str">
        <f>VLOOKUP(A13,'Données projet'!$A$217:$I$237,9,0)</f>
        <v>#N/A</v>
      </c>
      <c r="FD13" s="130">
        <f t="array" ref="FD13">INDEX(FC:FC,MIN(IF(ISNUMBER(FC13:FC209),ROW(FC13:FC209),"")))</f>
        <v>7.533333333</v>
      </c>
      <c r="FE13" s="131">
        <f>IF('Données projet'!$A$218&gt;35,FE12+FD13-FM12,IF(A13&lt;'Données projet'!$A$218,$FB$205^A13,IF(A13='Données projet'!$A$218,'Données projet'!$B$218,FE12+FD13-FM12)))</f>
        <v>23.37324236</v>
      </c>
      <c r="FF13" s="138">
        <f>FE13*VLOOKUP('Données projet'!$B$16,'Paramètres'!$A$1:$I$89,3,0)*VLOOKUP('Données projet'!$B$16,'Paramètres'!$A$1:$I$89,5,0)</f>
        <v>21.14810969</v>
      </c>
      <c r="FG13" s="130">
        <f t="shared" si="48"/>
        <v>6.832222641</v>
      </c>
      <c r="FH13" s="141">
        <f t="shared" si="23"/>
        <v>48.73241214</v>
      </c>
      <c r="FI13" s="133">
        <f t="shared" si="24"/>
        <v>342.0657455</v>
      </c>
      <c r="FJ13" s="133">
        <f>AVERAGE(OFFSET($FI$3,0,0,'Données projet'!$E$16+1,1))-AVERAGE(OFFSET($H$3,0,0,'Données projet'!$E$16+1,1))</f>
        <v>305.6252353</v>
      </c>
      <c r="FK13" s="133">
        <f t="shared" si="49"/>
        <v>331.397916</v>
      </c>
      <c r="FL13" s="134">
        <f>IF(ISNA(VLOOKUP(A13,'Données projet'!$A$217:$I$237,3,0)),0,VLOOKUP(A13,'Données projet'!$A$217:$I$237,3,0))</f>
        <v>0</v>
      </c>
      <c r="FM13" s="134">
        <f>IF(ISNA(VLOOKUP(A13,'Données projet'!$A$217:$I$237,4,0)),0,VLOOKUP(A13,'Données projet'!$A$217:$I$237,4,0))</f>
        <v>0</v>
      </c>
      <c r="FN13" s="135">
        <f>IF(ISNA(VLOOKUP(A13,'Données projet'!$A$217:$I$237,5,0)),0%,VLOOKUP(A13,'Données projet'!$A$217:$I$237,5,0)*VLOOKUP('Données projet'!$B$16,'Paramètres'!$A$1:$I$89,7,0))</f>
        <v>0</v>
      </c>
      <c r="FO13" s="135">
        <f>IF(ISNA(VLOOKUP(A13,'Données projet'!$A$217:$I$237,6,0)),0%,VLOOKUP(A13,'Données projet'!$A$217:$I$237,6,0)*VLOOKUP('Données projet'!$B$16,'Paramètres'!$A$1:$I$89,7,0))</f>
        <v>0</v>
      </c>
      <c r="FP13" s="135">
        <f>IF(ISNA(VLOOKUP(A13,'Données projet'!$A$217:$I$237,7,0)),0%,VLOOKUP(A13,'Données projet'!$A$217:$I$237,7,0))</f>
        <v>0</v>
      </c>
      <c r="FQ13" s="142">
        <f>EXP(-LN(2)/35)*FQ12+(1-EXP(-LN(2)/35))/(LN(2)/35)*FM13*FN13*VLOOKUP('Données projet'!$B$16,'Paramètres'!$A$1:$I$89,3,0)*0.475*44/12</f>
        <v>0</v>
      </c>
      <c r="FR13" s="142">
        <f>EXP(-LN(2)/25)*FR12+(1-EXP(-LN(2)/25))/(LN(2)/25)*Calculateur!FM13*Calculateur!FO13*VLOOKUP('Données projet'!$B$16,'Paramètres'!$A$1:$I$89,3,0)*0.475*44/12</f>
        <v>0</v>
      </c>
      <c r="FS13" s="142">
        <f>EXP(-LN(2)/2)*FS12+(1-EXP(-LN(2)/2))/(LN(2)/2)*FM13*FP13*VLOOKUP('Données projet'!$B$16,'Paramètres'!$A$1:$I$89,3,0)*0.475*44/12</f>
        <v>0</v>
      </c>
      <c r="FT13" s="143">
        <f t="shared" si="25"/>
        <v>0</v>
      </c>
      <c r="FU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1" t="str">
        <f>VLOOKUP(A13,'Données projet'!$A$243:$I$263,2,0)</f>
        <v>#N/A</v>
      </c>
      <c r="FX13" s="131" t="str">
        <f>VLOOKUP(A13,'Données projet'!$A$243:$I$263,9,0)</f>
        <v>#N/A</v>
      </c>
      <c r="FY13" s="130">
        <f t="array" ref="FY13">INDEX(FX:FX,MIN(IF(ISNUMBER(FX13:FX209),ROW(FX13:FX209),"")))</f>
        <v>1.6</v>
      </c>
      <c r="FZ13" s="131">
        <f>IF('Données projet'!$A$244&gt;35,FZ12+FY13-GH12,IF(A13&lt;'Données projet'!$A$244,$FW$205^A13,IF(A13='Données projet'!$A$244,'Données projet'!$B$244,FZ12+FY13-GH12)))</f>
        <v>5.656854249</v>
      </c>
      <c r="GA13" s="138">
        <f>FZ13*VLOOKUP('Données projet'!$B$17,'Paramètres'!$A$1:$I$89,3,0)*VLOOKUP('Données projet'!$B$17,'Paramètres'!$A$1:$I$89,5,0)</f>
        <v>3.794617831</v>
      </c>
      <c r="GB13" s="130">
        <f t="shared" si="50"/>
        <v>1.497286634</v>
      </c>
      <c r="GC13" s="141">
        <f t="shared" si="26"/>
        <v>9.216733609</v>
      </c>
      <c r="GD13" s="133">
        <f t="shared" si="27"/>
        <v>302.5500669</v>
      </c>
      <c r="GE13" s="133">
        <f>AVERAGE(OFFSET($GD$3,0,0,'Données projet'!$E$17+1,1))-AVERAGE(OFFSET($H$3,0,0,'Données projet'!$E$17+1,1))</f>
        <v>118.7368745</v>
      </c>
      <c r="GF13" s="133">
        <f t="shared" si="51"/>
        <v>135.1233677</v>
      </c>
      <c r="GG13" s="134">
        <f>IF(ISNA(VLOOKUP(A13,'Données projet'!$A$243:$I$263,3,0)),0,VLOOKUP(A13,'Données projet'!$A$243:$I$263,3,0))</f>
        <v>0</v>
      </c>
      <c r="GH13" s="134">
        <f>IF(ISNA(VLOOKUP(A13,'Données projet'!$A$243:$I$263,4,0)),0,VLOOKUP(A13,'Données projet'!$A$243:$I$263,4,0))</f>
        <v>0</v>
      </c>
      <c r="GI13" s="135">
        <f>IF(ISNA(VLOOKUP(A13,'Données projet'!$A$243:$I$263,5,0)),0%,VLOOKUP(A13,'Données projet'!$A$243:$I$263,5,0)*VLOOKUP('Données projet'!$B$17,'Paramètres'!$A$1:$I$89,7,0))</f>
        <v>0</v>
      </c>
      <c r="GJ13" s="135">
        <f>IF(ISNA(VLOOKUP(A13,'Données projet'!$A$243:$I$263,6,0)),0%,VLOOKUP(A13,'Données projet'!$A$243:$I$263,6,0)*VLOOKUP('Données projet'!$B$17,'Paramètres'!$A$1:$I$89,7,0))</f>
        <v>0</v>
      </c>
      <c r="GK13" s="135">
        <f>IF(ISNA(VLOOKUP(A13,'Données projet'!$A$243:$I$263,7,0)),0%,VLOOKUP(A13,'Données projet'!$A$243:$I$263,7,0))</f>
        <v>0</v>
      </c>
      <c r="GL13" s="142">
        <f>EXP(-LN(2)/35)*GL12+(1-EXP(-LN(2)/35))/(LN(2)/35)*GH13*GI13*VLOOKUP('Données projet'!$B$17,'Paramètres'!$A$1:$I$89,3,0)*0.475*44/12</f>
        <v>0</v>
      </c>
      <c r="GM13" s="142">
        <f>EXP(-LN(2)/25)*GM12+(1-EXP(-LN(2)/25))/(LN(2)/25)*Calculateur!GH13*Calculateur!GJ13*VLOOKUP('Données projet'!$B$17,'Paramètres'!$A$1:$I$89,3,0)*0.475*44/12</f>
        <v>0</v>
      </c>
      <c r="GN13" s="142">
        <f>EXP(-LN(2)/2)*GN12+(1-EXP(-LN(2)/2))/(LN(2)/2)*GH13*GK13*VLOOKUP('Données projet'!$B$17,'Paramètres'!$A$1:$I$89,3,0)*0.475*44/12</f>
        <v>0</v>
      </c>
      <c r="GO13" s="142">
        <f t="shared" si="28"/>
        <v>0</v>
      </c>
      <c r="GP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1" t="str">
        <f>VLOOKUP(A13,'Données projet'!$A$269:$I$289,2,0)</f>
        <v>#N/A</v>
      </c>
      <c r="GS13" s="131" t="str">
        <f>VLOOKUP(A13,'Données projet'!$A$269:$I$289,9,0)</f>
        <v>#N/A</v>
      </c>
      <c r="GT13" s="130">
        <f t="array" ref="GT13">INDEX(GS:GS,MIN(IF(ISNUMBER(GS13:GS209),ROW(GS13:GS209),"")))</f>
        <v>1.2</v>
      </c>
      <c r="GU13" s="131">
        <f>IF('Données projet'!$A$270&gt;35,GU12+GT13-HC12,IF(A13&lt;'Données projet'!$A$270,$GR$205^A13,IF(A13='Données projet'!$A$270,'Données projet'!$B$270,GU12+GT13-HC12)))</f>
        <v>3.898059841</v>
      </c>
      <c r="GV13" s="138">
        <f>GU13*VLOOKUP('Données projet'!$B$18,'Paramètres'!$A$1:$I$89,3,0)*VLOOKUP('Données projet'!$B$18,'Paramètres'!$A$1:$I$89,5,0)</f>
        <v>4.195871613</v>
      </c>
      <c r="GW13" s="130">
        <f t="shared" si="52"/>
        <v>1.636355848</v>
      </c>
      <c r="GX13" s="141">
        <f t="shared" si="29"/>
        <v>10.15779616</v>
      </c>
      <c r="GY13" s="133">
        <f t="shared" si="30"/>
        <v>303.4911295</v>
      </c>
      <c r="GZ13" s="133">
        <f>AVERAGE(OFFSET($GY$3,0,0,'Données projet'!$E$18+1,1))-AVERAGE(OFFSET($H$3,0,0,'Données projet'!$E$18+1,1))</f>
        <v>100.5427875</v>
      </c>
      <c r="HA13" s="133">
        <f t="shared" si="53"/>
        <v>92.28663609</v>
      </c>
      <c r="HB13" s="134">
        <f>IF(ISNA(VLOOKUP(A13,'Données projet'!$A$269:$I$289,3,0)),0,VLOOKUP(A13,'Données projet'!$A$269:$I$289,3,0))</f>
        <v>0</v>
      </c>
      <c r="HC13" s="134">
        <f>IF(ISNA(VLOOKUP(A13,'Données projet'!$A$269:$I$289,4,0)),0,VLOOKUP(A13,'Données projet'!$A$269:$I$289,4,0))</f>
        <v>0</v>
      </c>
      <c r="HD13" s="135">
        <f>IF(ISNA(VLOOKUP(A13,'Données projet'!$A$269:$I$289,5,0)),0%,VLOOKUP(A13,'Données projet'!$A$269:$I$289,5,0)*VLOOKUP('Données projet'!$B$18,'Paramètres'!$A$1:$I$89,7,0))</f>
        <v>0</v>
      </c>
      <c r="HE13" s="135">
        <f>IF(ISNA(VLOOKUP(A13,'Données projet'!$A$269:$I$289,6,0)),0%,VLOOKUP(A13,'Données projet'!$A$269:$I$289,6,0)*VLOOKUP('Données projet'!$B$18,'Paramètres'!$A$1:$I$89,7,0))</f>
        <v>0</v>
      </c>
      <c r="HF13" s="135">
        <f>IF(ISNA(VLOOKUP(A13,'Données projet'!$A$269:$I$289,7,0)),0%,VLOOKUP(A13,'Données projet'!$A$269:$I$289,7,0))</f>
        <v>0</v>
      </c>
      <c r="HG13" s="142">
        <f>EXP(-LN(2)/35)*HG12+(1-EXP(-LN(2)/35))/(LN(2)/35)*HC13*HD13*VLOOKUP('Données projet'!$B$18,'Paramètres'!$A$1:$I$89,3,0)*0.475*44/12</f>
        <v>0</v>
      </c>
      <c r="HH13" s="142">
        <f>EXP(-LN(2)/25)*HH12+(1-EXP(-LN(2)/25))/(LN(2)/25)*Calculateur!HC13*Calculateur!HE13*VLOOKUP('Données projet'!$B$18,'Paramètres'!$A$1:$I$89,3,0)*0.475*44/12</f>
        <v>0</v>
      </c>
      <c r="HI13" s="142">
        <f>EXP(-LN(2)/2)*HI12+(1-EXP(-LN(2)/2))/(LN(2)/2)*HC13*HF13*VLOOKUP('Données projet'!$B$18,'Paramètres'!$A$1:$I$89,3,0)*0.475*44/12</f>
        <v>0</v>
      </c>
      <c r="HJ13" s="143">
        <f t="shared" si="31"/>
        <v>0</v>
      </c>
    </row>
    <row r="14">
      <c r="A14" s="125">
        <f t="shared" si="32"/>
        <v>11</v>
      </c>
      <c r="B14" s="126">
        <f>'Scénario référence'!$B$16*5+'Scénario référence'!$B$17*0+'Scénario référence'!$B$18*5</f>
        <v>0</v>
      </c>
      <c r="C14" s="140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6.006</v>
      </c>
      <c r="D14" s="127">
        <f t="shared" si="33"/>
        <v>2.246518817</v>
      </c>
      <c r="E1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7">
        <f>IF(OR('Scénario référence'!$F$8&gt;0,'Scénario référence'!$F$9&gt;0),('Scénario référence'!$F$8+'Scénario référence'!$F$9)*10,0)</f>
        <v>10</v>
      </c>
      <c r="G14" s="127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</v>
      </c>
      <c r="H14" s="128">
        <f t="shared" si="1"/>
        <v>307.7064703</v>
      </c>
      <c r="I14" s="12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1" t="str">
        <f>VLOOKUP(A14,'Données projet'!$A$35:$I$55,2,0)</f>
        <v>#N/A</v>
      </c>
      <c r="L14" s="131" t="str">
        <f>VLOOKUP(A14,'Données projet'!$A$35:$I$55,9,0)</f>
        <v>#N/A</v>
      </c>
      <c r="M14" s="131">
        <f t="array" ref="M14">INDEX(L:L,MIN(IF(ISNUMBER(L14:L210),ROW(L14:L210),"")))</f>
        <v>3.92</v>
      </c>
      <c r="N14" s="130">
        <f>IF('Données projet'!$A$36&gt;35,N13+M14-V13,IF(A14&lt;'Données projet'!$A$36,$K$205^A14,IF(A14='Données projet'!$A$36,'Données projet'!$B$36,N13+M14-V13)))</f>
        <v>7.518643158</v>
      </c>
      <c r="O14" s="130">
        <f>N14*VLOOKUP('Données projet'!$B$9,'Paramètres'!$A$1:$I$89,3,0)*VLOOKUP('Données projet'!$B$9,'Paramètres'!$A$1:$I$89,5,0)</f>
        <v>4.300663887</v>
      </c>
      <c r="P14" s="130">
        <f t="shared" si="34"/>
        <v>1.672414925</v>
      </c>
      <c r="Q14" s="141">
        <f t="shared" si="2"/>
        <v>10.40311226</v>
      </c>
      <c r="R14" s="133">
        <f t="shared" si="3"/>
        <v>303.7364456</v>
      </c>
      <c r="S14" s="133">
        <f>AVERAGE(OFFSET($R$3,0,0,'Données projet'!$E$9+1,1))-AVERAGE(OFFSET($H$3,0,0,'Données projet'!$E$9+1,1))</f>
        <v>126.9946492</v>
      </c>
      <c r="T14" s="133">
        <f t="shared" si="35"/>
        <v>140.039049</v>
      </c>
      <c r="U14" s="134">
        <f>IF(ISNA(VLOOKUP(A14,'Données projet'!$A$35:$I$55,3,0)),0,VLOOKUP(A14,'Données projet'!$A$35:$I$55,3,0))</f>
        <v>0</v>
      </c>
      <c r="V14" s="134">
        <f>IF(ISNA(VLOOKUP(A14,'Données projet'!$A$35:$I$55,4,0)),0,VLOOKUP(A14,'Données projet'!$A$35:$I$55,4,0))</f>
        <v>0</v>
      </c>
      <c r="W14" s="135">
        <f>IF(ISNA(VLOOKUP(A14,'Données projet'!$A$35:$I$55,5,0)),0%,VLOOKUP(A14,'Données projet'!$A$35:$I$55,5,0)*VLOOKUP('Données projet'!$B$9,'Paramètres'!$A$1:$I$89,7,0))</f>
        <v>0</v>
      </c>
      <c r="X14" s="135">
        <f>IF(ISNA(VLOOKUP(A14,'Données projet'!$A$35:$I$55,6,0)),0%,VLOOKUP(A14,'Données projet'!$A$35:$I$55,6,0)*VLOOKUP('Données projet'!$B$9,'Paramètres'!$A$1:$I$89,7,0))</f>
        <v>0</v>
      </c>
      <c r="Y14" s="135">
        <f>IF(ISNA(VLOOKUP(A14,'Données projet'!$A$35:$I$55,7,0)),0%,VLOOKUP(A14,'Données projet'!$A$35:$I$55,7,0))</f>
        <v>0</v>
      </c>
      <c r="Z14" s="142">
        <f>EXP(-LN(2)/35)*Z13+(1-EXP(-LN(2)/35))/(LN(2)/35)*V14*W14*VLOOKUP('Données projet'!$B$9,'Paramètres'!$A$1:$I$89,3,0)*0.475*44/12</f>
        <v>0</v>
      </c>
      <c r="AA14" s="142">
        <f>EXP(-LN(2)/25)*AA13+(1-EXP(-LN(2)/25))/(LN(2)/25)*Calculateur!V14*Calculateur!X14*VLOOKUP('Données projet'!$B$9,'Paramètres'!$A$1:$I$89,3,0)*0.475*44/12</f>
        <v>0</v>
      </c>
      <c r="AB14" s="142">
        <f>EXP(-LN(2)/2)*AB13+(1-EXP(-LN(2)/2))/(LN(2)/2)*V14*Y14*VLOOKUP('Données projet'!$B$9,'Paramètres'!$A$1:$I$89,3,0)*0.475*44/12</f>
        <v>0</v>
      </c>
      <c r="AC14" s="143">
        <f t="shared" si="4"/>
        <v>0</v>
      </c>
      <c r="AD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0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1" t="str">
        <f>VLOOKUP(A14,'Données projet'!$A$61:$I$81,2,0)</f>
        <v>#N/A</v>
      </c>
      <c r="AG14" s="131" t="str">
        <f>VLOOKUP(A14,'Données projet'!$A$61:$I$81,9,0)</f>
        <v>#N/A</v>
      </c>
      <c r="AH14" s="130">
        <f t="array" ref="AH14">INDEX(AG:AG,MIN(IF(ISNUMBER(AG14:AG210),ROW(AG14:AG210),"")))</f>
        <v>5.590909091</v>
      </c>
      <c r="AI14" s="130">
        <f>IF('Données projet'!$A$62&gt;35,AI13+AH14-AQ13,IF(A14&lt;'Données projet'!$A$62,$AF$205^A14,IF(A14='Données projet'!$A$62,'Données projet'!$B$62,AI13+AH14-AQ13)))</f>
        <v>11.09053651</v>
      </c>
      <c r="AJ14" s="130">
        <f>AI14*VLOOKUP('Données projet'!$B$10,'Paramètres'!$A$1:$I$89,3,0)*VLOOKUP('Données projet'!$B$10,'Paramètres'!$A$1:$I$89,5,0)</f>
        <v>6.632140831</v>
      </c>
      <c r="AK14" s="130">
        <f t="shared" si="36"/>
        <v>2.452253196</v>
      </c>
      <c r="AL14" s="141">
        <f t="shared" si="5"/>
        <v>15.82198626</v>
      </c>
      <c r="AM14" s="133">
        <f t="shared" si="6"/>
        <v>309.1553196</v>
      </c>
      <c r="AN14" s="133">
        <f>AVERAGE(OFFSET($AM$3,0,0,'Données projet'!$E$10+1,1))-AVERAGE(OFFSET($H$3,0,0,'Données projet'!$E$10+1,1))</f>
        <v>196.874484</v>
      </c>
      <c r="AO14" s="133">
        <f t="shared" si="37"/>
        <v>217.5750859</v>
      </c>
      <c r="AP14" s="134">
        <f>IF(ISNA(VLOOKUP(A14,'Données projet'!$A$61:$I$81,3,0)),0,VLOOKUP(A14,'Données projet'!$A$61:$I$81,3,0))</f>
        <v>0</v>
      </c>
      <c r="AQ14" s="134">
        <f>IF(ISNA(VLOOKUP(A14,'Données projet'!$A$61:$I$81,4,0)),0,VLOOKUP(A14,'Données projet'!$A$61:$I$81,4,0))</f>
        <v>0</v>
      </c>
      <c r="AR14" s="135">
        <f>IF(ISNA(VLOOKUP(A14,'Données projet'!$A$61:$I$81,5,0)),0%,VLOOKUP(A14,'Données projet'!$A$61:$I$81,5,0)*VLOOKUP('Données projet'!$B$10,'Paramètres'!$A$1:$I$89,7,0))</f>
        <v>0</v>
      </c>
      <c r="AS14" s="135">
        <f>IF(ISNA(VLOOKUP(A14,'Données projet'!$A$61:$I$81,6,0)),0%,VLOOKUP(A14,'Données projet'!$A$61:$I$81,6,0)*VLOOKUP('Données projet'!$B$10,'Paramètres'!$A$1:$I$89,7,0))</f>
        <v>0</v>
      </c>
      <c r="AT14" s="135">
        <f>IF(ISNA(VLOOKUP(A14,'Données projet'!$A$61:$I$81,7,0)),0%,VLOOKUP(A14,'Données projet'!$A$61:$I$81,7,0))</f>
        <v>0</v>
      </c>
      <c r="AU14" s="142">
        <f>EXP(-LN(2)/35)*AU13+(1-EXP(-LN(2)/35))/(LN(2)/35)*AQ14*AR14*VLOOKUP('Données projet'!$B$10,'Paramètres'!$A$1:$I$89,3,0)*0.475*44/12</f>
        <v>0</v>
      </c>
      <c r="AV14" s="142">
        <f>EXP(-LN(2)/25)*AV13+(1-EXP(-LN(2)/25))/(LN(2)/25)*Calculateur!AQ14*Calculateur!AS14*VLOOKUP('Données projet'!$B$10,'Paramètres'!$A$1:$I$89,3,0)*0.475*44/12</f>
        <v>0</v>
      </c>
      <c r="AW14" s="142">
        <f>EXP(-LN(2)/2)*AW13+(1-EXP(-LN(2)/2))/(LN(2)/2)*AQ14*AT14*VLOOKUP('Données projet'!$B$10,'Paramètres'!$A$1:$I$89,3,0)*0.475*44/12</f>
        <v>0</v>
      </c>
      <c r="AX14" s="142">
        <f t="shared" si="7"/>
        <v>0</v>
      </c>
      <c r="AY14" s="13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1" t="str">
        <f>VLOOKUP(A14,'Données projet'!$A$87:$I$107,2,0)</f>
        <v>#N/A</v>
      </c>
      <c r="BB14" s="131" t="str">
        <f>VLOOKUP(A14,'Données projet'!$A$87:$I$107,9,0)</f>
        <v>#N/A</v>
      </c>
      <c r="BC14" s="130">
        <f t="array" ref="BC14">INDEX(BB:BB,MIN(IF(ISNUMBER(BB14:BB210),ROW(BB14:BB210),"")))</f>
        <v>4.666666667</v>
      </c>
      <c r="BD14" s="131">
        <f>IF('Données projet'!$A$88&gt;35,BD13+BC14-BL13,IF(A14&lt;'Données projet'!$A$88,$BA$205^A14,IF(A14='Données projet'!$A$88,'Données projet'!$B$88,BD13+BC14-BL13)))</f>
        <v>6.122285992</v>
      </c>
      <c r="BE14" s="130">
        <f>BD14*VLOOKUP('Données projet'!$B$11,'Paramètres'!$A$1:$I$89,3,0)*VLOOKUP('Données projet'!$B$11,'Paramètres'!$A$1:$I$89,5,0)</f>
        <v>2.865229844</v>
      </c>
      <c r="BF14" s="130">
        <f t="shared" si="38"/>
        <v>1.168148805</v>
      </c>
      <c r="BG14" s="141">
        <f t="shared" si="8"/>
        <v>7.024801148</v>
      </c>
      <c r="BH14" s="133">
        <f t="shared" si="9"/>
        <v>300.3581345</v>
      </c>
      <c r="BI14" s="133">
        <f>AVERAGE(OFFSET($BH$3,0,0,'Données projet'!$E$11+1,1))-AVERAGE(OFFSET($H$3,0,0,'Données projet'!$E$11+1,1))</f>
        <v>134.0948534</v>
      </c>
      <c r="BJ14" s="133">
        <f t="shared" si="39"/>
        <v>108.4102536</v>
      </c>
      <c r="BK14" s="134">
        <f>IF(ISNA(VLOOKUP(A14,'Données projet'!$A$87:$I$107,3,0)),0,VLOOKUP(A14,'Données projet'!$A$87:$I$107,3,0))</f>
        <v>0</v>
      </c>
      <c r="BL14" s="134">
        <f>IF(ISNA(VLOOKUP(A14,'Données projet'!$A$87:$I$107,4,0)),0,VLOOKUP(A14,'Données projet'!$A$87:$I$107,4,0))</f>
        <v>0</v>
      </c>
      <c r="BM14" s="135">
        <f>IF(ISNA(VLOOKUP(A14,'Données projet'!$A$87:$I$107,5,0)),0%,VLOOKUP(A14,'Données projet'!$A$87:$I$107,5,0)*VLOOKUP('Données projet'!$B$11,'Paramètres'!$A$1:$I$89,7,0))</f>
        <v>0</v>
      </c>
      <c r="BN14" s="135">
        <f>IF(ISNA(VLOOKUP(A14,'Données projet'!$A$87:$I$107,6,0)),0%,VLOOKUP(A14,'Données projet'!$A$87:$I$107,6,0)*VLOOKUP('Données projet'!$B$11,'Paramètres'!$A$1:$I$89,7,0))</f>
        <v>0</v>
      </c>
      <c r="BO14" s="135">
        <f>IF(ISNA(VLOOKUP(A14,'Données projet'!$A$87:$I$107,7,0)),0%,VLOOKUP(A14,'Données projet'!$A$87:$I$107,7,0))</f>
        <v>0</v>
      </c>
      <c r="BP14" s="142">
        <f>EXP(-LN(2)/35)*BP13+(1-EXP(-LN(2)/35))/(LN(2)/35)*BL14*BM14*VLOOKUP('Données projet'!$B$11,'Paramètres'!$A$1:$I$89,3,0)*0.475*44/12</f>
        <v>0</v>
      </c>
      <c r="BQ14" s="142">
        <f>EXP(-LN(2)/25)*BQ13+(1-EXP(-LN(2)/25))/(LN(2)/25)*Calculateur!BL14*Calculateur!BN14*VLOOKUP('Données projet'!$B$11,'Paramètres'!$A$1:$I$89,3,0)*0.475*44/12</f>
        <v>0</v>
      </c>
      <c r="BR14" s="142">
        <f>EXP(-LN(2)/2)*BR13+(1-EXP(-LN(2)/2))/(LN(2)/2)*BL14*BO14*VLOOKUP('Données projet'!$B$11,'Paramètres'!$A$1:$I$89,3,0)*0.475*44/12</f>
        <v>0</v>
      </c>
      <c r="BS14" s="143">
        <f t="shared" si="10"/>
        <v>0</v>
      </c>
      <c r="BT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1" t="str">
        <f>VLOOKUP(A14,'Données projet'!$A$113:$I$133,2,0)</f>
        <v>#N/A</v>
      </c>
      <c r="BW14" s="131" t="str">
        <f>VLOOKUP(A14,'Données projet'!$A$113:$I$133,9,0)</f>
        <v>#N/A</v>
      </c>
      <c r="BX14" s="130">
        <f t="array" ref="BX14">INDEX(BW:BW,MIN(IF(ISNUMBER(BW14:BW210),ROW(BW14:BW210),"")))</f>
        <v>1.866666667</v>
      </c>
      <c r="BY14" s="131">
        <f>IF('Données projet'!$A$114&gt;35,BY13+BX14-CG13,IF(A14&lt;'Données projet'!$A$114,$BV$205^A14,IF(A14='Données projet'!$A$114,'Données projet'!$B$114,BY13+BX14-CG13)))</f>
        <v>11.51460973</v>
      </c>
      <c r="BZ14" s="130">
        <f>BY14*VLOOKUP('Données projet'!$B$12,'Paramètres'!$A$1:$I$89,3,0)*VLOOKUP('Données projet'!$B$12,'Paramètres'!$A$1:$I$89,5,0)</f>
        <v>5.688217209</v>
      </c>
      <c r="CA14" s="130">
        <f t="shared" si="40"/>
        <v>2.141159452</v>
      </c>
      <c r="CB14" s="141">
        <f t="shared" si="11"/>
        <v>13.63616435</v>
      </c>
      <c r="CC14" s="133">
        <f t="shared" si="12"/>
        <v>306.9694977</v>
      </c>
      <c r="CD14" s="133">
        <f>AVERAGE(OFFSET($CC$3,0,0,'Données projet'!$E$12+1,1))-AVERAGE(OFFSET($H$3,0,0,'Données projet'!$E$12+1,1))</f>
        <v>258.1672054</v>
      </c>
      <c r="CE14" s="133">
        <f t="shared" si="41"/>
        <v>296.0724261</v>
      </c>
      <c r="CF14" s="134">
        <f>IF(ISNA(VLOOKUP(A14,'Données projet'!$A$113:$I$133,3,0)),0,VLOOKUP(A14,'Données projet'!$A$113:$I$133,3,0))</f>
        <v>0</v>
      </c>
      <c r="CG14" s="134">
        <f>IF(ISNA(VLOOKUP(A14,'Données projet'!$A$113:$I$133,4,0)),0,VLOOKUP(A14,'Données projet'!$A$113:$I$133,4,0))</f>
        <v>0</v>
      </c>
      <c r="CH14" s="135">
        <f>IF(ISNA(VLOOKUP(A14,'Données projet'!$A$113:$I$133,5,0)),0%,VLOOKUP(A14,'Données projet'!$A$113:$I$133,5,0)*VLOOKUP('Données projet'!$B$12,'Paramètres'!$A$1:$I$89,7,0))</f>
        <v>0</v>
      </c>
      <c r="CI14" s="135">
        <f>IF(ISNA(VLOOKUP(A14,'Données projet'!$A$113:$I$133,6,0)),0%,VLOOKUP(A14,'Données projet'!$A$113:$I$133,6,0)*VLOOKUP('Données projet'!$B$12,'Paramètres'!$A$1:$I$89,7,0))</f>
        <v>0</v>
      </c>
      <c r="CJ14" s="135">
        <f>IF(ISNA(VLOOKUP(A14,'Données projet'!$A$113:$I$133,7,0)),0%,VLOOKUP(A14,'Données projet'!$A$113:$I$133,7,0))</f>
        <v>0</v>
      </c>
      <c r="CK14" s="142">
        <f>EXP(-LN(2)/35)*CK13+(1-EXP(-LN(2)/35))/(LN(2)/35)*CG14*CH14*VLOOKUP('Données projet'!$B$12,'Paramètres'!$A$1:$I$89,3,0)*0.475*44/12</f>
        <v>0</v>
      </c>
      <c r="CL14" s="142">
        <f>EXP(-LN(2)/25)*CL13+(1-EXP(-LN(2)/25))/(LN(2)/25)*Calculateur!CG14*Calculateur!CI14*VLOOKUP('Données projet'!$B$12,'Paramètres'!$A$1:$I$89,3,0)*0.475*44/12</f>
        <v>0</v>
      </c>
      <c r="CM14" s="142">
        <f>EXP(-LN(2)/2)*CM13+(1-EXP(-LN(2)/2))/(LN(2)/2)*CG14*CJ14*VLOOKUP('Données projet'!$B$12,'Paramètres'!$A$1:$I$89,3,0)*0.475*44/12</f>
        <v>0</v>
      </c>
      <c r="CN14" s="143">
        <f t="shared" si="13"/>
        <v>0</v>
      </c>
      <c r="CO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1" t="str">
        <f>VLOOKUP(A14,'Données projet'!$A$139:$I$159,2,0)</f>
        <v>#N/A</v>
      </c>
      <c r="CR14" s="131" t="str">
        <f>VLOOKUP(A14,'Données projet'!$A$139:$I$159,9,0)</f>
        <v>#N/A</v>
      </c>
      <c r="CS14" s="130">
        <f t="array" ref="CS14">INDEX(CR:CR,MIN(IF(ISNUMBER(CR14:CR210),ROW(CR14:CR210),"")))</f>
        <v>1.2</v>
      </c>
      <c r="CT14" s="131">
        <f>IF('Données projet'!$A$140&gt;35,CT13+CS14-DB13,IF(A14&lt;'Données projet'!$A$140,$CQ$205^A14,IF(A14='Données projet'!$A$140,'Données projet'!$B$140,CT13+CS14-DB13)))</f>
        <v>4.466150482</v>
      </c>
      <c r="CU14" s="138">
        <f>CT14*VLOOKUP('Données projet'!$B$13,'Paramètres'!$A$1:$I$89,3,0)*VLOOKUP('Données projet'!$B$13,'Paramètres'!$A$1:$I$89,5,0)</f>
        <v>4.528676589</v>
      </c>
      <c r="CV14" s="130">
        <f t="shared" si="42"/>
        <v>1.750524977</v>
      </c>
      <c r="CW14" s="141">
        <f t="shared" si="14"/>
        <v>10.93627606</v>
      </c>
      <c r="CX14" s="133">
        <f t="shared" si="15"/>
        <v>304.2696094</v>
      </c>
      <c r="CY14" s="133">
        <f>AVERAGE(OFFSET($CX$3,0,0,'Données projet'!$E$13+1,1))-AVERAGE(OFFSET($H$3,0,0,'Données projet'!$E$13+1,1))</f>
        <v>223.783507</v>
      </c>
      <c r="CZ14" s="133">
        <f t="shared" si="43"/>
        <v>84.92349117</v>
      </c>
      <c r="DA14" s="134">
        <f>IF(ISNA(VLOOKUP(A14,'Données projet'!$A$139:$I$159,3,0)),0,VLOOKUP(A14,'Données projet'!$A$139:$I$159,3,0))</f>
        <v>0</v>
      </c>
      <c r="DB14" s="134">
        <f>IF(ISNA(VLOOKUP(A14,'Données projet'!$A$139:$I$159,4,0)),0,VLOOKUP(A14,'Données projet'!$A$139:$I$159,4,0))</f>
        <v>0</v>
      </c>
      <c r="DC14" s="135">
        <f>IF(ISNA(VLOOKUP(A14,'Données projet'!$A$139:$I$159,5,0)),0%,VLOOKUP(A14,'Données projet'!$A$139:$I$159,5,0)*VLOOKUP('Données projet'!$B$13,'Paramètres'!$A$1:$I$89,7,0))</f>
        <v>0</v>
      </c>
      <c r="DD14" s="135">
        <f>IF(ISNA(VLOOKUP(A14,'Données projet'!$A$139:$I$159,6,0)),0%,VLOOKUP(A14,'Données projet'!$A$139:$I$159,6,0)*VLOOKUP('Données projet'!$B$13,'Paramètres'!$A$1:$I$89,7,0))</f>
        <v>0</v>
      </c>
      <c r="DE14" s="135">
        <f>IF(ISNA(VLOOKUP(A14,'Données projet'!$A$139:$I$159,7,0)),0%,VLOOKUP(A14,'Données projet'!$A$139:$I$159,7,0))</f>
        <v>0</v>
      </c>
      <c r="DF14" s="142">
        <f>EXP(-LN(2)/35)*DF13+(1-EXP(-LN(2)/35))/(LN(2)/35)*DB14*DC14*VLOOKUP('Données projet'!$B$13,'Paramètres'!$A$1:$I$89,3,0)*0.475*44/12</f>
        <v>0</v>
      </c>
      <c r="DG14" s="142">
        <f>EXP(-LN(2)/25)*DG13+(1-EXP(-LN(2)/25))/(LN(2)/25)*Calculateur!DB14*Calculateur!DD14*VLOOKUP('Données projet'!$B$13,'Paramètres'!$A$1:$I$89,3,0)*0.475*44/12</f>
        <v>0</v>
      </c>
      <c r="DH14" s="142">
        <f>EXP(-LN(2)/2)*DH13+(1-EXP(-LN(2)/2))/(LN(2)/2)*DB14*DE14*VLOOKUP('Données projet'!$B$13,'Paramètres'!$A$1:$I$89,3,0)*0.475*44/12</f>
        <v>0</v>
      </c>
      <c r="DI14" s="143">
        <f t="shared" si="16"/>
        <v>0</v>
      </c>
      <c r="DJ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1" t="str">
        <f>VLOOKUP(A14,'Données projet'!$A$165:$I$185,2,0)</f>
        <v>#N/A</v>
      </c>
      <c r="DM14" s="131" t="str">
        <f>VLOOKUP(A14,'Données projet'!$A$165:$I$185,9,0)</f>
        <v>#N/A</v>
      </c>
      <c r="DN14" s="131">
        <f t="array" ref="DN14">INDEX(DM:DM,MIN(IF(ISNUMBER(DM14:DM210),ROW(DM14:DM210),"")))</f>
        <v>2.1</v>
      </c>
      <c r="DO14" s="131">
        <f>IF('Données projet'!$A$166&gt;35,DO13+DN14-DW13,IF(A14&lt;'Données projet'!$A$166,$DL$205^A14,IF(A14='Données projet'!$A$166,'Données projet'!$B$166,DO13+DN14-DW13)))</f>
        <v>7.812447461</v>
      </c>
      <c r="DP14" s="138">
        <f>DO14*VLOOKUP('Données projet'!$B$14,'Paramètres'!$A$1:$I$89,3,0)*VLOOKUP('Données projet'!$B$14,'Paramètres'!$A$1:$I$89,5,0)</f>
        <v>7.068702463</v>
      </c>
      <c r="DQ14" s="130">
        <f t="shared" si="44"/>
        <v>2.594350355</v>
      </c>
      <c r="DR14" s="141">
        <f t="shared" si="17"/>
        <v>16.82981699</v>
      </c>
      <c r="DS14" s="133">
        <f t="shared" si="18"/>
        <v>310.1631503</v>
      </c>
      <c r="DT14" s="133">
        <f>AVERAGE(OFFSET($DS$3,0,0,'Données projet'!$E$14+1,1))-AVERAGE(OFFSET($H$3,0,0,'Données projet'!$E$14+1,1))</f>
        <v>287.9334714</v>
      </c>
      <c r="DU14" s="133">
        <f t="shared" si="45"/>
        <v>156.6796502</v>
      </c>
      <c r="DV14" s="134">
        <f>IF(ISNA(VLOOKUP(A14,'Données projet'!$A$165:$I$185,3,0)),0,VLOOKUP(A14,'Données projet'!$A$165:$I$185,3,0))</f>
        <v>0</v>
      </c>
      <c r="DW14" s="134">
        <f>IF(ISNA(VLOOKUP(A14,'Données projet'!$A$165:$I$185,4,0)),0,VLOOKUP(A14,'Données projet'!$A$165:$I$185,4,0))</f>
        <v>0</v>
      </c>
      <c r="DX14" s="135">
        <f>IF(ISNA(VLOOKUP(A14,'Données projet'!$A$165:$I$185,5,0)),0%,VLOOKUP(A14,'Données projet'!$A$165:$I$185,5,0)*VLOOKUP('Données projet'!$B$14,'Paramètres'!$A$1:$I$89,7,0))</f>
        <v>0</v>
      </c>
      <c r="DY14" s="135">
        <f>IF(ISNA(VLOOKUP(A14,'Données projet'!$A$165:$I$185,6,0)),0%,VLOOKUP(A14,'Données projet'!$A$165:$I$185,6,0)*VLOOKUP('Données projet'!$B$14,'Paramètres'!$A$1:$I$89,7,0))</f>
        <v>0</v>
      </c>
      <c r="DZ14" s="135">
        <f>IF(ISNA(VLOOKUP(A14,'Données projet'!$A$165:$I$185,7,0)),0%,VLOOKUP(A14,'Données projet'!$A$165:$I$185,7,0))</f>
        <v>0</v>
      </c>
      <c r="EA14" s="142">
        <f>EXP(-LN(2)/35)*EA13+(1-EXP(-LN(2)/35))/(LN(2)/35)*DW14*DX14*VLOOKUP('Données projet'!$B$14,'Paramètres'!$A$1:$I$89,3,0)*0.475*44/12</f>
        <v>0</v>
      </c>
      <c r="EB14" s="142">
        <f>EXP(-LN(2)/25)*EB13+(1-EXP(-LN(2)/25))/(LN(2)/25)*Calculateur!DW14*Calculateur!DY14*VLOOKUP('Données projet'!$B$14,'Paramètres'!$A$1:$I$89,3,0)*0.475*44/12</f>
        <v>0</v>
      </c>
      <c r="EC14" s="142">
        <f>EXP(-LN(2)/2)*EC13+(1-EXP(-LN(2)/2))/(LN(2)/2)*DW14*DZ14*VLOOKUP('Données projet'!$B$14,'Paramètres'!$A$1:$I$89,3,0)*0.475*44/12</f>
        <v>0</v>
      </c>
      <c r="ED14" s="143">
        <f t="shared" si="19"/>
        <v>0</v>
      </c>
      <c r="EE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1" t="str">
        <f>VLOOKUP(A14,'Données projet'!$A$191:$I$211,2,0)</f>
        <v>#N/A</v>
      </c>
      <c r="EH14" s="131" t="str">
        <f>VLOOKUP(A14,'Données projet'!$A$191:$I$211,9,0)</f>
        <v>#N/A</v>
      </c>
      <c r="EI14" s="131">
        <f t="array" ref="EI14">INDEX(EH:EH,MIN(IF(ISNUMBER(EH14:EH210),ROW(EH14:EH210),"")))</f>
        <v>1.6</v>
      </c>
      <c r="EJ14" s="131">
        <f>IF('Données projet'!$A$192&gt;35,EJ13+EI14-ER13,IF(A14&lt;'Données projet'!$A$192,$EG$205^A14,IF(A14='Données projet'!$A$192,'Données projet'!$B$192,EJ13+EI14-ER13)))</f>
        <v>5.06881448</v>
      </c>
      <c r="EK14" s="138">
        <f>EJ14*VLOOKUP('Données projet'!$B$15,'Paramètres'!$A$1:$I$89,3,0)*VLOOKUP('Données projet'!$B$15,'Paramètres'!$A$1:$I$89,5,0)</f>
        <v>3.716454776</v>
      </c>
      <c r="EL14" s="130">
        <f t="shared" si="46"/>
        <v>1.470001977</v>
      </c>
      <c r="EM14" s="141">
        <f t="shared" si="20"/>
        <v>9.033078846</v>
      </c>
      <c r="EN14" s="133">
        <f t="shared" si="21"/>
        <v>302.3664122</v>
      </c>
      <c r="EO14" s="133">
        <f>AVERAGE(OFFSET($EN$3,0,0,'Données projet'!$E$15+1,1))-AVERAGE(OFFSET($H$3,0,0,'Données projet'!$E$15+1,1))</f>
        <v>130.3193339</v>
      </c>
      <c r="EP14" s="133">
        <f t="shared" si="47"/>
        <v>82.22784365</v>
      </c>
      <c r="EQ14" s="134">
        <f>IF(ISNA(VLOOKUP(A14,'Données projet'!$A$191:$I$211,3,0)),0,VLOOKUP(A14,'Données projet'!$A$191:$I$211,3,0))</f>
        <v>0</v>
      </c>
      <c r="ER14" s="134">
        <f>IF(ISNA(VLOOKUP(A14,'Données projet'!$A$191:$I$211,4,0)),0,VLOOKUP(A14,'Données projet'!$A$191:$I$211,4,0))</f>
        <v>0</v>
      </c>
      <c r="ES14" s="135">
        <f>IF(ISNA(VLOOKUP(A14,'Données projet'!$A$191:$I$211,5,0)),0%,VLOOKUP(A14,'Données projet'!$A$191:$I$211,5,0)*VLOOKUP('Données projet'!$B$15,'Paramètres'!$A$1:$I$89,7,0))</f>
        <v>0</v>
      </c>
      <c r="ET14" s="135">
        <f>IF(ISNA(VLOOKUP(A14,'Données projet'!$A$191:$I$211,6,0)),0%,VLOOKUP(A14,'Données projet'!$A$191:$I$211,6,0)*VLOOKUP('Données projet'!$B$15,'Paramètres'!$A$1:$I$89,7,0))</f>
        <v>0</v>
      </c>
      <c r="EU14" s="135">
        <f>IF(ISNA(VLOOKUP(A14,'Données projet'!$A$191:$I$211,7,0)),0%,VLOOKUP(A14,'Données projet'!$A$191:$I$211,7,0))</f>
        <v>0</v>
      </c>
      <c r="EV14" s="142">
        <f>EXP(-LN(2)/35)*EV13+(1-EXP(-LN(2)/35))/(LN(2)/35)*ER14*ES14*VLOOKUP('Données projet'!$B$15,'Paramètres'!$A$1:$I$89,3,0)*0.475*44/12</f>
        <v>0</v>
      </c>
      <c r="EW14" s="142">
        <f>EXP(-LN(2)/25)*EW13+(1-EXP(-LN(2)/25))/(LN(2)/25)*Calculateur!ER14*Calculateur!ET14*VLOOKUP('Données projet'!$B$15,'Paramètres'!$A$1:$I$89,3,0)*0.475*44/12</f>
        <v>0</v>
      </c>
      <c r="EX14" s="142">
        <f>EXP(-LN(2)/2)*EX13+(1-EXP(-LN(2)/2))/(LN(2)/2)*ER14*EU14*VLOOKUP('Données projet'!$B$15,'Paramètres'!$A$1:$I$89,3,0)*0.475*44/12</f>
        <v>0</v>
      </c>
      <c r="EY14" s="143">
        <f t="shared" si="22"/>
        <v>0</v>
      </c>
      <c r="EZ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1" t="str">
        <f>VLOOKUP(A14,'Données projet'!$A$217:$I$237,2,0)</f>
        <v>#N/A</v>
      </c>
      <c r="FC14" s="131" t="str">
        <f>VLOOKUP(A14,'Données projet'!$A$217:$I$237,9,0)</f>
        <v>#N/A</v>
      </c>
      <c r="FD14" s="130">
        <f t="array" ref="FD14">INDEX(FC:FC,MIN(IF(ISNUMBER(FC14:FC210),ROW(FC14:FC210),"")))</f>
        <v>7.533333333</v>
      </c>
      <c r="FE14" s="131">
        <f>IF('Données projet'!$A$218&gt;35,FE13+FD14-FM13,IF(A14&lt;'Données projet'!$A$218,$FB$205^A14,IF(A14='Données projet'!$A$218,'Données projet'!$B$218,FE13+FD14-FM13)))</f>
        <v>32.03250175</v>
      </c>
      <c r="FF14" s="138">
        <f>FE14*VLOOKUP('Données projet'!$B$16,'Paramètres'!$A$1:$I$89,3,0)*VLOOKUP('Données projet'!$B$16,'Paramètres'!$A$1:$I$89,5,0)</f>
        <v>28.98300758</v>
      </c>
      <c r="FG14" s="130">
        <f t="shared" si="48"/>
        <v>9.02613901</v>
      </c>
      <c r="FH14" s="141">
        <f t="shared" si="23"/>
        <v>66.19926365</v>
      </c>
      <c r="FI14" s="133">
        <f t="shared" si="24"/>
        <v>359.532597</v>
      </c>
      <c r="FJ14" s="133">
        <f>AVERAGE(OFFSET($FI$3,0,0,'Données projet'!$E$16+1,1))-AVERAGE(OFFSET($H$3,0,0,'Données projet'!$E$16+1,1))</f>
        <v>305.6252353</v>
      </c>
      <c r="FK14" s="133">
        <f t="shared" si="49"/>
        <v>331.397916</v>
      </c>
      <c r="FL14" s="134">
        <f>IF(ISNA(VLOOKUP(A14,'Données projet'!$A$217:$I$237,3,0)),0,VLOOKUP(A14,'Données projet'!$A$217:$I$237,3,0))</f>
        <v>0</v>
      </c>
      <c r="FM14" s="134">
        <f>IF(ISNA(VLOOKUP(A14,'Données projet'!$A$217:$I$237,4,0)),0,VLOOKUP(A14,'Données projet'!$A$217:$I$237,4,0))</f>
        <v>0</v>
      </c>
      <c r="FN14" s="135">
        <f>IF(ISNA(VLOOKUP(A14,'Données projet'!$A$217:$I$237,5,0)),0%,VLOOKUP(A14,'Données projet'!$A$217:$I$237,5,0)*VLOOKUP('Données projet'!$B$16,'Paramètres'!$A$1:$I$89,7,0))</f>
        <v>0</v>
      </c>
      <c r="FO14" s="135">
        <f>IF(ISNA(VLOOKUP(A14,'Données projet'!$A$217:$I$237,6,0)),0%,VLOOKUP(A14,'Données projet'!$A$217:$I$237,6,0)*VLOOKUP('Données projet'!$B$16,'Paramètres'!$A$1:$I$89,7,0))</f>
        <v>0</v>
      </c>
      <c r="FP14" s="135">
        <f>IF(ISNA(VLOOKUP(A14,'Données projet'!$A$217:$I$237,7,0)),0%,VLOOKUP(A14,'Données projet'!$A$217:$I$237,7,0))</f>
        <v>0</v>
      </c>
      <c r="FQ14" s="142">
        <f>EXP(-LN(2)/35)*FQ13+(1-EXP(-LN(2)/35))/(LN(2)/35)*FM14*FN14*VLOOKUP('Données projet'!$B$16,'Paramètres'!$A$1:$I$89,3,0)*0.475*44/12</f>
        <v>0</v>
      </c>
      <c r="FR14" s="142">
        <f>EXP(-LN(2)/25)*FR13+(1-EXP(-LN(2)/25))/(LN(2)/25)*Calculateur!FM14*Calculateur!FO14*VLOOKUP('Données projet'!$B$16,'Paramètres'!$A$1:$I$89,3,0)*0.475*44/12</f>
        <v>0</v>
      </c>
      <c r="FS14" s="142">
        <f>EXP(-LN(2)/2)*FS13+(1-EXP(-LN(2)/2))/(LN(2)/2)*FM14*FP14*VLOOKUP('Données projet'!$B$16,'Paramètres'!$A$1:$I$89,3,0)*0.475*44/12</f>
        <v>0</v>
      </c>
      <c r="FT14" s="143">
        <f t="shared" si="25"/>
        <v>0</v>
      </c>
      <c r="FU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1" t="str">
        <f>VLOOKUP(A14,'Données projet'!$A$243:$I$263,2,0)</f>
        <v>#N/A</v>
      </c>
      <c r="FX14" s="131" t="str">
        <f>VLOOKUP(A14,'Données projet'!$A$243:$I$263,9,0)</f>
        <v>#N/A</v>
      </c>
      <c r="FY14" s="130">
        <f t="array" ref="FY14">INDEX(FX:FX,MIN(IF(ISNUMBER(FX14:FX210),ROW(FX14:FX210),"")))</f>
        <v>1.6</v>
      </c>
      <c r="FZ14" s="131">
        <f>IF('Données projet'!$A$244&gt;35,FZ13+FY14-GH13,IF(A14&lt;'Données projet'!$A$244,$FW$205^A14,IF(A14='Données projet'!$A$244,'Données projet'!$B$244,FZ13+FY14-GH13)))</f>
        <v>6.727171322</v>
      </c>
      <c r="GA14" s="138">
        <f>FZ14*VLOOKUP('Données projet'!$B$17,'Paramètres'!$A$1:$I$89,3,0)*VLOOKUP('Données projet'!$B$17,'Paramètres'!$A$1:$I$89,5,0)</f>
        <v>4.512586523</v>
      </c>
      <c r="GB14" s="130">
        <f t="shared" si="50"/>
        <v>1.745028297</v>
      </c>
      <c r="GC14" s="141">
        <f t="shared" si="26"/>
        <v>10.89867914</v>
      </c>
      <c r="GD14" s="133">
        <f t="shared" si="27"/>
        <v>304.2320125</v>
      </c>
      <c r="GE14" s="133">
        <f>AVERAGE(OFFSET($GD$3,0,0,'Données projet'!$E$17+1,1))-AVERAGE(OFFSET($H$3,0,0,'Données projet'!$E$17+1,1))</f>
        <v>118.7368745</v>
      </c>
      <c r="GF14" s="133">
        <f t="shared" si="51"/>
        <v>135.1233677</v>
      </c>
      <c r="GG14" s="134">
        <f>IF(ISNA(VLOOKUP(A14,'Données projet'!$A$243:$I$263,3,0)),0,VLOOKUP(A14,'Données projet'!$A$243:$I$263,3,0))</f>
        <v>0</v>
      </c>
      <c r="GH14" s="134">
        <f>IF(ISNA(VLOOKUP(A14,'Données projet'!$A$243:$I$263,4,0)),0,VLOOKUP(A14,'Données projet'!$A$243:$I$263,4,0))</f>
        <v>0</v>
      </c>
      <c r="GI14" s="135">
        <f>IF(ISNA(VLOOKUP(A14,'Données projet'!$A$243:$I$263,5,0)),0%,VLOOKUP(A14,'Données projet'!$A$243:$I$263,5,0)*VLOOKUP('Données projet'!$B$17,'Paramètres'!$A$1:$I$89,7,0))</f>
        <v>0</v>
      </c>
      <c r="GJ14" s="135">
        <f>IF(ISNA(VLOOKUP(A14,'Données projet'!$A$243:$I$263,6,0)),0%,VLOOKUP(A14,'Données projet'!$A$243:$I$263,6,0)*VLOOKUP('Données projet'!$B$17,'Paramètres'!$A$1:$I$89,7,0))</f>
        <v>0</v>
      </c>
      <c r="GK14" s="135">
        <f>IF(ISNA(VLOOKUP(A14,'Données projet'!$A$243:$I$263,7,0)),0%,VLOOKUP(A14,'Données projet'!$A$243:$I$263,7,0))</f>
        <v>0</v>
      </c>
      <c r="GL14" s="142">
        <f>EXP(-LN(2)/35)*GL13+(1-EXP(-LN(2)/35))/(LN(2)/35)*GH14*GI14*VLOOKUP('Données projet'!$B$17,'Paramètres'!$A$1:$I$89,3,0)*0.475*44/12</f>
        <v>0</v>
      </c>
      <c r="GM14" s="142">
        <f>EXP(-LN(2)/25)*GM13+(1-EXP(-LN(2)/25))/(LN(2)/25)*Calculateur!GH14*Calculateur!GJ14*VLOOKUP('Données projet'!$B$17,'Paramètres'!$A$1:$I$89,3,0)*0.475*44/12</f>
        <v>0</v>
      </c>
      <c r="GN14" s="142">
        <f>EXP(-LN(2)/2)*GN13+(1-EXP(-LN(2)/2))/(LN(2)/2)*GH14*GK14*VLOOKUP('Données projet'!$B$17,'Paramètres'!$A$1:$I$89,3,0)*0.475*44/12</f>
        <v>0</v>
      </c>
      <c r="GO14" s="142">
        <f t="shared" si="28"/>
        <v>0</v>
      </c>
      <c r="GP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1" t="str">
        <f>VLOOKUP(A14,'Données projet'!$A$269:$I$289,2,0)</f>
        <v>#N/A</v>
      </c>
      <c r="GS14" s="131" t="str">
        <f>VLOOKUP(A14,'Données projet'!$A$269:$I$289,9,0)</f>
        <v>#N/A</v>
      </c>
      <c r="GT14" s="130">
        <f t="array" ref="GT14">INDEX(GS:GS,MIN(IF(ISNUMBER(GS14:GS210),ROW(GS14:GS210),"")))</f>
        <v>1.2</v>
      </c>
      <c r="GU14" s="131">
        <f>IF('Données projet'!$A$270&gt;35,GU13+GT14-HC13,IF(A14&lt;'Données projet'!$A$270,$GR$205^A14,IF(A14='Données projet'!$A$270,'Données projet'!$B$270,GU13+GT14-HC13)))</f>
        <v>4.466150482</v>
      </c>
      <c r="GV14" s="138">
        <f>GU14*VLOOKUP('Données projet'!$B$18,'Paramètres'!$A$1:$I$89,3,0)*VLOOKUP('Données projet'!$B$18,'Paramètres'!$A$1:$I$89,5,0)</f>
        <v>4.807364379</v>
      </c>
      <c r="GW14" s="130">
        <f t="shared" si="52"/>
        <v>1.845377098</v>
      </c>
      <c r="GX14" s="141">
        <f t="shared" si="29"/>
        <v>11.58685807</v>
      </c>
      <c r="GY14" s="133">
        <f t="shared" si="30"/>
        <v>304.9201914</v>
      </c>
      <c r="GZ14" s="133">
        <f>AVERAGE(OFFSET($GY$3,0,0,'Données projet'!$E$18+1,1))-AVERAGE(OFFSET($H$3,0,0,'Données projet'!$E$18+1,1))</f>
        <v>100.5427875</v>
      </c>
      <c r="HA14" s="133">
        <f t="shared" si="53"/>
        <v>92.28663609</v>
      </c>
      <c r="HB14" s="134">
        <f>IF(ISNA(VLOOKUP(A14,'Données projet'!$A$269:$I$289,3,0)),0,VLOOKUP(A14,'Données projet'!$A$269:$I$289,3,0))</f>
        <v>0</v>
      </c>
      <c r="HC14" s="134">
        <f>IF(ISNA(VLOOKUP(A14,'Données projet'!$A$269:$I$289,4,0)),0,VLOOKUP(A14,'Données projet'!$A$269:$I$289,4,0))</f>
        <v>0</v>
      </c>
      <c r="HD14" s="135">
        <f>IF(ISNA(VLOOKUP(A14,'Données projet'!$A$269:$I$289,5,0)),0%,VLOOKUP(A14,'Données projet'!$A$269:$I$289,5,0)*VLOOKUP('Données projet'!$B$18,'Paramètres'!$A$1:$I$89,7,0))</f>
        <v>0</v>
      </c>
      <c r="HE14" s="135">
        <f>IF(ISNA(VLOOKUP(A14,'Données projet'!$A$269:$I$289,6,0)),0%,VLOOKUP(A14,'Données projet'!$A$269:$I$289,6,0)*VLOOKUP('Données projet'!$B$18,'Paramètres'!$A$1:$I$89,7,0))</f>
        <v>0</v>
      </c>
      <c r="HF14" s="135">
        <f>IF(ISNA(VLOOKUP(A14,'Données projet'!$A$269:$I$289,7,0)),0%,VLOOKUP(A14,'Données projet'!$A$269:$I$289,7,0))</f>
        <v>0</v>
      </c>
      <c r="HG14" s="142">
        <f>EXP(-LN(2)/35)*HG13+(1-EXP(-LN(2)/35))/(LN(2)/35)*HC14*HD14*VLOOKUP('Données projet'!$B$18,'Paramètres'!$A$1:$I$89,3,0)*0.475*44/12</f>
        <v>0</v>
      </c>
      <c r="HH14" s="142">
        <f>EXP(-LN(2)/25)*HH13+(1-EXP(-LN(2)/25))/(LN(2)/25)*Calculateur!HC14*Calculateur!HE14*VLOOKUP('Données projet'!$B$18,'Paramètres'!$A$1:$I$89,3,0)*0.475*44/12</f>
        <v>0</v>
      </c>
      <c r="HI14" s="142">
        <f>EXP(-LN(2)/2)*HI13+(1-EXP(-LN(2)/2))/(LN(2)/2)*HC14*HF14*VLOOKUP('Données projet'!$B$18,'Paramètres'!$A$1:$I$89,3,0)*0.475*44/12</f>
        <v>0</v>
      </c>
      <c r="HJ14" s="143">
        <f t="shared" si="31"/>
        <v>0</v>
      </c>
    </row>
    <row r="15">
      <c r="A15" s="125">
        <f t="shared" si="32"/>
        <v>12</v>
      </c>
      <c r="B15" s="126">
        <f>'Scénario référence'!$B$16*5+'Scénario référence'!$B$17*0+'Scénario référence'!$B$18*5</f>
        <v>0</v>
      </c>
      <c r="C15" s="140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6.552</v>
      </c>
      <c r="D15" s="127">
        <f t="shared" si="33"/>
        <v>2.426051596</v>
      </c>
      <c r="E1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7">
        <f>IF(OR('Scénario référence'!$F$8&gt;0,'Scénario référence'!$F$9&gt;0),('Scénario référence'!$F$8+'Scénario référence'!$F$9)*10,0)</f>
        <v>10</v>
      </c>
      <c r="G15" s="127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</v>
      </c>
      <c r="H15" s="128">
        <f t="shared" si="1"/>
        <v>308.9701065</v>
      </c>
      <c r="I15" s="12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1" t="str">
        <f>VLOOKUP(A15,'Données projet'!$A$35:$I$55,2,0)</f>
        <v>#N/A</v>
      </c>
      <c r="L15" s="131" t="str">
        <f>VLOOKUP(A15,'Données projet'!$A$35:$I$55,9,0)</f>
        <v>#N/A</v>
      </c>
      <c r="M15" s="131">
        <f t="array" ref="M15">INDEX(L:L,MIN(IF(ISNUMBER(L15:L211),ROW(L15:L211),"")))</f>
        <v>3.92</v>
      </c>
      <c r="N15" s="130">
        <f>IF('Données projet'!$A$36&gt;35,N14+M15-V14,IF(A15&lt;'Données projet'!$A$36,$K$205^A15,IF(A15='Données projet'!$A$36,'Données projet'!$B$36,N14+M15-V14)))</f>
        <v>9.032095405</v>
      </c>
      <c r="O15" s="130">
        <f>N15*VLOOKUP('Données projet'!$B$9,'Paramètres'!$A$1:$I$89,3,0)*VLOOKUP('Données projet'!$B$9,'Paramètres'!$A$1:$I$89,5,0)</f>
        <v>5.166358572</v>
      </c>
      <c r="P15" s="130">
        <f t="shared" si="34"/>
        <v>1.96662669</v>
      </c>
      <c r="Q15" s="141">
        <f t="shared" si="2"/>
        <v>12.42328266</v>
      </c>
      <c r="R15" s="133">
        <f t="shared" si="3"/>
        <v>305.756616</v>
      </c>
      <c r="S15" s="133">
        <f>AVERAGE(OFFSET($R$3,0,0,'Données projet'!$E$9+1,1))-AVERAGE(OFFSET($H$3,0,0,'Données projet'!$E$9+1,1))</f>
        <v>126.9946492</v>
      </c>
      <c r="T15" s="133">
        <f t="shared" si="35"/>
        <v>140.039049</v>
      </c>
      <c r="U15" s="134">
        <f>IF(ISNA(VLOOKUP(A15,'Données projet'!$A$35:$I$55,3,0)),0,VLOOKUP(A15,'Données projet'!$A$35:$I$55,3,0))</f>
        <v>0</v>
      </c>
      <c r="V15" s="134">
        <f>IF(ISNA(VLOOKUP(A15,'Données projet'!$A$35:$I$55,4,0)),0,VLOOKUP(A15,'Données projet'!$A$35:$I$55,4,0))</f>
        <v>0</v>
      </c>
      <c r="W15" s="135">
        <f>IF(ISNA(VLOOKUP(A15,'Données projet'!$A$35:$I$55,5,0)),0%,VLOOKUP(A15,'Données projet'!$A$35:$I$55,5,0)*VLOOKUP('Données projet'!$B$9,'Paramètres'!$A$1:$I$89,7,0))</f>
        <v>0</v>
      </c>
      <c r="X15" s="135">
        <f>IF(ISNA(VLOOKUP(A15,'Données projet'!$A$35:$I$55,6,0)),0%,VLOOKUP(A15,'Données projet'!$A$35:$I$55,6,0)*VLOOKUP('Données projet'!$B$9,'Paramètres'!$A$1:$I$89,7,0))</f>
        <v>0</v>
      </c>
      <c r="Y15" s="135">
        <f>IF(ISNA(VLOOKUP(A15,'Données projet'!$A$35:$I$55,7,0)),0%,VLOOKUP(A15,'Données projet'!$A$35:$I$55,7,0))</f>
        <v>0</v>
      </c>
      <c r="Z15" s="142">
        <f>EXP(-LN(2)/35)*Z14+(1-EXP(-LN(2)/35))/(LN(2)/35)*V15*W15*VLOOKUP('Données projet'!$B$9,'Paramètres'!$A$1:$I$89,3,0)*0.475*44/12</f>
        <v>0</v>
      </c>
      <c r="AA15" s="142">
        <f>EXP(-LN(2)/25)*AA14+(1-EXP(-LN(2)/25))/(LN(2)/25)*Calculateur!V15*Calculateur!X15*VLOOKUP('Données projet'!$B$9,'Paramètres'!$A$1:$I$89,3,0)*0.475*44/12</f>
        <v>0</v>
      </c>
      <c r="AB15" s="142">
        <f>EXP(-LN(2)/2)*AB14+(1-EXP(-LN(2)/2))/(LN(2)/2)*V15*Y15*VLOOKUP('Données projet'!$B$9,'Paramètres'!$A$1:$I$89,3,0)*0.475*44/12</f>
        <v>0</v>
      </c>
      <c r="AC15" s="143">
        <f t="shared" si="4"/>
        <v>0</v>
      </c>
      <c r="AD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0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1" t="str">
        <f>VLOOKUP(A15,'Données projet'!$A$61:$I$81,2,0)</f>
        <v>#N/A</v>
      </c>
      <c r="AG15" s="131" t="str">
        <f>VLOOKUP(A15,'Données projet'!$A$61:$I$81,9,0)</f>
        <v>#N/A</v>
      </c>
      <c r="AH15" s="130">
        <f t="array" ref="AH15">INDEX(AG:AG,MIN(IF(ISNUMBER(AG15:AG211),ROW(AG15:AG211),"")))</f>
        <v>5.590909091</v>
      </c>
      <c r="AI15" s="130">
        <f>IF('Données projet'!$A$62&gt;35,AI14+AH15-AQ14,IF(A15&lt;'Données projet'!$A$62,$AF$205^A15,IF(A15='Données projet'!$A$62,'Données projet'!$B$62,AI14+AH15-AQ14)))</f>
        <v>13.80219766</v>
      </c>
      <c r="AJ15" s="130">
        <f>AI15*VLOOKUP('Données projet'!$B$10,'Paramètres'!$A$1:$I$89,3,0)*VLOOKUP('Données projet'!$B$10,'Paramètres'!$A$1:$I$89,5,0)</f>
        <v>8.253714201</v>
      </c>
      <c r="AK15" s="130">
        <f t="shared" si="36"/>
        <v>2.975113223</v>
      </c>
      <c r="AL15" s="141">
        <f t="shared" si="5"/>
        <v>19.55687443</v>
      </c>
      <c r="AM15" s="133">
        <f t="shared" si="6"/>
        <v>312.8902078</v>
      </c>
      <c r="AN15" s="133">
        <f>AVERAGE(OFFSET($AM$3,0,0,'Données projet'!$E$10+1,1))-AVERAGE(OFFSET($H$3,0,0,'Données projet'!$E$10+1,1))</f>
        <v>196.874484</v>
      </c>
      <c r="AO15" s="133">
        <f t="shared" si="37"/>
        <v>217.5750859</v>
      </c>
      <c r="AP15" s="134">
        <f>IF(ISNA(VLOOKUP(A15,'Données projet'!$A$61:$I$81,3,0)),0,VLOOKUP(A15,'Données projet'!$A$61:$I$81,3,0))</f>
        <v>0</v>
      </c>
      <c r="AQ15" s="134">
        <f>IF(ISNA(VLOOKUP(A15,'Données projet'!$A$61:$I$81,4,0)),0,VLOOKUP(A15,'Données projet'!$A$61:$I$81,4,0))</f>
        <v>0</v>
      </c>
      <c r="AR15" s="135">
        <f>IF(ISNA(VLOOKUP(A15,'Données projet'!$A$61:$I$81,5,0)),0%,VLOOKUP(A15,'Données projet'!$A$61:$I$81,5,0)*VLOOKUP('Données projet'!$B$10,'Paramètres'!$A$1:$I$89,7,0))</f>
        <v>0</v>
      </c>
      <c r="AS15" s="135">
        <f>IF(ISNA(VLOOKUP(A15,'Données projet'!$A$61:$I$81,6,0)),0%,VLOOKUP(A15,'Données projet'!$A$61:$I$81,6,0)*VLOOKUP('Données projet'!$B$10,'Paramètres'!$A$1:$I$89,7,0))</f>
        <v>0</v>
      </c>
      <c r="AT15" s="135">
        <f>IF(ISNA(VLOOKUP(A15,'Données projet'!$A$61:$I$81,7,0)),0%,VLOOKUP(A15,'Données projet'!$A$61:$I$81,7,0))</f>
        <v>0</v>
      </c>
      <c r="AU15" s="142">
        <f>EXP(-LN(2)/35)*AU14+(1-EXP(-LN(2)/35))/(LN(2)/35)*AQ15*AR15*VLOOKUP('Données projet'!$B$10,'Paramètres'!$A$1:$I$89,3,0)*0.475*44/12</f>
        <v>0</v>
      </c>
      <c r="AV15" s="142">
        <f>EXP(-LN(2)/25)*AV14+(1-EXP(-LN(2)/25))/(LN(2)/25)*Calculateur!AQ15*Calculateur!AS15*VLOOKUP('Données projet'!$B$10,'Paramètres'!$A$1:$I$89,3,0)*0.475*44/12</f>
        <v>0</v>
      </c>
      <c r="AW15" s="142">
        <f>EXP(-LN(2)/2)*AW14+(1-EXP(-LN(2)/2))/(LN(2)/2)*AQ15*AT15*VLOOKUP('Données projet'!$B$10,'Paramètres'!$A$1:$I$89,3,0)*0.475*44/12</f>
        <v>0</v>
      </c>
      <c r="AX15" s="142">
        <f t="shared" si="7"/>
        <v>0</v>
      </c>
      <c r="AY15" s="13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1" t="str">
        <f>VLOOKUP(A15,'Données projet'!$A$87:$I$107,2,0)</f>
        <v>#N/A</v>
      </c>
      <c r="BB15" s="131" t="str">
        <f>VLOOKUP(A15,'Données projet'!$A$87:$I$107,9,0)</f>
        <v>#N/A</v>
      </c>
      <c r="BC15" s="130">
        <f t="array" ref="BC15">INDEX(BB:BB,MIN(IF(ISNUMBER(BB15:BB211),ROW(BB15:BB211),"")))</f>
        <v>4.666666667</v>
      </c>
      <c r="BD15" s="131">
        <f>IF('Données projet'!$A$88&gt;35,BD14+BC15-BL14,IF(A15&lt;'Données projet'!$A$88,$BA$205^A15,IF(A15='Données projet'!$A$88,'Données projet'!$B$88,BD14+BC15-BL14)))</f>
        <v>7.218570698</v>
      </c>
      <c r="BE15" s="130">
        <f>BD15*VLOOKUP('Données projet'!$B$11,'Paramètres'!$A$1:$I$89,3,0)*VLOOKUP('Données projet'!$B$11,'Paramètres'!$A$1:$I$89,5,0)</f>
        <v>3.378291087</v>
      </c>
      <c r="BF15" s="130">
        <f t="shared" si="38"/>
        <v>1.351166265</v>
      </c>
      <c r="BG15" s="141">
        <f t="shared" si="8"/>
        <v>8.237138221</v>
      </c>
      <c r="BH15" s="133">
        <f t="shared" si="9"/>
        <v>301.5704716</v>
      </c>
      <c r="BI15" s="133">
        <f>AVERAGE(OFFSET($BH$3,0,0,'Données projet'!$E$11+1,1))-AVERAGE(OFFSET($H$3,0,0,'Données projet'!$E$11+1,1))</f>
        <v>134.0948534</v>
      </c>
      <c r="BJ15" s="133">
        <f t="shared" si="39"/>
        <v>108.4102536</v>
      </c>
      <c r="BK15" s="134">
        <f>IF(ISNA(VLOOKUP(A15,'Données projet'!$A$87:$I$107,3,0)),0,VLOOKUP(A15,'Données projet'!$A$87:$I$107,3,0))</f>
        <v>0</v>
      </c>
      <c r="BL15" s="134">
        <f>IF(ISNA(VLOOKUP(A15,'Données projet'!$A$87:$I$107,4,0)),0,VLOOKUP(A15,'Données projet'!$A$87:$I$107,4,0))</f>
        <v>0</v>
      </c>
      <c r="BM15" s="135">
        <f>IF(ISNA(VLOOKUP(A15,'Données projet'!$A$87:$I$107,5,0)),0%,VLOOKUP(A15,'Données projet'!$A$87:$I$107,5,0)*VLOOKUP('Données projet'!$B$11,'Paramètres'!$A$1:$I$89,7,0))</f>
        <v>0</v>
      </c>
      <c r="BN15" s="135">
        <f>IF(ISNA(VLOOKUP(A15,'Données projet'!$A$87:$I$107,6,0)),0%,VLOOKUP(A15,'Données projet'!$A$87:$I$107,6,0)*VLOOKUP('Données projet'!$B$11,'Paramètres'!$A$1:$I$89,7,0))</f>
        <v>0</v>
      </c>
      <c r="BO15" s="135">
        <f>IF(ISNA(VLOOKUP(A15,'Données projet'!$A$87:$I$107,7,0)),0%,VLOOKUP(A15,'Données projet'!$A$87:$I$107,7,0))</f>
        <v>0</v>
      </c>
      <c r="BP15" s="142">
        <f>EXP(-LN(2)/35)*BP14+(1-EXP(-LN(2)/35))/(LN(2)/35)*BL15*BM15*VLOOKUP('Données projet'!$B$11,'Paramètres'!$A$1:$I$89,3,0)*0.475*44/12</f>
        <v>0</v>
      </c>
      <c r="BQ15" s="142">
        <f>EXP(-LN(2)/25)*BQ14+(1-EXP(-LN(2)/25))/(LN(2)/25)*Calculateur!BL15*Calculateur!BN15*VLOOKUP('Données projet'!$B$11,'Paramètres'!$A$1:$I$89,3,0)*0.475*44/12</f>
        <v>0</v>
      </c>
      <c r="BR15" s="142">
        <f>EXP(-LN(2)/2)*BR14+(1-EXP(-LN(2)/2))/(LN(2)/2)*BL15*BO15*VLOOKUP('Données projet'!$B$11,'Paramètres'!$A$1:$I$89,3,0)*0.475*44/12</f>
        <v>0</v>
      </c>
      <c r="BS15" s="143">
        <f t="shared" si="10"/>
        <v>0</v>
      </c>
      <c r="BT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1" t="str">
        <f>VLOOKUP(A15,'Données projet'!$A$113:$I$133,2,0)</f>
        <v>#N/A</v>
      </c>
      <c r="BW15" s="131" t="str">
        <f>VLOOKUP(A15,'Données projet'!$A$113:$I$133,9,0)</f>
        <v>#N/A</v>
      </c>
      <c r="BX15" s="130">
        <f t="array" ref="BX15">INDEX(BW:BW,MIN(IF(ISNUMBER(BW15:BW211),ROW(BW15:BW211),"")))</f>
        <v>1.866666667</v>
      </c>
      <c r="BY15" s="131">
        <f>IF('Données projet'!$A$114&gt;35,BY14+BX15-CG14,IF(A15&lt;'Données projet'!$A$114,$BV$205^A15,IF(A15='Données projet'!$A$114,'Données projet'!$B$114,BY14+BX15-CG14)))</f>
        <v>14.37892522</v>
      </c>
      <c r="BZ15" s="130">
        <f>BY15*VLOOKUP('Données projet'!$B$12,'Paramètres'!$A$1:$I$89,3,0)*VLOOKUP('Données projet'!$B$12,'Paramètres'!$A$1:$I$89,5,0)</f>
        <v>7.103189058</v>
      </c>
      <c r="CA15" s="130">
        <f t="shared" si="40"/>
        <v>2.605531129</v>
      </c>
      <c r="CB15" s="141">
        <f t="shared" si="11"/>
        <v>16.90935433</v>
      </c>
      <c r="CC15" s="133">
        <f t="shared" si="12"/>
        <v>310.2426877</v>
      </c>
      <c r="CD15" s="133">
        <f>AVERAGE(OFFSET($CC$3,0,0,'Données projet'!$E$12+1,1))-AVERAGE(OFFSET($H$3,0,0,'Données projet'!$E$12+1,1))</f>
        <v>258.1672054</v>
      </c>
      <c r="CE15" s="133">
        <f t="shared" si="41"/>
        <v>296.0724261</v>
      </c>
      <c r="CF15" s="134">
        <f>IF(ISNA(VLOOKUP(A15,'Données projet'!$A$113:$I$133,3,0)),0,VLOOKUP(A15,'Données projet'!$A$113:$I$133,3,0))</f>
        <v>0</v>
      </c>
      <c r="CG15" s="134">
        <f>IF(ISNA(VLOOKUP(A15,'Données projet'!$A$113:$I$133,4,0)),0,VLOOKUP(A15,'Données projet'!$A$113:$I$133,4,0))</f>
        <v>0</v>
      </c>
      <c r="CH15" s="135">
        <f>IF(ISNA(VLOOKUP(A15,'Données projet'!$A$113:$I$133,5,0)),0%,VLOOKUP(A15,'Données projet'!$A$113:$I$133,5,0)*VLOOKUP('Données projet'!$B$12,'Paramètres'!$A$1:$I$89,7,0))</f>
        <v>0</v>
      </c>
      <c r="CI15" s="135">
        <f>IF(ISNA(VLOOKUP(A15,'Données projet'!$A$113:$I$133,6,0)),0%,VLOOKUP(A15,'Données projet'!$A$113:$I$133,6,0)*VLOOKUP('Données projet'!$B$12,'Paramètres'!$A$1:$I$89,7,0))</f>
        <v>0</v>
      </c>
      <c r="CJ15" s="135">
        <f>IF(ISNA(VLOOKUP(A15,'Données projet'!$A$113:$I$133,7,0)),0%,VLOOKUP(A15,'Données projet'!$A$113:$I$133,7,0))</f>
        <v>0</v>
      </c>
      <c r="CK15" s="142">
        <f>EXP(-LN(2)/35)*CK14+(1-EXP(-LN(2)/35))/(LN(2)/35)*CG15*CH15*VLOOKUP('Données projet'!$B$12,'Paramètres'!$A$1:$I$89,3,0)*0.475*44/12</f>
        <v>0</v>
      </c>
      <c r="CL15" s="142">
        <f>EXP(-LN(2)/25)*CL14+(1-EXP(-LN(2)/25))/(LN(2)/25)*Calculateur!CG15*Calculateur!CI15*VLOOKUP('Données projet'!$B$12,'Paramètres'!$A$1:$I$89,3,0)*0.475*44/12</f>
        <v>0</v>
      </c>
      <c r="CM15" s="142">
        <f>EXP(-LN(2)/2)*CM14+(1-EXP(-LN(2)/2))/(LN(2)/2)*CG15*CJ15*VLOOKUP('Données projet'!$B$12,'Paramètres'!$A$1:$I$89,3,0)*0.475*44/12</f>
        <v>0</v>
      </c>
      <c r="CN15" s="143">
        <f t="shared" si="13"/>
        <v>0</v>
      </c>
      <c r="CO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1" t="str">
        <f>VLOOKUP(A15,'Données projet'!$A$139:$I$159,2,0)</f>
        <v>#N/A</v>
      </c>
      <c r="CR15" s="131" t="str">
        <f>VLOOKUP(A15,'Données projet'!$A$139:$I$159,9,0)</f>
        <v>#N/A</v>
      </c>
      <c r="CS15" s="130">
        <f t="array" ref="CS15">INDEX(CR:CR,MIN(IF(ISNUMBER(CR15:CR211),ROW(CR15:CR211),"")))</f>
        <v>1.2</v>
      </c>
      <c r="CT15" s="131">
        <f>IF('Données projet'!$A$140&gt;35,CT14+CS15-DB14,IF(A15&lt;'Données projet'!$A$140,$CQ$205^A15,IF(A15='Données projet'!$A$140,'Données projet'!$B$140,CT14+CS15-DB14)))</f>
        <v>5.117032817</v>
      </c>
      <c r="CU15" s="138">
        <f>CT15*VLOOKUP('Données projet'!$B$13,'Paramètres'!$A$1:$I$89,3,0)*VLOOKUP('Données projet'!$B$13,'Paramètres'!$A$1:$I$89,5,0)</f>
        <v>5.188671277</v>
      </c>
      <c r="CV15" s="130">
        <f t="shared" si="42"/>
        <v>1.974129714</v>
      </c>
      <c r="CW15" s="141">
        <f t="shared" si="14"/>
        <v>12.47521173</v>
      </c>
      <c r="CX15" s="133">
        <f t="shared" si="15"/>
        <v>305.8085451</v>
      </c>
      <c r="CY15" s="133">
        <f>AVERAGE(OFFSET($CX$3,0,0,'Données projet'!$E$13+1,1))-AVERAGE(OFFSET($H$3,0,0,'Données projet'!$E$13+1,1))</f>
        <v>223.783507</v>
      </c>
      <c r="CZ15" s="133">
        <f t="shared" si="43"/>
        <v>84.92349117</v>
      </c>
      <c r="DA15" s="134">
        <f>IF(ISNA(VLOOKUP(A15,'Données projet'!$A$139:$I$159,3,0)),0,VLOOKUP(A15,'Données projet'!$A$139:$I$159,3,0))</f>
        <v>0</v>
      </c>
      <c r="DB15" s="134">
        <f>IF(ISNA(VLOOKUP(A15,'Données projet'!$A$139:$I$159,4,0)),0,VLOOKUP(A15,'Données projet'!$A$139:$I$159,4,0))</f>
        <v>0</v>
      </c>
      <c r="DC15" s="135">
        <f>IF(ISNA(VLOOKUP(A15,'Données projet'!$A$139:$I$159,5,0)),0%,VLOOKUP(A15,'Données projet'!$A$139:$I$159,5,0)*VLOOKUP('Données projet'!$B$13,'Paramètres'!$A$1:$I$89,7,0))</f>
        <v>0</v>
      </c>
      <c r="DD15" s="135">
        <f>IF(ISNA(VLOOKUP(A15,'Données projet'!$A$139:$I$159,6,0)),0%,VLOOKUP(A15,'Données projet'!$A$139:$I$159,6,0)*VLOOKUP('Données projet'!$B$13,'Paramètres'!$A$1:$I$89,7,0))</f>
        <v>0</v>
      </c>
      <c r="DE15" s="135">
        <f>IF(ISNA(VLOOKUP(A15,'Données projet'!$A$139:$I$159,7,0)),0%,VLOOKUP(A15,'Données projet'!$A$139:$I$159,7,0))</f>
        <v>0</v>
      </c>
      <c r="DF15" s="142">
        <f>EXP(-LN(2)/35)*DF14+(1-EXP(-LN(2)/35))/(LN(2)/35)*DB15*DC15*VLOOKUP('Données projet'!$B$13,'Paramètres'!$A$1:$I$89,3,0)*0.475*44/12</f>
        <v>0</v>
      </c>
      <c r="DG15" s="142">
        <f>EXP(-LN(2)/25)*DG14+(1-EXP(-LN(2)/25))/(LN(2)/25)*Calculateur!DB15*Calculateur!DD15*VLOOKUP('Données projet'!$B$13,'Paramètres'!$A$1:$I$89,3,0)*0.475*44/12</f>
        <v>0</v>
      </c>
      <c r="DH15" s="142">
        <f>EXP(-LN(2)/2)*DH14+(1-EXP(-LN(2)/2))/(LN(2)/2)*DB15*DE15*VLOOKUP('Données projet'!$B$13,'Paramètres'!$A$1:$I$89,3,0)*0.475*44/12</f>
        <v>0</v>
      </c>
      <c r="DI15" s="143">
        <f t="shared" si="16"/>
        <v>0</v>
      </c>
      <c r="DJ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1" t="str">
        <f>VLOOKUP(A15,'Données projet'!$A$165:$I$185,2,0)</f>
        <v>#N/A</v>
      </c>
      <c r="DM15" s="131" t="str">
        <f>VLOOKUP(A15,'Données projet'!$A$165:$I$185,9,0)</f>
        <v>#N/A</v>
      </c>
      <c r="DN15" s="131">
        <f t="array" ref="DN15">INDEX(DM:DM,MIN(IF(ISNUMBER(DM15:DM211),ROW(DM15:DM211),"")))</f>
        <v>2.1</v>
      </c>
      <c r="DO15" s="131">
        <f>IF('Données projet'!$A$166&gt;35,DO14+DN15-DW14,IF(A15&lt;'Données projet'!$A$166,$DL$205^A15,IF(A15='Données projet'!$A$166,'Données projet'!$B$166,DO14+DN15-DW14)))</f>
        <v>9.417802404</v>
      </c>
      <c r="DP15" s="138">
        <f>DO15*VLOOKUP('Données projet'!$B$14,'Paramètres'!$A$1:$I$89,3,0)*VLOOKUP('Données projet'!$B$14,'Paramètres'!$A$1:$I$89,5,0)</f>
        <v>8.521227616</v>
      </c>
      <c r="DQ15" s="130">
        <f t="shared" si="44"/>
        <v>3.060157497</v>
      </c>
      <c r="DR15" s="141">
        <f t="shared" si="17"/>
        <v>20.1709124</v>
      </c>
      <c r="DS15" s="133">
        <f t="shared" si="18"/>
        <v>313.5042457</v>
      </c>
      <c r="DT15" s="133">
        <f>AVERAGE(OFFSET($DS$3,0,0,'Données projet'!$E$14+1,1))-AVERAGE(OFFSET($H$3,0,0,'Données projet'!$E$14+1,1))</f>
        <v>287.9334714</v>
      </c>
      <c r="DU15" s="133">
        <f t="shared" si="45"/>
        <v>156.6796502</v>
      </c>
      <c r="DV15" s="134">
        <f>IF(ISNA(VLOOKUP(A15,'Données projet'!$A$165:$I$185,3,0)),0,VLOOKUP(A15,'Données projet'!$A$165:$I$185,3,0))</f>
        <v>0</v>
      </c>
      <c r="DW15" s="134">
        <f>IF(ISNA(VLOOKUP(A15,'Données projet'!$A$165:$I$185,4,0)),0,VLOOKUP(A15,'Données projet'!$A$165:$I$185,4,0))</f>
        <v>0</v>
      </c>
      <c r="DX15" s="135">
        <f>IF(ISNA(VLOOKUP(A15,'Données projet'!$A$165:$I$185,5,0)),0%,VLOOKUP(A15,'Données projet'!$A$165:$I$185,5,0)*VLOOKUP('Données projet'!$B$14,'Paramètres'!$A$1:$I$89,7,0))</f>
        <v>0</v>
      </c>
      <c r="DY15" s="135">
        <f>IF(ISNA(VLOOKUP(A15,'Données projet'!$A$165:$I$185,6,0)),0%,VLOOKUP(A15,'Données projet'!$A$165:$I$185,6,0)*VLOOKUP('Données projet'!$B$14,'Paramètres'!$A$1:$I$89,7,0))</f>
        <v>0</v>
      </c>
      <c r="DZ15" s="135">
        <f>IF(ISNA(VLOOKUP(A15,'Données projet'!$A$165:$I$185,7,0)),0%,VLOOKUP(A15,'Données projet'!$A$165:$I$185,7,0))</f>
        <v>0</v>
      </c>
      <c r="EA15" s="142">
        <f>EXP(-LN(2)/35)*EA14+(1-EXP(-LN(2)/35))/(LN(2)/35)*DW15*DX15*VLOOKUP('Données projet'!$B$14,'Paramètres'!$A$1:$I$89,3,0)*0.475*44/12</f>
        <v>0</v>
      </c>
      <c r="EB15" s="142">
        <f>EXP(-LN(2)/25)*EB14+(1-EXP(-LN(2)/25))/(LN(2)/25)*Calculateur!DW15*Calculateur!DY15*VLOOKUP('Données projet'!$B$14,'Paramètres'!$A$1:$I$89,3,0)*0.475*44/12</f>
        <v>0</v>
      </c>
      <c r="EC15" s="142">
        <f>EXP(-LN(2)/2)*EC14+(1-EXP(-LN(2)/2))/(LN(2)/2)*DW15*DZ15*VLOOKUP('Données projet'!$B$14,'Paramètres'!$A$1:$I$89,3,0)*0.475*44/12</f>
        <v>0</v>
      </c>
      <c r="ED15" s="143">
        <f t="shared" si="19"/>
        <v>0</v>
      </c>
      <c r="EE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1" t="str">
        <f>VLOOKUP(A15,'Données projet'!$A$191:$I$211,2,0)</f>
        <v>#N/A</v>
      </c>
      <c r="EH15" s="131" t="str">
        <f>VLOOKUP(A15,'Données projet'!$A$191:$I$211,9,0)</f>
        <v>#N/A</v>
      </c>
      <c r="EI15" s="131">
        <f t="array" ref="EI15">INDEX(EH:EH,MIN(IF(ISNUMBER(EH15:EH211),ROW(EH15:EH211),"")))</f>
        <v>1.6</v>
      </c>
      <c r="EJ15" s="131">
        <f>IF('Données projet'!$A$192&gt;35,EJ14+EI15-ER14,IF(A15&lt;'Données projet'!$A$192,$EG$205^A15,IF(A15='Données projet'!$A$192,'Données projet'!$B$192,EJ14+EI15-ER14)))</f>
        <v>5.874741964</v>
      </c>
      <c r="EK15" s="138">
        <f>EJ15*VLOOKUP('Données projet'!$B$15,'Paramètres'!$A$1:$I$89,3,0)*VLOOKUP('Données projet'!$B$15,'Paramètres'!$A$1:$I$89,5,0)</f>
        <v>4.307360808</v>
      </c>
      <c r="EL15" s="130">
        <f t="shared" si="46"/>
        <v>1.674715837</v>
      </c>
      <c r="EM15" s="141">
        <f t="shared" si="20"/>
        <v>10.41878349</v>
      </c>
      <c r="EN15" s="133">
        <f t="shared" si="21"/>
        <v>303.7521168</v>
      </c>
      <c r="EO15" s="133">
        <f>AVERAGE(OFFSET($EN$3,0,0,'Données projet'!$E$15+1,1))-AVERAGE(OFFSET($H$3,0,0,'Données projet'!$E$15+1,1))</f>
        <v>130.3193339</v>
      </c>
      <c r="EP15" s="133">
        <f t="shared" si="47"/>
        <v>82.22784365</v>
      </c>
      <c r="EQ15" s="134">
        <f>IF(ISNA(VLOOKUP(A15,'Données projet'!$A$191:$I$211,3,0)),0,VLOOKUP(A15,'Données projet'!$A$191:$I$211,3,0))</f>
        <v>0</v>
      </c>
      <c r="ER15" s="134">
        <f>IF(ISNA(VLOOKUP(A15,'Données projet'!$A$191:$I$211,4,0)),0,VLOOKUP(A15,'Données projet'!$A$191:$I$211,4,0))</f>
        <v>0</v>
      </c>
      <c r="ES15" s="135">
        <f>IF(ISNA(VLOOKUP(A15,'Données projet'!$A$191:$I$211,5,0)),0%,VLOOKUP(A15,'Données projet'!$A$191:$I$211,5,0)*VLOOKUP('Données projet'!$B$15,'Paramètres'!$A$1:$I$89,7,0))</f>
        <v>0</v>
      </c>
      <c r="ET15" s="135">
        <f>IF(ISNA(VLOOKUP(A15,'Données projet'!$A$191:$I$211,6,0)),0%,VLOOKUP(A15,'Données projet'!$A$191:$I$211,6,0)*VLOOKUP('Données projet'!$B$15,'Paramètres'!$A$1:$I$89,7,0))</f>
        <v>0</v>
      </c>
      <c r="EU15" s="135">
        <f>IF(ISNA(VLOOKUP(A15,'Données projet'!$A$191:$I$211,7,0)),0%,VLOOKUP(A15,'Données projet'!$A$191:$I$211,7,0))</f>
        <v>0</v>
      </c>
      <c r="EV15" s="142">
        <f>EXP(-LN(2)/35)*EV14+(1-EXP(-LN(2)/35))/(LN(2)/35)*ER15*ES15*VLOOKUP('Données projet'!$B$15,'Paramètres'!$A$1:$I$89,3,0)*0.475*44/12</f>
        <v>0</v>
      </c>
      <c r="EW15" s="142">
        <f>EXP(-LN(2)/25)*EW14+(1-EXP(-LN(2)/25))/(LN(2)/25)*Calculateur!ER15*Calculateur!ET15*VLOOKUP('Données projet'!$B$15,'Paramètres'!$A$1:$I$89,3,0)*0.475*44/12</f>
        <v>0</v>
      </c>
      <c r="EX15" s="142">
        <f>EXP(-LN(2)/2)*EX14+(1-EXP(-LN(2)/2))/(LN(2)/2)*ER15*EU15*VLOOKUP('Données projet'!$B$15,'Paramètres'!$A$1:$I$89,3,0)*0.475*44/12</f>
        <v>0</v>
      </c>
      <c r="EY15" s="143">
        <f t="shared" si="22"/>
        <v>0</v>
      </c>
      <c r="EZ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1" t="str">
        <f>VLOOKUP(A15,'Données projet'!$A$217:$I$237,2,0)</f>
        <v>#N/A</v>
      </c>
      <c r="FC15" s="131" t="str">
        <f>VLOOKUP(A15,'Données projet'!$A$217:$I$237,9,0)</f>
        <v>#N/A</v>
      </c>
      <c r="FD15" s="130">
        <f t="array" ref="FD15">INDEX(FC:FC,MIN(IF(ISNUMBER(FC15:FC211),ROW(FC15:FC211),"")))</f>
        <v>7.533333333</v>
      </c>
      <c r="FE15" s="131">
        <f>IF('Données projet'!$A$218&gt;35,FE14+FD15-FM14,IF(A15&lt;'Données projet'!$A$218,$FB$205^A15,IF(A15='Données projet'!$A$218,'Données projet'!$B$218,FE14+FD15-FM14)))</f>
        <v>43.89982154</v>
      </c>
      <c r="FF15" s="138">
        <f>FE15*VLOOKUP('Données projet'!$B$16,'Paramètres'!$A$1:$I$89,3,0)*VLOOKUP('Données projet'!$B$16,'Paramètres'!$A$1:$I$89,5,0)</f>
        <v>39.72055853</v>
      </c>
      <c r="FG15" s="130">
        <f t="shared" si="48"/>
        <v>11.92455072</v>
      </c>
      <c r="FH15" s="141">
        <f t="shared" si="23"/>
        <v>89.94856528</v>
      </c>
      <c r="FI15" s="133">
        <f t="shared" si="24"/>
        <v>383.2818986</v>
      </c>
      <c r="FJ15" s="133">
        <f>AVERAGE(OFFSET($FI$3,0,0,'Données projet'!$E$16+1,1))-AVERAGE(OFFSET($H$3,0,0,'Données projet'!$E$16+1,1))</f>
        <v>305.6252353</v>
      </c>
      <c r="FK15" s="133">
        <f t="shared" si="49"/>
        <v>331.397916</v>
      </c>
      <c r="FL15" s="134">
        <f>IF(ISNA(VLOOKUP(A15,'Données projet'!$A$217:$I$237,3,0)),0,VLOOKUP(A15,'Données projet'!$A$217:$I$237,3,0))</f>
        <v>0</v>
      </c>
      <c r="FM15" s="134">
        <f>IF(ISNA(VLOOKUP(A15,'Données projet'!$A$217:$I$237,4,0)),0,VLOOKUP(A15,'Données projet'!$A$217:$I$237,4,0))</f>
        <v>0</v>
      </c>
      <c r="FN15" s="135">
        <f>IF(ISNA(VLOOKUP(A15,'Données projet'!$A$217:$I$237,5,0)),0%,VLOOKUP(A15,'Données projet'!$A$217:$I$237,5,0)*VLOOKUP('Données projet'!$B$16,'Paramètres'!$A$1:$I$89,7,0))</f>
        <v>0</v>
      </c>
      <c r="FO15" s="135">
        <f>IF(ISNA(VLOOKUP(A15,'Données projet'!$A$217:$I$237,6,0)),0%,VLOOKUP(A15,'Données projet'!$A$217:$I$237,6,0)*VLOOKUP('Données projet'!$B$16,'Paramètres'!$A$1:$I$89,7,0))</f>
        <v>0</v>
      </c>
      <c r="FP15" s="135">
        <f>IF(ISNA(VLOOKUP(A15,'Données projet'!$A$217:$I$237,7,0)),0%,VLOOKUP(A15,'Données projet'!$A$217:$I$237,7,0))</f>
        <v>0</v>
      </c>
      <c r="FQ15" s="142">
        <f>EXP(-LN(2)/35)*FQ14+(1-EXP(-LN(2)/35))/(LN(2)/35)*FM15*FN15*VLOOKUP('Données projet'!$B$16,'Paramètres'!$A$1:$I$89,3,0)*0.475*44/12</f>
        <v>0</v>
      </c>
      <c r="FR15" s="142">
        <f>EXP(-LN(2)/25)*FR14+(1-EXP(-LN(2)/25))/(LN(2)/25)*Calculateur!FM15*Calculateur!FO15*VLOOKUP('Données projet'!$B$16,'Paramètres'!$A$1:$I$89,3,0)*0.475*44/12</f>
        <v>0</v>
      </c>
      <c r="FS15" s="142">
        <f>EXP(-LN(2)/2)*FS14+(1-EXP(-LN(2)/2))/(LN(2)/2)*FM15*FP15*VLOOKUP('Données projet'!$B$16,'Paramètres'!$A$1:$I$89,3,0)*0.475*44/12</f>
        <v>0</v>
      </c>
      <c r="FT15" s="143">
        <f t="shared" si="25"/>
        <v>0</v>
      </c>
      <c r="FU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1" t="str">
        <f>VLOOKUP(A15,'Données projet'!$A$243:$I$263,2,0)</f>
        <v>#N/A</v>
      </c>
      <c r="FX15" s="131" t="str">
        <f>VLOOKUP(A15,'Données projet'!$A$243:$I$263,9,0)</f>
        <v>#N/A</v>
      </c>
      <c r="FY15" s="130">
        <f t="array" ref="FY15">INDEX(FX:FX,MIN(IF(ISNUMBER(FX15:FX211),ROW(FX15:FX211),"")))</f>
        <v>1.6</v>
      </c>
      <c r="FZ15" s="131">
        <f>IF('Données projet'!$A$244&gt;35,FZ14+FY15-GH14,IF(A15&lt;'Données projet'!$A$244,$FW$205^A15,IF(A15='Données projet'!$A$244,'Données projet'!$B$244,FZ14+FY15-GH14)))</f>
        <v>8</v>
      </c>
      <c r="GA15" s="138">
        <f>FZ15*VLOOKUP('Données projet'!$B$17,'Paramètres'!$A$1:$I$89,3,0)*VLOOKUP('Données projet'!$B$17,'Paramètres'!$A$1:$I$89,5,0)</f>
        <v>5.3664</v>
      </c>
      <c r="GB15" s="130">
        <f t="shared" si="50"/>
        <v>2.033761398</v>
      </c>
      <c r="GC15" s="141">
        <f t="shared" si="26"/>
        <v>12.88861443</v>
      </c>
      <c r="GD15" s="133">
        <f t="shared" si="27"/>
        <v>306.2219478</v>
      </c>
      <c r="GE15" s="133">
        <f>AVERAGE(OFFSET($GD$3,0,0,'Données projet'!$E$17+1,1))-AVERAGE(OFFSET($H$3,0,0,'Données projet'!$E$17+1,1))</f>
        <v>118.7368745</v>
      </c>
      <c r="GF15" s="133">
        <f t="shared" si="51"/>
        <v>135.1233677</v>
      </c>
      <c r="GG15" s="134">
        <f>IF(ISNA(VLOOKUP(A15,'Données projet'!$A$243:$I$263,3,0)),0,VLOOKUP(A15,'Données projet'!$A$243:$I$263,3,0))</f>
        <v>0</v>
      </c>
      <c r="GH15" s="134">
        <f>IF(ISNA(VLOOKUP(A15,'Données projet'!$A$243:$I$263,4,0)),0,VLOOKUP(A15,'Données projet'!$A$243:$I$263,4,0))</f>
        <v>0</v>
      </c>
      <c r="GI15" s="135">
        <f>IF(ISNA(VLOOKUP(A15,'Données projet'!$A$243:$I$263,5,0)),0%,VLOOKUP(A15,'Données projet'!$A$243:$I$263,5,0)*VLOOKUP('Données projet'!$B$17,'Paramètres'!$A$1:$I$89,7,0))</f>
        <v>0</v>
      </c>
      <c r="GJ15" s="135">
        <f>IF(ISNA(VLOOKUP(A15,'Données projet'!$A$243:$I$263,6,0)),0%,VLOOKUP(A15,'Données projet'!$A$243:$I$263,6,0)*VLOOKUP('Données projet'!$B$17,'Paramètres'!$A$1:$I$89,7,0))</f>
        <v>0</v>
      </c>
      <c r="GK15" s="135">
        <f>IF(ISNA(VLOOKUP(A15,'Données projet'!$A$243:$I$263,7,0)),0%,VLOOKUP(A15,'Données projet'!$A$243:$I$263,7,0))</f>
        <v>0</v>
      </c>
      <c r="GL15" s="142">
        <f>EXP(-LN(2)/35)*GL14+(1-EXP(-LN(2)/35))/(LN(2)/35)*GH15*GI15*VLOOKUP('Données projet'!$B$17,'Paramètres'!$A$1:$I$89,3,0)*0.475*44/12</f>
        <v>0</v>
      </c>
      <c r="GM15" s="142">
        <f>EXP(-LN(2)/25)*GM14+(1-EXP(-LN(2)/25))/(LN(2)/25)*Calculateur!GH15*Calculateur!GJ15*VLOOKUP('Données projet'!$B$17,'Paramètres'!$A$1:$I$89,3,0)*0.475*44/12</f>
        <v>0</v>
      </c>
      <c r="GN15" s="142">
        <f>EXP(-LN(2)/2)*GN14+(1-EXP(-LN(2)/2))/(LN(2)/2)*GH15*GK15*VLOOKUP('Données projet'!$B$17,'Paramètres'!$A$1:$I$89,3,0)*0.475*44/12</f>
        <v>0</v>
      </c>
      <c r="GO15" s="142">
        <f t="shared" si="28"/>
        <v>0</v>
      </c>
      <c r="GP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1" t="str">
        <f>VLOOKUP(A15,'Données projet'!$A$269:$I$289,2,0)</f>
        <v>#N/A</v>
      </c>
      <c r="GS15" s="131" t="str">
        <f>VLOOKUP(A15,'Données projet'!$A$269:$I$289,9,0)</f>
        <v>#N/A</v>
      </c>
      <c r="GT15" s="130">
        <f t="array" ref="GT15">INDEX(GS:GS,MIN(IF(ISNUMBER(GS15:GS211),ROW(GS15:GS211),"")))</f>
        <v>1.2</v>
      </c>
      <c r="GU15" s="131">
        <f>IF('Données projet'!$A$270&gt;35,GU14+GT15-HC14,IF(A15&lt;'Données projet'!$A$270,$GR$205^A15,IF(A15='Données projet'!$A$270,'Données projet'!$B$270,GU14+GT15-HC14)))</f>
        <v>5.117032817</v>
      </c>
      <c r="GV15" s="138">
        <f>GU15*VLOOKUP('Données projet'!$B$18,'Paramètres'!$A$1:$I$89,3,0)*VLOOKUP('Données projet'!$B$18,'Paramètres'!$A$1:$I$89,5,0)</f>
        <v>5.507974125</v>
      </c>
      <c r="GW15" s="130">
        <f t="shared" si="52"/>
        <v>2.081097848</v>
      </c>
      <c r="GX15" s="141">
        <f t="shared" si="29"/>
        <v>13.21763369</v>
      </c>
      <c r="GY15" s="133">
        <f t="shared" si="30"/>
        <v>306.550967</v>
      </c>
      <c r="GZ15" s="133">
        <f>AVERAGE(OFFSET($GY$3,0,0,'Données projet'!$E$18+1,1))-AVERAGE(OFFSET($H$3,0,0,'Données projet'!$E$18+1,1))</f>
        <v>100.5427875</v>
      </c>
      <c r="HA15" s="133">
        <f t="shared" si="53"/>
        <v>92.28663609</v>
      </c>
      <c r="HB15" s="134">
        <f>IF(ISNA(VLOOKUP(A15,'Données projet'!$A$269:$I$289,3,0)),0,VLOOKUP(A15,'Données projet'!$A$269:$I$289,3,0))</f>
        <v>0</v>
      </c>
      <c r="HC15" s="134">
        <f>IF(ISNA(VLOOKUP(A15,'Données projet'!$A$269:$I$289,4,0)),0,VLOOKUP(A15,'Données projet'!$A$269:$I$289,4,0))</f>
        <v>0</v>
      </c>
      <c r="HD15" s="135">
        <f>IF(ISNA(VLOOKUP(A15,'Données projet'!$A$269:$I$289,5,0)),0%,VLOOKUP(A15,'Données projet'!$A$269:$I$289,5,0)*VLOOKUP('Données projet'!$B$18,'Paramètres'!$A$1:$I$89,7,0))</f>
        <v>0</v>
      </c>
      <c r="HE15" s="135">
        <f>IF(ISNA(VLOOKUP(A15,'Données projet'!$A$269:$I$289,6,0)),0%,VLOOKUP(A15,'Données projet'!$A$269:$I$289,6,0)*VLOOKUP('Données projet'!$B$18,'Paramètres'!$A$1:$I$89,7,0))</f>
        <v>0</v>
      </c>
      <c r="HF15" s="135">
        <f>IF(ISNA(VLOOKUP(A15,'Données projet'!$A$269:$I$289,7,0)),0%,VLOOKUP(A15,'Données projet'!$A$269:$I$289,7,0))</f>
        <v>0</v>
      </c>
      <c r="HG15" s="142">
        <f>EXP(-LN(2)/35)*HG14+(1-EXP(-LN(2)/35))/(LN(2)/35)*HC15*HD15*VLOOKUP('Données projet'!$B$18,'Paramètres'!$A$1:$I$89,3,0)*0.475*44/12</f>
        <v>0</v>
      </c>
      <c r="HH15" s="142">
        <f>EXP(-LN(2)/25)*HH14+(1-EXP(-LN(2)/25))/(LN(2)/25)*Calculateur!HC15*Calculateur!HE15*VLOOKUP('Données projet'!$B$18,'Paramètres'!$A$1:$I$89,3,0)*0.475*44/12</f>
        <v>0</v>
      </c>
      <c r="HI15" s="142">
        <f>EXP(-LN(2)/2)*HI14+(1-EXP(-LN(2)/2))/(LN(2)/2)*HC15*HF15*VLOOKUP('Données projet'!$B$18,'Paramètres'!$A$1:$I$89,3,0)*0.475*44/12</f>
        <v>0</v>
      </c>
      <c r="HJ15" s="143">
        <f t="shared" si="31"/>
        <v>0</v>
      </c>
    </row>
    <row r="16">
      <c r="A16" s="125">
        <f t="shared" si="32"/>
        <v>13</v>
      </c>
      <c r="B16" s="126">
        <f>'Scénario référence'!$B$16*5+'Scénario référence'!$B$17*0+'Scénario référence'!$B$18*5</f>
        <v>0</v>
      </c>
      <c r="C16" s="140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7.098</v>
      </c>
      <c r="D16" s="127">
        <f t="shared" si="33"/>
        <v>2.603849208</v>
      </c>
      <c r="E1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7">
        <f>IF(OR('Scénario référence'!$F$8&gt;0,'Scénario référence'!$F$9&gt;0),('Scénario référence'!$F$8+'Scénario référence'!$F$9)*10,0)</f>
        <v>10</v>
      </c>
      <c r="G16" s="127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74.89146757</v>
      </c>
      <c r="H16" s="128">
        <f t="shared" si="1"/>
        <v>310.2307207</v>
      </c>
      <c r="I16" s="12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1" t="str">
        <f>VLOOKUP(A16,'Données projet'!$A$35:$I$55,2,0)</f>
        <v>#N/A</v>
      </c>
      <c r="L16" s="131" t="str">
        <f>VLOOKUP(A16,'Données projet'!$A$35:$I$55,9,0)</f>
        <v>#N/A</v>
      </c>
      <c r="M16" s="131">
        <f t="array" ref="M16">INDEX(L:L,MIN(IF(ISNUMBER(L16:L212),ROW(L16:L212),"")))</f>
        <v>3.92</v>
      </c>
      <c r="N16" s="130">
        <f>IF('Données projet'!$A$36&gt;35,N15+M16-V15,IF(A16&lt;'Données projet'!$A$36,$K$205^A16,IF(A16='Données projet'!$A$36,'Données projet'!$B$36,N15+M16-V15)))</f>
        <v>10.8501954</v>
      </c>
      <c r="O16" s="130">
        <f>N16*VLOOKUP('Données projet'!$B$9,'Paramètres'!$A$1:$I$89,3,0)*VLOOKUP('Données projet'!$B$9,'Paramètres'!$A$1:$I$89,5,0)</f>
        <v>6.206311768</v>
      </c>
      <c r="P16" s="130">
        <f t="shared" si="34"/>
        <v>2.312596283</v>
      </c>
      <c r="Q16" s="141">
        <f t="shared" si="2"/>
        <v>14.83709819</v>
      </c>
      <c r="R16" s="133">
        <f t="shared" si="3"/>
        <v>308.1704315</v>
      </c>
      <c r="S16" s="133">
        <f>AVERAGE(OFFSET($R$3,0,0,'Données projet'!$E$9+1,1))-AVERAGE(OFFSET($H$3,0,0,'Données projet'!$E$9+1,1))</f>
        <v>126.9946492</v>
      </c>
      <c r="T16" s="133">
        <f t="shared" si="35"/>
        <v>140.039049</v>
      </c>
      <c r="U16" s="134">
        <f>IF(ISNA(VLOOKUP(A16,'Données projet'!$A$35:$I$55,3,0)),0,VLOOKUP(A16,'Données projet'!$A$35:$I$55,3,0))</f>
        <v>0</v>
      </c>
      <c r="V16" s="134">
        <f>IF(ISNA(VLOOKUP(A16,'Données projet'!$A$35:$I$55,4,0)),0,VLOOKUP(A16,'Données projet'!$A$35:$I$55,4,0))</f>
        <v>0</v>
      </c>
      <c r="W16" s="135">
        <f>IF(ISNA(VLOOKUP(A16,'Données projet'!$A$35:$I$55,5,0)),0%,VLOOKUP(A16,'Données projet'!$A$35:$I$55,5,0)*VLOOKUP('Données projet'!$B$9,'Paramètres'!$A$1:$I$89,7,0))</f>
        <v>0</v>
      </c>
      <c r="X16" s="135">
        <f>IF(ISNA(VLOOKUP(A16,'Données projet'!$A$35:$I$55,6,0)),0%,VLOOKUP(A16,'Données projet'!$A$35:$I$55,6,0)*VLOOKUP('Données projet'!$B$9,'Paramètres'!$A$1:$I$89,7,0))</f>
        <v>0</v>
      </c>
      <c r="Y16" s="135">
        <f>IF(ISNA(VLOOKUP(A16,'Données projet'!$A$35:$I$55,7,0)),0%,VLOOKUP(A16,'Données projet'!$A$35:$I$55,7,0))</f>
        <v>0</v>
      </c>
      <c r="Z16" s="142">
        <f>EXP(-LN(2)/35)*Z15+(1-EXP(-LN(2)/35))/(LN(2)/35)*V16*W16*VLOOKUP('Données projet'!$B$9,'Paramètres'!$A$1:$I$89,3,0)*0.475*44/12</f>
        <v>0</v>
      </c>
      <c r="AA16" s="142">
        <f>EXP(-LN(2)/25)*AA15+(1-EXP(-LN(2)/25))/(LN(2)/25)*Calculateur!V16*Calculateur!X16*VLOOKUP('Données projet'!$B$9,'Paramètres'!$A$1:$I$89,3,0)*0.475*44/12</f>
        <v>0</v>
      </c>
      <c r="AB16" s="142">
        <f>EXP(-LN(2)/2)*AB15+(1-EXP(-LN(2)/2))/(LN(2)/2)*V16*Y16*VLOOKUP('Données projet'!$B$9,'Paramètres'!$A$1:$I$89,3,0)*0.475*44/12</f>
        <v>0</v>
      </c>
      <c r="AC16" s="143">
        <f t="shared" si="4"/>
        <v>0</v>
      </c>
      <c r="AD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0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1" t="str">
        <f>VLOOKUP(A16,'Données projet'!$A$61:$I$81,2,0)</f>
        <v>#N/A</v>
      </c>
      <c r="AG16" s="131" t="str">
        <f>VLOOKUP(A16,'Données projet'!$A$61:$I$81,9,0)</f>
        <v>#N/A</v>
      </c>
      <c r="AH16" s="130">
        <f t="array" ref="AH16">INDEX(AG:AG,MIN(IF(ISNUMBER(AG16:AG212),ROW(AG16:AG212),"")))</f>
        <v>5.590909091</v>
      </c>
      <c r="AI16" s="130">
        <f>IF('Données projet'!$A$62&gt;35,AI15+AH16-AQ15,IF(A16&lt;'Données projet'!$A$62,$AF$205^A16,IF(A16='Données projet'!$A$62,'Données projet'!$B$62,AI15+AH16-AQ15)))</f>
        <v>17.17686607</v>
      </c>
      <c r="AJ16" s="130">
        <f>AI16*VLOOKUP('Données projet'!$B$10,'Paramètres'!$A$1:$I$89,3,0)*VLOOKUP('Données projet'!$B$10,'Paramètres'!$A$1:$I$89,5,0)</f>
        <v>10.27176591</v>
      </c>
      <c r="AK16" s="130">
        <f t="shared" si="36"/>
        <v>3.609455461</v>
      </c>
      <c r="AL16" s="141">
        <f t="shared" si="5"/>
        <v>24.17646056</v>
      </c>
      <c r="AM16" s="133">
        <f t="shared" si="6"/>
        <v>317.5097939</v>
      </c>
      <c r="AN16" s="133">
        <f>AVERAGE(OFFSET($AM$3,0,0,'Données projet'!$E$10+1,1))-AVERAGE(OFFSET($H$3,0,0,'Données projet'!$E$10+1,1))</f>
        <v>196.874484</v>
      </c>
      <c r="AO16" s="133">
        <f t="shared" si="37"/>
        <v>217.5750859</v>
      </c>
      <c r="AP16" s="134">
        <f>IF(ISNA(VLOOKUP(A16,'Données projet'!$A$61:$I$81,3,0)),0,VLOOKUP(A16,'Données projet'!$A$61:$I$81,3,0))</f>
        <v>0</v>
      </c>
      <c r="AQ16" s="134">
        <f>IF(ISNA(VLOOKUP(A16,'Données projet'!$A$61:$I$81,4,0)),0,VLOOKUP(A16,'Données projet'!$A$61:$I$81,4,0))</f>
        <v>0</v>
      </c>
      <c r="AR16" s="135">
        <f>IF(ISNA(VLOOKUP(A16,'Données projet'!$A$61:$I$81,5,0)),0%,VLOOKUP(A16,'Données projet'!$A$61:$I$81,5,0)*VLOOKUP('Données projet'!$B$10,'Paramètres'!$A$1:$I$89,7,0))</f>
        <v>0</v>
      </c>
      <c r="AS16" s="135">
        <f>IF(ISNA(VLOOKUP(A16,'Données projet'!$A$61:$I$81,6,0)),0%,VLOOKUP(A16,'Données projet'!$A$61:$I$81,6,0)*VLOOKUP('Données projet'!$B$10,'Paramètres'!$A$1:$I$89,7,0))</f>
        <v>0</v>
      </c>
      <c r="AT16" s="135">
        <f>IF(ISNA(VLOOKUP(A16,'Données projet'!$A$61:$I$81,7,0)),0%,VLOOKUP(A16,'Données projet'!$A$61:$I$81,7,0))</f>
        <v>0</v>
      </c>
      <c r="AU16" s="142">
        <f>EXP(-LN(2)/35)*AU15+(1-EXP(-LN(2)/35))/(LN(2)/35)*AQ16*AR16*VLOOKUP('Données projet'!$B$10,'Paramètres'!$A$1:$I$89,3,0)*0.475*44/12</f>
        <v>0</v>
      </c>
      <c r="AV16" s="142">
        <f>EXP(-LN(2)/25)*AV15+(1-EXP(-LN(2)/25))/(LN(2)/25)*Calculateur!AQ16*Calculateur!AS16*VLOOKUP('Données projet'!$B$10,'Paramètres'!$A$1:$I$89,3,0)*0.475*44/12</f>
        <v>0</v>
      </c>
      <c r="AW16" s="142">
        <f>EXP(-LN(2)/2)*AW15+(1-EXP(-LN(2)/2))/(LN(2)/2)*AQ16*AT16*VLOOKUP('Données projet'!$B$10,'Paramètres'!$A$1:$I$89,3,0)*0.475*44/12</f>
        <v>0</v>
      </c>
      <c r="AX16" s="142">
        <f t="shared" si="7"/>
        <v>0</v>
      </c>
      <c r="AY16" s="13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1" t="str">
        <f>VLOOKUP(A16,'Données projet'!$A$87:$I$107,2,0)</f>
        <v>#N/A</v>
      </c>
      <c r="BB16" s="131" t="str">
        <f>VLOOKUP(A16,'Données projet'!$A$87:$I$107,9,0)</f>
        <v>#N/A</v>
      </c>
      <c r="BC16" s="130">
        <f t="array" ref="BC16">INDEX(BB:BB,MIN(IF(ISNUMBER(BB16:BB212),ROW(BB16:BB212),"")))</f>
        <v>4.666666667</v>
      </c>
      <c r="BD16" s="131">
        <f>IF('Données projet'!$A$88&gt;35,BD15+BC16-BL15,IF(A16&lt;'Données projet'!$A$88,$BA$205^A16,IF(A16='Données projet'!$A$88,'Données projet'!$B$88,BD15+BC16-BL15)))</f>
        <v>8.511161188</v>
      </c>
      <c r="BE16" s="130">
        <f>BD16*VLOOKUP('Données projet'!$B$11,'Paramètres'!$A$1:$I$89,3,0)*VLOOKUP('Données projet'!$B$11,'Paramètres'!$A$1:$I$89,5,0)</f>
        <v>3.983223436</v>
      </c>
      <c r="BF16" s="130">
        <f t="shared" si="38"/>
        <v>1.562857632</v>
      </c>
      <c r="BG16" s="141">
        <f t="shared" si="8"/>
        <v>9.659424527</v>
      </c>
      <c r="BH16" s="133">
        <f t="shared" si="9"/>
        <v>302.9927579</v>
      </c>
      <c r="BI16" s="133">
        <f>AVERAGE(OFFSET($BH$3,0,0,'Données projet'!$E$11+1,1))-AVERAGE(OFFSET($H$3,0,0,'Données projet'!$E$11+1,1))</f>
        <v>134.0948534</v>
      </c>
      <c r="BJ16" s="133">
        <f t="shared" si="39"/>
        <v>108.4102536</v>
      </c>
      <c r="BK16" s="134">
        <f>IF(ISNA(VLOOKUP(A16,'Données projet'!$A$87:$I$107,3,0)),0,VLOOKUP(A16,'Données projet'!$A$87:$I$107,3,0))</f>
        <v>0</v>
      </c>
      <c r="BL16" s="134">
        <f>IF(ISNA(VLOOKUP(A16,'Données projet'!$A$87:$I$107,4,0)),0,VLOOKUP(A16,'Données projet'!$A$87:$I$107,4,0))</f>
        <v>0</v>
      </c>
      <c r="BM16" s="135">
        <f>IF(ISNA(VLOOKUP(A16,'Données projet'!$A$87:$I$107,5,0)),0%,VLOOKUP(A16,'Données projet'!$A$87:$I$107,5,0)*VLOOKUP('Données projet'!$B$11,'Paramètres'!$A$1:$I$89,7,0))</f>
        <v>0</v>
      </c>
      <c r="BN16" s="135">
        <f>IF(ISNA(VLOOKUP(A16,'Données projet'!$A$87:$I$107,6,0)),0%,VLOOKUP(A16,'Données projet'!$A$87:$I$107,6,0)*VLOOKUP('Données projet'!$B$11,'Paramètres'!$A$1:$I$89,7,0))</f>
        <v>0</v>
      </c>
      <c r="BO16" s="135">
        <f>IF(ISNA(VLOOKUP(A16,'Données projet'!$A$87:$I$107,7,0)),0%,VLOOKUP(A16,'Données projet'!$A$87:$I$107,7,0))</f>
        <v>0</v>
      </c>
      <c r="BP16" s="142">
        <f>EXP(-LN(2)/35)*BP15+(1-EXP(-LN(2)/35))/(LN(2)/35)*BL16*BM16*VLOOKUP('Données projet'!$B$11,'Paramètres'!$A$1:$I$89,3,0)*0.475*44/12</f>
        <v>0</v>
      </c>
      <c r="BQ16" s="142">
        <f>EXP(-LN(2)/25)*BQ15+(1-EXP(-LN(2)/25))/(LN(2)/25)*Calculateur!BL16*Calculateur!BN16*VLOOKUP('Données projet'!$B$11,'Paramètres'!$A$1:$I$89,3,0)*0.475*44/12</f>
        <v>0</v>
      </c>
      <c r="BR16" s="142">
        <f>EXP(-LN(2)/2)*BR15+(1-EXP(-LN(2)/2))/(LN(2)/2)*BL16*BO16*VLOOKUP('Données projet'!$B$11,'Paramètres'!$A$1:$I$89,3,0)*0.475*44/12</f>
        <v>0</v>
      </c>
      <c r="BS16" s="143">
        <f t="shared" si="10"/>
        <v>0</v>
      </c>
      <c r="BT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1" t="str">
        <f>VLOOKUP(A16,'Données projet'!$A$113:$I$133,2,0)</f>
        <v>#N/A</v>
      </c>
      <c r="BW16" s="131" t="str">
        <f>VLOOKUP(A16,'Données projet'!$A$113:$I$133,9,0)</f>
        <v>#N/A</v>
      </c>
      <c r="BX16" s="130">
        <f t="array" ref="BX16">INDEX(BW:BW,MIN(IF(ISNUMBER(BW16:BW212),ROW(BW16:BW212),"")))</f>
        <v>1.866666667</v>
      </c>
      <c r="BY16" s="131">
        <f>IF('Données projet'!$A$114&gt;35,BY15+BX16-CG15,IF(A16&lt;'Données projet'!$A$114,$BV$205^A16,IF(A16='Données projet'!$A$114,'Données projet'!$B$114,BY15+BX16-CG15)))</f>
        <v>17.95575319</v>
      </c>
      <c r="BZ16" s="130">
        <f>BY16*VLOOKUP('Données projet'!$B$12,'Paramètres'!$A$1:$I$89,3,0)*VLOOKUP('Données projet'!$B$12,'Paramètres'!$A$1:$I$89,5,0)</f>
        <v>8.870142075</v>
      </c>
      <c r="CA16" s="130">
        <f t="shared" si="40"/>
        <v>3.170615087</v>
      </c>
      <c r="CB16" s="141">
        <f t="shared" si="11"/>
        <v>20.97098539</v>
      </c>
      <c r="CC16" s="133">
        <f t="shared" si="12"/>
        <v>314.3043187</v>
      </c>
      <c r="CD16" s="133">
        <f>AVERAGE(OFFSET($CC$3,0,0,'Données projet'!$E$12+1,1))-AVERAGE(OFFSET($H$3,0,0,'Données projet'!$E$12+1,1))</f>
        <v>258.1672054</v>
      </c>
      <c r="CE16" s="133">
        <f t="shared" si="41"/>
        <v>296.0724261</v>
      </c>
      <c r="CF16" s="134">
        <f>IF(ISNA(VLOOKUP(A16,'Données projet'!$A$113:$I$133,3,0)),0,VLOOKUP(A16,'Données projet'!$A$113:$I$133,3,0))</f>
        <v>0</v>
      </c>
      <c r="CG16" s="134">
        <f>IF(ISNA(VLOOKUP(A16,'Données projet'!$A$113:$I$133,4,0)),0,VLOOKUP(A16,'Données projet'!$A$113:$I$133,4,0))</f>
        <v>0</v>
      </c>
      <c r="CH16" s="135">
        <f>IF(ISNA(VLOOKUP(A16,'Données projet'!$A$113:$I$133,5,0)),0%,VLOOKUP(A16,'Données projet'!$A$113:$I$133,5,0)*VLOOKUP('Données projet'!$B$12,'Paramètres'!$A$1:$I$89,7,0))</f>
        <v>0</v>
      </c>
      <c r="CI16" s="135">
        <f>IF(ISNA(VLOOKUP(A16,'Données projet'!$A$113:$I$133,6,0)),0%,VLOOKUP(A16,'Données projet'!$A$113:$I$133,6,0)*VLOOKUP('Données projet'!$B$12,'Paramètres'!$A$1:$I$89,7,0))</f>
        <v>0</v>
      </c>
      <c r="CJ16" s="135">
        <f>IF(ISNA(VLOOKUP(A16,'Données projet'!$A$113:$I$133,7,0)),0%,VLOOKUP(A16,'Données projet'!$A$113:$I$133,7,0))</f>
        <v>0</v>
      </c>
      <c r="CK16" s="142">
        <f>EXP(-LN(2)/35)*CK15+(1-EXP(-LN(2)/35))/(LN(2)/35)*CG16*CH16*VLOOKUP('Données projet'!$B$12,'Paramètres'!$A$1:$I$89,3,0)*0.475*44/12</f>
        <v>0</v>
      </c>
      <c r="CL16" s="142">
        <f>EXP(-LN(2)/25)*CL15+(1-EXP(-LN(2)/25))/(LN(2)/25)*Calculateur!CG16*Calculateur!CI16*VLOOKUP('Données projet'!$B$12,'Paramètres'!$A$1:$I$89,3,0)*0.475*44/12</f>
        <v>0</v>
      </c>
      <c r="CM16" s="142">
        <f>EXP(-LN(2)/2)*CM15+(1-EXP(-LN(2)/2))/(LN(2)/2)*CG16*CJ16*VLOOKUP('Données projet'!$B$12,'Paramètres'!$A$1:$I$89,3,0)*0.475*44/12</f>
        <v>0</v>
      </c>
      <c r="CN16" s="143">
        <f t="shared" si="13"/>
        <v>0</v>
      </c>
      <c r="CO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1" t="str">
        <f>VLOOKUP(A16,'Données projet'!$A$139:$I$159,2,0)</f>
        <v>#N/A</v>
      </c>
      <c r="CR16" s="131" t="str">
        <f>VLOOKUP(A16,'Données projet'!$A$139:$I$159,9,0)</f>
        <v>#N/A</v>
      </c>
      <c r="CS16" s="130">
        <f t="array" ref="CS16">INDEX(CR:CR,MIN(IF(ISNUMBER(CR16:CR212),ROW(CR16:CR212),"")))</f>
        <v>1.2</v>
      </c>
      <c r="CT16" s="131">
        <f>IF('Données projet'!$A$140&gt;35,CT15+CS16-DB15,IF(A16&lt;'Données projet'!$A$140,$CQ$205^A16,IF(A16='Données projet'!$A$140,'Données projet'!$B$140,CT15+CS16-DB15)))</f>
        <v>5.86277264</v>
      </c>
      <c r="CU16" s="138">
        <f>CT16*VLOOKUP('Données projet'!$B$13,'Paramètres'!$A$1:$I$89,3,0)*VLOOKUP('Données projet'!$B$13,'Paramètres'!$A$1:$I$89,5,0)</f>
        <v>5.944851457</v>
      </c>
      <c r="CV16" s="130">
        <f t="shared" si="42"/>
        <v>2.226296785</v>
      </c>
      <c r="CW16" s="141">
        <f t="shared" si="14"/>
        <v>14.23141652</v>
      </c>
      <c r="CX16" s="133">
        <f t="shared" si="15"/>
        <v>307.5647499</v>
      </c>
      <c r="CY16" s="133">
        <f>AVERAGE(OFFSET($CX$3,0,0,'Données projet'!$E$13+1,1))-AVERAGE(OFFSET($H$3,0,0,'Données projet'!$E$13+1,1))</f>
        <v>223.783507</v>
      </c>
      <c r="CZ16" s="133">
        <f t="shared" si="43"/>
        <v>84.92349117</v>
      </c>
      <c r="DA16" s="134">
        <f>IF(ISNA(VLOOKUP(A16,'Données projet'!$A$139:$I$159,3,0)),0,VLOOKUP(A16,'Données projet'!$A$139:$I$159,3,0))</f>
        <v>0</v>
      </c>
      <c r="DB16" s="134">
        <f>IF(ISNA(VLOOKUP(A16,'Données projet'!$A$139:$I$159,4,0)),0,VLOOKUP(A16,'Données projet'!$A$139:$I$159,4,0))</f>
        <v>0</v>
      </c>
      <c r="DC16" s="135">
        <f>IF(ISNA(VLOOKUP(A16,'Données projet'!$A$139:$I$159,5,0)),0%,VLOOKUP(A16,'Données projet'!$A$139:$I$159,5,0)*VLOOKUP('Données projet'!$B$13,'Paramètres'!$A$1:$I$89,7,0))</f>
        <v>0</v>
      </c>
      <c r="DD16" s="135">
        <f>IF(ISNA(VLOOKUP(A16,'Données projet'!$A$139:$I$159,6,0)),0%,VLOOKUP(A16,'Données projet'!$A$139:$I$159,6,0)*VLOOKUP('Données projet'!$B$13,'Paramètres'!$A$1:$I$89,7,0))</f>
        <v>0</v>
      </c>
      <c r="DE16" s="135">
        <f>IF(ISNA(VLOOKUP(A16,'Données projet'!$A$139:$I$159,7,0)),0%,VLOOKUP(A16,'Données projet'!$A$139:$I$159,7,0))</f>
        <v>0</v>
      </c>
      <c r="DF16" s="142">
        <f>EXP(-LN(2)/35)*DF15+(1-EXP(-LN(2)/35))/(LN(2)/35)*DB16*DC16*VLOOKUP('Données projet'!$B$13,'Paramètres'!$A$1:$I$89,3,0)*0.475*44/12</f>
        <v>0</v>
      </c>
      <c r="DG16" s="142">
        <f>EXP(-LN(2)/25)*DG15+(1-EXP(-LN(2)/25))/(LN(2)/25)*Calculateur!DB16*Calculateur!DD16*VLOOKUP('Données projet'!$B$13,'Paramètres'!$A$1:$I$89,3,0)*0.475*44/12</f>
        <v>0</v>
      </c>
      <c r="DH16" s="142">
        <f>EXP(-LN(2)/2)*DH15+(1-EXP(-LN(2)/2))/(LN(2)/2)*DB16*DE16*VLOOKUP('Données projet'!$B$13,'Paramètres'!$A$1:$I$89,3,0)*0.475*44/12</f>
        <v>0</v>
      </c>
      <c r="DI16" s="143">
        <f t="shared" si="16"/>
        <v>0</v>
      </c>
      <c r="DJ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1" t="str">
        <f>VLOOKUP(A16,'Données projet'!$A$165:$I$185,2,0)</f>
        <v>#N/A</v>
      </c>
      <c r="DM16" s="131" t="str">
        <f>VLOOKUP(A16,'Données projet'!$A$165:$I$185,9,0)</f>
        <v>#N/A</v>
      </c>
      <c r="DN16" s="131">
        <f t="array" ref="DN16">INDEX(DM:DM,MIN(IF(ISNUMBER(DM16:DM212),ROW(DM16:DM212),"")))</f>
        <v>2.1</v>
      </c>
      <c r="DO16" s="131">
        <f>IF('Données projet'!$A$166&gt;35,DO15+DN16-DW15,IF(A16&lt;'Données projet'!$A$166,$DL$205^A16,IF(A16='Données projet'!$A$166,'Données projet'!$B$166,DO15+DN16-DW15)))</f>
        <v>11.35303662</v>
      </c>
      <c r="DP16" s="138">
        <f>DO16*VLOOKUP('Données projet'!$B$14,'Paramètres'!$A$1:$I$89,3,0)*VLOOKUP('Données projet'!$B$14,'Paramètres'!$A$1:$I$89,5,0)</f>
        <v>10.27222754</v>
      </c>
      <c r="DQ16" s="130">
        <f t="shared" si="44"/>
        <v>3.609598791</v>
      </c>
      <c r="DR16" s="141">
        <f t="shared" si="17"/>
        <v>24.17751419</v>
      </c>
      <c r="DS16" s="133">
        <f t="shared" si="18"/>
        <v>317.5108475</v>
      </c>
      <c r="DT16" s="133">
        <f>AVERAGE(OFFSET($DS$3,0,0,'Données projet'!$E$14+1,1))-AVERAGE(OFFSET($H$3,0,0,'Données projet'!$E$14+1,1))</f>
        <v>287.9334714</v>
      </c>
      <c r="DU16" s="133">
        <f t="shared" si="45"/>
        <v>156.6796502</v>
      </c>
      <c r="DV16" s="134">
        <f>IF(ISNA(VLOOKUP(A16,'Données projet'!$A$165:$I$185,3,0)),0,VLOOKUP(A16,'Données projet'!$A$165:$I$185,3,0))</f>
        <v>0</v>
      </c>
      <c r="DW16" s="134">
        <f>IF(ISNA(VLOOKUP(A16,'Données projet'!$A$165:$I$185,4,0)),0,VLOOKUP(A16,'Données projet'!$A$165:$I$185,4,0))</f>
        <v>0</v>
      </c>
      <c r="DX16" s="135">
        <f>IF(ISNA(VLOOKUP(A16,'Données projet'!$A$165:$I$185,5,0)),0%,VLOOKUP(A16,'Données projet'!$A$165:$I$185,5,0)*VLOOKUP('Données projet'!$B$14,'Paramètres'!$A$1:$I$89,7,0))</f>
        <v>0</v>
      </c>
      <c r="DY16" s="135">
        <f>IF(ISNA(VLOOKUP(A16,'Données projet'!$A$165:$I$185,6,0)),0%,VLOOKUP(A16,'Données projet'!$A$165:$I$185,6,0)*VLOOKUP('Données projet'!$B$14,'Paramètres'!$A$1:$I$89,7,0))</f>
        <v>0</v>
      </c>
      <c r="DZ16" s="135">
        <f>IF(ISNA(VLOOKUP(A16,'Données projet'!$A$165:$I$185,7,0)),0%,VLOOKUP(A16,'Données projet'!$A$165:$I$185,7,0))</f>
        <v>0</v>
      </c>
      <c r="EA16" s="142">
        <f>EXP(-LN(2)/35)*EA15+(1-EXP(-LN(2)/35))/(LN(2)/35)*DW16*DX16*VLOOKUP('Données projet'!$B$14,'Paramètres'!$A$1:$I$89,3,0)*0.475*44/12</f>
        <v>0</v>
      </c>
      <c r="EB16" s="142">
        <f>EXP(-LN(2)/25)*EB15+(1-EXP(-LN(2)/25))/(LN(2)/25)*Calculateur!DW16*Calculateur!DY16*VLOOKUP('Données projet'!$B$14,'Paramètres'!$A$1:$I$89,3,0)*0.475*44/12</f>
        <v>0</v>
      </c>
      <c r="EC16" s="142">
        <f>EXP(-LN(2)/2)*EC15+(1-EXP(-LN(2)/2))/(LN(2)/2)*DW16*DZ16*VLOOKUP('Données projet'!$B$14,'Paramètres'!$A$1:$I$89,3,0)*0.475*44/12</f>
        <v>0</v>
      </c>
      <c r="ED16" s="143">
        <f t="shared" si="19"/>
        <v>0</v>
      </c>
      <c r="EE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1" t="str">
        <f>VLOOKUP(A16,'Données projet'!$A$191:$I$211,2,0)</f>
        <v>#N/A</v>
      </c>
      <c r="EH16" s="131" t="str">
        <f>VLOOKUP(A16,'Données projet'!$A$191:$I$211,9,0)</f>
        <v>#N/A</v>
      </c>
      <c r="EI16" s="131">
        <f t="array" ref="EI16">INDEX(EH:EH,MIN(IF(ISNUMBER(EH16:EH212),ROW(EH16:EH212),"")))</f>
        <v>1.6</v>
      </c>
      <c r="EJ16" s="131">
        <f>IF('Données projet'!$A$192&gt;35,EJ15+EI16-ER15,IF(A16&lt;'Données projet'!$A$192,$EG$205^A16,IF(A16='Données projet'!$A$192,'Données projet'!$B$192,EJ15+EI16-ER15)))</f>
        <v>6.808809689</v>
      </c>
      <c r="EK16" s="138">
        <f>EJ16*VLOOKUP('Données projet'!$B$15,'Paramètres'!$A$1:$I$89,3,0)*VLOOKUP('Données projet'!$B$15,'Paramètres'!$A$1:$I$89,5,0)</f>
        <v>4.992219264</v>
      </c>
      <c r="EL16" s="130">
        <f t="shared" si="46"/>
        <v>1.907938342</v>
      </c>
      <c r="EM16" s="141">
        <f t="shared" si="20"/>
        <v>12.0177745</v>
      </c>
      <c r="EN16" s="133">
        <f t="shared" si="21"/>
        <v>305.3511078</v>
      </c>
      <c r="EO16" s="133">
        <f>AVERAGE(OFFSET($EN$3,0,0,'Données projet'!$E$15+1,1))-AVERAGE(OFFSET($H$3,0,0,'Données projet'!$E$15+1,1))</f>
        <v>130.3193339</v>
      </c>
      <c r="EP16" s="133">
        <f t="shared" si="47"/>
        <v>82.22784365</v>
      </c>
      <c r="EQ16" s="134">
        <f>IF(ISNA(VLOOKUP(A16,'Données projet'!$A$191:$I$211,3,0)),0,VLOOKUP(A16,'Données projet'!$A$191:$I$211,3,0))</f>
        <v>0</v>
      </c>
      <c r="ER16" s="134">
        <f>IF(ISNA(VLOOKUP(A16,'Données projet'!$A$191:$I$211,4,0)),0,VLOOKUP(A16,'Données projet'!$A$191:$I$211,4,0))</f>
        <v>0</v>
      </c>
      <c r="ES16" s="135">
        <f>IF(ISNA(VLOOKUP(A16,'Données projet'!$A$191:$I$211,5,0)),0%,VLOOKUP(A16,'Données projet'!$A$191:$I$211,5,0)*VLOOKUP('Données projet'!$B$15,'Paramètres'!$A$1:$I$89,7,0))</f>
        <v>0</v>
      </c>
      <c r="ET16" s="135">
        <f>IF(ISNA(VLOOKUP(A16,'Données projet'!$A$191:$I$211,6,0)),0%,VLOOKUP(A16,'Données projet'!$A$191:$I$211,6,0)*VLOOKUP('Données projet'!$B$15,'Paramètres'!$A$1:$I$89,7,0))</f>
        <v>0</v>
      </c>
      <c r="EU16" s="135">
        <f>IF(ISNA(VLOOKUP(A16,'Données projet'!$A$191:$I$211,7,0)),0%,VLOOKUP(A16,'Données projet'!$A$191:$I$211,7,0))</f>
        <v>0</v>
      </c>
      <c r="EV16" s="142">
        <f>EXP(-LN(2)/35)*EV15+(1-EXP(-LN(2)/35))/(LN(2)/35)*ER16*ES16*VLOOKUP('Données projet'!$B$15,'Paramètres'!$A$1:$I$89,3,0)*0.475*44/12</f>
        <v>0</v>
      </c>
      <c r="EW16" s="142">
        <f>EXP(-LN(2)/25)*EW15+(1-EXP(-LN(2)/25))/(LN(2)/25)*Calculateur!ER16*Calculateur!ET16*VLOOKUP('Données projet'!$B$15,'Paramètres'!$A$1:$I$89,3,0)*0.475*44/12</f>
        <v>0</v>
      </c>
      <c r="EX16" s="142">
        <f>EXP(-LN(2)/2)*EX15+(1-EXP(-LN(2)/2))/(LN(2)/2)*ER16*EU16*VLOOKUP('Données projet'!$B$15,'Paramètres'!$A$1:$I$89,3,0)*0.475*44/12</f>
        <v>0</v>
      </c>
      <c r="EY16" s="143">
        <f t="shared" si="22"/>
        <v>0</v>
      </c>
      <c r="EZ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1" t="str">
        <f>VLOOKUP(A16,'Données projet'!$A$217:$I$237,2,0)</f>
        <v>#N/A</v>
      </c>
      <c r="FC16" s="131" t="str">
        <f>VLOOKUP(A16,'Données projet'!$A$217:$I$237,9,0)</f>
        <v>#N/A</v>
      </c>
      <c r="FD16" s="130">
        <f t="array" ref="FD16">INDEX(FC:FC,MIN(IF(ISNUMBER(FC16:FC212),ROW(FC16:FC212),"")))</f>
        <v>7.533333333</v>
      </c>
      <c r="FE16" s="131">
        <f>IF('Données projet'!$A$218&gt;35,FE15+FD16-FM15,IF(A16&lt;'Données projet'!$A$218,$FB$205^A16,IF(A16='Données projet'!$A$218,'Données projet'!$B$218,FE15+FD16-FM15)))</f>
        <v>60.16371579</v>
      </c>
      <c r="FF16" s="138">
        <f>FE16*VLOOKUP('Données projet'!$B$16,'Paramètres'!$A$1:$I$89,3,0)*VLOOKUP('Données projet'!$B$16,'Paramètres'!$A$1:$I$89,5,0)</f>
        <v>54.43613005</v>
      </c>
      <c r="FG16" s="130">
        <f t="shared" si="48"/>
        <v>15.75368048</v>
      </c>
      <c r="FH16" s="141">
        <f t="shared" si="23"/>
        <v>122.2472533</v>
      </c>
      <c r="FI16" s="133">
        <f t="shared" si="24"/>
        <v>415.5805867</v>
      </c>
      <c r="FJ16" s="133">
        <f>AVERAGE(OFFSET($FI$3,0,0,'Données projet'!$E$16+1,1))-AVERAGE(OFFSET($H$3,0,0,'Données projet'!$E$16+1,1))</f>
        <v>305.6252353</v>
      </c>
      <c r="FK16" s="133">
        <f t="shared" si="49"/>
        <v>331.397916</v>
      </c>
      <c r="FL16" s="134">
        <f>IF(ISNA(VLOOKUP(A16,'Données projet'!$A$217:$I$237,3,0)),0,VLOOKUP(A16,'Données projet'!$A$217:$I$237,3,0))</f>
        <v>0</v>
      </c>
      <c r="FM16" s="134">
        <f>IF(ISNA(VLOOKUP(A16,'Données projet'!$A$217:$I$237,4,0)),0,VLOOKUP(A16,'Données projet'!$A$217:$I$237,4,0))</f>
        <v>0</v>
      </c>
      <c r="FN16" s="135">
        <f>IF(ISNA(VLOOKUP(A16,'Données projet'!$A$217:$I$237,5,0)),0%,VLOOKUP(A16,'Données projet'!$A$217:$I$237,5,0)*VLOOKUP('Données projet'!$B$16,'Paramètres'!$A$1:$I$89,7,0))</f>
        <v>0</v>
      </c>
      <c r="FO16" s="135">
        <f>IF(ISNA(VLOOKUP(A16,'Données projet'!$A$217:$I$237,6,0)),0%,VLOOKUP(A16,'Données projet'!$A$217:$I$237,6,0)*VLOOKUP('Données projet'!$B$16,'Paramètres'!$A$1:$I$89,7,0))</f>
        <v>0</v>
      </c>
      <c r="FP16" s="135">
        <f>IF(ISNA(VLOOKUP(A16,'Données projet'!$A$217:$I$237,7,0)),0%,VLOOKUP(A16,'Données projet'!$A$217:$I$237,7,0))</f>
        <v>0</v>
      </c>
      <c r="FQ16" s="142">
        <f>EXP(-LN(2)/35)*FQ15+(1-EXP(-LN(2)/35))/(LN(2)/35)*FM16*FN16*VLOOKUP('Données projet'!$B$16,'Paramètres'!$A$1:$I$89,3,0)*0.475*44/12</f>
        <v>0</v>
      </c>
      <c r="FR16" s="142">
        <f>EXP(-LN(2)/25)*FR15+(1-EXP(-LN(2)/25))/(LN(2)/25)*Calculateur!FM16*Calculateur!FO16*VLOOKUP('Données projet'!$B$16,'Paramètres'!$A$1:$I$89,3,0)*0.475*44/12</f>
        <v>0</v>
      </c>
      <c r="FS16" s="142">
        <f>EXP(-LN(2)/2)*FS15+(1-EXP(-LN(2)/2))/(LN(2)/2)*FM16*FP16*VLOOKUP('Données projet'!$B$16,'Paramètres'!$A$1:$I$89,3,0)*0.475*44/12</f>
        <v>0</v>
      </c>
      <c r="FT16" s="143">
        <f t="shared" si="25"/>
        <v>0</v>
      </c>
      <c r="FU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1" t="str">
        <f>VLOOKUP(A16,'Données projet'!$A$243:$I$263,2,0)</f>
        <v>#N/A</v>
      </c>
      <c r="FX16" s="131" t="str">
        <f>VLOOKUP(A16,'Données projet'!$A$243:$I$263,9,0)</f>
        <v>#N/A</v>
      </c>
      <c r="FY16" s="130">
        <f t="array" ref="FY16">INDEX(FX:FX,MIN(IF(ISNUMBER(FX16:FX212),ROW(FX16:FX212),"")))</f>
        <v>1.6</v>
      </c>
      <c r="FZ16" s="131">
        <f>IF('Données projet'!$A$244&gt;35,FZ15+FY16-GH15,IF(A16&lt;'Données projet'!$A$244,$FW$205^A16,IF(A16='Données projet'!$A$244,'Données projet'!$B$244,FZ15+FY16-GH15)))</f>
        <v>9.51365692</v>
      </c>
      <c r="GA16" s="138">
        <f>FZ16*VLOOKUP('Données projet'!$B$17,'Paramètres'!$A$1:$I$89,3,0)*VLOOKUP('Données projet'!$B$17,'Paramètres'!$A$1:$I$89,5,0)</f>
        <v>6.381761062</v>
      </c>
      <c r="GB16" s="130">
        <f t="shared" si="50"/>
        <v>2.370268396</v>
      </c>
      <c r="GC16" s="141">
        <f t="shared" si="26"/>
        <v>15.24311797</v>
      </c>
      <c r="GD16" s="133">
        <f t="shared" si="27"/>
        <v>308.5764513</v>
      </c>
      <c r="GE16" s="133">
        <f>AVERAGE(OFFSET($GD$3,0,0,'Données projet'!$E$17+1,1))-AVERAGE(OFFSET($H$3,0,0,'Données projet'!$E$17+1,1))</f>
        <v>118.7368745</v>
      </c>
      <c r="GF16" s="133">
        <f t="shared" si="51"/>
        <v>135.1233677</v>
      </c>
      <c r="GG16" s="134">
        <f>IF(ISNA(VLOOKUP(A16,'Données projet'!$A$243:$I$263,3,0)),0,VLOOKUP(A16,'Données projet'!$A$243:$I$263,3,0))</f>
        <v>0</v>
      </c>
      <c r="GH16" s="134">
        <f>IF(ISNA(VLOOKUP(A16,'Données projet'!$A$243:$I$263,4,0)),0,VLOOKUP(A16,'Données projet'!$A$243:$I$263,4,0))</f>
        <v>0</v>
      </c>
      <c r="GI16" s="135">
        <f>IF(ISNA(VLOOKUP(A16,'Données projet'!$A$243:$I$263,5,0)),0%,VLOOKUP(A16,'Données projet'!$A$243:$I$263,5,0)*VLOOKUP('Données projet'!$B$17,'Paramètres'!$A$1:$I$89,7,0))</f>
        <v>0</v>
      </c>
      <c r="GJ16" s="135">
        <f>IF(ISNA(VLOOKUP(A16,'Données projet'!$A$243:$I$263,6,0)),0%,VLOOKUP(A16,'Données projet'!$A$243:$I$263,6,0)*VLOOKUP('Données projet'!$B$17,'Paramètres'!$A$1:$I$89,7,0))</f>
        <v>0</v>
      </c>
      <c r="GK16" s="135">
        <f>IF(ISNA(VLOOKUP(A16,'Données projet'!$A$243:$I$263,7,0)),0%,VLOOKUP(A16,'Données projet'!$A$243:$I$263,7,0))</f>
        <v>0</v>
      </c>
      <c r="GL16" s="142">
        <f>EXP(-LN(2)/35)*GL15+(1-EXP(-LN(2)/35))/(LN(2)/35)*GH16*GI16*VLOOKUP('Données projet'!$B$17,'Paramètres'!$A$1:$I$89,3,0)*0.475*44/12</f>
        <v>0</v>
      </c>
      <c r="GM16" s="142">
        <f>EXP(-LN(2)/25)*GM15+(1-EXP(-LN(2)/25))/(LN(2)/25)*Calculateur!GH16*Calculateur!GJ16*VLOOKUP('Données projet'!$B$17,'Paramètres'!$A$1:$I$89,3,0)*0.475*44/12</f>
        <v>0</v>
      </c>
      <c r="GN16" s="142">
        <f>EXP(-LN(2)/2)*GN15+(1-EXP(-LN(2)/2))/(LN(2)/2)*GH16*GK16*VLOOKUP('Données projet'!$B$17,'Paramètres'!$A$1:$I$89,3,0)*0.475*44/12</f>
        <v>0</v>
      </c>
      <c r="GO16" s="142">
        <f t="shared" si="28"/>
        <v>0</v>
      </c>
      <c r="GP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1" t="str">
        <f>VLOOKUP(A16,'Données projet'!$A$269:$I$289,2,0)</f>
        <v>#N/A</v>
      </c>
      <c r="GS16" s="131" t="str">
        <f>VLOOKUP(A16,'Données projet'!$A$269:$I$289,9,0)</f>
        <v>#N/A</v>
      </c>
      <c r="GT16" s="130">
        <f t="array" ref="GT16">INDEX(GS:GS,MIN(IF(ISNUMBER(GS16:GS212),ROW(GS16:GS212),"")))</f>
        <v>1.2</v>
      </c>
      <c r="GU16" s="131">
        <f>IF('Données projet'!$A$270&gt;35,GU15+GT16-HC15,IF(A16&lt;'Données projet'!$A$270,$GR$205^A16,IF(A16='Données projet'!$A$270,'Données projet'!$B$270,GU15+GT16-HC15)))</f>
        <v>5.86277264</v>
      </c>
      <c r="GV16" s="138">
        <f>GU16*VLOOKUP('Données projet'!$B$18,'Paramètres'!$A$1:$I$89,3,0)*VLOOKUP('Données projet'!$B$18,'Paramètres'!$A$1:$I$89,5,0)</f>
        <v>6.31068847</v>
      </c>
      <c r="GW16" s="130">
        <f t="shared" si="52"/>
        <v>2.34692858</v>
      </c>
      <c r="GX16" s="141">
        <f t="shared" si="29"/>
        <v>15.07868303</v>
      </c>
      <c r="GY16" s="133">
        <f t="shared" si="30"/>
        <v>308.4120164</v>
      </c>
      <c r="GZ16" s="133">
        <f>AVERAGE(OFFSET($GY$3,0,0,'Données projet'!$E$18+1,1))-AVERAGE(OFFSET($H$3,0,0,'Données projet'!$E$18+1,1))</f>
        <v>100.5427875</v>
      </c>
      <c r="HA16" s="133">
        <f t="shared" si="53"/>
        <v>92.28663609</v>
      </c>
      <c r="HB16" s="134">
        <f>IF(ISNA(VLOOKUP(A16,'Données projet'!$A$269:$I$289,3,0)),0,VLOOKUP(A16,'Données projet'!$A$269:$I$289,3,0))</f>
        <v>0</v>
      </c>
      <c r="HC16" s="134">
        <f>IF(ISNA(VLOOKUP(A16,'Données projet'!$A$269:$I$289,4,0)),0,VLOOKUP(A16,'Données projet'!$A$269:$I$289,4,0))</f>
        <v>0</v>
      </c>
      <c r="HD16" s="135">
        <f>IF(ISNA(VLOOKUP(A16,'Données projet'!$A$269:$I$289,5,0)),0%,VLOOKUP(A16,'Données projet'!$A$269:$I$289,5,0)*VLOOKUP('Données projet'!$B$18,'Paramètres'!$A$1:$I$89,7,0))</f>
        <v>0</v>
      </c>
      <c r="HE16" s="135">
        <f>IF(ISNA(VLOOKUP(A16,'Données projet'!$A$269:$I$289,6,0)),0%,VLOOKUP(A16,'Données projet'!$A$269:$I$289,6,0)*VLOOKUP('Données projet'!$B$18,'Paramètres'!$A$1:$I$89,7,0))</f>
        <v>0</v>
      </c>
      <c r="HF16" s="135">
        <f>IF(ISNA(VLOOKUP(A16,'Données projet'!$A$269:$I$289,7,0)),0%,VLOOKUP(A16,'Données projet'!$A$269:$I$289,7,0))</f>
        <v>0</v>
      </c>
      <c r="HG16" s="142">
        <f>EXP(-LN(2)/35)*HG15+(1-EXP(-LN(2)/35))/(LN(2)/35)*HC16*HD16*VLOOKUP('Données projet'!$B$18,'Paramètres'!$A$1:$I$89,3,0)*0.475*44/12</f>
        <v>0</v>
      </c>
      <c r="HH16" s="142">
        <f>EXP(-LN(2)/25)*HH15+(1-EXP(-LN(2)/25))/(LN(2)/25)*Calculateur!HC16*Calculateur!HE16*VLOOKUP('Données projet'!$B$18,'Paramètres'!$A$1:$I$89,3,0)*0.475*44/12</f>
        <v>0</v>
      </c>
      <c r="HI16" s="142">
        <f>EXP(-LN(2)/2)*HI15+(1-EXP(-LN(2)/2))/(LN(2)/2)*HC16*HF16*VLOOKUP('Données projet'!$B$18,'Paramètres'!$A$1:$I$89,3,0)*0.475*44/12</f>
        <v>0</v>
      </c>
      <c r="HJ16" s="143">
        <f t="shared" si="31"/>
        <v>0</v>
      </c>
    </row>
    <row r="17">
      <c r="A17" s="125">
        <f t="shared" si="32"/>
        <v>14</v>
      </c>
      <c r="B17" s="126">
        <f>'Scénario référence'!$B$16*5+'Scénario référence'!$B$17*0+'Scénario référence'!$B$18*5</f>
        <v>0</v>
      </c>
      <c r="C17" s="140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7.644</v>
      </c>
      <c r="D17" s="127">
        <f t="shared" si="33"/>
        <v>2.780060302</v>
      </c>
      <c r="E1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7">
        <f>IF(OR('Scénario référence'!$F$8&gt;0,'Scénario référence'!$F$9&gt;0),('Scénario référence'!$F$8+'Scénario référence'!$F$9)*10,0)</f>
        <v>10</v>
      </c>
      <c r="G17" s="127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</v>
      </c>
      <c r="H17" s="128">
        <f t="shared" si="1"/>
        <v>311.4885717</v>
      </c>
      <c r="I17" s="12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1" t="str">
        <f>VLOOKUP(A17,'Données projet'!$A$35:$I$55,2,0)</f>
        <v>#N/A</v>
      </c>
      <c r="L17" s="131" t="str">
        <f>VLOOKUP(A17,'Données projet'!$A$35:$I$55,9,0)</f>
        <v>#N/A</v>
      </c>
      <c r="M17" s="131">
        <f t="array" ref="M17">INDEX(L:L,MIN(IF(ISNUMBER(L17:L213),ROW(L17:L213),"")))</f>
        <v>3.92</v>
      </c>
      <c r="N17" s="130">
        <f>IF('Données projet'!$A$36&gt;35,N16+M17-V16,IF(A17&lt;'Données projet'!$A$36,$K$205^A17,IF(A17='Données projet'!$A$36,'Données projet'!$B$36,N16+M17-V16)))</f>
        <v>13.03426668</v>
      </c>
      <c r="O17" s="130">
        <f>N17*VLOOKUP('Données projet'!$B$9,'Paramètres'!$A$1:$I$89,3,0)*VLOOKUP('Données projet'!$B$9,'Paramètres'!$A$1:$I$89,5,0)</f>
        <v>7.455600541</v>
      </c>
      <c r="P17" s="130">
        <f t="shared" si="34"/>
        <v>2.719428958</v>
      </c>
      <c r="Q17" s="141">
        <f t="shared" si="2"/>
        <v>17.72150971</v>
      </c>
      <c r="R17" s="133">
        <f t="shared" si="3"/>
        <v>311.054843</v>
      </c>
      <c r="S17" s="133">
        <f>AVERAGE(OFFSET($R$3,0,0,'Données projet'!$E$9+1,1))-AVERAGE(OFFSET($H$3,0,0,'Données projet'!$E$9+1,1))</f>
        <v>126.9946492</v>
      </c>
      <c r="T17" s="133">
        <f t="shared" si="35"/>
        <v>140.039049</v>
      </c>
      <c r="U17" s="134">
        <f>IF(ISNA(VLOOKUP(A17,'Données projet'!$A$35:$I$55,3,0)),0,VLOOKUP(A17,'Données projet'!$A$35:$I$55,3,0))</f>
        <v>0</v>
      </c>
      <c r="V17" s="134">
        <f>IF(ISNA(VLOOKUP(A17,'Données projet'!$A$35:$I$55,4,0)),0,VLOOKUP(A17,'Données projet'!$A$35:$I$55,4,0))</f>
        <v>0</v>
      </c>
      <c r="W17" s="135">
        <f>IF(ISNA(VLOOKUP(A17,'Données projet'!$A$35:$I$55,5,0)),0%,VLOOKUP(A17,'Données projet'!$A$35:$I$55,5,0)*VLOOKUP('Données projet'!$B$9,'Paramètres'!$A$1:$I$89,7,0))</f>
        <v>0</v>
      </c>
      <c r="X17" s="135">
        <f>IF(ISNA(VLOOKUP(A17,'Données projet'!$A$35:$I$55,6,0)),0%,VLOOKUP(A17,'Données projet'!$A$35:$I$55,6,0)*VLOOKUP('Données projet'!$B$9,'Paramètres'!$A$1:$I$89,7,0))</f>
        <v>0</v>
      </c>
      <c r="Y17" s="135">
        <f>IF(ISNA(VLOOKUP(A17,'Données projet'!$A$35:$I$55,7,0)),0%,VLOOKUP(A17,'Données projet'!$A$35:$I$55,7,0))</f>
        <v>0</v>
      </c>
      <c r="Z17" s="142">
        <f>EXP(-LN(2)/35)*Z16+(1-EXP(-LN(2)/35))/(LN(2)/35)*V17*W17*VLOOKUP('Données projet'!$B$9,'Paramètres'!$A$1:$I$89,3,0)*0.475*44/12</f>
        <v>0</v>
      </c>
      <c r="AA17" s="142">
        <f>EXP(-LN(2)/25)*AA16+(1-EXP(-LN(2)/25))/(LN(2)/25)*Calculateur!V17*Calculateur!X17*VLOOKUP('Données projet'!$B$9,'Paramètres'!$A$1:$I$89,3,0)*0.475*44/12</f>
        <v>0</v>
      </c>
      <c r="AB17" s="142">
        <f>EXP(-LN(2)/2)*AB16+(1-EXP(-LN(2)/2))/(LN(2)/2)*V17*Y17*VLOOKUP('Données projet'!$B$9,'Paramètres'!$A$1:$I$89,3,0)*0.475*44/12</f>
        <v>0</v>
      </c>
      <c r="AC17" s="143">
        <f t="shared" si="4"/>
        <v>0</v>
      </c>
      <c r="AD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0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1" t="str">
        <f>VLOOKUP(A17,'Données projet'!$A$61:$I$81,2,0)</f>
        <v>#N/A</v>
      </c>
      <c r="AG17" s="131" t="str">
        <f>VLOOKUP(A17,'Données projet'!$A$61:$I$81,9,0)</f>
        <v>#N/A</v>
      </c>
      <c r="AH17" s="130">
        <f t="array" ref="AH17">INDEX(AG:AG,MIN(IF(ISNUMBER(AG17:AG213),ROW(AG17:AG213),"")))</f>
        <v>5.590909091</v>
      </c>
      <c r="AI17" s="130">
        <f>IF('Données projet'!$A$62&gt;35,AI16+AH17-AQ16,IF(A17&lt;'Données projet'!$A$62,$AF$205^A17,IF(A17='Données projet'!$A$62,'Données projet'!$B$62,AI16+AH17-AQ16)))</f>
        <v>21.37664851</v>
      </c>
      <c r="AJ17" s="130">
        <f>AI17*VLOOKUP('Données projet'!$B$10,'Paramètres'!$A$1:$I$89,3,0)*VLOOKUP('Données projet'!$B$10,'Paramètres'!$A$1:$I$89,5,0)</f>
        <v>12.78323581</v>
      </c>
      <c r="AK17" s="130">
        <f t="shared" si="36"/>
        <v>4.379049718</v>
      </c>
      <c r="AL17" s="141">
        <f t="shared" si="5"/>
        <v>29.89098063</v>
      </c>
      <c r="AM17" s="133">
        <f t="shared" si="6"/>
        <v>323.224314</v>
      </c>
      <c r="AN17" s="133">
        <f>AVERAGE(OFFSET($AM$3,0,0,'Données projet'!$E$10+1,1))-AVERAGE(OFFSET($H$3,0,0,'Données projet'!$E$10+1,1))</f>
        <v>196.874484</v>
      </c>
      <c r="AO17" s="133">
        <f t="shared" si="37"/>
        <v>217.5750859</v>
      </c>
      <c r="AP17" s="134">
        <f>IF(ISNA(VLOOKUP(A17,'Données projet'!$A$61:$I$81,3,0)),0,VLOOKUP(A17,'Données projet'!$A$61:$I$81,3,0))</f>
        <v>0</v>
      </c>
      <c r="AQ17" s="134">
        <f>IF(ISNA(VLOOKUP(A17,'Données projet'!$A$61:$I$81,4,0)),0,VLOOKUP(A17,'Données projet'!$A$61:$I$81,4,0))</f>
        <v>0</v>
      </c>
      <c r="AR17" s="135">
        <f>IF(ISNA(VLOOKUP(A17,'Données projet'!$A$61:$I$81,5,0)),0%,VLOOKUP(A17,'Données projet'!$A$61:$I$81,5,0)*VLOOKUP('Données projet'!$B$10,'Paramètres'!$A$1:$I$89,7,0))</f>
        <v>0</v>
      </c>
      <c r="AS17" s="135">
        <f>IF(ISNA(VLOOKUP(A17,'Données projet'!$A$61:$I$81,6,0)),0%,VLOOKUP(A17,'Données projet'!$A$61:$I$81,6,0)*VLOOKUP('Données projet'!$B$10,'Paramètres'!$A$1:$I$89,7,0))</f>
        <v>0</v>
      </c>
      <c r="AT17" s="135">
        <f>IF(ISNA(VLOOKUP(A17,'Données projet'!$A$61:$I$81,7,0)),0%,VLOOKUP(A17,'Données projet'!$A$61:$I$81,7,0))</f>
        <v>0</v>
      </c>
      <c r="AU17" s="142">
        <f>EXP(-LN(2)/35)*AU16+(1-EXP(-LN(2)/35))/(LN(2)/35)*AQ17*AR17*VLOOKUP('Données projet'!$B$10,'Paramètres'!$A$1:$I$89,3,0)*0.475*44/12</f>
        <v>0</v>
      </c>
      <c r="AV17" s="142">
        <f>EXP(-LN(2)/25)*AV16+(1-EXP(-LN(2)/25))/(LN(2)/25)*Calculateur!AQ17*Calculateur!AS17*VLOOKUP('Données projet'!$B$10,'Paramètres'!$A$1:$I$89,3,0)*0.475*44/12</f>
        <v>0</v>
      </c>
      <c r="AW17" s="142">
        <f>EXP(-LN(2)/2)*AW16+(1-EXP(-LN(2)/2))/(LN(2)/2)*AQ17*AT17*VLOOKUP('Données projet'!$B$10,'Paramètres'!$A$1:$I$89,3,0)*0.475*44/12</f>
        <v>0</v>
      </c>
      <c r="AX17" s="142">
        <f t="shared" si="7"/>
        <v>0</v>
      </c>
      <c r="AY17" s="13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1" t="str">
        <f>VLOOKUP(A17,'Données projet'!$A$87:$I$107,2,0)</f>
        <v>#N/A</v>
      </c>
      <c r="BB17" s="131" t="str">
        <f>VLOOKUP(A17,'Données projet'!$A$87:$I$107,9,0)</f>
        <v>#N/A</v>
      </c>
      <c r="BC17" s="130">
        <f t="array" ref="BC17">INDEX(BB:BB,MIN(IF(ISNUMBER(BB17:BB213),ROW(BB17:BB213),"")))</f>
        <v>4.666666667</v>
      </c>
      <c r="BD17" s="131">
        <f>IF('Données projet'!$A$88&gt;35,BD16+BC17-BL16,IF(A17&lt;'Données projet'!$A$88,$BA$205^A17,IF(A17='Données projet'!$A$88,'Données projet'!$B$88,BD16+BC17-BL16)))</f>
        <v>10.03520888</v>
      </c>
      <c r="BE17" s="130">
        <f>BD17*VLOOKUP('Données projet'!$B$11,'Paramètres'!$A$1:$I$89,3,0)*VLOOKUP('Données projet'!$B$11,'Paramètres'!$A$1:$I$89,5,0)</f>
        <v>4.696477756</v>
      </c>
      <c r="BF17" s="130">
        <f t="shared" si="38"/>
        <v>1.807715336</v>
      </c>
      <c r="BG17" s="141">
        <f t="shared" si="8"/>
        <v>11.3281363</v>
      </c>
      <c r="BH17" s="133">
        <f t="shared" si="9"/>
        <v>304.6614696</v>
      </c>
      <c r="BI17" s="133">
        <f>AVERAGE(OFFSET($BH$3,0,0,'Données projet'!$E$11+1,1))-AVERAGE(OFFSET($H$3,0,0,'Données projet'!$E$11+1,1))</f>
        <v>134.0948534</v>
      </c>
      <c r="BJ17" s="133">
        <f t="shared" si="39"/>
        <v>108.4102536</v>
      </c>
      <c r="BK17" s="134">
        <f>IF(ISNA(VLOOKUP(A17,'Données projet'!$A$87:$I$107,3,0)),0,VLOOKUP(A17,'Données projet'!$A$87:$I$107,3,0))</f>
        <v>0</v>
      </c>
      <c r="BL17" s="134">
        <f>IF(ISNA(VLOOKUP(A17,'Données projet'!$A$87:$I$107,4,0)),0,VLOOKUP(A17,'Données projet'!$A$87:$I$107,4,0))</f>
        <v>0</v>
      </c>
      <c r="BM17" s="135">
        <f>IF(ISNA(VLOOKUP(A17,'Données projet'!$A$87:$I$107,5,0)),0%,VLOOKUP(A17,'Données projet'!$A$87:$I$107,5,0)*VLOOKUP('Données projet'!$B$11,'Paramètres'!$A$1:$I$89,7,0))</f>
        <v>0</v>
      </c>
      <c r="BN17" s="135">
        <f>IF(ISNA(VLOOKUP(A17,'Données projet'!$A$87:$I$107,6,0)),0%,VLOOKUP(A17,'Données projet'!$A$87:$I$107,6,0)*VLOOKUP('Données projet'!$B$11,'Paramètres'!$A$1:$I$89,7,0))</f>
        <v>0</v>
      </c>
      <c r="BO17" s="135">
        <f>IF(ISNA(VLOOKUP(A17,'Données projet'!$A$87:$I$107,7,0)),0%,VLOOKUP(A17,'Données projet'!$A$87:$I$107,7,0))</f>
        <v>0</v>
      </c>
      <c r="BP17" s="142">
        <f>EXP(-LN(2)/35)*BP16+(1-EXP(-LN(2)/35))/(LN(2)/35)*BL17*BM17*VLOOKUP('Données projet'!$B$11,'Paramètres'!$A$1:$I$89,3,0)*0.475*44/12</f>
        <v>0</v>
      </c>
      <c r="BQ17" s="142">
        <f>EXP(-LN(2)/25)*BQ16+(1-EXP(-LN(2)/25))/(LN(2)/25)*Calculateur!BL17*Calculateur!BN17*VLOOKUP('Données projet'!$B$11,'Paramètres'!$A$1:$I$89,3,0)*0.475*44/12</f>
        <v>0</v>
      </c>
      <c r="BR17" s="142">
        <f>EXP(-LN(2)/2)*BR16+(1-EXP(-LN(2)/2))/(LN(2)/2)*BL17*BO17*VLOOKUP('Données projet'!$B$11,'Paramètres'!$A$1:$I$89,3,0)*0.475*44/12</f>
        <v>0</v>
      </c>
      <c r="BS17" s="143">
        <f t="shared" si="10"/>
        <v>0</v>
      </c>
      <c r="BT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1" t="str">
        <f>VLOOKUP(A17,'Données projet'!$A$113:$I$133,2,0)</f>
        <v>#N/A</v>
      </c>
      <c r="BW17" s="131" t="str">
        <f>VLOOKUP(A17,'Données projet'!$A$113:$I$133,9,0)</f>
        <v>#N/A</v>
      </c>
      <c r="BX17" s="130">
        <f t="array" ref="BX17">INDEX(BW:BW,MIN(IF(ISNUMBER(BW17:BW213),ROW(BW17:BW213),"")))</f>
        <v>1.866666667</v>
      </c>
      <c r="BY17" s="131">
        <f>IF('Données projet'!$A$114&gt;35,BY16+BX17-CG16,IF(A17&lt;'Données projet'!$A$114,$BV$205^A17,IF(A17='Données projet'!$A$114,'Données projet'!$B$114,BY16+BX17-CG16)))</f>
        <v>22.42233461</v>
      </c>
      <c r="BZ17" s="130">
        <f>BY17*VLOOKUP('Données projet'!$B$12,'Paramètres'!$A$1:$I$89,3,0)*VLOOKUP('Données projet'!$B$12,'Paramètres'!$A$1:$I$89,5,0)</f>
        <v>11.0766333</v>
      </c>
      <c r="CA17" s="130">
        <f t="shared" si="40"/>
        <v>3.858253667</v>
      </c>
      <c r="CB17" s="141">
        <f t="shared" si="11"/>
        <v>26.0115948</v>
      </c>
      <c r="CC17" s="133">
        <f t="shared" si="12"/>
        <v>319.3449281</v>
      </c>
      <c r="CD17" s="133">
        <f>AVERAGE(OFFSET($CC$3,0,0,'Données projet'!$E$12+1,1))-AVERAGE(OFFSET($H$3,0,0,'Données projet'!$E$12+1,1))</f>
        <v>258.1672054</v>
      </c>
      <c r="CE17" s="133">
        <f t="shared" si="41"/>
        <v>296.0724261</v>
      </c>
      <c r="CF17" s="134">
        <f>IF(ISNA(VLOOKUP(A17,'Données projet'!$A$113:$I$133,3,0)),0,VLOOKUP(A17,'Données projet'!$A$113:$I$133,3,0))</f>
        <v>0</v>
      </c>
      <c r="CG17" s="134">
        <f>IF(ISNA(VLOOKUP(A17,'Données projet'!$A$113:$I$133,4,0)),0,VLOOKUP(A17,'Données projet'!$A$113:$I$133,4,0))</f>
        <v>0</v>
      </c>
      <c r="CH17" s="135">
        <f>IF(ISNA(VLOOKUP(A17,'Données projet'!$A$113:$I$133,5,0)),0%,VLOOKUP(A17,'Données projet'!$A$113:$I$133,5,0)*VLOOKUP('Données projet'!$B$12,'Paramètres'!$A$1:$I$89,7,0))</f>
        <v>0</v>
      </c>
      <c r="CI17" s="135">
        <f>IF(ISNA(VLOOKUP(A17,'Données projet'!$A$113:$I$133,6,0)),0%,VLOOKUP(A17,'Données projet'!$A$113:$I$133,6,0)*VLOOKUP('Données projet'!$B$12,'Paramètres'!$A$1:$I$89,7,0))</f>
        <v>0</v>
      </c>
      <c r="CJ17" s="135">
        <f>IF(ISNA(VLOOKUP(A17,'Données projet'!$A$113:$I$133,7,0)),0%,VLOOKUP(A17,'Données projet'!$A$113:$I$133,7,0))</f>
        <v>0</v>
      </c>
      <c r="CK17" s="142">
        <f>EXP(-LN(2)/35)*CK16+(1-EXP(-LN(2)/35))/(LN(2)/35)*CG17*CH17*VLOOKUP('Données projet'!$B$12,'Paramètres'!$A$1:$I$89,3,0)*0.475*44/12</f>
        <v>0</v>
      </c>
      <c r="CL17" s="142">
        <f>EXP(-LN(2)/25)*CL16+(1-EXP(-LN(2)/25))/(LN(2)/25)*Calculateur!CG17*Calculateur!CI17*VLOOKUP('Données projet'!$B$12,'Paramètres'!$A$1:$I$89,3,0)*0.475*44/12</f>
        <v>0</v>
      </c>
      <c r="CM17" s="142">
        <f>EXP(-LN(2)/2)*CM16+(1-EXP(-LN(2)/2))/(LN(2)/2)*CG17*CJ17*VLOOKUP('Données projet'!$B$12,'Paramètres'!$A$1:$I$89,3,0)*0.475*44/12</f>
        <v>0</v>
      </c>
      <c r="CN17" s="143">
        <f t="shared" si="13"/>
        <v>0</v>
      </c>
      <c r="CO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1" t="str">
        <f>VLOOKUP(A17,'Données projet'!$A$139:$I$159,2,0)</f>
        <v>#N/A</v>
      </c>
      <c r="CR17" s="131" t="str">
        <f>VLOOKUP(A17,'Données projet'!$A$139:$I$159,9,0)</f>
        <v>#N/A</v>
      </c>
      <c r="CS17" s="130">
        <f t="array" ref="CS17">INDEX(CR:CR,MIN(IF(ISNUMBER(CR17:CR213),ROW(CR17:CR213),"")))</f>
        <v>1.2</v>
      </c>
      <c r="CT17" s="131">
        <f>IF('Données projet'!$A$140&gt;35,CT16+CS17-DB16,IF(A17&lt;'Données projet'!$A$140,$CQ$205^A17,IF(A17='Données projet'!$A$140,'Données projet'!$B$140,CT16+CS17-DB16)))</f>
        <v>6.717194174</v>
      </c>
      <c r="CU17" s="138">
        <f>CT17*VLOOKUP('Données projet'!$B$13,'Paramètres'!$A$1:$I$89,3,0)*VLOOKUP('Données projet'!$B$13,'Paramètres'!$A$1:$I$89,5,0)</f>
        <v>6.811234893</v>
      </c>
      <c r="CV17" s="130">
        <f t="shared" si="42"/>
        <v>2.510674622</v>
      </c>
      <c r="CW17" s="141">
        <f t="shared" si="14"/>
        <v>16.23565907</v>
      </c>
      <c r="CX17" s="133">
        <f t="shared" si="15"/>
        <v>309.5689924</v>
      </c>
      <c r="CY17" s="133">
        <f>AVERAGE(OFFSET($CX$3,0,0,'Données projet'!$E$13+1,1))-AVERAGE(OFFSET($H$3,0,0,'Données projet'!$E$13+1,1))</f>
        <v>223.783507</v>
      </c>
      <c r="CZ17" s="133">
        <f t="shared" si="43"/>
        <v>84.92349117</v>
      </c>
      <c r="DA17" s="134">
        <f>IF(ISNA(VLOOKUP(A17,'Données projet'!$A$139:$I$159,3,0)),0,VLOOKUP(A17,'Données projet'!$A$139:$I$159,3,0))</f>
        <v>0</v>
      </c>
      <c r="DB17" s="134">
        <f>IF(ISNA(VLOOKUP(A17,'Données projet'!$A$139:$I$159,4,0)),0,VLOOKUP(A17,'Données projet'!$A$139:$I$159,4,0))</f>
        <v>0</v>
      </c>
      <c r="DC17" s="135">
        <f>IF(ISNA(VLOOKUP(A17,'Données projet'!$A$139:$I$159,5,0)),0%,VLOOKUP(A17,'Données projet'!$A$139:$I$159,5,0)*VLOOKUP('Données projet'!$B$13,'Paramètres'!$A$1:$I$89,7,0))</f>
        <v>0</v>
      </c>
      <c r="DD17" s="135">
        <f>IF(ISNA(VLOOKUP(A17,'Données projet'!$A$139:$I$159,6,0)),0%,VLOOKUP(A17,'Données projet'!$A$139:$I$159,6,0)*VLOOKUP('Données projet'!$B$13,'Paramètres'!$A$1:$I$89,7,0))</f>
        <v>0</v>
      </c>
      <c r="DE17" s="135">
        <f>IF(ISNA(VLOOKUP(A17,'Données projet'!$A$139:$I$159,7,0)),0%,VLOOKUP(A17,'Données projet'!$A$139:$I$159,7,0))</f>
        <v>0</v>
      </c>
      <c r="DF17" s="142">
        <f>EXP(-LN(2)/35)*DF16+(1-EXP(-LN(2)/35))/(LN(2)/35)*DB17*DC17*VLOOKUP('Données projet'!$B$13,'Paramètres'!$A$1:$I$89,3,0)*0.475*44/12</f>
        <v>0</v>
      </c>
      <c r="DG17" s="142">
        <f>EXP(-LN(2)/25)*DG16+(1-EXP(-LN(2)/25))/(LN(2)/25)*Calculateur!DB17*Calculateur!DD17*VLOOKUP('Données projet'!$B$13,'Paramètres'!$A$1:$I$89,3,0)*0.475*44/12</f>
        <v>0</v>
      </c>
      <c r="DH17" s="142">
        <f>EXP(-LN(2)/2)*DH16+(1-EXP(-LN(2)/2))/(LN(2)/2)*DB17*DE17*VLOOKUP('Données projet'!$B$13,'Paramètres'!$A$1:$I$89,3,0)*0.475*44/12</f>
        <v>0</v>
      </c>
      <c r="DI17" s="143">
        <f t="shared" si="16"/>
        <v>0</v>
      </c>
      <c r="DJ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1" t="str">
        <f>VLOOKUP(A17,'Données projet'!$A$165:$I$185,2,0)</f>
        <v>#N/A</v>
      </c>
      <c r="DM17" s="131" t="str">
        <f>VLOOKUP(A17,'Données projet'!$A$165:$I$185,9,0)</f>
        <v>#N/A</v>
      </c>
      <c r="DN17" s="131">
        <f t="array" ref="DN17">INDEX(DM:DM,MIN(IF(ISNUMBER(DM17:DM213),ROW(DM17:DM213),"")))</f>
        <v>2.1</v>
      </c>
      <c r="DO17" s="131">
        <f>IF('Données projet'!$A$166&gt;35,DO16+DN17-DW16,IF(A17&lt;'Données projet'!$A$166,$DL$205^A17,IF(A17='Données projet'!$A$166,'Données projet'!$B$166,DO16+DN17-DW16)))</f>
        <v>13.68593595</v>
      </c>
      <c r="DP17" s="138">
        <f>DO17*VLOOKUP('Données projet'!$B$14,'Paramètres'!$A$1:$I$89,3,0)*VLOOKUP('Données projet'!$B$14,'Paramètres'!$A$1:$I$89,5,0)</f>
        <v>12.38303485</v>
      </c>
      <c r="DQ17" s="130">
        <f t="shared" si="44"/>
        <v>4.257690477</v>
      </c>
      <c r="DR17" s="141">
        <f t="shared" si="17"/>
        <v>28.98259661</v>
      </c>
      <c r="DS17" s="133">
        <f t="shared" si="18"/>
        <v>322.3159299</v>
      </c>
      <c r="DT17" s="133">
        <f>AVERAGE(OFFSET($DS$3,0,0,'Données projet'!$E$14+1,1))-AVERAGE(OFFSET($H$3,0,0,'Données projet'!$E$14+1,1))</f>
        <v>287.9334714</v>
      </c>
      <c r="DU17" s="133">
        <f t="shared" si="45"/>
        <v>156.6796502</v>
      </c>
      <c r="DV17" s="134">
        <f>IF(ISNA(VLOOKUP(A17,'Données projet'!$A$165:$I$185,3,0)),0,VLOOKUP(A17,'Données projet'!$A$165:$I$185,3,0))</f>
        <v>0</v>
      </c>
      <c r="DW17" s="134">
        <f>IF(ISNA(VLOOKUP(A17,'Données projet'!$A$165:$I$185,4,0)),0,VLOOKUP(A17,'Données projet'!$A$165:$I$185,4,0))</f>
        <v>0</v>
      </c>
      <c r="DX17" s="135">
        <f>IF(ISNA(VLOOKUP(A17,'Données projet'!$A$165:$I$185,5,0)),0%,VLOOKUP(A17,'Données projet'!$A$165:$I$185,5,0)*VLOOKUP('Données projet'!$B$14,'Paramètres'!$A$1:$I$89,7,0))</f>
        <v>0</v>
      </c>
      <c r="DY17" s="135">
        <f>IF(ISNA(VLOOKUP(A17,'Données projet'!$A$165:$I$185,6,0)),0%,VLOOKUP(A17,'Données projet'!$A$165:$I$185,6,0)*VLOOKUP('Données projet'!$B$14,'Paramètres'!$A$1:$I$89,7,0))</f>
        <v>0</v>
      </c>
      <c r="DZ17" s="135">
        <f>IF(ISNA(VLOOKUP(A17,'Données projet'!$A$165:$I$185,7,0)),0%,VLOOKUP(A17,'Données projet'!$A$165:$I$185,7,0))</f>
        <v>0</v>
      </c>
      <c r="EA17" s="142">
        <f>EXP(-LN(2)/35)*EA16+(1-EXP(-LN(2)/35))/(LN(2)/35)*DW17*DX17*VLOOKUP('Données projet'!$B$14,'Paramètres'!$A$1:$I$89,3,0)*0.475*44/12</f>
        <v>0</v>
      </c>
      <c r="EB17" s="142">
        <f>EXP(-LN(2)/25)*EB16+(1-EXP(-LN(2)/25))/(LN(2)/25)*Calculateur!DW17*Calculateur!DY17*VLOOKUP('Données projet'!$B$14,'Paramètres'!$A$1:$I$89,3,0)*0.475*44/12</f>
        <v>0</v>
      </c>
      <c r="EC17" s="142">
        <f>EXP(-LN(2)/2)*EC16+(1-EXP(-LN(2)/2))/(LN(2)/2)*DW17*DZ17*VLOOKUP('Données projet'!$B$14,'Paramètres'!$A$1:$I$89,3,0)*0.475*44/12</f>
        <v>0</v>
      </c>
      <c r="ED17" s="143">
        <f t="shared" si="19"/>
        <v>0</v>
      </c>
      <c r="EE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1" t="str">
        <f>VLOOKUP(A17,'Données projet'!$A$191:$I$211,2,0)</f>
        <v>#N/A</v>
      </c>
      <c r="EH17" s="131" t="str">
        <f>VLOOKUP(A17,'Données projet'!$A$191:$I$211,9,0)</f>
        <v>#N/A</v>
      </c>
      <c r="EI17" s="131">
        <f t="array" ref="EI17">INDEX(EH:EH,MIN(IF(ISNUMBER(EH17:EH213),ROW(EH17:EH213),"")))</f>
        <v>1.6</v>
      </c>
      <c r="EJ17" s="131">
        <f>IF('Données projet'!$A$192&gt;35,EJ16+EI17-ER16,IF(A17&lt;'Données projet'!$A$192,$EG$205^A17,IF(A17='Données projet'!$A$192,'Données projet'!$B$192,EJ16+EI17-ER16)))</f>
        <v>7.891391599</v>
      </c>
      <c r="EK17" s="138">
        <f>EJ17*VLOOKUP('Données projet'!$B$15,'Paramètres'!$A$1:$I$89,3,0)*VLOOKUP('Données projet'!$B$15,'Paramètres'!$A$1:$I$89,5,0)</f>
        <v>5.78596832</v>
      </c>
      <c r="EL17" s="130">
        <f t="shared" si="46"/>
        <v>2.173639632</v>
      </c>
      <c r="EM17" s="141">
        <f t="shared" si="20"/>
        <v>13.86298385</v>
      </c>
      <c r="EN17" s="133">
        <f t="shared" si="21"/>
        <v>307.1963172</v>
      </c>
      <c r="EO17" s="133">
        <f>AVERAGE(OFFSET($EN$3,0,0,'Données projet'!$E$15+1,1))-AVERAGE(OFFSET($H$3,0,0,'Données projet'!$E$15+1,1))</f>
        <v>130.3193339</v>
      </c>
      <c r="EP17" s="133">
        <f t="shared" si="47"/>
        <v>82.22784365</v>
      </c>
      <c r="EQ17" s="134">
        <f>IF(ISNA(VLOOKUP(A17,'Données projet'!$A$191:$I$211,3,0)),0,VLOOKUP(A17,'Données projet'!$A$191:$I$211,3,0))</f>
        <v>0</v>
      </c>
      <c r="ER17" s="134">
        <f>IF(ISNA(VLOOKUP(A17,'Données projet'!$A$191:$I$211,4,0)),0,VLOOKUP(A17,'Données projet'!$A$191:$I$211,4,0))</f>
        <v>0</v>
      </c>
      <c r="ES17" s="135">
        <f>IF(ISNA(VLOOKUP(A17,'Données projet'!$A$191:$I$211,5,0)),0%,VLOOKUP(A17,'Données projet'!$A$191:$I$211,5,0)*VLOOKUP('Données projet'!$B$15,'Paramètres'!$A$1:$I$89,7,0))</f>
        <v>0</v>
      </c>
      <c r="ET17" s="135">
        <f>IF(ISNA(VLOOKUP(A17,'Données projet'!$A$191:$I$211,6,0)),0%,VLOOKUP(A17,'Données projet'!$A$191:$I$211,6,0)*VLOOKUP('Données projet'!$B$15,'Paramètres'!$A$1:$I$89,7,0))</f>
        <v>0</v>
      </c>
      <c r="EU17" s="135">
        <f>IF(ISNA(VLOOKUP(A17,'Données projet'!$A$191:$I$211,7,0)),0%,VLOOKUP(A17,'Données projet'!$A$191:$I$211,7,0))</f>
        <v>0</v>
      </c>
      <c r="EV17" s="142">
        <f>EXP(-LN(2)/35)*EV16+(1-EXP(-LN(2)/35))/(LN(2)/35)*ER17*ES17*VLOOKUP('Données projet'!$B$15,'Paramètres'!$A$1:$I$89,3,0)*0.475*44/12</f>
        <v>0</v>
      </c>
      <c r="EW17" s="142">
        <f>EXP(-LN(2)/25)*EW16+(1-EXP(-LN(2)/25))/(LN(2)/25)*Calculateur!ER17*Calculateur!ET17*VLOOKUP('Données projet'!$B$15,'Paramètres'!$A$1:$I$89,3,0)*0.475*44/12</f>
        <v>0</v>
      </c>
      <c r="EX17" s="142">
        <f>EXP(-LN(2)/2)*EX16+(1-EXP(-LN(2)/2))/(LN(2)/2)*ER17*EU17*VLOOKUP('Données projet'!$B$15,'Paramètres'!$A$1:$I$89,3,0)*0.475*44/12</f>
        <v>0</v>
      </c>
      <c r="EY17" s="143">
        <f t="shared" si="22"/>
        <v>0</v>
      </c>
      <c r="EZ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1" t="str">
        <f>VLOOKUP(A17,'Données projet'!$A$217:$I$237,2,0)</f>
        <v>#N/A</v>
      </c>
      <c r="FC17" s="131" t="str">
        <f>VLOOKUP(A17,'Données projet'!$A$217:$I$237,9,0)</f>
        <v>#N/A</v>
      </c>
      <c r="FD17" s="130">
        <f t="array" ref="FD17">INDEX(FC:FC,MIN(IF(ISNUMBER(FC17:FC213),ROW(FC17:FC213),"")))</f>
        <v>7.533333333</v>
      </c>
      <c r="FE17" s="131">
        <f>IF('Données projet'!$A$218&gt;35,FE16+FD17-FM16,IF(A17&lt;'Données projet'!$A$218,$FB$205^A17,IF(A17='Données projet'!$A$218,'Données projet'!$B$218,FE16+FD17-FM16)))</f>
        <v>82.45301622</v>
      </c>
      <c r="FF17" s="138">
        <f>FE17*VLOOKUP('Données projet'!$B$16,'Paramètres'!$A$1:$I$89,3,0)*VLOOKUP('Données projet'!$B$16,'Paramètres'!$A$1:$I$89,5,0)</f>
        <v>74.60348908</v>
      </c>
      <c r="FG17" s="130">
        <f t="shared" si="48"/>
        <v>20.81239406</v>
      </c>
      <c r="FH17" s="141">
        <f t="shared" si="23"/>
        <v>166.1826631</v>
      </c>
      <c r="FI17" s="133">
        <f t="shared" si="24"/>
        <v>459.5159965</v>
      </c>
      <c r="FJ17" s="133">
        <f>AVERAGE(OFFSET($FI$3,0,0,'Données projet'!$E$16+1,1))-AVERAGE(OFFSET($H$3,0,0,'Données projet'!$E$16+1,1))</f>
        <v>305.6252353</v>
      </c>
      <c r="FK17" s="133">
        <f t="shared" si="49"/>
        <v>331.397916</v>
      </c>
      <c r="FL17" s="134">
        <f>IF(ISNA(VLOOKUP(A17,'Données projet'!$A$217:$I$237,3,0)),0,VLOOKUP(A17,'Données projet'!$A$217:$I$237,3,0))</f>
        <v>0</v>
      </c>
      <c r="FM17" s="134">
        <f>IF(ISNA(VLOOKUP(A17,'Données projet'!$A$217:$I$237,4,0)),0,VLOOKUP(A17,'Données projet'!$A$217:$I$237,4,0))</f>
        <v>0</v>
      </c>
      <c r="FN17" s="135">
        <f>IF(ISNA(VLOOKUP(A17,'Données projet'!$A$217:$I$237,5,0)),0%,VLOOKUP(A17,'Données projet'!$A$217:$I$237,5,0)*VLOOKUP('Données projet'!$B$16,'Paramètres'!$A$1:$I$89,7,0))</f>
        <v>0</v>
      </c>
      <c r="FO17" s="135">
        <f>IF(ISNA(VLOOKUP(A17,'Données projet'!$A$217:$I$237,6,0)),0%,VLOOKUP(A17,'Données projet'!$A$217:$I$237,6,0)*VLOOKUP('Données projet'!$B$16,'Paramètres'!$A$1:$I$89,7,0))</f>
        <v>0</v>
      </c>
      <c r="FP17" s="135">
        <f>IF(ISNA(VLOOKUP(A17,'Données projet'!$A$217:$I$237,7,0)),0%,VLOOKUP(A17,'Données projet'!$A$217:$I$237,7,0))</f>
        <v>0</v>
      </c>
      <c r="FQ17" s="142">
        <f>EXP(-LN(2)/35)*FQ16+(1-EXP(-LN(2)/35))/(LN(2)/35)*FM17*FN17*VLOOKUP('Données projet'!$B$16,'Paramètres'!$A$1:$I$89,3,0)*0.475*44/12</f>
        <v>0</v>
      </c>
      <c r="FR17" s="142">
        <f>EXP(-LN(2)/25)*FR16+(1-EXP(-LN(2)/25))/(LN(2)/25)*Calculateur!FM17*Calculateur!FO17*VLOOKUP('Données projet'!$B$16,'Paramètres'!$A$1:$I$89,3,0)*0.475*44/12</f>
        <v>0</v>
      </c>
      <c r="FS17" s="142">
        <f>EXP(-LN(2)/2)*FS16+(1-EXP(-LN(2)/2))/(LN(2)/2)*FM17*FP17*VLOOKUP('Données projet'!$B$16,'Paramètres'!$A$1:$I$89,3,0)*0.475*44/12</f>
        <v>0</v>
      </c>
      <c r="FT17" s="143">
        <f t="shared" si="25"/>
        <v>0</v>
      </c>
      <c r="FU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1" t="str">
        <f>VLOOKUP(A17,'Données projet'!$A$243:$I$263,2,0)</f>
        <v>#N/A</v>
      </c>
      <c r="FX17" s="131" t="str">
        <f>VLOOKUP(A17,'Données projet'!$A$243:$I$263,9,0)</f>
        <v>#N/A</v>
      </c>
      <c r="FY17" s="130">
        <f t="array" ref="FY17">INDEX(FX:FX,MIN(IF(ISNUMBER(FX17:FX213),ROW(FX17:FX213),"")))</f>
        <v>1.6</v>
      </c>
      <c r="FZ17" s="131">
        <f>IF('Données projet'!$A$244&gt;35,FZ16+FY17-GH16,IF(A17&lt;'Données projet'!$A$244,$FW$205^A17,IF(A17='Données projet'!$A$244,'Données projet'!$B$244,FZ16+FY17-GH16)))</f>
        <v>11.3137085</v>
      </c>
      <c r="GA17" s="138">
        <f>FZ17*VLOOKUP('Données projet'!$B$17,'Paramètres'!$A$1:$I$89,3,0)*VLOOKUP('Données projet'!$B$17,'Paramètres'!$A$1:$I$89,5,0)</f>
        <v>7.589235661</v>
      </c>
      <c r="GB17" s="130">
        <f t="shared" si="50"/>
        <v>2.762453981</v>
      </c>
      <c r="GC17" s="141">
        <f t="shared" si="26"/>
        <v>18.02919279</v>
      </c>
      <c r="GD17" s="133">
        <f t="shared" si="27"/>
        <v>311.3625261</v>
      </c>
      <c r="GE17" s="133">
        <f>AVERAGE(OFFSET($GD$3,0,0,'Données projet'!$E$17+1,1))-AVERAGE(OFFSET($H$3,0,0,'Données projet'!$E$17+1,1))</f>
        <v>118.7368745</v>
      </c>
      <c r="GF17" s="133">
        <f t="shared" si="51"/>
        <v>135.1233677</v>
      </c>
      <c r="GG17" s="134">
        <f>IF(ISNA(VLOOKUP(A17,'Données projet'!$A$243:$I$263,3,0)),0,VLOOKUP(A17,'Données projet'!$A$243:$I$263,3,0))</f>
        <v>0</v>
      </c>
      <c r="GH17" s="134">
        <f>IF(ISNA(VLOOKUP(A17,'Données projet'!$A$243:$I$263,4,0)),0,VLOOKUP(A17,'Données projet'!$A$243:$I$263,4,0))</f>
        <v>0</v>
      </c>
      <c r="GI17" s="135">
        <f>IF(ISNA(VLOOKUP(A17,'Données projet'!$A$243:$I$263,5,0)),0%,VLOOKUP(A17,'Données projet'!$A$243:$I$263,5,0)*VLOOKUP('Données projet'!$B$17,'Paramètres'!$A$1:$I$89,7,0))</f>
        <v>0</v>
      </c>
      <c r="GJ17" s="135">
        <f>IF(ISNA(VLOOKUP(A17,'Données projet'!$A$243:$I$263,6,0)),0%,VLOOKUP(A17,'Données projet'!$A$243:$I$263,6,0)*VLOOKUP('Données projet'!$B$17,'Paramètres'!$A$1:$I$89,7,0))</f>
        <v>0</v>
      </c>
      <c r="GK17" s="135">
        <f>IF(ISNA(VLOOKUP(A17,'Données projet'!$A$243:$I$263,7,0)),0%,VLOOKUP(A17,'Données projet'!$A$243:$I$263,7,0))</f>
        <v>0</v>
      </c>
      <c r="GL17" s="142">
        <f>EXP(-LN(2)/35)*GL16+(1-EXP(-LN(2)/35))/(LN(2)/35)*GH17*GI17*VLOOKUP('Données projet'!$B$17,'Paramètres'!$A$1:$I$89,3,0)*0.475*44/12</f>
        <v>0</v>
      </c>
      <c r="GM17" s="142">
        <f>EXP(-LN(2)/25)*GM16+(1-EXP(-LN(2)/25))/(LN(2)/25)*Calculateur!GH17*Calculateur!GJ17*VLOOKUP('Données projet'!$B$17,'Paramètres'!$A$1:$I$89,3,0)*0.475*44/12</f>
        <v>0</v>
      </c>
      <c r="GN17" s="142">
        <f>EXP(-LN(2)/2)*GN16+(1-EXP(-LN(2)/2))/(LN(2)/2)*GH17*GK17*VLOOKUP('Données projet'!$B$17,'Paramètres'!$A$1:$I$89,3,0)*0.475*44/12</f>
        <v>0</v>
      </c>
      <c r="GO17" s="142">
        <f t="shared" si="28"/>
        <v>0</v>
      </c>
      <c r="GP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1" t="str">
        <f>VLOOKUP(A17,'Données projet'!$A$269:$I$289,2,0)</f>
        <v>#N/A</v>
      </c>
      <c r="GS17" s="131" t="str">
        <f>VLOOKUP(A17,'Données projet'!$A$269:$I$289,9,0)</f>
        <v>#N/A</v>
      </c>
      <c r="GT17" s="130">
        <f t="array" ref="GT17">INDEX(GS:GS,MIN(IF(ISNUMBER(GS17:GS213),ROW(GS17:GS213),"")))</f>
        <v>1.2</v>
      </c>
      <c r="GU17" s="131">
        <f>IF('Données projet'!$A$270&gt;35,GU16+GT17-HC16,IF(A17&lt;'Données projet'!$A$270,$GR$205^A17,IF(A17='Données projet'!$A$270,'Données projet'!$B$270,GU16+GT17-HC16)))</f>
        <v>6.717194174</v>
      </c>
      <c r="GV17" s="138">
        <f>GU17*VLOOKUP('Données projet'!$B$18,'Paramètres'!$A$1:$I$89,3,0)*VLOOKUP('Données projet'!$B$18,'Paramètres'!$A$1:$I$89,5,0)</f>
        <v>7.230387809</v>
      </c>
      <c r="GW17" s="130">
        <f t="shared" si="52"/>
        <v>2.646715418</v>
      </c>
      <c r="GX17" s="141">
        <f t="shared" si="29"/>
        <v>17.20262145</v>
      </c>
      <c r="GY17" s="133">
        <f t="shared" si="30"/>
        <v>310.5359548</v>
      </c>
      <c r="GZ17" s="133">
        <f>AVERAGE(OFFSET($GY$3,0,0,'Données projet'!$E$18+1,1))-AVERAGE(OFFSET($H$3,0,0,'Données projet'!$E$18+1,1))</f>
        <v>100.5427875</v>
      </c>
      <c r="HA17" s="133">
        <f t="shared" si="53"/>
        <v>92.28663609</v>
      </c>
      <c r="HB17" s="134">
        <f>IF(ISNA(VLOOKUP(A17,'Données projet'!$A$269:$I$289,3,0)),0,VLOOKUP(A17,'Données projet'!$A$269:$I$289,3,0))</f>
        <v>0</v>
      </c>
      <c r="HC17" s="134">
        <f>IF(ISNA(VLOOKUP(A17,'Données projet'!$A$269:$I$289,4,0)),0,VLOOKUP(A17,'Données projet'!$A$269:$I$289,4,0))</f>
        <v>0</v>
      </c>
      <c r="HD17" s="135">
        <f>IF(ISNA(VLOOKUP(A17,'Données projet'!$A$269:$I$289,5,0)),0%,VLOOKUP(A17,'Données projet'!$A$269:$I$289,5,0)*VLOOKUP('Données projet'!$B$18,'Paramètres'!$A$1:$I$89,7,0))</f>
        <v>0</v>
      </c>
      <c r="HE17" s="135">
        <f>IF(ISNA(VLOOKUP(A17,'Données projet'!$A$269:$I$289,6,0)),0%,VLOOKUP(A17,'Données projet'!$A$269:$I$289,6,0)*VLOOKUP('Données projet'!$B$18,'Paramètres'!$A$1:$I$89,7,0))</f>
        <v>0</v>
      </c>
      <c r="HF17" s="135">
        <f>IF(ISNA(VLOOKUP(A17,'Données projet'!$A$269:$I$289,7,0)),0%,VLOOKUP(A17,'Données projet'!$A$269:$I$289,7,0))</f>
        <v>0</v>
      </c>
      <c r="HG17" s="142">
        <f>EXP(-LN(2)/35)*HG16+(1-EXP(-LN(2)/35))/(LN(2)/35)*HC17*HD17*VLOOKUP('Données projet'!$B$18,'Paramètres'!$A$1:$I$89,3,0)*0.475*44/12</f>
        <v>0</v>
      </c>
      <c r="HH17" s="142">
        <f>EXP(-LN(2)/25)*HH16+(1-EXP(-LN(2)/25))/(LN(2)/25)*Calculateur!HC17*Calculateur!HE17*VLOOKUP('Données projet'!$B$18,'Paramètres'!$A$1:$I$89,3,0)*0.475*44/12</f>
        <v>0</v>
      </c>
      <c r="HI17" s="142">
        <f>EXP(-LN(2)/2)*HI16+(1-EXP(-LN(2)/2))/(LN(2)/2)*HC17*HF17*VLOOKUP('Données projet'!$B$18,'Paramètres'!$A$1:$I$89,3,0)*0.475*44/12</f>
        <v>0</v>
      </c>
      <c r="HJ17" s="143">
        <f t="shared" si="31"/>
        <v>0</v>
      </c>
    </row>
    <row r="18">
      <c r="A18" s="125">
        <f t="shared" si="32"/>
        <v>15</v>
      </c>
      <c r="B18" s="126">
        <f>'Scénario référence'!$B$16*5+'Scénario référence'!$B$17*0+'Scénario référence'!$B$18*5</f>
        <v>0</v>
      </c>
      <c r="C18" s="140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8.19</v>
      </c>
      <c r="D18" s="127">
        <f t="shared" si="33"/>
        <v>2.954811091</v>
      </c>
      <c r="E1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7">
        <f>IF(OR('Scénario référence'!$F$8&gt;0,'Scénario référence'!$F$9&gt;0),('Scénario référence'!$F$8+'Scénario référence'!$F$9)*10,0)</f>
        <v>10</v>
      </c>
      <c r="G18" s="127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</v>
      </c>
      <c r="H18" s="128">
        <f t="shared" si="1"/>
        <v>312.7438793</v>
      </c>
      <c r="I18" s="12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1" t="str">
        <f>VLOOKUP(A18,'Données projet'!$A$35:$I$55,2,0)</f>
        <v>#N/A</v>
      </c>
      <c r="L18" s="131" t="str">
        <f>VLOOKUP(A18,'Données projet'!$A$35:$I$55,9,0)</f>
        <v>#N/A</v>
      </c>
      <c r="M18" s="131">
        <f t="array" ref="M18">INDEX(L:L,MIN(IF(ISNUMBER(L18:L214),ROW(L18:L214),"")))</f>
        <v>3.92</v>
      </c>
      <c r="N18" s="130">
        <f>IF('Données projet'!$A$36&gt;35,N17+M18-V17,IF(A18&lt;'Données projet'!$A$36,$K$205^A18,IF(A18='Données projet'!$A$36,'Données projet'!$B$36,N17+M18-V17)))</f>
        <v>15.65797681</v>
      </c>
      <c r="O18" s="130">
        <f>N18*VLOOKUP('Données projet'!$B$9,'Paramètres'!$A$1:$I$89,3,0)*VLOOKUP('Données projet'!$B$9,'Paramètres'!$A$1:$I$89,5,0)</f>
        <v>8.956362733</v>
      </c>
      <c r="P18" s="130">
        <f t="shared" si="34"/>
        <v>3.197831765</v>
      </c>
      <c r="Q18" s="141">
        <f t="shared" si="2"/>
        <v>21.16855542</v>
      </c>
      <c r="R18" s="133">
        <f t="shared" si="3"/>
        <v>314.5018888</v>
      </c>
      <c r="S18" s="133">
        <f>AVERAGE(OFFSET($R$3,0,0,'Données projet'!$E$9+1,1))-AVERAGE(OFFSET($H$3,0,0,'Données projet'!$E$9+1,1))</f>
        <v>126.9946492</v>
      </c>
      <c r="T18" s="133">
        <f t="shared" si="35"/>
        <v>140.039049</v>
      </c>
      <c r="U18" s="134">
        <f>IF(ISNA(VLOOKUP(A18,'Données projet'!$A$35:$I$55,3,0)),0,VLOOKUP(A18,'Données projet'!$A$35:$I$55,3,0))</f>
        <v>0</v>
      </c>
      <c r="V18" s="134">
        <f>IF(ISNA(VLOOKUP(A18,'Données projet'!$A$35:$I$55,4,0)),0,VLOOKUP(A18,'Données projet'!$A$35:$I$55,4,0))</f>
        <v>0</v>
      </c>
      <c r="W18" s="135">
        <f>IF(ISNA(VLOOKUP(A18,'Données projet'!$A$35:$I$55,5,0)),0%,VLOOKUP(A18,'Données projet'!$A$35:$I$55,5,0)*VLOOKUP('Données projet'!$B$9,'Paramètres'!$A$1:$I$89,7,0))</f>
        <v>0</v>
      </c>
      <c r="X18" s="135">
        <f>IF(ISNA(VLOOKUP(A18,'Données projet'!$A$35:$I$55,6,0)),0%,VLOOKUP(A18,'Données projet'!$A$35:$I$55,6,0)*VLOOKUP('Données projet'!$B$9,'Paramètres'!$A$1:$I$89,7,0))</f>
        <v>0</v>
      </c>
      <c r="Y18" s="135">
        <f>IF(ISNA(VLOOKUP(A18,'Données projet'!$A$35:$I$55,7,0)),0%,VLOOKUP(A18,'Données projet'!$A$35:$I$55,7,0))</f>
        <v>0</v>
      </c>
      <c r="Z18" s="142">
        <f>EXP(-LN(2)/35)*Z17+(1-EXP(-LN(2)/35))/(LN(2)/35)*V18*W18*VLOOKUP('Données projet'!$B$9,'Paramètres'!$A$1:$I$89,3,0)*0.475*44/12</f>
        <v>0</v>
      </c>
      <c r="AA18" s="142">
        <f>EXP(-LN(2)/25)*AA17+(1-EXP(-LN(2)/25))/(LN(2)/25)*Calculateur!V18*Calculateur!X18*VLOOKUP('Données projet'!$B$9,'Paramètres'!$A$1:$I$89,3,0)*0.475*44/12</f>
        <v>0</v>
      </c>
      <c r="AB18" s="142">
        <f>EXP(-LN(2)/2)*AB17+(1-EXP(-LN(2)/2))/(LN(2)/2)*V18*Y18*VLOOKUP('Données projet'!$B$9,'Paramètres'!$A$1:$I$89,3,0)*0.475*44/12</f>
        <v>0</v>
      </c>
      <c r="AC18" s="143">
        <f t="shared" si="4"/>
        <v>0</v>
      </c>
      <c r="AD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0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1" t="str">
        <f>VLOOKUP(A18,'Données projet'!$A$61:$I$81,2,0)</f>
        <v>#N/A</v>
      </c>
      <c r="AG18" s="131" t="str">
        <f>VLOOKUP(A18,'Données projet'!$A$61:$I$81,9,0)</f>
        <v>#N/A</v>
      </c>
      <c r="AH18" s="130">
        <f t="array" ref="AH18">INDEX(AG:AG,MIN(IF(ISNUMBER(AG18:AG214),ROW(AG18:AG214),"")))</f>
        <v>5.590909091</v>
      </c>
      <c r="AI18" s="130">
        <f>IF('Données projet'!$A$62&gt;35,AI17+AH18-AQ17,IF(A18&lt;'Données projet'!$A$62,$AF$205^A18,IF(A18='Données projet'!$A$62,'Données projet'!$B$62,AI17+AH18-AQ17)))</f>
        <v>26.60328722</v>
      </c>
      <c r="AJ18" s="130">
        <f>AI18*VLOOKUP('Données projet'!$B$10,'Paramètres'!$A$1:$I$89,3,0)*VLOOKUP('Données projet'!$B$10,'Paramètres'!$A$1:$I$89,5,0)</f>
        <v>15.90876576</v>
      </c>
      <c r="AK18" s="130">
        <f t="shared" si="36"/>
        <v>5.312733914</v>
      </c>
      <c r="AL18" s="141">
        <f t="shared" si="5"/>
        <v>36.96077859</v>
      </c>
      <c r="AM18" s="133">
        <f t="shared" si="6"/>
        <v>330.2941119</v>
      </c>
      <c r="AN18" s="133">
        <f>AVERAGE(OFFSET($AM$3,0,0,'Données projet'!$E$10+1,1))-AVERAGE(OFFSET($H$3,0,0,'Données projet'!$E$10+1,1))</f>
        <v>196.874484</v>
      </c>
      <c r="AO18" s="133">
        <f t="shared" si="37"/>
        <v>217.5750859</v>
      </c>
      <c r="AP18" s="134">
        <f>IF(ISNA(VLOOKUP(A18,'Données projet'!$A$61:$I$81,3,0)),0,VLOOKUP(A18,'Données projet'!$A$61:$I$81,3,0))</f>
        <v>0</v>
      </c>
      <c r="AQ18" s="134">
        <f>IF(ISNA(VLOOKUP(A18,'Données projet'!$A$61:$I$81,4,0)),0,VLOOKUP(A18,'Données projet'!$A$61:$I$81,4,0))</f>
        <v>0</v>
      </c>
      <c r="AR18" s="135">
        <f>IF(ISNA(VLOOKUP(A18,'Données projet'!$A$61:$I$81,5,0)),0%,VLOOKUP(A18,'Données projet'!$A$61:$I$81,5,0)*VLOOKUP('Données projet'!$B$10,'Paramètres'!$A$1:$I$89,7,0))</f>
        <v>0</v>
      </c>
      <c r="AS18" s="135">
        <f>IF(ISNA(VLOOKUP(A18,'Données projet'!$A$61:$I$81,6,0)),0%,VLOOKUP(A18,'Données projet'!$A$61:$I$81,6,0)*VLOOKUP('Données projet'!$B$10,'Paramètres'!$A$1:$I$89,7,0))</f>
        <v>0</v>
      </c>
      <c r="AT18" s="135">
        <f>IF(ISNA(VLOOKUP(A18,'Données projet'!$A$61:$I$81,7,0)),0%,VLOOKUP(A18,'Données projet'!$A$61:$I$81,7,0))</f>
        <v>0</v>
      </c>
      <c r="AU18" s="142">
        <f>EXP(-LN(2)/35)*AU17+(1-EXP(-LN(2)/35))/(LN(2)/35)*AQ18*AR18*VLOOKUP('Données projet'!$B$10,'Paramètres'!$A$1:$I$89,3,0)*0.475*44/12</f>
        <v>0</v>
      </c>
      <c r="AV18" s="142">
        <f>EXP(-LN(2)/25)*AV17+(1-EXP(-LN(2)/25))/(LN(2)/25)*Calculateur!AQ18*Calculateur!AS18*VLOOKUP('Données projet'!$B$10,'Paramètres'!$A$1:$I$89,3,0)*0.475*44/12</f>
        <v>0</v>
      </c>
      <c r="AW18" s="142">
        <f>EXP(-LN(2)/2)*AW17+(1-EXP(-LN(2)/2))/(LN(2)/2)*AQ18*AT18*VLOOKUP('Données projet'!$B$10,'Paramètres'!$A$1:$I$89,3,0)*0.475*44/12</f>
        <v>0</v>
      </c>
      <c r="AX18" s="142">
        <f t="shared" si="7"/>
        <v>0</v>
      </c>
      <c r="AY18" s="13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1" t="str">
        <f>VLOOKUP(A18,'Données projet'!$A$87:$I$107,2,0)</f>
        <v>#N/A</v>
      </c>
      <c r="BB18" s="131" t="str">
        <f>VLOOKUP(A18,'Données projet'!$A$87:$I$107,9,0)</f>
        <v>#N/A</v>
      </c>
      <c r="BC18" s="130">
        <f t="array" ref="BC18">INDEX(BB:BB,MIN(IF(ISNUMBER(BB18:BB214),ROW(BB18:BB214),"")))</f>
        <v>4.666666667</v>
      </c>
      <c r="BD18" s="131">
        <f>IF('Données projet'!$A$88&gt;35,BD17+BC18-BL17,IF(A18&lt;'Données projet'!$A$88,$BA$205^A18,IF(A18='Données projet'!$A$88,'Données projet'!$B$88,BD17+BC18-BL17)))</f>
        <v>11.83215957</v>
      </c>
      <c r="BE18" s="130">
        <f>BD18*VLOOKUP('Données projet'!$B$11,'Paramètres'!$A$1:$I$89,3,0)*VLOOKUP('Données projet'!$B$11,'Paramètres'!$A$1:$I$89,5,0)</f>
        <v>5.537450677</v>
      </c>
      <c r="BF18" s="130">
        <f t="shared" si="38"/>
        <v>2.090935648</v>
      </c>
      <c r="BG18" s="141">
        <f t="shared" si="8"/>
        <v>13.28610618</v>
      </c>
      <c r="BH18" s="133">
        <f t="shared" si="9"/>
        <v>306.6194395</v>
      </c>
      <c r="BI18" s="133">
        <f>AVERAGE(OFFSET($BH$3,0,0,'Données projet'!$E$11+1,1))-AVERAGE(OFFSET($H$3,0,0,'Données projet'!$E$11+1,1))</f>
        <v>134.0948534</v>
      </c>
      <c r="BJ18" s="133">
        <f t="shared" si="39"/>
        <v>108.4102536</v>
      </c>
      <c r="BK18" s="134">
        <f>IF(ISNA(VLOOKUP(A18,'Données projet'!$A$87:$I$107,3,0)),0,VLOOKUP(A18,'Données projet'!$A$87:$I$107,3,0))</f>
        <v>0</v>
      </c>
      <c r="BL18" s="134">
        <f>IF(ISNA(VLOOKUP(A18,'Données projet'!$A$87:$I$107,4,0)),0,VLOOKUP(A18,'Données projet'!$A$87:$I$107,4,0))</f>
        <v>0</v>
      </c>
      <c r="BM18" s="135">
        <f>IF(ISNA(VLOOKUP(A18,'Données projet'!$A$87:$I$107,5,0)),0%,VLOOKUP(A18,'Données projet'!$A$87:$I$107,5,0)*VLOOKUP('Données projet'!$B$11,'Paramètres'!$A$1:$I$89,7,0))</f>
        <v>0</v>
      </c>
      <c r="BN18" s="135">
        <f>IF(ISNA(VLOOKUP(A18,'Données projet'!$A$87:$I$107,6,0)),0%,VLOOKUP(A18,'Données projet'!$A$87:$I$107,6,0)*VLOOKUP('Données projet'!$B$11,'Paramètres'!$A$1:$I$89,7,0))</f>
        <v>0</v>
      </c>
      <c r="BO18" s="135">
        <f>IF(ISNA(VLOOKUP(A18,'Données projet'!$A$87:$I$107,7,0)),0%,VLOOKUP(A18,'Données projet'!$A$87:$I$107,7,0))</f>
        <v>0</v>
      </c>
      <c r="BP18" s="142">
        <f>EXP(-LN(2)/35)*BP17+(1-EXP(-LN(2)/35))/(LN(2)/35)*BL18*BM18*VLOOKUP('Données projet'!$B$11,'Paramètres'!$A$1:$I$89,3,0)*0.475*44/12</f>
        <v>0</v>
      </c>
      <c r="BQ18" s="142">
        <f>EXP(-LN(2)/25)*BQ17+(1-EXP(-LN(2)/25))/(LN(2)/25)*Calculateur!BL18*Calculateur!BN18*VLOOKUP('Données projet'!$B$11,'Paramètres'!$A$1:$I$89,3,0)*0.475*44/12</f>
        <v>0</v>
      </c>
      <c r="BR18" s="142">
        <f>EXP(-LN(2)/2)*BR17+(1-EXP(-LN(2)/2))/(LN(2)/2)*BL18*BO18*VLOOKUP('Données projet'!$B$11,'Paramètres'!$A$1:$I$89,3,0)*0.475*44/12</f>
        <v>0</v>
      </c>
      <c r="BS18" s="143">
        <f t="shared" si="10"/>
        <v>0</v>
      </c>
      <c r="BT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1">
        <f>VLOOKUP(A18,'Données projet'!$A$113:$I$133,2,0)</f>
        <v>28</v>
      </c>
      <c r="BW18" s="130">
        <f>VLOOKUP(A18,'Données projet'!$A$113:$I$133,9,0)</f>
        <v>1.866666667</v>
      </c>
      <c r="BX18" s="130">
        <f t="array" ref="BX18">INDEX(BW:BW,MIN(IF(ISNUMBER(BW18:BW214),ROW(BW18:BW214),"")))</f>
        <v>1.866666667</v>
      </c>
      <c r="BY18" s="131">
        <f>IF('Données projet'!$A$114&gt;35,BY17+BX18-CG17,IF(A18&lt;'Données projet'!$A$114,$BV$205^A18,IF(A18='Données projet'!$A$114,'Données projet'!$B$114,BY17+BX18-CG17)))</f>
        <v>28</v>
      </c>
      <c r="BZ18" s="130">
        <f>BY18*VLOOKUP('Données projet'!$B$12,'Paramètres'!$A$1:$I$89,3,0)*VLOOKUP('Données projet'!$B$12,'Paramètres'!$A$1:$I$89,5,0)</f>
        <v>13.832</v>
      </c>
      <c r="CA18" s="130">
        <f t="shared" si="40"/>
        <v>4.695026344</v>
      </c>
      <c r="CB18" s="141">
        <f t="shared" si="11"/>
        <v>32.26790422</v>
      </c>
      <c r="CC18" s="133">
        <f t="shared" si="12"/>
        <v>325.6012375</v>
      </c>
      <c r="CD18" s="133">
        <f>AVERAGE(OFFSET($CC$3,0,0,'Données projet'!$E$12+1,1))-AVERAGE(OFFSET($H$3,0,0,'Données projet'!$E$12+1,1))</f>
        <v>258.1672054</v>
      </c>
      <c r="CE18" s="133">
        <f t="shared" si="41"/>
        <v>296.0724261</v>
      </c>
      <c r="CF18" s="134">
        <f>IF(ISNA(VLOOKUP(A18,'Données projet'!$A$113:$I$133,3,0)),0,VLOOKUP(A18,'Données projet'!$A$113:$I$133,3,0))</f>
        <v>1</v>
      </c>
      <c r="CG18" s="134">
        <f>IF(ISNA(VLOOKUP(A18,'Données projet'!$A$113:$I$133,4,0)),0,VLOOKUP(A18,'Données projet'!$A$113:$I$133,4,0))</f>
        <v>0</v>
      </c>
      <c r="CH18" s="135">
        <f>IF(ISNA(VLOOKUP(A18,'Données projet'!$A$113:$I$133,5,0)),0%,VLOOKUP(A18,'Données projet'!$A$113:$I$133,5,0)*VLOOKUP('Données projet'!$B$12,'Paramètres'!$A$1:$I$89,7,0))</f>
        <v>0</v>
      </c>
      <c r="CI18" s="135">
        <f>IF(ISNA(VLOOKUP(A18,'Données projet'!$A$113:$I$133,6,0)),0%,VLOOKUP(A18,'Données projet'!$A$113:$I$133,6,0)*VLOOKUP('Données projet'!$B$12,'Paramètres'!$A$1:$I$89,7,0))</f>
        <v>0.308</v>
      </c>
      <c r="CJ18" s="135">
        <f>IF(ISNA(VLOOKUP(A18,'Données projet'!$A$113:$I$133,7,0)),0%,VLOOKUP(A18,'Données projet'!$A$113:$I$133,7,0))</f>
        <v>0.44</v>
      </c>
      <c r="CK18" s="142">
        <f>EXP(-LN(2)/35)*CK17+(1-EXP(-LN(2)/35))/(LN(2)/35)*CG18*CH18*VLOOKUP('Données projet'!$B$12,'Paramètres'!$A$1:$I$89,3,0)*0.475*44/12</f>
        <v>0</v>
      </c>
      <c r="CL18" s="142">
        <f>EXP(-LN(2)/25)*CL17+(1-EXP(-LN(2)/25))/(LN(2)/25)*Calculateur!CG18*Calculateur!CI18*VLOOKUP('Données projet'!$B$12,'Paramètres'!$A$1:$I$89,3,0)*0.475*44/12</f>
        <v>0</v>
      </c>
      <c r="CM18" s="142">
        <f>EXP(-LN(2)/2)*CM17+(1-EXP(-LN(2)/2))/(LN(2)/2)*CG18*CJ18*VLOOKUP('Données projet'!$B$12,'Paramètres'!$A$1:$I$89,3,0)*0.475*44/12</f>
        <v>0</v>
      </c>
      <c r="CN18" s="143">
        <f t="shared" si="13"/>
        <v>0</v>
      </c>
      <c r="CO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1" t="str">
        <f>VLOOKUP(A18,'Données projet'!$A$139:$I$159,2,0)</f>
        <v>#N/A</v>
      </c>
      <c r="CR18" s="131" t="str">
        <f>VLOOKUP(A18,'Données projet'!$A$139:$I$159,9,0)</f>
        <v>#N/A</v>
      </c>
      <c r="CS18" s="130">
        <f t="array" ref="CS18">INDEX(CR:CR,MIN(IF(ISNUMBER(CR18:CR214),ROW(CR18:CR214),"")))</f>
        <v>1.2</v>
      </c>
      <c r="CT18" s="131">
        <f>IF('Données projet'!$A$140&gt;35,CT17+CS18-DB17,IF(A18&lt;'Données projet'!$A$140,$CQ$205^A18,IF(A18='Données projet'!$A$140,'Données projet'!$B$140,CT17+CS18-DB17)))</f>
        <v>7.696136341</v>
      </c>
      <c r="CU18" s="138">
        <f>CT18*VLOOKUP('Données projet'!$B$13,'Paramètres'!$A$1:$I$89,3,0)*VLOOKUP('Données projet'!$B$13,'Paramètres'!$A$1:$I$89,5,0)</f>
        <v>7.803882249</v>
      </c>
      <c r="CV18" s="130">
        <f t="shared" si="42"/>
        <v>2.831377694</v>
      </c>
      <c r="CW18" s="141">
        <f t="shared" si="14"/>
        <v>18.52307773</v>
      </c>
      <c r="CX18" s="133">
        <f t="shared" si="15"/>
        <v>311.8564111</v>
      </c>
      <c r="CY18" s="133">
        <f>AVERAGE(OFFSET($CX$3,0,0,'Données projet'!$E$13+1,1))-AVERAGE(OFFSET($H$3,0,0,'Données projet'!$E$13+1,1))</f>
        <v>223.783507</v>
      </c>
      <c r="CZ18" s="133">
        <f t="shared" si="43"/>
        <v>84.92349117</v>
      </c>
      <c r="DA18" s="134">
        <f>IF(ISNA(VLOOKUP(A18,'Données projet'!$A$139:$I$159,3,0)),0,VLOOKUP(A18,'Données projet'!$A$139:$I$159,3,0))</f>
        <v>0</v>
      </c>
      <c r="DB18" s="134">
        <f>IF(ISNA(VLOOKUP(A18,'Données projet'!$A$139:$I$159,4,0)),0,VLOOKUP(A18,'Données projet'!$A$139:$I$159,4,0))</f>
        <v>0</v>
      </c>
      <c r="DC18" s="135">
        <f>IF(ISNA(VLOOKUP(A18,'Données projet'!$A$139:$I$159,5,0)),0%,VLOOKUP(A18,'Données projet'!$A$139:$I$159,5,0)*VLOOKUP('Données projet'!$B$13,'Paramètres'!$A$1:$I$89,7,0))</f>
        <v>0</v>
      </c>
      <c r="DD18" s="135">
        <f>IF(ISNA(VLOOKUP(A18,'Données projet'!$A$139:$I$159,6,0)),0%,VLOOKUP(A18,'Données projet'!$A$139:$I$159,6,0)*VLOOKUP('Données projet'!$B$13,'Paramètres'!$A$1:$I$89,7,0))</f>
        <v>0</v>
      </c>
      <c r="DE18" s="135">
        <f>IF(ISNA(VLOOKUP(A18,'Données projet'!$A$139:$I$159,7,0)),0%,VLOOKUP(A18,'Données projet'!$A$139:$I$159,7,0))</f>
        <v>0</v>
      </c>
      <c r="DF18" s="142">
        <f>EXP(-LN(2)/35)*DF17+(1-EXP(-LN(2)/35))/(LN(2)/35)*DB18*DC18*VLOOKUP('Données projet'!$B$13,'Paramètres'!$A$1:$I$89,3,0)*0.475*44/12</f>
        <v>0</v>
      </c>
      <c r="DG18" s="142">
        <f>EXP(-LN(2)/25)*DG17+(1-EXP(-LN(2)/25))/(LN(2)/25)*Calculateur!DB18*Calculateur!DD18*VLOOKUP('Données projet'!$B$13,'Paramètres'!$A$1:$I$89,3,0)*0.475*44/12</f>
        <v>0</v>
      </c>
      <c r="DH18" s="142">
        <f>EXP(-LN(2)/2)*DH17+(1-EXP(-LN(2)/2))/(LN(2)/2)*DB18*DE18*VLOOKUP('Données projet'!$B$13,'Paramètres'!$A$1:$I$89,3,0)*0.475*44/12</f>
        <v>0</v>
      </c>
      <c r="DI18" s="143">
        <f t="shared" si="16"/>
        <v>0</v>
      </c>
      <c r="DJ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1" t="str">
        <f>VLOOKUP(A18,'Données projet'!$A$165:$I$185,2,0)</f>
        <v>#N/A</v>
      </c>
      <c r="DM18" s="131" t="str">
        <f>VLOOKUP(A18,'Données projet'!$A$165:$I$185,9,0)</f>
        <v>#N/A</v>
      </c>
      <c r="DN18" s="131">
        <f t="array" ref="DN18">INDEX(DM:DM,MIN(IF(ISNUMBER(DM18:DM214),ROW(DM18:DM214),"")))</f>
        <v>2.1</v>
      </c>
      <c r="DO18" s="131">
        <f>IF('Données projet'!$A$166&gt;35,DO17+DN18-DW17,IF(A18&lt;'Données projet'!$A$166,$DL$205^A18,IF(A18='Données projet'!$A$166,'Données projet'!$B$166,DO17+DN18-DW17)))</f>
        <v>16.49821534</v>
      </c>
      <c r="DP18" s="138">
        <f>DO18*VLOOKUP('Données projet'!$B$14,'Paramètres'!$A$1:$I$89,3,0)*VLOOKUP('Données projet'!$B$14,'Paramètres'!$A$1:$I$89,5,0)</f>
        <v>14.92758524</v>
      </c>
      <c r="DQ18" s="130">
        <f t="shared" si="44"/>
        <v>5.022144911</v>
      </c>
      <c r="DR18" s="141">
        <f t="shared" si="17"/>
        <v>34.74578001</v>
      </c>
      <c r="DS18" s="133">
        <f t="shared" si="18"/>
        <v>328.0791133</v>
      </c>
      <c r="DT18" s="133">
        <f>AVERAGE(OFFSET($DS$3,0,0,'Données projet'!$E$14+1,1))-AVERAGE(OFFSET($H$3,0,0,'Données projet'!$E$14+1,1))</f>
        <v>287.9334714</v>
      </c>
      <c r="DU18" s="133">
        <f t="shared" si="45"/>
        <v>156.6796502</v>
      </c>
      <c r="DV18" s="134">
        <f>IF(ISNA(VLOOKUP(A18,'Données projet'!$A$165:$I$185,3,0)),0,VLOOKUP(A18,'Données projet'!$A$165:$I$185,3,0))</f>
        <v>0</v>
      </c>
      <c r="DW18" s="134">
        <f>IF(ISNA(VLOOKUP(A18,'Données projet'!$A$165:$I$185,4,0)),0,VLOOKUP(A18,'Données projet'!$A$165:$I$185,4,0))</f>
        <v>0</v>
      </c>
      <c r="DX18" s="135">
        <f>IF(ISNA(VLOOKUP(A18,'Données projet'!$A$165:$I$185,5,0)),0%,VLOOKUP(A18,'Données projet'!$A$165:$I$185,5,0)*VLOOKUP('Données projet'!$B$14,'Paramètres'!$A$1:$I$89,7,0))</f>
        <v>0</v>
      </c>
      <c r="DY18" s="135">
        <f>IF(ISNA(VLOOKUP(A18,'Données projet'!$A$165:$I$185,6,0)),0%,VLOOKUP(A18,'Données projet'!$A$165:$I$185,6,0)*VLOOKUP('Données projet'!$B$14,'Paramètres'!$A$1:$I$89,7,0))</f>
        <v>0</v>
      </c>
      <c r="DZ18" s="135">
        <f>IF(ISNA(VLOOKUP(A18,'Données projet'!$A$165:$I$185,7,0)),0%,VLOOKUP(A18,'Données projet'!$A$165:$I$185,7,0))</f>
        <v>0</v>
      </c>
      <c r="EA18" s="142">
        <f>EXP(-LN(2)/35)*EA17+(1-EXP(-LN(2)/35))/(LN(2)/35)*DW18*DX18*VLOOKUP('Données projet'!$B$14,'Paramètres'!$A$1:$I$89,3,0)*0.475*44/12</f>
        <v>0</v>
      </c>
      <c r="EB18" s="142">
        <f>EXP(-LN(2)/25)*EB17+(1-EXP(-LN(2)/25))/(LN(2)/25)*Calculateur!DW18*Calculateur!DY18*VLOOKUP('Données projet'!$B$14,'Paramètres'!$A$1:$I$89,3,0)*0.475*44/12</f>
        <v>0</v>
      </c>
      <c r="EC18" s="142">
        <f>EXP(-LN(2)/2)*EC17+(1-EXP(-LN(2)/2))/(LN(2)/2)*DW18*DZ18*VLOOKUP('Données projet'!$B$14,'Paramètres'!$A$1:$I$89,3,0)*0.475*44/12</f>
        <v>0</v>
      </c>
      <c r="ED18" s="143">
        <f t="shared" si="19"/>
        <v>0</v>
      </c>
      <c r="EE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1" t="str">
        <f>VLOOKUP(A18,'Données projet'!$A$191:$I$211,2,0)</f>
        <v>#N/A</v>
      </c>
      <c r="EH18" s="131" t="str">
        <f>VLOOKUP(A18,'Données projet'!$A$191:$I$211,9,0)</f>
        <v>#N/A</v>
      </c>
      <c r="EI18" s="131">
        <f t="array" ref="EI18">INDEX(EH:EH,MIN(IF(ISNUMBER(EH18:EH214),ROW(EH18:EH214),"")))</f>
        <v>1.6</v>
      </c>
      <c r="EJ18" s="131">
        <f>IF('Données projet'!$A$192&gt;35,EJ17+EI18-ER17,IF(A18&lt;'Données projet'!$A$192,$EG$205^A18,IF(A18='Données projet'!$A$192,'Données projet'!$B$192,EJ17+EI18-ER17)))</f>
        <v>9.146101039</v>
      </c>
      <c r="EK18" s="138">
        <f>EJ18*VLOOKUP('Données projet'!$B$15,'Paramètres'!$A$1:$I$89,3,0)*VLOOKUP('Données projet'!$B$15,'Paramètres'!$A$1:$I$89,5,0)</f>
        <v>6.705921281</v>
      </c>
      <c r="EL18" s="130">
        <f t="shared" si="46"/>
        <v>2.476342734</v>
      </c>
      <c r="EM18" s="141">
        <f t="shared" si="20"/>
        <v>15.99244316</v>
      </c>
      <c r="EN18" s="133">
        <f t="shared" si="21"/>
        <v>309.3257765</v>
      </c>
      <c r="EO18" s="133">
        <f>AVERAGE(OFFSET($EN$3,0,0,'Données projet'!$E$15+1,1))-AVERAGE(OFFSET($H$3,0,0,'Données projet'!$E$15+1,1))</f>
        <v>130.3193339</v>
      </c>
      <c r="EP18" s="133">
        <f t="shared" si="47"/>
        <v>82.22784365</v>
      </c>
      <c r="EQ18" s="134">
        <f>IF(ISNA(VLOOKUP(A18,'Données projet'!$A$191:$I$211,3,0)),0,VLOOKUP(A18,'Données projet'!$A$191:$I$211,3,0))</f>
        <v>0</v>
      </c>
      <c r="ER18" s="134">
        <f>IF(ISNA(VLOOKUP(A18,'Données projet'!$A$191:$I$211,4,0)),0,VLOOKUP(A18,'Données projet'!$A$191:$I$211,4,0))</f>
        <v>0</v>
      </c>
      <c r="ES18" s="135">
        <f>IF(ISNA(VLOOKUP(A18,'Données projet'!$A$191:$I$211,5,0)),0%,VLOOKUP(A18,'Données projet'!$A$191:$I$211,5,0)*VLOOKUP('Données projet'!$B$15,'Paramètres'!$A$1:$I$89,7,0))</f>
        <v>0</v>
      </c>
      <c r="ET18" s="135">
        <f>IF(ISNA(VLOOKUP(A18,'Données projet'!$A$191:$I$211,6,0)),0%,VLOOKUP(A18,'Données projet'!$A$191:$I$211,6,0)*VLOOKUP('Données projet'!$B$15,'Paramètres'!$A$1:$I$89,7,0))</f>
        <v>0</v>
      </c>
      <c r="EU18" s="135">
        <f>IF(ISNA(VLOOKUP(A18,'Données projet'!$A$191:$I$211,7,0)),0%,VLOOKUP(A18,'Données projet'!$A$191:$I$211,7,0))</f>
        <v>0</v>
      </c>
      <c r="EV18" s="142">
        <f>EXP(-LN(2)/35)*EV17+(1-EXP(-LN(2)/35))/(LN(2)/35)*ER18*ES18*VLOOKUP('Données projet'!$B$15,'Paramètres'!$A$1:$I$89,3,0)*0.475*44/12</f>
        <v>0</v>
      </c>
      <c r="EW18" s="142">
        <f>EXP(-LN(2)/25)*EW17+(1-EXP(-LN(2)/25))/(LN(2)/25)*Calculateur!ER18*Calculateur!ET18*VLOOKUP('Données projet'!$B$15,'Paramètres'!$A$1:$I$89,3,0)*0.475*44/12</f>
        <v>0</v>
      </c>
      <c r="EX18" s="142">
        <f>EXP(-LN(2)/2)*EX17+(1-EXP(-LN(2)/2))/(LN(2)/2)*ER18*EU18*VLOOKUP('Données projet'!$B$15,'Paramètres'!$A$1:$I$89,3,0)*0.475*44/12</f>
        <v>0</v>
      </c>
      <c r="EY18" s="143">
        <f t="shared" si="22"/>
        <v>0</v>
      </c>
      <c r="EZ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1">
        <f>VLOOKUP(A18,'Données projet'!$A$217:$I$237,2,0)</f>
        <v>113</v>
      </c>
      <c r="FC18" s="130">
        <f>VLOOKUP(A18,'Données projet'!$A$217:$I$237,9,0)</f>
        <v>7.533333333</v>
      </c>
      <c r="FD18" s="130">
        <f t="array" ref="FD18">INDEX(FC:FC,MIN(IF(ISNUMBER(FC18:FC214),ROW(FC18:FC214),"")))</f>
        <v>7.533333333</v>
      </c>
      <c r="FE18" s="131">
        <f>IF('Données projet'!$A$218&gt;35,FE17+FD18-FM17,IF(A18&lt;'Données projet'!$A$218,$FB$205^A18,IF(A18='Données projet'!$A$218,'Données projet'!$B$218,FE17+FD18-FM17)))</f>
        <v>113</v>
      </c>
      <c r="FF18" s="138">
        <f>FE18*VLOOKUP('Données projet'!$B$16,'Paramètres'!$A$1:$I$89,3,0)*VLOOKUP('Données projet'!$B$16,'Paramètres'!$A$1:$I$89,5,0)</f>
        <v>102.2424</v>
      </c>
      <c r="FG18" s="130">
        <f t="shared" si="48"/>
        <v>27.49552698</v>
      </c>
      <c r="FH18" s="141">
        <f t="shared" si="23"/>
        <v>225.9602228</v>
      </c>
      <c r="FI18" s="133">
        <f t="shared" si="24"/>
        <v>519.2935562</v>
      </c>
      <c r="FJ18" s="133">
        <f>AVERAGE(OFFSET($FI$3,0,0,'Données projet'!$E$16+1,1))-AVERAGE(OFFSET($H$3,0,0,'Données projet'!$E$16+1,1))</f>
        <v>305.6252353</v>
      </c>
      <c r="FK18" s="133">
        <f t="shared" si="49"/>
        <v>331.397916</v>
      </c>
      <c r="FL18" s="134">
        <f>IF(ISNA(VLOOKUP(A18,'Données projet'!$A$217:$I$237,3,0)),0,VLOOKUP(A18,'Données projet'!$A$217:$I$237,3,0))</f>
        <v>1</v>
      </c>
      <c r="FM18" s="134">
        <f>IF(ISNA(VLOOKUP(A18,'Données projet'!$A$217:$I$237,4,0)),0,VLOOKUP(A18,'Données projet'!$A$217:$I$237,4,0))</f>
        <v>31</v>
      </c>
      <c r="FN18" s="135">
        <f>IF(ISNA(VLOOKUP(A18,'Données projet'!$A$217:$I$237,5,0)),0%,VLOOKUP(A18,'Données projet'!$A$217:$I$237,5,0)*VLOOKUP('Données projet'!$B$16,'Paramètres'!$A$1:$I$89,7,0))</f>
        <v>0</v>
      </c>
      <c r="FO18" s="135">
        <f>IF(ISNA(VLOOKUP(A18,'Données projet'!$A$217:$I$237,6,0)),0%,VLOOKUP(A18,'Données projet'!$A$217:$I$237,6,0)*VLOOKUP('Données projet'!$B$16,'Paramètres'!$A$1:$I$89,7,0))</f>
        <v>0</v>
      </c>
      <c r="FP18" s="135" t="str">
        <f>IF(ISNA(VLOOKUP(A18,'Données projet'!$A$217:$I$237,7,0)),0%,VLOOKUP(A18,'Données projet'!$A$217:$I$237,7,0))</f>
        <v/>
      </c>
      <c r="FQ18" s="142">
        <f>EXP(-LN(2)/35)*FQ17+(1-EXP(-LN(2)/35))/(LN(2)/35)*FM18*FN18*VLOOKUP('Données projet'!$B$16,'Paramètres'!$A$1:$I$89,3,0)*0.475*44/12</f>
        <v>0</v>
      </c>
      <c r="FR18" s="142">
        <f>EXP(-LN(2)/25)*FR17+(1-EXP(-LN(2)/25))/(LN(2)/25)*Calculateur!FM18*Calculateur!FO18*VLOOKUP('Données projet'!$B$16,'Paramètres'!$A$1:$I$89,3,0)*0.475*44/12</f>
        <v>0</v>
      </c>
      <c r="FS18" s="142">
        <f>EXP(-LN(2)/2)*FS17+(1-EXP(-LN(2)/2))/(LN(2)/2)*FM18*FP18*VLOOKUP('Données projet'!$B$16,'Paramètres'!$A$1:$I$89,3,0)*0.475*44/12</f>
        <v>0</v>
      </c>
      <c r="FT18" s="143">
        <f t="shared" si="25"/>
        <v>0</v>
      </c>
      <c r="FU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1" t="str">
        <f>VLOOKUP(A18,'Données projet'!$A$243:$I$263,2,0)</f>
        <v>#N/A</v>
      </c>
      <c r="FX18" s="131" t="str">
        <f>VLOOKUP(A18,'Données projet'!$A$243:$I$263,9,0)</f>
        <v>#N/A</v>
      </c>
      <c r="FY18" s="130">
        <f t="array" ref="FY18">INDEX(FX:FX,MIN(IF(ISNUMBER(FX18:FX214),ROW(FX18:FX214),"")))</f>
        <v>1.6</v>
      </c>
      <c r="FZ18" s="131">
        <f>IF('Données projet'!$A$244&gt;35,FZ17+FY18-GH17,IF(A18&lt;'Données projet'!$A$244,$FW$205^A18,IF(A18='Données projet'!$A$244,'Données projet'!$B$244,FZ17+FY18-GH17)))</f>
        <v>13.45434264</v>
      </c>
      <c r="GA18" s="138">
        <f>FZ18*VLOOKUP('Données projet'!$B$17,'Paramètres'!$A$1:$I$89,3,0)*VLOOKUP('Données projet'!$B$17,'Paramètres'!$A$1:$I$89,5,0)</f>
        <v>9.025173046</v>
      </c>
      <c r="GB18" s="130">
        <f t="shared" si="50"/>
        <v>3.219530754</v>
      </c>
      <c r="GC18" s="141">
        <f t="shared" si="26"/>
        <v>21.32619245</v>
      </c>
      <c r="GD18" s="133">
        <f t="shared" si="27"/>
        <v>314.6595258</v>
      </c>
      <c r="GE18" s="133">
        <f>AVERAGE(OFFSET($GD$3,0,0,'Données projet'!$E$17+1,1))-AVERAGE(OFFSET($H$3,0,0,'Données projet'!$E$17+1,1))</f>
        <v>118.7368745</v>
      </c>
      <c r="GF18" s="133">
        <f t="shared" si="51"/>
        <v>135.1233677</v>
      </c>
      <c r="GG18" s="134">
        <f>IF(ISNA(VLOOKUP(A18,'Données projet'!$A$243:$I$263,3,0)),0,VLOOKUP(A18,'Données projet'!$A$243:$I$263,3,0))</f>
        <v>0</v>
      </c>
      <c r="GH18" s="134">
        <f>IF(ISNA(VLOOKUP(A18,'Données projet'!$A$243:$I$263,4,0)),0,VLOOKUP(A18,'Données projet'!$A$243:$I$263,4,0))</f>
        <v>0</v>
      </c>
      <c r="GI18" s="135">
        <f>IF(ISNA(VLOOKUP(A18,'Données projet'!$A$243:$I$263,5,0)),0%,VLOOKUP(A18,'Données projet'!$A$243:$I$263,5,0)*VLOOKUP('Données projet'!$B$17,'Paramètres'!$A$1:$I$89,7,0))</f>
        <v>0</v>
      </c>
      <c r="GJ18" s="135">
        <f>IF(ISNA(VLOOKUP(A18,'Données projet'!$A$243:$I$263,6,0)),0%,VLOOKUP(A18,'Données projet'!$A$243:$I$263,6,0)*VLOOKUP('Données projet'!$B$17,'Paramètres'!$A$1:$I$89,7,0))</f>
        <v>0</v>
      </c>
      <c r="GK18" s="135">
        <f>IF(ISNA(VLOOKUP(A18,'Données projet'!$A$243:$I$263,7,0)),0%,VLOOKUP(A18,'Données projet'!$A$243:$I$263,7,0))</f>
        <v>0</v>
      </c>
      <c r="GL18" s="142">
        <f>EXP(-LN(2)/35)*GL17+(1-EXP(-LN(2)/35))/(LN(2)/35)*GH18*GI18*VLOOKUP('Données projet'!$B$17,'Paramètres'!$A$1:$I$89,3,0)*0.475*44/12</f>
        <v>0</v>
      </c>
      <c r="GM18" s="142">
        <f>EXP(-LN(2)/25)*GM17+(1-EXP(-LN(2)/25))/(LN(2)/25)*Calculateur!GH18*Calculateur!GJ18*VLOOKUP('Données projet'!$B$17,'Paramètres'!$A$1:$I$89,3,0)*0.475*44/12</f>
        <v>0</v>
      </c>
      <c r="GN18" s="142">
        <f>EXP(-LN(2)/2)*GN17+(1-EXP(-LN(2)/2))/(LN(2)/2)*GH18*GK18*VLOOKUP('Données projet'!$B$17,'Paramètres'!$A$1:$I$89,3,0)*0.475*44/12</f>
        <v>0</v>
      </c>
      <c r="GO18" s="142">
        <f t="shared" si="28"/>
        <v>0</v>
      </c>
      <c r="GP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1" t="str">
        <f>VLOOKUP(A18,'Données projet'!$A$269:$I$289,2,0)</f>
        <v>#N/A</v>
      </c>
      <c r="GS18" s="131" t="str">
        <f>VLOOKUP(A18,'Données projet'!$A$269:$I$289,9,0)</f>
        <v>#N/A</v>
      </c>
      <c r="GT18" s="130">
        <f t="array" ref="GT18">INDEX(GS:GS,MIN(IF(ISNUMBER(GS18:GS214),ROW(GS18:GS214),"")))</f>
        <v>1.2</v>
      </c>
      <c r="GU18" s="131">
        <f>IF('Données projet'!$A$270&gt;35,GU17+GT18-HC17,IF(A18&lt;'Données projet'!$A$270,$GR$205^A18,IF(A18='Données projet'!$A$270,'Données projet'!$B$270,GU17+GT18-HC17)))</f>
        <v>7.696136341</v>
      </c>
      <c r="GV18" s="138">
        <f>GU18*VLOOKUP('Données projet'!$B$18,'Paramètres'!$A$1:$I$89,3,0)*VLOOKUP('Données projet'!$B$18,'Paramètres'!$A$1:$I$89,5,0)</f>
        <v>8.284121157</v>
      </c>
      <c r="GW18" s="130">
        <f t="shared" si="52"/>
        <v>2.984795773</v>
      </c>
      <c r="GX18" s="141">
        <f t="shared" si="29"/>
        <v>19.62669699</v>
      </c>
      <c r="GY18" s="133">
        <f t="shared" si="30"/>
        <v>312.9600303</v>
      </c>
      <c r="GZ18" s="133">
        <f>AVERAGE(OFFSET($GY$3,0,0,'Données projet'!$E$18+1,1))-AVERAGE(OFFSET($H$3,0,0,'Données projet'!$E$18+1,1))</f>
        <v>100.5427875</v>
      </c>
      <c r="HA18" s="133">
        <f t="shared" si="53"/>
        <v>92.28663609</v>
      </c>
      <c r="HB18" s="134">
        <f>IF(ISNA(VLOOKUP(A18,'Données projet'!$A$269:$I$289,3,0)),0,VLOOKUP(A18,'Données projet'!$A$269:$I$289,3,0))</f>
        <v>0</v>
      </c>
      <c r="HC18" s="134">
        <f>IF(ISNA(VLOOKUP(A18,'Données projet'!$A$269:$I$289,4,0)),0,VLOOKUP(A18,'Données projet'!$A$269:$I$289,4,0))</f>
        <v>0</v>
      </c>
      <c r="HD18" s="135">
        <f>IF(ISNA(VLOOKUP(A18,'Données projet'!$A$269:$I$289,5,0)),0%,VLOOKUP(A18,'Données projet'!$A$269:$I$289,5,0)*VLOOKUP('Données projet'!$B$18,'Paramètres'!$A$1:$I$89,7,0))</f>
        <v>0</v>
      </c>
      <c r="HE18" s="135">
        <f>IF(ISNA(VLOOKUP(A18,'Données projet'!$A$269:$I$289,6,0)),0%,VLOOKUP(A18,'Données projet'!$A$269:$I$289,6,0)*VLOOKUP('Données projet'!$B$18,'Paramètres'!$A$1:$I$89,7,0))</f>
        <v>0</v>
      </c>
      <c r="HF18" s="135">
        <f>IF(ISNA(VLOOKUP(A18,'Données projet'!$A$269:$I$289,7,0)),0%,VLOOKUP(A18,'Données projet'!$A$269:$I$289,7,0))</f>
        <v>0</v>
      </c>
      <c r="HG18" s="142">
        <f>EXP(-LN(2)/35)*HG17+(1-EXP(-LN(2)/35))/(LN(2)/35)*HC18*HD18*VLOOKUP('Données projet'!$B$18,'Paramètres'!$A$1:$I$89,3,0)*0.475*44/12</f>
        <v>0</v>
      </c>
      <c r="HH18" s="142">
        <f>EXP(-LN(2)/25)*HH17+(1-EXP(-LN(2)/25))/(LN(2)/25)*Calculateur!HC18*Calculateur!HE18*VLOOKUP('Données projet'!$B$18,'Paramètres'!$A$1:$I$89,3,0)*0.475*44/12</f>
        <v>0</v>
      </c>
      <c r="HI18" s="142">
        <f>EXP(-LN(2)/2)*HI17+(1-EXP(-LN(2)/2))/(LN(2)/2)*HC18*HF18*VLOOKUP('Données projet'!$B$18,'Paramètres'!$A$1:$I$89,3,0)*0.475*44/12</f>
        <v>0</v>
      </c>
      <c r="HJ18" s="143">
        <f t="shared" si="31"/>
        <v>0</v>
      </c>
    </row>
    <row r="19">
      <c r="A19" s="125">
        <f t="shared" si="32"/>
        <v>16</v>
      </c>
      <c r="B19" s="126">
        <f>'Scénario référence'!$B$16*5+'Scénario référence'!$B$17*0+'Scénario référence'!$B$18*5</f>
        <v>0</v>
      </c>
      <c r="C19" s="140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8.736</v>
      </c>
      <c r="D19" s="127">
        <f t="shared" si="33"/>
        <v>3.128210005</v>
      </c>
      <c r="E1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7">
        <f>IF(OR('Scénario référence'!$F$8&gt;0,'Scénario référence'!$F$9&gt;0),('Scénario référence'!$F$8+'Scénario référence'!$F$9)*10,0)</f>
        <v>10</v>
      </c>
      <c r="G19" s="127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</v>
      </c>
      <c r="H19" s="128">
        <f t="shared" si="1"/>
        <v>313.9968324</v>
      </c>
      <c r="I19" s="12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1" t="str">
        <f>VLOOKUP(A19,'Données projet'!$A$35:$I$55,2,0)</f>
        <v>#N/A</v>
      </c>
      <c r="L19" s="131" t="str">
        <f>VLOOKUP(A19,'Données projet'!$A$35:$I$55,9,0)</f>
        <v>#N/A</v>
      </c>
      <c r="M19" s="131">
        <f t="array" ref="M19">INDEX(L:L,MIN(IF(ISNUMBER(L19:L215),ROW(L19:L215),"")))</f>
        <v>3.92</v>
      </c>
      <c r="N19" s="130">
        <f>IF('Données projet'!$A$36&gt;35,N18+M19-V18,IF(A19&lt;'Données projet'!$A$36,$K$205^A19,IF(A19='Données projet'!$A$36,'Données projet'!$B$36,N18+M19-V18)))</f>
        <v>18.80982212</v>
      </c>
      <c r="O19" s="130">
        <f>N19*VLOOKUP('Données projet'!$B$9,'Paramètres'!$A$1:$I$89,3,0)*VLOOKUP('Données projet'!$B$9,'Paramètres'!$A$1:$I$89,5,0)</f>
        <v>10.75921825</v>
      </c>
      <c r="P19" s="130">
        <f t="shared" si="34"/>
        <v>3.760395347</v>
      </c>
      <c r="Q19" s="141">
        <f t="shared" si="2"/>
        <v>25.28832701</v>
      </c>
      <c r="R19" s="133">
        <f t="shared" si="3"/>
        <v>318.6216603</v>
      </c>
      <c r="S19" s="133">
        <f>AVERAGE(OFFSET($R$3,0,0,'Données projet'!$E$9+1,1))-AVERAGE(OFFSET($H$3,0,0,'Données projet'!$E$9+1,1))</f>
        <v>126.9946492</v>
      </c>
      <c r="T19" s="133">
        <f t="shared" si="35"/>
        <v>140.039049</v>
      </c>
      <c r="U19" s="134">
        <f>IF(ISNA(VLOOKUP(A19,'Données projet'!$A$35:$I$55,3,0)),0,VLOOKUP(A19,'Données projet'!$A$35:$I$55,3,0))</f>
        <v>0</v>
      </c>
      <c r="V19" s="134">
        <f>IF(ISNA(VLOOKUP(A19,'Données projet'!$A$35:$I$55,4,0)),0,VLOOKUP(A19,'Données projet'!$A$35:$I$55,4,0))</f>
        <v>0</v>
      </c>
      <c r="W19" s="135">
        <f>IF(ISNA(VLOOKUP(A19,'Données projet'!$A$35:$I$55,5,0)),0%,VLOOKUP(A19,'Données projet'!$A$35:$I$55,5,0)*VLOOKUP('Données projet'!$B$9,'Paramètres'!$A$1:$I$89,7,0))</f>
        <v>0</v>
      </c>
      <c r="X19" s="135">
        <f>IF(ISNA(VLOOKUP(A19,'Données projet'!$A$35:$I$55,6,0)),0%,VLOOKUP(A19,'Données projet'!$A$35:$I$55,6,0)*VLOOKUP('Données projet'!$B$9,'Paramètres'!$A$1:$I$89,7,0))</f>
        <v>0</v>
      </c>
      <c r="Y19" s="135">
        <f>IF(ISNA(VLOOKUP(A19,'Données projet'!$A$35:$I$55,7,0)),0%,VLOOKUP(A19,'Données projet'!$A$35:$I$55,7,0))</f>
        <v>0</v>
      </c>
      <c r="Z19" s="142">
        <f>EXP(-LN(2)/35)*Z18+(1-EXP(-LN(2)/35))/(LN(2)/35)*V19*W19*VLOOKUP('Données projet'!$B$9,'Paramètres'!$A$1:$I$89,3,0)*0.475*44/12</f>
        <v>0</v>
      </c>
      <c r="AA19" s="142">
        <f>EXP(-LN(2)/25)*AA18+(1-EXP(-LN(2)/25))/(LN(2)/25)*Calculateur!V19*Calculateur!X19*VLOOKUP('Données projet'!$B$9,'Paramètres'!$A$1:$I$89,3,0)*0.475*44/12</f>
        <v>0</v>
      </c>
      <c r="AB19" s="142">
        <f>EXP(-LN(2)/2)*AB18+(1-EXP(-LN(2)/2))/(LN(2)/2)*V19*Y19*VLOOKUP('Données projet'!$B$9,'Paramètres'!$A$1:$I$89,3,0)*0.475*44/12</f>
        <v>0</v>
      </c>
      <c r="AC19" s="143">
        <f t="shared" si="4"/>
        <v>0</v>
      </c>
      <c r="AD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0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1" t="str">
        <f>VLOOKUP(A19,'Données projet'!$A$61:$I$81,2,0)</f>
        <v>#N/A</v>
      </c>
      <c r="AG19" s="131" t="str">
        <f>VLOOKUP(A19,'Données projet'!$A$61:$I$81,9,0)</f>
        <v>#N/A</v>
      </c>
      <c r="AH19" s="130">
        <f t="array" ref="AH19">INDEX(AG:AG,MIN(IF(ISNUMBER(AG19:AG215),ROW(AG19:AG215),"")))</f>
        <v>5.590909091</v>
      </c>
      <c r="AI19" s="130">
        <f>IF('Données projet'!$A$62&gt;35,AI18+AH19-AQ18,IF(A19&lt;'Données projet'!$A$62,$AF$205^A19,IF(A19='Données projet'!$A$62,'Données projet'!$B$62,AI18+AH19-AQ18)))</f>
        <v>33.10785086</v>
      </c>
      <c r="AJ19" s="130">
        <f>AI19*VLOOKUP('Données projet'!$B$10,'Paramètres'!$A$1:$I$89,3,0)*VLOOKUP('Données projet'!$B$10,'Paramètres'!$A$1:$I$89,5,0)</f>
        <v>19.79849481</v>
      </c>
      <c r="AK19" s="130">
        <f t="shared" si="36"/>
        <v>6.445494675</v>
      </c>
      <c r="AL19" s="141">
        <f t="shared" si="5"/>
        <v>45.70828169</v>
      </c>
      <c r="AM19" s="133">
        <f t="shared" si="6"/>
        <v>339.041615</v>
      </c>
      <c r="AN19" s="133">
        <f>AVERAGE(OFFSET($AM$3,0,0,'Données projet'!$E$10+1,1))-AVERAGE(OFFSET($H$3,0,0,'Données projet'!$E$10+1,1))</f>
        <v>196.874484</v>
      </c>
      <c r="AO19" s="133">
        <f t="shared" si="37"/>
        <v>217.5750859</v>
      </c>
      <c r="AP19" s="134">
        <f>IF(ISNA(VLOOKUP(A19,'Données projet'!$A$61:$I$81,3,0)),0,VLOOKUP(A19,'Données projet'!$A$61:$I$81,3,0))</f>
        <v>0</v>
      </c>
      <c r="AQ19" s="134">
        <f>IF(ISNA(VLOOKUP(A19,'Données projet'!$A$61:$I$81,4,0)),0,VLOOKUP(A19,'Données projet'!$A$61:$I$81,4,0))</f>
        <v>0</v>
      </c>
      <c r="AR19" s="135">
        <f>IF(ISNA(VLOOKUP(A19,'Données projet'!$A$61:$I$81,5,0)),0%,VLOOKUP(A19,'Données projet'!$A$61:$I$81,5,0)*VLOOKUP('Données projet'!$B$10,'Paramètres'!$A$1:$I$89,7,0))</f>
        <v>0</v>
      </c>
      <c r="AS19" s="135">
        <f>IF(ISNA(VLOOKUP(A19,'Données projet'!$A$61:$I$81,6,0)),0%,VLOOKUP(A19,'Données projet'!$A$61:$I$81,6,0)*VLOOKUP('Données projet'!$B$10,'Paramètres'!$A$1:$I$89,7,0))</f>
        <v>0</v>
      </c>
      <c r="AT19" s="135">
        <f>IF(ISNA(VLOOKUP(A19,'Données projet'!$A$61:$I$81,7,0)),0%,VLOOKUP(A19,'Données projet'!$A$61:$I$81,7,0))</f>
        <v>0</v>
      </c>
      <c r="AU19" s="142">
        <f>EXP(-LN(2)/35)*AU18+(1-EXP(-LN(2)/35))/(LN(2)/35)*AQ19*AR19*VLOOKUP('Données projet'!$B$10,'Paramètres'!$A$1:$I$89,3,0)*0.475*44/12</f>
        <v>0</v>
      </c>
      <c r="AV19" s="142">
        <f>EXP(-LN(2)/25)*AV18+(1-EXP(-LN(2)/25))/(LN(2)/25)*Calculateur!AQ19*Calculateur!AS19*VLOOKUP('Données projet'!$B$10,'Paramètres'!$A$1:$I$89,3,0)*0.475*44/12</f>
        <v>0</v>
      </c>
      <c r="AW19" s="142">
        <f>EXP(-LN(2)/2)*AW18+(1-EXP(-LN(2)/2))/(LN(2)/2)*AQ19*AT19*VLOOKUP('Données projet'!$B$10,'Paramètres'!$A$1:$I$89,3,0)*0.475*44/12</f>
        <v>0</v>
      </c>
      <c r="AX19" s="142">
        <f t="shared" si="7"/>
        <v>0</v>
      </c>
      <c r="AY19" s="13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1" t="str">
        <f>VLOOKUP(A19,'Données projet'!$A$87:$I$107,2,0)</f>
        <v>#N/A</v>
      </c>
      <c r="BB19" s="131" t="str">
        <f>VLOOKUP(A19,'Données projet'!$A$87:$I$107,9,0)</f>
        <v>#N/A</v>
      </c>
      <c r="BC19" s="130">
        <f t="array" ref="BC19">INDEX(BB:BB,MIN(IF(ISNUMBER(BB19:BB215),ROW(BB19:BB215),"")))</f>
        <v>4.666666667</v>
      </c>
      <c r="BD19" s="131">
        <f>IF('Données projet'!$A$88&gt;35,BD18+BC19-BL18,IF(A19&lt;'Données projet'!$A$88,$BA$205^A19,IF(A19='Données projet'!$A$88,'Données projet'!$B$88,BD18+BC19-BL18)))</f>
        <v>13.95088051</v>
      </c>
      <c r="BE19" s="130">
        <f>BD19*VLOOKUP('Données projet'!$B$11,'Paramètres'!$A$1:$I$89,3,0)*VLOOKUP('Données projet'!$B$11,'Paramètres'!$A$1:$I$89,5,0)</f>
        <v>6.529012079</v>
      </c>
      <c r="BF19" s="130">
        <f t="shared" si="38"/>
        <v>2.418528955</v>
      </c>
      <c r="BG19" s="141">
        <f t="shared" si="8"/>
        <v>15.58363397</v>
      </c>
      <c r="BH19" s="133">
        <f t="shared" si="9"/>
        <v>308.9169673</v>
      </c>
      <c r="BI19" s="133">
        <f>AVERAGE(OFFSET($BH$3,0,0,'Données projet'!$E$11+1,1))-AVERAGE(OFFSET($H$3,0,0,'Données projet'!$E$11+1,1))</f>
        <v>134.0948534</v>
      </c>
      <c r="BJ19" s="133">
        <f t="shared" si="39"/>
        <v>108.4102536</v>
      </c>
      <c r="BK19" s="134">
        <f>IF(ISNA(VLOOKUP(A19,'Données projet'!$A$87:$I$107,3,0)),0,VLOOKUP(A19,'Données projet'!$A$87:$I$107,3,0))</f>
        <v>0</v>
      </c>
      <c r="BL19" s="134">
        <f>IF(ISNA(VLOOKUP(A19,'Données projet'!$A$87:$I$107,4,0)),0,VLOOKUP(A19,'Données projet'!$A$87:$I$107,4,0))</f>
        <v>0</v>
      </c>
      <c r="BM19" s="135">
        <f>IF(ISNA(VLOOKUP(A19,'Données projet'!$A$87:$I$107,5,0)),0%,VLOOKUP(A19,'Données projet'!$A$87:$I$107,5,0)*VLOOKUP('Données projet'!$B$11,'Paramètres'!$A$1:$I$89,7,0))</f>
        <v>0</v>
      </c>
      <c r="BN19" s="135">
        <f>IF(ISNA(VLOOKUP(A19,'Données projet'!$A$87:$I$107,6,0)),0%,VLOOKUP(A19,'Données projet'!$A$87:$I$107,6,0)*VLOOKUP('Données projet'!$B$11,'Paramètres'!$A$1:$I$89,7,0))</f>
        <v>0</v>
      </c>
      <c r="BO19" s="135">
        <f>IF(ISNA(VLOOKUP(A19,'Données projet'!$A$87:$I$107,7,0)),0%,VLOOKUP(A19,'Données projet'!$A$87:$I$107,7,0))</f>
        <v>0</v>
      </c>
      <c r="BP19" s="142">
        <f>EXP(-LN(2)/35)*BP18+(1-EXP(-LN(2)/35))/(LN(2)/35)*BL19*BM19*VLOOKUP('Données projet'!$B$11,'Paramètres'!$A$1:$I$89,3,0)*0.475*44/12</f>
        <v>0</v>
      </c>
      <c r="BQ19" s="142">
        <f>EXP(-LN(2)/25)*BQ18+(1-EXP(-LN(2)/25))/(LN(2)/25)*Calculateur!BL19*Calculateur!BN19*VLOOKUP('Données projet'!$B$11,'Paramètres'!$A$1:$I$89,3,0)*0.475*44/12</f>
        <v>0</v>
      </c>
      <c r="BR19" s="142">
        <f>EXP(-LN(2)/2)*BR18+(1-EXP(-LN(2)/2))/(LN(2)/2)*BL19*BO19*VLOOKUP('Données projet'!$B$11,'Paramètres'!$A$1:$I$89,3,0)*0.475*44/12</f>
        <v>0</v>
      </c>
      <c r="BS19" s="143">
        <f t="shared" si="10"/>
        <v>0</v>
      </c>
      <c r="BT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1" t="str">
        <f>VLOOKUP(A19,'Données projet'!$A$113:$I$133,2,0)</f>
        <v>#N/A</v>
      </c>
      <c r="BW19" s="131" t="str">
        <f>VLOOKUP(A19,'Données projet'!$A$113:$I$133,9,0)</f>
        <v>#N/A</v>
      </c>
      <c r="BX19" s="130">
        <f t="array" ref="BX19">INDEX(BW:BW,MIN(IF(ISNUMBER(BW19:BW215),ROW(BW19:BW215),"")))</f>
        <v>20</v>
      </c>
      <c r="BY19" s="130">
        <f>IF('Données projet'!$A$114&gt;35,BY18+BX19-CG18,IF(A19&lt;'Données projet'!$A$114,$BV$205^A19,IF(A19='Données projet'!$A$114,'Données projet'!$B$114,BY18+BX19-CG18)))</f>
        <v>48</v>
      </c>
      <c r="BZ19" s="130">
        <f>BY19*VLOOKUP('Données projet'!$B$12,'Paramètres'!$A$1:$I$89,3,0)*VLOOKUP('Données projet'!$B$12,'Paramètres'!$A$1:$I$89,5,0)</f>
        <v>23.712</v>
      </c>
      <c r="CA19" s="130">
        <f t="shared" si="40"/>
        <v>7.559167248</v>
      </c>
      <c r="CB19" s="141">
        <f t="shared" si="11"/>
        <v>54.46394962</v>
      </c>
      <c r="CC19" s="133">
        <f t="shared" si="12"/>
        <v>347.797283</v>
      </c>
      <c r="CD19" s="133">
        <f>AVERAGE(OFFSET($CC$3,0,0,'Données projet'!$E$12+1,1))-AVERAGE(OFFSET($H$3,0,0,'Données projet'!$E$12+1,1))</f>
        <v>258.1672054</v>
      </c>
      <c r="CE19" s="133">
        <f t="shared" si="41"/>
        <v>296.0724261</v>
      </c>
      <c r="CF19" s="134">
        <f>IF(ISNA(VLOOKUP(A19,'Données projet'!$A$113:$I$133,3,0)),0,VLOOKUP(A19,'Données projet'!$A$113:$I$133,3,0))</f>
        <v>0</v>
      </c>
      <c r="CG19" s="134">
        <f>IF(ISNA(VLOOKUP(A19,'Données projet'!$A$113:$I$133,4,0)),0,VLOOKUP(A19,'Données projet'!$A$113:$I$133,4,0))</f>
        <v>0</v>
      </c>
      <c r="CH19" s="135">
        <f>IF(ISNA(VLOOKUP(A19,'Données projet'!$A$113:$I$133,5,0)),0%,VLOOKUP(A19,'Données projet'!$A$113:$I$133,5,0)*VLOOKUP('Données projet'!$B$12,'Paramètres'!$A$1:$I$89,7,0))</f>
        <v>0</v>
      </c>
      <c r="CI19" s="135">
        <f>IF(ISNA(VLOOKUP(A19,'Données projet'!$A$113:$I$133,6,0)),0%,VLOOKUP(A19,'Données projet'!$A$113:$I$133,6,0)*VLOOKUP('Données projet'!$B$12,'Paramètres'!$A$1:$I$89,7,0))</f>
        <v>0</v>
      </c>
      <c r="CJ19" s="135">
        <f>IF(ISNA(VLOOKUP(A19,'Données projet'!$A$113:$I$133,7,0)),0%,VLOOKUP(A19,'Données projet'!$A$113:$I$133,7,0))</f>
        <v>0</v>
      </c>
      <c r="CK19" s="142">
        <f>EXP(-LN(2)/35)*CK18+(1-EXP(-LN(2)/35))/(LN(2)/35)*CG19*CH19*VLOOKUP('Données projet'!$B$12,'Paramètres'!$A$1:$I$89,3,0)*0.475*44/12</f>
        <v>0</v>
      </c>
      <c r="CL19" s="142">
        <f>EXP(-LN(2)/25)*CL18+(1-EXP(-LN(2)/25))/(LN(2)/25)*Calculateur!CG19*Calculateur!CI19*VLOOKUP('Données projet'!$B$12,'Paramètres'!$A$1:$I$89,3,0)*0.475*44/12</f>
        <v>0</v>
      </c>
      <c r="CM19" s="142">
        <f>EXP(-LN(2)/2)*CM18+(1-EXP(-LN(2)/2))/(LN(2)/2)*CG19*CJ19*VLOOKUP('Données projet'!$B$12,'Paramètres'!$A$1:$I$89,3,0)*0.475*44/12</f>
        <v>0</v>
      </c>
      <c r="CN19" s="143">
        <f t="shared" si="13"/>
        <v>0</v>
      </c>
      <c r="CO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1" t="str">
        <f>VLOOKUP(A19,'Données projet'!$A$139:$I$159,2,0)</f>
        <v>#N/A</v>
      </c>
      <c r="CR19" s="131" t="str">
        <f>VLOOKUP(A19,'Données projet'!$A$139:$I$159,9,0)</f>
        <v>#N/A</v>
      </c>
      <c r="CS19" s="130">
        <f t="array" ref="CS19">INDEX(CR:CR,MIN(IF(ISNUMBER(CR19:CR215),ROW(CR19:CR215),"")))</f>
        <v>1.2</v>
      </c>
      <c r="CT19" s="131">
        <f>IF('Données projet'!$A$140&gt;35,CT18+CS19-DB18,IF(A19&lt;'Données projet'!$A$140,$CQ$205^A19,IF(A19='Données projet'!$A$140,'Données projet'!$B$140,CT18+CS19-DB18)))</f>
        <v>8.817746374</v>
      </c>
      <c r="CU19" s="138">
        <f>CT19*VLOOKUP('Données projet'!$B$13,'Paramètres'!$A$1:$I$89,3,0)*VLOOKUP('Données projet'!$B$13,'Paramètres'!$A$1:$I$89,5,0)</f>
        <v>8.941194824</v>
      </c>
      <c r="CV19" s="130">
        <f t="shared" si="42"/>
        <v>3.193046035</v>
      </c>
      <c r="CW19" s="141">
        <f t="shared" si="14"/>
        <v>21.13380283</v>
      </c>
      <c r="CX19" s="133">
        <f t="shared" si="15"/>
        <v>314.4671362</v>
      </c>
      <c r="CY19" s="133">
        <f>AVERAGE(OFFSET($CX$3,0,0,'Données projet'!$E$13+1,1))-AVERAGE(OFFSET($H$3,0,0,'Données projet'!$E$13+1,1))</f>
        <v>223.783507</v>
      </c>
      <c r="CZ19" s="133">
        <f t="shared" si="43"/>
        <v>84.92349117</v>
      </c>
      <c r="DA19" s="134">
        <f>IF(ISNA(VLOOKUP(A19,'Données projet'!$A$139:$I$159,3,0)),0,VLOOKUP(A19,'Données projet'!$A$139:$I$159,3,0))</f>
        <v>0</v>
      </c>
      <c r="DB19" s="134">
        <f>IF(ISNA(VLOOKUP(A19,'Données projet'!$A$139:$I$159,4,0)),0,VLOOKUP(A19,'Données projet'!$A$139:$I$159,4,0))</f>
        <v>0</v>
      </c>
      <c r="DC19" s="135">
        <f>IF(ISNA(VLOOKUP(A19,'Données projet'!$A$139:$I$159,5,0)),0%,VLOOKUP(A19,'Données projet'!$A$139:$I$159,5,0)*VLOOKUP('Données projet'!$B$13,'Paramètres'!$A$1:$I$89,7,0))</f>
        <v>0</v>
      </c>
      <c r="DD19" s="135">
        <f>IF(ISNA(VLOOKUP(A19,'Données projet'!$A$139:$I$159,6,0)),0%,VLOOKUP(A19,'Données projet'!$A$139:$I$159,6,0)*VLOOKUP('Données projet'!$B$13,'Paramètres'!$A$1:$I$89,7,0))</f>
        <v>0</v>
      </c>
      <c r="DE19" s="135">
        <f>IF(ISNA(VLOOKUP(A19,'Données projet'!$A$139:$I$159,7,0)),0%,VLOOKUP(A19,'Données projet'!$A$139:$I$159,7,0))</f>
        <v>0</v>
      </c>
      <c r="DF19" s="142">
        <f>EXP(-LN(2)/35)*DF18+(1-EXP(-LN(2)/35))/(LN(2)/35)*DB19*DC19*VLOOKUP('Données projet'!$B$13,'Paramètres'!$A$1:$I$89,3,0)*0.475*44/12</f>
        <v>0</v>
      </c>
      <c r="DG19" s="142">
        <f>EXP(-LN(2)/25)*DG18+(1-EXP(-LN(2)/25))/(LN(2)/25)*Calculateur!DB19*Calculateur!DD19*VLOOKUP('Données projet'!$B$13,'Paramètres'!$A$1:$I$89,3,0)*0.475*44/12</f>
        <v>0</v>
      </c>
      <c r="DH19" s="142">
        <f>EXP(-LN(2)/2)*DH18+(1-EXP(-LN(2)/2))/(LN(2)/2)*DB19*DE19*VLOOKUP('Données projet'!$B$13,'Paramètres'!$A$1:$I$89,3,0)*0.475*44/12</f>
        <v>0</v>
      </c>
      <c r="DI19" s="143">
        <f t="shared" si="16"/>
        <v>0</v>
      </c>
      <c r="DJ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1" t="str">
        <f>VLOOKUP(A19,'Données projet'!$A$165:$I$185,2,0)</f>
        <v>#N/A</v>
      </c>
      <c r="DM19" s="131" t="str">
        <f>VLOOKUP(A19,'Données projet'!$A$165:$I$185,9,0)</f>
        <v>#N/A</v>
      </c>
      <c r="DN19" s="131">
        <f t="array" ref="DN19">INDEX(DM:DM,MIN(IF(ISNUMBER(DM19:DM215),ROW(DM19:DM215),"")))</f>
        <v>2.1</v>
      </c>
      <c r="DO19" s="131">
        <f>IF('Données projet'!$A$166&gt;35,DO18+DN19-DW18,IF(A19&lt;'Données projet'!$A$166,$DL$205^A19,IF(A19='Données projet'!$A$166,'Données projet'!$B$166,DO18+DN19-DW18)))</f>
        <v>19.88838105</v>
      </c>
      <c r="DP19" s="138">
        <f>DO19*VLOOKUP('Données projet'!$B$14,'Paramètres'!$A$1:$I$89,3,0)*VLOOKUP('Données projet'!$B$14,'Paramètres'!$A$1:$I$89,5,0)</f>
        <v>17.99500718</v>
      </c>
      <c r="DQ19" s="130">
        <f t="shared" si="44"/>
        <v>5.923854643</v>
      </c>
      <c r="DR19" s="141">
        <f t="shared" si="17"/>
        <v>41.65868434</v>
      </c>
      <c r="DS19" s="133">
        <f t="shared" si="18"/>
        <v>334.9920177</v>
      </c>
      <c r="DT19" s="133">
        <f>AVERAGE(OFFSET($DS$3,0,0,'Données projet'!$E$14+1,1))-AVERAGE(OFFSET($H$3,0,0,'Données projet'!$E$14+1,1))</f>
        <v>287.9334714</v>
      </c>
      <c r="DU19" s="133">
        <f t="shared" si="45"/>
        <v>156.6796502</v>
      </c>
      <c r="DV19" s="134">
        <f>IF(ISNA(VLOOKUP(A19,'Données projet'!$A$165:$I$185,3,0)),0,VLOOKUP(A19,'Données projet'!$A$165:$I$185,3,0))</f>
        <v>0</v>
      </c>
      <c r="DW19" s="134">
        <f>IF(ISNA(VLOOKUP(A19,'Données projet'!$A$165:$I$185,4,0)),0,VLOOKUP(A19,'Données projet'!$A$165:$I$185,4,0))</f>
        <v>0</v>
      </c>
      <c r="DX19" s="135">
        <f>IF(ISNA(VLOOKUP(A19,'Données projet'!$A$165:$I$185,5,0)),0%,VLOOKUP(A19,'Données projet'!$A$165:$I$185,5,0)*VLOOKUP('Données projet'!$B$14,'Paramètres'!$A$1:$I$89,7,0))</f>
        <v>0</v>
      </c>
      <c r="DY19" s="135">
        <f>IF(ISNA(VLOOKUP(A19,'Données projet'!$A$165:$I$185,6,0)),0%,VLOOKUP(A19,'Données projet'!$A$165:$I$185,6,0)*VLOOKUP('Données projet'!$B$14,'Paramètres'!$A$1:$I$89,7,0))</f>
        <v>0</v>
      </c>
      <c r="DZ19" s="135">
        <f>IF(ISNA(VLOOKUP(A19,'Données projet'!$A$165:$I$185,7,0)),0%,VLOOKUP(A19,'Données projet'!$A$165:$I$185,7,0))</f>
        <v>0</v>
      </c>
      <c r="EA19" s="142">
        <f>EXP(-LN(2)/35)*EA18+(1-EXP(-LN(2)/35))/(LN(2)/35)*DW19*DX19*VLOOKUP('Données projet'!$B$14,'Paramètres'!$A$1:$I$89,3,0)*0.475*44/12</f>
        <v>0</v>
      </c>
      <c r="EB19" s="142">
        <f>EXP(-LN(2)/25)*EB18+(1-EXP(-LN(2)/25))/(LN(2)/25)*Calculateur!DW19*Calculateur!DY19*VLOOKUP('Données projet'!$B$14,'Paramètres'!$A$1:$I$89,3,0)*0.475*44/12</f>
        <v>0</v>
      </c>
      <c r="EC19" s="142">
        <f>EXP(-LN(2)/2)*EC18+(1-EXP(-LN(2)/2))/(LN(2)/2)*DW19*DZ19*VLOOKUP('Données projet'!$B$14,'Paramètres'!$A$1:$I$89,3,0)*0.475*44/12</f>
        <v>0</v>
      </c>
      <c r="ED19" s="143">
        <f t="shared" si="19"/>
        <v>0</v>
      </c>
      <c r="EE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1" t="str">
        <f>VLOOKUP(A19,'Données projet'!$A$191:$I$211,2,0)</f>
        <v>#N/A</v>
      </c>
      <c r="EH19" s="131" t="str">
        <f>VLOOKUP(A19,'Données projet'!$A$191:$I$211,9,0)</f>
        <v>#N/A</v>
      </c>
      <c r="EI19" s="131">
        <f t="array" ref="EI19">INDEX(EH:EH,MIN(IF(ISNUMBER(EH19:EH215),ROW(EH19:EH215),"")))</f>
        <v>1.6</v>
      </c>
      <c r="EJ19" s="131">
        <f>IF('Données projet'!$A$192&gt;35,EJ18+EI19-ER18,IF(A19&lt;'Données projet'!$A$192,$EG$205^A19,IF(A19='Données projet'!$A$192,'Données projet'!$B$192,EJ18+EI19-ER18)))</f>
        <v>10.60030581</v>
      </c>
      <c r="EK19" s="138">
        <f>EJ19*VLOOKUP('Données projet'!$B$15,'Paramètres'!$A$1:$I$89,3,0)*VLOOKUP('Données projet'!$B$15,'Paramètres'!$A$1:$I$89,5,0)</f>
        <v>7.772144219</v>
      </c>
      <c r="EL19" s="130">
        <f t="shared" si="46"/>
        <v>2.821200555</v>
      </c>
      <c r="EM19" s="141">
        <f t="shared" si="20"/>
        <v>18.45007548</v>
      </c>
      <c r="EN19" s="133">
        <f t="shared" si="21"/>
        <v>311.7834088</v>
      </c>
      <c r="EO19" s="133">
        <f>AVERAGE(OFFSET($EN$3,0,0,'Données projet'!$E$15+1,1))-AVERAGE(OFFSET($H$3,0,0,'Données projet'!$E$15+1,1))</f>
        <v>130.3193339</v>
      </c>
      <c r="EP19" s="133">
        <f t="shared" si="47"/>
        <v>82.22784365</v>
      </c>
      <c r="EQ19" s="134">
        <f>IF(ISNA(VLOOKUP(A19,'Données projet'!$A$191:$I$211,3,0)),0,VLOOKUP(A19,'Données projet'!$A$191:$I$211,3,0))</f>
        <v>0</v>
      </c>
      <c r="ER19" s="134">
        <f>IF(ISNA(VLOOKUP(A19,'Données projet'!$A$191:$I$211,4,0)),0,VLOOKUP(A19,'Données projet'!$A$191:$I$211,4,0))</f>
        <v>0</v>
      </c>
      <c r="ES19" s="135">
        <f>IF(ISNA(VLOOKUP(A19,'Données projet'!$A$191:$I$211,5,0)),0%,VLOOKUP(A19,'Données projet'!$A$191:$I$211,5,0)*VLOOKUP('Données projet'!$B$15,'Paramètres'!$A$1:$I$89,7,0))</f>
        <v>0</v>
      </c>
      <c r="ET19" s="135">
        <f>IF(ISNA(VLOOKUP(A19,'Données projet'!$A$191:$I$211,6,0)),0%,VLOOKUP(A19,'Données projet'!$A$191:$I$211,6,0)*VLOOKUP('Données projet'!$B$15,'Paramètres'!$A$1:$I$89,7,0))</f>
        <v>0</v>
      </c>
      <c r="EU19" s="135">
        <f>IF(ISNA(VLOOKUP(A19,'Données projet'!$A$191:$I$211,7,0)),0%,VLOOKUP(A19,'Données projet'!$A$191:$I$211,7,0))</f>
        <v>0</v>
      </c>
      <c r="EV19" s="142">
        <f>EXP(-LN(2)/35)*EV18+(1-EXP(-LN(2)/35))/(LN(2)/35)*ER19*ES19*VLOOKUP('Données projet'!$B$15,'Paramètres'!$A$1:$I$89,3,0)*0.475*44/12</f>
        <v>0</v>
      </c>
      <c r="EW19" s="142">
        <f>EXP(-LN(2)/25)*EW18+(1-EXP(-LN(2)/25))/(LN(2)/25)*Calculateur!ER19*Calculateur!ET19*VLOOKUP('Données projet'!$B$15,'Paramètres'!$A$1:$I$89,3,0)*0.475*44/12</f>
        <v>0</v>
      </c>
      <c r="EX19" s="142">
        <f>EXP(-LN(2)/2)*EX18+(1-EXP(-LN(2)/2))/(LN(2)/2)*ER19*EU19*VLOOKUP('Données projet'!$B$15,'Paramètres'!$A$1:$I$89,3,0)*0.475*44/12</f>
        <v>0</v>
      </c>
      <c r="EY19" s="143">
        <f t="shared" si="22"/>
        <v>0</v>
      </c>
      <c r="EZ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1" t="str">
        <f>VLOOKUP(A19,'Données projet'!$A$217:$I$237,2,0)</f>
        <v>#N/A</v>
      </c>
      <c r="FC19" s="131" t="str">
        <f>VLOOKUP(A19,'Données projet'!$A$217:$I$237,9,0)</f>
        <v>#N/A</v>
      </c>
      <c r="FD19" s="130">
        <f t="array" ref="FD19">INDEX(FC:FC,MIN(IF(ISNUMBER(FC19:FC215),ROW(FC19:FC215),"")))</f>
        <v>11.4</v>
      </c>
      <c r="FE19" s="130">
        <f>IF('Données projet'!$A$218&gt;35,FE18+FD19-FM18,IF(A19&lt;'Données projet'!$A$218,$FB$205^A19,IF(A19='Données projet'!$A$218,'Données projet'!$B$218,FE18+FD19-FM18)))</f>
        <v>93.4</v>
      </c>
      <c r="FF19" s="138">
        <f>FE19*VLOOKUP('Données projet'!$B$16,'Paramètres'!$A$1:$I$89,3,0)*VLOOKUP('Données projet'!$B$16,'Paramètres'!$A$1:$I$89,5,0)</f>
        <v>84.50832</v>
      </c>
      <c r="FG19" s="130">
        <f t="shared" si="48"/>
        <v>23.23595009</v>
      </c>
      <c r="FH19" s="141">
        <f t="shared" si="23"/>
        <v>187.6546037</v>
      </c>
      <c r="FI19" s="133">
        <f t="shared" si="24"/>
        <v>480.9879371</v>
      </c>
      <c r="FJ19" s="133">
        <f>AVERAGE(OFFSET($FI$3,0,0,'Données projet'!$E$16+1,1))-AVERAGE(OFFSET($H$3,0,0,'Données projet'!$E$16+1,1))</f>
        <v>305.6252353</v>
      </c>
      <c r="FK19" s="133">
        <f t="shared" si="49"/>
        <v>331.397916</v>
      </c>
      <c r="FL19" s="134">
        <f>IF(ISNA(VLOOKUP(A19,'Données projet'!$A$217:$I$237,3,0)),0,VLOOKUP(A19,'Données projet'!$A$217:$I$237,3,0))</f>
        <v>0</v>
      </c>
      <c r="FM19" s="134">
        <f>IF(ISNA(VLOOKUP(A19,'Données projet'!$A$217:$I$237,4,0)),0,VLOOKUP(A19,'Données projet'!$A$217:$I$237,4,0))</f>
        <v>0</v>
      </c>
      <c r="FN19" s="135">
        <f>IF(ISNA(VLOOKUP(A19,'Données projet'!$A$217:$I$237,5,0)),0%,VLOOKUP(A19,'Données projet'!$A$217:$I$237,5,0)*VLOOKUP('Données projet'!$B$16,'Paramètres'!$A$1:$I$89,7,0))</f>
        <v>0</v>
      </c>
      <c r="FO19" s="135">
        <f>IF(ISNA(VLOOKUP(A19,'Données projet'!$A$217:$I$237,6,0)),0%,VLOOKUP(A19,'Données projet'!$A$217:$I$237,6,0)*VLOOKUP('Données projet'!$B$16,'Paramètres'!$A$1:$I$89,7,0))</f>
        <v>0</v>
      </c>
      <c r="FP19" s="135">
        <f>IF(ISNA(VLOOKUP(A19,'Données projet'!$A$217:$I$237,7,0)),0%,VLOOKUP(A19,'Données projet'!$A$217:$I$237,7,0))</f>
        <v>0</v>
      </c>
      <c r="FQ19" s="142">
        <f>EXP(-LN(2)/35)*FQ18+(1-EXP(-LN(2)/35))/(LN(2)/35)*FM19*FN19*VLOOKUP('Données projet'!$B$16,'Paramètres'!$A$1:$I$89,3,0)*0.475*44/12</f>
        <v>0</v>
      </c>
      <c r="FR19" s="142">
        <f>EXP(-LN(2)/25)*FR18+(1-EXP(-LN(2)/25))/(LN(2)/25)*Calculateur!FM19*Calculateur!FO19*VLOOKUP('Données projet'!$B$16,'Paramètres'!$A$1:$I$89,3,0)*0.475*44/12</f>
        <v>0</v>
      </c>
      <c r="FS19" s="142">
        <f>EXP(-LN(2)/2)*FS18+(1-EXP(-LN(2)/2))/(LN(2)/2)*FM19*FP19*VLOOKUP('Données projet'!$B$16,'Paramètres'!$A$1:$I$89,3,0)*0.475*44/12</f>
        <v>0</v>
      </c>
      <c r="FT19" s="143">
        <f t="shared" si="25"/>
        <v>0</v>
      </c>
      <c r="FU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1" t="str">
        <f>VLOOKUP(A19,'Données projet'!$A$243:$I$263,2,0)</f>
        <v>#N/A</v>
      </c>
      <c r="FX19" s="131" t="str">
        <f>VLOOKUP(A19,'Données projet'!$A$243:$I$263,9,0)</f>
        <v>#N/A</v>
      </c>
      <c r="FY19" s="130">
        <f t="array" ref="FY19">INDEX(FX:FX,MIN(IF(ISNUMBER(FX19:FX215),ROW(FX19:FX215),"")))</f>
        <v>1.6</v>
      </c>
      <c r="FZ19" s="131">
        <f>IF('Données projet'!$A$244&gt;35,FZ18+FY19-GH18,IF(A19&lt;'Données projet'!$A$244,$FW$205^A19,IF(A19='Données projet'!$A$244,'Données projet'!$B$244,FZ18+FY19-GH18)))</f>
        <v>16</v>
      </c>
      <c r="GA19" s="138">
        <f>FZ19*VLOOKUP('Données projet'!$B$17,'Paramètres'!$A$1:$I$89,3,0)*VLOOKUP('Données projet'!$B$17,'Paramètres'!$A$1:$I$89,5,0)</f>
        <v>10.7328</v>
      </c>
      <c r="GB19" s="130">
        <f t="shared" si="50"/>
        <v>3.752235638</v>
      </c>
      <c r="GC19" s="141">
        <f t="shared" si="26"/>
        <v>25.22810374</v>
      </c>
      <c r="GD19" s="133">
        <f t="shared" si="27"/>
        <v>318.5614371</v>
      </c>
      <c r="GE19" s="133">
        <f>AVERAGE(OFFSET($GD$3,0,0,'Données projet'!$E$17+1,1))-AVERAGE(OFFSET($H$3,0,0,'Données projet'!$E$17+1,1))</f>
        <v>118.7368745</v>
      </c>
      <c r="GF19" s="133">
        <f t="shared" si="51"/>
        <v>135.1233677</v>
      </c>
      <c r="GG19" s="134">
        <f>IF(ISNA(VLOOKUP(A19,'Données projet'!$A$243:$I$263,3,0)),0,VLOOKUP(A19,'Données projet'!$A$243:$I$263,3,0))</f>
        <v>0</v>
      </c>
      <c r="GH19" s="134">
        <f>IF(ISNA(VLOOKUP(A19,'Données projet'!$A$243:$I$263,4,0)),0,VLOOKUP(A19,'Données projet'!$A$243:$I$263,4,0))</f>
        <v>0</v>
      </c>
      <c r="GI19" s="135">
        <f>IF(ISNA(VLOOKUP(A19,'Données projet'!$A$243:$I$263,5,0)),0%,VLOOKUP(A19,'Données projet'!$A$243:$I$263,5,0)*VLOOKUP('Données projet'!$B$17,'Paramètres'!$A$1:$I$89,7,0))</f>
        <v>0</v>
      </c>
      <c r="GJ19" s="135">
        <f>IF(ISNA(VLOOKUP(A19,'Données projet'!$A$243:$I$263,6,0)),0%,VLOOKUP(A19,'Données projet'!$A$243:$I$263,6,0)*VLOOKUP('Données projet'!$B$17,'Paramètres'!$A$1:$I$89,7,0))</f>
        <v>0</v>
      </c>
      <c r="GK19" s="135">
        <f>IF(ISNA(VLOOKUP(A19,'Données projet'!$A$243:$I$263,7,0)),0%,VLOOKUP(A19,'Données projet'!$A$243:$I$263,7,0))</f>
        <v>0</v>
      </c>
      <c r="GL19" s="142">
        <f>EXP(-LN(2)/35)*GL18+(1-EXP(-LN(2)/35))/(LN(2)/35)*GH19*GI19*VLOOKUP('Données projet'!$B$17,'Paramètres'!$A$1:$I$89,3,0)*0.475*44/12</f>
        <v>0</v>
      </c>
      <c r="GM19" s="142">
        <f>EXP(-LN(2)/25)*GM18+(1-EXP(-LN(2)/25))/(LN(2)/25)*Calculateur!GH19*Calculateur!GJ19*VLOOKUP('Données projet'!$B$17,'Paramètres'!$A$1:$I$89,3,0)*0.475*44/12</f>
        <v>0</v>
      </c>
      <c r="GN19" s="142">
        <f>EXP(-LN(2)/2)*GN18+(1-EXP(-LN(2)/2))/(LN(2)/2)*GH19*GK19*VLOOKUP('Données projet'!$B$17,'Paramètres'!$A$1:$I$89,3,0)*0.475*44/12</f>
        <v>0</v>
      </c>
      <c r="GO19" s="142">
        <f t="shared" si="28"/>
        <v>0</v>
      </c>
      <c r="GP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1" t="str">
        <f>VLOOKUP(A19,'Données projet'!$A$269:$I$289,2,0)</f>
        <v>#N/A</v>
      </c>
      <c r="GS19" s="131" t="str">
        <f>VLOOKUP(A19,'Données projet'!$A$269:$I$289,9,0)</f>
        <v>#N/A</v>
      </c>
      <c r="GT19" s="130">
        <f t="array" ref="GT19">INDEX(GS:GS,MIN(IF(ISNUMBER(GS19:GS215),ROW(GS19:GS215),"")))</f>
        <v>1.2</v>
      </c>
      <c r="GU19" s="131">
        <f>IF('Données projet'!$A$270&gt;35,GU18+GT19-HC18,IF(A19&lt;'Données projet'!$A$270,$GR$205^A19,IF(A19='Données projet'!$A$270,'Données projet'!$B$270,GU18+GT19-HC18)))</f>
        <v>8.817746374</v>
      </c>
      <c r="GV19" s="138">
        <f>GU19*VLOOKUP('Données projet'!$B$18,'Paramètres'!$A$1:$I$89,3,0)*VLOOKUP('Données projet'!$B$18,'Paramètres'!$A$1:$I$89,5,0)</f>
        <v>9.491422197</v>
      </c>
      <c r="GW19" s="130">
        <f t="shared" si="52"/>
        <v>3.366061097</v>
      </c>
      <c r="GX19" s="141">
        <f t="shared" si="29"/>
        <v>22.39345007</v>
      </c>
      <c r="GY19" s="133">
        <f t="shared" si="30"/>
        <v>315.7267834</v>
      </c>
      <c r="GZ19" s="133">
        <f>AVERAGE(OFFSET($GY$3,0,0,'Données projet'!$E$18+1,1))-AVERAGE(OFFSET($H$3,0,0,'Données projet'!$E$18+1,1))</f>
        <v>100.5427875</v>
      </c>
      <c r="HA19" s="133">
        <f t="shared" si="53"/>
        <v>92.28663609</v>
      </c>
      <c r="HB19" s="134">
        <f>IF(ISNA(VLOOKUP(A19,'Données projet'!$A$269:$I$289,3,0)),0,VLOOKUP(A19,'Données projet'!$A$269:$I$289,3,0))</f>
        <v>0</v>
      </c>
      <c r="HC19" s="134">
        <f>IF(ISNA(VLOOKUP(A19,'Données projet'!$A$269:$I$289,4,0)),0,VLOOKUP(A19,'Données projet'!$A$269:$I$289,4,0))</f>
        <v>0</v>
      </c>
      <c r="HD19" s="135">
        <f>IF(ISNA(VLOOKUP(A19,'Données projet'!$A$269:$I$289,5,0)),0%,VLOOKUP(A19,'Données projet'!$A$269:$I$289,5,0)*VLOOKUP('Données projet'!$B$18,'Paramètres'!$A$1:$I$89,7,0))</f>
        <v>0</v>
      </c>
      <c r="HE19" s="135">
        <f>IF(ISNA(VLOOKUP(A19,'Données projet'!$A$269:$I$289,6,0)),0%,VLOOKUP(A19,'Données projet'!$A$269:$I$289,6,0)*VLOOKUP('Données projet'!$B$18,'Paramètres'!$A$1:$I$89,7,0))</f>
        <v>0</v>
      </c>
      <c r="HF19" s="135">
        <f>IF(ISNA(VLOOKUP(A19,'Données projet'!$A$269:$I$289,7,0)),0%,VLOOKUP(A19,'Données projet'!$A$269:$I$289,7,0))</f>
        <v>0</v>
      </c>
      <c r="HG19" s="142">
        <f>EXP(-LN(2)/35)*HG18+(1-EXP(-LN(2)/35))/(LN(2)/35)*HC19*HD19*VLOOKUP('Données projet'!$B$18,'Paramètres'!$A$1:$I$89,3,0)*0.475*44/12</f>
        <v>0</v>
      </c>
      <c r="HH19" s="142">
        <f>EXP(-LN(2)/25)*HH18+(1-EXP(-LN(2)/25))/(LN(2)/25)*Calculateur!HC19*Calculateur!HE19*VLOOKUP('Données projet'!$B$18,'Paramètres'!$A$1:$I$89,3,0)*0.475*44/12</f>
        <v>0</v>
      </c>
      <c r="HI19" s="142">
        <f>EXP(-LN(2)/2)*HI18+(1-EXP(-LN(2)/2))/(LN(2)/2)*HC19*HF19*VLOOKUP('Données projet'!$B$18,'Paramètres'!$A$1:$I$89,3,0)*0.475*44/12</f>
        <v>0</v>
      </c>
      <c r="HJ19" s="143">
        <f t="shared" si="31"/>
        <v>0</v>
      </c>
    </row>
    <row r="20">
      <c r="A20" s="125">
        <f t="shared" si="32"/>
        <v>17</v>
      </c>
      <c r="B20" s="126">
        <f>'Scénario référence'!$B$16*5+'Scénario référence'!$B$17*0+'Scénario référence'!$B$18*5</f>
        <v>0</v>
      </c>
      <c r="C20" s="140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9.282</v>
      </c>
      <c r="D20" s="127">
        <f t="shared" si="33"/>
        <v>3.300351155</v>
      </c>
      <c r="E2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7">
        <f>IF(OR('Scénario référence'!$F$8&gt;0,'Scénario référence'!$F$9&gt;0),('Scénario référence'!$F$8+'Scénario référence'!$F$9)*10,0)</f>
        <v>10</v>
      </c>
      <c r="G20" s="127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</v>
      </c>
      <c r="H20" s="128">
        <f t="shared" si="1"/>
        <v>315.2475949</v>
      </c>
      <c r="I20" s="12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1" t="str">
        <f>VLOOKUP(A20,'Données projet'!$A$35:$I$55,2,0)</f>
        <v>#N/A</v>
      </c>
      <c r="L20" s="131" t="str">
        <f>VLOOKUP(A20,'Données projet'!$A$35:$I$55,9,0)</f>
        <v>#N/A</v>
      </c>
      <c r="M20" s="131">
        <f t="array" ref="M20">INDEX(L:L,MIN(IF(ISNUMBER(L20:L216),ROW(L20:L216),"")))</f>
        <v>3.92</v>
      </c>
      <c r="N20" s="130">
        <f>IF('Données projet'!$A$36&gt;35,N19+M20-V19,IF(A20&lt;'Données projet'!$A$36,$K$205^A20,IF(A20='Données projet'!$A$36,'Données projet'!$B$36,N19+M20-V19)))</f>
        <v>22.59611266</v>
      </c>
      <c r="O20" s="130">
        <f>N20*VLOOKUP('Données projet'!$B$9,'Paramètres'!$A$1:$I$89,3,0)*VLOOKUP('Données projet'!$B$9,'Paramètres'!$A$1:$I$89,5,0)</f>
        <v>12.92497644</v>
      </c>
      <c r="P20" s="130">
        <f t="shared" si="34"/>
        <v>4.421925293</v>
      </c>
      <c r="Q20" s="141">
        <f t="shared" si="2"/>
        <v>30.21252053</v>
      </c>
      <c r="R20" s="133">
        <f t="shared" si="3"/>
        <v>323.5458539</v>
      </c>
      <c r="S20" s="133">
        <f>AVERAGE(OFFSET($R$3,0,0,'Données projet'!$E$9+1,1))-AVERAGE(OFFSET($H$3,0,0,'Données projet'!$E$9+1,1))</f>
        <v>126.9946492</v>
      </c>
      <c r="T20" s="133">
        <f t="shared" si="35"/>
        <v>140.039049</v>
      </c>
      <c r="U20" s="134">
        <f>IF(ISNA(VLOOKUP(A20,'Données projet'!$A$35:$I$55,3,0)),0,VLOOKUP(A20,'Données projet'!$A$35:$I$55,3,0))</f>
        <v>0</v>
      </c>
      <c r="V20" s="134">
        <f>IF(ISNA(VLOOKUP(A20,'Données projet'!$A$35:$I$55,4,0)),0,VLOOKUP(A20,'Données projet'!$A$35:$I$55,4,0))</f>
        <v>0</v>
      </c>
      <c r="W20" s="135">
        <f>IF(ISNA(VLOOKUP(A20,'Données projet'!$A$35:$I$55,5,0)),0%,VLOOKUP(A20,'Données projet'!$A$35:$I$55,5,0)*VLOOKUP('Données projet'!$B$9,'Paramètres'!$A$1:$I$89,7,0))</f>
        <v>0</v>
      </c>
      <c r="X20" s="135">
        <f>IF(ISNA(VLOOKUP(A20,'Données projet'!$A$35:$I$55,6,0)),0%,VLOOKUP(A20,'Données projet'!$A$35:$I$55,6,0)*VLOOKUP('Données projet'!$B$9,'Paramètres'!$A$1:$I$89,7,0))</f>
        <v>0</v>
      </c>
      <c r="Y20" s="135">
        <f>IF(ISNA(VLOOKUP(A20,'Données projet'!$A$35:$I$55,7,0)),0%,VLOOKUP(A20,'Données projet'!$A$35:$I$55,7,0))</f>
        <v>0</v>
      </c>
      <c r="Z20" s="142">
        <f>EXP(-LN(2)/35)*Z19+(1-EXP(-LN(2)/35))/(LN(2)/35)*V20*W20*VLOOKUP('Données projet'!$B$9,'Paramètres'!$A$1:$I$89,3,0)*0.475*44/12</f>
        <v>0</v>
      </c>
      <c r="AA20" s="142">
        <f>EXP(-LN(2)/25)*AA19+(1-EXP(-LN(2)/25))/(LN(2)/25)*Calculateur!V20*Calculateur!X20*VLOOKUP('Données projet'!$B$9,'Paramètres'!$A$1:$I$89,3,0)*0.475*44/12</f>
        <v>0</v>
      </c>
      <c r="AB20" s="142">
        <f>EXP(-LN(2)/2)*AB19+(1-EXP(-LN(2)/2))/(LN(2)/2)*V20*Y20*VLOOKUP('Données projet'!$B$9,'Paramètres'!$A$1:$I$89,3,0)*0.475*44/12</f>
        <v>0</v>
      </c>
      <c r="AC20" s="143">
        <f t="shared" si="4"/>
        <v>0</v>
      </c>
      <c r="AD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0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1" t="str">
        <f>VLOOKUP(A20,'Données projet'!$A$61:$I$81,2,0)</f>
        <v>#N/A</v>
      </c>
      <c r="AG20" s="131" t="str">
        <f>VLOOKUP(A20,'Données projet'!$A$61:$I$81,9,0)</f>
        <v>#N/A</v>
      </c>
      <c r="AH20" s="130">
        <f t="array" ref="AH20">INDEX(AG:AG,MIN(IF(ISNUMBER(AG20:AG216),ROW(AG20:AG216),"")))</f>
        <v>5.590909091</v>
      </c>
      <c r="AI20" s="130">
        <f>IF('Données projet'!$A$62&gt;35,AI19+AH20-AQ19,IF(A20&lt;'Données projet'!$A$62,$AF$205^A20,IF(A20='Données projet'!$A$62,'Données projet'!$B$62,AI19+AH20-AQ19)))</f>
        <v>41.20279496</v>
      </c>
      <c r="AJ20" s="130">
        <f>AI20*VLOOKUP('Données projet'!$B$10,'Paramètres'!$A$1:$I$89,3,0)*VLOOKUP('Données projet'!$B$10,'Paramètres'!$A$1:$I$89,5,0)</f>
        <v>24.63927138</v>
      </c>
      <c r="AK20" s="130">
        <f t="shared" si="36"/>
        <v>7.819778343</v>
      </c>
      <c r="AL20" s="141">
        <f t="shared" si="5"/>
        <v>56.53284494</v>
      </c>
      <c r="AM20" s="133">
        <f t="shared" si="6"/>
        <v>349.8661783</v>
      </c>
      <c r="AN20" s="133">
        <f>AVERAGE(OFFSET($AM$3,0,0,'Données projet'!$E$10+1,1))-AVERAGE(OFFSET($H$3,0,0,'Données projet'!$E$10+1,1))</f>
        <v>196.874484</v>
      </c>
      <c r="AO20" s="133">
        <f t="shared" si="37"/>
        <v>217.5750859</v>
      </c>
      <c r="AP20" s="134">
        <f>IF(ISNA(VLOOKUP(A20,'Données projet'!$A$61:$I$81,3,0)),0,VLOOKUP(A20,'Données projet'!$A$61:$I$81,3,0))</f>
        <v>0</v>
      </c>
      <c r="AQ20" s="134">
        <f>IF(ISNA(VLOOKUP(A20,'Données projet'!$A$61:$I$81,4,0)),0,VLOOKUP(A20,'Données projet'!$A$61:$I$81,4,0))</f>
        <v>0</v>
      </c>
      <c r="AR20" s="135">
        <f>IF(ISNA(VLOOKUP(A20,'Données projet'!$A$61:$I$81,5,0)),0%,VLOOKUP(A20,'Données projet'!$A$61:$I$81,5,0)*VLOOKUP('Données projet'!$B$10,'Paramètres'!$A$1:$I$89,7,0))</f>
        <v>0</v>
      </c>
      <c r="AS20" s="135">
        <f>IF(ISNA(VLOOKUP(A20,'Données projet'!$A$61:$I$81,6,0)),0%,VLOOKUP(A20,'Données projet'!$A$61:$I$81,6,0)*VLOOKUP('Données projet'!$B$10,'Paramètres'!$A$1:$I$89,7,0))</f>
        <v>0</v>
      </c>
      <c r="AT20" s="135">
        <f>IF(ISNA(VLOOKUP(A20,'Données projet'!$A$61:$I$81,7,0)),0%,VLOOKUP(A20,'Données projet'!$A$61:$I$81,7,0))</f>
        <v>0</v>
      </c>
      <c r="AU20" s="142">
        <f>EXP(-LN(2)/35)*AU19+(1-EXP(-LN(2)/35))/(LN(2)/35)*AQ20*AR20*VLOOKUP('Données projet'!$B$10,'Paramètres'!$A$1:$I$89,3,0)*0.475*44/12</f>
        <v>0</v>
      </c>
      <c r="AV20" s="142">
        <f>EXP(-LN(2)/25)*AV19+(1-EXP(-LN(2)/25))/(LN(2)/25)*Calculateur!AQ20*Calculateur!AS20*VLOOKUP('Données projet'!$B$10,'Paramètres'!$A$1:$I$89,3,0)*0.475*44/12</f>
        <v>0</v>
      </c>
      <c r="AW20" s="142">
        <f>EXP(-LN(2)/2)*AW19+(1-EXP(-LN(2)/2))/(LN(2)/2)*AQ20*AT20*VLOOKUP('Données projet'!$B$10,'Paramètres'!$A$1:$I$89,3,0)*0.475*44/12</f>
        <v>0</v>
      </c>
      <c r="AX20" s="142">
        <f t="shared" si="7"/>
        <v>0</v>
      </c>
      <c r="AY20" s="13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1" t="str">
        <f>VLOOKUP(A20,'Données projet'!$A$87:$I$107,2,0)</f>
        <v>#N/A</v>
      </c>
      <c r="BB20" s="131" t="str">
        <f>VLOOKUP(A20,'Données projet'!$A$87:$I$107,9,0)</f>
        <v>#N/A</v>
      </c>
      <c r="BC20" s="130">
        <f t="array" ref="BC20">INDEX(BB:BB,MIN(IF(ISNUMBER(BB20:BB216),ROW(BB20:BB216),"")))</f>
        <v>4.666666667</v>
      </c>
      <c r="BD20" s="131">
        <f>IF('Données projet'!$A$88&gt;35,BD19+BC20-BL19,IF(A20&lt;'Données projet'!$A$88,$BA$205^A20,IF(A20='Données projet'!$A$88,'Données projet'!$B$88,BD19+BC20-BL19)))</f>
        <v>16.44898938</v>
      </c>
      <c r="BE20" s="130">
        <f>BD20*VLOOKUP('Données projet'!$B$11,'Paramètres'!$A$1:$I$89,3,0)*VLOOKUP('Données projet'!$B$11,'Paramètres'!$A$1:$I$89,5,0)</f>
        <v>7.69812703</v>
      </c>
      <c r="BF20" s="130">
        <f t="shared" si="38"/>
        <v>2.797447312</v>
      </c>
      <c r="BG20" s="141">
        <f t="shared" si="8"/>
        <v>18.27979198</v>
      </c>
      <c r="BH20" s="133">
        <f t="shared" si="9"/>
        <v>311.6131253</v>
      </c>
      <c r="BI20" s="133">
        <f>AVERAGE(OFFSET($BH$3,0,0,'Données projet'!$E$11+1,1))-AVERAGE(OFFSET($H$3,0,0,'Données projet'!$E$11+1,1))</f>
        <v>134.0948534</v>
      </c>
      <c r="BJ20" s="133">
        <f t="shared" si="39"/>
        <v>108.4102536</v>
      </c>
      <c r="BK20" s="134">
        <f>IF(ISNA(VLOOKUP(A20,'Données projet'!$A$87:$I$107,3,0)),0,VLOOKUP(A20,'Données projet'!$A$87:$I$107,3,0))</f>
        <v>0</v>
      </c>
      <c r="BL20" s="134">
        <f>IF(ISNA(VLOOKUP(A20,'Données projet'!$A$87:$I$107,4,0)),0,VLOOKUP(A20,'Données projet'!$A$87:$I$107,4,0))</f>
        <v>0</v>
      </c>
      <c r="BM20" s="135">
        <f>IF(ISNA(VLOOKUP(A20,'Données projet'!$A$87:$I$107,5,0)),0%,VLOOKUP(A20,'Données projet'!$A$87:$I$107,5,0)*VLOOKUP('Données projet'!$B$11,'Paramètres'!$A$1:$I$89,7,0))</f>
        <v>0</v>
      </c>
      <c r="BN20" s="135">
        <f>IF(ISNA(VLOOKUP(A20,'Données projet'!$A$87:$I$107,6,0)),0%,VLOOKUP(A20,'Données projet'!$A$87:$I$107,6,0)*VLOOKUP('Données projet'!$B$11,'Paramètres'!$A$1:$I$89,7,0))</f>
        <v>0</v>
      </c>
      <c r="BO20" s="135">
        <f>IF(ISNA(VLOOKUP(A20,'Données projet'!$A$87:$I$107,7,0)),0%,VLOOKUP(A20,'Données projet'!$A$87:$I$107,7,0))</f>
        <v>0</v>
      </c>
      <c r="BP20" s="142">
        <f>EXP(-LN(2)/35)*BP19+(1-EXP(-LN(2)/35))/(LN(2)/35)*BL20*BM20*VLOOKUP('Données projet'!$B$11,'Paramètres'!$A$1:$I$89,3,0)*0.475*44/12</f>
        <v>0</v>
      </c>
      <c r="BQ20" s="142">
        <f>EXP(-LN(2)/25)*BQ19+(1-EXP(-LN(2)/25))/(LN(2)/25)*Calculateur!BL20*Calculateur!BN20*VLOOKUP('Données projet'!$B$11,'Paramètres'!$A$1:$I$89,3,0)*0.475*44/12</f>
        <v>0</v>
      </c>
      <c r="BR20" s="142">
        <f>EXP(-LN(2)/2)*BR19+(1-EXP(-LN(2)/2))/(LN(2)/2)*BL20*BO20*VLOOKUP('Données projet'!$B$11,'Paramètres'!$A$1:$I$89,3,0)*0.475*44/12</f>
        <v>0</v>
      </c>
      <c r="BS20" s="143">
        <f t="shared" si="10"/>
        <v>0</v>
      </c>
      <c r="BT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1" t="str">
        <f>VLOOKUP(A20,'Données projet'!$A$113:$I$133,2,0)</f>
        <v>#N/A</v>
      </c>
      <c r="BW20" s="131" t="str">
        <f>VLOOKUP(A20,'Données projet'!$A$113:$I$133,9,0)</f>
        <v>#N/A</v>
      </c>
      <c r="BX20" s="130">
        <f t="array" ref="BX20">INDEX(BW:BW,MIN(IF(ISNUMBER(BW20:BW216),ROW(BW20:BW216),"")))</f>
        <v>20</v>
      </c>
      <c r="BY20" s="130">
        <f>IF('Données projet'!$A$114&gt;35,BY19+BX20-CG19,IF(A20&lt;'Données projet'!$A$114,$BV$205^A20,IF(A20='Données projet'!$A$114,'Données projet'!$B$114,BY19+BX20-CG19)))</f>
        <v>68</v>
      </c>
      <c r="BZ20" s="130">
        <f>BY20*VLOOKUP('Données projet'!$B$12,'Paramètres'!$A$1:$I$89,3,0)*VLOOKUP('Données projet'!$B$12,'Paramètres'!$A$1:$I$89,5,0)</f>
        <v>33.592</v>
      </c>
      <c r="CA20" s="130">
        <f t="shared" si="40"/>
        <v>10.28333709</v>
      </c>
      <c r="CB20" s="141">
        <f t="shared" si="11"/>
        <v>76.41621209</v>
      </c>
      <c r="CC20" s="133">
        <f t="shared" si="12"/>
        <v>369.7495454</v>
      </c>
      <c r="CD20" s="133">
        <f>AVERAGE(OFFSET($CC$3,0,0,'Données projet'!$E$12+1,1))-AVERAGE(OFFSET($H$3,0,0,'Données projet'!$E$12+1,1))</f>
        <v>258.1672054</v>
      </c>
      <c r="CE20" s="133">
        <f t="shared" si="41"/>
        <v>296.0724261</v>
      </c>
      <c r="CF20" s="134">
        <f>IF(ISNA(VLOOKUP(A20,'Données projet'!$A$113:$I$133,3,0)),0,VLOOKUP(A20,'Données projet'!$A$113:$I$133,3,0))</f>
        <v>0</v>
      </c>
      <c r="CG20" s="134">
        <f>IF(ISNA(VLOOKUP(A20,'Données projet'!$A$113:$I$133,4,0)),0,VLOOKUP(A20,'Données projet'!$A$113:$I$133,4,0))</f>
        <v>0</v>
      </c>
      <c r="CH20" s="135">
        <f>IF(ISNA(VLOOKUP(A20,'Données projet'!$A$113:$I$133,5,0)),0%,VLOOKUP(A20,'Données projet'!$A$113:$I$133,5,0)*VLOOKUP('Données projet'!$B$12,'Paramètres'!$A$1:$I$89,7,0))</f>
        <v>0</v>
      </c>
      <c r="CI20" s="135">
        <f>IF(ISNA(VLOOKUP(A20,'Données projet'!$A$113:$I$133,6,0)),0%,VLOOKUP(A20,'Données projet'!$A$113:$I$133,6,0)*VLOOKUP('Données projet'!$B$12,'Paramètres'!$A$1:$I$89,7,0))</f>
        <v>0</v>
      </c>
      <c r="CJ20" s="135">
        <f>IF(ISNA(VLOOKUP(A20,'Données projet'!$A$113:$I$133,7,0)),0%,VLOOKUP(A20,'Données projet'!$A$113:$I$133,7,0))</f>
        <v>0</v>
      </c>
      <c r="CK20" s="142">
        <f>EXP(-LN(2)/35)*CK19+(1-EXP(-LN(2)/35))/(LN(2)/35)*CG20*CH20*VLOOKUP('Données projet'!$B$12,'Paramètres'!$A$1:$I$89,3,0)*0.475*44/12</f>
        <v>0</v>
      </c>
      <c r="CL20" s="142">
        <f>EXP(-LN(2)/25)*CL19+(1-EXP(-LN(2)/25))/(LN(2)/25)*Calculateur!CG20*Calculateur!CI20*VLOOKUP('Données projet'!$B$12,'Paramètres'!$A$1:$I$89,3,0)*0.475*44/12</f>
        <v>0</v>
      </c>
      <c r="CM20" s="142">
        <f>EXP(-LN(2)/2)*CM19+(1-EXP(-LN(2)/2))/(LN(2)/2)*CG20*CJ20*VLOOKUP('Données projet'!$B$12,'Paramètres'!$A$1:$I$89,3,0)*0.475*44/12</f>
        <v>0</v>
      </c>
      <c r="CN20" s="143">
        <f t="shared" si="13"/>
        <v>0</v>
      </c>
      <c r="CO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1" t="str">
        <f>VLOOKUP(A20,'Données projet'!$A$139:$I$159,2,0)</f>
        <v>#N/A</v>
      </c>
      <c r="CR20" s="131" t="str">
        <f>VLOOKUP(A20,'Données projet'!$A$139:$I$159,9,0)</f>
        <v>#N/A</v>
      </c>
      <c r="CS20" s="130">
        <f t="array" ref="CS20">INDEX(CR:CR,MIN(IF(ISNUMBER(CR20:CR216),ROW(CR20:CR216),"")))</f>
        <v>1.2</v>
      </c>
      <c r="CT20" s="131">
        <f>IF('Données projet'!$A$140&gt;35,CT19+CS20-DB19,IF(A20&lt;'Données projet'!$A$140,$CQ$205^A20,IF(A20='Données projet'!$A$140,'Données projet'!$B$140,CT19+CS20-DB19)))</f>
        <v>10.10281623</v>
      </c>
      <c r="CU20" s="138">
        <f>CT20*VLOOKUP('Données projet'!$B$13,'Paramètres'!$A$1:$I$89,3,0)*VLOOKUP('Données projet'!$B$13,'Paramètres'!$A$1:$I$89,5,0)</f>
        <v>10.24425566</v>
      </c>
      <c r="CV20" s="130">
        <f t="shared" si="42"/>
        <v>3.600912377</v>
      </c>
      <c r="CW20" s="141">
        <f t="shared" si="14"/>
        <v>24.11366766</v>
      </c>
      <c r="CX20" s="133">
        <f t="shared" si="15"/>
        <v>317.447001</v>
      </c>
      <c r="CY20" s="133">
        <f>AVERAGE(OFFSET($CX$3,0,0,'Données projet'!$E$13+1,1))-AVERAGE(OFFSET($H$3,0,0,'Données projet'!$E$13+1,1))</f>
        <v>223.783507</v>
      </c>
      <c r="CZ20" s="133">
        <f t="shared" si="43"/>
        <v>84.92349117</v>
      </c>
      <c r="DA20" s="134">
        <f>IF(ISNA(VLOOKUP(A20,'Données projet'!$A$139:$I$159,3,0)),0,VLOOKUP(A20,'Données projet'!$A$139:$I$159,3,0))</f>
        <v>0</v>
      </c>
      <c r="DB20" s="134">
        <f>IF(ISNA(VLOOKUP(A20,'Données projet'!$A$139:$I$159,4,0)),0,VLOOKUP(A20,'Données projet'!$A$139:$I$159,4,0))</f>
        <v>0</v>
      </c>
      <c r="DC20" s="135">
        <f>IF(ISNA(VLOOKUP(A20,'Données projet'!$A$139:$I$159,5,0)),0%,VLOOKUP(A20,'Données projet'!$A$139:$I$159,5,0)*VLOOKUP('Données projet'!$B$13,'Paramètres'!$A$1:$I$89,7,0))</f>
        <v>0</v>
      </c>
      <c r="DD20" s="135">
        <f>IF(ISNA(VLOOKUP(A20,'Données projet'!$A$139:$I$159,6,0)),0%,VLOOKUP(A20,'Données projet'!$A$139:$I$159,6,0)*VLOOKUP('Données projet'!$B$13,'Paramètres'!$A$1:$I$89,7,0))</f>
        <v>0</v>
      </c>
      <c r="DE20" s="135">
        <f>IF(ISNA(VLOOKUP(A20,'Données projet'!$A$139:$I$159,7,0)),0%,VLOOKUP(A20,'Données projet'!$A$139:$I$159,7,0))</f>
        <v>0</v>
      </c>
      <c r="DF20" s="142">
        <f>EXP(-LN(2)/35)*DF19+(1-EXP(-LN(2)/35))/(LN(2)/35)*DB20*DC20*VLOOKUP('Données projet'!$B$13,'Paramètres'!$A$1:$I$89,3,0)*0.475*44/12</f>
        <v>0</v>
      </c>
      <c r="DG20" s="142">
        <f>EXP(-LN(2)/25)*DG19+(1-EXP(-LN(2)/25))/(LN(2)/25)*Calculateur!DB20*Calculateur!DD20*VLOOKUP('Données projet'!$B$13,'Paramètres'!$A$1:$I$89,3,0)*0.475*44/12</f>
        <v>0</v>
      </c>
      <c r="DH20" s="142">
        <f>EXP(-LN(2)/2)*DH19+(1-EXP(-LN(2)/2))/(LN(2)/2)*DB20*DE20*VLOOKUP('Données projet'!$B$13,'Paramètres'!$A$1:$I$89,3,0)*0.475*44/12</f>
        <v>0</v>
      </c>
      <c r="DI20" s="143">
        <f t="shared" si="16"/>
        <v>0</v>
      </c>
      <c r="DJ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1" t="str">
        <f>VLOOKUP(A20,'Données projet'!$A$165:$I$185,2,0)</f>
        <v>#N/A</v>
      </c>
      <c r="DM20" s="131" t="str">
        <f>VLOOKUP(A20,'Données projet'!$A$165:$I$185,9,0)</f>
        <v>#N/A</v>
      </c>
      <c r="DN20" s="131">
        <f t="array" ref="DN20">INDEX(DM:DM,MIN(IF(ISNUMBER(DM20:DM216),ROW(DM20:DM216),"")))</f>
        <v>2.1</v>
      </c>
      <c r="DO20" s="131">
        <f>IF('Données projet'!$A$166&gt;35,DO19+DN20-DW19,IF(A20&lt;'Données projet'!$A$166,$DL$205^A20,IF(A20='Données projet'!$A$166,'Données projet'!$B$166,DO19+DN20-DW19)))</f>
        <v>23.97518113</v>
      </c>
      <c r="DP20" s="138">
        <f>DO20*VLOOKUP('Données projet'!$B$14,'Paramètres'!$A$1:$I$89,3,0)*VLOOKUP('Données projet'!$B$14,'Paramètres'!$A$1:$I$89,5,0)</f>
        <v>21.69274388</v>
      </c>
      <c r="DQ20" s="130">
        <f t="shared" si="44"/>
        <v>6.987463417</v>
      </c>
      <c r="DR20" s="141">
        <f t="shared" si="17"/>
        <v>49.95136105</v>
      </c>
      <c r="DS20" s="133">
        <f t="shared" si="18"/>
        <v>343.2846944</v>
      </c>
      <c r="DT20" s="133">
        <f>AVERAGE(OFFSET($DS$3,0,0,'Données projet'!$E$14+1,1))-AVERAGE(OFFSET($H$3,0,0,'Données projet'!$E$14+1,1))</f>
        <v>287.9334714</v>
      </c>
      <c r="DU20" s="133">
        <f t="shared" si="45"/>
        <v>156.6796502</v>
      </c>
      <c r="DV20" s="134">
        <f>IF(ISNA(VLOOKUP(A20,'Données projet'!$A$165:$I$185,3,0)),0,VLOOKUP(A20,'Données projet'!$A$165:$I$185,3,0))</f>
        <v>0</v>
      </c>
      <c r="DW20" s="134">
        <f>IF(ISNA(VLOOKUP(A20,'Données projet'!$A$165:$I$185,4,0)),0,VLOOKUP(A20,'Données projet'!$A$165:$I$185,4,0))</f>
        <v>0</v>
      </c>
      <c r="DX20" s="135">
        <f>IF(ISNA(VLOOKUP(A20,'Données projet'!$A$165:$I$185,5,0)),0%,VLOOKUP(A20,'Données projet'!$A$165:$I$185,5,0)*VLOOKUP('Données projet'!$B$14,'Paramètres'!$A$1:$I$89,7,0))</f>
        <v>0</v>
      </c>
      <c r="DY20" s="135">
        <f>IF(ISNA(VLOOKUP(A20,'Données projet'!$A$165:$I$185,6,0)),0%,VLOOKUP(A20,'Données projet'!$A$165:$I$185,6,0)*VLOOKUP('Données projet'!$B$14,'Paramètres'!$A$1:$I$89,7,0))</f>
        <v>0</v>
      </c>
      <c r="DZ20" s="135">
        <f>IF(ISNA(VLOOKUP(A20,'Données projet'!$A$165:$I$185,7,0)),0%,VLOOKUP(A20,'Données projet'!$A$165:$I$185,7,0))</f>
        <v>0</v>
      </c>
      <c r="EA20" s="142">
        <f>EXP(-LN(2)/35)*EA19+(1-EXP(-LN(2)/35))/(LN(2)/35)*DW20*DX20*VLOOKUP('Données projet'!$B$14,'Paramètres'!$A$1:$I$89,3,0)*0.475*44/12</f>
        <v>0</v>
      </c>
      <c r="EB20" s="142">
        <f>EXP(-LN(2)/25)*EB19+(1-EXP(-LN(2)/25))/(LN(2)/25)*Calculateur!DW20*Calculateur!DY20*VLOOKUP('Données projet'!$B$14,'Paramètres'!$A$1:$I$89,3,0)*0.475*44/12</f>
        <v>0</v>
      </c>
      <c r="EC20" s="142">
        <f>EXP(-LN(2)/2)*EC19+(1-EXP(-LN(2)/2))/(LN(2)/2)*DW20*DZ20*VLOOKUP('Données projet'!$B$14,'Paramètres'!$A$1:$I$89,3,0)*0.475*44/12</f>
        <v>0</v>
      </c>
      <c r="ED20" s="143">
        <f t="shared" si="19"/>
        <v>0</v>
      </c>
      <c r="EE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1" t="str">
        <f>VLOOKUP(A20,'Données projet'!$A$191:$I$211,2,0)</f>
        <v>#N/A</v>
      </c>
      <c r="EH20" s="131" t="str">
        <f>VLOOKUP(A20,'Données projet'!$A$191:$I$211,9,0)</f>
        <v>#N/A</v>
      </c>
      <c r="EI20" s="131">
        <f t="array" ref="EI20">INDEX(EH:EH,MIN(IF(ISNUMBER(EH20:EH216),ROW(EH20:EH216),"")))</f>
        <v>1.6</v>
      </c>
      <c r="EJ20" s="131">
        <f>IF('Données projet'!$A$192&gt;35,EJ19+EI20-ER19,IF(A20&lt;'Données projet'!$A$192,$EG$205^A20,IF(A20='Données projet'!$A$192,'Données projet'!$B$192,EJ19+EI20-ER19)))</f>
        <v>12.28572512</v>
      </c>
      <c r="EK20" s="138">
        <f>EJ20*VLOOKUP('Données projet'!$B$15,'Paramètres'!$A$1:$I$89,3,0)*VLOOKUP('Données projet'!$B$15,'Paramètres'!$A$1:$I$89,5,0)</f>
        <v>9.007893656</v>
      </c>
      <c r="EL20" s="130">
        <f t="shared" si="46"/>
        <v>3.214083601</v>
      </c>
      <c r="EM20" s="141">
        <f t="shared" si="20"/>
        <v>21.28661039</v>
      </c>
      <c r="EN20" s="133">
        <f t="shared" si="21"/>
        <v>314.6199437</v>
      </c>
      <c r="EO20" s="133">
        <f>AVERAGE(OFFSET($EN$3,0,0,'Données projet'!$E$15+1,1))-AVERAGE(OFFSET($H$3,0,0,'Données projet'!$E$15+1,1))</f>
        <v>130.3193339</v>
      </c>
      <c r="EP20" s="133">
        <f t="shared" si="47"/>
        <v>82.22784365</v>
      </c>
      <c r="EQ20" s="134">
        <f>IF(ISNA(VLOOKUP(A20,'Données projet'!$A$191:$I$211,3,0)),0,VLOOKUP(A20,'Données projet'!$A$191:$I$211,3,0))</f>
        <v>0</v>
      </c>
      <c r="ER20" s="134">
        <f>IF(ISNA(VLOOKUP(A20,'Données projet'!$A$191:$I$211,4,0)),0,VLOOKUP(A20,'Données projet'!$A$191:$I$211,4,0))</f>
        <v>0</v>
      </c>
      <c r="ES20" s="135">
        <f>IF(ISNA(VLOOKUP(A20,'Données projet'!$A$191:$I$211,5,0)),0%,VLOOKUP(A20,'Données projet'!$A$191:$I$211,5,0)*VLOOKUP('Données projet'!$B$15,'Paramètres'!$A$1:$I$89,7,0))</f>
        <v>0</v>
      </c>
      <c r="ET20" s="135">
        <f>IF(ISNA(VLOOKUP(A20,'Données projet'!$A$191:$I$211,6,0)),0%,VLOOKUP(A20,'Données projet'!$A$191:$I$211,6,0)*VLOOKUP('Données projet'!$B$15,'Paramètres'!$A$1:$I$89,7,0))</f>
        <v>0</v>
      </c>
      <c r="EU20" s="135">
        <f>IF(ISNA(VLOOKUP(A20,'Données projet'!$A$191:$I$211,7,0)),0%,VLOOKUP(A20,'Données projet'!$A$191:$I$211,7,0))</f>
        <v>0</v>
      </c>
      <c r="EV20" s="142">
        <f>EXP(-LN(2)/35)*EV19+(1-EXP(-LN(2)/35))/(LN(2)/35)*ER20*ES20*VLOOKUP('Données projet'!$B$15,'Paramètres'!$A$1:$I$89,3,0)*0.475*44/12</f>
        <v>0</v>
      </c>
      <c r="EW20" s="142">
        <f>EXP(-LN(2)/25)*EW19+(1-EXP(-LN(2)/25))/(LN(2)/25)*Calculateur!ER20*Calculateur!ET20*VLOOKUP('Données projet'!$B$15,'Paramètres'!$A$1:$I$89,3,0)*0.475*44/12</f>
        <v>0</v>
      </c>
      <c r="EX20" s="142">
        <f>EXP(-LN(2)/2)*EX19+(1-EXP(-LN(2)/2))/(LN(2)/2)*ER20*EU20*VLOOKUP('Données projet'!$B$15,'Paramètres'!$A$1:$I$89,3,0)*0.475*44/12</f>
        <v>0</v>
      </c>
      <c r="EY20" s="143">
        <f t="shared" si="22"/>
        <v>0</v>
      </c>
      <c r="EZ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1" t="str">
        <f>VLOOKUP(A20,'Données projet'!$A$217:$I$237,2,0)</f>
        <v>#N/A</v>
      </c>
      <c r="FC20" s="131" t="str">
        <f>VLOOKUP(A20,'Données projet'!$A$217:$I$237,9,0)</f>
        <v>#N/A</v>
      </c>
      <c r="FD20" s="130">
        <f t="array" ref="FD20">INDEX(FC:FC,MIN(IF(ISNUMBER(FC20:FC216),ROW(FC20:FC216),"")))</f>
        <v>11.4</v>
      </c>
      <c r="FE20" s="130">
        <f>IF('Données projet'!$A$218&gt;35,FE19+FD20-FM19,IF(A20&lt;'Données projet'!$A$218,$FB$205^A20,IF(A20='Données projet'!$A$218,'Données projet'!$B$218,FE19+FD20-FM19)))</f>
        <v>104.8</v>
      </c>
      <c r="FF20" s="138">
        <f>FE20*VLOOKUP('Données projet'!$B$16,'Paramètres'!$A$1:$I$89,3,0)*VLOOKUP('Données projet'!$B$16,'Paramètres'!$A$1:$I$89,5,0)</f>
        <v>94.82304</v>
      </c>
      <c r="FG20" s="130">
        <f t="shared" si="48"/>
        <v>25.72486856</v>
      </c>
      <c r="FH20" s="141">
        <f t="shared" si="23"/>
        <v>209.9542741</v>
      </c>
      <c r="FI20" s="133">
        <f t="shared" si="24"/>
        <v>503.2876074</v>
      </c>
      <c r="FJ20" s="133">
        <f>AVERAGE(OFFSET($FI$3,0,0,'Données projet'!$E$16+1,1))-AVERAGE(OFFSET($H$3,0,0,'Données projet'!$E$16+1,1))</f>
        <v>305.6252353</v>
      </c>
      <c r="FK20" s="133">
        <f t="shared" si="49"/>
        <v>331.397916</v>
      </c>
      <c r="FL20" s="134">
        <f>IF(ISNA(VLOOKUP(A20,'Données projet'!$A$217:$I$237,3,0)),0,VLOOKUP(A20,'Données projet'!$A$217:$I$237,3,0))</f>
        <v>0</v>
      </c>
      <c r="FM20" s="134">
        <f>IF(ISNA(VLOOKUP(A20,'Données projet'!$A$217:$I$237,4,0)),0,VLOOKUP(A20,'Données projet'!$A$217:$I$237,4,0))</f>
        <v>0</v>
      </c>
      <c r="FN20" s="135">
        <f>IF(ISNA(VLOOKUP(A20,'Données projet'!$A$217:$I$237,5,0)),0%,VLOOKUP(A20,'Données projet'!$A$217:$I$237,5,0)*VLOOKUP('Données projet'!$B$16,'Paramètres'!$A$1:$I$89,7,0))</f>
        <v>0</v>
      </c>
      <c r="FO20" s="135">
        <f>IF(ISNA(VLOOKUP(A20,'Données projet'!$A$217:$I$237,6,0)),0%,VLOOKUP(A20,'Données projet'!$A$217:$I$237,6,0)*VLOOKUP('Données projet'!$B$16,'Paramètres'!$A$1:$I$89,7,0))</f>
        <v>0</v>
      </c>
      <c r="FP20" s="135">
        <f>IF(ISNA(VLOOKUP(A20,'Données projet'!$A$217:$I$237,7,0)),0%,VLOOKUP(A20,'Données projet'!$A$217:$I$237,7,0))</f>
        <v>0</v>
      </c>
      <c r="FQ20" s="142">
        <f>EXP(-LN(2)/35)*FQ19+(1-EXP(-LN(2)/35))/(LN(2)/35)*FM20*FN20*VLOOKUP('Données projet'!$B$16,'Paramètres'!$A$1:$I$89,3,0)*0.475*44/12</f>
        <v>0</v>
      </c>
      <c r="FR20" s="142">
        <f>EXP(-LN(2)/25)*FR19+(1-EXP(-LN(2)/25))/(LN(2)/25)*Calculateur!FM20*Calculateur!FO20*VLOOKUP('Données projet'!$B$16,'Paramètres'!$A$1:$I$89,3,0)*0.475*44/12</f>
        <v>0</v>
      </c>
      <c r="FS20" s="142">
        <f>EXP(-LN(2)/2)*FS19+(1-EXP(-LN(2)/2))/(LN(2)/2)*FM20*FP20*VLOOKUP('Données projet'!$B$16,'Paramètres'!$A$1:$I$89,3,0)*0.475*44/12</f>
        <v>0</v>
      </c>
      <c r="FT20" s="143">
        <f t="shared" si="25"/>
        <v>0</v>
      </c>
      <c r="FU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1" t="str">
        <f>VLOOKUP(A20,'Données projet'!$A$243:$I$263,2,0)</f>
        <v>#N/A</v>
      </c>
      <c r="FX20" s="131" t="str">
        <f>VLOOKUP(A20,'Données projet'!$A$243:$I$263,9,0)</f>
        <v>#N/A</v>
      </c>
      <c r="FY20" s="130">
        <f t="array" ref="FY20">INDEX(FX:FX,MIN(IF(ISNUMBER(FX20:FX216),ROW(FX20:FX216),"")))</f>
        <v>1.6</v>
      </c>
      <c r="FZ20" s="131">
        <f>IF('Données projet'!$A$244&gt;35,FZ19+FY20-GH19,IF(A20&lt;'Données projet'!$A$244,$FW$205^A20,IF(A20='Données projet'!$A$244,'Données projet'!$B$244,FZ19+FY20-GH19)))</f>
        <v>19.02731384</v>
      </c>
      <c r="GA20" s="138">
        <f>FZ20*VLOOKUP('Données projet'!$B$17,'Paramètres'!$A$1:$I$89,3,0)*VLOOKUP('Données projet'!$B$17,'Paramètres'!$A$1:$I$89,5,0)</f>
        <v>12.76352212</v>
      </c>
      <c r="GB20" s="130">
        <f t="shared" si="50"/>
        <v>4.373082092</v>
      </c>
      <c r="GC20" s="141">
        <f t="shared" si="26"/>
        <v>29.84625234</v>
      </c>
      <c r="GD20" s="133">
        <f t="shared" si="27"/>
        <v>323.1795857</v>
      </c>
      <c r="GE20" s="133">
        <f>AVERAGE(OFFSET($GD$3,0,0,'Données projet'!$E$17+1,1))-AVERAGE(OFFSET($H$3,0,0,'Données projet'!$E$17+1,1))</f>
        <v>118.7368745</v>
      </c>
      <c r="GF20" s="133">
        <f t="shared" si="51"/>
        <v>135.1233677</v>
      </c>
      <c r="GG20" s="134">
        <f>IF(ISNA(VLOOKUP(A20,'Données projet'!$A$243:$I$263,3,0)),0,VLOOKUP(A20,'Données projet'!$A$243:$I$263,3,0))</f>
        <v>0</v>
      </c>
      <c r="GH20" s="134">
        <f>IF(ISNA(VLOOKUP(A20,'Données projet'!$A$243:$I$263,4,0)),0,VLOOKUP(A20,'Données projet'!$A$243:$I$263,4,0))</f>
        <v>0</v>
      </c>
      <c r="GI20" s="135">
        <f>IF(ISNA(VLOOKUP(A20,'Données projet'!$A$243:$I$263,5,0)),0%,VLOOKUP(A20,'Données projet'!$A$243:$I$263,5,0)*VLOOKUP('Données projet'!$B$17,'Paramètres'!$A$1:$I$89,7,0))</f>
        <v>0</v>
      </c>
      <c r="GJ20" s="135">
        <f>IF(ISNA(VLOOKUP(A20,'Données projet'!$A$243:$I$263,6,0)),0%,VLOOKUP(A20,'Données projet'!$A$243:$I$263,6,0)*VLOOKUP('Données projet'!$B$17,'Paramètres'!$A$1:$I$89,7,0))</f>
        <v>0</v>
      </c>
      <c r="GK20" s="135">
        <f>IF(ISNA(VLOOKUP(A20,'Données projet'!$A$243:$I$263,7,0)),0%,VLOOKUP(A20,'Données projet'!$A$243:$I$263,7,0))</f>
        <v>0</v>
      </c>
      <c r="GL20" s="142">
        <f>EXP(-LN(2)/35)*GL19+(1-EXP(-LN(2)/35))/(LN(2)/35)*GH20*GI20*VLOOKUP('Données projet'!$B$17,'Paramètres'!$A$1:$I$89,3,0)*0.475*44/12</f>
        <v>0</v>
      </c>
      <c r="GM20" s="142">
        <f>EXP(-LN(2)/25)*GM19+(1-EXP(-LN(2)/25))/(LN(2)/25)*Calculateur!GH20*Calculateur!GJ20*VLOOKUP('Données projet'!$B$17,'Paramètres'!$A$1:$I$89,3,0)*0.475*44/12</f>
        <v>0</v>
      </c>
      <c r="GN20" s="142">
        <f>EXP(-LN(2)/2)*GN19+(1-EXP(-LN(2)/2))/(LN(2)/2)*GH20*GK20*VLOOKUP('Données projet'!$B$17,'Paramètres'!$A$1:$I$89,3,0)*0.475*44/12</f>
        <v>0</v>
      </c>
      <c r="GO20" s="142">
        <f t="shared" si="28"/>
        <v>0</v>
      </c>
      <c r="GP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1" t="str">
        <f>VLOOKUP(A20,'Données projet'!$A$269:$I$289,2,0)</f>
        <v>#N/A</v>
      </c>
      <c r="GS20" s="131" t="str">
        <f>VLOOKUP(A20,'Données projet'!$A$269:$I$289,9,0)</f>
        <v>#N/A</v>
      </c>
      <c r="GT20" s="130">
        <f t="array" ref="GT20">INDEX(GS:GS,MIN(IF(ISNUMBER(GS20:GS216),ROW(GS20:GS216),"")))</f>
        <v>1.2</v>
      </c>
      <c r="GU20" s="131">
        <f>IF('Données projet'!$A$270&gt;35,GU19+GT20-HC19,IF(A20&lt;'Données projet'!$A$270,$GR$205^A20,IF(A20='Données projet'!$A$270,'Données projet'!$B$270,GU19+GT20-HC19)))</f>
        <v>10.10281623</v>
      </c>
      <c r="GV20" s="138">
        <f>GU20*VLOOKUP('Données projet'!$B$18,'Paramètres'!$A$1:$I$89,3,0)*VLOOKUP('Données projet'!$B$18,'Paramètres'!$A$1:$I$89,5,0)</f>
        <v>10.87467139</v>
      </c>
      <c r="GW20" s="130">
        <f t="shared" si="52"/>
        <v>3.796027659</v>
      </c>
      <c r="GX20" s="141">
        <f t="shared" si="29"/>
        <v>25.55146751</v>
      </c>
      <c r="GY20" s="133">
        <f t="shared" si="30"/>
        <v>318.8848008</v>
      </c>
      <c r="GZ20" s="133">
        <f>AVERAGE(OFFSET($GY$3,0,0,'Données projet'!$E$18+1,1))-AVERAGE(OFFSET($H$3,0,0,'Données projet'!$E$18+1,1))</f>
        <v>100.5427875</v>
      </c>
      <c r="HA20" s="133">
        <f t="shared" si="53"/>
        <v>92.28663609</v>
      </c>
      <c r="HB20" s="134">
        <f>IF(ISNA(VLOOKUP(A20,'Données projet'!$A$269:$I$289,3,0)),0,VLOOKUP(A20,'Données projet'!$A$269:$I$289,3,0))</f>
        <v>0</v>
      </c>
      <c r="HC20" s="134">
        <f>IF(ISNA(VLOOKUP(A20,'Données projet'!$A$269:$I$289,4,0)),0,VLOOKUP(A20,'Données projet'!$A$269:$I$289,4,0))</f>
        <v>0</v>
      </c>
      <c r="HD20" s="135">
        <f>IF(ISNA(VLOOKUP(A20,'Données projet'!$A$269:$I$289,5,0)),0%,VLOOKUP(A20,'Données projet'!$A$269:$I$289,5,0)*VLOOKUP('Données projet'!$B$18,'Paramètres'!$A$1:$I$89,7,0))</f>
        <v>0</v>
      </c>
      <c r="HE20" s="135">
        <f>IF(ISNA(VLOOKUP(A20,'Données projet'!$A$269:$I$289,6,0)),0%,VLOOKUP(A20,'Données projet'!$A$269:$I$289,6,0)*VLOOKUP('Données projet'!$B$18,'Paramètres'!$A$1:$I$89,7,0))</f>
        <v>0</v>
      </c>
      <c r="HF20" s="135">
        <f>IF(ISNA(VLOOKUP(A20,'Données projet'!$A$269:$I$289,7,0)),0%,VLOOKUP(A20,'Données projet'!$A$269:$I$289,7,0))</f>
        <v>0</v>
      </c>
      <c r="HG20" s="142">
        <f>EXP(-LN(2)/35)*HG19+(1-EXP(-LN(2)/35))/(LN(2)/35)*HC20*HD20*VLOOKUP('Données projet'!$B$18,'Paramètres'!$A$1:$I$89,3,0)*0.475*44/12</f>
        <v>0</v>
      </c>
      <c r="HH20" s="142">
        <f>EXP(-LN(2)/25)*HH19+(1-EXP(-LN(2)/25))/(LN(2)/25)*Calculateur!HC20*Calculateur!HE20*VLOOKUP('Données projet'!$B$18,'Paramètres'!$A$1:$I$89,3,0)*0.475*44/12</f>
        <v>0</v>
      </c>
      <c r="HI20" s="142">
        <f>EXP(-LN(2)/2)*HI19+(1-EXP(-LN(2)/2))/(LN(2)/2)*HC20*HF20*VLOOKUP('Données projet'!$B$18,'Paramètres'!$A$1:$I$89,3,0)*0.475*44/12</f>
        <v>0</v>
      </c>
      <c r="HJ20" s="143">
        <f t="shared" si="31"/>
        <v>0</v>
      </c>
    </row>
    <row r="21" ht="15.75" customHeight="1">
      <c r="A21" s="125">
        <f t="shared" si="32"/>
        <v>18</v>
      </c>
      <c r="B21" s="126">
        <f>'Scénario référence'!$B$16*5+'Scénario référence'!$B$17*0+'Scénario référence'!$B$18*5</f>
        <v>0</v>
      </c>
      <c r="C21" s="140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9.828</v>
      </c>
      <c r="D21" s="127">
        <f t="shared" si="33"/>
        <v>3.471316954</v>
      </c>
      <c r="E2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7">
        <f>IF(OR('Scénario référence'!$F$8&gt;0,'Scénario référence'!$F$9&gt;0),('Scénario référence'!$F$8+'Scénario référence'!$F$9)*10,0)</f>
        <v>10</v>
      </c>
      <c r="G21" s="127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</v>
      </c>
      <c r="H21" s="128">
        <f t="shared" si="1"/>
        <v>316.4963104</v>
      </c>
      <c r="I21" s="12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1" t="str">
        <f>VLOOKUP(A21,'Données projet'!$A$35:$I$55,2,0)</f>
        <v>#N/A</v>
      </c>
      <c r="L21" s="131" t="str">
        <f>VLOOKUP(A21,'Données projet'!$A$35:$I$55,9,0)</f>
        <v>#N/A</v>
      </c>
      <c r="M21" s="131">
        <f t="array" ref="M21">INDEX(L:L,MIN(IF(ISNUMBER(L21:L217),ROW(L21:L217),"")))</f>
        <v>3.92</v>
      </c>
      <c r="N21" s="130">
        <f>IF('Données projet'!$A$36&gt;35,N20+M21-V20,IF(A21&lt;'Données projet'!$A$36,$K$205^A21,IF(A21='Données projet'!$A$36,'Données projet'!$B$36,N20+M21-V20)))</f>
        <v>27.14455801</v>
      </c>
      <c r="O21" s="130">
        <f>N21*VLOOKUP('Données projet'!$B$9,'Paramètres'!$A$1:$I$89,3,0)*VLOOKUP('Données projet'!$B$9,'Paramètres'!$A$1:$I$89,5,0)</f>
        <v>15.52668718</v>
      </c>
      <c r="P21" s="130">
        <f t="shared" si="34"/>
        <v>5.199831798</v>
      </c>
      <c r="Q21" s="141">
        <f t="shared" si="2"/>
        <v>36.09868722</v>
      </c>
      <c r="R21" s="133">
        <f t="shared" si="3"/>
        <v>329.4320206</v>
      </c>
      <c r="S21" s="133">
        <f>AVERAGE(OFFSET($R$3,0,0,'Données projet'!$E$9+1,1))-AVERAGE(OFFSET($H$3,0,0,'Données projet'!$E$9+1,1))</f>
        <v>126.9946492</v>
      </c>
      <c r="T21" s="133">
        <f t="shared" si="35"/>
        <v>140.039049</v>
      </c>
      <c r="U21" s="134">
        <f>IF(ISNA(VLOOKUP(A21,'Données projet'!$A$35:$I$55,3,0)),0,VLOOKUP(A21,'Données projet'!$A$35:$I$55,3,0))</f>
        <v>0</v>
      </c>
      <c r="V21" s="134">
        <f>IF(ISNA(VLOOKUP(A21,'Données projet'!$A$35:$I$55,4,0)),0,VLOOKUP(A21,'Données projet'!$A$35:$I$55,4,0))</f>
        <v>0</v>
      </c>
      <c r="W21" s="135">
        <f>IF(ISNA(VLOOKUP(A21,'Données projet'!$A$35:$I$55,5,0)),0%,VLOOKUP(A21,'Données projet'!$A$35:$I$55,5,0)*VLOOKUP('Données projet'!$B$9,'Paramètres'!$A$1:$I$89,7,0))</f>
        <v>0</v>
      </c>
      <c r="X21" s="135">
        <f>IF(ISNA(VLOOKUP(A21,'Données projet'!$A$35:$I$55,6,0)),0%,VLOOKUP(A21,'Données projet'!$A$35:$I$55,6,0)*VLOOKUP('Données projet'!$B$9,'Paramètres'!$A$1:$I$89,7,0))</f>
        <v>0</v>
      </c>
      <c r="Y21" s="135">
        <f>IF(ISNA(VLOOKUP(A21,'Données projet'!$A$35:$I$55,7,0)),0%,VLOOKUP(A21,'Données projet'!$A$35:$I$55,7,0))</f>
        <v>0</v>
      </c>
      <c r="Z21" s="142">
        <f>EXP(-LN(2)/35)*Z20+(1-EXP(-LN(2)/35))/(LN(2)/35)*V21*W21*VLOOKUP('Données projet'!$B$9,'Paramètres'!$A$1:$I$89,3,0)*0.475*44/12</f>
        <v>0</v>
      </c>
      <c r="AA21" s="142">
        <f>EXP(-LN(2)/25)*AA20+(1-EXP(-LN(2)/25))/(LN(2)/25)*Calculateur!V21*Calculateur!X21*VLOOKUP('Données projet'!$B$9,'Paramètres'!$A$1:$I$89,3,0)*0.475*44/12</f>
        <v>0</v>
      </c>
      <c r="AB21" s="142">
        <f>EXP(-LN(2)/2)*AB20+(1-EXP(-LN(2)/2))/(LN(2)/2)*V21*Y21*VLOOKUP('Données projet'!$B$9,'Paramètres'!$A$1:$I$89,3,0)*0.475*44/12</f>
        <v>0</v>
      </c>
      <c r="AC21" s="143">
        <f t="shared" si="4"/>
        <v>0</v>
      </c>
      <c r="AD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0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1" t="str">
        <f>VLOOKUP(A21,'Données projet'!$A$61:$I$81,2,0)</f>
        <v>#N/A</v>
      </c>
      <c r="AG21" s="131" t="str">
        <f>VLOOKUP(A21,'Données projet'!$A$61:$I$81,9,0)</f>
        <v>#N/A</v>
      </c>
      <c r="AH21" s="130">
        <f t="array" ref="AH21">INDEX(AG:AG,MIN(IF(ISNUMBER(AG21:AG217),ROW(AG21:AG217),"")))</f>
        <v>5.590909091</v>
      </c>
      <c r="AI21" s="130">
        <f>IF('Données projet'!$A$62&gt;35,AI20+AH21-AQ20,IF(A21&lt;'Données projet'!$A$62,$AF$205^A21,IF(A21='Données projet'!$A$62,'Données projet'!$B$62,AI20+AH21-AQ20)))</f>
        <v>51.27697112</v>
      </c>
      <c r="AJ21" s="130">
        <f>AI21*VLOOKUP('Données projet'!$B$10,'Paramètres'!$A$1:$I$89,3,0)*VLOOKUP('Données projet'!$B$10,'Paramètres'!$A$1:$I$89,5,0)</f>
        <v>30.66362873</v>
      </c>
      <c r="AK21" s="130">
        <f t="shared" si="36"/>
        <v>9.487081507</v>
      </c>
      <c r="AL21" s="141">
        <f t="shared" si="5"/>
        <v>69.92915366</v>
      </c>
      <c r="AM21" s="133">
        <f t="shared" si="6"/>
        <v>363.262487</v>
      </c>
      <c r="AN21" s="133">
        <f>AVERAGE(OFFSET($AM$3,0,0,'Données projet'!$E$10+1,1))-AVERAGE(OFFSET($H$3,0,0,'Données projet'!$E$10+1,1))</f>
        <v>196.874484</v>
      </c>
      <c r="AO21" s="133">
        <f t="shared" si="37"/>
        <v>217.5750859</v>
      </c>
      <c r="AP21" s="134">
        <f>IF(ISNA(VLOOKUP(A21,'Données projet'!$A$61:$I$81,3,0)),0,VLOOKUP(A21,'Données projet'!$A$61:$I$81,3,0))</f>
        <v>0</v>
      </c>
      <c r="AQ21" s="134">
        <f>IF(ISNA(VLOOKUP(A21,'Données projet'!$A$61:$I$81,4,0)),0,VLOOKUP(A21,'Données projet'!$A$61:$I$81,4,0))</f>
        <v>0</v>
      </c>
      <c r="AR21" s="135">
        <f>IF(ISNA(VLOOKUP(A21,'Données projet'!$A$61:$I$81,5,0)),0%,VLOOKUP(A21,'Données projet'!$A$61:$I$81,5,0)*VLOOKUP('Données projet'!$B$10,'Paramètres'!$A$1:$I$89,7,0))</f>
        <v>0</v>
      </c>
      <c r="AS21" s="135">
        <f>IF(ISNA(VLOOKUP(A21,'Données projet'!$A$61:$I$81,6,0)),0%,VLOOKUP(A21,'Données projet'!$A$61:$I$81,6,0)*VLOOKUP('Données projet'!$B$10,'Paramètres'!$A$1:$I$89,7,0))</f>
        <v>0</v>
      </c>
      <c r="AT21" s="135">
        <f>IF(ISNA(VLOOKUP(A21,'Données projet'!$A$61:$I$81,7,0)),0%,VLOOKUP(A21,'Données projet'!$A$61:$I$81,7,0))</f>
        <v>0</v>
      </c>
      <c r="AU21" s="142">
        <f>EXP(-LN(2)/35)*AU20+(1-EXP(-LN(2)/35))/(LN(2)/35)*AQ21*AR21*VLOOKUP('Données projet'!$B$10,'Paramètres'!$A$1:$I$89,3,0)*0.475*44/12</f>
        <v>0</v>
      </c>
      <c r="AV21" s="142">
        <f>EXP(-LN(2)/25)*AV20+(1-EXP(-LN(2)/25))/(LN(2)/25)*Calculateur!AQ21*Calculateur!AS21*VLOOKUP('Données projet'!$B$10,'Paramètres'!$A$1:$I$89,3,0)*0.475*44/12</f>
        <v>0</v>
      </c>
      <c r="AW21" s="142">
        <f>EXP(-LN(2)/2)*AW20+(1-EXP(-LN(2)/2))/(LN(2)/2)*AQ21*AT21*VLOOKUP('Données projet'!$B$10,'Paramètres'!$A$1:$I$89,3,0)*0.475*44/12</f>
        <v>0</v>
      </c>
      <c r="AX21" s="142">
        <f t="shared" si="7"/>
        <v>0</v>
      </c>
      <c r="AY21" s="13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1" t="str">
        <f>VLOOKUP(A21,'Données projet'!$A$87:$I$107,2,0)</f>
        <v>#N/A</v>
      </c>
      <c r="BB21" s="131" t="str">
        <f>VLOOKUP(A21,'Données projet'!$A$87:$I$107,9,0)</f>
        <v>#N/A</v>
      </c>
      <c r="BC21" s="130">
        <f t="array" ref="BC21">INDEX(BB:BB,MIN(IF(ISNUMBER(BB21:BB217),ROW(BB21:BB217),"")))</f>
        <v>4.666666667</v>
      </c>
      <c r="BD21" s="131">
        <f>IF('Données projet'!$A$88&gt;35,BD20+BC21-BL20,IF(A21&lt;'Données projet'!$A$88,$BA$205^A21,IF(A21='Données projet'!$A$88,'Données projet'!$B$88,BD20+BC21-BL20)))</f>
        <v>19.39442112</v>
      </c>
      <c r="BE21" s="130">
        <f>BD21*VLOOKUP('Données projet'!$B$11,'Paramètres'!$A$1:$I$89,3,0)*VLOOKUP('Données projet'!$B$11,'Paramètres'!$A$1:$I$89,5,0)</f>
        <v>9.076589084</v>
      </c>
      <c r="BF21" s="130">
        <f t="shared" si="38"/>
        <v>3.235731971</v>
      </c>
      <c r="BG21" s="141">
        <f t="shared" si="8"/>
        <v>21.44395917</v>
      </c>
      <c r="BH21" s="133">
        <f t="shared" si="9"/>
        <v>314.7772925</v>
      </c>
      <c r="BI21" s="133">
        <f>AVERAGE(OFFSET($BH$3,0,0,'Données projet'!$E$11+1,1))-AVERAGE(OFFSET($H$3,0,0,'Données projet'!$E$11+1,1))</f>
        <v>134.0948534</v>
      </c>
      <c r="BJ21" s="133">
        <f t="shared" si="39"/>
        <v>108.4102536</v>
      </c>
      <c r="BK21" s="134">
        <f>IF(ISNA(VLOOKUP(A21,'Données projet'!$A$87:$I$107,3,0)),0,VLOOKUP(A21,'Données projet'!$A$87:$I$107,3,0))</f>
        <v>0</v>
      </c>
      <c r="BL21" s="134">
        <f>IF(ISNA(VLOOKUP(A21,'Données projet'!$A$87:$I$107,4,0)),0,VLOOKUP(A21,'Données projet'!$A$87:$I$107,4,0))</f>
        <v>0</v>
      </c>
      <c r="BM21" s="135">
        <f>IF(ISNA(VLOOKUP(A21,'Données projet'!$A$87:$I$107,5,0)),0%,VLOOKUP(A21,'Données projet'!$A$87:$I$107,5,0)*VLOOKUP('Données projet'!$B$11,'Paramètres'!$A$1:$I$89,7,0))</f>
        <v>0</v>
      </c>
      <c r="BN21" s="135">
        <f>IF(ISNA(VLOOKUP(A21,'Données projet'!$A$87:$I$107,6,0)),0%,VLOOKUP(A21,'Données projet'!$A$87:$I$107,6,0)*VLOOKUP('Données projet'!$B$11,'Paramètres'!$A$1:$I$89,7,0))</f>
        <v>0</v>
      </c>
      <c r="BO21" s="135">
        <f>IF(ISNA(VLOOKUP(A21,'Données projet'!$A$87:$I$107,7,0)),0%,VLOOKUP(A21,'Données projet'!$A$87:$I$107,7,0))</f>
        <v>0</v>
      </c>
      <c r="BP21" s="142">
        <f>EXP(-LN(2)/35)*BP20+(1-EXP(-LN(2)/35))/(LN(2)/35)*BL21*BM21*VLOOKUP('Données projet'!$B$11,'Paramètres'!$A$1:$I$89,3,0)*0.475*44/12</f>
        <v>0</v>
      </c>
      <c r="BQ21" s="142">
        <f>EXP(-LN(2)/25)*BQ20+(1-EXP(-LN(2)/25))/(LN(2)/25)*Calculateur!BL21*Calculateur!BN21*VLOOKUP('Données projet'!$B$11,'Paramètres'!$A$1:$I$89,3,0)*0.475*44/12</f>
        <v>0</v>
      </c>
      <c r="BR21" s="142">
        <f>EXP(-LN(2)/2)*BR20+(1-EXP(-LN(2)/2))/(LN(2)/2)*BL21*BO21*VLOOKUP('Données projet'!$B$11,'Paramètres'!$A$1:$I$89,3,0)*0.475*44/12</f>
        <v>0</v>
      </c>
      <c r="BS21" s="143">
        <f t="shared" si="10"/>
        <v>0</v>
      </c>
      <c r="BT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1" t="str">
        <f>VLOOKUP(A21,'Données projet'!$A$113:$I$133,2,0)</f>
        <v>#N/A</v>
      </c>
      <c r="BW21" s="131" t="str">
        <f>VLOOKUP(A21,'Données projet'!$A$113:$I$133,9,0)</f>
        <v>#N/A</v>
      </c>
      <c r="BX21" s="130">
        <f t="array" ref="BX21">INDEX(BW:BW,MIN(IF(ISNUMBER(BW21:BW217),ROW(BW21:BW217),"")))</f>
        <v>20</v>
      </c>
      <c r="BY21" s="130">
        <f>IF('Données projet'!$A$114&gt;35,BY20+BX21-CG20,IF(A21&lt;'Données projet'!$A$114,$BV$205^A21,IF(A21='Données projet'!$A$114,'Données projet'!$B$114,BY20+BX21-CG20)))</f>
        <v>88</v>
      </c>
      <c r="BZ21" s="130">
        <f>BY21*VLOOKUP('Données projet'!$B$12,'Paramètres'!$A$1:$I$89,3,0)*VLOOKUP('Données projet'!$B$12,'Paramètres'!$A$1:$I$89,5,0)</f>
        <v>43.472</v>
      </c>
      <c r="CA21" s="130">
        <f t="shared" si="40"/>
        <v>12.91439561</v>
      </c>
      <c r="CB21" s="141">
        <f t="shared" si="11"/>
        <v>98.20630568</v>
      </c>
      <c r="CC21" s="133">
        <f t="shared" si="12"/>
        <v>391.539639</v>
      </c>
      <c r="CD21" s="133">
        <f>AVERAGE(OFFSET($CC$3,0,0,'Données projet'!$E$12+1,1))-AVERAGE(OFFSET($H$3,0,0,'Données projet'!$E$12+1,1))</f>
        <v>258.1672054</v>
      </c>
      <c r="CE21" s="133">
        <f t="shared" si="41"/>
        <v>296.0724261</v>
      </c>
      <c r="CF21" s="134">
        <f>IF(ISNA(VLOOKUP(A21,'Données projet'!$A$113:$I$133,3,0)),0,VLOOKUP(A21,'Données projet'!$A$113:$I$133,3,0))</f>
        <v>0</v>
      </c>
      <c r="CG21" s="134">
        <f>IF(ISNA(VLOOKUP(A21,'Données projet'!$A$113:$I$133,4,0)),0,VLOOKUP(A21,'Données projet'!$A$113:$I$133,4,0))</f>
        <v>0</v>
      </c>
      <c r="CH21" s="135">
        <f>IF(ISNA(VLOOKUP(A21,'Données projet'!$A$113:$I$133,5,0)),0%,VLOOKUP(A21,'Données projet'!$A$113:$I$133,5,0)*VLOOKUP('Données projet'!$B$12,'Paramètres'!$A$1:$I$89,7,0))</f>
        <v>0</v>
      </c>
      <c r="CI21" s="135">
        <f>IF(ISNA(VLOOKUP(A21,'Données projet'!$A$113:$I$133,6,0)),0%,VLOOKUP(A21,'Données projet'!$A$113:$I$133,6,0)*VLOOKUP('Données projet'!$B$12,'Paramètres'!$A$1:$I$89,7,0))</f>
        <v>0</v>
      </c>
      <c r="CJ21" s="135">
        <f>IF(ISNA(VLOOKUP(A21,'Données projet'!$A$113:$I$133,7,0)),0%,VLOOKUP(A21,'Données projet'!$A$113:$I$133,7,0))</f>
        <v>0</v>
      </c>
      <c r="CK21" s="142">
        <f>EXP(-LN(2)/35)*CK20+(1-EXP(-LN(2)/35))/(LN(2)/35)*CG21*CH21*VLOOKUP('Données projet'!$B$12,'Paramètres'!$A$1:$I$89,3,0)*0.475*44/12</f>
        <v>0</v>
      </c>
      <c r="CL21" s="142">
        <f>EXP(-LN(2)/25)*CL20+(1-EXP(-LN(2)/25))/(LN(2)/25)*Calculateur!CG21*Calculateur!CI21*VLOOKUP('Données projet'!$B$12,'Paramètres'!$A$1:$I$89,3,0)*0.475*44/12</f>
        <v>0</v>
      </c>
      <c r="CM21" s="142">
        <f>EXP(-LN(2)/2)*CM20+(1-EXP(-LN(2)/2))/(LN(2)/2)*CG21*CJ21*VLOOKUP('Données projet'!$B$12,'Paramètres'!$A$1:$I$89,3,0)*0.475*44/12</f>
        <v>0</v>
      </c>
      <c r="CN21" s="143">
        <f t="shared" si="13"/>
        <v>0</v>
      </c>
      <c r="CO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1" t="str">
        <f>VLOOKUP(A21,'Données projet'!$A$139:$I$159,2,0)</f>
        <v>#N/A</v>
      </c>
      <c r="CR21" s="131" t="str">
        <f>VLOOKUP(A21,'Données projet'!$A$139:$I$159,9,0)</f>
        <v>#N/A</v>
      </c>
      <c r="CS21" s="130">
        <f t="array" ref="CS21">INDEX(CR:CR,MIN(IF(ISNUMBER(CR21:CR217),ROW(CR21:CR217),"")))</f>
        <v>1.2</v>
      </c>
      <c r="CT21" s="131">
        <f>IF('Données projet'!$A$140&gt;35,CT20+CS21-DB20,IF(A21&lt;'Données projet'!$A$140,$CQ$205^A21,IF(A21='Données projet'!$A$140,'Données projet'!$B$140,CT20+CS21-DB20)))</f>
        <v>11.57516801</v>
      </c>
      <c r="CU21" s="138">
        <f>CT21*VLOOKUP('Données projet'!$B$13,'Paramètres'!$A$1:$I$89,3,0)*VLOOKUP('Données projet'!$B$13,'Paramètres'!$A$1:$I$89,5,0)</f>
        <v>11.73722036</v>
      </c>
      <c r="CV21" s="130">
        <f t="shared" si="42"/>
        <v>4.060877859</v>
      </c>
      <c r="CW21" s="141">
        <f t="shared" si="14"/>
        <v>27.51502107</v>
      </c>
      <c r="CX21" s="133">
        <f t="shared" si="15"/>
        <v>320.8483544</v>
      </c>
      <c r="CY21" s="133">
        <f>AVERAGE(OFFSET($CX$3,0,0,'Données projet'!$E$13+1,1))-AVERAGE(OFFSET($H$3,0,0,'Données projet'!$E$13+1,1))</f>
        <v>223.783507</v>
      </c>
      <c r="CZ21" s="133">
        <f t="shared" si="43"/>
        <v>84.92349117</v>
      </c>
      <c r="DA21" s="134">
        <f>IF(ISNA(VLOOKUP(A21,'Données projet'!$A$139:$I$159,3,0)),0,VLOOKUP(A21,'Données projet'!$A$139:$I$159,3,0))</f>
        <v>0</v>
      </c>
      <c r="DB21" s="134">
        <f>IF(ISNA(VLOOKUP(A21,'Données projet'!$A$139:$I$159,4,0)),0,VLOOKUP(A21,'Données projet'!$A$139:$I$159,4,0))</f>
        <v>0</v>
      </c>
      <c r="DC21" s="135">
        <f>IF(ISNA(VLOOKUP(A21,'Données projet'!$A$139:$I$159,5,0)),0%,VLOOKUP(A21,'Données projet'!$A$139:$I$159,5,0)*VLOOKUP('Données projet'!$B$13,'Paramètres'!$A$1:$I$89,7,0))</f>
        <v>0</v>
      </c>
      <c r="DD21" s="135">
        <f>IF(ISNA(VLOOKUP(A21,'Données projet'!$A$139:$I$159,6,0)),0%,VLOOKUP(A21,'Données projet'!$A$139:$I$159,6,0)*VLOOKUP('Données projet'!$B$13,'Paramètres'!$A$1:$I$89,7,0))</f>
        <v>0</v>
      </c>
      <c r="DE21" s="135">
        <f>IF(ISNA(VLOOKUP(A21,'Données projet'!$A$139:$I$159,7,0)),0%,VLOOKUP(A21,'Données projet'!$A$139:$I$159,7,0))</f>
        <v>0</v>
      </c>
      <c r="DF21" s="142">
        <f>EXP(-LN(2)/35)*DF20+(1-EXP(-LN(2)/35))/(LN(2)/35)*DB21*DC21*VLOOKUP('Données projet'!$B$13,'Paramètres'!$A$1:$I$89,3,0)*0.475*44/12</f>
        <v>0</v>
      </c>
      <c r="DG21" s="142">
        <f>EXP(-LN(2)/25)*DG20+(1-EXP(-LN(2)/25))/(LN(2)/25)*Calculateur!DB21*Calculateur!DD21*VLOOKUP('Données projet'!$B$13,'Paramètres'!$A$1:$I$89,3,0)*0.475*44/12</f>
        <v>0</v>
      </c>
      <c r="DH21" s="142">
        <f>EXP(-LN(2)/2)*DH20+(1-EXP(-LN(2)/2))/(LN(2)/2)*DB21*DE21*VLOOKUP('Données projet'!$B$13,'Paramètres'!$A$1:$I$89,3,0)*0.475*44/12</f>
        <v>0</v>
      </c>
      <c r="DI21" s="143">
        <f t="shared" si="16"/>
        <v>0</v>
      </c>
      <c r="DJ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1" t="str">
        <f>VLOOKUP(A21,'Données projet'!$A$165:$I$185,2,0)</f>
        <v>#N/A</v>
      </c>
      <c r="DM21" s="131" t="str">
        <f>VLOOKUP(A21,'Données projet'!$A$165:$I$185,9,0)</f>
        <v>#N/A</v>
      </c>
      <c r="DN21" s="131">
        <f t="array" ref="DN21">INDEX(DM:DM,MIN(IF(ISNUMBER(DM21:DM217),ROW(DM21:DM217),"")))</f>
        <v>2.1</v>
      </c>
      <c r="DO21" s="131">
        <f>IF('Données projet'!$A$166&gt;35,DO20+DN21-DW20,IF(A21&lt;'Données projet'!$A$166,$DL$205^A21,IF(A21='Données projet'!$A$166,'Données projet'!$B$166,DO20+DN21-DW20)))</f>
        <v>28.90176473</v>
      </c>
      <c r="DP21" s="138">
        <f>DO21*VLOOKUP('Données projet'!$B$14,'Paramètres'!$A$1:$I$89,3,0)*VLOOKUP('Données projet'!$B$14,'Paramètres'!$A$1:$I$89,5,0)</f>
        <v>26.15031672</v>
      </c>
      <c r="DQ21" s="130">
        <f t="shared" si="44"/>
        <v>8.242039675</v>
      </c>
      <c r="DR21" s="141">
        <f t="shared" si="17"/>
        <v>59.90002073</v>
      </c>
      <c r="DS21" s="133">
        <f t="shared" si="18"/>
        <v>353.2333541</v>
      </c>
      <c r="DT21" s="133">
        <f>AVERAGE(OFFSET($DS$3,0,0,'Données projet'!$E$14+1,1))-AVERAGE(OFFSET($H$3,0,0,'Données projet'!$E$14+1,1))</f>
        <v>287.9334714</v>
      </c>
      <c r="DU21" s="133">
        <f t="shared" si="45"/>
        <v>156.6796502</v>
      </c>
      <c r="DV21" s="134">
        <f>IF(ISNA(VLOOKUP(A21,'Données projet'!$A$165:$I$185,3,0)),0,VLOOKUP(A21,'Données projet'!$A$165:$I$185,3,0))</f>
        <v>0</v>
      </c>
      <c r="DW21" s="134">
        <f>IF(ISNA(VLOOKUP(A21,'Données projet'!$A$165:$I$185,4,0)),0,VLOOKUP(A21,'Données projet'!$A$165:$I$185,4,0))</f>
        <v>0</v>
      </c>
      <c r="DX21" s="135">
        <f>IF(ISNA(VLOOKUP(A21,'Données projet'!$A$165:$I$185,5,0)),0%,VLOOKUP(A21,'Données projet'!$A$165:$I$185,5,0)*VLOOKUP('Données projet'!$B$14,'Paramètres'!$A$1:$I$89,7,0))</f>
        <v>0</v>
      </c>
      <c r="DY21" s="135">
        <f>IF(ISNA(VLOOKUP(A21,'Données projet'!$A$165:$I$185,6,0)),0%,VLOOKUP(A21,'Données projet'!$A$165:$I$185,6,0)*VLOOKUP('Données projet'!$B$14,'Paramètres'!$A$1:$I$89,7,0))</f>
        <v>0</v>
      </c>
      <c r="DZ21" s="135">
        <f>IF(ISNA(VLOOKUP(A21,'Données projet'!$A$165:$I$185,7,0)),0%,VLOOKUP(A21,'Données projet'!$A$165:$I$185,7,0))</f>
        <v>0</v>
      </c>
      <c r="EA21" s="142">
        <f>EXP(-LN(2)/35)*EA20+(1-EXP(-LN(2)/35))/(LN(2)/35)*DW21*DX21*VLOOKUP('Données projet'!$B$14,'Paramètres'!$A$1:$I$89,3,0)*0.475*44/12</f>
        <v>0</v>
      </c>
      <c r="EB21" s="142">
        <f>EXP(-LN(2)/25)*EB20+(1-EXP(-LN(2)/25))/(LN(2)/25)*Calculateur!DW21*Calculateur!DY21*VLOOKUP('Données projet'!$B$14,'Paramètres'!$A$1:$I$89,3,0)*0.475*44/12</f>
        <v>0</v>
      </c>
      <c r="EC21" s="142">
        <f>EXP(-LN(2)/2)*EC20+(1-EXP(-LN(2)/2))/(LN(2)/2)*DW21*DZ21*VLOOKUP('Données projet'!$B$14,'Paramètres'!$A$1:$I$89,3,0)*0.475*44/12</f>
        <v>0</v>
      </c>
      <c r="ED21" s="143">
        <f t="shared" si="19"/>
        <v>0</v>
      </c>
      <c r="EE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1" t="str">
        <f>VLOOKUP(A21,'Données projet'!$A$191:$I$211,2,0)</f>
        <v>#N/A</v>
      </c>
      <c r="EH21" s="131" t="str">
        <f>VLOOKUP(A21,'Données projet'!$A$191:$I$211,9,0)</f>
        <v>#N/A</v>
      </c>
      <c r="EI21" s="131">
        <f t="array" ref="EI21">INDEX(EH:EH,MIN(IF(ISNUMBER(EH21:EH217),ROW(EH21:EH217),"")))</f>
        <v>1.6</v>
      </c>
      <c r="EJ21" s="131">
        <f>IF('Données projet'!$A$192&gt;35,EJ20+EI21-ER20,IF(A21&lt;'Données projet'!$A$192,$EG$205^A21,IF(A21='Données projet'!$A$192,'Données projet'!$B$192,EJ20+EI21-ER20)))</f>
        <v>14.23912143</v>
      </c>
      <c r="EK21" s="138">
        <f>EJ21*VLOOKUP('Données projet'!$B$15,'Paramètres'!$A$1:$I$89,3,0)*VLOOKUP('Données projet'!$B$15,'Paramètres'!$A$1:$I$89,5,0)</f>
        <v>10.44012383</v>
      </c>
      <c r="EL21" s="130">
        <f t="shared" si="46"/>
        <v>3.66167991</v>
      </c>
      <c r="EM21" s="141">
        <f t="shared" si="20"/>
        <v>24.56064152</v>
      </c>
      <c r="EN21" s="133">
        <f t="shared" si="21"/>
        <v>317.8939749</v>
      </c>
      <c r="EO21" s="133">
        <f>AVERAGE(OFFSET($EN$3,0,0,'Données projet'!$E$15+1,1))-AVERAGE(OFFSET($H$3,0,0,'Données projet'!$E$15+1,1))</f>
        <v>130.3193339</v>
      </c>
      <c r="EP21" s="133">
        <f t="shared" si="47"/>
        <v>82.22784365</v>
      </c>
      <c r="EQ21" s="134">
        <f>IF(ISNA(VLOOKUP(A21,'Données projet'!$A$191:$I$211,3,0)),0,VLOOKUP(A21,'Données projet'!$A$191:$I$211,3,0))</f>
        <v>0</v>
      </c>
      <c r="ER21" s="134">
        <f>IF(ISNA(VLOOKUP(A21,'Données projet'!$A$191:$I$211,4,0)),0,VLOOKUP(A21,'Données projet'!$A$191:$I$211,4,0))</f>
        <v>0</v>
      </c>
      <c r="ES21" s="135">
        <f>IF(ISNA(VLOOKUP(A21,'Données projet'!$A$191:$I$211,5,0)),0%,VLOOKUP(A21,'Données projet'!$A$191:$I$211,5,0)*VLOOKUP('Données projet'!$B$15,'Paramètres'!$A$1:$I$89,7,0))</f>
        <v>0</v>
      </c>
      <c r="ET21" s="135">
        <f>IF(ISNA(VLOOKUP(A21,'Données projet'!$A$191:$I$211,6,0)),0%,VLOOKUP(A21,'Données projet'!$A$191:$I$211,6,0)*VLOOKUP('Données projet'!$B$15,'Paramètres'!$A$1:$I$89,7,0))</f>
        <v>0</v>
      </c>
      <c r="EU21" s="135">
        <f>IF(ISNA(VLOOKUP(A21,'Données projet'!$A$191:$I$211,7,0)),0%,VLOOKUP(A21,'Données projet'!$A$191:$I$211,7,0))</f>
        <v>0</v>
      </c>
      <c r="EV21" s="142">
        <f>EXP(-LN(2)/35)*EV20+(1-EXP(-LN(2)/35))/(LN(2)/35)*ER21*ES21*VLOOKUP('Données projet'!$B$15,'Paramètres'!$A$1:$I$89,3,0)*0.475*44/12</f>
        <v>0</v>
      </c>
      <c r="EW21" s="142">
        <f>EXP(-LN(2)/25)*EW20+(1-EXP(-LN(2)/25))/(LN(2)/25)*Calculateur!ER21*Calculateur!ET21*VLOOKUP('Données projet'!$B$15,'Paramètres'!$A$1:$I$89,3,0)*0.475*44/12</f>
        <v>0</v>
      </c>
      <c r="EX21" s="142">
        <f>EXP(-LN(2)/2)*EX20+(1-EXP(-LN(2)/2))/(LN(2)/2)*ER21*EU21*VLOOKUP('Données projet'!$B$15,'Paramètres'!$A$1:$I$89,3,0)*0.475*44/12</f>
        <v>0</v>
      </c>
      <c r="EY21" s="143">
        <f t="shared" si="22"/>
        <v>0</v>
      </c>
      <c r="EZ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1" t="str">
        <f>VLOOKUP(A21,'Données projet'!$A$217:$I$237,2,0)</f>
        <v>#N/A</v>
      </c>
      <c r="FC21" s="131" t="str">
        <f>VLOOKUP(A21,'Données projet'!$A$217:$I$237,9,0)</f>
        <v>#N/A</v>
      </c>
      <c r="FD21" s="130">
        <f t="array" ref="FD21">INDEX(FC:FC,MIN(IF(ISNUMBER(FC21:FC217),ROW(FC21:FC217),"")))</f>
        <v>11.4</v>
      </c>
      <c r="FE21" s="130">
        <f>IF('Données projet'!$A$218&gt;35,FE20+FD21-FM20,IF(A21&lt;'Données projet'!$A$218,$FB$205^A21,IF(A21='Données projet'!$A$218,'Données projet'!$B$218,FE20+FD21-FM20)))</f>
        <v>116.2</v>
      </c>
      <c r="FF21" s="138">
        <f>FE21*VLOOKUP('Données projet'!$B$16,'Paramètres'!$A$1:$I$89,3,0)*VLOOKUP('Données projet'!$B$16,'Paramètres'!$A$1:$I$89,5,0)</f>
        <v>105.13776</v>
      </c>
      <c r="FG21" s="130">
        <f t="shared" si="48"/>
        <v>28.18240618</v>
      </c>
      <c r="FH21" s="141">
        <f t="shared" si="23"/>
        <v>232.1992894</v>
      </c>
      <c r="FI21" s="133">
        <f t="shared" si="24"/>
        <v>525.5326228</v>
      </c>
      <c r="FJ21" s="133">
        <f>AVERAGE(OFFSET($FI$3,0,0,'Données projet'!$E$16+1,1))-AVERAGE(OFFSET($H$3,0,0,'Données projet'!$E$16+1,1))</f>
        <v>305.6252353</v>
      </c>
      <c r="FK21" s="133">
        <f t="shared" si="49"/>
        <v>331.397916</v>
      </c>
      <c r="FL21" s="134">
        <f>IF(ISNA(VLOOKUP(A21,'Données projet'!$A$217:$I$237,3,0)),0,VLOOKUP(A21,'Données projet'!$A$217:$I$237,3,0))</f>
        <v>0</v>
      </c>
      <c r="FM21" s="134">
        <f>IF(ISNA(VLOOKUP(A21,'Données projet'!$A$217:$I$237,4,0)),0,VLOOKUP(A21,'Données projet'!$A$217:$I$237,4,0))</f>
        <v>0</v>
      </c>
      <c r="FN21" s="135">
        <f>IF(ISNA(VLOOKUP(A21,'Données projet'!$A$217:$I$237,5,0)),0%,VLOOKUP(A21,'Données projet'!$A$217:$I$237,5,0)*VLOOKUP('Données projet'!$B$16,'Paramètres'!$A$1:$I$89,7,0))</f>
        <v>0</v>
      </c>
      <c r="FO21" s="135">
        <f>IF(ISNA(VLOOKUP(A21,'Données projet'!$A$217:$I$237,6,0)),0%,VLOOKUP(A21,'Données projet'!$A$217:$I$237,6,0)*VLOOKUP('Données projet'!$B$16,'Paramètres'!$A$1:$I$89,7,0))</f>
        <v>0</v>
      </c>
      <c r="FP21" s="135">
        <f>IF(ISNA(VLOOKUP(A21,'Données projet'!$A$217:$I$237,7,0)),0%,VLOOKUP(A21,'Données projet'!$A$217:$I$237,7,0))</f>
        <v>0</v>
      </c>
      <c r="FQ21" s="142">
        <f>EXP(-LN(2)/35)*FQ20+(1-EXP(-LN(2)/35))/(LN(2)/35)*FM21*FN21*VLOOKUP('Données projet'!$B$16,'Paramètres'!$A$1:$I$89,3,0)*0.475*44/12</f>
        <v>0</v>
      </c>
      <c r="FR21" s="142">
        <f>EXP(-LN(2)/25)*FR20+(1-EXP(-LN(2)/25))/(LN(2)/25)*Calculateur!FM21*Calculateur!FO21*VLOOKUP('Données projet'!$B$16,'Paramètres'!$A$1:$I$89,3,0)*0.475*44/12</f>
        <v>0</v>
      </c>
      <c r="FS21" s="142">
        <f>EXP(-LN(2)/2)*FS20+(1-EXP(-LN(2)/2))/(LN(2)/2)*FM21*FP21*VLOOKUP('Données projet'!$B$16,'Paramètres'!$A$1:$I$89,3,0)*0.475*44/12</f>
        <v>0</v>
      </c>
      <c r="FT21" s="143">
        <f t="shared" si="25"/>
        <v>0</v>
      </c>
      <c r="FU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1" t="str">
        <f>VLOOKUP(A21,'Données projet'!$A$243:$I$263,2,0)</f>
        <v>#N/A</v>
      </c>
      <c r="FX21" s="131" t="str">
        <f>VLOOKUP(A21,'Données projet'!$A$243:$I$263,9,0)</f>
        <v>#N/A</v>
      </c>
      <c r="FY21" s="130">
        <f t="array" ref="FY21">INDEX(FX:FX,MIN(IF(ISNUMBER(FX21:FX217),ROW(FX21:FX217),"")))</f>
        <v>1.6</v>
      </c>
      <c r="FZ21" s="131">
        <f>IF('Données projet'!$A$244&gt;35,FZ20+FY21-GH20,IF(A21&lt;'Données projet'!$A$244,$FW$205^A21,IF(A21='Données projet'!$A$244,'Données projet'!$B$244,FZ20+FY21-GH20)))</f>
        <v>22.627417</v>
      </c>
      <c r="GA21" s="138">
        <f>FZ21*VLOOKUP('Données projet'!$B$17,'Paramètres'!$A$1:$I$89,3,0)*VLOOKUP('Données projet'!$B$17,'Paramètres'!$A$1:$I$89,5,0)</f>
        <v>15.17847132</v>
      </c>
      <c r="GB21" s="130">
        <f t="shared" si="50"/>
        <v>5.096654056</v>
      </c>
      <c r="GC21" s="141">
        <f t="shared" si="26"/>
        <v>35.31251003</v>
      </c>
      <c r="GD21" s="133">
        <f t="shared" si="27"/>
        <v>328.6458434</v>
      </c>
      <c r="GE21" s="133">
        <f>AVERAGE(OFFSET($GD$3,0,0,'Données projet'!$E$17+1,1))-AVERAGE(OFFSET($H$3,0,0,'Données projet'!$E$17+1,1))</f>
        <v>118.7368745</v>
      </c>
      <c r="GF21" s="133">
        <f t="shared" si="51"/>
        <v>135.1233677</v>
      </c>
      <c r="GG21" s="134">
        <f>IF(ISNA(VLOOKUP(A21,'Données projet'!$A$243:$I$263,3,0)),0,VLOOKUP(A21,'Données projet'!$A$243:$I$263,3,0))</f>
        <v>0</v>
      </c>
      <c r="GH21" s="134">
        <f>IF(ISNA(VLOOKUP(A21,'Données projet'!$A$243:$I$263,4,0)),0,VLOOKUP(A21,'Données projet'!$A$243:$I$263,4,0))</f>
        <v>0</v>
      </c>
      <c r="GI21" s="135">
        <f>IF(ISNA(VLOOKUP(A21,'Données projet'!$A$243:$I$263,5,0)),0%,VLOOKUP(A21,'Données projet'!$A$243:$I$263,5,0)*VLOOKUP('Données projet'!$B$17,'Paramètres'!$A$1:$I$89,7,0))</f>
        <v>0</v>
      </c>
      <c r="GJ21" s="135">
        <f>IF(ISNA(VLOOKUP(A21,'Données projet'!$A$243:$I$263,6,0)),0%,VLOOKUP(A21,'Données projet'!$A$243:$I$263,6,0)*VLOOKUP('Données projet'!$B$17,'Paramètres'!$A$1:$I$89,7,0))</f>
        <v>0</v>
      </c>
      <c r="GK21" s="135">
        <f>IF(ISNA(VLOOKUP(A21,'Données projet'!$A$243:$I$263,7,0)),0%,VLOOKUP(A21,'Données projet'!$A$243:$I$263,7,0))</f>
        <v>0</v>
      </c>
      <c r="GL21" s="142">
        <f>EXP(-LN(2)/35)*GL20+(1-EXP(-LN(2)/35))/(LN(2)/35)*GH21*GI21*VLOOKUP('Données projet'!$B$17,'Paramètres'!$A$1:$I$89,3,0)*0.475*44/12</f>
        <v>0</v>
      </c>
      <c r="GM21" s="142">
        <f>EXP(-LN(2)/25)*GM20+(1-EXP(-LN(2)/25))/(LN(2)/25)*Calculateur!GH21*Calculateur!GJ21*VLOOKUP('Données projet'!$B$17,'Paramètres'!$A$1:$I$89,3,0)*0.475*44/12</f>
        <v>0</v>
      </c>
      <c r="GN21" s="142">
        <f>EXP(-LN(2)/2)*GN20+(1-EXP(-LN(2)/2))/(LN(2)/2)*GH21*GK21*VLOOKUP('Données projet'!$B$17,'Paramètres'!$A$1:$I$89,3,0)*0.475*44/12</f>
        <v>0</v>
      </c>
      <c r="GO21" s="142">
        <f t="shared" si="28"/>
        <v>0</v>
      </c>
      <c r="GP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1" t="str">
        <f>VLOOKUP(A21,'Données projet'!$A$269:$I$289,2,0)</f>
        <v>#N/A</v>
      </c>
      <c r="GS21" s="131" t="str">
        <f>VLOOKUP(A21,'Données projet'!$A$269:$I$289,9,0)</f>
        <v>#N/A</v>
      </c>
      <c r="GT21" s="130">
        <f t="array" ref="GT21">INDEX(GS:GS,MIN(IF(ISNUMBER(GS21:GS217),ROW(GS21:GS217),"")))</f>
        <v>1.2</v>
      </c>
      <c r="GU21" s="131">
        <f>IF('Données projet'!$A$270&gt;35,GU20+GT21-HC20,IF(A21&lt;'Données projet'!$A$270,$GR$205^A21,IF(A21='Données projet'!$A$270,'Données projet'!$B$270,GU20+GT21-HC20)))</f>
        <v>11.57516801</v>
      </c>
      <c r="GV21" s="138">
        <f>GU21*VLOOKUP('Données projet'!$B$18,'Paramètres'!$A$1:$I$89,3,0)*VLOOKUP('Données projet'!$B$18,'Paramètres'!$A$1:$I$89,5,0)</f>
        <v>12.45951085</v>
      </c>
      <c r="GW21" s="130">
        <f t="shared" si="52"/>
        <v>4.280916351</v>
      </c>
      <c r="GX21" s="141">
        <f t="shared" si="29"/>
        <v>29.15624404</v>
      </c>
      <c r="GY21" s="133">
        <f t="shared" si="30"/>
        <v>322.4895774</v>
      </c>
      <c r="GZ21" s="133">
        <f>AVERAGE(OFFSET($GY$3,0,0,'Données projet'!$E$18+1,1))-AVERAGE(OFFSET($H$3,0,0,'Données projet'!$E$18+1,1))</f>
        <v>100.5427875</v>
      </c>
      <c r="HA21" s="133">
        <f t="shared" si="53"/>
        <v>92.28663609</v>
      </c>
      <c r="HB21" s="134">
        <f>IF(ISNA(VLOOKUP(A21,'Données projet'!$A$269:$I$289,3,0)),0,VLOOKUP(A21,'Données projet'!$A$269:$I$289,3,0))</f>
        <v>0</v>
      </c>
      <c r="HC21" s="134">
        <f>IF(ISNA(VLOOKUP(A21,'Données projet'!$A$269:$I$289,4,0)),0,VLOOKUP(A21,'Données projet'!$A$269:$I$289,4,0))</f>
        <v>0</v>
      </c>
      <c r="HD21" s="135">
        <f>IF(ISNA(VLOOKUP(A21,'Données projet'!$A$269:$I$289,5,0)),0%,VLOOKUP(A21,'Données projet'!$A$269:$I$289,5,0)*VLOOKUP('Données projet'!$B$18,'Paramètres'!$A$1:$I$89,7,0))</f>
        <v>0</v>
      </c>
      <c r="HE21" s="135">
        <f>IF(ISNA(VLOOKUP(A21,'Données projet'!$A$269:$I$289,6,0)),0%,VLOOKUP(A21,'Données projet'!$A$269:$I$289,6,0)*VLOOKUP('Données projet'!$B$18,'Paramètres'!$A$1:$I$89,7,0))</f>
        <v>0</v>
      </c>
      <c r="HF21" s="135">
        <f>IF(ISNA(VLOOKUP(A21,'Données projet'!$A$269:$I$289,7,0)),0%,VLOOKUP(A21,'Données projet'!$A$269:$I$289,7,0))</f>
        <v>0</v>
      </c>
      <c r="HG21" s="142">
        <f>EXP(-LN(2)/35)*HG20+(1-EXP(-LN(2)/35))/(LN(2)/35)*HC21*HD21*VLOOKUP('Données projet'!$B$18,'Paramètres'!$A$1:$I$89,3,0)*0.475*44/12</f>
        <v>0</v>
      </c>
      <c r="HH21" s="142">
        <f>EXP(-LN(2)/25)*HH20+(1-EXP(-LN(2)/25))/(LN(2)/25)*Calculateur!HC21*Calculateur!HE21*VLOOKUP('Données projet'!$B$18,'Paramètres'!$A$1:$I$89,3,0)*0.475*44/12</f>
        <v>0</v>
      </c>
      <c r="HI21" s="142">
        <f>EXP(-LN(2)/2)*HI20+(1-EXP(-LN(2)/2))/(LN(2)/2)*HC21*HF21*VLOOKUP('Données projet'!$B$18,'Paramètres'!$A$1:$I$89,3,0)*0.475*44/12</f>
        <v>0</v>
      </c>
      <c r="HJ21" s="143">
        <f t="shared" si="31"/>
        <v>0</v>
      </c>
    </row>
    <row r="22" ht="15.75" customHeight="1">
      <c r="A22" s="125">
        <f t="shared" si="32"/>
        <v>19</v>
      </c>
      <c r="B22" s="126">
        <f>'Scénario référence'!$B$16*5+'Scénario référence'!$B$17*0+'Scénario référence'!$B$18*5</f>
        <v>0</v>
      </c>
      <c r="C22" s="140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10.374</v>
      </c>
      <c r="D22" s="127">
        <f t="shared" si="33"/>
        <v>3.641180144</v>
      </c>
      <c r="E2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7">
        <f>IF(OR('Scénario référence'!$F$8&gt;0,'Scénario référence'!$F$9&gt;0),('Scénario référence'!$F$8+'Scénario référence'!$F$9)*10,0)</f>
        <v>10</v>
      </c>
      <c r="G22" s="127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108.1873555</v>
      </c>
      <c r="H22" s="128">
        <f t="shared" si="1"/>
        <v>317.7431054</v>
      </c>
      <c r="I22" s="12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1" t="str">
        <f>VLOOKUP(A22,'Données projet'!$A$35:$I$55,2,0)</f>
        <v>#N/A</v>
      </c>
      <c r="L22" s="131" t="str">
        <f>VLOOKUP(A22,'Données projet'!$A$35:$I$55,9,0)</f>
        <v>#N/A</v>
      </c>
      <c r="M22" s="131">
        <f t="array" ref="M22">INDEX(L:L,MIN(IF(ISNUMBER(L22:L218),ROW(L22:L218),"")))</f>
        <v>3.92</v>
      </c>
      <c r="N22" s="130">
        <f>IF('Données projet'!$A$36&gt;35,N21+M22-V21,IF(A22&lt;'Données projet'!$A$36,$K$205^A22,IF(A22='Données projet'!$A$36,'Données projet'!$B$36,N21+M22-V21)))</f>
        <v>32.60857478</v>
      </c>
      <c r="O22" s="130">
        <f>N22*VLOOKUP('Données projet'!$B$9,'Paramètres'!$A$1:$I$89,3,0)*VLOOKUP('Données projet'!$B$9,'Paramètres'!$A$1:$I$89,5,0)</f>
        <v>18.65210477</v>
      </c>
      <c r="P22" s="130">
        <f t="shared" si="34"/>
        <v>6.114587862</v>
      </c>
      <c r="Q22" s="141">
        <f t="shared" si="2"/>
        <v>43.13532301</v>
      </c>
      <c r="R22" s="133">
        <f t="shared" si="3"/>
        <v>336.4686563</v>
      </c>
      <c r="S22" s="133">
        <f>AVERAGE(OFFSET($R$3,0,0,'Données projet'!$E$9+1,1))-AVERAGE(OFFSET($H$3,0,0,'Données projet'!$E$9+1,1))</f>
        <v>126.9946492</v>
      </c>
      <c r="T22" s="133">
        <f t="shared" si="35"/>
        <v>140.039049</v>
      </c>
      <c r="U22" s="134">
        <f>IF(ISNA(VLOOKUP(A22,'Données projet'!$A$35:$I$55,3,0)),0,VLOOKUP(A22,'Données projet'!$A$35:$I$55,3,0))</f>
        <v>0</v>
      </c>
      <c r="V22" s="134">
        <f>IF(ISNA(VLOOKUP(A22,'Données projet'!$A$35:$I$55,4,0)),0,VLOOKUP(A22,'Données projet'!$A$35:$I$55,4,0))</f>
        <v>0</v>
      </c>
      <c r="W22" s="135">
        <f>IF(ISNA(VLOOKUP(A22,'Données projet'!$A$35:$I$55,5,0)),0%,VLOOKUP(A22,'Données projet'!$A$35:$I$55,5,0)*VLOOKUP('Données projet'!$B$9,'Paramètres'!$A$1:$I$89,7,0))</f>
        <v>0</v>
      </c>
      <c r="X22" s="135">
        <f>IF(ISNA(VLOOKUP(A22,'Données projet'!$A$35:$I$55,6,0)),0%,VLOOKUP(A22,'Données projet'!$A$35:$I$55,6,0)*VLOOKUP('Données projet'!$B$9,'Paramètres'!$A$1:$I$89,7,0))</f>
        <v>0</v>
      </c>
      <c r="Y22" s="135">
        <f>IF(ISNA(VLOOKUP(A22,'Données projet'!$A$35:$I$55,7,0)),0%,VLOOKUP(A22,'Données projet'!$A$35:$I$55,7,0))</f>
        <v>0</v>
      </c>
      <c r="Z22" s="142">
        <f>EXP(-LN(2)/35)*Z21+(1-EXP(-LN(2)/35))/(LN(2)/35)*V22*W22*VLOOKUP('Données projet'!$B$9,'Paramètres'!$A$1:$I$89,3,0)*0.475*44/12</f>
        <v>0</v>
      </c>
      <c r="AA22" s="142">
        <f>EXP(-LN(2)/25)*AA21+(1-EXP(-LN(2)/25))/(LN(2)/25)*Calculateur!V22*Calculateur!X22*VLOOKUP('Données projet'!$B$9,'Paramètres'!$A$1:$I$89,3,0)*0.475*44/12</f>
        <v>0</v>
      </c>
      <c r="AB22" s="142">
        <f>EXP(-LN(2)/2)*AB21+(1-EXP(-LN(2)/2))/(LN(2)/2)*V22*Y22*VLOOKUP('Données projet'!$B$9,'Paramètres'!$A$1:$I$89,3,0)*0.475*44/12</f>
        <v>0</v>
      </c>
      <c r="AC22" s="143">
        <f t="shared" si="4"/>
        <v>0</v>
      </c>
      <c r="AD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0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1" t="str">
        <f>VLOOKUP(A22,'Données projet'!$A$61:$I$81,2,0)</f>
        <v>#N/A</v>
      </c>
      <c r="AG22" s="131" t="str">
        <f>VLOOKUP(A22,'Données projet'!$A$61:$I$81,9,0)</f>
        <v>#N/A</v>
      </c>
      <c r="AH22" s="130">
        <f t="array" ref="AH22">INDEX(AG:AG,MIN(IF(ISNUMBER(AG22:AG218),ROW(AG22:AG218),"")))</f>
        <v>5.590909091</v>
      </c>
      <c r="AI22" s="130">
        <f>IF('Données projet'!$A$62&gt;35,AI21+AH22-AQ21,IF(A22&lt;'Données projet'!$A$62,$AF$205^A22,IF(A22='Données projet'!$A$62,'Données projet'!$B$62,AI21+AH22-AQ21)))</f>
        <v>63.81430604</v>
      </c>
      <c r="AJ22" s="130">
        <f>AI22*VLOOKUP('Données projet'!$B$10,'Paramètres'!$A$1:$I$89,3,0)*VLOOKUP('Données projet'!$B$10,'Paramètres'!$A$1:$I$89,5,0)</f>
        <v>38.16095501</v>
      </c>
      <c r="AK22" s="130">
        <f t="shared" si="36"/>
        <v>11.50988066</v>
      </c>
      <c r="AL22" s="141">
        <f t="shared" si="5"/>
        <v>86.5100388</v>
      </c>
      <c r="AM22" s="133">
        <f t="shared" si="6"/>
        <v>379.8433721</v>
      </c>
      <c r="AN22" s="133">
        <f>AVERAGE(OFFSET($AM$3,0,0,'Données projet'!$E$10+1,1))-AVERAGE(OFFSET($H$3,0,0,'Données projet'!$E$10+1,1))</f>
        <v>196.874484</v>
      </c>
      <c r="AO22" s="133">
        <f t="shared" si="37"/>
        <v>217.5750859</v>
      </c>
      <c r="AP22" s="134">
        <f>IF(ISNA(VLOOKUP(A22,'Données projet'!$A$61:$I$81,3,0)),0,VLOOKUP(A22,'Données projet'!$A$61:$I$81,3,0))</f>
        <v>0</v>
      </c>
      <c r="AQ22" s="134">
        <f>IF(ISNA(VLOOKUP(A22,'Données projet'!$A$61:$I$81,4,0)),0,VLOOKUP(A22,'Données projet'!$A$61:$I$81,4,0))</f>
        <v>0</v>
      </c>
      <c r="AR22" s="135">
        <f>IF(ISNA(VLOOKUP(A22,'Données projet'!$A$61:$I$81,5,0)),0%,VLOOKUP(A22,'Données projet'!$A$61:$I$81,5,0)*VLOOKUP('Données projet'!$B$10,'Paramètres'!$A$1:$I$89,7,0))</f>
        <v>0</v>
      </c>
      <c r="AS22" s="135">
        <f>IF(ISNA(VLOOKUP(A22,'Données projet'!$A$61:$I$81,6,0)),0%,VLOOKUP(A22,'Données projet'!$A$61:$I$81,6,0)*VLOOKUP('Données projet'!$B$10,'Paramètres'!$A$1:$I$89,7,0))</f>
        <v>0</v>
      </c>
      <c r="AT22" s="135">
        <f>IF(ISNA(VLOOKUP(A22,'Données projet'!$A$61:$I$81,7,0)),0%,VLOOKUP(A22,'Données projet'!$A$61:$I$81,7,0))</f>
        <v>0</v>
      </c>
      <c r="AU22" s="142">
        <f>EXP(-LN(2)/35)*AU21+(1-EXP(-LN(2)/35))/(LN(2)/35)*AQ22*AR22*VLOOKUP('Données projet'!$B$10,'Paramètres'!$A$1:$I$89,3,0)*0.475*44/12</f>
        <v>0</v>
      </c>
      <c r="AV22" s="142">
        <f>EXP(-LN(2)/25)*AV21+(1-EXP(-LN(2)/25))/(LN(2)/25)*Calculateur!AQ22*Calculateur!AS22*VLOOKUP('Données projet'!$B$10,'Paramètres'!$A$1:$I$89,3,0)*0.475*44/12</f>
        <v>0</v>
      </c>
      <c r="AW22" s="142">
        <f>EXP(-LN(2)/2)*AW21+(1-EXP(-LN(2)/2))/(LN(2)/2)*AQ22*AT22*VLOOKUP('Données projet'!$B$10,'Paramètres'!$A$1:$I$89,3,0)*0.475*44/12</f>
        <v>0</v>
      </c>
      <c r="AX22" s="142">
        <f t="shared" si="7"/>
        <v>0</v>
      </c>
      <c r="AY22" s="13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1" t="str">
        <f>VLOOKUP(A22,'Données projet'!$A$87:$I$107,2,0)</f>
        <v>#N/A</v>
      </c>
      <c r="BB22" s="131" t="str">
        <f>VLOOKUP(A22,'Données projet'!$A$87:$I$107,9,0)</f>
        <v>#N/A</v>
      </c>
      <c r="BC22" s="130">
        <f t="array" ref="BC22">INDEX(BB:BB,MIN(IF(ISNUMBER(BB22:BB218),ROW(BB22:BB218),"")))</f>
        <v>4.666666667</v>
      </c>
      <c r="BD22" s="131">
        <f>IF('Données projet'!$A$88&gt;35,BD21+BC22-BL21,IF(A22&lt;'Données projet'!$A$88,$BA$205^A22,IF(A22='Données projet'!$A$88,'Données projet'!$B$88,BD21+BC22-BL21)))</f>
        <v>22.86727542</v>
      </c>
      <c r="BE22" s="130">
        <f>BD22*VLOOKUP('Données projet'!$B$11,'Paramètres'!$A$1:$I$89,3,0)*VLOOKUP('Données projet'!$B$11,'Paramètres'!$A$1:$I$89,5,0)</f>
        <v>10.7018849</v>
      </c>
      <c r="BF22" s="130">
        <f t="shared" si="38"/>
        <v>3.742684033</v>
      </c>
      <c r="BG22" s="141">
        <f t="shared" si="8"/>
        <v>25.15762422</v>
      </c>
      <c r="BH22" s="133">
        <f t="shared" si="9"/>
        <v>318.4909576</v>
      </c>
      <c r="BI22" s="133">
        <f>AVERAGE(OFFSET($BH$3,0,0,'Données projet'!$E$11+1,1))-AVERAGE(OFFSET($H$3,0,0,'Données projet'!$E$11+1,1))</f>
        <v>134.0948534</v>
      </c>
      <c r="BJ22" s="133">
        <f t="shared" si="39"/>
        <v>108.4102536</v>
      </c>
      <c r="BK22" s="134">
        <f>IF(ISNA(VLOOKUP(A22,'Données projet'!$A$87:$I$107,3,0)),0,VLOOKUP(A22,'Données projet'!$A$87:$I$107,3,0))</f>
        <v>0</v>
      </c>
      <c r="BL22" s="134">
        <f>IF(ISNA(VLOOKUP(A22,'Données projet'!$A$87:$I$107,4,0)),0,VLOOKUP(A22,'Données projet'!$A$87:$I$107,4,0))</f>
        <v>0</v>
      </c>
      <c r="BM22" s="135">
        <f>IF(ISNA(VLOOKUP(A22,'Données projet'!$A$87:$I$107,5,0)),0%,VLOOKUP(A22,'Données projet'!$A$87:$I$107,5,0)*VLOOKUP('Données projet'!$B$11,'Paramètres'!$A$1:$I$89,7,0))</f>
        <v>0</v>
      </c>
      <c r="BN22" s="135">
        <f>IF(ISNA(VLOOKUP(A22,'Données projet'!$A$87:$I$107,6,0)),0%,VLOOKUP(A22,'Données projet'!$A$87:$I$107,6,0)*VLOOKUP('Données projet'!$B$11,'Paramètres'!$A$1:$I$89,7,0))</f>
        <v>0</v>
      </c>
      <c r="BO22" s="135">
        <f>IF(ISNA(VLOOKUP(A22,'Données projet'!$A$87:$I$107,7,0)),0%,VLOOKUP(A22,'Données projet'!$A$87:$I$107,7,0))</f>
        <v>0</v>
      </c>
      <c r="BP22" s="142">
        <f>EXP(-LN(2)/35)*BP21+(1-EXP(-LN(2)/35))/(LN(2)/35)*BL22*BM22*VLOOKUP('Données projet'!$B$11,'Paramètres'!$A$1:$I$89,3,0)*0.475*44/12</f>
        <v>0</v>
      </c>
      <c r="BQ22" s="142">
        <f>EXP(-LN(2)/25)*BQ21+(1-EXP(-LN(2)/25))/(LN(2)/25)*Calculateur!BL22*Calculateur!BN22*VLOOKUP('Données projet'!$B$11,'Paramètres'!$A$1:$I$89,3,0)*0.475*44/12</f>
        <v>0</v>
      </c>
      <c r="BR22" s="142">
        <f>EXP(-LN(2)/2)*BR21+(1-EXP(-LN(2)/2))/(LN(2)/2)*BL22*BO22*VLOOKUP('Données projet'!$B$11,'Paramètres'!$A$1:$I$89,3,0)*0.475*44/12</f>
        <v>0</v>
      </c>
      <c r="BS22" s="143">
        <f t="shared" si="10"/>
        <v>0</v>
      </c>
      <c r="BT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1" t="str">
        <f>VLOOKUP(A22,'Données projet'!$A$113:$I$133,2,0)</f>
        <v>#N/A</v>
      </c>
      <c r="BW22" s="131" t="str">
        <f>VLOOKUP(A22,'Données projet'!$A$113:$I$133,9,0)</f>
        <v>#N/A</v>
      </c>
      <c r="BX22" s="130">
        <f t="array" ref="BX22">INDEX(BW:BW,MIN(IF(ISNUMBER(BW22:BW218),ROW(BW22:BW218),"")))</f>
        <v>20</v>
      </c>
      <c r="BY22" s="130">
        <f>IF('Données projet'!$A$114&gt;35,BY21+BX22-CG21,IF(A22&lt;'Données projet'!$A$114,$BV$205^A22,IF(A22='Données projet'!$A$114,'Données projet'!$B$114,BY21+BX22-CG21)))</f>
        <v>108</v>
      </c>
      <c r="BZ22" s="130">
        <f>BY22*VLOOKUP('Données projet'!$B$12,'Paramètres'!$A$1:$I$89,3,0)*VLOOKUP('Données projet'!$B$12,'Paramètres'!$A$1:$I$89,5,0)</f>
        <v>53.352</v>
      </c>
      <c r="CA22" s="130">
        <f t="shared" si="40"/>
        <v>15.47613207</v>
      </c>
      <c r="CB22" s="141">
        <f t="shared" si="11"/>
        <v>119.8756634</v>
      </c>
      <c r="CC22" s="133">
        <f t="shared" si="12"/>
        <v>413.2089967</v>
      </c>
      <c r="CD22" s="133">
        <f>AVERAGE(OFFSET($CC$3,0,0,'Données projet'!$E$12+1,1))-AVERAGE(OFFSET($H$3,0,0,'Données projet'!$E$12+1,1))</f>
        <v>258.1672054</v>
      </c>
      <c r="CE22" s="133">
        <f t="shared" si="41"/>
        <v>296.0724261</v>
      </c>
      <c r="CF22" s="134">
        <f>IF(ISNA(VLOOKUP(A22,'Données projet'!$A$113:$I$133,3,0)),0,VLOOKUP(A22,'Données projet'!$A$113:$I$133,3,0))</f>
        <v>0</v>
      </c>
      <c r="CG22" s="134">
        <f>IF(ISNA(VLOOKUP(A22,'Données projet'!$A$113:$I$133,4,0)),0,VLOOKUP(A22,'Données projet'!$A$113:$I$133,4,0))</f>
        <v>0</v>
      </c>
      <c r="CH22" s="135">
        <f>IF(ISNA(VLOOKUP(A22,'Données projet'!$A$113:$I$133,5,0)),0%,VLOOKUP(A22,'Données projet'!$A$113:$I$133,5,0)*VLOOKUP('Données projet'!$B$12,'Paramètres'!$A$1:$I$89,7,0))</f>
        <v>0</v>
      </c>
      <c r="CI22" s="135">
        <f>IF(ISNA(VLOOKUP(A22,'Données projet'!$A$113:$I$133,6,0)),0%,VLOOKUP(A22,'Données projet'!$A$113:$I$133,6,0)*VLOOKUP('Données projet'!$B$12,'Paramètres'!$A$1:$I$89,7,0))</f>
        <v>0</v>
      </c>
      <c r="CJ22" s="135">
        <f>IF(ISNA(VLOOKUP(A22,'Données projet'!$A$113:$I$133,7,0)),0%,VLOOKUP(A22,'Données projet'!$A$113:$I$133,7,0))</f>
        <v>0</v>
      </c>
      <c r="CK22" s="142">
        <f>EXP(-LN(2)/35)*CK21+(1-EXP(-LN(2)/35))/(LN(2)/35)*CG22*CH22*VLOOKUP('Données projet'!$B$12,'Paramètres'!$A$1:$I$89,3,0)*0.475*44/12</f>
        <v>0</v>
      </c>
      <c r="CL22" s="142">
        <f>EXP(-LN(2)/25)*CL21+(1-EXP(-LN(2)/25))/(LN(2)/25)*Calculateur!CG22*Calculateur!CI22*VLOOKUP('Données projet'!$B$12,'Paramètres'!$A$1:$I$89,3,0)*0.475*44/12</f>
        <v>0</v>
      </c>
      <c r="CM22" s="142">
        <f>EXP(-LN(2)/2)*CM21+(1-EXP(-LN(2)/2))/(LN(2)/2)*CG22*CJ22*VLOOKUP('Données projet'!$B$12,'Paramètres'!$A$1:$I$89,3,0)*0.475*44/12</f>
        <v>0</v>
      </c>
      <c r="CN22" s="143">
        <f t="shared" si="13"/>
        <v>0</v>
      </c>
      <c r="CO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1" t="str">
        <f>VLOOKUP(A22,'Données projet'!$A$139:$I$159,2,0)</f>
        <v>#N/A</v>
      </c>
      <c r="CR22" s="131" t="str">
        <f>VLOOKUP(A22,'Données projet'!$A$139:$I$159,9,0)</f>
        <v>#N/A</v>
      </c>
      <c r="CS22" s="130">
        <f t="array" ref="CS22">INDEX(CR:CR,MIN(IF(ISNUMBER(CR22:CR218),ROW(CR22:CR218),"")))</f>
        <v>1.2</v>
      </c>
      <c r="CT22" s="131">
        <f>IF('Données projet'!$A$140&gt;35,CT21+CS22-DB21,IF(A22&lt;'Données projet'!$A$140,$CQ$205^A22,IF(A22='Données projet'!$A$140,'Données projet'!$B$140,CT21+CS22-DB21)))</f>
        <v>13.26209558</v>
      </c>
      <c r="CU22" s="138">
        <f>CT22*VLOOKUP('Données projet'!$B$13,'Paramètres'!$A$1:$I$89,3,0)*VLOOKUP('Données projet'!$B$13,'Paramètres'!$A$1:$I$89,5,0)</f>
        <v>13.44776492</v>
      </c>
      <c r="CV22" s="130">
        <f t="shared" si="42"/>
        <v>4.579597407</v>
      </c>
      <c r="CW22" s="141">
        <f t="shared" si="14"/>
        <v>31.39765605</v>
      </c>
      <c r="CX22" s="133">
        <f t="shared" si="15"/>
        <v>324.7309894</v>
      </c>
      <c r="CY22" s="133">
        <f>AVERAGE(OFFSET($CX$3,0,0,'Données projet'!$E$13+1,1))-AVERAGE(OFFSET($H$3,0,0,'Données projet'!$E$13+1,1))</f>
        <v>223.783507</v>
      </c>
      <c r="CZ22" s="133">
        <f t="shared" si="43"/>
        <v>84.92349117</v>
      </c>
      <c r="DA22" s="134">
        <f>IF(ISNA(VLOOKUP(A22,'Données projet'!$A$139:$I$159,3,0)),0,VLOOKUP(A22,'Données projet'!$A$139:$I$159,3,0))</f>
        <v>0</v>
      </c>
      <c r="DB22" s="134">
        <f>IF(ISNA(VLOOKUP(A22,'Données projet'!$A$139:$I$159,4,0)),0,VLOOKUP(A22,'Données projet'!$A$139:$I$159,4,0))</f>
        <v>0</v>
      </c>
      <c r="DC22" s="135">
        <f>IF(ISNA(VLOOKUP(A22,'Données projet'!$A$139:$I$159,5,0)),0%,VLOOKUP(A22,'Données projet'!$A$139:$I$159,5,0)*VLOOKUP('Données projet'!$B$13,'Paramètres'!$A$1:$I$89,7,0))</f>
        <v>0</v>
      </c>
      <c r="DD22" s="135">
        <f>IF(ISNA(VLOOKUP(A22,'Données projet'!$A$139:$I$159,6,0)),0%,VLOOKUP(A22,'Données projet'!$A$139:$I$159,6,0)*VLOOKUP('Données projet'!$B$13,'Paramètres'!$A$1:$I$89,7,0))</f>
        <v>0</v>
      </c>
      <c r="DE22" s="135">
        <f>IF(ISNA(VLOOKUP(A22,'Données projet'!$A$139:$I$159,7,0)),0%,VLOOKUP(A22,'Données projet'!$A$139:$I$159,7,0))</f>
        <v>0</v>
      </c>
      <c r="DF22" s="142">
        <f>EXP(-LN(2)/35)*DF21+(1-EXP(-LN(2)/35))/(LN(2)/35)*DB22*DC22*VLOOKUP('Données projet'!$B$13,'Paramètres'!$A$1:$I$89,3,0)*0.475*44/12</f>
        <v>0</v>
      </c>
      <c r="DG22" s="142">
        <f>EXP(-LN(2)/25)*DG21+(1-EXP(-LN(2)/25))/(LN(2)/25)*Calculateur!DB22*Calculateur!DD22*VLOOKUP('Données projet'!$B$13,'Paramètres'!$A$1:$I$89,3,0)*0.475*44/12</f>
        <v>0</v>
      </c>
      <c r="DH22" s="142">
        <f>EXP(-LN(2)/2)*DH21+(1-EXP(-LN(2)/2))/(LN(2)/2)*DB22*DE22*VLOOKUP('Données projet'!$B$13,'Paramètres'!$A$1:$I$89,3,0)*0.475*44/12</f>
        <v>0</v>
      </c>
      <c r="DI22" s="143">
        <f t="shared" si="16"/>
        <v>0</v>
      </c>
      <c r="DJ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1" t="str">
        <f>VLOOKUP(A22,'Données projet'!$A$165:$I$185,2,0)</f>
        <v>#N/A</v>
      </c>
      <c r="DM22" s="131" t="str">
        <f>VLOOKUP(A22,'Données projet'!$A$165:$I$185,9,0)</f>
        <v>#N/A</v>
      </c>
      <c r="DN22" s="131">
        <f t="array" ref="DN22">INDEX(DM:DM,MIN(IF(ISNUMBER(DM22:DM218),ROW(DM22:DM218),"")))</f>
        <v>2.1</v>
      </c>
      <c r="DO22" s="131">
        <f>IF('Données projet'!$A$166&gt;35,DO21+DN22-DW21,IF(A22&lt;'Données projet'!$A$166,$DL$205^A22,IF(A22='Données projet'!$A$166,'Données projet'!$B$166,DO21+DN22-DW21)))</f>
        <v>34.8406963</v>
      </c>
      <c r="DP22" s="138">
        <f>DO22*VLOOKUP('Données projet'!$B$14,'Paramètres'!$A$1:$I$89,3,0)*VLOOKUP('Données projet'!$B$14,'Paramètres'!$A$1:$I$89,5,0)</f>
        <v>31.52386201</v>
      </c>
      <c r="DQ22" s="130">
        <f t="shared" si="44"/>
        <v>9.721871007</v>
      </c>
      <c r="DR22" s="141">
        <f t="shared" si="17"/>
        <v>71.83631834</v>
      </c>
      <c r="DS22" s="133">
        <f t="shared" si="18"/>
        <v>365.1696517</v>
      </c>
      <c r="DT22" s="133">
        <f>AVERAGE(OFFSET($DS$3,0,0,'Données projet'!$E$14+1,1))-AVERAGE(OFFSET($H$3,0,0,'Données projet'!$E$14+1,1))</f>
        <v>287.9334714</v>
      </c>
      <c r="DU22" s="133">
        <f t="shared" si="45"/>
        <v>156.6796502</v>
      </c>
      <c r="DV22" s="134">
        <f>IF(ISNA(VLOOKUP(A22,'Données projet'!$A$165:$I$185,3,0)),0,VLOOKUP(A22,'Données projet'!$A$165:$I$185,3,0))</f>
        <v>0</v>
      </c>
      <c r="DW22" s="134">
        <f>IF(ISNA(VLOOKUP(A22,'Données projet'!$A$165:$I$185,4,0)),0,VLOOKUP(A22,'Données projet'!$A$165:$I$185,4,0))</f>
        <v>0</v>
      </c>
      <c r="DX22" s="135">
        <f>IF(ISNA(VLOOKUP(A22,'Données projet'!$A$165:$I$185,5,0)),0%,VLOOKUP(A22,'Données projet'!$A$165:$I$185,5,0)*VLOOKUP('Données projet'!$B$14,'Paramètres'!$A$1:$I$89,7,0))</f>
        <v>0</v>
      </c>
      <c r="DY22" s="135">
        <f>IF(ISNA(VLOOKUP(A22,'Données projet'!$A$165:$I$185,6,0)),0%,VLOOKUP(A22,'Données projet'!$A$165:$I$185,6,0)*VLOOKUP('Données projet'!$B$14,'Paramètres'!$A$1:$I$89,7,0))</f>
        <v>0</v>
      </c>
      <c r="DZ22" s="135">
        <f>IF(ISNA(VLOOKUP(A22,'Données projet'!$A$165:$I$185,7,0)),0%,VLOOKUP(A22,'Données projet'!$A$165:$I$185,7,0))</f>
        <v>0</v>
      </c>
      <c r="EA22" s="142">
        <f>EXP(-LN(2)/35)*EA21+(1-EXP(-LN(2)/35))/(LN(2)/35)*DW22*DX22*VLOOKUP('Données projet'!$B$14,'Paramètres'!$A$1:$I$89,3,0)*0.475*44/12</f>
        <v>0</v>
      </c>
      <c r="EB22" s="142">
        <f>EXP(-LN(2)/25)*EB21+(1-EXP(-LN(2)/25))/(LN(2)/25)*Calculateur!DW22*Calculateur!DY22*VLOOKUP('Données projet'!$B$14,'Paramètres'!$A$1:$I$89,3,0)*0.475*44/12</f>
        <v>0</v>
      </c>
      <c r="EC22" s="142">
        <f>EXP(-LN(2)/2)*EC21+(1-EXP(-LN(2)/2))/(LN(2)/2)*DW22*DZ22*VLOOKUP('Données projet'!$B$14,'Paramètres'!$A$1:$I$89,3,0)*0.475*44/12</f>
        <v>0</v>
      </c>
      <c r="ED22" s="143">
        <f t="shared" si="19"/>
        <v>0</v>
      </c>
      <c r="EE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1" t="str">
        <f>VLOOKUP(A22,'Données projet'!$A$191:$I$211,2,0)</f>
        <v>#N/A</v>
      </c>
      <c r="EH22" s="131" t="str">
        <f>VLOOKUP(A22,'Données projet'!$A$191:$I$211,9,0)</f>
        <v>#N/A</v>
      </c>
      <c r="EI22" s="131">
        <f t="array" ref="EI22">INDEX(EH:EH,MIN(IF(ISNUMBER(EH22:EH218),ROW(EH22:EH218),"")))</f>
        <v>1.6</v>
      </c>
      <c r="EJ22" s="131">
        <f>IF('Données projet'!$A$192&gt;35,EJ21+EI22-ER21,IF(A22&lt;'Données projet'!$A$192,$EG$205^A22,IF(A22='Données projet'!$A$192,'Données projet'!$B$192,EJ21+EI22-ER21)))</f>
        <v>16.50310236</v>
      </c>
      <c r="EK22" s="138">
        <f>EJ22*VLOOKUP('Données projet'!$B$15,'Paramètres'!$A$1:$I$89,3,0)*VLOOKUP('Données projet'!$B$15,'Paramètres'!$A$1:$I$89,5,0)</f>
        <v>12.10007465</v>
      </c>
      <c r="EL22" s="130">
        <f t="shared" si="46"/>
        <v>4.171608902</v>
      </c>
      <c r="EM22" s="141">
        <f t="shared" si="20"/>
        <v>28.33984886</v>
      </c>
      <c r="EN22" s="133">
        <f t="shared" si="21"/>
        <v>321.6731822</v>
      </c>
      <c r="EO22" s="133">
        <f>AVERAGE(OFFSET($EN$3,0,0,'Données projet'!$E$15+1,1))-AVERAGE(OFFSET($H$3,0,0,'Données projet'!$E$15+1,1))</f>
        <v>130.3193339</v>
      </c>
      <c r="EP22" s="133">
        <f t="shared" si="47"/>
        <v>82.22784365</v>
      </c>
      <c r="EQ22" s="134">
        <f>IF(ISNA(VLOOKUP(A22,'Données projet'!$A$191:$I$211,3,0)),0,VLOOKUP(A22,'Données projet'!$A$191:$I$211,3,0))</f>
        <v>0</v>
      </c>
      <c r="ER22" s="134">
        <f>IF(ISNA(VLOOKUP(A22,'Données projet'!$A$191:$I$211,4,0)),0,VLOOKUP(A22,'Données projet'!$A$191:$I$211,4,0))</f>
        <v>0</v>
      </c>
      <c r="ES22" s="135">
        <f>IF(ISNA(VLOOKUP(A22,'Données projet'!$A$191:$I$211,5,0)),0%,VLOOKUP(A22,'Données projet'!$A$191:$I$211,5,0)*VLOOKUP('Données projet'!$B$15,'Paramètres'!$A$1:$I$89,7,0))</f>
        <v>0</v>
      </c>
      <c r="ET22" s="135">
        <f>IF(ISNA(VLOOKUP(A22,'Données projet'!$A$191:$I$211,6,0)),0%,VLOOKUP(A22,'Données projet'!$A$191:$I$211,6,0)*VLOOKUP('Données projet'!$B$15,'Paramètres'!$A$1:$I$89,7,0))</f>
        <v>0</v>
      </c>
      <c r="EU22" s="135">
        <f>IF(ISNA(VLOOKUP(A22,'Données projet'!$A$191:$I$211,7,0)),0%,VLOOKUP(A22,'Données projet'!$A$191:$I$211,7,0))</f>
        <v>0</v>
      </c>
      <c r="EV22" s="142">
        <f>EXP(-LN(2)/35)*EV21+(1-EXP(-LN(2)/35))/(LN(2)/35)*ER22*ES22*VLOOKUP('Données projet'!$B$15,'Paramètres'!$A$1:$I$89,3,0)*0.475*44/12</f>
        <v>0</v>
      </c>
      <c r="EW22" s="142">
        <f>EXP(-LN(2)/25)*EW21+(1-EXP(-LN(2)/25))/(LN(2)/25)*Calculateur!ER22*Calculateur!ET22*VLOOKUP('Données projet'!$B$15,'Paramètres'!$A$1:$I$89,3,0)*0.475*44/12</f>
        <v>0</v>
      </c>
      <c r="EX22" s="142">
        <f>EXP(-LN(2)/2)*EX21+(1-EXP(-LN(2)/2))/(LN(2)/2)*ER22*EU22*VLOOKUP('Données projet'!$B$15,'Paramètres'!$A$1:$I$89,3,0)*0.475*44/12</f>
        <v>0</v>
      </c>
      <c r="EY22" s="143">
        <f t="shared" si="22"/>
        <v>0</v>
      </c>
      <c r="EZ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1" t="str">
        <f>VLOOKUP(A22,'Données projet'!$A$217:$I$237,2,0)</f>
        <v>#N/A</v>
      </c>
      <c r="FC22" s="131" t="str">
        <f>VLOOKUP(A22,'Données projet'!$A$217:$I$237,9,0)</f>
        <v>#N/A</v>
      </c>
      <c r="FD22" s="130">
        <f t="array" ref="FD22">INDEX(FC:FC,MIN(IF(ISNUMBER(FC22:FC218),ROW(FC22:FC218),"")))</f>
        <v>11.4</v>
      </c>
      <c r="FE22" s="130">
        <f>IF('Données projet'!$A$218&gt;35,FE21+FD22-FM21,IF(A22&lt;'Données projet'!$A$218,$FB$205^A22,IF(A22='Données projet'!$A$218,'Données projet'!$B$218,FE21+FD22-FM21)))</f>
        <v>127.6</v>
      </c>
      <c r="FF22" s="138">
        <f>FE22*VLOOKUP('Données projet'!$B$16,'Paramètres'!$A$1:$I$89,3,0)*VLOOKUP('Données projet'!$B$16,'Paramètres'!$A$1:$I$89,5,0)</f>
        <v>115.45248</v>
      </c>
      <c r="FG22" s="130">
        <f t="shared" si="48"/>
        <v>30.61199199</v>
      </c>
      <c r="FH22" s="141">
        <f t="shared" si="23"/>
        <v>254.395622</v>
      </c>
      <c r="FI22" s="133">
        <f t="shared" si="24"/>
        <v>547.7289554</v>
      </c>
      <c r="FJ22" s="133">
        <f>AVERAGE(OFFSET($FI$3,0,0,'Données projet'!$E$16+1,1))-AVERAGE(OFFSET($H$3,0,0,'Données projet'!$E$16+1,1))</f>
        <v>305.6252353</v>
      </c>
      <c r="FK22" s="133">
        <f t="shared" si="49"/>
        <v>331.397916</v>
      </c>
      <c r="FL22" s="134">
        <f>IF(ISNA(VLOOKUP(A22,'Données projet'!$A$217:$I$237,3,0)),0,VLOOKUP(A22,'Données projet'!$A$217:$I$237,3,0))</f>
        <v>0</v>
      </c>
      <c r="FM22" s="134">
        <f>IF(ISNA(VLOOKUP(A22,'Données projet'!$A$217:$I$237,4,0)),0,VLOOKUP(A22,'Données projet'!$A$217:$I$237,4,0))</f>
        <v>0</v>
      </c>
      <c r="FN22" s="135">
        <f>IF(ISNA(VLOOKUP(A22,'Données projet'!$A$217:$I$237,5,0)),0%,VLOOKUP(A22,'Données projet'!$A$217:$I$237,5,0)*VLOOKUP('Données projet'!$B$16,'Paramètres'!$A$1:$I$89,7,0))</f>
        <v>0</v>
      </c>
      <c r="FO22" s="135">
        <f>IF(ISNA(VLOOKUP(A22,'Données projet'!$A$217:$I$237,6,0)),0%,VLOOKUP(A22,'Données projet'!$A$217:$I$237,6,0)*VLOOKUP('Données projet'!$B$16,'Paramètres'!$A$1:$I$89,7,0))</f>
        <v>0</v>
      </c>
      <c r="FP22" s="135">
        <f>IF(ISNA(VLOOKUP(A22,'Données projet'!$A$217:$I$237,7,0)),0%,VLOOKUP(A22,'Données projet'!$A$217:$I$237,7,0))</f>
        <v>0</v>
      </c>
      <c r="FQ22" s="142">
        <f>EXP(-LN(2)/35)*FQ21+(1-EXP(-LN(2)/35))/(LN(2)/35)*FM22*FN22*VLOOKUP('Données projet'!$B$16,'Paramètres'!$A$1:$I$89,3,0)*0.475*44/12</f>
        <v>0</v>
      </c>
      <c r="FR22" s="142">
        <f>EXP(-LN(2)/25)*FR21+(1-EXP(-LN(2)/25))/(LN(2)/25)*Calculateur!FM22*Calculateur!FO22*VLOOKUP('Données projet'!$B$16,'Paramètres'!$A$1:$I$89,3,0)*0.475*44/12</f>
        <v>0</v>
      </c>
      <c r="FS22" s="142">
        <f>EXP(-LN(2)/2)*FS21+(1-EXP(-LN(2)/2))/(LN(2)/2)*FM22*FP22*VLOOKUP('Données projet'!$B$16,'Paramètres'!$A$1:$I$89,3,0)*0.475*44/12</f>
        <v>0</v>
      </c>
      <c r="FT22" s="143">
        <f t="shared" si="25"/>
        <v>0</v>
      </c>
      <c r="FU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1" t="str">
        <f>VLOOKUP(A22,'Données projet'!$A$243:$I$263,2,0)</f>
        <v>#N/A</v>
      </c>
      <c r="FX22" s="131" t="str">
        <f>VLOOKUP(A22,'Données projet'!$A$243:$I$263,9,0)</f>
        <v>#N/A</v>
      </c>
      <c r="FY22" s="130">
        <f t="array" ref="FY22">INDEX(FX:FX,MIN(IF(ISNUMBER(FX22:FX218),ROW(FX22:FX218),"")))</f>
        <v>1.6</v>
      </c>
      <c r="FZ22" s="131">
        <f>IF('Données projet'!$A$244&gt;35,FZ21+FY22-GH21,IF(A22&lt;'Données projet'!$A$244,$FW$205^A22,IF(A22='Données projet'!$A$244,'Données projet'!$B$244,FZ21+FY22-GH21)))</f>
        <v>26.90868529</v>
      </c>
      <c r="GA22" s="138">
        <f>FZ22*VLOOKUP('Données projet'!$B$17,'Paramètres'!$A$1:$I$89,3,0)*VLOOKUP('Données projet'!$B$17,'Paramètres'!$A$1:$I$89,5,0)</f>
        <v>18.05034609</v>
      </c>
      <c r="GB22" s="130">
        <f t="shared" si="50"/>
        <v>5.939948534</v>
      </c>
      <c r="GC22" s="141">
        <f t="shared" si="26"/>
        <v>41.78309647</v>
      </c>
      <c r="GD22" s="133">
        <f t="shared" si="27"/>
        <v>335.1164298</v>
      </c>
      <c r="GE22" s="133">
        <f>AVERAGE(OFFSET($GD$3,0,0,'Données projet'!$E$17+1,1))-AVERAGE(OFFSET($H$3,0,0,'Données projet'!$E$17+1,1))</f>
        <v>118.7368745</v>
      </c>
      <c r="GF22" s="133">
        <f t="shared" si="51"/>
        <v>135.1233677</v>
      </c>
      <c r="GG22" s="134">
        <f>IF(ISNA(VLOOKUP(A22,'Données projet'!$A$243:$I$263,3,0)),0,VLOOKUP(A22,'Données projet'!$A$243:$I$263,3,0))</f>
        <v>0</v>
      </c>
      <c r="GH22" s="134">
        <f>IF(ISNA(VLOOKUP(A22,'Données projet'!$A$243:$I$263,4,0)),0,VLOOKUP(A22,'Données projet'!$A$243:$I$263,4,0))</f>
        <v>0</v>
      </c>
      <c r="GI22" s="135">
        <f>IF(ISNA(VLOOKUP(A22,'Données projet'!$A$243:$I$263,5,0)),0%,VLOOKUP(A22,'Données projet'!$A$243:$I$263,5,0)*VLOOKUP('Données projet'!$B$17,'Paramètres'!$A$1:$I$89,7,0))</f>
        <v>0</v>
      </c>
      <c r="GJ22" s="135">
        <f>IF(ISNA(VLOOKUP(A22,'Données projet'!$A$243:$I$263,6,0)),0%,VLOOKUP(A22,'Données projet'!$A$243:$I$263,6,0)*VLOOKUP('Données projet'!$B$17,'Paramètres'!$A$1:$I$89,7,0))</f>
        <v>0</v>
      </c>
      <c r="GK22" s="135">
        <f>IF(ISNA(VLOOKUP(A22,'Données projet'!$A$243:$I$263,7,0)),0%,VLOOKUP(A22,'Données projet'!$A$243:$I$263,7,0))</f>
        <v>0</v>
      </c>
      <c r="GL22" s="142">
        <f>EXP(-LN(2)/35)*GL21+(1-EXP(-LN(2)/35))/(LN(2)/35)*GH22*GI22*VLOOKUP('Données projet'!$B$17,'Paramètres'!$A$1:$I$89,3,0)*0.475*44/12</f>
        <v>0</v>
      </c>
      <c r="GM22" s="142">
        <f>EXP(-LN(2)/25)*GM21+(1-EXP(-LN(2)/25))/(LN(2)/25)*Calculateur!GH22*Calculateur!GJ22*VLOOKUP('Données projet'!$B$17,'Paramètres'!$A$1:$I$89,3,0)*0.475*44/12</f>
        <v>0</v>
      </c>
      <c r="GN22" s="142">
        <f>EXP(-LN(2)/2)*GN21+(1-EXP(-LN(2)/2))/(LN(2)/2)*GH22*GK22*VLOOKUP('Données projet'!$B$17,'Paramètres'!$A$1:$I$89,3,0)*0.475*44/12</f>
        <v>0</v>
      </c>
      <c r="GO22" s="142">
        <f t="shared" si="28"/>
        <v>0</v>
      </c>
      <c r="GP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1" t="str">
        <f>VLOOKUP(A22,'Données projet'!$A$269:$I$289,2,0)</f>
        <v>#N/A</v>
      </c>
      <c r="GS22" s="131" t="str">
        <f>VLOOKUP(A22,'Données projet'!$A$269:$I$289,9,0)</f>
        <v>#N/A</v>
      </c>
      <c r="GT22" s="130">
        <f t="array" ref="GT22">INDEX(GS:GS,MIN(IF(ISNUMBER(GS22:GS218),ROW(GS22:GS218),"")))</f>
        <v>1.2</v>
      </c>
      <c r="GU22" s="131">
        <f>IF('Données projet'!$A$270&gt;35,GU21+GT22-HC21,IF(A22&lt;'Données projet'!$A$270,$GR$205^A22,IF(A22='Données projet'!$A$270,'Données projet'!$B$270,GU21+GT22-HC21)))</f>
        <v>13.26209558</v>
      </c>
      <c r="GV22" s="138">
        <f>GU22*VLOOKUP('Données projet'!$B$18,'Paramètres'!$A$1:$I$89,3,0)*VLOOKUP('Données projet'!$B$18,'Paramètres'!$A$1:$I$89,5,0)</f>
        <v>14.27531968</v>
      </c>
      <c r="GW22" s="130">
        <f t="shared" si="52"/>
        <v>4.827742696</v>
      </c>
      <c r="GX22" s="141">
        <f t="shared" si="29"/>
        <v>33.27116698</v>
      </c>
      <c r="GY22" s="133">
        <f t="shared" si="30"/>
        <v>326.6045003</v>
      </c>
      <c r="GZ22" s="133">
        <f>AVERAGE(OFFSET($GY$3,0,0,'Données projet'!$E$18+1,1))-AVERAGE(OFFSET($H$3,0,0,'Données projet'!$E$18+1,1))</f>
        <v>100.5427875</v>
      </c>
      <c r="HA22" s="133">
        <f t="shared" si="53"/>
        <v>92.28663609</v>
      </c>
      <c r="HB22" s="134">
        <f>IF(ISNA(VLOOKUP(A22,'Données projet'!$A$269:$I$289,3,0)),0,VLOOKUP(A22,'Données projet'!$A$269:$I$289,3,0))</f>
        <v>0</v>
      </c>
      <c r="HC22" s="134">
        <f>IF(ISNA(VLOOKUP(A22,'Données projet'!$A$269:$I$289,4,0)),0,VLOOKUP(A22,'Données projet'!$A$269:$I$289,4,0))</f>
        <v>0</v>
      </c>
      <c r="HD22" s="135">
        <f>IF(ISNA(VLOOKUP(A22,'Données projet'!$A$269:$I$289,5,0)),0%,VLOOKUP(A22,'Données projet'!$A$269:$I$289,5,0)*VLOOKUP('Données projet'!$B$18,'Paramètres'!$A$1:$I$89,7,0))</f>
        <v>0</v>
      </c>
      <c r="HE22" s="135">
        <f>IF(ISNA(VLOOKUP(A22,'Données projet'!$A$269:$I$289,6,0)),0%,VLOOKUP(A22,'Données projet'!$A$269:$I$289,6,0)*VLOOKUP('Données projet'!$B$18,'Paramètres'!$A$1:$I$89,7,0))</f>
        <v>0</v>
      </c>
      <c r="HF22" s="135">
        <f>IF(ISNA(VLOOKUP(A22,'Données projet'!$A$269:$I$289,7,0)),0%,VLOOKUP(A22,'Données projet'!$A$269:$I$289,7,0))</f>
        <v>0</v>
      </c>
      <c r="HG22" s="142">
        <f>EXP(-LN(2)/35)*HG21+(1-EXP(-LN(2)/35))/(LN(2)/35)*HC22*HD22*VLOOKUP('Données projet'!$B$18,'Paramètres'!$A$1:$I$89,3,0)*0.475*44/12</f>
        <v>0</v>
      </c>
      <c r="HH22" s="142">
        <f>EXP(-LN(2)/25)*HH21+(1-EXP(-LN(2)/25))/(LN(2)/25)*Calculateur!HC22*Calculateur!HE22*VLOOKUP('Données projet'!$B$18,'Paramètres'!$A$1:$I$89,3,0)*0.475*44/12</f>
        <v>0</v>
      </c>
      <c r="HI22" s="142">
        <f>EXP(-LN(2)/2)*HI21+(1-EXP(-LN(2)/2))/(LN(2)/2)*HC22*HF22*VLOOKUP('Données projet'!$B$18,'Paramètres'!$A$1:$I$89,3,0)*0.475*44/12</f>
        <v>0</v>
      </c>
      <c r="HJ22" s="143">
        <f t="shared" si="31"/>
        <v>0</v>
      </c>
    </row>
    <row r="23" ht="15.75" customHeight="1">
      <c r="A23" s="125">
        <f t="shared" si="32"/>
        <v>20</v>
      </c>
      <c r="B23" s="126">
        <f>'Scénario référence'!$B$16*5+'Scénario référence'!$B$17*0+'Scénario référence'!$B$18*5</f>
        <v>0</v>
      </c>
      <c r="C23" s="140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10.92</v>
      </c>
      <c r="D23" s="127">
        <f t="shared" si="33"/>
        <v>3.810005373</v>
      </c>
      <c r="E2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7">
        <f>IF(OR('Scénario référence'!$F$8&gt;0,'Scénario référence'!$F$9&gt;0),('Scénario référence'!$F$8+'Scénario référence'!$F$9)*10,0)</f>
        <v>10</v>
      </c>
      <c r="G23" s="127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</v>
      </c>
      <c r="H23" s="128">
        <f t="shared" si="1"/>
        <v>318.9880927</v>
      </c>
      <c r="I23" s="12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1" t="str">
        <f>VLOOKUP(A23,'Données projet'!$A$35:$I$55,2,0)</f>
        <v>#N/A</v>
      </c>
      <c r="L23" s="131" t="str">
        <f>VLOOKUP(A23,'Données projet'!$A$35:$I$55,9,0)</f>
        <v>#N/A</v>
      </c>
      <c r="M23" s="131">
        <f t="array" ref="M23">INDEX(L:L,MIN(IF(ISNUMBER(L23:L219),ROW(L23:L219),"")))</f>
        <v>3.92</v>
      </c>
      <c r="N23" s="130">
        <f>IF('Données projet'!$A$36&gt;35,N22+M23-V22,IF(A23&lt;'Données projet'!$A$36,$K$205^A23,IF(A23='Données projet'!$A$36,'Données projet'!$B$36,N22+M23-V22)))</f>
        <v>39.17246133</v>
      </c>
      <c r="O23" s="130">
        <f>N23*VLOOKUP('Données projet'!$B$9,'Paramètres'!$A$1:$I$89,3,0)*VLOOKUP('Données projet'!$B$9,'Paramètres'!$A$1:$I$89,5,0)</f>
        <v>22.40664788</v>
      </c>
      <c r="P23" s="130">
        <f t="shared" si="34"/>
        <v>7.190268105</v>
      </c>
      <c r="Q23" s="141">
        <f t="shared" si="2"/>
        <v>51.54796201</v>
      </c>
      <c r="R23" s="133">
        <f t="shared" si="3"/>
        <v>344.8812953</v>
      </c>
      <c r="S23" s="133">
        <f>AVERAGE(OFFSET($R$3,0,0,'Données projet'!$E$9+1,1))-AVERAGE(OFFSET($H$3,0,0,'Données projet'!$E$9+1,1))</f>
        <v>126.9946492</v>
      </c>
      <c r="T23" s="133">
        <f t="shared" si="35"/>
        <v>140.039049</v>
      </c>
      <c r="U23" s="134">
        <f>IF(ISNA(VLOOKUP(A23,'Données projet'!$A$35:$I$55,3,0)),0,VLOOKUP(A23,'Données projet'!$A$35:$I$55,3,0))</f>
        <v>0</v>
      </c>
      <c r="V23" s="134">
        <f>IF(ISNA(VLOOKUP(A23,'Données projet'!$A$35:$I$55,4,0)),0,VLOOKUP(A23,'Données projet'!$A$35:$I$55,4,0))</f>
        <v>0</v>
      </c>
      <c r="W23" s="135">
        <f>IF(ISNA(VLOOKUP(A23,'Données projet'!$A$35:$I$55,5,0)),0%,VLOOKUP(A23,'Données projet'!$A$35:$I$55,5,0)*VLOOKUP('Données projet'!$B$9,'Paramètres'!$A$1:$I$89,7,0))</f>
        <v>0</v>
      </c>
      <c r="X23" s="135">
        <f>IF(ISNA(VLOOKUP(A23,'Données projet'!$A$35:$I$55,6,0)),0%,VLOOKUP(A23,'Données projet'!$A$35:$I$55,6,0)*VLOOKUP('Données projet'!$B$9,'Paramètres'!$A$1:$I$89,7,0))</f>
        <v>0</v>
      </c>
      <c r="Y23" s="135">
        <f>IF(ISNA(VLOOKUP(A23,'Données projet'!$A$35:$I$55,7,0)),0%,VLOOKUP(A23,'Données projet'!$A$35:$I$55,7,0))</f>
        <v>0</v>
      </c>
      <c r="Z23" s="142">
        <f>EXP(-LN(2)/35)*Z22+(1-EXP(-LN(2)/35))/(LN(2)/35)*V23*W23*VLOOKUP('Données projet'!$B$9,'Paramètres'!$A$1:$I$89,3,0)*0.475*44/12</f>
        <v>0</v>
      </c>
      <c r="AA23" s="142">
        <f>EXP(-LN(2)/25)*AA22+(1-EXP(-LN(2)/25))/(LN(2)/25)*Calculateur!V23*Calculateur!X23*VLOOKUP('Données projet'!$B$9,'Paramètres'!$A$1:$I$89,3,0)*0.475*44/12</f>
        <v>0</v>
      </c>
      <c r="AB23" s="142">
        <f>EXP(-LN(2)/2)*AB22+(1-EXP(-LN(2)/2))/(LN(2)/2)*V23*Y23*VLOOKUP('Données projet'!$B$9,'Paramètres'!$A$1:$I$89,3,0)*0.475*44/12</f>
        <v>0</v>
      </c>
      <c r="AC23" s="143">
        <f t="shared" si="4"/>
        <v>0</v>
      </c>
      <c r="AD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0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1" t="str">
        <f>VLOOKUP(A23,'Données projet'!$A$61:$I$81,2,0)</f>
        <v>#N/A</v>
      </c>
      <c r="AG23" s="131" t="str">
        <f>VLOOKUP(A23,'Données projet'!$A$61:$I$81,9,0)</f>
        <v>#N/A</v>
      </c>
      <c r="AH23" s="130">
        <f t="array" ref="AH23">INDEX(AG:AG,MIN(IF(ISNUMBER(AG23:AG219),ROW(AG23:AG219),"")))</f>
        <v>5.590909091</v>
      </c>
      <c r="AI23" s="130">
        <f>IF('Données projet'!$A$62&gt;35,AI22+AH23-AQ22,IF(A23&lt;'Données projet'!$A$62,$AF$205^A23,IF(A23='Données projet'!$A$62,'Données projet'!$B$62,AI22+AH23-AQ22)))</f>
        <v>79.41704759</v>
      </c>
      <c r="AJ23" s="130">
        <f>AI23*VLOOKUP('Données projet'!$B$10,'Paramètres'!$A$1:$I$89,3,0)*VLOOKUP('Données projet'!$B$10,'Paramètres'!$A$1:$I$89,5,0)</f>
        <v>47.49139446</v>
      </c>
      <c r="AK23" s="130">
        <f t="shared" si="36"/>
        <v>13.9639733</v>
      </c>
      <c r="AL23" s="141">
        <f t="shared" si="5"/>
        <v>107.0347655</v>
      </c>
      <c r="AM23" s="133">
        <f t="shared" si="6"/>
        <v>400.3680988</v>
      </c>
      <c r="AN23" s="133">
        <f>AVERAGE(OFFSET($AM$3,0,0,'Données projet'!$E$10+1,1))-AVERAGE(OFFSET($H$3,0,0,'Données projet'!$E$10+1,1))</f>
        <v>196.874484</v>
      </c>
      <c r="AO23" s="133">
        <f t="shared" si="37"/>
        <v>217.5750859</v>
      </c>
      <c r="AP23" s="134">
        <f>IF(ISNA(VLOOKUP(A23,'Données projet'!$A$61:$I$81,3,0)),0,VLOOKUP(A23,'Données projet'!$A$61:$I$81,3,0))</f>
        <v>0</v>
      </c>
      <c r="AQ23" s="134">
        <f>IF(ISNA(VLOOKUP(A23,'Données projet'!$A$61:$I$81,4,0)),0,VLOOKUP(A23,'Données projet'!$A$61:$I$81,4,0))</f>
        <v>0</v>
      </c>
      <c r="AR23" s="135">
        <f>IF(ISNA(VLOOKUP(A23,'Données projet'!$A$61:$I$81,5,0)),0%,VLOOKUP(A23,'Données projet'!$A$61:$I$81,5,0)*VLOOKUP('Données projet'!$B$10,'Paramètres'!$A$1:$I$89,7,0))</f>
        <v>0</v>
      </c>
      <c r="AS23" s="135">
        <f>IF(ISNA(VLOOKUP(A23,'Données projet'!$A$61:$I$81,6,0)),0%,VLOOKUP(A23,'Données projet'!$A$61:$I$81,6,0)*VLOOKUP('Données projet'!$B$10,'Paramètres'!$A$1:$I$89,7,0))</f>
        <v>0</v>
      </c>
      <c r="AT23" s="135">
        <f>IF(ISNA(VLOOKUP(A23,'Données projet'!$A$61:$I$81,7,0)),0%,VLOOKUP(A23,'Données projet'!$A$61:$I$81,7,0))</f>
        <v>0</v>
      </c>
      <c r="AU23" s="142">
        <f>EXP(-LN(2)/35)*AU22+(1-EXP(-LN(2)/35))/(LN(2)/35)*AQ23*AR23*VLOOKUP('Données projet'!$B$10,'Paramètres'!$A$1:$I$89,3,0)*0.475*44/12</f>
        <v>0</v>
      </c>
      <c r="AV23" s="142">
        <f>EXP(-LN(2)/25)*AV22+(1-EXP(-LN(2)/25))/(LN(2)/25)*Calculateur!AQ23*Calculateur!AS23*VLOOKUP('Données projet'!$B$10,'Paramètres'!$A$1:$I$89,3,0)*0.475*44/12</f>
        <v>0</v>
      </c>
      <c r="AW23" s="142">
        <f>EXP(-LN(2)/2)*AW22+(1-EXP(-LN(2)/2))/(LN(2)/2)*AQ23*AT23*VLOOKUP('Données projet'!$B$10,'Paramètres'!$A$1:$I$89,3,0)*0.475*44/12</f>
        <v>0</v>
      </c>
      <c r="AX23" s="142">
        <f t="shared" si="7"/>
        <v>0</v>
      </c>
      <c r="AY23" s="13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1" t="str">
        <f>VLOOKUP(A23,'Données projet'!$A$87:$I$107,2,0)</f>
        <v>#N/A</v>
      </c>
      <c r="BB23" s="131" t="str">
        <f>VLOOKUP(A23,'Données projet'!$A$87:$I$107,9,0)</f>
        <v>#N/A</v>
      </c>
      <c r="BC23" s="130">
        <f t="array" ref="BC23">INDEX(BB:BB,MIN(IF(ISNUMBER(BB23:BB219),ROW(BB23:BB219),"")))</f>
        <v>4.666666667</v>
      </c>
      <c r="BD23" s="131">
        <f>IF('Données projet'!$A$88&gt;35,BD22+BC23-BL22,IF(A23&lt;'Données projet'!$A$88,$BA$205^A23,IF(A23='Données projet'!$A$88,'Données projet'!$B$88,BD22+BC23-BL22)))</f>
        <v>26.961995</v>
      </c>
      <c r="BE23" s="130">
        <f>BD23*VLOOKUP('Données projet'!$B$11,'Paramètres'!$A$1:$I$89,3,0)*VLOOKUP('Données projet'!$B$11,'Paramètres'!$A$1:$I$89,5,0)</f>
        <v>12.61821366</v>
      </c>
      <c r="BF23" s="130">
        <f t="shared" si="38"/>
        <v>4.329061832</v>
      </c>
      <c r="BG23" s="141">
        <f t="shared" si="8"/>
        <v>29.51650481</v>
      </c>
      <c r="BH23" s="133">
        <f t="shared" si="9"/>
        <v>322.8498381</v>
      </c>
      <c r="BI23" s="133">
        <f>AVERAGE(OFFSET($BH$3,0,0,'Données projet'!$E$11+1,1))-AVERAGE(OFFSET($H$3,0,0,'Données projet'!$E$11+1,1))</f>
        <v>134.0948534</v>
      </c>
      <c r="BJ23" s="133">
        <f t="shared" si="39"/>
        <v>108.4102536</v>
      </c>
      <c r="BK23" s="134">
        <f>IF(ISNA(VLOOKUP(A23,'Données projet'!$A$87:$I$107,3,0)),0,VLOOKUP(A23,'Données projet'!$A$87:$I$107,3,0))</f>
        <v>0</v>
      </c>
      <c r="BL23" s="134">
        <f>IF(ISNA(VLOOKUP(A23,'Données projet'!$A$87:$I$107,4,0)),0,VLOOKUP(A23,'Données projet'!$A$87:$I$107,4,0))</f>
        <v>0</v>
      </c>
      <c r="BM23" s="135">
        <f>IF(ISNA(VLOOKUP(A23,'Données projet'!$A$87:$I$107,5,0)),0%,VLOOKUP(A23,'Données projet'!$A$87:$I$107,5,0)*VLOOKUP('Données projet'!$B$11,'Paramètres'!$A$1:$I$89,7,0))</f>
        <v>0</v>
      </c>
      <c r="BN23" s="135">
        <f>IF(ISNA(VLOOKUP(A23,'Données projet'!$A$87:$I$107,6,0)),0%,VLOOKUP(A23,'Données projet'!$A$87:$I$107,6,0)*VLOOKUP('Données projet'!$B$11,'Paramètres'!$A$1:$I$89,7,0))</f>
        <v>0</v>
      </c>
      <c r="BO23" s="135">
        <f>IF(ISNA(VLOOKUP(A23,'Données projet'!$A$87:$I$107,7,0)),0%,VLOOKUP(A23,'Données projet'!$A$87:$I$107,7,0))</f>
        <v>0</v>
      </c>
      <c r="BP23" s="142">
        <f>EXP(-LN(2)/35)*BP22+(1-EXP(-LN(2)/35))/(LN(2)/35)*BL23*BM23*VLOOKUP('Données projet'!$B$11,'Paramètres'!$A$1:$I$89,3,0)*0.475*44/12</f>
        <v>0</v>
      </c>
      <c r="BQ23" s="142">
        <f>EXP(-LN(2)/25)*BQ22+(1-EXP(-LN(2)/25))/(LN(2)/25)*Calculateur!BL23*Calculateur!BN23*VLOOKUP('Données projet'!$B$11,'Paramètres'!$A$1:$I$89,3,0)*0.475*44/12</f>
        <v>0</v>
      </c>
      <c r="BR23" s="142">
        <f>EXP(-LN(2)/2)*BR22+(1-EXP(-LN(2)/2))/(LN(2)/2)*BL23*BO23*VLOOKUP('Données projet'!$B$11,'Paramètres'!$A$1:$I$89,3,0)*0.475*44/12</f>
        <v>0</v>
      </c>
      <c r="BS23" s="143">
        <f t="shared" si="10"/>
        <v>0</v>
      </c>
      <c r="BT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1">
        <f>VLOOKUP(A23,'Données projet'!$A$113:$I$133,2,0)</f>
        <v>128</v>
      </c>
      <c r="BW23" s="130">
        <f>VLOOKUP(A23,'Données projet'!$A$113:$I$133,9,0)</f>
        <v>20</v>
      </c>
      <c r="BX23" s="130">
        <f t="array" ref="BX23">INDEX(BW:BW,MIN(IF(ISNUMBER(BW23:BW219),ROW(BW23:BW219),"")))</f>
        <v>20</v>
      </c>
      <c r="BY23" s="130">
        <f>IF('Données projet'!$A$114&gt;35,BY22+BX23-CG22,IF(A23&lt;'Données projet'!$A$114,$BV$205^A23,IF(A23='Données projet'!$A$114,'Données projet'!$B$114,BY22+BX23-CG22)))</f>
        <v>128</v>
      </c>
      <c r="BZ23" s="130">
        <f>BY23*VLOOKUP('Données projet'!$B$12,'Paramètres'!$A$1:$I$89,3,0)*VLOOKUP('Données projet'!$B$12,'Paramètres'!$A$1:$I$89,5,0)</f>
        <v>63.232</v>
      </c>
      <c r="CA23" s="130">
        <f t="shared" si="40"/>
        <v>17.98290815</v>
      </c>
      <c r="CB23" s="141">
        <f t="shared" si="11"/>
        <v>141.4492984</v>
      </c>
      <c r="CC23" s="133">
        <f t="shared" si="12"/>
        <v>434.7826317</v>
      </c>
      <c r="CD23" s="133">
        <f>AVERAGE(OFFSET($CC$3,0,0,'Données projet'!$E$12+1,1))-AVERAGE(OFFSET($H$3,0,0,'Données projet'!$E$12+1,1))</f>
        <v>258.1672054</v>
      </c>
      <c r="CE23" s="133">
        <f t="shared" si="41"/>
        <v>296.0724261</v>
      </c>
      <c r="CF23" s="134">
        <f>IF(ISNA(VLOOKUP(A23,'Données projet'!$A$113:$I$133,3,0)),0,VLOOKUP(A23,'Données projet'!$A$113:$I$133,3,0))</f>
        <v>2</v>
      </c>
      <c r="CG23" s="134">
        <f>IF(ISNA(VLOOKUP(A23,'Données projet'!$A$113:$I$133,4,0)),0,VLOOKUP(A23,'Données projet'!$A$113:$I$133,4,0))</f>
        <v>3</v>
      </c>
      <c r="CH23" s="135">
        <f>IF(ISNA(VLOOKUP(A23,'Données projet'!$A$113:$I$133,5,0)),0%,VLOOKUP(A23,'Données projet'!$A$113:$I$133,5,0)*VLOOKUP('Données projet'!$B$12,'Paramètres'!$A$1:$I$89,7,0))</f>
        <v>0</v>
      </c>
      <c r="CI23" s="135">
        <f>IF(ISNA(VLOOKUP(A23,'Données projet'!$A$113:$I$133,6,0)),0%,VLOOKUP(A23,'Données projet'!$A$113:$I$133,6,0)*VLOOKUP('Données projet'!$B$12,'Paramètres'!$A$1:$I$89,7,0))</f>
        <v>0.308</v>
      </c>
      <c r="CJ23" s="135">
        <f>IF(ISNA(VLOOKUP(A23,'Données projet'!$A$113:$I$133,7,0)),0%,VLOOKUP(A23,'Données projet'!$A$113:$I$133,7,0))</f>
        <v>0.44</v>
      </c>
      <c r="CK23" s="142">
        <f>EXP(-LN(2)/35)*CK22+(1-EXP(-LN(2)/35))/(LN(2)/35)*CG23*CH23*VLOOKUP('Données projet'!$B$12,'Paramètres'!$A$1:$I$89,3,0)*0.475*44/12</f>
        <v>0</v>
      </c>
      <c r="CL23" s="142">
        <f>EXP(-LN(2)/25)*CL22+(1-EXP(-LN(2)/25))/(LN(2)/25)*Calculateur!CG23*Calculateur!CI23*VLOOKUP('Données projet'!$B$12,'Paramètres'!$A$1:$I$89,3,0)*0.475*44/12</f>
        <v>0.6031341488</v>
      </c>
      <c r="CM23" s="142">
        <f>EXP(-LN(2)/2)*CM22+(1-EXP(-LN(2)/2))/(LN(2)/2)*CG23*CJ23*VLOOKUP('Données projet'!$B$12,'Paramètres'!$A$1:$I$89,3,0)*0.475*44/12</f>
        <v>0.7383060366</v>
      </c>
      <c r="CN23" s="143">
        <f t="shared" si="13"/>
        <v>1.341440185</v>
      </c>
      <c r="CO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1" t="str">
        <f>VLOOKUP(A23,'Données projet'!$A$139:$I$159,2,0)</f>
        <v>#N/A</v>
      </c>
      <c r="CR23" s="131" t="str">
        <f>VLOOKUP(A23,'Données projet'!$A$139:$I$159,9,0)</f>
        <v>#N/A</v>
      </c>
      <c r="CS23" s="130">
        <f t="array" ref="CS23">INDEX(CR:CR,MIN(IF(ISNUMBER(CR23:CR219),ROW(CR23:CR219),"")))</f>
        <v>1.2</v>
      </c>
      <c r="CT23" s="131">
        <f>IF('Données projet'!$A$140&gt;35,CT22+CS23-DB22,IF(A23&lt;'Données projet'!$A$140,$CQ$205^A23,IF(A23='Données projet'!$A$140,'Données projet'!$B$140,CT22+CS23-DB22)))</f>
        <v>15.19487052</v>
      </c>
      <c r="CU23" s="138">
        <f>CT23*VLOOKUP('Données projet'!$B$13,'Paramètres'!$A$1:$I$89,3,0)*VLOOKUP('Données projet'!$B$13,'Paramètres'!$A$1:$I$89,5,0)</f>
        <v>15.40759871</v>
      </c>
      <c r="CV23" s="130">
        <f t="shared" si="42"/>
        <v>5.16457602</v>
      </c>
      <c r="CW23" s="141">
        <f t="shared" si="14"/>
        <v>35.82987099</v>
      </c>
      <c r="CX23" s="133">
        <f t="shared" si="15"/>
        <v>329.1632043</v>
      </c>
      <c r="CY23" s="133">
        <f>AVERAGE(OFFSET($CX$3,0,0,'Données projet'!$E$13+1,1))-AVERAGE(OFFSET($H$3,0,0,'Données projet'!$E$13+1,1))</f>
        <v>223.783507</v>
      </c>
      <c r="CZ23" s="133">
        <f t="shared" si="43"/>
        <v>84.92349117</v>
      </c>
      <c r="DA23" s="134">
        <f>IF(ISNA(VLOOKUP(A23,'Données projet'!$A$139:$I$159,3,0)),0,VLOOKUP(A23,'Données projet'!$A$139:$I$159,3,0))</f>
        <v>0</v>
      </c>
      <c r="DB23" s="134">
        <f>IF(ISNA(VLOOKUP(A23,'Données projet'!$A$139:$I$159,4,0)),0,VLOOKUP(A23,'Données projet'!$A$139:$I$159,4,0))</f>
        <v>0</v>
      </c>
      <c r="DC23" s="135">
        <f>IF(ISNA(VLOOKUP(A23,'Données projet'!$A$139:$I$159,5,0)),0%,VLOOKUP(A23,'Données projet'!$A$139:$I$159,5,0)*VLOOKUP('Données projet'!$B$13,'Paramètres'!$A$1:$I$89,7,0))</f>
        <v>0</v>
      </c>
      <c r="DD23" s="135">
        <f>IF(ISNA(VLOOKUP(A23,'Données projet'!$A$139:$I$159,6,0)),0%,VLOOKUP(A23,'Données projet'!$A$139:$I$159,6,0)*VLOOKUP('Données projet'!$B$13,'Paramètres'!$A$1:$I$89,7,0))</f>
        <v>0</v>
      </c>
      <c r="DE23" s="135">
        <f>IF(ISNA(VLOOKUP(A23,'Données projet'!$A$139:$I$159,7,0)),0%,VLOOKUP(A23,'Données projet'!$A$139:$I$159,7,0))</f>
        <v>0</v>
      </c>
      <c r="DF23" s="142">
        <f>EXP(-LN(2)/35)*DF22+(1-EXP(-LN(2)/35))/(LN(2)/35)*DB23*DC23*VLOOKUP('Données projet'!$B$13,'Paramètres'!$A$1:$I$89,3,0)*0.475*44/12</f>
        <v>0</v>
      </c>
      <c r="DG23" s="142">
        <f>EXP(-LN(2)/25)*DG22+(1-EXP(-LN(2)/25))/(LN(2)/25)*Calculateur!DB23*Calculateur!DD23*VLOOKUP('Données projet'!$B$13,'Paramètres'!$A$1:$I$89,3,0)*0.475*44/12</f>
        <v>0</v>
      </c>
      <c r="DH23" s="142">
        <f>EXP(-LN(2)/2)*DH22+(1-EXP(-LN(2)/2))/(LN(2)/2)*DB23*DE23*VLOOKUP('Données projet'!$B$13,'Paramètres'!$A$1:$I$89,3,0)*0.475*44/12</f>
        <v>0</v>
      </c>
      <c r="DI23" s="143">
        <f t="shared" si="16"/>
        <v>0</v>
      </c>
      <c r="DJ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8">
        <f>VLOOKUP(A23,'Données projet'!$A$165:$I$185,2,0)</f>
        <v>42</v>
      </c>
      <c r="DM23" s="131">
        <f>VLOOKUP(A23,'Données projet'!$A$165:$I$185,9,0)</f>
        <v>2.1</v>
      </c>
      <c r="DN23" s="131">
        <f t="array" ref="DN23">INDEX(DM:DM,MIN(IF(ISNUMBER(DM23:DM219),ROW(DM23:DM219),"")))</f>
        <v>2.1</v>
      </c>
      <c r="DO23" s="138">
        <f>IF('Données projet'!$A$166&gt;35,DO22+DN23-DW22,IF(A23&lt;'Données projet'!$A$166,$DL$205^A23,IF(A23='Données projet'!$A$166,'Données projet'!$B$166,DO22+DN23-DW22)))</f>
        <v>42</v>
      </c>
      <c r="DP23" s="138">
        <f>DO23*VLOOKUP('Données projet'!$B$14,'Paramètres'!$A$1:$I$89,3,0)*VLOOKUP('Données projet'!$B$14,'Paramètres'!$A$1:$I$89,5,0)</f>
        <v>38.0016</v>
      </c>
      <c r="DQ23" s="130">
        <f t="shared" si="44"/>
        <v>11.46740123</v>
      </c>
      <c r="DR23" s="141">
        <f t="shared" si="17"/>
        <v>86.15851047</v>
      </c>
      <c r="DS23" s="133">
        <f t="shared" si="18"/>
        <v>379.4918438</v>
      </c>
      <c r="DT23" s="133">
        <f>AVERAGE(OFFSET($DS$3,0,0,'Données projet'!$E$14+1,1))-AVERAGE(OFFSET($H$3,0,0,'Données projet'!$E$14+1,1))</f>
        <v>287.9334714</v>
      </c>
      <c r="DU23" s="133">
        <f t="shared" si="45"/>
        <v>156.6796502</v>
      </c>
      <c r="DV23" s="134">
        <f>IF(ISNA(VLOOKUP(A23,'Données projet'!$A$165:$I$185,3,0)),0,VLOOKUP(A23,'Données projet'!$A$165:$I$185,3,0))</f>
        <v>1</v>
      </c>
      <c r="DW23" s="144">
        <f>IF(ISNA(VLOOKUP(A23,'Données projet'!$A$165:$I$185,4,0)),0,VLOOKUP(A23,'Données projet'!$A$165:$I$185,4,0))</f>
        <v>0</v>
      </c>
      <c r="DX23" s="135">
        <f>IF(ISNA(VLOOKUP(A23,'Données projet'!$A$165:$I$185,5,0)),0%,VLOOKUP(A23,'Données projet'!$A$165:$I$185,5,0)*VLOOKUP('Données projet'!$B$14,'Paramètres'!$A$1:$I$89,7,0))</f>
        <v>0</v>
      </c>
      <c r="DY23" s="135">
        <f>IF(ISNA(VLOOKUP(A23,'Données projet'!$A$165:$I$185,6,0)),0%,VLOOKUP(A23,'Données projet'!$A$165:$I$185,6,0)*VLOOKUP('Données projet'!$B$14,'Paramètres'!$A$1:$I$89,7,0))</f>
        <v>0</v>
      </c>
      <c r="DZ23" s="135" t="str">
        <f>IF(ISNA(VLOOKUP(A23,'Données projet'!$A$165:$I$185,7,0)),0%,VLOOKUP(A23,'Données projet'!$A$165:$I$185,7,0))</f>
        <v/>
      </c>
      <c r="EA23" s="142">
        <f>EXP(-LN(2)/35)*EA22+(1-EXP(-LN(2)/35))/(LN(2)/35)*DW23*DX23*VLOOKUP('Données projet'!$B$14,'Paramètres'!$A$1:$I$89,3,0)*0.475*44/12</f>
        <v>0</v>
      </c>
      <c r="EB23" s="142">
        <f>EXP(-LN(2)/25)*EB22+(1-EXP(-LN(2)/25))/(LN(2)/25)*Calculateur!DW23*Calculateur!DY23*VLOOKUP('Données projet'!$B$14,'Paramètres'!$A$1:$I$89,3,0)*0.475*44/12</f>
        <v>0</v>
      </c>
      <c r="EC23" s="142">
        <f>EXP(-LN(2)/2)*EC22+(1-EXP(-LN(2)/2))/(LN(2)/2)*DW23*DZ23*VLOOKUP('Données projet'!$B$14,'Paramètres'!$A$1:$I$89,3,0)*0.475*44/12</f>
        <v>0</v>
      </c>
      <c r="ED23" s="143">
        <f t="shared" si="19"/>
        <v>0</v>
      </c>
      <c r="EE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1" t="str">
        <f>VLOOKUP(A23,'Données projet'!$A$191:$I$211,2,0)</f>
        <v>#N/A</v>
      </c>
      <c r="EH23" s="131" t="str">
        <f>VLOOKUP(A23,'Données projet'!$A$191:$I$211,9,0)</f>
        <v>#N/A</v>
      </c>
      <c r="EI23" s="131">
        <f t="array" ref="EI23">INDEX(EH:EH,MIN(IF(ISNUMBER(EH23:EH219),ROW(EH23:EH219),"")))</f>
        <v>1.6</v>
      </c>
      <c r="EJ23" s="131">
        <f>IF('Données projet'!$A$192&gt;35,EJ22+EI23-ER22,IF(A23&lt;'Données projet'!$A$192,$EG$205^A23,IF(A23='Données projet'!$A$192,'Données projet'!$B$192,EJ22+EI23-ER22)))</f>
        <v>19.12705</v>
      </c>
      <c r="EK23" s="138">
        <f>EJ23*VLOOKUP('Données projet'!$B$15,'Paramètres'!$A$1:$I$89,3,0)*VLOOKUP('Données projet'!$B$15,'Paramètres'!$A$1:$I$89,5,0)</f>
        <v>14.02395306</v>
      </c>
      <c r="EL23" s="130">
        <f t="shared" si="46"/>
        <v>4.752551087</v>
      </c>
      <c r="EM23" s="141">
        <f t="shared" si="20"/>
        <v>32.70241138</v>
      </c>
      <c r="EN23" s="133">
        <f t="shared" si="21"/>
        <v>326.0357447</v>
      </c>
      <c r="EO23" s="133">
        <f>AVERAGE(OFFSET($EN$3,0,0,'Données projet'!$E$15+1,1))-AVERAGE(OFFSET($H$3,0,0,'Données projet'!$E$15+1,1))</f>
        <v>130.3193339</v>
      </c>
      <c r="EP23" s="133">
        <f t="shared" si="47"/>
        <v>82.22784365</v>
      </c>
      <c r="EQ23" s="134">
        <f>IF(ISNA(VLOOKUP(A23,'Données projet'!$A$191:$I$211,3,0)),0,VLOOKUP(A23,'Données projet'!$A$191:$I$211,3,0))</f>
        <v>0</v>
      </c>
      <c r="ER23" s="134">
        <f>IF(ISNA(VLOOKUP(A23,'Données projet'!$A$191:$I$211,4,0)),0,VLOOKUP(A23,'Données projet'!$A$191:$I$211,4,0))</f>
        <v>0</v>
      </c>
      <c r="ES23" s="135">
        <f>IF(ISNA(VLOOKUP(A23,'Données projet'!$A$191:$I$211,5,0)),0%,VLOOKUP(A23,'Données projet'!$A$191:$I$211,5,0)*VLOOKUP('Données projet'!$B$15,'Paramètres'!$A$1:$I$89,7,0))</f>
        <v>0</v>
      </c>
      <c r="ET23" s="135">
        <f>IF(ISNA(VLOOKUP(A23,'Données projet'!$A$191:$I$211,6,0)),0%,VLOOKUP(A23,'Données projet'!$A$191:$I$211,6,0)*VLOOKUP('Données projet'!$B$15,'Paramètres'!$A$1:$I$89,7,0))</f>
        <v>0</v>
      </c>
      <c r="EU23" s="135">
        <f>IF(ISNA(VLOOKUP(A23,'Données projet'!$A$191:$I$211,7,0)),0%,VLOOKUP(A23,'Données projet'!$A$191:$I$211,7,0))</f>
        <v>0</v>
      </c>
      <c r="EV23" s="142">
        <f>EXP(-LN(2)/35)*EV22+(1-EXP(-LN(2)/35))/(LN(2)/35)*ER23*ES23*VLOOKUP('Données projet'!$B$15,'Paramètres'!$A$1:$I$89,3,0)*0.475*44/12</f>
        <v>0</v>
      </c>
      <c r="EW23" s="142">
        <f>EXP(-LN(2)/25)*EW22+(1-EXP(-LN(2)/25))/(LN(2)/25)*Calculateur!ER23*Calculateur!ET23*VLOOKUP('Données projet'!$B$15,'Paramètres'!$A$1:$I$89,3,0)*0.475*44/12</f>
        <v>0</v>
      </c>
      <c r="EX23" s="142">
        <f>EXP(-LN(2)/2)*EX22+(1-EXP(-LN(2)/2))/(LN(2)/2)*ER23*EU23*VLOOKUP('Données projet'!$B$15,'Paramètres'!$A$1:$I$89,3,0)*0.475*44/12</f>
        <v>0</v>
      </c>
      <c r="EY23" s="143">
        <f t="shared" si="22"/>
        <v>0</v>
      </c>
      <c r="EZ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1">
        <f>VLOOKUP(A23,'Données projet'!$A$217:$I$237,2,0)</f>
        <v>139</v>
      </c>
      <c r="FC23" s="130">
        <f>VLOOKUP(A23,'Données projet'!$A$217:$I$237,9,0)</f>
        <v>11.4</v>
      </c>
      <c r="FD23" s="130">
        <f t="array" ref="FD23">INDEX(FC:FC,MIN(IF(ISNUMBER(FC23:FC219),ROW(FC23:FC219),"")))</f>
        <v>11.4</v>
      </c>
      <c r="FE23" s="130">
        <f>IF('Données projet'!$A$218&gt;35,FE22+FD23-FM22,IF(A23&lt;'Données projet'!$A$218,$FB$205^A23,IF(A23='Données projet'!$A$218,'Données projet'!$B$218,FE22+FD23-FM22)))</f>
        <v>139</v>
      </c>
      <c r="FF23" s="138">
        <f>FE23*VLOOKUP('Données projet'!$B$16,'Paramètres'!$A$1:$I$89,3,0)*VLOOKUP('Données projet'!$B$16,'Paramètres'!$A$1:$I$89,5,0)</f>
        <v>125.7672</v>
      </c>
      <c r="FG23" s="130">
        <f t="shared" si="48"/>
        <v>33.01640723</v>
      </c>
      <c r="FH23" s="141">
        <f t="shared" si="23"/>
        <v>276.5481159</v>
      </c>
      <c r="FI23" s="133">
        <f t="shared" si="24"/>
        <v>569.8814493</v>
      </c>
      <c r="FJ23" s="133">
        <f>AVERAGE(OFFSET($FI$3,0,0,'Données projet'!$E$16+1,1))-AVERAGE(OFFSET($H$3,0,0,'Données projet'!$E$16+1,1))</f>
        <v>305.6252353</v>
      </c>
      <c r="FK23" s="133">
        <f t="shared" si="49"/>
        <v>331.397916</v>
      </c>
      <c r="FL23" s="134">
        <f>IF(ISNA(VLOOKUP(A23,'Données projet'!$A$217:$I$237,3,0)),0,VLOOKUP(A23,'Données projet'!$A$217:$I$237,3,0))</f>
        <v>2</v>
      </c>
      <c r="FM23" s="134">
        <f>IF(ISNA(VLOOKUP(A23,'Données projet'!$A$217:$I$237,4,0)),0,VLOOKUP(A23,'Données projet'!$A$217:$I$237,4,0))</f>
        <v>25</v>
      </c>
      <c r="FN23" s="135">
        <f>IF(ISNA(VLOOKUP(A23,'Données projet'!$A$217:$I$237,5,0)),0%,VLOOKUP(A23,'Données projet'!$A$217:$I$237,5,0)*VLOOKUP('Données projet'!$B$16,'Paramètres'!$A$1:$I$89,7,0))</f>
        <v>0</v>
      </c>
      <c r="FO23" s="135">
        <f>IF(ISNA(VLOOKUP(A23,'Données projet'!$A$217:$I$237,6,0)),0%,VLOOKUP(A23,'Données projet'!$A$217:$I$237,6,0)*VLOOKUP('Données projet'!$B$16,'Paramètres'!$A$1:$I$89,7,0))</f>
        <v>0</v>
      </c>
      <c r="FP23" s="135" t="str">
        <f>IF(ISNA(VLOOKUP(A23,'Données projet'!$A$217:$I$237,7,0)),0%,VLOOKUP(A23,'Données projet'!$A$217:$I$237,7,0))</f>
        <v/>
      </c>
      <c r="FQ23" s="142">
        <f>EXP(-LN(2)/35)*FQ22+(1-EXP(-LN(2)/35))/(LN(2)/35)*FM23*FN23*VLOOKUP('Données projet'!$B$16,'Paramètres'!$A$1:$I$89,3,0)*0.475*44/12</f>
        <v>0</v>
      </c>
      <c r="FR23" s="142">
        <f>EXP(-LN(2)/25)*FR22+(1-EXP(-LN(2)/25))/(LN(2)/25)*Calculateur!FM23*Calculateur!FO23*VLOOKUP('Données projet'!$B$16,'Paramètres'!$A$1:$I$89,3,0)*0.475*44/12</f>
        <v>0</v>
      </c>
      <c r="FS23" s="142">
        <f>EXP(-LN(2)/2)*FS22+(1-EXP(-LN(2)/2))/(LN(2)/2)*FM23*FP23*VLOOKUP('Données projet'!$B$16,'Paramètres'!$A$1:$I$89,3,0)*0.475*44/12</f>
        <v>0</v>
      </c>
      <c r="FT23" s="143">
        <f t="shared" si="25"/>
        <v>0</v>
      </c>
      <c r="FU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8">
        <f>VLOOKUP(A23,'Données projet'!$A$243:$I$263,2,0)</f>
        <v>32</v>
      </c>
      <c r="FX23" s="130">
        <f>VLOOKUP(A23,'Données projet'!$A$243:$I$263,9,0)</f>
        <v>1.6</v>
      </c>
      <c r="FY23" s="130">
        <f t="array" ref="FY23">INDEX(FX:FX,MIN(IF(ISNUMBER(FX23:FX219),ROW(FX23:FX219),"")))</f>
        <v>1.6</v>
      </c>
      <c r="FZ23" s="138">
        <f>IF('Données projet'!$A$244&gt;35,FZ22+FY23-GH22,IF(A23&lt;'Données projet'!$A$244,$FW$205^A23,IF(A23='Données projet'!$A$244,'Données projet'!$B$244,FZ22+FY23-GH22)))</f>
        <v>32</v>
      </c>
      <c r="GA23" s="138">
        <f>FZ23*VLOOKUP('Données projet'!$B$17,'Paramètres'!$A$1:$I$89,3,0)*VLOOKUP('Données projet'!$B$17,'Paramètres'!$A$1:$I$89,5,0)</f>
        <v>21.4656</v>
      </c>
      <c r="GB23" s="130">
        <f t="shared" si="50"/>
        <v>6.922774865</v>
      </c>
      <c r="GC23" s="141">
        <f t="shared" si="26"/>
        <v>49.44308622</v>
      </c>
      <c r="GD23" s="133">
        <f t="shared" si="27"/>
        <v>342.7764196</v>
      </c>
      <c r="GE23" s="133">
        <f>AVERAGE(OFFSET($GD$3,0,0,'Données projet'!$E$17+1,1))-AVERAGE(OFFSET($H$3,0,0,'Données projet'!$E$17+1,1))</f>
        <v>118.7368745</v>
      </c>
      <c r="GF23" s="133">
        <f t="shared" si="51"/>
        <v>135.1233677</v>
      </c>
      <c r="GG23" s="134">
        <f>IF(ISNA(VLOOKUP(A23,'Données projet'!$A$243:$I$263,3,0)),0,VLOOKUP(A23,'Données projet'!$A$243:$I$263,3,0))</f>
        <v>1</v>
      </c>
      <c r="GH23" s="144">
        <f>IF(ISNA(VLOOKUP(A23,'Données projet'!$A$243:$I$263,4,0)),0,VLOOKUP(A23,'Données projet'!$A$243:$I$263,4,0))</f>
        <v>0</v>
      </c>
      <c r="GI23" s="135">
        <f>IF(ISNA(VLOOKUP(A23,'Données projet'!$A$243:$I$263,5,0)),0%,VLOOKUP(A23,'Données projet'!$A$243:$I$263,5,0)*VLOOKUP('Données projet'!$B$17,'Paramètres'!$A$1:$I$89,7,0))</f>
        <v>0</v>
      </c>
      <c r="GJ23" s="135">
        <f>IF(ISNA(VLOOKUP(A23,'Données projet'!$A$243:$I$263,6,0)),0%,VLOOKUP(A23,'Données projet'!$A$243:$I$263,6,0)*VLOOKUP('Données projet'!$B$17,'Paramètres'!$A$1:$I$89,7,0))</f>
        <v>0</v>
      </c>
      <c r="GK23" s="135" t="str">
        <f>IF(ISNA(VLOOKUP(A23,'Données projet'!$A$243:$I$263,7,0)),0%,VLOOKUP(A23,'Données projet'!$A$243:$I$263,7,0))</f>
        <v/>
      </c>
      <c r="GL23" s="142">
        <f>EXP(-LN(2)/35)*GL22+(1-EXP(-LN(2)/35))/(LN(2)/35)*GH23*GI23*VLOOKUP('Données projet'!$B$17,'Paramètres'!$A$1:$I$89,3,0)*0.475*44/12</f>
        <v>0</v>
      </c>
      <c r="GM23" s="142">
        <f>EXP(-LN(2)/25)*GM22+(1-EXP(-LN(2)/25))/(LN(2)/25)*Calculateur!GH23*Calculateur!GJ23*VLOOKUP('Données projet'!$B$17,'Paramètres'!$A$1:$I$89,3,0)*0.475*44/12</f>
        <v>0</v>
      </c>
      <c r="GN23" s="142">
        <f>EXP(-LN(2)/2)*GN22+(1-EXP(-LN(2)/2))/(LN(2)/2)*GH23*GK23*VLOOKUP('Données projet'!$B$17,'Paramètres'!$A$1:$I$89,3,0)*0.475*44/12</f>
        <v>0</v>
      </c>
      <c r="GO23" s="142">
        <f t="shared" si="28"/>
        <v>0</v>
      </c>
      <c r="GP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1" t="str">
        <f>VLOOKUP(A23,'Données projet'!$A$269:$I$289,2,0)</f>
        <v>#N/A</v>
      </c>
      <c r="GS23" s="131" t="str">
        <f>VLOOKUP(A23,'Données projet'!$A$269:$I$289,9,0)</f>
        <v>#N/A</v>
      </c>
      <c r="GT23" s="130">
        <f t="array" ref="GT23">INDEX(GS:GS,MIN(IF(ISNUMBER(GS23:GS219),ROW(GS23:GS219),"")))</f>
        <v>1.2</v>
      </c>
      <c r="GU23" s="131">
        <f>IF('Données projet'!$A$270&gt;35,GU22+GT23-HC22,IF(A23&lt;'Données projet'!$A$270,$GR$205^A23,IF(A23='Données projet'!$A$270,'Données projet'!$B$270,GU22+GT23-HC22)))</f>
        <v>15.19487052</v>
      </c>
      <c r="GV23" s="138">
        <f>GU23*VLOOKUP('Données projet'!$B$18,'Paramètres'!$A$1:$I$89,3,0)*VLOOKUP('Données projet'!$B$18,'Paramètres'!$A$1:$I$89,5,0)</f>
        <v>16.35575863</v>
      </c>
      <c r="GW23" s="130">
        <f t="shared" si="52"/>
        <v>5.44441835</v>
      </c>
      <c r="GX23" s="141">
        <f t="shared" si="29"/>
        <v>37.96864158</v>
      </c>
      <c r="GY23" s="133">
        <f t="shared" si="30"/>
        <v>331.3019749</v>
      </c>
      <c r="GZ23" s="133">
        <f>AVERAGE(OFFSET($GY$3,0,0,'Données projet'!$E$18+1,1))-AVERAGE(OFFSET($H$3,0,0,'Données projet'!$E$18+1,1))</f>
        <v>100.5427875</v>
      </c>
      <c r="HA23" s="133">
        <f t="shared" si="53"/>
        <v>92.28663609</v>
      </c>
      <c r="HB23" s="134">
        <f>IF(ISNA(VLOOKUP(A23,'Données projet'!$A$269:$I$289,3,0)),0,VLOOKUP(A23,'Données projet'!$A$269:$I$289,3,0))</f>
        <v>0</v>
      </c>
      <c r="HC23" s="134">
        <f>IF(ISNA(VLOOKUP(A23,'Données projet'!$A$269:$I$289,4,0)),0,VLOOKUP(A23,'Données projet'!$A$269:$I$289,4,0))</f>
        <v>0</v>
      </c>
      <c r="HD23" s="135">
        <f>IF(ISNA(VLOOKUP(A23,'Données projet'!$A$269:$I$289,5,0)),0%,VLOOKUP(A23,'Données projet'!$A$269:$I$289,5,0)*VLOOKUP('Données projet'!$B$18,'Paramètres'!$A$1:$I$89,7,0))</f>
        <v>0</v>
      </c>
      <c r="HE23" s="135">
        <f>IF(ISNA(VLOOKUP(A23,'Données projet'!$A$269:$I$289,6,0)),0%,VLOOKUP(A23,'Données projet'!$A$269:$I$289,6,0)*VLOOKUP('Données projet'!$B$18,'Paramètres'!$A$1:$I$89,7,0))</f>
        <v>0</v>
      </c>
      <c r="HF23" s="135">
        <f>IF(ISNA(VLOOKUP(A23,'Données projet'!$A$269:$I$289,7,0)),0%,VLOOKUP(A23,'Données projet'!$A$269:$I$289,7,0))</f>
        <v>0</v>
      </c>
      <c r="HG23" s="142">
        <f>EXP(-LN(2)/35)*HG22+(1-EXP(-LN(2)/35))/(LN(2)/35)*HC23*HD23*VLOOKUP('Données projet'!$B$18,'Paramètres'!$A$1:$I$89,3,0)*0.475*44/12</f>
        <v>0</v>
      </c>
      <c r="HH23" s="142">
        <f>EXP(-LN(2)/25)*HH22+(1-EXP(-LN(2)/25))/(LN(2)/25)*Calculateur!HC23*Calculateur!HE23*VLOOKUP('Données projet'!$B$18,'Paramètres'!$A$1:$I$89,3,0)*0.475*44/12</f>
        <v>0</v>
      </c>
      <c r="HI23" s="142">
        <f>EXP(-LN(2)/2)*HI22+(1-EXP(-LN(2)/2))/(LN(2)/2)*HC23*HF23*VLOOKUP('Données projet'!$B$18,'Paramètres'!$A$1:$I$89,3,0)*0.475*44/12</f>
        <v>0</v>
      </c>
      <c r="HJ23" s="143">
        <f t="shared" si="31"/>
        <v>0</v>
      </c>
    </row>
    <row r="24" ht="15.75" customHeight="1">
      <c r="A24" s="125">
        <f t="shared" si="32"/>
        <v>21</v>
      </c>
      <c r="B24" s="126">
        <f>'Scénario référence'!$B$16*5+'Scénario référence'!$B$17*0+'Scénario référence'!$B$18*5</f>
        <v>0</v>
      </c>
      <c r="C24" s="140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11.466</v>
      </c>
      <c r="D24" s="127">
        <f t="shared" si="33"/>
        <v>3.977850462</v>
      </c>
      <c r="E2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7">
        <f>IF(OR('Scénario référence'!$F$8&gt;0,'Scénario référence'!$F$9&gt;0),('Scénario référence'!$F$8+'Scénario référence'!$F$9)*10,0)</f>
        <v>10</v>
      </c>
      <c r="G24" s="127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119.2156878</v>
      </c>
      <c r="H24" s="128">
        <f t="shared" si="1"/>
        <v>320.2313729</v>
      </c>
      <c r="I24" s="12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1" t="str">
        <f>VLOOKUP(A24,'Données projet'!$A$35:$I$55,2,0)</f>
        <v>#N/A</v>
      </c>
      <c r="L24" s="131" t="str">
        <f>VLOOKUP(A24,'Données projet'!$A$35:$I$55,9,0)</f>
        <v>#N/A</v>
      </c>
      <c r="M24" s="131">
        <f t="array" ref="M24">INDEX(L:L,MIN(IF(ISNUMBER(L24:L220),ROW(L24:L220),"")))</f>
        <v>3.92</v>
      </c>
      <c r="N24" s="130">
        <f>IF('Données projet'!$A$36&gt;35,N23+M24-V23,IF(A24&lt;'Données projet'!$A$36,$K$205^A24,IF(A24='Données projet'!$A$36,'Données projet'!$B$36,N23+M24-V23)))</f>
        <v>47.05761406</v>
      </c>
      <c r="O24" s="130">
        <f>N24*VLOOKUP('Données projet'!$B$9,'Paramètres'!$A$1:$I$89,3,0)*VLOOKUP('Données projet'!$B$9,'Paramètres'!$A$1:$I$89,5,0)</f>
        <v>26.91695524</v>
      </c>
      <c r="P24" s="130">
        <f t="shared" si="34"/>
        <v>8.455182358</v>
      </c>
      <c r="Q24" s="141">
        <f t="shared" si="2"/>
        <v>61.60647299</v>
      </c>
      <c r="R24" s="133">
        <f t="shared" si="3"/>
        <v>354.9398063</v>
      </c>
      <c r="S24" s="133">
        <f>AVERAGE(OFFSET($R$3,0,0,'Données projet'!$E$9+1,1))-AVERAGE(OFFSET($H$3,0,0,'Données projet'!$E$9+1,1))</f>
        <v>126.9946492</v>
      </c>
      <c r="T24" s="133">
        <f t="shared" si="35"/>
        <v>140.039049</v>
      </c>
      <c r="U24" s="134">
        <f>IF(ISNA(VLOOKUP(A24,'Données projet'!$A$35:$I$55,3,0)),0,VLOOKUP(A24,'Données projet'!$A$35:$I$55,3,0))</f>
        <v>0</v>
      </c>
      <c r="V24" s="134">
        <f>IF(ISNA(VLOOKUP(A24,'Données projet'!$A$35:$I$55,4,0)),0,VLOOKUP(A24,'Données projet'!$A$35:$I$55,4,0))</f>
        <v>0</v>
      </c>
      <c r="W24" s="135">
        <f>IF(ISNA(VLOOKUP(A24,'Données projet'!$A$35:$I$55,5,0)),0%,VLOOKUP(A24,'Données projet'!$A$35:$I$55,5,0)*VLOOKUP('Données projet'!$B$9,'Paramètres'!$A$1:$I$89,7,0))</f>
        <v>0</v>
      </c>
      <c r="X24" s="135">
        <f>IF(ISNA(VLOOKUP(A24,'Données projet'!$A$35:$I$55,6,0)),0%,VLOOKUP(A24,'Données projet'!$A$35:$I$55,6,0)*VLOOKUP('Données projet'!$B$9,'Paramètres'!$A$1:$I$89,7,0))</f>
        <v>0</v>
      </c>
      <c r="Y24" s="135">
        <f>IF(ISNA(VLOOKUP(A24,'Données projet'!$A$35:$I$55,7,0)),0%,VLOOKUP(A24,'Données projet'!$A$35:$I$55,7,0))</f>
        <v>0</v>
      </c>
      <c r="Z24" s="142">
        <f>EXP(-LN(2)/35)*Z23+(1-EXP(-LN(2)/35))/(LN(2)/35)*V24*W24*VLOOKUP('Données projet'!$B$9,'Paramètres'!$A$1:$I$89,3,0)*0.475*44/12</f>
        <v>0</v>
      </c>
      <c r="AA24" s="142">
        <f>EXP(-LN(2)/25)*AA23+(1-EXP(-LN(2)/25))/(LN(2)/25)*Calculateur!V24*Calculateur!X24*VLOOKUP('Données projet'!$B$9,'Paramètres'!$A$1:$I$89,3,0)*0.475*44/12</f>
        <v>0</v>
      </c>
      <c r="AB24" s="142">
        <f>EXP(-LN(2)/2)*AB23+(1-EXP(-LN(2)/2))/(LN(2)/2)*V24*Y24*VLOOKUP('Données projet'!$B$9,'Paramètres'!$A$1:$I$89,3,0)*0.475*44/12</f>
        <v>0</v>
      </c>
      <c r="AC24" s="143">
        <f t="shared" si="4"/>
        <v>0</v>
      </c>
      <c r="AD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0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1" t="str">
        <f>VLOOKUP(A24,'Données projet'!$A$61:$I$81,2,0)</f>
        <v>#N/A</v>
      </c>
      <c r="AG24" s="131" t="str">
        <f>VLOOKUP(A24,'Données projet'!$A$61:$I$81,9,0)</f>
        <v>#N/A</v>
      </c>
      <c r="AH24" s="130">
        <f t="array" ref="AH24">INDEX(AG:AG,MIN(IF(ISNUMBER(AG24:AG220),ROW(AG24:AG220),"")))</f>
        <v>5.590909091</v>
      </c>
      <c r="AI24" s="130">
        <f>IF('Données projet'!$A$62&gt;35,AI23+AH24-AQ23,IF(A24&lt;'Données projet'!$A$62,$AF$205^A24,IF(A24='Données projet'!$A$62,'Données projet'!$B$62,AI23+AH24-AQ23)))</f>
        <v>98.83469458</v>
      </c>
      <c r="AJ24" s="130">
        <f>AI24*VLOOKUP('Données projet'!$B$10,'Paramètres'!$A$1:$I$89,3,0)*VLOOKUP('Données projet'!$B$10,'Paramètres'!$A$1:$I$89,5,0)</f>
        <v>59.10314736</v>
      </c>
      <c r="AK24" s="130">
        <f t="shared" si="36"/>
        <v>16.94131816</v>
      </c>
      <c r="AL24" s="141">
        <f t="shared" si="5"/>
        <v>132.4441108</v>
      </c>
      <c r="AM24" s="133">
        <f t="shared" si="6"/>
        <v>425.7774441</v>
      </c>
      <c r="AN24" s="133">
        <f>AVERAGE(OFFSET($AM$3,0,0,'Données projet'!$E$10+1,1))-AVERAGE(OFFSET($H$3,0,0,'Données projet'!$E$10+1,1))</f>
        <v>196.874484</v>
      </c>
      <c r="AO24" s="133">
        <f t="shared" si="37"/>
        <v>217.5750859</v>
      </c>
      <c r="AP24" s="134">
        <f>IF(ISNA(VLOOKUP(A24,'Données projet'!$A$61:$I$81,3,0)),0,VLOOKUP(A24,'Données projet'!$A$61:$I$81,3,0))</f>
        <v>0</v>
      </c>
      <c r="AQ24" s="134">
        <f>IF(ISNA(VLOOKUP(A24,'Données projet'!$A$61:$I$81,4,0)),0,VLOOKUP(A24,'Données projet'!$A$61:$I$81,4,0))</f>
        <v>0</v>
      </c>
      <c r="AR24" s="135">
        <f>IF(ISNA(VLOOKUP(A24,'Données projet'!$A$61:$I$81,5,0)),0%,VLOOKUP(A24,'Données projet'!$A$61:$I$81,5,0)*VLOOKUP('Données projet'!$B$10,'Paramètres'!$A$1:$I$89,7,0))</f>
        <v>0</v>
      </c>
      <c r="AS24" s="135">
        <f>IF(ISNA(VLOOKUP(A24,'Données projet'!$A$61:$I$81,6,0)),0%,VLOOKUP(A24,'Données projet'!$A$61:$I$81,6,0)*VLOOKUP('Données projet'!$B$10,'Paramètres'!$A$1:$I$89,7,0))</f>
        <v>0</v>
      </c>
      <c r="AT24" s="135">
        <f>IF(ISNA(VLOOKUP(A24,'Données projet'!$A$61:$I$81,7,0)),0%,VLOOKUP(A24,'Données projet'!$A$61:$I$81,7,0))</f>
        <v>0</v>
      </c>
      <c r="AU24" s="142">
        <f>EXP(-LN(2)/35)*AU23+(1-EXP(-LN(2)/35))/(LN(2)/35)*AQ24*AR24*VLOOKUP('Données projet'!$B$10,'Paramètres'!$A$1:$I$89,3,0)*0.475*44/12</f>
        <v>0</v>
      </c>
      <c r="AV24" s="142">
        <f>EXP(-LN(2)/25)*AV23+(1-EXP(-LN(2)/25))/(LN(2)/25)*Calculateur!AQ24*Calculateur!AS24*VLOOKUP('Données projet'!$B$10,'Paramètres'!$A$1:$I$89,3,0)*0.475*44/12</f>
        <v>0</v>
      </c>
      <c r="AW24" s="142">
        <f>EXP(-LN(2)/2)*AW23+(1-EXP(-LN(2)/2))/(LN(2)/2)*AQ24*AT24*VLOOKUP('Données projet'!$B$10,'Paramètres'!$A$1:$I$89,3,0)*0.475*44/12</f>
        <v>0</v>
      </c>
      <c r="AX24" s="142">
        <f t="shared" si="7"/>
        <v>0</v>
      </c>
      <c r="AY24" s="13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1" t="str">
        <f>VLOOKUP(A24,'Données projet'!$A$87:$I$107,2,0)</f>
        <v>#N/A</v>
      </c>
      <c r="BB24" s="131" t="str">
        <f>VLOOKUP(A24,'Données projet'!$A$87:$I$107,9,0)</f>
        <v>#N/A</v>
      </c>
      <c r="BC24" s="130">
        <f t="array" ref="BC24">INDEX(BB:BB,MIN(IF(ISNUMBER(BB24:BB220),ROW(BB24:BB220),"")))</f>
        <v>4.666666667</v>
      </c>
      <c r="BD24" s="131">
        <f>IF('Données projet'!$A$88&gt;35,BD23+BC24-BL23,IF(A24&lt;'Données projet'!$A$88,$BA$205^A24,IF(A24='Données projet'!$A$88,'Données projet'!$B$88,BD23+BC24-BL23)))</f>
        <v>31.78993391</v>
      </c>
      <c r="BE24" s="130">
        <f>BD24*VLOOKUP('Données projet'!$B$11,'Paramètres'!$A$1:$I$89,3,0)*VLOOKUP('Données projet'!$B$11,'Paramètres'!$A$1:$I$89,5,0)</f>
        <v>14.87768907</v>
      </c>
      <c r="BF24" s="130">
        <f t="shared" si="38"/>
        <v>5.00730924</v>
      </c>
      <c r="BG24" s="141">
        <f t="shared" si="8"/>
        <v>34.63303872</v>
      </c>
      <c r="BH24" s="133">
        <f t="shared" si="9"/>
        <v>327.9663721</v>
      </c>
      <c r="BI24" s="133">
        <f>AVERAGE(OFFSET($BH$3,0,0,'Données projet'!$E$11+1,1))-AVERAGE(OFFSET($H$3,0,0,'Données projet'!$E$11+1,1))</f>
        <v>134.0948534</v>
      </c>
      <c r="BJ24" s="133">
        <f t="shared" si="39"/>
        <v>108.4102536</v>
      </c>
      <c r="BK24" s="134">
        <f>IF(ISNA(VLOOKUP(A24,'Données projet'!$A$87:$I$107,3,0)),0,VLOOKUP(A24,'Données projet'!$A$87:$I$107,3,0))</f>
        <v>0</v>
      </c>
      <c r="BL24" s="134">
        <f>IF(ISNA(VLOOKUP(A24,'Données projet'!$A$87:$I$107,4,0)),0,VLOOKUP(A24,'Données projet'!$A$87:$I$107,4,0))</f>
        <v>0</v>
      </c>
      <c r="BM24" s="135">
        <f>IF(ISNA(VLOOKUP(A24,'Données projet'!$A$87:$I$107,5,0)),0%,VLOOKUP(A24,'Données projet'!$A$87:$I$107,5,0)*VLOOKUP('Données projet'!$B$11,'Paramètres'!$A$1:$I$89,7,0))</f>
        <v>0</v>
      </c>
      <c r="BN24" s="135">
        <f>IF(ISNA(VLOOKUP(A24,'Données projet'!$A$87:$I$107,6,0)),0%,VLOOKUP(A24,'Données projet'!$A$87:$I$107,6,0)*VLOOKUP('Données projet'!$B$11,'Paramètres'!$A$1:$I$89,7,0))</f>
        <v>0</v>
      </c>
      <c r="BO24" s="135">
        <f>IF(ISNA(VLOOKUP(A24,'Données projet'!$A$87:$I$107,7,0)),0%,VLOOKUP(A24,'Données projet'!$A$87:$I$107,7,0))</f>
        <v>0</v>
      </c>
      <c r="BP24" s="142">
        <f>EXP(-LN(2)/35)*BP23+(1-EXP(-LN(2)/35))/(LN(2)/35)*BL24*BM24*VLOOKUP('Données projet'!$B$11,'Paramètres'!$A$1:$I$89,3,0)*0.475*44/12</f>
        <v>0</v>
      </c>
      <c r="BQ24" s="142">
        <f>EXP(-LN(2)/25)*BQ23+(1-EXP(-LN(2)/25))/(LN(2)/25)*Calculateur!BL24*Calculateur!BN24*VLOOKUP('Données projet'!$B$11,'Paramètres'!$A$1:$I$89,3,0)*0.475*44/12</f>
        <v>0</v>
      </c>
      <c r="BR24" s="142">
        <f>EXP(-LN(2)/2)*BR23+(1-EXP(-LN(2)/2))/(LN(2)/2)*BL24*BO24*VLOOKUP('Données projet'!$B$11,'Paramètres'!$A$1:$I$89,3,0)*0.475*44/12</f>
        <v>0</v>
      </c>
      <c r="BS24" s="143">
        <f t="shared" si="10"/>
        <v>0</v>
      </c>
      <c r="BT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1" t="str">
        <f>VLOOKUP(A24,'Données projet'!$A$113:$I$133,2,0)</f>
        <v>#N/A</v>
      </c>
      <c r="BW24" s="131" t="str">
        <f>VLOOKUP(A24,'Données projet'!$A$113:$I$133,9,0)</f>
        <v>#N/A</v>
      </c>
      <c r="BX24" s="130">
        <f t="array" ref="BX24">INDEX(BW:BW,MIN(IF(ISNUMBER(BW24:BW220),ROW(BW24:BW220),"")))</f>
        <v>24</v>
      </c>
      <c r="BY24" s="130">
        <f>IF('Données projet'!$A$114&gt;35,BY23+BX24-CG23,IF(A24&lt;'Données projet'!$A$114,$BV$205^A24,IF(A24='Données projet'!$A$114,'Données projet'!$B$114,BY23+BX24-CG23)))</f>
        <v>149</v>
      </c>
      <c r="BZ24" s="130">
        <f>BY24*VLOOKUP('Données projet'!$B$12,'Paramètres'!$A$1:$I$89,3,0)*VLOOKUP('Données projet'!$B$12,'Paramètres'!$A$1:$I$89,5,0)</f>
        <v>73.606</v>
      </c>
      <c r="CA24" s="130">
        <f t="shared" si="40"/>
        <v>20.56631975</v>
      </c>
      <c r="CB24" s="141">
        <f t="shared" si="11"/>
        <v>164.0167902</v>
      </c>
      <c r="CC24" s="133">
        <f t="shared" si="12"/>
        <v>457.3501236</v>
      </c>
      <c r="CD24" s="133">
        <f>AVERAGE(OFFSET($CC$3,0,0,'Données projet'!$E$12+1,1))-AVERAGE(OFFSET($H$3,0,0,'Données projet'!$E$12+1,1))</f>
        <v>258.1672054</v>
      </c>
      <c r="CE24" s="133">
        <f t="shared" si="41"/>
        <v>296.0724261</v>
      </c>
      <c r="CF24" s="134">
        <f>IF(ISNA(VLOOKUP(A24,'Données projet'!$A$113:$I$133,3,0)),0,VLOOKUP(A24,'Données projet'!$A$113:$I$133,3,0))</f>
        <v>0</v>
      </c>
      <c r="CG24" s="134">
        <f>IF(ISNA(VLOOKUP(A24,'Données projet'!$A$113:$I$133,4,0)),0,VLOOKUP(A24,'Données projet'!$A$113:$I$133,4,0))</f>
        <v>0</v>
      </c>
      <c r="CH24" s="135">
        <f>IF(ISNA(VLOOKUP(A24,'Données projet'!$A$113:$I$133,5,0)),0%,VLOOKUP(A24,'Données projet'!$A$113:$I$133,5,0)*VLOOKUP('Données projet'!$B$12,'Paramètres'!$A$1:$I$89,7,0))</f>
        <v>0</v>
      </c>
      <c r="CI24" s="135">
        <f>IF(ISNA(VLOOKUP(A24,'Données projet'!$A$113:$I$133,6,0)),0%,VLOOKUP(A24,'Données projet'!$A$113:$I$133,6,0)*VLOOKUP('Données projet'!$B$12,'Paramètres'!$A$1:$I$89,7,0))</f>
        <v>0</v>
      </c>
      <c r="CJ24" s="135">
        <f>IF(ISNA(VLOOKUP(A24,'Données projet'!$A$113:$I$133,7,0)),0%,VLOOKUP(A24,'Données projet'!$A$113:$I$133,7,0))</f>
        <v>0</v>
      </c>
      <c r="CK24" s="142">
        <f>EXP(-LN(2)/35)*CK23+(1-EXP(-LN(2)/35))/(LN(2)/35)*CG24*CH24*VLOOKUP('Données projet'!$B$12,'Paramètres'!$A$1:$I$89,3,0)*0.475*44/12</f>
        <v>0</v>
      </c>
      <c r="CL24" s="142">
        <f>EXP(-LN(2)/25)*CL23+(1-EXP(-LN(2)/25))/(LN(2)/25)*Calculateur!CG24*Calculateur!CI24*VLOOKUP('Données projet'!$B$12,'Paramètres'!$A$1:$I$89,3,0)*0.475*44/12</f>
        <v>0.5866414138</v>
      </c>
      <c r="CM24" s="142">
        <f>EXP(-LN(2)/2)*CM23+(1-EXP(-LN(2)/2))/(LN(2)/2)*CG24*CJ24*VLOOKUP('Données projet'!$B$12,'Paramètres'!$A$1:$I$89,3,0)*0.475*44/12</f>
        <v>0.5220612051</v>
      </c>
      <c r="CN24" s="143">
        <f t="shared" si="13"/>
        <v>1.108702619</v>
      </c>
      <c r="CO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1" t="str">
        <f>VLOOKUP(A24,'Données projet'!$A$139:$I$159,2,0)</f>
        <v>#N/A</v>
      </c>
      <c r="CR24" s="131" t="str">
        <f>VLOOKUP(A24,'Données projet'!$A$139:$I$159,9,0)</f>
        <v>#N/A</v>
      </c>
      <c r="CS24" s="130">
        <f t="array" ref="CS24">INDEX(CR:CR,MIN(IF(ISNUMBER(CR24:CR220),ROW(CR24:CR220),"")))</f>
        <v>1.2</v>
      </c>
      <c r="CT24" s="131">
        <f>IF('Données projet'!$A$140&gt;35,CT23+CS24-DB23,IF(A24&lt;'Données projet'!$A$140,$CQ$205^A24,IF(A24='Données projet'!$A$140,'Données projet'!$B$140,CT23+CS24-DB23)))</f>
        <v>17.40932184</v>
      </c>
      <c r="CU24" s="138">
        <f>CT24*VLOOKUP('Données projet'!$B$13,'Paramètres'!$A$1:$I$89,3,0)*VLOOKUP('Données projet'!$B$13,'Paramètres'!$A$1:$I$89,5,0)</f>
        <v>17.65305234</v>
      </c>
      <c r="CV24" s="130">
        <f t="shared" si="42"/>
        <v>5.824277354</v>
      </c>
      <c r="CW24" s="141">
        <f t="shared" si="14"/>
        <v>40.88968256</v>
      </c>
      <c r="CX24" s="133">
        <f t="shared" si="15"/>
        <v>334.2230159</v>
      </c>
      <c r="CY24" s="133">
        <f>AVERAGE(OFFSET($CX$3,0,0,'Données projet'!$E$13+1,1))-AVERAGE(OFFSET($H$3,0,0,'Données projet'!$E$13+1,1))</f>
        <v>223.783507</v>
      </c>
      <c r="CZ24" s="133">
        <f t="shared" si="43"/>
        <v>84.92349117</v>
      </c>
      <c r="DA24" s="134">
        <f>IF(ISNA(VLOOKUP(A24,'Données projet'!$A$139:$I$159,3,0)),0,VLOOKUP(A24,'Données projet'!$A$139:$I$159,3,0))</f>
        <v>0</v>
      </c>
      <c r="DB24" s="134">
        <f>IF(ISNA(VLOOKUP(A24,'Données projet'!$A$139:$I$159,4,0)),0,VLOOKUP(A24,'Données projet'!$A$139:$I$159,4,0))</f>
        <v>0</v>
      </c>
      <c r="DC24" s="135">
        <f>IF(ISNA(VLOOKUP(A24,'Données projet'!$A$139:$I$159,5,0)),0%,VLOOKUP(A24,'Données projet'!$A$139:$I$159,5,0)*VLOOKUP('Données projet'!$B$13,'Paramètres'!$A$1:$I$89,7,0))</f>
        <v>0</v>
      </c>
      <c r="DD24" s="135">
        <f>IF(ISNA(VLOOKUP(A24,'Données projet'!$A$139:$I$159,6,0)),0%,VLOOKUP(A24,'Données projet'!$A$139:$I$159,6,0)*VLOOKUP('Données projet'!$B$13,'Paramètres'!$A$1:$I$89,7,0))</f>
        <v>0</v>
      </c>
      <c r="DE24" s="135">
        <f>IF(ISNA(VLOOKUP(A24,'Données projet'!$A$139:$I$159,7,0)),0%,VLOOKUP(A24,'Données projet'!$A$139:$I$159,7,0))</f>
        <v>0</v>
      </c>
      <c r="DF24" s="142">
        <f>EXP(-LN(2)/35)*DF23+(1-EXP(-LN(2)/35))/(LN(2)/35)*DB24*DC24*VLOOKUP('Données projet'!$B$13,'Paramètres'!$A$1:$I$89,3,0)*0.475*44/12</f>
        <v>0</v>
      </c>
      <c r="DG24" s="142">
        <f>EXP(-LN(2)/25)*DG23+(1-EXP(-LN(2)/25))/(LN(2)/25)*Calculateur!DB24*Calculateur!DD24*VLOOKUP('Données projet'!$B$13,'Paramètres'!$A$1:$I$89,3,0)*0.475*44/12</f>
        <v>0</v>
      </c>
      <c r="DH24" s="142">
        <f>EXP(-LN(2)/2)*DH23+(1-EXP(-LN(2)/2))/(LN(2)/2)*DB24*DE24*VLOOKUP('Données projet'!$B$13,'Paramètres'!$A$1:$I$89,3,0)*0.475*44/12</f>
        <v>0</v>
      </c>
      <c r="DI24" s="143">
        <f t="shared" si="16"/>
        <v>0</v>
      </c>
      <c r="DJ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1" t="str">
        <f>VLOOKUP(A24,'Données projet'!$A$165:$I$185,2,0)</f>
        <v>#N/A</v>
      </c>
      <c r="DM24" s="131" t="str">
        <f>VLOOKUP(A24,'Données projet'!$A$165:$I$185,9,0)</f>
        <v>#N/A</v>
      </c>
      <c r="DN24" s="131">
        <f t="array" ref="DN24">INDEX(DM:DM,MIN(IF(ISNUMBER(DM24:DM220),ROW(DM24:DM220),"")))</f>
        <v>5.6</v>
      </c>
      <c r="DO24" s="138">
        <f>IF('Données projet'!$A$166&gt;35,DO23+DN24-DW23,IF(A24&lt;'Données projet'!$A$166,$DL$205^A24,IF(A24='Données projet'!$A$166,'Données projet'!$B$166,DO23+DN24-DW23)))</f>
        <v>47.6</v>
      </c>
      <c r="DP24" s="138">
        <f>DO24*VLOOKUP('Données projet'!$B$14,'Paramètres'!$A$1:$I$89,3,0)*VLOOKUP('Données projet'!$B$14,'Paramètres'!$A$1:$I$89,5,0)</f>
        <v>43.06848</v>
      </c>
      <c r="DQ24" s="130">
        <f t="shared" si="44"/>
        <v>12.80841642</v>
      </c>
      <c r="DR24" s="141">
        <f t="shared" si="17"/>
        <v>97.31892792</v>
      </c>
      <c r="DS24" s="133">
        <f t="shared" si="18"/>
        <v>390.6522613</v>
      </c>
      <c r="DT24" s="133">
        <f>AVERAGE(OFFSET($DS$3,0,0,'Données projet'!$E$14+1,1))-AVERAGE(OFFSET($H$3,0,0,'Données projet'!$E$14+1,1))</f>
        <v>287.9334714</v>
      </c>
      <c r="DU24" s="133">
        <f t="shared" si="45"/>
        <v>156.6796502</v>
      </c>
      <c r="DV24" s="134">
        <f>IF(ISNA(VLOOKUP(A24,'Données projet'!$A$165:$I$185,3,0)),0,VLOOKUP(A24,'Données projet'!$A$165:$I$185,3,0))</f>
        <v>0</v>
      </c>
      <c r="DW24" s="134">
        <f>IF(ISNA(VLOOKUP(A24,'Données projet'!$A$165:$I$185,4,0)),0,VLOOKUP(A24,'Données projet'!$A$165:$I$185,4,0))</f>
        <v>0</v>
      </c>
      <c r="DX24" s="135">
        <f>IF(ISNA(VLOOKUP(A24,'Données projet'!$A$165:$I$185,5,0)),0%,VLOOKUP(A24,'Données projet'!$A$165:$I$185,5,0)*VLOOKUP('Données projet'!$B$14,'Paramètres'!$A$1:$I$89,7,0))</f>
        <v>0</v>
      </c>
      <c r="DY24" s="135">
        <f>IF(ISNA(VLOOKUP(A24,'Données projet'!$A$165:$I$185,6,0)),0%,VLOOKUP(A24,'Données projet'!$A$165:$I$185,6,0)*VLOOKUP('Données projet'!$B$14,'Paramètres'!$A$1:$I$89,7,0))</f>
        <v>0</v>
      </c>
      <c r="DZ24" s="135">
        <f>IF(ISNA(VLOOKUP(A24,'Données projet'!$A$165:$I$185,7,0)),0%,VLOOKUP(A24,'Données projet'!$A$165:$I$185,7,0))</f>
        <v>0</v>
      </c>
      <c r="EA24" s="142">
        <f>EXP(-LN(2)/35)*EA23+(1-EXP(-LN(2)/35))/(LN(2)/35)*DW24*DX24*VLOOKUP('Données projet'!$B$14,'Paramètres'!$A$1:$I$89,3,0)*0.475*44/12</f>
        <v>0</v>
      </c>
      <c r="EB24" s="142">
        <f>EXP(-LN(2)/25)*EB23+(1-EXP(-LN(2)/25))/(LN(2)/25)*Calculateur!DW24*Calculateur!DY24*VLOOKUP('Données projet'!$B$14,'Paramètres'!$A$1:$I$89,3,0)*0.475*44/12</f>
        <v>0</v>
      </c>
      <c r="EC24" s="142">
        <f>EXP(-LN(2)/2)*EC23+(1-EXP(-LN(2)/2))/(LN(2)/2)*DW24*DZ24*VLOOKUP('Données projet'!$B$14,'Paramètres'!$A$1:$I$89,3,0)*0.475*44/12</f>
        <v>0</v>
      </c>
      <c r="ED24" s="143">
        <f t="shared" si="19"/>
        <v>0</v>
      </c>
      <c r="EE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1" t="str">
        <f>VLOOKUP(A24,'Données projet'!$A$191:$I$211,2,0)</f>
        <v>#N/A</v>
      </c>
      <c r="EH24" s="131" t="str">
        <f>VLOOKUP(A24,'Données projet'!$A$191:$I$211,9,0)</f>
        <v>#N/A</v>
      </c>
      <c r="EI24" s="131">
        <f t="array" ref="EI24">INDEX(EH:EH,MIN(IF(ISNUMBER(EH24:EH220),ROW(EH24:EH220),"")))</f>
        <v>1.6</v>
      </c>
      <c r="EJ24" s="131">
        <f>IF('Données projet'!$A$192&gt;35,EJ23+EI24-ER23,IF(A24&lt;'Données projet'!$A$192,$EG$205^A24,IF(A24='Données projet'!$A$192,'Données projet'!$B$192,EJ23+EI24-ER23)))</f>
        <v>22.16819805</v>
      </c>
      <c r="EK24" s="138">
        <f>EJ24*VLOOKUP('Données projet'!$B$15,'Paramètres'!$A$1:$I$89,3,0)*VLOOKUP('Données projet'!$B$15,'Paramètres'!$A$1:$I$89,5,0)</f>
        <v>16.25372281</v>
      </c>
      <c r="EL24" s="130">
        <f t="shared" si="46"/>
        <v>5.414395826</v>
      </c>
      <c r="EM24" s="141">
        <f t="shared" si="20"/>
        <v>37.73863996</v>
      </c>
      <c r="EN24" s="133">
        <f t="shared" si="21"/>
        <v>331.0719733</v>
      </c>
      <c r="EO24" s="133">
        <f>AVERAGE(OFFSET($EN$3,0,0,'Données projet'!$E$15+1,1))-AVERAGE(OFFSET($H$3,0,0,'Données projet'!$E$15+1,1))</f>
        <v>130.3193339</v>
      </c>
      <c r="EP24" s="133">
        <f t="shared" si="47"/>
        <v>82.22784365</v>
      </c>
      <c r="EQ24" s="134">
        <f>IF(ISNA(VLOOKUP(A24,'Données projet'!$A$191:$I$211,3,0)),0,VLOOKUP(A24,'Données projet'!$A$191:$I$211,3,0))</f>
        <v>0</v>
      </c>
      <c r="ER24" s="134">
        <f>IF(ISNA(VLOOKUP(A24,'Données projet'!$A$191:$I$211,4,0)),0,VLOOKUP(A24,'Données projet'!$A$191:$I$211,4,0))</f>
        <v>0</v>
      </c>
      <c r="ES24" s="135">
        <f>IF(ISNA(VLOOKUP(A24,'Données projet'!$A$191:$I$211,5,0)),0%,VLOOKUP(A24,'Données projet'!$A$191:$I$211,5,0)*VLOOKUP('Données projet'!$B$15,'Paramètres'!$A$1:$I$89,7,0))</f>
        <v>0</v>
      </c>
      <c r="ET24" s="135">
        <f>IF(ISNA(VLOOKUP(A24,'Données projet'!$A$191:$I$211,6,0)),0%,VLOOKUP(A24,'Données projet'!$A$191:$I$211,6,0)*VLOOKUP('Données projet'!$B$15,'Paramètres'!$A$1:$I$89,7,0))</f>
        <v>0</v>
      </c>
      <c r="EU24" s="135">
        <f>IF(ISNA(VLOOKUP(A24,'Données projet'!$A$191:$I$211,7,0)),0%,VLOOKUP(A24,'Données projet'!$A$191:$I$211,7,0))</f>
        <v>0</v>
      </c>
      <c r="EV24" s="142">
        <f>EXP(-LN(2)/35)*EV23+(1-EXP(-LN(2)/35))/(LN(2)/35)*ER24*ES24*VLOOKUP('Données projet'!$B$15,'Paramètres'!$A$1:$I$89,3,0)*0.475*44/12</f>
        <v>0</v>
      </c>
      <c r="EW24" s="142">
        <f>EXP(-LN(2)/25)*EW23+(1-EXP(-LN(2)/25))/(LN(2)/25)*Calculateur!ER24*Calculateur!ET24*VLOOKUP('Données projet'!$B$15,'Paramètres'!$A$1:$I$89,3,0)*0.475*44/12</f>
        <v>0</v>
      </c>
      <c r="EX24" s="142">
        <f>EXP(-LN(2)/2)*EX23+(1-EXP(-LN(2)/2))/(LN(2)/2)*ER24*EU24*VLOOKUP('Données projet'!$B$15,'Paramètres'!$A$1:$I$89,3,0)*0.475*44/12</f>
        <v>0</v>
      </c>
      <c r="EY24" s="143">
        <f t="shared" si="22"/>
        <v>0</v>
      </c>
      <c r="EZ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1" t="str">
        <f>VLOOKUP(A24,'Données projet'!$A$217:$I$237,2,0)</f>
        <v>#N/A</v>
      </c>
      <c r="FC24" s="131" t="str">
        <f>VLOOKUP(A24,'Données projet'!$A$217:$I$237,9,0)</f>
        <v>#N/A</v>
      </c>
      <c r="FD24" s="130">
        <f t="array" ref="FD24">INDEX(FC:FC,MIN(IF(ISNUMBER(FC24:FC220),ROW(FC24:FC220),"")))</f>
        <v>10.2</v>
      </c>
      <c r="FE24" s="130">
        <f>IF('Données projet'!$A$218&gt;35,FE23+FD24-FM23,IF(A24&lt;'Données projet'!$A$218,$FB$205^A24,IF(A24='Données projet'!$A$218,'Données projet'!$B$218,FE23+FD24-FM23)))</f>
        <v>124.2</v>
      </c>
      <c r="FF24" s="138">
        <f>FE24*VLOOKUP('Données projet'!$B$16,'Paramètres'!$A$1:$I$89,3,0)*VLOOKUP('Données projet'!$B$16,'Paramètres'!$A$1:$I$89,5,0)</f>
        <v>112.37616</v>
      </c>
      <c r="FG24" s="130">
        <f t="shared" si="48"/>
        <v>29.89012816</v>
      </c>
      <c r="FH24" s="141">
        <f t="shared" si="23"/>
        <v>247.7804519</v>
      </c>
      <c r="FI24" s="133">
        <f t="shared" si="24"/>
        <v>541.1137852</v>
      </c>
      <c r="FJ24" s="133">
        <f>AVERAGE(OFFSET($FI$3,0,0,'Données projet'!$E$16+1,1))-AVERAGE(OFFSET($H$3,0,0,'Données projet'!$E$16+1,1))</f>
        <v>305.6252353</v>
      </c>
      <c r="FK24" s="133">
        <f t="shared" si="49"/>
        <v>331.397916</v>
      </c>
      <c r="FL24" s="134">
        <f>IF(ISNA(VLOOKUP(A24,'Données projet'!$A$217:$I$237,3,0)),0,VLOOKUP(A24,'Données projet'!$A$217:$I$237,3,0))</f>
        <v>0</v>
      </c>
      <c r="FM24" s="134">
        <f>IF(ISNA(VLOOKUP(A24,'Données projet'!$A$217:$I$237,4,0)),0,VLOOKUP(A24,'Données projet'!$A$217:$I$237,4,0))</f>
        <v>0</v>
      </c>
      <c r="FN24" s="135">
        <f>IF(ISNA(VLOOKUP(A24,'Données projet'!$A$217:$I$237,5,0)),0%,VLOOKUP(A24,'Données projet'!$A$217:$I$237,5,0)*VLOOKUP('Données projet'!$B$16,'Paramètres'!$A$1:$I$89,7,0))</f>
        <v>0</v>
      </c>
      <c r="FO24" s="135">
        <f>IF(ISNA(VLOOKUP(A24,'Données projet'!$A$217:$I$237,6,0)),0%,VLOOKUP(A24,'Données projet'!$A$217:$I$237,6,0)*VLOOKUP('Données projet'!$B$16,'Paramètres'!$A$1:$I$89,7,0))</f>
        <v>0</v>
      </c>
      <c r="FP24" s="135">
        <f>IF(ISNA(VLOOKUP(A24,'Données projet'!$A$217:$I$237,7,0)),0%,VLOOKUP(A24,'Données projet'!$A$217:$I$237,7,0))</f>
        <v>0</v>
      </c>
      <c r="FQ24" s="142">
        <f>EXP(-LN(2)/35)*FQ23+(1-EXP(-LN(2)/35))/(LN(2)/35)*FM24*FN24*VLOOKUP('Données projet'!$B$16,'Paramètres'!$A$1:$I$89,3,0)*0.475*44/12</f>
        <v>0</v>
      </c>
      <c r="FR24" s="142">
        <f>EXP(-LN(2)/25)*FR23+(1-EXP(-LN(2)/25))/(LN(2)/25)*Calculateur!FM24*Calculateur!FO24*VLOOKUP('Données projet'!$B$16,'Paramètres'!$A$1:$I$89,3,0)*0.475*44/12</f>
        <v>0</v>
      </c>
      <c r="FS24" s="142">
        <f>EXP(-LN(2)/2)*FS23+(1-EXP(-LN(2)/2))/(LN(2)/2)*FM24*FP24*VLOOKUP('Données projet'!$B$16,'Paramètres'!$A$1:$I$89,3,0)*0.475*44/12</f>
        <v>0</v>
      </c>
      <c r="FT24" s="143">
        <f t="shared" si="25"/>
        <v>0</v>
      </c>
      <c r="FU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1" t="str">
        <f>VLOOKUP(A24,'Données projet'!$A$243:$I$263,2,0)</f>
        <v>#N/A</v>
      </c>
      <c r="FX24" s="131" t="str">
        <f>VLOOKUP(A24,'Données projet'!$A$243:$I$263,9,0)</f>
        <v>#N/A</v>
      </c>
      <c r="FY24" s="130">
        <f t="array" ref="FY24">INDEX(FX:FX,MIN(IF(ISNUMBER(FX24:FX220),ROW(FX24:FX220),"")))</f>
        <v>8.8</v>
      </c>
      <c r="FZ24" s="138">
        <f>IF('Données projet'!$A$244&gt;35,FZ23+FY24-GH23,IF(A24&lt;'Données projet'!$A$244,$FW$205^A24,IF(A24='Données projet'!$A$244,'Données projet'!$B$244,FZ23+FY24-GH23)))</f>
        <v>40.8</v>
      </c>
      <c r="GA24" s="138">
        <f>FZ24*VLOOKUP('Données projet'!$B$17,'Paramètres'!$A$1:$I$89,3,0)*VLOOKUP('Données projet'!$B$17,'Paramètres'!$A$1:$I$89,5,0)</f>
        <v>27.36864</v>
      </c>
      <c r="GB24" s="130">
        <f t="shared" si="50"/>
        <v>8.580429107</v>
      </c>
      <c r="GC24" s="141">
        <f t="shared" si="26"/>
        <v>62.61129536</v>
      </c>
      <c r="GD24" s="133">
        <f t="shared" si="27"/>
        <v>355.9446287</v>
      </c>
      <c r="GE24" s="133">
        <f>AVERAGE(OFFSET($GD$3,0,0,'Données projet'!$E$17+1,1))-AVERAGE(OFFSET($H$3,0,0,'Données projet'!$E$17+1,1))</f>
        <v>118.7368745</v>
      </c>
      <c r="GF24" s="133">
        <f t="shared" si="51"/>
        <v>135.1233677</v>
      </c>
      <c r="GG24" s="134">
        <f>IF(ISNA(VLOOKUP(A24,'Données projet'!$A$243:$I$263,3,0)),0,VLOOKUP(A24,'Données projet'!$A$243:$I$263,3,0))</f>
        <v>0</v>
      </c>
      <c r="GH24" s="134">
        <f>IF(ISNA(VLOOKUP(A24,'Données projet'!$A$243:$I$263,4,0)),0,VLOOKUP(A24,'Données projet'!$A$243:$I$263,4,0))</f>
        <v>0</v>
      </c>
      <c r="GI24" s="135">
        <f>IF(ISNA(VLOOKUP(A24,'Données projet'!$A$243:$I$263,5,0)),0%,VLOOKUP(A24,'Données projet'!$A$243:$I$263,5,0)*VLOOKUP('Données projet'!$B$17,'Paramètres'!$A$1:$I$89,7,0))</f>
        <v>0</v>
      </c>
      <c r="GJ24" s="135">
        <f>IF(ISNA(VLOOKUP(A24,'Données projet'!$A$243:$I$263,6,0)),0%,VLOOKUP(A24,'Données projet'!$A$243:$I$263,6,0)*VLOOKUP('Données projet'!$B$17,'Paramètres'!$A$1:$I$89,7,0))</f>
        <v>0</v>
      </c>
      <c r="GK24" s="135">
        <f>IF(ISNA(VLOOKUP(A24,'Données projet'!$A$243:$I$263,7,0)),0%,VLOOKUP(A24,'Données projet'!$A$243:$I$263,7,0))</f>
        <v>0</v>
      </c>
      <c r="GL24" s="142">
        <f>EXP(-LN(2)/35)*GL23+(1-EXP(-LN(2)/35))/(LN(2)/35)*GH24*GI24*VLOOKUP('Données projet'!$B$17,'Paramètres'!$A$1:$I$89,3,0)*0.475*44/12</f>
        <v>0</v>
      </c>
      <c r="GM24" s="142">
        <f>EXP(-LN(2)/25)*GM23+(1-EXP(-LN(2)/25))/(LN(2)/25)*Calculateur!GH24*Calculateur!GJ24*VLOOKUP('Données projet'!$B$17,'Paramètres'!$A$1:$I$89,3,0)*0.475*44/12</f>
        <v>0</v>
      </c>
      <c r="GN24" s="142">
        <f>EXP(-LN(2)/2)*GN23+(1-EXP(-LN(2)/2))/(LN(2)/2)*GH24*GK24*VLOOKUP('Données projet'!$B$17,'Paramètres'!$A$1:$I$89,3,0)*0.475*44/12</f>
        <v>0</v>
      </c>
      <c r="GO24" s="142">
        <f t="shared" si="28"/>
        <v>0</v>
      </c>
      <c r="GP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1" t="str">
        <f>VLOOKUP(A24,'Données projet'!$A$269:$I$289,2,0)</f>
        <v>#N/A</v>
      </c>
      <c r="GS24" s="131" t="str">
        <f>VLOOKUP(A24,'Données projet'!$A$269:$I$289,9,0)</f>
        <v>#N/A</v>
      </c>
      <c r="GT24" s="130">
        <f t="array" ref="GT24">INDEX(GS:GS,MIN(IF(ISNUMBER(GS24:GS220),ROW(GS24:GS220),"")))</f>
        <v>1.2</v>
      </c>
      <c r="GU24" s="131">
        <f>IF('Données projet'!$A$270&gt;35,GU23+GT24-HC23,IF(A24&lt;'Données projet'!$A$270,$GR$205^A24,IF(A24='Données projet'!$A$270,'Données projet'!$B$270,GU23+GT24-HC23)))</f>
        <v>17.40932184</v>
      </c>
      <c r="GV24" s="138">
        <f>GU24*VLOOKUP('Données projet'!$B$18,'Paramètres'!$A$1:$I$89,3,0)*VLOOKUP('Données projet'!$B$18,'Paramètres'!$A$1:$I$89,5,0)</f>
        <v>18.73939403</v>
      </c>
      <c r="GW24" s="130">
        <f t="shared" si="52"/>
        <v>6.139865573</v>
      </c>
      <c r="GX24" s="141">
        <f t="shared" si="29"/>
        <v>43.33137714</v>
      </c>
      <c r="GY24" s="133">
        <f t="shared" si="30"/>
        <v>336.6647105</v>
      </c>
      <c r="GZ24" s="133">
        <f>AVERAGE(OFFSET($GY$3,0,0,'Données projet'!$E$18+1,1))-AVERAGE(OFFSET($H$3,0,0,'Données projet'!$E$18+1,1))</f>
        <v>100.5427875</v>
      </c>
      <c r="HA24" s="133">
        <f t="shared" si="53"/>
        <v>92.28663609</v>
      </c>
      <c r="HB24" s="134">
        <f>IF(ISNA(VLOOKUP(A24,'Données projet'!$A$269:$I$289,3,0)),0,VLOOKUP(A24,'Données projet'!$A$269:$I$289,3,0))</f>
        <v>0</v>
      </c>
      <c r="HC24" s="134">
        <f>IF(ISNA(VLOOKUP(A24,'Données projet'!$A$269:$I$289,4,0)),0,VLOOKUP(A24,'Données projet'!$A$269:$I$289,4,0))</f>
        <v>0</v>
      </c>
      <c r="HD24" s="135">
        <f>IF(ISNA(VLOOKUP(A24,'Données projet'!$A$269:$I$289,5,0)),0%,VLOOKUP(A24,'Données projet'!$A$269:$I$289,5,0)*VLOOKUP('Données projet'!$B$18,'Paramètres'!$A$1:$I$89,7,0))</f>
        <v>0</v>
      </c>
      <c r="HE24" s="135">
        <f>IF(ISNA(VLOOKUP(A24,'Données projet'!$A$269:$I$289,6,0)),0%,VLOOKUP(A24,'Données projet'!$A$269:$I$289,6,0)*VLOOKUP('Données projet'!$B$18,'Paramètres'!$A$1:$I$89,7,0))</f>
        <v>0</v>
      </c>
      <c r="HF24" s="135">
        <f>IF(ISNA(VLOOKUP(A24,'Données projet'!$A$269:$I$289,7,0)),0%,VLOOKUP(A24,'Données projet'!$A$269:$I$289,7,0))</f>
        <v>0</v>
      </c>
      <c r="HG24" s="142">
        <f>EXP(-LN(2)/35)*HG23+(1-EXP(-LN(2)/35))/(LN(2)/35)*HC24*HD24*VLOOKUP('Données projet'!$B$18,'Paramètres'!$A$1:$I$89,3,0)*0.475*44/12</f>
        <v>0</v>
      </c>
      <c r="HH24" s="142">
        <f>EXP(-LN(2)/25)*HH23+(1-EXP(-LN(2)/25))/(LN(2)/25)*Calculateur!HC24*Calculateur!HE24*VLOOKUP('Données projet'!$B$18,'Paramètres'!$A$1:$I$89,3,0)*0.475*44/12</f>
        <v>0</v>
      </c>
      <c r="HI24" s="142">
        <f>EXP(-LN(2)/2)*HI23+(1-EXP(-LN(2)/2))/(LN(2)/2)*HC24*HF24*VLOOKUP('Données projet'!$B$18,'Paramètres'!$A$1:$I$89,3,0)*0.475*44/12</f>
        <v>0</v>
      </c>
      <c r="HJ24" s="143">
        <f t="shared" si="31"/>
        <v>0</v>
      </c>
    </row>
    <row r="25" ht="15.75" customHeight="1">
      <c r="A25" s="125">
        <f t="shared" si="32"/>
        <v>22</v>
      </c>
      <c r="B25" s="126">
        <f>'Scénario référence'!$B$16*5+'Scénario référence'!$B$17*0+'Scénario référence'!$B$18*5</f>
        <v>0</v>
      </c>
      <c r="C25" s="140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12.012</v>
      </c>
      <c r="D25" s="127">
        <f t="shared" si="33"/>
        <v>4.144767413</v>
      </c>
      <c r="E2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7">
        <f>IF(OR('Scénario référence'!$F$8&gt;0,'Scénario référence'!$F$9&gt;0),('Scénario référence'!$F$8+'Scénario référence'!$F$9)*10,0)</f>
        <v>10</v>
      </c>
      <c r="G25" s="127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</v>
      </c>
      <c r="H25" s="128">
        <f t="shared" si="1"/>
        <v>321.4730366</v>
      </c>
      <c r="I25" s="12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1" t="str">
        <f>VLOOKUP(A25,'Données projet'!$A$35:$I$55,2,0)</f>
        <v>#N/A</v>
      </c>
      <c r="L25" s="131" t="str">
        <f>VLOOKUP(A25,'Données projet'!$A$35:$I$55,9,0)</f>
        <v>#N/A</v>
      </c>
      <c r="M25" s="131">
        <f t="array" ref="M25">INDEX(L:L,MIN(IF(ISNUMBER(L25:L221),ROW(L25:L221),"")))</f>
        <v>3.92</v>
      </c>
      <c r="N25" s="130">
        <f>IF('Données projet'!$A$36&gt;35,N24+M25-V24,IF(A25&lt;'Données projet'!$A$36,$K$205^A25,IF(A25='Données projet'!$A$36,'Données projet'!$B$36,N24+M25-V24)))</f>
        <v>56.52999494</v>
      </c>
      <c r="O25" s="130">
        <f>N25*VLOOKUP('Données projet'!$B$9,'Paramètres'!$A$1:$I$89,3,0)*VLOOKUP('Données projet'!$B$9,'Paramètres'!$A$1:$I$89,5,0)</f>
        <v>32.33515711</v>
      </c>
      <c r="P25" s="130">
        <f t="shared" si="34"/>
        <v>9.942620729</v>
      </c>
      <c r="Q25" s="141">
        <f t="shared" si="2"/>
        <v>73.6337964</v>
      </c>
      <c r="R25" s="133">
        <f t="shared" si="3"/>
        <v>366.9671297</v>
      </c>
      <c r="S25" s="133">
        <f>AVERAGE(OFFSET($R$3,0,0,'Données projet'!$E$9+1,1))-AVERAGE(OFFSET($H$3,0,0,'Données projet'!$E$9+1,1))</f>
        <v>126.9946492</v>
      </c>
      <c r="T25" s="133">
        <f t="shared" si="35"/>
        <v>140.039049</v>
      </c>
      <c r="U25" s="134">
        <f>IF(ISNA(VLOOKUP(A25,'Données projet'!$A$35:$I$55,3,0)),0,VLOOKUP(A25,'Données projet'!$A$35:$I$55,3,0))</f>
        <v>0</v>
      </c>
      <c r="V25" s="134">
        <f>IF(ISNA(VLOOKUP(A25,'Données projet'!$A$35:$I$55,4,0)),0,VLOOKUP(A25,'Données projet'!$A$35:$I$55,4,0))</f>
        <v>0</v>
      </c>
      <c r="W25" s="135">
        <f>IF(ISNA(VLOOKUP(A25,'Données projet'!$A$35:$I$55,5,0)),0%,VLOOKUP(A25,'Données projet'!$A$35:$I$55,5,0)*VLOOKUP('Données projet'!$B$9,'Paramètres'!$A$1:$I$89,7,0))</f>
        <v>0</v>
      </c>
      <c r="X25" s="135">
        <f>IF(ISNA(VLOOKUP(A25,'Données projet'!$A$35:$I$55,6,0)),0%,VLOOKUP(A25,'Données projet'!$A$35:$I$55,6,0)*VLOOKUP('Données projet'!$B$9,'Paramètres'!$A$1:$I$89,7,0))</f>
        <v>0</v>
      </c>
      <c r="Y25" s="135">
        <f>IF(ISNA(VLOOKUP(A25,'Données projet'!$A$35:$I$55,7,0)),0%,VLOOKUP(A25,'Données projet'!$A$35:$I$55,7,0))</f>
        <v>0</v>
      </c>
      <c r="Z25" s="142">
        <f>EXP(-LN(2)/35)*Z24+(1-EXP(-LN(2)/35))/(LN(2)/35)*V25*W25*VLOOKUP('Données projet'!$B$9,'Paramètres'!$A$1:$I$89,3,0)*0.475*44/12</f>
        <v>0</v>
      </c>
      <c r="AA25" s="142">
        <f>EXP(-LN(2)/25)*AA24+(1-EXP(-LN(2)/25))/(LN(2)/25)*Calculateur!V25*Calculateur!X25*VLOOKUP('Données projet'!$B$9,'Paramètres'!$A$1:$I$89,3,0)*0.475*44/12</f>
        <v>0</v>
      </c>
      <c r="AB25" s="142">
        <f>EXP(-LN(2)/2)*AB24+(1-EXP(-LN(2)/2))/(LN(2)/2)*V25*Y25*VLOOKUP('Données projet'!$B$9,'Paramètres'!$A$1:$I$89,3,0)*0.475*44/12</f>
        <v>0</v>
      </c>
      <c r="AC25" s="143">
        <f t="shared" si="4"/>
        <v>0</v>
      </c>
      <c r="AD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0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1">
        <f>VLOOKUP(A25,'Données projet'!$A$61:$I$81,2,0)</f>
        <v>123</v>
      </c>
      <c r="AG25" s="130">
        <f>VLOOKUP(A25,'Données projet'!$A$61:$I$81,9,0)</f>
        <v>5.590909091</v>
      </c>
      <c r="AH25" s="130">
        <f t="array" ref="AH25">INDEX(AG:AG,MIN(IF(ISNUMBER(AG25:AG221),ROW(AG25:AG221),"")))</f>
        <v>5.590909091</v>
      </c>
      <c r="AI25" s="130">
        <f>IF('Données projet'!$A$62&gt;35,AI24+AH25-AQ24,IF(A25&lt;'Données projet'!$A$62,$AF$205^A25,IF(A25='Données projet'!$A$62,'Données projet'!$B$62,AI24+AH25-AQ24)))</f>
        <v>123</v>
      </c>
      <c r="AJ25" s="130">
        <f>AI25*VLOOKUP('Données projet'!$B$10,'Paramètres'!$A$1:$I$89,3,0)*VLOOKUP('Données projet'!$B$10,'Paramètres'!$A$1:$I$89,5,0)</f>
        <v>73.554</v>
      </c>
      <c r="AK25" s="130">
        <f t="shared" si="36"/>
        <v>20.55348108</v>
      </c>
      <c r="AL25" s="141">
        <f t="shared" si="5"/>
        <v>163.9038629</v>
      </c>
      <c r="AM25" s="133">
        <f t="shared" si="6"/>
        <v>457.2371962</v>
      </c>
      <c r="AN25" s="133">
        <f>AVERAGE(OFFSET($AM$3,0,0,'Données projet'!$E$10+1,1))-AVERAGE(OFFSET($H$3,0,0,'Données projet'!$E$10+1,1))</f>
        <v>196.874484</v>
      </c>
      <c r="AO25" s="133">
        <f t="shared" si="37"/>
        <v>217.5750859</v>
      </c>
      <c r="AP25" s="134">
        <f>IF(ISNA(VLOOKUP(A25,'Données projet'!$A$61:$I$81,3,0)),0,VLOOKUP(A25,'Données projet'!$A$61:$I$81,3,0))</f>
        <v>1</v>
      </c>
      <c r="AQ25" s="145">
        <f>IF(ISNA(VLOOKUP(A25,'Données projet'!$A$61:$I$81,4,0)),0,VLOOKUP(A25,'Données projet'!$A$61:$I$81,4,0))</f>
        <v>16</v>
      </c>
      <c r="AR25" s="135">
        <f>IF(ISNA(VLOOKUP(A25,'Données projet'!$A$61:$I$81,5,0)),0%,VLOOKUP(A25,'Données projet'!$A$61:$I$81,5,0)*VLOOKUP('Données projet'!$B$10,'Paramètres'!$A$1:$I$89,7,0))</f>
        <v>0</v>
      </c>
      <c r="AS25" s="135">
        <f>IF(ISNA(VLOOKUP(A25,'Données projet'!$A$61:$I$81,6,0)),0%,VLOOKUP(A25,'Données projet'!$A$61:$I$81,6,0)*VLOOKUP('Données projet'!$B$10,'Paramètres'!$A$1:$I$89,7,0))</f>
        <v>0.252</v>
      </c>
      <c r="AT25" s="135">
        <f>IF(ISNA(VLOOKUP(A25,'Données projet'!$A$61:$I$81,7,0)),0%,VLOOKUP(A25,'Données projet'!$A$61:$I$81,7,0))</f>
        <v>0.44</v>
      </c>
      <c r="AU25" s="142">
        <f>EXP(-LN(2)/35)*AU24+(1-EXP(-LN(2)/35))/(LN(2)/35)*AQ25*AR25*VLOOKUP('Données projet'!$B$10,'Paramètres'!$A$1:$I$89,3,0)*0.475*44/12</f>
        <v>0</v>
      </c>
      <c r="AV25" s="142">
        <f>EXP(-LN(2)/25)*AV24+(1-EXP(-LN(2)/25))/(LN(2)/25)*Calculateur!AQ25*Calculateur!AS25*VLOOKUP('Données projet'!$B$10,'Paramètres'!$A$1:$I$89,3,0)*0.475*44/12</f>
        <v>3.185933494</v>
      </c>
      <c r="AW25" s="142">
        <f>EXP(-LN(2)/2)*AW24+(1-EXP(-LN(2)/2))/(LN(2)/2)*AQ25*AT25*VLOOKUP('Données projet'!$B$10,'Paramètres'!$A$1:$I$89,3,0)*0.475*44/12</f>
        <v>4.766607394</v>
      </c>
      <c r="AX25" s="142">
        <f t="shared" si="7"/>
        <v>7.952540888</v>
      </c>
      <c r="AY25" s="13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1" t="str">
        <f>VLOOKUP(A25,'Données projet'!$A$87:$I$107,2,0)</f>
        <v>#N/A</v>
      </c>
      <c r="BB25" s="131" t="str">
        <f>VLOOKUP(A25,'Données projet'!$A$87:$I$107,9,0)</f>
        <v>#N/A</v>
      </c>
      <c r="BC25" s="130">
        <f t="array" ref="BC25">INDEX(BB:BB,MIN(IF(ISNUMBER(BB25:BB221),ROW(BB25:BB221),"")))</f>
        <v>4.666666667</v>
      </c>
      <c r="BD25" s="131">
        <f>IF('Données projet'!$A$88&gt;35,BD24+BC25-BL24,IF(A25&lt;'Données projet'!$A$88,$BA$205^A25,IF(A25='Données projet'!$A$88,'Données projet'!$B$88,BD24+BC25-BL24)))</f>
        <v>37.48238577</v>
      </c>
      <c r="BE25" s="130">
        <f>BD25*VLOOKUP('Données projet'!$B$11,'Paramètres'!$A$1:$I$89,3,0)*VLOOKUP('Données projet'!$B$11,'Paramètres'!$A$1:$I$89,5,0)</f>
        <v>17.54175654</v>
      </c>
      <c r="BF25" s="130">
        <f t="shared" si="38"/>
        <v>5.791819752</v>
      </c>
      <c r="BG25" s="141">
        <f t="shared" si="8"/>
        <v>40.63931205</v>
      </c>
      <c r="BH25" s="133">
        <f t="shared" si="9"/>
        <v>333.9726454</v>
      </c>
      <c r="BI25" s="133">
        <f>AVERAGE(OFFSET($BH$3,0,0,'Données projet'!$E$11+1,1))-AVERAGE(OFFSET($H$3,0,0,'Données projet'!$E$11+1,1))</f>
        <v>134.0948534</v>
      </c>
      <c r="BJ25" s="133">
        <f t="shared" si="39"/>
        <v>108.4102536</v>
      </c>
      <c r="BK25" s="134">
        <f>IF(ISNA(VLOOKUP(A25,'Données projet'!$A$87:$I$107,3,0)),0,VLOOKUP(A25,'Données projet'!$A$87:$I$107,3,0))</f>
        <v>0</v>
      </c>
      <c r="BL25" s="134">
        <f>IF(ISNA(VLOOKUP(A25,'Données projet'!$A$87:$I$107,4,0)),0,VLOOKUP(A25,'Données projet'!$A$87:$I$107,4,0))</f>
        <v>0</v>
      </c>
      <c r="BM25" s="135">
        <f>IF(ISNA(VLOOKUP(A25,'Données projet'!$A$87:$I$107,5,0)),0%,VLOOKUP(A25,'Données projet'!$A$87:$I$107,5,0)*VLOOKUP('Données projet'!$B$11,'Paramètres'!$A$1:$I$89,7,0))</f>
        <v>0</v>
      </c>
      <c r="BN25" s="135">
        <f>IF(ISNA(VLOOKUP(A25,'Données projet'!$A$87:$I$107,6,0)),0%,VLOOKUP(A25,'Données projet'!$A$87:$I$107,6,0)*VLOOKUP('Données projet'!$B$11,'Paramètres'!$A$1:$I$89,7,0))</f>
        <v>0</v>
      </c>
      <c r="BO25" s="135">
        <f>IF(ISNA(VLOOKUP(A25,'Données projet'!$A$87:$I$107,7,0)),0%,VLOOKUP(A25,'Données projet'!$A$87:$I$107,7,0))</f>
        <v>0</v>
      </c>
      <c r="BP25" s="142">
        <f>EXP(-LN(2)/35)*BP24+(1-EXP(-LN(2)/35))/(LN(2)/35)*BL25*BM25*VLOOKUP('Données projet'!$B$11,'Paramètres'!$A$1:$I$89,3,0)*0.475*44/12</f>
        <v>0</v>
      </c>
      <c r="BQ25" s="142">
        <f>EXP(-LN(2)/25)*BQ24+(1-EXP(-LN(2)/25))/(LN(2)/25)*Calculateur!BL25*Calculateur!BN25*VLOOKUP('Données projet'!$B$11,'Paramètres'!$A$1:$I$89,3,0)*0.475*44/12</f>
        <v>0</v>
      </c>
      <c r="BR25" s="142">
        <f>EXP(-LN(2)/2)*BR24+(1-EXP(-LN(2)/2))/(LN(2)/2)*BL25*BO25*VLOOKUP('Données projet'!$B$11,'Paramètres'!$A$1:$I$89,3,0)*0.475*44/12</f>
        <v>0</v>
      </c>
      <c r="BS25" s="143">
        <f t="shared" si="10"/>
        <v>0</v>
      </c>
      <c r="BT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1" t="str">
        <f>VLOOKUP(A25,'Données projet'!$A$113:$I$133,2,0)</f>
        <v>#N/A</v>
      </c>
      <c r="BW25" s="131" t="str">
        <f>VLOOKUP(A25,'Données projet'!$A$113:$I$133,9,0)</f>
        <v>#N/A</v>
      </c>
      <c r="BX25" s="130">
        <f t="array" ref="BX25">INDEX(BW:BW,MIN(IF(ISNUMBER(BW25:BW221),ROW(BW25:BW221),"")))</f>
        <v>24</v>
      </c>
      <c r="BY25" s="130">
        <f>IF('Données projet'!$A$114&gt;35,BY24+BX25-CG24,IF(A25&lt;'Données projet'!$A$114,$BV$205^A25,IF(A25='Données projet'!$A$114,'Données projet'!$B$114,BY24+BX25-CG24)))</f>
        <v>173</v>
      </c>
      <c r="BZ25" s="130">
        <f>BY25*VLOOKUP('Données projet'!$B$12,'Paramètres'!$A$1:$I$89,3,0)*VLOOKUP('Données projet'!$B$12,'Paramètres'!$A$1:$I$89,5,0)</f>
        <v>85.462</v>
      </c>
      <c r="CA25" s="130">
        <f t="shared" si="40"/>
        <v>23.46749498</v>
      </c>
      <c r="CB25" s="141">
        <f t="shared" si="11"/>
        <v>189.7188704</v>
      </c>
      <c r="CC25" s="133">
        <f t="shared" si="12"/>
        <v>483.0522038</v>
      </c>
      <c r="CD25" s="133">
        <f>AVERAGE(OFFSET($CC$3,0,0,'Données projet'!$E$12+1,1))-AVERAGE(OFFSET($H$3,0,0,'Données projet'!$E$12+1,1))</f>
        <v>258.1672054</v>
      </c>
      <c r="CE25" s="133">
        <f t="shared" si="41"/>
        <v>296.0724261</v>
      </c>
      <c r="CF25" s="134">
        <f>IF(ISNA(VLOOKUP(A25,'Données projet'!$A$113:$I$133,3,0)),0,VLOOKUP(A25,'Données projet'!$A$113:$I$133,3,0))</f>
        <v>0</v>
      </c>
      <c r="CG25" s="134">
        <f>IF(ISNA(VLOOKUP(A25,'Données projet'!$A$113:$I$133,4,0)),0,VLOOKUP(A25,'Données projet'!$A$113:$I$133,4,0))</f>
        <v>0</v>
      </c>
      <c r="CH25" s="135">
        <f>IF(ISNA(VLOOKUP(A25,'Données projet'!$A$113:$I$133,5,0)),0%,VLOOKUP(A25,'Données projet'!$A$113:$I$133,5,0)*VLOOKUP('Données projet'!$B$12,'Paramètres'!$A$1:$I$89,7,0))</f>
        <v>0</v>
      </c>
      <c r="CI25" s="135">
        <f>IF(ISNA(VLOOKUP(A25,'Données projet'!$A$113:$I$133,6,0)),0%,VLOOKUP(A25,'Données projet'!$A$113:$I$133,6,0)*VLOOKUP('Données projet'!$B$12,'Paramètres'!$A$1:$I$89,7,0))</f>
        <v>0</v>
      </c>
      <c r="CJ25" s="135">
        <f>IF(ISNA(VLOOKUP(A25,'Données projet'!$A$113:$I$133,7,0)),0%,VLOOKUP(A25,'Données projet'!$A$113:$I$133,7,0))</f>
        <v>0</v>
      </c>
      <c r="CK25" s="142">
        <f>EXP(-LN(2)/35)*CK24+(1-EXP(-LN(2)/35))/(LN(2)/35)*CG25*CH25*VLOOKUP('Données projet'!$B$12,'Paramètres'!$A$1:$I$89,3,0)*0.475*44/12</f>
        <v>0</v>
      </c>
      <c r="CL25" s="142">
        <f>EXP(-LN(2)/25)*CL24+(1-EXP(-LN(2)/25))/(LN(2)/25)*Calculateur!CG25*Calculateur!CI25*VLOOKUP('Données projet'!$B$12,'Paramètres'!$A$1:$I$89,3,0)*0.475*44/12</f>
        <v>0.5705996735</v>
      </c>
      <c r="CM25" s="142">
        <f>EXP(-LN(2)/2)*CM24+(1-EXP(-LN(2)/2))/(LN(2)/2)*CG25*CJ25*VLOOKUP('Données projet'!$B$12,'Paramètres'!$A$1:$I$89,3,0)*0.475*44/12</f>
        <v>0.3691530183</v>
      </c>
      <c r="CN25" s="143">
        <f t="shared" si="13"/>
        <v>0.9397526917</v>
      </c>
      <c r="CO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1" t="str">
        <f>VLOOKUP(A25,'Données projet'!$A$139:$I$159,2,0)</f>
        <v>#N/A</v>
      </c>
      <c r="CR25" s="131" t="str">
        <f>VLOOKUP(A25,'Données projet'!$A$139:$I$159,9,0)</f>
        <v>#N/A</v>
      </c>
      <c r="CS25" s="130">
        <f t="array" ref="CS25">INDEX(CR:CR,MIN(IF(ISNUMBER(CR25:CR221),ROW(CR25:CR221),"")))</f>
        <v>1.2</v>
      </c>
      <c r="CT25" s="131">
        <f>IF('Données projet'!$A$140&gt;35,CT24+CS25-DB24,IF(A25&lt;'Données projet'!$A$140,$CQ$205^A25,IF(A25='Données projet'!$A$140,'Données projet'!$B$140,CT24+CS25-DB24)))</f>
        <v>19.94650013</v>
      </c>
      <c r="CU25" s="138">
        <f>CT25*VLOOKUP('Données projet'!$B$13,'Paramètres'!$A$1:$I$89,3,0)*VLOOKUP('Données projet'!$B$13,'Paramètres'!$A$1:$I$89,5,0)</f>
        <v>20.22575113</v>
      </c>
      <c r="CV25" s="130">
        <f t="shared" si="42"/>
        <v>6.568246177</v>
      </c>
      <c r="CW25" s="141">
        <f t="shared" si="14"/>
        <v>46.66621198</v>
      </c>
      <c r="CX25" s="133">
        <f t="shared" si="15"/>
        <v>339.9995453</v>
      </c>
      <c r="CY25" s="133">
        <f>AVERAGE(OFFSET($CX$3,0,0,'Données projet'!$E$13+1,1))-AVERAGE(OFFSET($H$3,0,0,'Données projet'!$E$13+1,1))</f>
        <v>223.783507</v>
      </c>
      <c r="CZ25" s="133">
        <f t="shared" si="43"/>
        <v>84.92349117</v>
      </c>
      <c r="DA25" s="134">
        <f>IF(ISNA(VLOOKUP(A25,'Données projet'!$A$139:$I$159,3,0)),0,VLOOKUP(A25,'Données projet'!$A$139:$I$159,3,0))</f>
        <v>0</v>
      </c>
      <c r="DB25" s="134">
        <f>IF(ISNA(VLOOKUP(A25,'Données projet'!$A$139:$I$159,4,0)),0,VLOOKUP(A25,'Données projet'!$A$139:$I$159,4,0))</f>
        <v>0</v>
      </c>
      <c r="DC25" s="135">
        <f>IF(ISNA(VLOOKUP(A25,'Données projet'!$A$139:$I$159,5,0)),0%,VLOOKUP(A25,'Données projet'!$A$139:$I$159,5,0)*VLOOKUP('Données projet'!$B$13,'Paramètres'!$A$1:$I$89,7,0))</f>
        <v>0</v>
      </c>
      <c r="DD25" s="135">
        <f>IF(ISNA(VLOOKUP(A25,'Données projet'!$A$139:$I$159,6,0)),0%,VLOOKUP(A25,'Données projet'!$A$139:$I$159,6,0)*VLOOKUP('Données projet'!$B$13,'Paramètres'!$A$1:$I$89,7,0))</f>
        <v>0</v>
      </c>
      <c r="DE25" s="135">
        <f>IF(ISNA(VLOOKUP(A25,'Données projet'!$A$139:$I$159,7,0)),0%,VLOOKUP(A25,'Données projet'!$A$139:$I$159,7,0))</f>
        <v>0</v>
      </c>
      <c r="DF25" s="142">
        <f>EXP(-LN(2)/35)*DF24+(1-EXP(-LN(2)/35))/(LN(2)/35)*DB25*DC25*VLOOKUP('Données projet'!$B$13,'Paramètres'!$A$1:$I$89,3,0)*0.475*44/12</f>
        <v>0</v>
      </c>
      <c r="DG25" s="142">
        <f>EXP(-LN(2)/25)*DG24+(1-EXP(-LN(2)/25))/(LN(2)/25)*Calculateur!DB25*Calculateur!DD25*VLOOKUP('Données projet'!$B$13,'Paramètres'!$A$1:$I$89,3,0)*0.475*44/12</f>
        <v>0</v>
      </c>
      <c r="DH25" s="142">
        <f>EXP(-LN(2)/2)*DH24+(1-EXP(-LN(2)/2))/(LN(2)/2)*DB25*DE25*VLOOKUP('Données projet'!$B$13,'Paramètres'!$A$1:$I$89,3,0)*0.475*44/12</f>
        <v>0</v>
      </c>
      <c r="DI25" s="143">
        <f t="shared" si="16"/>
        <v>0</v>
      </c>
      <c r="DJ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1" t="str">
        <f>VLOOKUP(A25,'Données projet'!$A$165:$I$185,2,0)</f>
        <v>#N/A</v>
      </c>
      <c r="DM25" s="131" t="str">
        <f>VLOOKUP(A25,'Données projet'!$A$165:$I$185,9,0)</f>
        <v>#N/A</v>
      </c>
      <c r="DN25" s="131">
        <f t="array" ref="DN25">INDEX(DM:DM,MIN(IF(ISNUMBER(DM25:DM221),ROW(DM25:DM221),"")))</f>
        <v>5.6</v>
      </c>
      <c r="DO25" s="138">
        <f>IF('Données projet'!$A$166&gt;35,DO24+DN25-DW24,IF(A25&lt;'Données projet'!$A$166,$DL$205^A25,IF(A25='Données projet'!$A$166,'Données projet'!$B$166,DO24+DN25-DW24)))</f>
        <v>53.2</v>
      </c>
      <c r="DP25" s="138">
        <f>DO25*VLOOKUP('Données projet'!$B$14,'Paramètres'!$A$1:$I$89,3,0)*VLOOKUP('Données projet'!$B$14,'Paramètres'!$A$1:$I$89,5,0)</f>
        <v>48.13536</v>
      </c>
      <c r="DQ25" s="130">
        <f t="shared" si="44"/>
        <v>14.13114828</v>
      </c>
      <c r="DR25" s="141">
        <f t="shared" si="17"/>
        <v>108.4475019</v>
      </c>
      <c r="DS25" s="133">
        <f t="shared" si="18"/>
        <v>401.7808352</v>
      </c>
      <c r="DT25" s="133">
        <f>AVERAGE(OFFSET($DS$3,0,0,'Données projet'!$E$14+1,1))-AVERAGE(OFFSET($H$3,0,0,'Données projet'!$E$14+1,1))</f>
        <v>287.9334714</v>
      </c>
      <c r="DU25" s="133">
        <f t="shared" si="45"/>
        <v>156.6796502</v>
      </c>
      <c r="DV25" s="134">
        <f>IF(ISNA(VLOOKUP(A25,'Données projet'!$A$165:$I$185,3,0)),0,VLOOKUP(A25,'Données projet'!$A$165:$I$185,3,0))</f>
        <v>0</v>
      </c>
      <c r="DW25" s="134">
        <f>IF(ISNA(VLOOKUP(A25,'Données projet'!$A$165:$I$185,4,0)),0,VLOOKUP(A25,'Données projet'!$A$165:$I$185,4,0))</f>
        <v>0</v>
      </c>
      <c r="DX25" s="135">
        <f>IF(ISNA(VLOOKUP(A25,'Données projet'!$A$165:$I$185,5,0)),0%,VLOOKUP(A25,'Données projet'!$A$165:$I$185,5,0)*VLOOKUP('Données projet'!$B$14,'Paramètres'!$A$1:$I$89,7,0))</f>
        <v>0</v>
      </c>
      <c r="DY25" s="135">
        <f>IF(ISNA(VLOOKUP(A25,'Données projet'!$A$165:$I$185,6,0)),0%,VLOOKUP(A25,'Données projet'!$A$165:$I$185,6,0)*VLOOKUP('Données projet'!$B$14,'Paramètres'!$A$1:$I$89,7,0))</f>
        <v>0</v>
      </c>
      <c r="DZ25" s="135">
        <f>IF(ISNA(VLOOKUP(A25,'Données projet'!$A$165:$I$185,7,0)),0%,VLOOKUP(A25,'Données projet'!$A$165:$I$185,7,0))</f>
        <v>0</v>
      </c>
      <c r="EA25" s="142">
        <f>EXP(-LN(2)/35)*EA24+(1-EXP(-LN(2)/35))/(LN(2)/35)*DW25*DX25*VLOOKUP('Données projet'!$B$14,'Paramètres'!$A$1:$I$89,3,0)*0.475*44/12</f>
        <v>0</v>
      </c>
      <c r="EB25" s="142">
        <f>EXP(-LN(2)/25)*EB24+(1-EXP(-LN(2)/25))/(LN(2)/25)*Calculateur!DW25*Calculateur!DY25*VLOOKUP('Données projet'!$B$14,'Paramètres'!$A$1:$I$89,3,0)*0.475*44/12</f>
        <v>0</v>
      </c>
      <c r="EC25" s="142">
        <f>EXP(-LN(2)/2)*EC24+(1-EXP(-LN(2)/2))/(LN(2)/2)*DW25*DZ25*VLOOKUP('Données projet'!$B$14,'Paramètres'!$A$1:$I$89,3,0)*0.475*44/12</f>
        <v>0</v>
      </c>
      <c r="ED25" s="143">
        <f t="shared" si="19"/>
        <v>0</v>
      </c>
      <c r="EE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1" t="str">
        <f>VLOOKUP(A25,'Données projet'!$A$191:$I$211,2,0)</f>
        <v>#N/A</v>
      </c>
      <c r="EH25" s="131" t="str">
        <f>VLOOKUP(A25,'Données projet'!$A$191:$I$211,9,0)</f>
        <v>#N/A</v>
      </c>
      <c r="EI25" s="131">
        <f t="array" ref="EI25">INDEX(EH:EH,MIN(IF(ISNUMBER(EH25:EH221),ROW(EH25:EH221),"")))</f>
        <v>1.6</v>
      </c>
      <c r="EJ25" s="131">
        <f>IF('Données projet'!$A$192&gt;35,EJ24+EI25-ER24,IF(A25&lt;'Données projet'!$A$192,$EG$205^A25,IF(A25='Données projet'!$A$192,'Données projet'!$B$192,EJ24+EI25-ER24)))</f>
        <v>25.69288023</v>
      </c>
      <c r="EK25" s="138">
        <f>EJ25*VLOOKUP('Données projet'!$B$15,'Paramètres'!$A$1:$I$89,3,0)*VLOOKUP('Données projet'!$B$15,'Paramètres'!$A$1:$I$89,5,0)</f>
        <v>18.83801978</v>
      </c>
      <c r="EL25" s="130">
        <f t="shared" si="46"/>
        <v>6.168409688</v>
      </c>
      <c r="EM25" s="141">
        <f t="shared" si="20"/>
        <v>43.55286466</v>
      </c>
      <c r="EN25" s="133">
        <f t="shared" si="21"/>
        <v>336.886198</v>
      </c>
      <c r="EO25" s="133">
        <f>AVERAGE(OFFSET($EN$3,0,0,'Données projet'!$E$15+1,1))-AVERAGE(OFFSET($H$3,0,0,'Données projet'!$E$15+1,1))</f>
        <v>130.3193339</v>
      </c>
      <c r="EP25" s="133">
        <f t="shared" si="47"/>
        <v>82.22784365</v>
      </c>
      <c r="EQ25" s="134">
        <f>IF(ISNA(VLOOKUP(A25,'Données projet'!$A$191:$I$211,3,0)),0,VLOOKUP(A25,'Données projet'!$A$191:$I$211,3,0))</f>
        <v>0</v>
      </c>
      <c r="ER25" s="134">
        <f>IF(ISNA(VLOOKUP(A25,'Données projet'!$A$191:$I$211,4,0)),0,VLOOKUP(A25,'Données projet'!$A$191:$I$211,4,0))</f>
        <v>0</v>
      </c>
      <c r="ES25" s="135">
        <f>IF(ISNA(VLOOKUP(A25,'Données projet'!$A$191:$I$211,5,0)),0%,VLOOKUP(A25,'Données projet'!$A$191:$I$211,5,0)*VLOOKUP('Données projet'!$B$15,'Paramètres'!$A$1:$I$89,7,0))</f>
        <v>0</v>
      </c>
      <c r="ET25" s="135">
        <f>IF(ISNA(VLOOKUP(A25,'Données projet'!$A$191:$I$211,6,0)),0%,VLOOKUP(A25,'Données projet'!$A$191:$I$211,6,0)*VLOOKUP('Données projet'!$B$15,'Paramètres'!$A$1:$I$89,7,0))</f>
        <v>0</v>
      </c>
      <c r="EU25" s="135">
        <f>IF(ISNA(VLOOKUP(A25,'Données projet'!$A$191:$I$211,7,0)),0%,VLOOKUP(A25,'Données projet'!$A$191:$I$211,7,0))</f>
        <v>0</v>
      </c>
      <c r="EV25" s="142">
        <f>EXP(-LN(2)/35)*EV24+(1-EXP(-LN(2)/35))/(LN(2)/35)*ER25*ES25*VLOOKUP('Données projet'!$B$15,'Paramètres'!$A$1:$I$89,3,0)*0.475*44/12</f>
        <v>0</v>
      </c>
      <c r="EW25" s="142">
        <f>EXP(-LN(2)/25)*EW24+(1-EXP(-LN(2)/25))/(LN(2)/25)*Calculateur!ER25*Calculateur!ET25*VLOOKUP('Données projet'!$B$15,'Paramètres'!$A$1:$I$89,3,0)*0.475*44/12</f>
        <v>0</v>
      </c>
      <c r="EX25" s="142">
        <f>EXP(-LN(2)/2)*EX24+(1-EXP(-LN(2)/2))/(LN(2)/2)*ER25*EU25*VLOOKUP('Données projet'!$B$15,'Paramètres'!$A$1:$I$89,3,0)*0.475*44/12</f>
        <v>0</v>
      </c>
      <c r="EY25" s="143">
        <f t="shared" si="22"/>
        <v>0</v>
      </c>
      <c r="EZ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1" t="str">
        <f>VLOOKUP(A25,'Données projet'!$A$217:$I$237,2,0)</f>
        <v>#N/A</v>
      </c>
      <c r="FC25" s="131" t="str">
        <f>VLOOKUP(A25,'Données projet'!$A$217:$I$237,9,0)</f>
        <v>#N/A</v>
      </c>
      <c r="FD25" s="130">
        <f t="array" ref="FD25">INDEX(FC:FC,MIN(IF(ISNUMBER(FC25:FC221),ROW(FC25:FC221),"")))</f>
        <v>10.2</v>
      </c>
      <c r="FE25" s="130">
        <f>IF('Données projet'!$A$218&gt;35,FE24+FD25-FM24,IF(A25&lt;'Données projet'!$A$218,$FB$205^A25,IF(A25='Données projet'!$A$218,'Données projet'!$B$218,FE24+FD25-FM24)))</f>
        <v>134.4</v>
      </c>
      <c r="FF25" s="138">
        <f>FE25*VLOOKUP('Données projet'!$B$16,'Paramètres'!$A$1:$I$89,3,0)*VLOOKUP('Données projet'!$B$16,'Paramètres'!$A$1:$I$89,5,0)</f>
        <v>121.60512</v>
      </c>
      <c r="FG25" s="130">
        <f t="shared" si="48"/>
        <v>32.04907718</v>
      </c>
      <c r="FH25" s="141">
        <f t="shared" si="23"/>
        <v>267.6143934</v>
      </c>
      <c r="FI25" s="133">
        <f t="shared" si="24"/>
        <v>560.9477267</v>
      </c>
      <c r="FJ25" s="133">
        <f>AVERAGE(OFFSET($FI$3,0,0,'Données projet'!$E$16+1,1))-AVERAGE(OFFSET($H$3,0,0,'Données projet'!$E$16+1,1))</f>
        <v>305.6252353</v>
      </c>
      <c r="FK25" s="133">
        <f t="shared" si="49"/>
        <v>331.397916</v>
      </c>
      <c r="FL25" s="134">
        <f>IF(ISNA(VLOOKUP(A25,'Données projet'!$A$217:$I$237,3,0)),0,VLOOKUP(A25,'Données projet'!$A$217:$I$237,3,0))</f>
        <v>0</v>
      </c>
      <c r="FM25" s="134">
        <f>IF(ISNA(VLOOKUP(A25,'Données projet'!$A$217:$I$237,4,0)),0,VLOOKUP(A25,'Données projet'!$A$217:$I$237,4,0))</f>
        <v>0</v>
      </c>
      <c r="FN25" s="135">
        <f>IF(ISNA(VLOOKUP(A25,'Données projet'!$A$217:$I$237,5,0)),0%,VLOOKUP(A25,'Données projet'!$A$217:$I$237,5,0)*VLOOKUP('Données projet'!$B$16,'Paramètres'!$A$1:$I$89,7,0))</f>
        <v>0</v>
      </c>
      <c r="FO25" s="135">
        <f>IF(ISNA(VLOOKUP(A25,'Données projet'!$A$217:$I$237,6,0)),0%,VLOOKUP(A25,'Données projet'!$A$217:$I$237,6,0)*VLOOKUP('Données projet'!$B$16,'Paramètres'!$A$1:$I$89,7,0))</f>
        <v>0</v>
      </c>
      <c r="FP25" s="135">
        <f>IF(ISNA(VLOOKUP(A25,'Données projet'!$A$217:$I$237,7,0)),0%,VLOOKUP(A25,'Données projet'!$A$217:$I$237,7,0))</f>
        <v>0</v>
      </c>
      <c r="FQ25" s="142">
        <f>EXP(-LN(2)/35)*FQ24+(1-EXP(-LN(2)/35))/(LN(2)/35)*FM25*FN25*VLOOKUP('Données projet'!$B$16,'Paramètres'!$A$1:$I$89,3,0)*0.475*44/12</f>
        <v>0</v>
      </c>
      <c r="FR25" s="142">
        <f>EXP(-LN(2)/25)*FR24+(1-EXP(-LN(2)/25))/(LN(2)/25)*Calculateur!FM25*Calculateur!FO25*VLOOKUP('Données projet'!$B$16,'Paramètres'!$A$1:$I$89,3,0)*0.475*44/12</f>
        <v>0</v>
      </c>
      <c r="FS25" s="142">
        <f>EXP(-LN(2)/2)*FS24+(1-EXP(-LN(2)/2))/(LN(2)/2)*FM25*FP25*VLOOKUP('Données projet'!$B$16,'Paramètres'!$A$1:$I$89,3,0)*0.475*44/12</f>
        <v>0</v>
      </c>
      <c r="FT25" s="143">
        <f t="shared" si="25"/>
        <v>0</v>
      </c>
      <c r="FU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1" t="str">
        <f>VLOOKUP(A25,'Données projet'!$A$243:$I$263,2,0)</f>
        <v>#N/A</v>
      </c>
      <c r="FX25" s="131" t="str">
        <f>VLOOKUP(A25,'Données projet'!$A$243:$I$263,9,0)</f>
        <v>#N/A</v>
      </c>
      <c r="FY25" s="130">
        <f t="array" ref="FY25">INDEX(FX:FX,MIN(IF(ISNUMBER(FX25:FX221),ROW(FX25:FX221),"")))</f>
        <v>8.8</v>
      </c>
      <c r="FZ25" s="138">
        <f>IF('Données projet'!$A$244&gt;35,FZ24+FY25-GH24,IF(A25&lt;'Données projet'!$A$244,$FW$205^A25,IF(A25='Données projet'!$A$244,'Données projet'!$B$244,FZ24+FY25-GH24)))</f>
        <v>49.6</v>
      </c>
      <c r="GA25" s="138">
        <f>FZ25*VLOOKUP('Données projet'!$B$17,'Paramètres'!$A$1:$I$89,3,0)*VLOOKUP('Données projet'!$B$17,'Paramètres'!$A$1:$I$89,5,0)</f>
        <v>33.27168</v>
      </c>
      <c r="GB25" s="130">
        <f t="shared" si="50"/>
        <v>10.19664493</v>
      </c>
      <c r="GC25" s="141">
        <f t="shared" si="26"/>
        <v>75.7073326</v>
      </c>
      <c r="GD25" s="133">
        <f t="shared" si="27"/>
        <v>369.0406659</v>
      </c>
      <c r="GE25" s="133">
        <f>AVERAGE(OFFSET($GD$3,0,0,'Données projet'!$E$17+1,1))-AVERAGE(OFFSET($H$3,0,0,'Données projet'!$E$17+1,1))</f>
        <v>118.7368745</v>
      </c>
      <c r="GF25" s="133">
        <f t="shared" si="51"/>
        <v>135.1233677</v>
      </c>
      <c r="GG25" s="134">
        <f>IF(ISNA(VLOOKUP(A25,'Données projet'!$A$243:$I$263,3,0)),0,VLOOKUP(A25,'Données projet'!$A$243:$I$263,3,0))</f>
        <v>0</v>
      </c>
      <c r="GH25" s="134">
        <f>IF(ISNA(VLOOKUP(A25,'Données projet'!$A$243:$I$263,4,0)),0,VLOOKUP(A25,'Données projet'!$A$243:$I$263,4,0))</f>
        <v>0</v>
      </c>
      <c r="GI25" s="135">
        <f>IF(ISNA(VLOOKUP(A25,'Données projet'!$A$243:$I$263,5,0)),0%,VLOOKUP(A25,'Données projet'!$A$243:$I$263,5,0)*VLOOKUP('Données projet'!$B$17,'Paramètres'!$A$1:$I$89,7,0))</f>
        <v>0</v>
      </c>
      <c r="GJ25" s="135">
        <f>IF(ISNA(VLOOKUP(A25,'Données projet'!$A$243:$I$263,6,0)),0%,VLOOKUP(A25,'Données projet'!$A$243:$I$263,6,0)*VLOOKUP('Données projet'!$B$17,'Paramètres'!$A$1:$I$89,7,0))</f>
        <v>0</v>
      </c>
      <c r="GK25" s="135">
        <f>IF(ISNA(VLOOKUP(A25,'Données projet'!$A$243:$I$263,7,0)),0%,VLOOKUP(A25,'Données projet'!$A$243:$I$263,7,0))</f>
        <v>0</v>
      </c>
      <c r="GL25" s="142">
        <f>EXP(-LN(2)/35)*GL24+(1-EXP(-LN(2)/35))/(LN(2)/35)*GH25*GI25*VLOOKUP('Données projet'!$B$17,'Paramètres'!$A$1:$I$89,3,0)*0.475*44/12</f>
        <v>0</v>
      </c>
      <c r="GM25" s="142">
        <f>EXP(-LN(2)/25)*GM24+(1-EXP(-LN(2)/25))/(LN(2)/25)*Calculateur!GH25*Calculateur!GJ25*VLOOKUP('Données projet'!$B$17,'Paramètres'!$A$1:$I$89,3,0)*0.475*44/12</f>
        <v>0</v>
      </c>
      <c r="GN25" s="142">
        <f>EXP(-LN(2)/2)*GN24+(1-EXP(-LN(2)/2))/(LN(2)/2)*GH25*GK25*VLOOKUP('Données projet'!$B$17,'Paramètres'!$A$1:$I$89,3,0)*0.475*44/12</f>
        <v>0</v>
      </c>
      <c r="GO25" s="142">
        <f t="shared" si="28"/>
        <v>0</v>
      </c>
      <c r="GP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1" t="str">
        <f>VLOOKUP(A25,'Données projet'!$A$269:$I$289,2,0)</f>
        <v>#N/A</v>
      </c>
      <c r="GS25" s="131" t="str">
        <f>VLOOKUP(A25,'Données projet'!$A$269:$I$289,9,0)</f>
        <v>#N/A</v>
      </c>
      <c r="GT25" s="130">
        <f t="array" ref="GT25">INDEX(GS:GS,MIN(IF(ISNUMBER(GS25:GS221),ROW(GS25:GS221),"")))</f>
        <v>1.2</v>
      </c>
      <c r="GU25" s="131">
        <f>IF('Données projet'!$A$270&gt;35,GU24+GT25-HC24,IF(A25&lt;'Données projet'!$A$270,$GR$205^A25,IF(A25='Données projet'!$A$270,'Données projet'!$B$270,GU24+GT25-HC24)))</f>
        <v>19.94650013</v>
      </c>
      <c r="GV25" s="138">
        <f>GU25*VLOOKUP('Données projet'!$B$18,'Paramètres'!$A$1:$I$89,3,0)*VLOOKUP('Données projet'!$B$18,'Paramètres'!$A$1:$I$89,5,0)</f>
        <v>21.47041274</v>
      </c>
      <c r="GW25" s="130">
        <f t="shared" si="52"/>
        <v>6.924146314</v>
      </c>
      <c r="GX25" s="141">
        <f t="shared" si="29"/>
        <v>49.45385702</v>
      </c>
      <c r="GY25" s="133">
        <f t="shared" si="30"/>
        <v>342.7871904</v>
      </c>
      <c r="GZ25" s="133">
        <f>AVERAGE(OFFSET($GY$3,0,0,'Données projet'!$E$18+1,1))-AVERAGE(OFFSET($H$3,0,0,'Données projet'!$E$18+1,1))</f>
        <v>100.5427875</v>
      </c>
      <c r="HA25" s="133">
        <f t="shared" si="53"/>
        <v>92.28663609</v>
      </c>
      <c r="HB25" s="134">
        <f>IF(ISNA(VLOOKUP(A25,'Données projet'!$A$269:$I$289,3,0)),0,VLOOKUP(A25,'Données projet'!$A$269:$I$289,3,0))</f>
        <v>0</v>
      </c>
      <c r="HC25" s="134">
        <f>IF(ISNA(VLOOKUP(A25,'Données projet'!$A$269:$I$289,4,0)),0,VLOOKUP(A25,'Données projet'!$A$269:$I$289,4,0))</f>
        <v>0</v>
      </c>
      <c r="HD25" s="135">
        <f>IF(ISNA(VLOOKUP(A25,'Données projet'!$A$269:$I$289,5,0)),0%,VLOOKUP(A25,'Données projet'!$A$269:$I$289,5,0)*VLOOKUP('Données projet'!$B$18,'Paramètres'!$A$1:$I$89,7,0))</f>
        <v>0</v>
      </c>
      <c r="HE25" s="135">
        <f>IF(ISNA(VLOOKUP(A25,'Données projet'!$A$269:$I$289,6,0)),0%,VLOOKUP(A25,'Données projet'!$A$269:$I$289,6,0)*VLOOKUP('Données projet'!$B$18,'Paramètres'!$A$1:$I$89,7,0))</f>
        <v>0</v>
      </c>
      <c r="HF25" s="135">
        <f>IF(ISNA(VLOOKUP(A25,'Données projet'!$A$269:$I$289,7,0)),0%,VLOOKUP(A25,'Données projet'!$A$269:$I$289,7,0))</f>
        <v>0</v>
      </c>
      <c r="HG25" s="142">
        <f>EXP(-LN(2)/35)*HG24+(1-EXP(-LN(2)/35))/(LN(2)/35)*HC25*HD25*VLOOKUP('Données projet'!$B$18,'Paramètres'!$A$1:$I$89,3,0)*0.475*44/12</f>
        <v>0</v>
      </c>
      <c r="HH25" s="142">
        <f>EXP(-LN(2)/25)*HH24+(1-EXP(-LN(2)/25))/(LN(2)/25)*Calculateur!HC25*Calculateur!HE25*VLOOKUP('Données projet'!$B$18,'Paramètres'!$A$1:$I$89,3,0)*0.475*44/12</f>
        <v>0</v>
      </c>
      <c r="HI25" s="142">
        <f>EXP(-LN(2)/2)*HI24+(1-EXP(-LN(2)/2))/(LN(2)/2)*HC25*HF25*VLOOKUP('Données projet'!$B$18,'Paramètres'!$A$1:$I$89,3,0)*0.475*44/12</f>
        <v>0</v>
      </c>
      <c r="HJ25" s="143">
        <f t="shared" si="31"/>
        <v>0</v>
      </c>
    </row>
    <row r="26" ht="15.75" customHeight="1">
      <c r="A26" s="125">
        <f t="shared" si="32"/>
        <v>23</v>
      </c>
      <c r="B26" s="126">
        <f>'Scénario référence'!$B$16*5+'Scénario référence'!$B$17*0+'Scénario référence'!$B$18*5</f>
        <v>0</v>
      </c>
      <c r="C26" s="140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6" s="127">
        <f t="shared" si="33"/>
        <v>4.310803233</v>
      </c>
      <c r="E2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7">
        <f>IF(OR('Scénario référence'!$F$8&gt;0,'Scénario référence'!$F$9&gt;0),('Scénario référence'!$F$8+'Scénario référence'!$F$9)*10,0)</f>
        <v>10</v>
      </c>
      <c r="G26" s="127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</v>
      </c>
      <c r="H26" s="128">
        <f t="shared" si="1"/>
        <v>322.7131656</v>
      </c>
      <c r="I26" s="12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1" t="str">
        <f>VLOOKUP(A26,'Données projet'!$A$35:$I$55,2,0)</f>
        <v>#N/A</v>
      </c>
      <c r="L26" s="131" t="str">
        <f>VLOOKUP(A26,'Données projet'!$A$35:$I$55,9,0)</f>
        <v>#N/A</v>
      </c>
      <c r="M26" s="131">
        <f t="array" ref="M26">INDEX(L:L,MIN(IF(ISNUMBER(L26:L222),ROW(L26:L222),"")))</f>
        <v>3.92</v>
      </c>
      <c r="N26" s="130">
        <f>IF('Données projet'!$A$36&gt;35,N25+M26-V25,IF(A26&lt;'Données projet'!$A$36,$K$205^A26,IF(A26='Données projet'!$A$36,'Données projet'!$B$36,N25+M26-V25)))</f>
        <v>67.90910232</v>
      </c>
      <c r="O26" s="130">
        <f>N26*VLOOKUP('Données projet'!$B$9,'Paramètres'!$A$1:$I$89,3,0)*VLOOKUP('Données projet'!$B$9,'Paramètres'!$A$1:$I$89,5,0)</f>
        <v>38.84400653</v>
      </c>
      <c r="P26" s="130">
        <f t="shared" si="34"/>
        <v>11.69172973</v>
      </c>
      <c r="Q26" s="141">
        <f t="shared" si="2"/>
        <v>88.01640732</v>
      </c>
      <c r="R26" s="133">
        <f t="shared" si="3"/>
        <v>381.3497407</v>
      </c>
      <c r="S26" s="133">
        <f>AVERAGE(OFFSET($R$3,0,0,'Données projet'!$E$9+1,1))-AVERAGE(OFFSET($H$3,0,0,'Données projet'!$E$9+1,1))</f>
        <v>126.9946492</v>
      </c>
      <c r="T26" s="133">
        <f t="shared" si="35"/>
        <v>140.039049</v>
      </c>
      <c r="U26" s="134">
        <f>IF(ISNA(VLOOKUP(A26,'Données projet'!$A$35:$I$55,3,0)),0,VLOOKUP(A26,'Données projet'!$A$35:$I$55,3,0))</f>
        <v>0</v>
      </c>
      <c r="V26" s="134">
        <f>IF(ISNA(VLOOKUP(A26,'Données projet'!$A$35:$I$55,4,0)),0,VLOOKUP(A26,'Données projet'!$A$35:$I$55,4,0))</f>
        <v>0</v>
      </c>
      <c r="W26" s="135">
        <f>IF(ISNA(VLOOKUP(A26,'Données projet'!$A$35:$I$55,5,0)),0%,VLOOKUP(A26,'Données projet'!$A$35:$I$55,5,0)*VLOOKUP('Données projet'!$B$9,'Paramètres'!$A$1:$I$89,7,0))</f>
        <v>0</v>
      </c>
      <c r="X26" s="135">
        <f>IF(ISNA(VLOOKUP(A26,'Données projet'!$A$35:$I$55,6,0)),0%,VLOOKUP(A26,'Données projet'!$A$35:$I$55,6,0)*VLOOKUP('Données projet'!$B$9,'Paramètres'!$A$1:$I$89,7,0))</f>
        <v>0</v>
      </c>
      <c r="Y26" s="135">
        <f>IF(ISNA(VLOOKUP(A26,'Données projet'!$A$35:$I$55,7,0)),0%,VLOOKUP(A26,'Données projet'!$A$35:$I$55,7,0))</f>
        <v>0</v>
      </c>
      <c r="Z26" s="142">
        <f>EXP(-LN(2)/35)*Z25+(1-EXP(-LN(2)/35))/(LN(2)/35)*V26*W26*VLOOKUP('Données projet'!$B$9,'Paramètres'!$A$1:$I$89,3,0)*0.475*44/12</f>
        <v>0</v>
      </c>
      <c r="AA26" s="142">
        <f>EXP(-LN(2)/25)*AA25+(1-EXP(-LN(2)/25))/(LN(2)/25)*Calculateur!V26*Calculateur!X26*VLOOKUP('Données projet'!$B$9,'Paramètres'!$A$1:$I$89,3,0)*0.475*44/12</f>
        <v>0</v>
      </c>
      <c r="AB26" s="142">
        <f>EXP(-LN(2)/2)*AB25+(1-EXP(-LN(2)/2))/(LN(2)/2)*V26*Y26*VLOOKUP('Données projet'!$B$9,'Paramètres'!$A$1:$I$89,3,0)*0.475*44/12</f>
        <v>0</v>
      </c>
      <c r="AC26" s="143">
        <f t="shared" si="4"/>
        <v>0</v>
      </c>
      <c r="AD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0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1" t="str">
        <f>VLOOKUP(A26,'Données projet'!$A$61:$I$81,2,0)</f>
        <v>#N/A</v>
      </c>
      <c r="AG26" s="131" t="str">
        <f>VLOOKUP(A26,'Données projet'!$A$61:$I$81,9,0)</f>
        <v>#N/A</v>
      </c>
      <c r="AH26" s="131">
        <f t="array" ref="AH26">INDEX(AG:AG,MIN(IF(ISNUMBER(AG26:AG222),ROW(AG26:AG222),"")))</f>
        <v>12.33333333</v>
      </c>
      <c r="AI26" s="130">
        <f>IF('Données projet'!$A$62&gt;35,AI25+AH26-AQ25,IF(A26&lt;'Données projet'!$A$62,$AF$205^A26,IF(A26='Données projet'!$A$62,'Données projet'!$B$62,AI25+AH26-AQ25)))</f>
        <v>119.3333333</v>
      </c>
      <c r="AJ26" s="130">
        <f>AI26*VLOOKUP('Données projet'!$B$10,'Paramètres'!$A$1:$I$89,3,0)*VLOOKUP('Données projet'!$B$10,'Paramètres'!$A$1:$I$89,5,0)</f>
        <v>71.36133333</v>
      </c>
      <c r="AK26" s="130">
        <f t="shared" si="36"/>
        <v>20.01114472</v>
      </c>
      <c r="AL26" s="141">
        <f t="shared" si="5"/>
        <v>159.1403993</v>
      </c>
      <c r="AM26" s="133">
        <f t="shared" si="6"/>
        <v>452.4737326</v>
      </c>
      <c r="AN26" s="133">
        <f>AVERAGE(OFFSET($AM$3,0,0,'Données projet'!$E$10+1,1))-AVERAGE(OFFSET($H$3,0,0,'Données projet'!$E$10+1,1))</f>
        <v>196.874484</v>
      </c>
      <c r="AO26" s="133">
        <f t="shared" si="37"/>
        <v>217.5750859</v>
      </c>
      <c r="AP26" s="134">
        <f>IF(ISNA(VLOOKUP(A26,'Données projet'!$A$61:$I$81,3,0)),0,VLOOKUP(A26,'Données projet'!$A$61:$I$81,3,0))</f>
        <v>0</v>
      </c>
      <c r="AQ26" s="134">
        <f>IF(ISNA(VLOOKUP(A26,'Données projet'!$A$61:$I$81,4,0)),0,VLOOKUP(A26,'Données projet'!$A$61:$I$81,4,0))</f>
        <v>0</v>
      </c>
      <c r="AR26" s="135">
        <f>IF(ISNA(VLOOKUP(A26,'Données projet'!$A$61:$I$81,5,0)),0%,VLOOKUP(A26,'Données projet'!$A$61:$I$81,5,0)*VLOOKUP('Données projet'!$B$10,'Paramètres'!$A$1:$I$89,7,0))</f>
        <v>0</v>
      </c>
      <c r="AS26" s="135">
        <f>IF(ISNA(VLOOKUP(A26,'Données projet'!$A$61:$I$81,6,0)),0%,VLOOKUP(A26,'Données projet'!$A$61:$I$81,6,0)*VLOOKUP('Données projet'!$B$10,'Paramètres'!$A$1:$I$89,7,0))</f>
        <v>0</v>
      </c>
      <c r="AT26" s="135">
        <f>IF(ISNA(VLOOKUP(A26,'Données projet'!$A$61:$I$81,7,0)),0%,VLOOKUP(A26,'Données projet'!$A$61:$I$81,7,0))</f>
        <v>0</v>
      </c>
      <c r="AU26" s="142">
        <f>EXP(-LN(2)/35)*AU25+(1-EXP(-LN(2)/35))/(LN(2)/35)*AQ26*AR26*VLOOKUP('Données projet'!$B$10,'Paramètres'!$A$1:$I$89,3,0)*0.475*44/12</f>
        <v>0</v>
      </c>
      <c r="AV26" s="142">
        <f>EXP(-LN(2)/25)*AV25+(1-EXP(-LN(2)/25))/(LN(2)/25)*Calculateur!AQ26*Calculateur!AS26*VLOOKUP('Données projet'!$B$10,'Paramètres'!$A$1:$I$89,3,0)*0.475*44/12</f>
        <v>3.098813975</v>
      </c>
      <c r="AW26" s="142">
        <f>EXP(-LN(2)/2)*AW25+(1-EXP(-LN(2)/2))/(LN(2)/2)*AQ26*AT26*VLOOKUP('Données projet'!$B$10,'Paramètres'!$A$1:$I$89,3,0)*0.475*44/12</f>
        <v>3.370500412</v>
      </c>
      <c r="AX26" s="142">
        <f t="shared" si="7"/>
        <v>6.469314387</v>
      </c>
      <c r="AY26" s="13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1" t="str">
        <f>VLOOKUP(A26,'Données projet'!$A$87:$I$107,2,0)</f>
        <v>#N/A</v>
      </c>
      <c r="BB26" s="131" t="str">
        <f>VLOOKUP(A26,'Données projet'!$A$87:$I$107,9,0)</f>
        <v>#N/A</v>
      </c>
      <c r="BC26" s="130">
        <f t="array" ref="BC26">INDEX(BB:BB,MIN(IF(ISNUMBER(BB26:BB222),ROW(BB26:BB222),"")))</f>
        <v>4.666666667</v>
      </c>
      <c r="BD26" s="131">
        <f>IF('Données projet'!$A$88&gt;35,BD25+BC26-BL25,IF(A26&lt;'Données projet'!$A$88,$BA$205^A26,IF(A26='Données projet'!$A$88,'Données projet'!$B$88,BD25+BC26-BL25)))</f>
        <v>44.19415427</v>
      </c>
      <c r="BE26" s="130">
        <f>BD26*VLOOKUP('Données projet'!$B$11,'Paramètres'!$A$1:$I$89,3,0)*VLOOKUP('Données projet'!$B$11,'Paramètres'!$A$1:$I$89,5,0)</f>
        <v>20.6828642</v>
      </c>
      <c r="BF26" s="130">
        <f t="shared" si="38"/>
        <v>6.699241935</v>
      </c>
      <c r="BG26" s="141">
        <f t="shared" si="8"/>
        <v>47.69050152</v>
      </c>
      <c r="BH26" s="133">
        <f t="shared" si="9"/>
        <v>341.0238348</v>
      </c>
      <c r="BI26" s="133">
        <f>AVERAGE(OFFSET($BH$3,0,0,'Données projet'!$E$11+1,1))-AVERAGE(OFFSET($H$3,0,0,'Données projet'!$E$11+1,1))</f>
        <v>134.0948534</v>
      </c>
      <c r="BJ26" s="133">
        <f t="shared" si="39"/>
        <v>108.4102536</v>
      </c>
      <c r="BK26" s="134">
        <f>IF(ISNA(VLOOKUP(A26,'Données projet'!$A$87:$I$107,3,0)),0,VLOOKUP(A26,'Données projet'!$A$87:$I$107,3,0))</f>
        <v>0</v>
      </c>
      <c r="BL26" s="134">
        <f>IF(ISNA(VLOOKUP(A26,'Données projet'!$A$87:$I$107,4,0)),0,VLOOKUP(A26,'Données projet'!$A$87:$I$107,4,0))</f>
        <v>0</v>
      </c>
      <c r="BM26" s="135">
        <f>IF(ISNA(VLOOKUP(A26,'Données projet'!$A$87:$I$107,5,0)),0%,VLOOKUP(A26,'Données projet'!$A$87:$I$107,5,0)*VLOOKUP('Données projet'!$B$11,'Paramètres'!$A$1:$I$89,7,0))</f>
        <v>0</v>
      </c>
      <c r="BN26" s="135">
        <f>IF(ISNA(VLOOKUP(A26,'Données projet'!$A$87:$I$107,6,0)),0%,VLOOKUP(A26,'Données projet'!$A$87:$I$107,6,0)*VLOOKUP('Données projet'!$B$11,'Paramètres'!$A$1:$I$89,7,0))</f>
        <v>0</v>
      </c>
      <c r="BO26" s="135">
        <f>IF(ISNA(VLOOKUP(A26,'Données projet'!$A$87:$I$107,7,0)),0%,VLOOKUP(A26,'Données projet'!$A$87:$I$107,7,0))</f>
        <v>0</v>
      </c>
      <c r="BP26" s="142">
        <f>EXP(-LN(2)/35)*BP25+(1-EXP(-LN(2)/35))/(LN(2)/35)*BL26*BM26*VLOOKUP('Données projet'!$B$11,'Paramètres'!$A$1:$I$89,3,0)*0.475*44/12</f>
        <v>0</v>
      </c>
      <c r="BQ26" s="142">
        <f>EXP(-LN(2)/25)*BQ25+(1-EXP(-LN(2)/25))/(LN(2)/25)*Calculateur!BL26*Calculateur!BN26*VLOOKUP('Données projet'!$B$11,'Paramètres'!$A$1:$I$89,3,0)*0.475*44/12</f>
        <v>0</v>
      </c>
      <c r="BR26" s="142">
        <f>EXP(-LN(2)/2)*BR25+(1-EXP(-LN(2)/2))/(LN(2)/2)*BL26*BO26*VLOOKUP('Données projet'!$B$11,'Paramètres'!$A$1:$I$89,3,0)*0.475*44/12</f>
        <v>0</v>
      </c>
      <c r="BS26" s="143">
        <f t="shared" si="10"/>
        <v>0</v>
      </c>
      <c r="BT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1" t="str">
        <f>VLOOKUP(A26,'Données projet'!$A$113:$I$133,2,0)</f>
        <v>#N/A</v>
      </c>
      <c r="BW26" s="131" t="str">
        <f>VLOOKUP(A26,'Données projet'!$A$113:$I$133,9,0)</f>
        <v>#N/A</v>
      </c>
      <c r="BX26" s="130">
        <f t="array" ref="BX26">INDEX(BW:BW,MIN(IF(ISNUMBER(BW26:BW222),ROW(BW26:BW222),"")))</f>
        <v>24</v>
      </c>
      <c r="BY26" s="130">
        <f>IF('Données projet'!$A$114&gt;35,BY25+BX26-CG25,IF(A26&lt;'Données projet'!$A$114,$BV$205^A26,IF(A26='Données projet'!$A$114,'Données projet'!$B$114,BY25+BX26-CG25)))</f>
        <v>197</v>
      </c>
      <c r="BZ26" s="130">
        <f>BY26*VLOOKUP('Données projet'!$B$12,'Paramètres'!$A$1:$I$89,3,0)*VLOOKUP('Données projet'!$B$12,'Paramètres'!$A$1:$I$89,5,0)</f>
        <v>97.318</v>
      </c>
      <c r="CA26" s="130">
        <f t="shared" si="40"/>
        <v>26.32204058</v>
      </c>
      <c r="CB26" s="141">
        <f t="shared" si="11"/>
        <v>215.3397373</v>
      </c>
      <c r="CC26" s="133">
        <f t="shared" si="12"/>
        <v>508.6730707</v>
      </c>
      <c r="CD26" s="133">
        <f>AVERAGE(OFFSET($CC$3,0,0,'Données projet'!$E$12+1,1))-AVERAGE(OFFSET($H$3,0,0,'Données projet'!$E$12+1,1))</f>
        <v>258.1672054</v>
      </c>
      <c r="CE26" s="133">
        <f t="shared" si="41"/>
        <v>296.0724261</v>
      </c>
      <c r="CF26" s="134">
        <f>IF(ISNA(VLOOKUP(A26,'Données projet'!$A$113:$I$133,3,0)),0,VLOOKUP(A26,'Données projet'!$A$113:$I$133,3,0))</f>
        <v>0</v>
      </c>
      <c r="CG26" s="134">
        <f>IF(ISNA(VLOOKUP(A26,'Données projet'!$A$113:$I$133,4,0)),0,VLOOKUP(A26,'Données projet'!$A$113:$I$133,4,0))</f>
        <v>0</v>
      </c>
      <c r="CH26" s="135">
        <f>IF(ISNA(VLOOKUP(A26,'Données projet'!$A$113:$I$133,5,0)),0%,VLOOKUP(A26,'Données projet'!$A$113:$I$133,5,0)*VLOOKUP('Données projet'!$B$12,'Paramètres'!$A$1:$I$89,7,0))</f>
        <v>0</v>
      </c>
      <c r="CI26" s="135">
        <f>IF(ISNA(VLOOKUP(A26,'Données projet'!$A$113:$I$133,6,0)),0%,VLOOKUP(A26,'Données projet'!$A$113:$I$133,6,0)*VLOOKUP('Données projet'!$B$12,'Paramètres'!$A$1:$I$89,7,0))</f>
        <v>0</v>
      </c>
      <c r="CJ26" s="135">
        <f>IF(ISNA(VLOOKUP(A26,'Données projet'!$A$113:$I$133,7,0)),0%,VLOOKUP(A26,'Données projet'!$A$113:$I$133,7,0))</f>
        <v>0</v>
      </c>
      <c r="CK26" s="142">
        <f>EXP(-LN(2)/35)*CK25+(1-EXP(-LN(2)/35))/(LN(2)/35)*CG26*CH26*VLOOKUP('Données projet'!$B$12,'Paramètres'!$A$1:$I$89,3,0)*0.475*44/12</f>
        <v>0</v>
      </c>
      <c r="CL26" s="142">
        <f>EXP(-LN(2)/25)*CL25+(1-EXP(-LN(2)/25))/(LN(2)/25)*Calculateur!CG26*Calculateur!CI26*VLOOKUP('Données projet'!$B$12,'Paramètres'!$A$1:$I$89,3,0)*0.475*44/12</f>
        <v>0.5549965954</v>
      </c>
      <c r="CM26" s="142">
        <f>EXP(-LN(2)/2)*CM25+(1-EXP(-LN(2)/2))/(LN(2)/2)*CG26*CJ26*VLOOKUP('Données projet'!$B$12,'Paramètres'!$A$1:$I$89,3,0)*0.475*44/12</f>
        <v>0.2610306025</v>
      </c>
      <c r="CN26" s="143">
        <f t="shared" si="13"/>
        <v>0.8160271979</v>
      </c>
      <c r="CO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1" t="str">
        <f>VLOOKUP(A26,'Données projet'!$A$139:$I$159,2,0)</f>
        <v>#N/A</v>
      </c>
      <c r="CR26" s="131" t="str">
        <f>VLOOKUP(A26,'Données projet'!$A$139:$I$159,9,0)</f>
        <v>#N/A</v>
      </c>
      <c r="CS26" s="130">
        <f t="array" ref="CS26">INDEX(CR:CR,MIN(IF(ISNUMBER(CR26:CR222),ROW(CR26:CR222),"")))</f>
        <v>1.2</v>
      </c>
      <c r="CT26" s="131">
        <f>IF('Données projet'!$A$140&gt;35,CT25+CS26-DB25,IF(A26&lt;'Données projet'!$A$140,$CQ$205^A26,IF(A26='Données projet'!$A$140,'Données projet'!$B$140,CT25+CS26-DB25)))</f>
        <v>22.85343858</v>
      </c>
      <c r="CU26" s="138">
        <f>CT26*VLOOKUP('Données projet'!$B$13,'Paramètres'!$A$1:$I$89,3,0)*VLOOKUP('Données projet'!$B$13,'Paramètres'!$A$1:$I$89,5,0)</f>
        <v>23.17338672</v>
      </c>
      <c r="CV26" s="130">
        <f t="shared" si="42"/>
        <v>7.407246464</v>
      </c>
      <c r="CW26" s="141">
        <f t="shared" si="14"/>
        <v>53.26126947</v>
      </c>
      <c r="CX26" s="133">
        <f t="shared" si="15"/>
        <v>346.5946028</v>
      </c>
      <c r="CY26" s="133">
        <f>AVERAGE(OFFSET($CX$3,0,0,'Données projet'!$E$13+1,1))-AVERAGE(OFFSET($H$3,0,0,'Données projet'!$E$13+1,1))</f>
        <v>223.783507</v>
      </c>
      <c r="CZ26" s="133">
        <f t="shared" si="43"/>
        <v>84.92349117</v>
      </c>
      <c r="DA26" s="134">
        <f>IF(ISNA(VLOOKUP(A26,'Données projet'!$A$139:$I$159,3,0)),0,VLOOKUP(A26,'Données projet'!$A$139:$I$159,3,0))</f>
        <v>0</v>
      </c>
      <c r="DB26" s="134">
        <f>IF(ISNA(VLOOKUP(A26,'Données projet'!$A$139:$I$159,4,0)),0,VLOOKUP(A26,'Données projet'!$A$139:$I$159,4,0))</f>
        <v>0</v>
      </c>
      <c r="DC26" s="135">
        <f>IF(ISNA(VLOOKUP(A26,'Données projet'!$A$139:$I$159,5,0)),0%,VLOOKUP(A26,'Données projet'!$A$139:$I$159,5,0)*VLOOKUP('Données projet'!$B$13,'Paramètres'!$A$1:$I$89,7,0))</f>
        <v>0</v>
      </c>
      <c r="DD26" s="135">
        <f>IF(ISNA(VLOOKUP(A26,'Données projet'!$A$139:$I$159,6,0)),0%,VLOOKUP(A26,'Données projet'!$A$139:$I$159,6,0)*VLOOKUP('Données projet'!$B$13,'Paramètres'!$A$1:$I$89,7,0))</f>
        <v>0</v>
      </c>
      <c r="DE26" s="135">
        <f>IF(ISNA(VLOOKUP(A26,'Données projet'!$A$139:$I$159,7,0)),0%,VLOOKUP(A26,'Données projet'!$A$139:$I$159,7,0))</f>
        <v>0</v>
      </c>
      <c r="DF26" s="142">
        <f>EXP(-LN(2)/35)*DF25+(1-EXP(-LN(2)/35))/(LN(2)/35)*DB26*DC26*VLOOKUP('Données projet'!$B$13,'Paramètres'!$A$1:$I$89,3,0)*0.475*44/12</f>
        <v>0</v>
      </c>
      <c r="DG26" s="142">
        <f>EXP(-LN(2)/25)*DG25+(1-EXP(-LN(2)/25))/(LN(2)/25)*Calculateur!DB26*Calculateur!DD26*VLOOKUP('Données projet'!$B$13,'Paramètres'!$A$1:$I$89,3,0)*0.475*44/12</f>
        <v>0</v>
      </c>
      <c r="DH26" s="142">
        <f>EXP(-LN(2)/2)*DH25+(1-EXP(-LN(2)/2))/(LN(2)/2)*DB26*DE26*VLOOKUP('Données projet'!$B$13,'Paramètres'!$A$1:$I$89,3,0)*0.475*44/12</f>
        <v>0</v>
      </c>
      <c r="DI26" s="143">
        <f t="shared" si="16"/>
        <v>0</v>
      </c>
      <c r="DJ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1" t="str">
        <f>VLOOKUP(A26,'Données projet'!$A$165:$I$185,2,0)</f>
        <v>#N/A</v>
      </c>
      <c r="DM26" s="131" t="str">
        <f>VLOOKUP(A26,'Données projet'!$A$165:$I$185,9,0)</f>
        <v>#N/A</v>
      </c>
      <c r="DN26" s="131">
        <f t="array" ref="DN26">INDEX(DM:DM,MIN(IF(ISNUMBER(DM26:DM222),ROW(DM26:DM222),"")))</f>
        <v>5.6</v>
      </c>
      <c r="DO26" s="138">
        <f>IF('Données projet'!$A$166&gt;35,DO25+DN26-DW25,IF(A26&lt;'Données projet'!$A$166,$DL$205^A26,IF(A26='Données projet'!$A$166,'Données projet'!$B$166,DO25+DN26-DW25)))</f>
        <v>58.8</v>
      </c>
      <c r="DP26" s="138">
        <f>DO26*VLOOKUP('Données projet'!$B$14,'Paramètres'!$A$1:$I$89,3,0)*VLOOKUP('Données projet'!$B$14,'Paramètres'!$A$1:$I$89,5,0)</f>
        <v>53.20224</v>
      </c>
      <c r="DQ26" s="130">
        <f t="shared" si="44"/>
        <v>15.43774064</v>
      </c>
      <c r="DR26" s="141">
        <f t="shared" si="17"/>
        <v>119.5479663</v>
      </c>
      <c r="DS26" s="133">
        <f t="shared" si="18"/>
        <v>412.8812996</v>
      </c>
      <c r="DT26" s="133">
        <f>AVERAGE(OFFSET($DS$3,0,0,'Données projet'!$E$14+1,1))-AVERAGE(OFFSET($H$3,0,0,'Données projet'!$E$14+1,1))</f>
        <v>287.9334714</v>
      </c>
      <c r="DU26" s="133">
        <f t="shared" si="45"/>
        <v>156.6796502</v>
      </c>
      <c r="DV26" s="134">
        <f>IF(ISNA(VLOOKUP(A26,'Données projet'!$A$165:$I$185,3,0)),0,VLOOKUP(A26,'Données projet'!$A$165:$I$185,3,0))</f>
        <v>0</v>
      </c>
      <c r="DW26" s="134">
        <f>IF(ISNA(VLOOKUP(A26,'Données projet'!$A$165:$I$185,4,0)),0,VLOOKUP(A26,'Données projet'!$A$165:$I$185,4,0))</f>
        <v>0</v>
      </c>
      <c r="DX26" s="135">
        <f>IF(ISNA(VLOOKUP(A26,'Données projet'!$A$165:$I$185,5,0)),0%,VLOOKUP(A26,'Données projet'!$A$165:$I$185,5,0)*VLOOKUP('Données projet'!$B$14,'Paramètres'!$A$1:$I$89,7,0))</f>
        <v>0</v>
      </c>
      <c r="DY26" s="135">
        <f>IF(ISNA(VLOOKUP(A26,'Données projet'!$A$165:$I$185,6,0)),0%,VLOOKUP(A26,'Données projet'!$A$165:$I$185,6,0)*VLOOKUP('Données projet'!$B$14,'Paramètres'!$A$1:$I$89,7,0))</f>
        <v>0</v>
      </c>
      <c r="DZ26" s="135">
        <f>IF(ISNA(VLOOKUP(A26,'Données projet'!$A$165:$I$185,7,0)),0%,VLOOKUP(A26,'Données projet'!$A$165:$I$185,7,0))</f>
        <v>0</v>
      </c>
      <c r="EA26" s="142">
        <f>EXP(-LN(2)/35)*EA25+(1-EXP(-LN(2)/35))/(LN(2)/35)*DW26*DX26*VLOOKUP('Données projet'!$B$14,'Paramètres'!$A$1:$I$89,3,0)*0.475*44/12</f>
        <v>0</v>
      </c>
      <c r="EB26" s="142">
        <f>EXP(-LN(2)/25)*EB25+(1-EXP(-LN(2)/25))/(LN(2)/25)*Calculateur!DW26*Calculateur!DY26*VLOOKUP('Données projet'!$B$14,'Paramètres'!$A$1:$I$89,3,0)*0.475*44/12</f>
        <v>0</v>
      </c>
      <c r="EC26" s="142">
        <f>EXP(-LN(2)/2)*EC25+(1-EXP(-LN(2)/2))/(LN(2)/2)*DW26*DZ26*VLOOKUP('Données projet'!$B$14,'Paramètres'!$A$1:$I$89,3,0)*0.475*44/12</f>
        <v>0</v>
      </c>
      <c r="ED26" s="143">
        <f t="shared" si="19"/>
        <v>0</v>
      </c>
      <c r="EE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1" t="str">
        <f>VLOOKUP(A26,'Données projet'!$A$191:$I$211,2,0)</f>
        <v>#N/A</v>
      </c>
      <c r="EH26" s="131" t="str">
        <f>VLOOKUP(A26,'Données projet'!$A$191:$I$211,9,0)</f>
        <v>#N/A</v>
      </c>
      <c r="EI26" s="131">
        <f t="array" ref="EI26">INDEX(EH:EH,MIN(IF(ISNUMBER(EH26:EH222),ROW(EH26:EH222),"")))</f>
        <v>1.6</v>
      </c>
      <c r="EJ26" s="131">
        <f>IF('Données projet'!$A$192&gt;35,EJ25+EI26-ER25,IF(A26&lt;'Données projet'!$A$192,$EG$205^A26,IF(A26='Données projet'!$A$192,'Données projet'!$B$192,EJ25+EI26-ER25)))</f>
        <v>29.77797713</v>
      </c>
      <c r="EK26" s="138">
        <f>EJ26*VLOOKUP('Données projet'!$B$15,'Paramètres'!$A$1:$I$89,3,0)*VLOOKUP('Données projet'!$B$15,'Paramètres'!$A$1:$I$89,5,0)</f>
        <v>21.83321283</v>
      </c>
      <c r="EL26" s="130">
        <f t="shared" si="46"/>
        <v>7.02742823</v>
      </c>
      <c r="EM26" s="141">
        <f t="shared" si="20"/>
        <v>50.26561651</v>
      </c>
      <c r="EN26" s="133">
        <f t="shared" si="21"/>
        <v>343.5989498</v>
      </c>
      <c r="EO26" s="133">
        <f>AVERAGE(OFFSET($EN$3,0,0,'Données projet'!$E$15+1,1))-AVERAGE(OFFSET($H$3,0,0,'Données projet'!$E$15+1,1))</f>
        <v>130.3193339</v>
      </c>
      <c r="EP26" s="133">
        <f t="shared" si="47"/>
        <v>82.22784365</v>
      </c>
      <c r="EQ26" s="134">
        <f>IF(ISNA(VLOOKUP(A26,'Données projet'!$A$191:$I$211,3,0)),0,VLOOKUP(A26,'Données projet'!$A$191:$I$211,3,0))</f>
        <v>0</v>
      </c>
      <c r="ER26" s="134">
        <f>IF(ISNA(VLOOKUP(A26,'Données projet'!$A$191:$I$211,4,0)),0,VLOOKUP(A26,'Données projet'!$A$191:$I$211,4,0))</f>
        <v>0</v>
      </c>
      <c r="ES26" s="135">
        <f>IF(ISNA(VLOOKUP(A26,'Données projet'!$A$191:$I$211,5,0)),0%,VLOOKUP(A26,'Données projet'!$A$191:$I$211,5,0)*VLOOKUP('Données projet'!$B$15,'Paramètres'!$A$1:$I$89,7,0))</f>
        <v>0</v>
      </c>
      <c r="ET26" s="135">
        <f>IF(ISNA(VLOOKUP(A26,'Données projet'!$A$191:$I$211,6,0)),0%,VLOOKUP(A26,'Données projet'!$A$191:$I$211,6,0)*VLOOKUP('Données projet'!$B$15,'Paramètres'!$A$1:$I$89,7,0))</f>
        <v>0</v>
      </c>
      <c r="EU26" s="135">
        <f>IF(ISNA(VLOOKUP(A26,'Données projet'!$A$191:$I$211,7,0)),0%,VLOOKUP(A26,'Données projet'!$A$191:$I$211,7,0))</f>
        <v>0</v>
      </c>
      <c r="EV26" s="142">
        <f>EXP(-LN(2)/35)*EV25+(1-EXP(-LN(2)/35))/(LN(2)/35)*ER26*ES26*VLOOKUP('Données projet'!$B$15,'Paramètres'!$A$1:$I$89,3,0)*0.475*44/12</f>
        <v>0</v>
      </c>
      <c r="EW26" s="142">
        <f>EXP(-LN(2)/25)*EW25+(1-EXP(-LN(2)/25))/(LN(2)/25)*Calculateur!ER26*Calculateur!ET26*VLOOKUP('Données projet'!$B$15,'Paramètres'!$A$1:$I$89,3,0)*0.475*44/12</f>
        <v>0</v>
      </c>
      <c r="EX26" s="142">
        <f>EXP(-LN(2)/2)*EX25+(1-EXP(-LN(2)/2))/(LN(2)/2)*ER26*EU26*VLOOKUP('Données projet'!$B$15,'Paramètres'!$A$1:$I$89,3,0)*0.475*44/12</f>
        <v>0</v>
      </c>
      <c r="EY26" s="143">
        <f t="shared" si="22"/>
        <v>0</v>
      </c>
      <c r="EZ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1" t="str">
        <f>VLOOKUP(A26,'Données projet'!$A$217:$I$237,2,0)</f>
        <v>#N/A</v>
      </c>
      <c r="FC26" s="131" t="str">
        <f>VLOOKUP(A26,'Données projet'!$A$217:$I$237,9,0)</f>
        <v>#N/A</v>
      </c>
      <c r="FD26" s="130">
        <f t="array" ref="FD26">INDEX(FC:FC,MIN(IF(ISNUMBER(FC26:FC222),ROW(FC26:FC222),"")))</f>
        <v>10.2</v>
      </c>
      <c r="FE26" s="130">
        <f>IF('Données projet'!$A$218&gt;35,FE25+FD26-FM25,IF(A26&lt;'Données projet'!$A$218,$FB$205^A26,IF(A26='Données projet'!$A$218,'Données projet'!$B$218,FE25+FD26-FM25)))</f>
        <v>144.6</v>
      </c>
      <c r="FF26" s="138">
        <f>FE26*VLOOKUP('Données projet'!$B$16,'Paramètres'!$A$1:$I$89,3,0)*VLOOKUP('Données projet'!$B$16,'Paramètres'!$A$1:$I$89,5,0)</f>
        <v>130.83408</v>
      </c>
      <c r="FG26" s="130">
        <f t="shared" si="48"/>
        <v>34.18901893</v>
      </c>
      <c r="FH26" s="141">
        <f t="shared" si="23"/>
        <v>287.4152306</v>
      </c>
      <c r="FI26" s="133">
        <f t="shared" si="24"/>
        <v>580.748564</v>
      </c>
      <c r="FJ26" s="133">
        <f>AVERAGE(OFFSET($FI$3,0,0,'Données projet'!$E$16+1,1))-AVERAGE(OFFSET($H$3,0,0,'Données projet'!$E$16+1,1))</f>
        <v>305.6252353</v>
      </c>
      <c r="FK26" s="133">
        <f t="shared" si="49"/>
        <v>331.397916</v>
      </c>
      <c r="FL26" s="134">
        <f>IF(ISNA(VLOOKUP(A26,'Données projet'!$A$217:$I$237,3,0)),0,VLOOKUP(A26,'Données projet'!$A$217:$I$237,3,0))</f>
        <v>0</v>
      </c>
      <c r="FM26" s="134">
        <f>IF(ISNA(VLOOKUP(A26,'Données projet'!$A$217:$I$237,4,0)),0,VLOOKUP(A26,'Données projet'!$A$217:$I$237,4,0))</f>
        <v>0</v>
      </c>
      <c r="FN26" s="135">
        <f>IF(ISNA(VLOOKUP(A26,'Données projet'!$A$217:$I$237,5,0)),0%,VLOOKUP(A26,'Données projet'!$A$217:$I$237,5,0)*VLOOKUP('Données projet'!$B$16,'Paramètres'!$A$1:$I$89,7,0))</f>
        <v>0</v>
      </c>
      <c r="FO26" s="135">
        <f>IF(ISNA(VLOOKUP(A26,'Données projet'!$A$217:$I$237,6,0)),0%,VLOOKUP(A26,'Données projet'!$A$217:$I$237,6,0)*VLOOKUP('Données projet'!$B$16,'Paramètres'!$A$1:$I$89,7,0))</f>
        <v>0</v>
      </c>
      <c r="FP26" s="135">
        <f>IF(ISNA(VLOOKUP(A26,'Données projet'!$A$217:$I$237,7,0)),0%,VLOOKUP(A26,'Données projet'!$A$217:$I$237,7,0))</f>
        <v>0</v>
      </c>
      <c r="FQ26" s="142">
        <f>EXP(-LN(2)/35)*FQ25+(1-EXP(-LN(2)/35))/(LN(2)/35)*FM26*FN26*VLOOKUP('Données projet'!$B$16,'Paramètres'!$A$1:$I$89,3,0)*0.475*44/12</f>
        <v>0</v>
      </c>
      <c r="FR26" s="142">
        <f>EXP(-LN(2)/25)*FR25+(1-EXP(-LN(2)/25))/(LN(2)/25)*Calculateur!FM26*Calculateur!FO26*VLOOKUP('Données projet'!$B$16,'Paramètres'!$A$1:$I$89,3,0)*0.475*44/12</f>
        <v>0</v>
      </c>
      <c r="FS26" s="142">
        <f>EXP(-LN(2)/2)*FS25+(1-EXP(-LN(2)/2))/(LN(2)/2)*FM26*FP26*VLOOKUP('Données projet'!$B$16,'Paramètres'!$A$1:$I$89,3,0)*0.475*44/12</f>
        <v>0</v>
      </c>
      <c r="FT26" s="143">
        <f t="shared" si="25"/>
        <v>0</v>
      </c>
      <c r="FU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1" t="str">
        <f>VLOOKUP(A26,'Données projet'!$A$243:$I$263,2,0)</f>
        <v>#N/A</v>
      </c>
      <c r="FX26" s="131" t="str">
        <f>VLOOKUP(A26,'Données projet'!$A$243:$I$263,9,0)</f>
        <v>#N/A</v>
      </c>
      <c r="FY26" s="130">
        <f t="array" ref="FY26">INDEX(FX:FX,MIN(IF(ISNUMBER(FX26:FX222),ROW(FX26:FX222),"")))</f>
        <v>8.8</v>
      </c>
      <c r="FZ26" s="138">
        <f>IF('Données projet'!$A$244&gt;35,FZ25+FY26-GH25,IF(A26&lt;'Données projet'!$A$244,$FW$205^A26,IF(A26='Données projet'!$A$244,'Données projet'!$B$244,FZ25+FY26-GH25)))</f>
        <v>58.4</v>
      </c>
      <c r="GA26" s="138">
        <f>FZ26*VLOOKUP('Données projet'!$B$17,'Paramètres'!$A$1:$I$89,3,0)*VLOOKUP('Données projet'!$B$17,'Paramètres'!$A$1:$I$89,5,0)</f>
        <v>39.17472</v>
      </c>
      <c r="GB26" s="130">
        <f t="shared" si="50"/>
        <v>11.77964165</v>
      </c>
      <c r="GC26" s="141">
        <f t="shared" si="26"/>
        <v>88.74551321</v>
      </c>
      <c r="GD26" s="133">
        <f t="shared" si="27"/>
        <v>382.0788465</v>
      </c>
      <c r="GE26" s="133">
        <f>AVERAGE(OFFSET($GD$3,0,0,'Données projet'!$E$17+1,1))-AVERAGE(OFFSET($H$3,0,0,'Données projet'!$E$17+1,1))</f>
        <v>118.7368745</v>
      </c>
      <c r="GF26" s="133">
        <f t="shared" si="51"/>
        <v>135.1233677</v>
      </c>
      <c r="GG26" s="134">
        <f>IF(ISNA(VLOOKUP(A26,'Données projet'!$A$243:$I$263,3,0)),0,VLOOKUP(A26,'Données projet'!$A$243:$I$263,3,0))</f>
        <v>0</v>
      </c>
      <c r="GH26" s="134">
        <f>IF(ISNA(VLOOKUP(A26,'Données projet'!$A$243:$I$263,4,0)),0,VLOOKUP(A26,'Données projet'!$A$243:$I$263,4,0))</f>
        <v>0</v>
      </c>
      <c r="GI26" s="135">
        <f>IF(ISNA(VLOOKUP(A26,'Données projet'!$A$243:$I$263,5,0)),0%,VLOOKUP(A26,'Données projet'!$A$243:$I$263,5,0)*VLOOKUP('Données projet'!$B$17,'Paramètres'!$A$1:$I$89,7,0))</f>
        <v>0</v>
      </c>
      <c r="GJ26" s="135">
        <f>IF(ISNA(VLOOKUP(A26,'Données projet'!$A$243:$I$263,6,0)),0%,VLOOKUP(A26,'Données projet'!$A$243:$I$263,6,0)*VLOOKUP('Données projet'!$B$17,'Paramètres'!$A$1:$I$89,7,0))</f>
        <v>0</v>
      </c>
      <c r="GK26" s="135">
        <f>IF(ISNA(VLOOKUP(A26,'Données projet'!$A$243:$I$263,7,0)),0%,VLOOKUP(A26,'Données projet'!$A$243:$I$263,7,0))</f>
        <v>0</v>
      </c>
      <c r="GL26" s="142">
        <f>EXP(-LN(2)/35)*GL25+(1-EXP(-LN(2)/35))/(LN(2)/35)*GH26*GI26*VLOOKUP('Données projet'!$B$17,'Paramètres'!$A$1:$I$89,3,0)*0.475*44/12</f>
        <v>0</v>
      </c>
      <c r="GM26" s="142">
        <f>EXP(-LN(2)/25)*GM25+(1-EXP(-LN(2)/25))/(LN(2)/25)*Calculateur!GH26*Calculateur!GJ26*VLOOKUP('Données projet'!$B$17,'Paramètres'!$A$1:$I$89,3,0)*0.475*44/12</f>
        <v>0</v>
      </c>
      <c r="GN26" s="142">
        <f>EXP(-LN(2)/2)*GN25+(1-EXP(-LN(2)/2))/(LN(2)/2)*GH26*GK26*VLOOKUP('Données projet'!$B$17,'Paramètres'!$A$1:$I$89,3,0)*0.475*44/12</f>
        <v>0</v>
      </c>
      <c r="GO26" s="142">
        <f t="shared" si="28"/>
        <v>0</v>
      </c>
      <c r="GP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1" t="str">
        <f>VLOOKUP(A26,'Données projet'!$A$269:$I$289,2,0)</f>
        <v>#N/A</v>
      </c>
      <c r="GS26" s="131" t="str">
        <f>VLOOKUP(A26,'Données projet'!$A$269:$I$289,9,0)</f>
        <v>#N/A</v>
      </c>
      <c r="GT26" s="130">
        <f t="array" ref="GT26">INDEX(GS:GS,MIN(IF(ISNUMBER(GS26:GS222),ROW(GS26:GS222),"")))</f>
        <v>1.2</v>
      </c>
      <c r="GU26" s="131">
        <f>IF('Données projet'!$A$270&gt;35,GU25+GT26-HC25,IF(A26&lt;'Données projet'!$A$270,$GR$205^A26,IF(A26='Données projet'!$A$270,'Données projet'!$B$270,GU25+GT26-HC25)))</f>
        <v>22.85343858</v>
      </c>
      <c r="GV26" s="138">
        <f>GU26*VLOOKUP('Données projet'!$B$18,'Paramètres'!$A$1:$I$89,3,0)*VLOOKUP('Données projet'!$B$18,'Paramètres'!$A$1:$I$89,5,0)</f>
        <v>24.59944129</v>
      </c>
      <c r="GW26" s="130">
        <f t="shared" si="52"/>
        <v>7.808607795</v>
      </c>
      <c r="GX26" s="141">
        <f t="shared" si="29"/>
        <v>56.44401883</v>
      </c>
      <c r="GY26" s="133">
        <f t="shared" si="30"/>
        <v>349.7773522</v>
      </c>
      <c r="GZ26" s="133">
        <f>AVERAGE(OFFSET($GY$3,0,0,'Données projet'!$E$18+1,1))-AVERAGE(OFFSET($H$3,0,0,'Données projet'!$E$18+1,1))</f>
        <v>100.5427875</v>
      </c>
      <c r="HA26" s="133">
        <f t="shared" si="53"/>
        <v>92.28663609</v>
      </c>
      <c r="HB26" s="134">
        <f>IF(ISNA(VLOOKUP(A26,'Données projet'!$A$269:$I$289,3,0)),0,VLOOKUP(A26,'Données projet'!$A$269:$I$289,3,0))</f>
        <v>0</v>
      </c>
      <c r="HC26" s="134">
        <f>IF(ISNA(VLOOKUP(A26,'Données projet'!$A$269:$I$289,4,0)),0,VLOOKUP(A26,'Données projet'!$A$269:$I$289,4,0))</f>
        <v>0</v>
      </c>
      <c r="HD26" s="135">
        <f>IF(ISNA(VLOOKUP(A26,'Données projet'!$A$269:$I$289,5,0)),0%,VLOOKUP(A26,'Données projet'!$A$269:$I$289,5,0)*VLOOKUP('Données projet'!$B$18,'Paramètres'!$A$1:$I$89,7,0))</f>
        <v>0</v>
      </c>
      <c r="HE26" s="135">
        <f>IF(ISNA(VLOOKUP(A26,'Données projet'!$A$269:$I$289,6,0)),0%,VLOOKUP(A26,'Données projet'!$A$269:$I$289,6,0)*VLOOKUP('Données projet'!$B$18,'Paramètres'!$A$1:$I$89,7,0))</f>
        <v>0</v>
      </c>
      <c r="HF26" s="135">
        <f>IF(ISNA(VLOOKUP(A26,'Données projet'!$A$269:$I$289,7,0)),0%,VLOOKUP(A26,'Données projet'!$A$269:$I$289,7,0))</f>
        <v>0</v>
      </c>
      <c r="HG26" s="142">
        <f>EXP(-LN(2)/35)*HG25+(1-EXP(-LN(2)/35))/(LN(2)/35)*HC26*HD26*VLOOKUP('Données projet'!$B$18,'Paramètres'!$A$1:$I$89,3,0)*0.475*44/12</f>
        <v>0</v>
      </c>
      <c r="HH26" s="142">
        <f>EXP(-LN(2)/25)*HH25+(1-EXP(-LN(2)/25))/(LN(2)/25)*Calculateur!HC26*Calculateur!HE26*VLOOKUP('Données projet'!$B$18,'Paramètres'!$A$1:$I$89,3,0)*0.475*44/12</f>
        <v>0</v>
      </c>
      <c r="HI26" s="142">
        <f>EXP(-LN(2)/2)*HI25+(1-EXP(-LN(2)/2))/(LN(2)/2)*HC26*HF26*VLOOKUP('Données projet'!$B$18,'Paramètres'!$A$1:$I$89,3,0)*0.475*44/12</f>
        <v>0</v>
      </c>
      <c r="HJ26" s="143">
        <f t="shared" si="31"/>
        <v>0</v>
      </c>
    </row>
    <row r="27" ht="15.75" customHeight="1">
      <c r="A27" s="125">
        <f t="shared" si="32"/>
        <v>24</v>
      </c>
      <c r="B27" s="126">
        <f>'Scénario référence'!$B$16*5+'Scénario référence'!$B$17*0+'Scénario référence'!$B$18*5</f>
        <v>0</v>
      </c>
      <c r="C27" s="140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13.104</v>
      </c>
      <c r="D27" s="127">
        <f t="shared" si="33"/>
        <v>4.476000611</v>
      </c>
      <c r="E2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7">
        <f>IF(OR('Scénario référence'!$F$8&gt;0,'Scénario référence'!$F$9&gt;0),('Scénario référence'!$F$8+'Scénario référence'!$F$9)*10,0)</f>
        <v>10</v>
      </c>
      <c r="G27" s="127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135.7052679</v>
      </c>
      <c r="H27" s="128">
        <f t="shared" si="1"/>
        <v>323.9518344</v>
      </c>
      <c r="I27" s="12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1" t="str">
        <f>VLOOKUP(A27,'Données projet'!$A$35:$I$55,2,0)</f>
        <v>#N/A</v>
      </c>
      <c r="L27" s="131" t="str">
        <f>VLOOKUP(A27,'Données projet'!$A$35:$I$55,9,0)</f>
        <v>#N/A</v>
      </c>
      <c r="M27" s="131">
        <f t="array" ref="M27">INDEX(L:L,MIN(IF(ISNUMBER(L27:L223),ROW(L27:L223),"")))</f>
        <v>3.92</v>
      </c>
      <c r="N27" s="130">
        <f>IF('Données projet'!$A$36&gt;35,N26+M27-V26,IF(A27&lt;'Données projet'!$A$36,$K$205^A27,IF(A27='Données projet'!$A$36,'Données projet'!$B$36,N26+M27-V26)))</f>
        <v>81.5787474</v>
      </c>
      <c r="O27" s="130">
        <f>N27*VLOOKUP('Données projet'!$B$9,'Paramètres'!$A$1:$I$89,3,0)*VLOOKUP('Données projet'!$B$9,'Paramètres'!$A$1:$I$89,5,0)</f>
        <v>46.66304351</v>
      </c>
      <c r="P27" s="130">
        <f t="shared" si="34"/>
        <v>13.74854255</v>
      </c>
      <c r="Q27" s="141">
        <f t="shared" si="2"/>
        <v>105.2168457</v>
      </c>
      <c r="R27" s="133">
        <f t="shared" si="3"/>
        <v>398.5501791</v>
      </c>
      <c r="S27" s="133">
        <f>AVERAGE(OFFSET($R$3,0,0,'Données projet'!$E$9+1,1))-AVERAGE(OFFSET($H$3,0,0,'Données projet'!$E$9+1,1))</f>
        <v>126.9946492</v>
      </c>
      <c r="T27" s="133">
        <f t="shared" si="35"/>
        <v>140.039049</v>
      </c>
      <c r="U27" s="134">
        <f>IF(ISNA(VLOOKUP(A27,'Données projet'!$A$35:$I$55,3,0)),0,VLOOKUP(A27,'Données projet'!$A$35:$I$55,3,0))</f>
        <v>0</v>
      </c>
      <c r="V27" s="134">
        <f>IF(ISNA(VLOOKUP(A27,'Données projet'!$A$35:$I$55,4,0)),0,VLOOKUP(A27,'Données projet'!$A$35:$I$55,4,0))</f>
        <v>0</v>
      </c>
      <c r="W27" s="135">
        <f>IF(ISNA(VLOOKUP(A27,'Données projet'!$A$35:$I$55,5,0)),0%,VLOOKUP(A27,'Données projet'!$A$35:$I$55,5,0)*VLOOKUP('Données projet'!$B$9,'Paramètres'!$A$1:$I$89,7,0))</f>
        <v>0</v>
      </c>
      <c r="X27" s="135">
        <f>IF(ISNA(VLOOKUP(A27,'Données projet'!$A$35:$I$55,6,0)),0%,VLOOKUP(A27,'Données projet'!$A$35:$I$55,6,0)*VLOOKUP('Données projet'!$B$9,'Paramètres'!$A$1:$I$89,7,0))</f>
        <v>0</v>
      </c>
      <c r="Y27" s="135">
        <f>IF(ISNA(VLOOKUP(A27,'Données projet'!$A$35:$I$55,7,0)),0%,VLOOKUP(A27,'Données projet'!$A$35:$I$55,7,0))</f>
        <v>0</v>
      </c>
      <c r="Z27" s="142">
        <f>EXP(-LN(2)/35)*Z26+(1-EXP(-LN(2)/35))/(LN(2)/35)*V27*W27*VLOOKUP('Données projet'!$B$9,'Paramètres'!$A$1:$I$89,3,0)*0.475*44/12</f>
        <v>0</v>
      </c>
      <c r="AA27" s="142">
        <f>EXP(-LN(2)/25)*AA26+(1-EXP(-LN(2)/25))/(LN(2)/25)*Calculateur!V27*Calculateur!X27*VLOOKUP('Données projet'!$B$9,'Paramètres'!$A$1:$I$89,3,0)*0.475*44/12</f>
        <v>0</v>
      </c>
      <c r="AB27" s="142">
        <f>EXP(-LN(2)/2)*AB26+(1-EXP(-LN(2)/2))/(LN(2)/2)*V27*Y27*VLOOKUP('Données projet'!$B$9,'Paramètres'!$A$1:$I$89,3,0)*0.475*44/12</f>
        <v>0</v>
      </c>
      <c r="AC27" s="143">
        <f t="shared" si="4"/>
        <v>0</v>
      </c>
      <c r="AD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0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1" t="str">
        <f>VLOOKUP(A27,'Données projet'!$A$61:$I$81,2,0)</f>
        <v>#N/A</v>
      </c>
      <c r="AG27" s="131" t="str">
        <f>VLOOKUP(A27,'Données projet'!$A$61:$I$81,9,0)</f>
        <v>#N/A</v>
      </c>
      <c r="AH27" s="131">
        <f t="array" ref="AH27">INDEX(AG:AG,MIN(IF(ISNUMBER(AG27:AG223),ROW(AG27:AG223),"")))</f>
        <v>12.33333333</v>
      </c>
      <c r="AI27" s="130">
        <f>IF('Données projet'!$A$62&gt;35,AI26+AH27-AQ26,IF(A27&lt;'Données projet'!$A$62,$AF$205^A27,IF(A27='Données projet'!$A$62,'Données projet'!$B$62,AI26+AH27-AQ26)))</f>
        <v>131.6666667</v>
      </c>
      <c r="AJ27" s="130">
        <f>AI27*VLOOKUP('Données projet'!$B$10,'Paramètres'!$A$1:$I$89,3,0)*VLOOKUP('Données projet'!$B$10,'Paramètres'!$A$1:$I$89,5,0)</f>
        <v>78.73666667</v>
      </c>
      <c r="AK27" s="130">
        <f t="shared" si="36"/>
        <v>21.82800698</v>
      </c>
      <c r="AL27" s="141">
        <f t="shared" si="5"/>
        <v>175.1501399</v>
      </c>
      <c r="AM27" s="133">
        <f t="shared" si="6"/>
        <v>468.4834733</v>
      </c>
      <c r="AN27" s="133">
        <f>AVERAGE(OFFSET($AM$3,0,0,'Données projet'!$E$10+1,1))-AVERAGE(OFFSET($H$3,0,0,'Données projet'!$E$10+1,1))</f>
        <v>196.874484</v>
      </c>
      <c r="AO27" s="133">
        <f t="shared" si="37"/>
        <v>217.5750859</v>
      </c>
      <c r="AP27" s="134">
        <f>IF(ISNA(VLOOKUP(A27,'Données projet'!$A$61:$I$81,3,0)),0,VLOOKUP(A27,'Données projet'!$A$61:$I$81,3,0))</f>
        <v>0</v>
      </c>
      <c r="AQ27" s="134">
        <f>IF(ISNA(VLOOKUP(A27,'Données projet'!$A$61:$I$81,4,0)),0,VLOOKUP(A27,'Données projet'!$A$61:$I$81,4,0))</f>
        <v>0</v>
      </c>
      <c r="AR27" s="135">
        <f>IF(ISNA(VLOOKUP(A27,'Données projet'!$A$61:$I$81,5,0)),0%,VLOOKUP(A27,'Données projet'!$A$61:$I$81,5,0)*VLOOKUP('Données projet'!$B$10,'Paramètres'!$A$1:$I$89,7,0))</f>
        <v>0</v>
      </c>
      <c r="AS27" s="135">
        <f>IF(ISNA(VLOOKUP(A27,'Données projet'!$A$61:$I$81,6,0)),0%,VLOOKUP(A27,'Données projet'!$A$61:$I$81,6,0)*VLOOKUP('Données projet'!$B$10,'Paramètres'!$A$1:$I$89,7,0))</f>
        <v>0</v>
      </c>
      <c r="AT27" s="135">
        <f>IF(ISNA(VLOOKUP(A27,'Données projet'!$A$61:$I$81,7,0)),0%,VLOOKUP(A27,'Données projet'!$A$61:$I$81,7,0))</f>
        <v>0</v>
      </c>
      <c r="AU27" s="142">
        <f>EXP(-LN(2)/35)*AU26+(1-EXP(-LN(2)/35))/(LN(2)/35)*AQ27*AR27*VLOOKUP('Données projet'!$B$10,'Paramètres'!$A$1:$I$89,3,0)*0.475*44/12</f>
        <v>0</v>
      </c>
      <c r="AV27" s="142">
        <f>EXP(-LN(2)/25)*AV26+(1-EXP(-LN(2)/25))/(LN(2)/25)*Calculateur!AQ27*Calculateur!AS27*VLOOKUP('Données projet'!$B$10,'Paramètres'!$A$1:$I$89,3,0)*0.475*44/12</f>
        <v>3.014076744</v>
      </c>
      <c r="AW27" s="142">
        <f>EXP(-LN(2)/2)*AW26+(1-EXP(-LN(2)/2))/(LN(2)/2)*AQ27*AT27*VLOOKUP('Données projet'!$B$10,'Paramètres'!$A$1:$I$89,3,0)*0.475*44/12</f>
        <v>2.383303697</v>
      </c>
      <c r="AX27" s="142">
        <f t="shared" si="7"/>
        <v>5.397380441</v>
      </c>
      <c r="AY27" s="13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1" t="str">
        <f>VLOOKUP(A27,'Données projet'!$A$87:$I$107,2,0)</f>
        <v>#N/A</v>
      </c>
      <c r="BB27" s="131" t="str">
        <f>VLOOKUP(A27,'Données projet'!$A$87:$I$107,9,0)</f>
        <v>#N/A</v>
      </c>
      <c r="BC27" s="130">
        <f t="array" ref="BC27">INDEX(BB:BB,MIN(IF(ISNUMBER(BB27:BB223),ROW(BB27:BB223),"")))</f>
        <v>4.666666667</v>
      </c>
      <c r="BD27" s="131">
        <f>IF('Données projet'!$A$88&gt;35,BD26+BC27-BL26,IF(A27&lt;'Données projet'!$A$88,$BA$205^A27,IF(A27='Données projet'!$A$88,'Données projet'!$B$88,BD26+BC27-BL26)))</f>
        <v>52.10776292</v>
      </c>
      <c r="BE27" s="130">
        <f>BD27*VLOOKUP('Données projet'!$B$11,'Paramètres'!$A$1:$I$89,3,0)*VLOOKUP('Données projet'!$B$11,'Paramètres'!$A$1:$I$89,5,0)</f>
        <v>24.38643305</v>
      </c>
      <c r="BF27" s="130">
        <f t="shared" si="38"/>
        <v>7.748832737</v>
      </c>
      <c r="BG27" s="141">
        <f t="shared" si="8"/>
        <v>55.96892124</v>
      </c>
      <c r="BH27" s="133">
        <f t="shared" si="9"/>
        <v>349.3022546</v>
      </c>
      <c r="BI27" s="133">
        <f>AVERAGE(OFFSET($BH$3,0,0,'Données projet'!$E$11+1,1))-AVERAGE(OFFSET($H$3,0,0,'Données projet'!$E$11+1,1))</f>
        <v>134.0948534</v>
      </c>
      <c r="BJ27" s="133">
        <f t="shared" si="39"/>
        <v>108.4102536</v>
      </c>
      <c r="BK27" s="134">
        <f>IF(ISNA(VLOOKUP(A27,'Données projet'!$A$87:$I$107,3,0)),0,VLOOKUP(A27,'Données projet'!$A$87:$I$107,3,0))</f>
        <v>0</v>
      </c>
      <c r="BL27" s="134">
        <f>IF(ISNA(VLOOKUP(A27,'Données projet'!$A$87:$I$107,4,0)),0,VLOOKUP(A27,'Données projet'!$A$87:$I$107,4,0))</f>
        <v>0</v>
      </c>
      <c r="BM27" s="135">
        <f>IF(ISNA(VLOOKUP(A27,'Données projet'!$A$87:$I$107,5,0)),0%,VLOOKUP(A27,'Données projet'!$A$87:$I$107,5,0)*VLOOKUP('Données projet'!$B$11,'Paramètres'!$A$1:$I$89,7,0))</f>
        <v>0</v>
      </c>
      <c r="BN27" s="135">
        <f>IF(ISNA(VLOOKUP(A27,'Données projet'!$A$87:$I$107,6,0)),0%,VLOOKUP(A27,'Données projet'!$A$87:$I$107,6,0)*VLOOKUP('Données projet'!$B$11,'Paramètres'!$A$1:$I$89,7,0))</f>
        <v>0</v>
      </c>
      <c r="BO27" s="135">
        <f>IF(ISNA(VLOOKUP(A27,'Données projet'!$A$87:$I$107,7,0)),0%,VLOOKUP(A27,'Données projet'!$A$87:$I$107,7,0))</f>
        <v>0</v>
      </c>
      <c r="BP27" s="142">
        <f>EXP(-LN(2)/35)*BP26+(1-EXP(-LN(2)/35))/(LN(2)/35)*BL27*BM27*VLOOKUP('Données projet'!$B$11,'Paramètres'!$A$1:$I$89,3,0)*0.475*44/12</f>
        <v>0</v>
      </c>
      <c r="BQ27" s="142">
        <f>EXP(-LN(2)/25)*BQ26+(1-EXP(-LN(2)/25))/(LN(2)/25)*Calculateur!BL27*Calculateur!BN27*VLOOKUP('Données projet'!$B$11,'Paramètres'!$A$1:$I$89,3,0)*0.475*44/12</f>
        <v>0</v>
      </c>
      <c r="BR27" s="142">
        <f>EXP(-LN(2)/2)*BR26+(1-EXP(-LN(2)/2))/(LN(2)/2)*BL27*BO27*VLOOKUP('Données projet'!$B$11,'Paramètres'!$A$1:$I$89,3,0)*0.475*44/12</f>
        <v>0</v>
      </c>
      <c r="BS27" s="143">
        <f t="shared" si="10"/>
        <v>0</v>
      </c>
      <c r="BT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1" t="str">
        <f>VLOOKUP(A27,'Données projet'!$A$113:$I$133,2,0)</f>
        <v>#N/A</v>
      </c>
      <c r="BW27" s="131" t="str">
        <f>VLOOKUP(A27,'Données projet'!$A$113:$I$133,9,0)</f>
        <v>#N/A</v>
      </c>
      <c r="BX27" s="130">
        <f t="array" ref="BX27">INDEX(BW:BW,MIN(IF(ISNUMBER(BW27:BW223),ROW(BW27:BW223),"")))</f>
        <v>24</v>
      </c>
      <c r="BY27" s="130">
        <f>IF('Données projet'!$A$114&gt;35,BY26+BX27-CG26,IF(A27&lt;'Données projet'!$A$114,$BV$205^A27,IF(A27='Données projet'!$A$114,'Données projet'!$B$114,BY26+BX27-CG26)))</f>
        <v>221</v>
      </c>
      <c r="BZ27" s="130">
        <f>BY27*VLOOKUP('Données projet'!$B$12,'Paramètres'!$A$1:$I$89,3,0)*VLOOKUP('Données projet'!$B$12,'Paramètres'!$A$1:$I$89,5,0)</f>
        <v>109.174</v>
      </c>
      <c r="CA27" s="130">
        <f t="shared" si="40"/>
        <v>29.13628724</v>
      </c>
      <c r="CB27" s="141">
        <f t="shared" si="11"/>
        <v>240.8904169</v>
      </c>
      <c r="CC27" s="133">
        <f t="shared" si="12"/>
        <v>534.2237503</v>
      </c>
      <c r="CD27" s="133">
        <f>AVERAGE(OFFSET($CC$3,0,0,'Données projet'!$E$12+1,1))-AVERAGE(OFFSET($H$3,0,0,'Données projet'!$E$12+1,1))</f>
        <v>258.1672054</v>
      </c>
      <c r="CE27" s="133">
        <f t="shared" si="41"/>
        <v>296.0724261</v>
      </c>
      <c r="CF27" s="134">
        <f>IF(ISNA(VLOOKUP(A27,'Données projet'!$A$113:$I$133,3,0)),0,VLOOKUP(A27,'Données projet'!$A$113:$I$133,3,0))</f>
        <v>0</v>
      </c>
      <c r="CG27" s="134">
        <f>IF(ISNA(VLOOKUP(A27,'Données projet'!$A$113:$I$133,4,0)),0,VLOOKUP(A27,'Données projet'!$A$113:$I$133,4,0))</f>
        <v>0</v>
      </c>
      <c r="CH27" s="135">
        <f>IF(ISNA(VLOOKUP(A27,'Données projet'!$A$113:$I$133,5,0)),0%,VLOOKUP(A27,'Données projet'!$A$113:$I$133,5,0)*VLOOKUP('Données projet'!$B$12,'Paramètres'!$A$1:$I$89,7,0))</f>
        <v>0</v>
      </c>
      <c r="CI27" s="135">
        <f>IF(ISNA(VLOOKUP(A27,'Données projet'!$A$113:$I$133,6,0)),0%,VLOOKUP(A27,'Données projet'!$A$113:$I$133,6,0)*VLOOKUP('Données projet'!$B$12,'Paramètres'!$A$1:$I$89,7,0))</f>
        <v>0</v>
      </c>
      <c r="CJ27" s="135">
        <f>IF(ISNA(VLOOKUP(A27,'Données projet'!$A$113:$I$133,7,0)),0%,VLOOKUP(A27,'Données projet'!$A$113:$I$133,7,0))</f>
        <v>0</v>
      </c>
      <c r="CK27" s="142">
        <f>EXP(-LN(2)/35)*CK26+(1-EXP(-LN(2)/35))/(LN(2)/35)*CG27*CH27*VLOOKUP('Données projet'!$B$12,'Paramètres'!$A$1:$I$89,3,0)*0.475*44/12</f>
        <v>0</v>
      </c>
      <c r="CL27" s="142">
        <f>EXP(-LN(2)/25)*CL26+(1-EXP(-LN(2)/25))/(LN(2)/25)*Calculateur!CG27*Calculateur!CI27*VLOOKUP('Données projet'!$B$12,'Paramètres'!$A$1:$I$89,3,0)*0.475*44/12</f>
        <v>0.5398201843</v>
      </c>
      <c r="CM27" s="142">
        <f>EXP(-LN(2)/2)*CM26+(1-EXP(-LN(2)/2))/(LN(2)/2)*CG27*CJ27*VLOOKUP('Données projet'!$B$12,'Paramètres'!$A$1:$I$89,3,0)*0.475*44/12</f>
        <v>0.1845765091</v>
      </c>
      <c r="CN27" s="143">
        <f t="shared" si="13"/>
        <v>0.7243966934</v>
      </c>
      <c r="CO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1" t="str">
        <f>VLOOKUP(A27,'Données projet'!$A$139:$I$159,2,0)</f>
        <v>#N/A</v>
      </c>
      <c r="CR27" s="131" t="str">
        <f>VLOOKUP(A27,'Données projet'!$A$139:$I$159,9,0)</f>
        <v>#N/A</v>
      </c>
      <c r="CS27" s="130">
        <f t="array" ref="CS27">INDEX(CR:CR,MIN(IF(ISNUMBER(CR27:CR223),ROW(CR27:CR223),"")))</f>
        <v>1.2</v>
      </c>
      <c r="CT27" s="131">
        <f>IF('Données projet'!$A$140&gt;35,CT26+CS27-DB26,IF(A27&lt;'Données projet'!$A$140,$CQ$205^A27,IF(A27='Données projet'!$A$140,'Données projet'!$B$140,CT26+CS27-DB26)))</f>
        <v>26.18402485</v>
      </c>
      <c r="CU27" s="138">
        <f>CT27*VLOOKUP('Données projet'!$B$13,'Paramètres'!$A$1:$I$89,3,0)*VLOOKUP('Données projet'!$B$13,'Paramètres'!$A$1:$I$89,5,0)</f>
        <v>26.5506012</v>
      </c>
      <c r="CV27" s="130">
        <f t="shared" si="42"/>
        <v>8.353417138</v>
      </c>
      <c r="CW27" s="141">
        <f t="shared" si="14"/>
        <v>60.79116527</v>
      </c>
      <c r="CX27" s="133">
        <f t="shared" si="15"/>
        <v>354.1244986</v>
      </c>
      <c r="CY27" s="133">
        <f>AVERAGE(OFFSET($CX$3,0,0,'Données projet'!$E$13+1,1))-AVERAGE(OFFSET($H$3,0,0,'Données projet'!$E$13+1,1))</f>
        <v>223.783507</v>
      </c>
      <c r="CZ27" s="133">
        <f t="shared" si="43"/>
        <v>84.92349117</v>
      </c>
      <c r="DA27" s="134">
        <f>IF(ISNA(VLOOKUP(A27,'Données projet'!$A$139:$I$159,3,0)),0,VLOOKUP(A27,'Données projet'!$A$139:$I$159,3,0))</f>
        <v>0</v>
      </c>
      <c r="DB27" s="134">
        <f>IF(ISNA(VLOOKUP(A27,'Données projet'!$A$139:$I$159,4,0)),0,VLOOKUP(A27,'Données projet'!$A$139:$I$159,4,0))</f>
        <v>0</v>
      </c>
      <c r="DC27" s="135">
        <f>IF(ISNA(VLOOKUP(A27,'Données projet'!$A$139:$I$159,5,0)),0%,VLOOKUP(A27,'Données projet'!$A$139:$I$159,5,0)*VLOOKUP('Données projet'!$B$13,'Paramètres'!$A$1:$I$89,7,0))</f>
        <v>0</v>
      </c>
      <c r="DD27" s="135">
        <f>IF(ISNA(VLOOKUP(A27,'Données projet'!$A$139:$I$159,6,0)),0%,VLOOKUP(A27,'Données projet'!$A$139:$I$159,6,0)*VLOOKUP('Données projet'!$B$13,'Paramètres'!$A$1:$I$89,7,0))</f>
        <v>0</v>
      </c>
      <c r="DE27" s="135">
        <f>IF(ISNA(VLOOKUP(A27,'Données projet'!$A$139:$I$159,7,0)),0%,VLOOKUP(A27,'Données projet'!$A$139:$I$159,7,0))</f>
        <v>0</v>
      </c>
      <c r="DF27" s="142">
        <f>EXP(-LN(2)/35)*DF26+(1-EXP(-LN(2)/35))/(LN(2)/35)*DB27*DC27*VLOOKUP('Données projet'!$B$13,'Paramètres'!$A$1:$I$89,3,0)*0.475*44/12</f>
        <v>0</v>
      </c>
      <c r="DG27" s="142">
        <f>EXP(-LN(2)/25)*DG26+(1-EXP(-LN(2)/25))/(LN(2)/25)*Calculateur!DB27*Calculateur!DD27*VLOOKUP('Données projet'!$B$13,'Paramètres'!$A$1:$I$89,3,0)*0.475*44/12</f>
        <v>0</v>
      </c>
      <c r="DH27" s="142">
        <f>EXP(-LN(2)/2)*DH26+(1-EXP(-LN(2)/2))/(LN(2)/2)*DB27*DE27*VLOOKUP('Données projet'!$B$13,'Paramètres'!$A$1:$I$89,3,0)*0.475*44/12</f>
        <v>0</v>
      </c>
      <c r="DI27" s="143">
        <f t="shared" si="16"/>
        <v>0</v>
      </c>
      <c r="DJ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1" t="str">
        <f>VLOOKUP(A27,'Données projet'!$A$165:$I$185,2,0)</f>
        <v>#N/A</v>
      </c>
      <c r="DM27" s="131" t="str">
        <f>VLOOKUP(A27,'Données projet'!$A$165:$I$185,9,0)</f>
        <v>#N/A</v>
      </c>
      <c r="DN27" s="131">
        <f t="array" ref="DN27">INDEX(DM:DM,MIN(IF(ISNUMBER(DM27:DM223),ROW(DM27:DM223),"")))</f>
        <v>5.6</v>
      </c>
      <c r="DO27" s="138">
        <f>IF('Données projet'!$A$166&gt;35,DO26+DN27-DW26,IF(A27&lt;'Données projet'!$A$166,$DL$205^A27,IF(A27='Données projet'!$A$166,'Données projet'!$B$166,DO26+DN27-DW26)))</f>
        <v>64.4</v>
      </c>
      <c r="DP27" s="138">
        <f>DO27*VLOOKUP('Données projet'!$B$14,'Paramètres'!$A$1:$I$89,3,0)*VLOOKUP('Données projet'!$B$14,'Paramètres'!$A$1:$I$89,5,0)</f>
        <v>58.26912</v>
      </c>
      <c r="DQ27" s="130">
        <f t="shared" si="44"/>
        <v>16.72990549</v>
      </c>
      <c r="DR27" s="141">
        <f t="shared" si="17"/>
        <v>130.6233027</v>
      </c>
      <c r="DS27" s="133">
        <f t="shared" si="18"/>
        <v>423.9566361</v>
      </c>
      <c r="DT27" s="133">
        <f>AVERAGE(OFFSET($DS$3,0,0,'Données projet'!$E$14+1,1))-AVERAGE(OFFSET($H$3,0,0,'Données projet'!$E$14+1,1))</f>
        <v>287.9334714</v>
      </c>
      <c r="DU27" s="133">
        <f t="shared" si="45"/>
        <v>156.6796502</v>
      </c>
      <c r="DV27" s="134">
        <f>IF(ISNA(VLOOKUP(A27,'Données projet'!$A$165:$I$185,3,0)),0,VLOOKUP(A27,'Données projet'!$A$165:$I$185,3,0))</f>
        <v>0</v>
      </c>
      <c r="DW27" s="134">
        <f>IF(ISNA(VLOOKUP(A27,'Données projet'!$A$165:$I$185,4,0)),0,VLOOKUP(A27,'Données projet'!$A$165:$I$185,4,0))</f>
        <v>0</v>
      </c>
      <c r="DX27" s="135">
        <f>IF(ISNA(VLOOKUP(A27,'Données projet'!$A$165:$I$185,5,0)),0%,VLOOKUP(A27,'Données projet'!$A$165:$I$185,5,0)*VLOOKUP('Données projet'!$B$14,'Paramètres'!$A$1:$I$89,7,0))</f>
        <v>0</v>
      </c>
      <c r="DY27" s="135">
        <f>IF(ISNA(VLOOKUP(A27,'Données projet'!$A$165:$I$185,6,0)),0%,VLOOKUP(A27,'Données projet'!$A$165:$I$185,6,0)*VLOOKUP('Données projet'!$B$14,'Paramètres'!$A$1:$I$89,7,0))</f>
        <v>0</v>
      </c>
      <c r="DZ27" s="135">
        <f>IF(ISNA(VLOOKUP(A27,'Données projet'!$A$165:$I$185,7,0)),0%,VLOOKUP(A27,'Données projet'!$A$165:$I$185,7,0))</f>
        <v>0</v>
      </c>
      <c r="EA27" s="142">
        <f>EXP(-LN(2)/35)*EA26+(1-EXP(-LN(2)/35))/(LN(2)/35)*DW27*DX27*VLOOKUP('Données projet'!$B$14,'Paramètres'!$A$1:$I$89,3,0)*0.475*44/12</f>
        <v>0</v>
      </c>
      <c r="EB27" s="142">
        <f>EXP(-LN(2)/25)*EB26+(1-EXP(-LN(2)/25))/(LN(2)/25)*Calculateur!DW27*Calculateur!DY27*VLOOKUP('Données projet'!$B$14,'Paramètres'!$A$1:$I$89,3,0)*0.475*44/12</f>
        <v>0</v>
      </c>
      <c r="EC27" s="142">
        <f>EXP(-LN(2)/2)*EC26+(1-EXP(-LN(2)/2))/(LN(2)/2)*DW27*DZ27*VLOOKUP('Données projet'!$B$14,'Paramètres'!$A$1:$I$89,3,0)*0.475*44/12</f>
        <v>0</v>
      </c>
      <c r="ED27" s="143">
        <f t="shared" si="19"/>
        <v>0</v>
      </c>
      <c r="EE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1" t="str">
        <f>VLOOKUP(A27,'Données projet'!$A$191:$I$211,2,0)</f>
        <v>#N/A</v>
      </c>
      <c r="EH27" s="131" t="str">
        <f>VLOOKUP(A27,'Données projet'!$A$191:$I$211,9,0)</f>
        <v>#N/A</v>
      </c>
      <c r="EI27" s="131">
        <f t="array" ref="EI27">INDEX(EH:EH,MIN(IF(ISNUMBER(EH27:EH223),ROW(EH27:EH223),"")))</f>
        <v>1.6</v>
      </c>
      <c r="EJ27" s="131">
        <f>IF('Données projet'!$A$192&gt;35,EJ26+EI27-ER26,IF(A27&lt;'Données projet'!$A$192,$EG$205^A27,IF(A27='Données projet'!$A$192,'Données projet'!$B$192,EJ26+EI27-ER26)))</f>
        <v>34.51259314</v>
      </c>
      <c r="EK27" s="138">
        <f>EJ27*VLOOKUP('Données projet'!$B$15,'Paramètres'!$A$1:$I$89,3,0)*VLOOKUP('Données projet'!$B$15,'Paramètres'!$A$1:$I$89,5,0)</f>
        <v>25.30463329</v>
      </c>
      <c r="EL27" s="130">
        <f t="shared" si="46"/>
        <v>8.006074503</v>
      </c>
      <c r="EM27" s="141">
        <f t="shared" si="20"/>
        <v>58.01614941</v>
      </c>
      <c r="EN27" s="133">
        <f t="shared" si="21"/>
        <v>351.3494827</v>
      </c>
      <c r="EO27" s="133">
        <f>AVERAGE(OFFSET($EN$3,0,0,'Données projet'!$E$15+1,1))-AVERAGE(OFFSET($H$3,0,0,'Données projet'!$E$15+1,1))</f>
        <v>130.3193339</v>
      </c>
      <c r="EP27" s="133">
        <f t="shared" si="47"/>
        <v>82.22784365</v>
      </c>
      <c r="EQ27" s="134">
        <f>IF(ISNA(VLOOKUP(A27,'Données projet'!$A$191:$I$211,3,0)),0,VLOOKUP(A27,'Données projet'!$A$191:$I$211,3,0))</f>
        <v>0</v>
      </c>
      <c r="ER27" s="134">
        <f>IF(ISNA(VLOOKUP(A27,'Données projet'!$A$191:$I$211,4,0)),0,VLOOKUP(A27,'Données projet'!$A$191:$I$211,4,0))</f>
        <v>0</v>
      </c>
      <c r="ES27" s="135">
        <f>IF(ISNA(VLOOKUP(A27,'Données projet'!$A$191:$I$211,5,0)),0%,VLOOKUP(A27,'Données projet'!$A$191:$I$211,5,0)*VLOOKUP('Données projet'!$B$15,'Paramètres'!$A$1:$I$89,7,0))</f>
        <v>0</v>
      </c>
      <c r="ET27" s="135">
        <f>IF(ISNA(VLOOKUP(A27,'Données projet'!$A$191:$I$211,6,0)),0%,VLOOKUP(A27,'Données projet'!$A$191:$I$211,6,0)*VLOOKUP('Données projet'!$B$15,'Paramètres'!$A$1:$I$89,7,0))</f>
        <v>0</v>
      </c>
      <c r="EU27" s="135">
        <f>IF(ISNA(VLOOKUP(A27,'Données projet'!$A$191:$I$211,7,0)),0%,VLOOKUP(A27,'Données projet'!$A$191:$I$211,7,0))</f>
        <v>0</v>
      </c>
      <c r="EV27" s="142">
        <f>EXP(-LN(2)/35)*EV26+(1-EXP(-LN(2)/35))/(LN(2)/35)*ER27*ES27*VLOOKUP('Données projet'!$B$15,'Paramètres'!$A$1:$I$89,3,0)*0.475*44/12</f>
        <v>0</v>
      </c>
      <c r="EW27" s="142">
        <f>EXP(-LN(2)/25)*EW26+(1-EXP(-LN(2)/25))/(LN(2)/25)*Calculateur!ER27*Calculateur!ET27*VLOOKUP('Données projet'!$B$15,'Paramètres'!$A$1:$I$89,3,0)*0.475*44/12</f>
        <v>0</v>
      </c>
      <c r="EX27" s="142">
        <f>EXP(-LN(2)/2)*EX26+(1-EXP(-LN(2)/2))/(LN(2)/2)*ER27*EU27*VLOOKUP('Données projet'!$B$15,'Paramètres'!$A$1:$I$89,3,0)*0.475*44/12</f>
        <v>0</v>
      </c>
      <c r="EY27" s="143">
        <f t="shared" si="22"/>
        <v>0</v>
      </c>
      <c r="EZ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1" t="str">
        <f>VLOOKUP(A27,'Données projet'!$A$217:$I$237,2,0)</f>
        <v>#N/A</v>
      </c>
      <c r="FC27" s="131" t="str">
        <f>VLOOKUP(A27,'Données projet'!$A$217:$I$237,9,0)</f>
        <v>#N/A</v>
      </c>
      <c r="FD27" s="130">
        <f t="array" ref="FD27">INDEX(FC:FC,MIN(IF(ISNUMBER(FC27:FC223),ROW(FC27:FC223),"")))</f>
        <v>10.2</v>
      </c>
      <c r="FE27" s="130">
        <f>IF('Données projet'!$A$218&gt;35,FE26+FD27-FM26,IF(A27&lt;'Données projet'!$A$218,$FB$205^A27,IF(A27='Données projet'!$A$218,'Données projet'!$B$218,FE26+FD27-FM26)))</f>
        <v>154.8</v>
      </c>
      <c r="FF27" s="138">
        <f>FE27*VLOOKUP('Données projet'!$B$16,'Paramètres'!$A$1:$I$89,3,0)*VLOOKUP('Données projet'!$B$16,'Paramètres'!$A$1:$I$89,5,0)</f>
        <v>140.06304</v>
      </c>
      <c r="FG27" s="130">
        <f t="shared" si="48"/>
        <v>36.3114467</v>
      </c>
      <c r="FH27" s="141">
        <f t="shared" si="23"/>
        <v>307.1855643</v>
      </c>
      <c r="FI27" s="133">
        <f t="shared" si="24"/>
        <v>600.5188977</v>
      </c>
      <c r="FJ27" s="133">
        <f>AVERAGE(OFFSET($FI$3,0,0,'Données projet'!$E$16+1,1))-AVERAGE(OFFSET($H$3,0,0,'Données projet'!$E$16+1,1))</f>
        <v>305.6252353</v>
      </c>
      <c r="FK27" s="133">
        <f t="shared" si="49"/>
        <v>331.397916</v>
      </c>
      <c r="FL27" s="134">
        <f>IF(ISNA(VLOOKUP(A27,'Données projet'!$A$217:$I$237,3,0)),0,VLOOKUP(A27,'Données projet'!$A$217:$I$237,3,0))</f>
        <v>0</v>
      </c>
      <c r="FM27" s="134">
        <f>IF(ISNA(VLOOKUP(A27,'Données projet'!$A$217:$I$237,4,0)),0,VLOOKUP(A27,'Données projet'!$A$217:$I$237,4,0))</f>
        <v>0</v>
      </c>
      <c r="FN27" s="135">
        <f>IF(ISNA(VLOOKUP(A27,'Données projet'!$A$217:$I$237,5,0)),0%,VLOOKUP(A27,'Données projet'!$A$217:$I$237,5,0)*VLOOKUP('Données projet'!$B$16,'Paramètres'!$A$1:$I$89,7,0))</f>
        <v>0</v>
      </c>
      <c r="FO27" s="135">
        <f>IF(ISNA(VLOOKUP(A27,'Données projet'!$A$217:$I$237,6,0)),0%,VLOOKUP(A27,'Données projet'!$A$217:$I$237,6,0)*VLOOKUP('Données projet'!$B$16,'Paramètres'!$A$1:$I$89,7,0))</f>
        <v>0</v>
      </c>
      <c r="FP27" s="135">
        <f>IF(ISNA(VLOOKUP(A27,'Données projet'!$A$217:$I$237,7,0)),0%,VLOOKUP(A27,'Données projet'!$A$217:$I$237,7,0))</f>
        <v>0</v>
      </c>
      <c r="FQ27" s="142">
        <f>EXP(-LN(2)/35)*FQ26+(1-EXP(-LN(2)/35))/(LN(2)/35)*FM27*FN27*VLOOKUP('Données projet'!$B$16,'Paramètres'!$A$1:$I$89,3,0)*0.475*44/12</f>
        <v>0</v>
      </c>
      <c r="FR27" s="142">
        <f>EXP(-LN(2)/25)*FR26+(1-EXP(-LN(2)/25))/(LN(2)/25)*Calculateur!FM27*Calculateur!FO27*VLOOKUP('Données projet'!$B$16,'Paramètres'!$A$1:$I$89,3,0)*0.475*44/12</f>
        <v>0</v>
      </c>
      <c r="FS27" s="142">
        <f>EXP(-LN(2)/2)*FS26+(1-EXP(-LN(2)/2))/(LN(2)/2)*FM27*FP27*VLOOKUP('Données projet'!$B$16,'Paramètres'!$A$1:$I$89,3,0)*0.475*44/12</f>
        <v>0</v>
      </c>
      <c r="FT27" s="143">
        <f t="shared" si="25"/>
        <v>0</v>
      </c>
      <c r="FU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1" t="str">
        <f>VLOOKUP(A27,'Données projet'!$A$243:$I$263,2,0)</f>
        <v>#N/A</v>
      </c>
      <c r="FX27" s="131" t="str">
        <f>VLOOKUP(A27,'Données projet'!$A$243:$I$263,9,0)</f>
        <v>#N/A</v>
      </c>
      <c r="FY27" s="130">
        <f t="array" ref="FY27">INDEX(FX:FX,MIN(IF(ISNUMBER(FX27:FX223),ROW(FX27:FX223),"")))</f>
        <v>8.8</v>
      </c>
      <c r="FZ27" s="138">
        <f>IF('Données projet'!$A$244&gt;35,FZ26+FY27-GH26,IF(A27&lt;'Données projet'!$A$244,$FW$205^A27,IF(A27='Données projet'!$A$244,'Données projet'!$B$244,FZ26+FY27-GH26)))</f>
        <v>67.2</v>
      </c>
      <c r="GA27" s="138">
        <f>FZ27*VLOOKUP('Données projet'!$B$17,'Paramètres'!$A$1:$I$89,3,0)*VLOOKUP('Données projet'!$B$17,'Paramètres'!$A$1:$I$89,5,0)</f>
        <v>45.07776</v>
      </c>
      <c r="GB27" s="130">
        <f t="shared" si="50"/>
        <v>13.33500482</v>
      </c>
      <c r="GC27" s="141">
        <f t="shared" si="26"/>
        <v>101.7355654</v>
      </c>
      <c r="GD27" s="133">
        <f t="shared" si="27"/>
        <v>395.0688987</v>
      </c>
      <c r="GE27" s="133">
        <f>AVERAGE(OFFSET($GD$3,0,0,'Données projet'!$E$17+1,1))-AVERAGE(OFFSET($H$3,0,0,'Données projet'!$E$17+1,1))</f>
        <v>118.7368745</v>
      </c>
      <c r="GF27" s="133">
        <f t="shared" si="51"/>
        <v>135.1233677</v>
      </c>
      <c r="GG27" s="134">
        <f>IF(ISNA(VLOOKUP(A27,'Données projet'!$A$243:$I$263,3,0)),0,VLOOKUP(A27,'Données projet'!$A$243:$I$263,3,0))</f>
        <v>0</v>
      </c>
      <c r="GH27" s="134">
        <f>IF(ISNA(VLOOKUP(A27,'Données projet'!$A$243:$I$263,4,0)),0,VLOOKUP(A27,'Données projet'!$A$243:$I$263,4,0))</f>
        <v>0</v>
      </c>
      <c r="GI27" s="135">
        <f>IF(ISNA(VLOOKUP(A27,'Données projet'!$A$243:$I$263,5,0)),0%,VLOOKUP(A27,'Données projet'!$A$243:$I$263,5,0)*VLOOKUP('Données projet'!$B$17,'Paramètres'!$A$1:$I$89,7,0))</f>
        <v>0</v>
      </c>
      <c r="GJ27" s="135">
        <f>IF(ISNA(VLOOKUP(A27,'Données projet'!$A$243:$I$263,6,0)),0%,VLOOKUP(A27,'Données projet'!$A$243:$I$263,6,0)*VLOOKUP('Données projet'!$B$17,'Paramètres'!$A$1:$I$89,7,0))</f>
        <v>0</v>
      </c>
      <c r="GK27" s="135">
        <f>IF(ISNA(VLOOKUP(A27,'Données projet'!$A$243:$I$263,7,0)),0%,VLOOKUP(A27,'Données projet'!$A$243:$I$263,7,0))</f>
        <v>0</v>
      </c>
      <c r="GL27" s="142">
        <f>EXP(-LN(2)/35)*GL26+(1-EXP(-LN(2)/35))/(LN(2)/35)*GH27*GI27*VLOOKUP('Données projet'!$B$17,'Paramètres'!$A$1:$I$89,3,0)*0.475*44/12</f>
        <v>0</v>
      </c>
      <c r="GM27" s="142">
        <f>EXP(-LN(2)/25)*GM26+(1-EXP(-LN(2)/25))/(LN(2)/25)*Calculateur!GH27*Calculateur!GJ27*VLOOKUP('Données projet'!$B$17,'Paramètres'!$A$1:$I$89,3,0)*0.475*44/12</f>
        <v>0</v>
      </c>
      <c r="GN27" s="142">
        <f>EXP(-LN(2)/2)*GN26+(1-EXP(-LN(2)/2))/(LN(2)/2)*GH27*GK27*VLOOKUP('Données projet'!$B$17,'Paramètres'!$A$1:$I$89,3,0)*0.475*44/12</f>
        <v>0</v>
      </c>
      <c r="GO27" s="142">
        <f t="shared" si="28"/>
        <v>0</v>
      </c>
      <c r="GP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1" t="str">
        <f>VLOOKUP(A27,'Données projet'!$A$269:$I$289,2,0)</f>
        <v>#N/A</v>
      </c>
      <c r="GS27" s="131" t="str">
        <f>VLOOKUP(A27,'Données projet'!$A$269:$I$289,9,0)</f>
        <v>#N/A</v>
      </c>
      <c r="GT27" s="130">
        <f t="array" ref="GT27">INDEX(GS:GS,MIN(IF(ISNUMBER(GS27:GS223),ROW(GS27:GS223),"")))</f>
        <v>1.2</v>
      </c>
      <c r="GU27" s="131">
        <f>IF('Données projet'!$A$270&gt;35,GU26+GT27-HC26,IF(A27&lt;'Données projet'!$A$270,$GR$205^A27,IF(A27='Données projet'!$A$270,'Données projet'!$B$270,GU26+GT27-HC26)))</f>
        <v>26.18402485</v>
      </c>
      <c r="GV27" s="138">
        <f>GU27*VLOOKUP('Données projet'!$B$18,'Paramètres'!$A$1:$I$89,3,0)*VLOOKUP('Données projet'!$B$18,'Paramètres'!$A$1:$I$89,5,0)</f>
        <v>28.18448435</v>
      </c>
      <c r="GW27" s="130">
        <f t="shared" si="52"/>
        <v>8.806046686</v>
      </c>
      <c r="GX27" s="141">
        <f t="shared" si="29"/>
        <v>64.42517489</v>
      </c>
      <c r="GY27" s="133">
        <f t="shared" si="30"/>
        <v>357.7585082</v>
      </c>
      <c r="GZ27" s="133">
        <f>AVERAGE(OFFSET($GY$3,0,0,'Données projet'!$E$18+1,1))-AVERAGE(OFFSET($H$3,0,0,'Données projet'!$E$18+1,1))</f>
        <v>100.5427875</v>
      </c>
      <c r="HA27" s="133">
        <f t="shared" si="53"/>
        <v>92.28663609</v>
      </c>
      <c r="HB27" s="134">
        <f>IF(ISNA(VLOOKUP(A27,'Données projet'!$A$269:$I$289,3,0)),0,VLOOKUP(A27,'Données projet'!$A$269:$I$289,3,0))</f>
        <v>0</v>
      </c>
      <c r="HC27" s="134">
        <f>IF(ISNA(VLOOKUP(A27,'Données projet'!$A$269:$I$289,4,0)),0,VLOOKUP(A27,'Données projet'!$A$269:$I$289,4,0))</f>
        <v>0</v>
      </c>
      <c r="HD27" s="135">
        <f>IF(ISNA(VLOOKUP(A27,'Données projet'!$A$269:$I$289,5,0)),0%,VLOOKUP(A27,'Données projet'!$A$269:$I$289,5,0)*VLOOKUP('Données projet'!$B$18,'Paramètres'!$A$1:$I$89,7,0))</f>
        <v>0</v>
      </c>
      <c r="HE27" s="135">
        <f>IF(ISNA(VLOOKUP(A27,'Données projet'!$A$269:$I$289,6,0)),0%,VLOOKUP(A27,'Données projet'!$A$269:$I$289,6,0)*VLOOKUP('Données projet'!$B$18,'Paramètres'!$A$1:$I$89,7,0))</f>
        <v>0</v>
      </c>
      <c r="HF27" s="135">
        <f>IF(ISNA(VLOOKUP(A27,'Données projet'!$A$269:$I$289,7,0)),0%,VLOOKUP(A27,'Données projet'!$A$269:$I$289,7,0))</f>
        <v>0</v>
      </c>
      <c r="HG27" s="142">
        <f>EXP(-LN(2)/35)*HG26+(1-EXP(-LN(2)/35))/(LN(2)/35)*HC27*HD27*VLOOKUP('Données projet'!$B$18,'Paramètres'!$A$1:$I$89,3,0)*0.475*44/12</f>
        <v>0</v>
      </c>
      <c r="HH27" s="142">
        <f>EXP(-LN(2)/25)*HH26+(1-EXP(-LN(2)/25))/(LN(2)/25)*Calculateur!HC27*Calculateur!HE27*VLOOKUP('Données projet'!$B$18,'Paramètres'!$A$1:$I$89,3,0)*0.475*44/12</f>
        <v>0</v>
      </c>
      <c r="HI27" s="142">
        <f>EXP(-LN(2)/2)*HI26+(1-EXP(-LN(2)/2))/(LN(2)/2)*HC27*HF27*VLOOKUP('Données projet'!$B$18,'Paramètres'!$A$1:$I$89,3,0)*0.475*44/12</f>
        <v>0</v>
      </c>
      <c r="HJ27" s="143">
        <f t="shared" si="31"/>
        <v>0</v>
      </c>
    </row>
    <row r="28" ht="15.75" customHeight="1">
      <c r="A28" s="125">
        <f t="shared" si="32"/>
        <v>25</v>
      </c>
      <c r="B28" s="126">
        <f>'Scénario référence'!$B$16*5+'Scénario référence'!$B$17*0+'Scénario référence'!$B$18*5</f>
        <v>0</v>
      </c>
      <c r="C28" s="140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13.65</v>
      </c>
      <c r="D28" s="127">
        <f t="shared" si="33"/>
        <v>4.640398477</v>
      </c>
      <c r="E2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7">
        <f>IF(OR('Scénario référence'!$F$8&gt;0,'Scénario référence'!$F$9&gt;0),('Scénario référence'!$F$8+'Scénario référence'!$F$9)*10,0)</f>
        <v>10</v>
      </c>
      <c r="G28" s="127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141.1890409</v>
      </c>
      <c r="H28" s="128">
        <f t="shared" si="1"/>
        <v>325.1891107</v>
      </c>
      <c r="I28" s="12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8">
        <f>VLOOKUP(A28,'Données projet'!$A$35:$I$55,2,0)</f>
        <v>98</v>
      </c>
      <c r="L28" s="131">
        <f>VLOOKUP(A28,'Données projet'!$A$35:$I$55,9,0)</f>
        <v>3.92</v>
      </c>
      <c r="M28" s="131">
        <f t="array" ref="M28">INDEX(L:L,MIN(IF(ISNUMBER(L28:L224),ROW(L28:L224),"")))</f>
        <v>3.92</v>
      </c>
      <c r="N28" s="130">
        <f>IF('Données projet'!$A$36&gt;35,N27+M28-V27,IF(A28&lt;'Données projet'!$A$36,$K$205^A28,IF(A28='Données projet'!$A$36,'Données projet'!$B$36,N27+M28-V27)))</f>
        <v>98</v>
      </c>
      <c r="O28" s="130">
        <f>N28*VLOOKUP('Données projet'!$B$9,'Paramètres'!$A$1:$I$89,3,0)*VLOOKUP('Données projet'!$B$9,'Paramètres'!$A$1:$I$89,5,0)</f>
        <v>56.056</v>
      </c>
      <c r="P28" s="130">
        <f t="shared" si="34"/>
        <v>16.16719053</v>
      </c>
      <c r="Q28" s="141">
        <f t="shared" si="2"/>
        <v>125.7887235</v>
      </c>
      <c r="R28" s="133">
        <f t="shared" si="3"/>
        <v>419.1220568</v>
      </c>
      <c r="S28" s="133">
        <f>AVERAGE(OFFSET($R$3,0,0,'Données projet'!$E$9+1,1))-AVERAGE(OFFSET($H$3,0,0,'Données projet'!$E$9+1,1))</f>
        <v>126.9946492</v>
      </c>
      <c r="T28" s="133">
        <f t="shared" si="35"/>
        <v>140.039049</v>
      </c>
      <c r="U28" s="134">
        <f>IF(ISNA(VLOOKUP(A28,'Données projet'!$A$35:$I$55,3,0)),0,VLOOKUP(A28,'Données projet'!$A$35:$I$55,3,0))</f>
        <v>1</v>
      </c>
      <c r="V28" s="144">
        <f>IF(ISNA(VLOOKUP(A28,'Données projet'!$A$35:$I$55,4,0)),0,VLOOKUP(A28,'Données projet'!$A$35:$I$55,4,0))</f>
        <v>12</v>
      </c>
      <c r="W28" s="135">
        <f>IF(ISNA(VLOOKUP(A28,'Données projet'!$A$35:$I$55,5,0)),0%,VLOOKUP(A28,'Données projet'!$A$35:$I$55,5,0)*VLOOKUP('Données projet'!$B$9,'Paramètres'!$A$1:$I$89,7,0))</f>
        <v>0</v>
      </c>
      <c r="X28" s="135">
        <f>IF(ISNA(VLOOKUP(A28,'Données projet'!$A$35:$I$55,6,0)),0%,VLOOKUP(A28,'Données projet'!$A$35:$I$55,6,0)*VLOOKUP('Données projet'!$B$9,'Paramètres'!$A$1:$I$89,7,0))</f>
        <v>0.252</v>
      </c>
      <c r="Y28" s="135">
        <f>IF(ISNA(VLOOKUP(A28,'Données projet'!$A$35:$I$55,7,0)),0%,VLOOKUP(A28,'Données projet'!$A$35:$I$55,7,0))</f>
        <v>0.44</v>
      </c>
      <c r="Z28" s="142">
        <f>EXP(-LN(2)/35)*Z27+(1-EXP(-LN(2)/35))/(LN(2)/35)*V28*W28*VLOOKUP('Données projet'!$B$9,'Paramètres'!$A$1:$I$89,3,0)*0.475*44/12</f>
        <v>0</v>
      </c>
      <c r="AA28" s="142">
        <f>EXP(-LN(2)/25)*AA27+(1-EXP(-LN(2)/25))/(LN(2)/25)*Calculateur!V28*Calculateur!X28*VLOOKUP('Données projet'!$B$9,'Paramètres'!$A$1:$I$89,3,0)*0.475*44/12</f>
        <v>2.285560985</v>
      </c>
      <c r="AB28" s="142">
        <f>EXP(-LN(2)/2)*AB27+(1-EXP(-LN(2)/2))/(LN(2)/2)*V28*Y28*VLOOKUP('Données projet'!$B$9,'Paramètres'!$A$1:$I$89,3,0)*0.475*44/12</f>
        <v>3.419522696</v>
      </c>
      <c r="AC28" s="143">
        <f t="shared" si="4"/>
        <v>5.705083681</v>
      </c>
      <c r="AD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0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1">
        <f>VLOOKUP(A28,'Données projet'!$A$61:$I$81,2,0)</f>
        <v>144</v>
      </c>
      <c r="AG28" s="131">
        <f>VLOOKUP(A28,'Données projet'!$A$61:$I$81,9,0)</f>
        <v>12.33333333</v>
      </c>
      <c r="AH28" s="131">
        <f t="array" ref="AH28">INDEX(AG:AG,MIN(IF(ISNUMBER(AG28:AG224),ROW(AG28:AG224),"")))</f>
        <v>12.33333333</v>
      </c>
      <c r="AI28" s="130">
        <f>IF('Données projet'!$A$62&gt;35,AI27+AH28-AQ27,IF(A28&lt;'Données projet'!$A$62,$AF$205^A28,IF(A28='Données projet'!$A$62,'Données projet'!$B$62,AI27+AH28-AQ27)))</f>
        <v>144</v>
      </c>
      <c r="AJ28" s="130">
        <f>AI28*VLOOKUP('Données projet'!$B$10,'Paramètres'!$A$1:$I$89,3,0)*VLOOKUP('Données projet'!$B$10,'Paramètres'!$A$1:$I$89,5,0)</f>
        <v>86.112</v>
      </c>
      <c r="AK28" s="130">
        <f t="shared" si="36"/>
        <v>23.62513664</v>
      </c>
      <c r="AL28" s="141">
        <f t="shared" si="5"/>
        <v>191.125513</v>
      </c>
      <c r="AM28" s="133">
        <f t="shared" si="6"/>
        <v>484.4588463</v>
      </c>
      <c r="AN28" s="133">
        <f>AVERAGE(OFFSET($AM$3,0,0,'Données projet'!$E$10+1,1))-AVERAGE(OFFSET($H$3,0,0,'Données projet'!$E$10+1,1))</f>
        <v>196.874484</v>
      </c>
      <c r="AO28" s="133">
        <f t="shared" si="37"/>
        <v>217.5750859</v>
      </c>
      <c r="AP28" s="134">
        <f>IF(ISNA(VLOOKUP(A28,'Données projet'!$A$61:$I$81,3,0)),0,VLOOKUP(A28,'Données projet'!$A$61:$I$81,3,0))</f>
        <v>2</v>
      </c>
      <c r="AQ28" s="145">
        <f>IF(ISNA(VLOOKUP(A28,'Données projet'!$A$61:$I$81,4,0)),0,VLOOKUP(A28,'Données projet'!$A$61:$I$81,4,0))</f>
        <v>17</v>
      </c>
      <c r="AR28" s="135">
        <f>IF(ISNA(VLOOKUP(A28,'Données projet'!$A$61:$I$81,5,0)),0%,VLOOKUP(A28,'Données projet'!$A$61:$I$81,5,0)*VLOOKUP('Données projet'!$B$10,'Paramètres'!$A$1:$I$89,7,0))</f>
        <v>0</v>
      </c>
      <c r="AS28" s="135">
        <f>IF(ISNA(VLOOKUP(A28,'Données projet'!$A$61:$I$81,6,0)),0%,VLOOKUP(A28,'Données projet'!$A$61:$I$81,6,0)*VLOOKUP('Données projet'!$B$10,'Paramètres'!$A$1:$I$89,7,0))</f>
        <v>0.252</v>
      </c>
      <c r="AT28" s="135">
        <f>IF(ISNA(VLOOKUP(A28,'Données projet'!$A$61:$I$81,7,0)),0%,VLOOKUP(A28,'Données projet'!$A$61:$I$81,7,0))</f>
        <v>0.44</v>
      </c>
      <c r="AU28" s="142">
        <f>EXP(-LN(2)/35)*AU27+(1-EXP(-LN(2)/35))/(LN(2)/35)*AQ28*AR28*VLOOKUP('Données projet'!$B$10,'Paramètres'!$A$1:$I$89,3,0)*0.475*44/12</f>
        <v>0</v>
      </c>
      <c r="AV28" s="142">
        <f>EXP(-LN(2)/25)*AV27+(1-EXP(-LN(2)/25))/(LN(2)/25)*Calculateur!AQ28*Calculateur!AS28*VLOOKUP('Données projet'!$B$10,'Paramètres'!$A$1:$I$89,3,0)*0.475*44/12</f>
        <v>6.316710994</v>
      </c>
      <c r="AW28" s="142">
        <f>EXP(-LN(2)/2)*AW27+(1-EXP(-LN(2)/2))/(LN(2)/2)*AQ28*AT28*VLOOKUP('Données projet'!$B$10,'Paramètres'!$A$1:$I$89,3,0)*0.475*44/12</f>
        <v>6.749770562</v>
      </c>
      <c r="AX28" s="142">
        <f t="shared" si="7"/>
        <v>13.06648156</v>
      </c>
      <c r="AY28" s="13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1" t="str">
        <f>VLOOKUP(A28,'Données projet'!$A$87:$I$107,2,0)</f>
        <v>#N/A</v>
      </c>
      <c r="BB28" s="131" t="str">
        <f>VLOOKUP(A28,'Données projet'!$A$87:$I$107,9,0)</f>
        <v>#N/A</v>
      </c>
      <c r="BC28" s="130">
        <f t="array" ref="BC28">INDEX(BB:BB,MIN(IF(ISNUMBER(BB28:BB224),ROW(BB28:BB224),"")))</f>
        <v>4.666666667</v>
      </c>
      <c r="BD28" s="131">
        <f>IF('Données projet'!$A$88&gt;35,BD27+BC28-BL27,IF(A28&lt;'Données projet'!$A$88,$BA$205^A28,IF(A28='Données projet'!$A$88,'Données projet'!$B$88,BD27+BC28-BL27)))</f>
        <v>61.43841876</v>
      </c>
      <c r="BE28" s="130">
        <f>BD28*VLOOKUP('Données projet'!$B$11,'Paramètres'!$A$1:$I$89,3,0)*VLOOKUP('Données projet'!$B$11,'Paramètres'!$A$1:$I$89,5,0)</f>
        <v>28.75317998</v>
      </c>
      <c r="BF28" s="130">
        <f t="shared" si="38"/>
        <v>8.962866153</v>
      </c>
      <c r="BG28" s="141">
        <f t="shared" si="8"/>
        <v>65.68878035</v>
      </c>
      <c r="BH28" s="133">
        <f t="shared" si="9"/>
        <v>359.0221137</v>
      </c>
      <c r="BI28" s="133">
        <f>AVERAGE(OFFSET($BH$3,0,0,'Données projet'!$E$11+1,1))-AVERAGE(OFFSET($H$3,0,0,'Données projet'!$E$11+1,1))</f>
        <v>134.0948534</v>
      </c>
      <c r="BJ28" s="133">
        <f t="shared" si="39"/>
        <v>108.4102536</v>
      </c>
      <c r="BK28" s="134">
        <f>IF(ISNA(VLOOKUP(A28,'Données projet'!$A$87:$I$107,3,0)),0,VLOOKUP(A28,'Données projet'!$A$87:$I$107,3,0))</f>
        <v>0</v>
      </c>
      <c r="BL28" s="134">
        <f>IF(ISNA(VLOOKUP(A28,'Données projet'!$A$87:$I$107,4,0)),0,VLOOKUP(A28,'Données projet'!$A$87:$I$107,4,0))</f>
        <v>0</v>
      </c>
      <c r="BM28" s="135">
        <f>IF(ISNA(VLOOKUP(A28,'Données projet'!$A$87:$I$107,5,0)),0%,VLOOKUP(A28,'Données projet'!$A$87:$I$107,5,0)*VLOOKUP('Données projet'!$B$11,'Paramètres'!$A$1:$I$89,7,0))</f>
        <v>0</v>
      </c>
      <c r="BN28" s="135">
        <f>IF(ISNA(VLOOKUP(A28,'Données projet'!$A$87:$I$107,6,0)),0%,VLOOKUP(A28,'Données projet'!$A$87:$I$107,6,0)*VLOOKUP('Données projet'!$B$11,'Paramètres'!$A$1:$I$89,7,0))</f>
        <v>0</v>
      </c>
      <c r="BO28" s="135">
        <f>IF(ISNA(VLOOKUP(A28,'Données projet'!$A$87:$I$107,7,0)),0%,VLOOKUP(A28,'Données projet'!$A$87:$I$107,7,0))</f>
        <v>0</v>
      </c>
      <c r="BP28" s="142">
        <f>EXP(-LN(2)/35)*BP27+(1-EXP(-LN(2)/35))/(LN(2)/35)*BL28*BM28*VLOOKUP('Données projet'!$B$11,'Paramètres'!$A$1:$I$89,3,0)*0.475*44/12</f>
        <v>0</v>
      </c>
      <c r="BQ28" s="142">
        <f>EXP(-LN(2)/25)*BQ27+(1-EXP(-LN(2)/25))/(LN(2)/25)*Calculateur!BL28*Calculateur!BN28*VLOOKUP('Données projet'!$B$11,'Paramètres'!$A$1:$I$89,3,0)*0.475*44/12</f>
        <v>0</v>
      </c>
      <c r="BR28" s="142">
        <f>EXP(-LN(2)/2)*BR27+(1-EXP(-LN(2)/2))/(LN(2)/2)*BL28*BO28*VLOOKUP('Données projet'!$B$11,'Paramètres'!$A$1:$I$89,3,0)*0.475*44/12</f>
        <v>0</v>
      </c>
      <c r="BS28" s="143">
        <f t="shared" si="10"/>
        <v>0</v>
      </c>
      <c r="BT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1">
        <f>VLOOKUP(A28,'Données projet'!$A$113:$I$133,2,0)</f>
        <v>245</v>
      </c>
      <c r="BW28" s="130">
        <f>VLOOKUP(A28,'Données projet'!$A$113:$I$133,9,0)</f>
        <v>24</v>
      </c>
      <c r="BX28" s="130">
        <f t="array" ref="BX28">INDEX(BW:BW,MIN(IF(ISNUMBER(BW28:BW224),ROW(BW28:BW224),"")))</f>
        <v>24</v>
      </c>
      <c r="BY28" s="130">
        <f>IF('Données projet'!$A$114&gt;35,BY27+BX28-CG27,IF(A28&lt;'Données projet'!$A$114,$BV$205^A28,IF(A28='Données projet'!$A$114,'Données projet'!$B$114,BY27+BX28-CG27)))</f>
        <v>245</v>
      </c>
      <c r="BZ28" s="130">
        <f>BY28*VLOOKUP('Données projet'!$B$12,'Paramètres'!$A$1:$I$89,3,0)*VLOOKUP('Données projet'!$B$12,'Paramètres'!$A$1:$I$89,5,0)</f>
        <v>121.03</v>
      </c>
      <c r="CA28" s="130">
        <f t="shared" si="40"/>
        <v>31.91511025</v>
      </c>
      <c r="CB28" s="141">
        <f t="shared" si="11"/>
        <v>266.3794004</v>
      </c>
      <c r="CC28" s="133">
        <f t="shared" si="12"/>
        <v>559.7127337</v>
      </c>
      <c r="CD28" s="133">
        <f>AVERAGE(OFFSET($CC$3,0,0,'Données projet'!$E$12+1,1))-AVERAGE(OFFSET($H$3,0,0,'Données projet'!$E$12+1,1))</f>
        <v>258.1672054</v>
      </c>
      <c r="CE28" s="133">
        <f t="shared" si="41"/>
        <v>296.0724261</v>
      </c>
      <c r="CF28" s="134">
        <f>IF(ISNA(VLOOKUP(A28,'Données projet'!$A$113:$I$133,3,0)),0,VLOOKUP(A28,'Données projet'!$A$113:$I$133,3,0))</f>
        <v>3</v>
      </c>
      <c r="CG28" s="134">
        <f>IF(ISNA(VLOOKUP(A28,'Données projet'!$A$113:$I$133,4,0)),0,VLOOKUP(A28,'Données projet'!$A$113:$I$133,4,0))</f>
        <v>63</v>
      </c>
      <c r="CH28" s="135">
        <f>IF(ISNA(VLOOKUP(A28,'Données projet'!$A$113:$I$133,5,0)),0%,VLOOKUP(A28,'Données projet'!$A$113:$I$133,5,0)*VLOOKUP('Données projet'!$B$12,'Paramètres'!$A$1:$I$89,7,0))</f>
        <v>0.11</v>
      </c>
      <c r="CI28" s="135">
        <f>IF(ISNA(VLOOKUP(A28,'Données projet'!$A$113:$I$133,6,0)),0%,VLOOKUP(A28,'Données projet'!$A$113:$I$133,6,0)*VLOOKUP('Données projet'!$B$12,'Paramètres'!$A$1:$I$89,7,0))</f>
        <v>0.2464</v>
      </c>
      <c r="CJ28" s="135">
        <f>IF(ISNA(VLOOKUP(A28,'Données projet'!$A$113:$I$133,7,0)),0%,VLOOKUP(A28,'Données projet'!$A$113:$I$133,7,0))</f>
        <v>0.35</v>
      </c>
      <c r="CK28" s="142">
        <f>EXP(-LN(2)/35)*CK27+(1-EXP(-LN(2)/35))/(LN(2)/35)*CG28*CH28*VLOOKUP('Données projet'!$B$12,'Paramètres'!$A$1:$I$89,3,0)*0.475*44/12</f>
        <v>4.541387288</v>
      </c>
      <c r="CL28" s="142">
        <f>EXP(-LN(2)/25)*CL27+(1-EXP(-LN(2)/25))/(LN(2)/25)*Calculateur!CG28*Calculateur!CI28*VLOOKUP('Données projet'!$B$12,'Paramètres'!$A$1:$I$89,3,0)*0.475*44/12</f>
        <v>10.65771247</v>
      </c>
      <c r="CM28" s="142">
        <f>EXP(-LN(2)/2)*CM27+(1-EXP(-LN(2)/2))/(LN(2)/2)*CG28*CJ28*VLOOKUP('Données projet'!$B$12,'Paramètres'!$A$1:$I$89,3,0)*0.475*44/12</f>
        <v>12.46358205</v>
      </c>
      <c r="CN28" s="143">
        <f t="shared" si="13"/>
        <v>27.66268181</v>
      </c>
      <c r="CO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8">
        <f>VLOOKUP(A28,'Données projet'!$A$139:$I$159,2,0)</f>
        <v>30</v>
      </c>
      <c r="CR28" s="130">
        <f>VLOOKUP(A28,'Données projet'!$A$139:$I$159,9,0)</f>
        <v>1.2</v>
      </c>
      <c r="CS28" s="130">
        <f t="array" ref="CS28">INDEX(CR:CR,MIN(IF(ISNUMBER(CR28:CR224),ROW(CR28:CR224),"")))</f>
        <v>1.2</v>
      </c>
      <c r="CT28" s="138">
        <f>IF('Données projet'!$A$140&gt;35,CT27+CS28-DB27,IF(A28&lt;'Données projet'!$A$140,$CQ$205^A28,IF(A28='Données projet'!$A$140,'Données projet'!$B$140,CT27+CS28-DB27)))</f>
        <v>30</v>
      </c>
      <c r="CU28" s="138">
        <f>CT28*VLOOKUP('Données projet'!$B$13,'Paramètres'!$A$1:$I$89,3,0)*VLOOKUP('Données projet'!$B$13,'Paramètres'!$A$1:$I$89,5,0)</f>
        <v>30.42</v>
      </c>
      <c r="CV28" s="130">
        <f t="shared" si="42"/>
        <v>9.420447695</v>
      </c>
      <c r="CW28" s="141">
        <f t="shared" si="14"/>
        <v>69.38877974</v>
      </c>
      <c r="CX28" s="133">
        <f t="shared" si="15"/>
        <v>362.7221131</v>
      </c>
      <c r="CY28" s="133">
        <f>AVERAGE(OFFSET($CX$3,0,0,'Données projet'!$E$13+1,1))-AVERAGE(OFFSET($H$3,0,0,'Données projet'!$E$13+1,1))</f>
        <v>223.783507</v>
      </c>
      <c r="CZ28" s="133">
        <f t="shared" si="43"/>
        <v>84.92349117</v>
      </c>
      <c r="DA28" s="134">
        <f>IF(ISNA(VLOOKUP(A28,'Données projet'!$A$139:$I$159,3,0)),0,VLOOKUP(A28,'Données projet'!$A$139:$I$159,3,0))</f>
        <v>1</v>
      </c>
      <c r="DB28" s="144">
        <f>IF(ISNA(VLOOKUP(A28,'Données projet'!$A$139:$I$159,4,0)),0,VLOOKUP(A28,'Données projet'!$A$139:$I$159,4,0))</f>
        <v>0</v>
      </c>
      <c r="DC28" s="135">
        <f>IF(ISNA(VLOOKUP(A28,'Données projet'!$A$139:$I$159,5,0)),0%,VLOOKUP(A28,'Données projet'!$A$139:$I$159,5,0)*VLOOKUP('Données projet'!$B$13,'Paramètres'!$A$1:$I$89,7,0))</f>
        <v>0</v>
      </c>
      <c r="DD28" s="135">
        <f>IF(ISNA(VLOOKUP(A28,'Données projet'!$A$139:$I$159,6,0)),0%,VLOOKUP(A28,'Données projet'!$A$139:$I$159,6,0)*VLOOKUP('Données projet'!$B$13,'Paramètres'!$A$1:$I$89,7,0))</f>
        <v>0</v>
      </c>
      <c r="DE28" s="135" t="str">
        <f>IF(ISNA(VLOOKUP(A28,'Données projet'!$A$139:$I$159,7,0)),0%,VLOOKUP(A28,'Données projet'!$A$139:$I$159,7,0))</f>
        <v/>
      </c>
      <c r="DF28" s="142">
        <f>EXP(-LN(2)/35)*DF27+(1-EXP(-LN(2)/35))/(LN(2)/35)*DB28*DC28*VLOOKUP('Données projet'!$B$13,'Paramètres'!$A$1:$I$89,3,0)*0.475*44/12</f>
        <v>0</v>
      </c>
      <c r="DG28" s="142">
        <f>EXP(-LN(2)/25)*DG27+(1-EXP(-LN(2)/25))/(LN(2)/25)*Calculateur!DB28*Calculateur!DD28*VLOOKUP('Données projet'!$B$13,'Paramètres'!$A$1:$I$89,3,0)*0.475*44/12</f>
        <v>0</v>
      </c>
      <c r="DH28" s="142">
        <f>EXP(-LN(2)/2)*DH27+(1-EXP(-LN(2)/2))/(LN(2)/2)*DB28*DE28*VLOOKUP('Données projet'!$B$13,'Paramètres'!$A$1:$I$89,3,0)*0.475*44/12</f>
        <v>0</v>
      </c>
      <c r="DI28" s="143">
        <f t="shared" si="16"/>
        <v>0</v>
      </c>
      <c r="DJ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8">
        <f>VLOOKUP(A28,'Données projet'!$A$165:$I$185,2,0)</f>
        <v>70</v>
      </c>
      <c r="DM28" s="131">
        <f>VLOOKUP(A28,'Données projet'!$A$165:$I$185,9,0)</f>
        <v>5.6</v>
      </c>
      <c r="DN28" s="131">
        <f t="array" ref="DN28">INDEX(DM:DM,MIN(IF(ISNUMBER(DM28:DM224),ROW(DM28:DM224),"")))</f>
        <v>5.6</v>
      </c>
      <c r="DO28" s="138">
        <f>IF('Données projet'!$A$166&gt;35,DO27+DN28-DW27,IF(A28&lt;'Données projet'!$A$166,$DL$205^A28,IF(A28='Données projet'!$A$166,'Données projet'!$B$166,DO27+DN28-DW27)))</f>
        <v>70</v>
      </c>
      <c r="DP28" s="138">
        <f>DO28*VLOOKUP('Données projet'!$B$14,'Paramètres'!$A$1:$I$89,3,0)*VLOOKUP('Données projet'!$B$14,'Paramètres'!$A$1:$I$89,5,0)</f>
        <v>63.336</v>
      </c>
      <c r="DQ28" s="130">
        <f t="shared" si="44"/>
        <v>18.00904002</v>
      </c>
      <c r="DR28" s="141">
        <f t="shared" si="17"/>
        <v>141.6759447</v>
      </c>
      <c r="DS28" s="133">
        <f t="shared" si="18"/>
        <v>435.009278</v>
      </c>
      <c r="DT28" s="133">
        <f>AVERAGE(OFFSET($DS$3,0,0,'Données projet'!$E$14+1,1))-AVERAGE(OFFSET($H$3,0,0,'Données projet'!$E$14+1,1))</f>
        <v>287.9334714</v>
      </c>
      <c r="DU28" s="133">
        <f t="shared" si="45"/>
        <v>156.6796502</v>
      </c>
      <c r="DV28" s="134">
        <f>IF(ISNA(VLOOKUP(A28,'Données projet'!$A$165:$I$185,3,0)),0,VLOOKUP(A28,'Données projet'!$A$165:$I$185,3,0))</f>
        <v>2</v>
      </c>
      <c r="DW28" s="144">
        <f>IF(ISNA(VLOOKUP(A28,'Données projet'!$A$165:$I$185,4,0)),0,VLOOKUP(A28,'Données projet'!$A$165:$I$185,4,0))</f>
        <v>8</v>
      </c>
      <c r="DX28" s="135">
        <f>IF(ISNA(VLOOKUP(A28,'Données projet'!$A$165:$I$185,5,0)),0%,VLOOKUP(A28,'Données projet'!$A$165:$I$185,5,0)*VLOOKUP('Données projet'!$B$14,'Paramètres'!$A$1:$I$89,7,0))</f>
        <v>0</v>
      </c>
      <c r="DY28" s="135">
        <f>IF(ISNA(VLOOKUP(A28,'Données projet'!$A$165:$I$185,6,0)),0%,VLOOKUP(A28,'Données projet'!$A$165:$I$185,6,0)*VLOOKUP('Données projet'!$B$14,'Paramètres'!$A$1:$I$89,7,0))</f>
        <v>0</v>
      </c>
      <c r="DZ28" s="135" t="str">
        <f>IF(ISNA(VLOOKUP(A28,'Données projet'!$A$165:$I$185,7,0)),0%,VLOOKUP(A28,'Données projet'!$A$165:$I$185,7,0))</f>
        <v/>
      </c>
      <c r="EA28" s="142">
        <f>EXP(-LN(2)/35)*EA27+(1-EXP(-LN(2)/35))/(LN(2)/35)*DW28*DX28*VLOOKUP('Données projet'!$B$14,'Paramètres'!$A$1:$I$89,3,0)*0.475*44/12</f>
        <v>0</v>
      </c>
      <c r="EB28" s="142">
        <f>EXP(-LN(2)/25)*EB27+(1-EXP(-LN(2)/25))/(LN(2)/25)*Calculateur!DW28*Calculateur!DY28*VLOOKUP('Données projet'!$B$14,'Paramètres'!$A$1:$I$89,3,0)*0.475*44/12</f>
        <v>0</v>
      </c>
      <c r="EC28" s="142">
        <f>EXP(-LN(2)/2)*EC27+(1-EXP(-LN(2)/2))/(LN(2)/2)*DW28*DZ28*VLOOKUP('Données projet'!$B$14,'Paramètres'!$A$1:$I$89,3,0)*0.475*44/12</f>
        <v>0</v>
      </c>
      <c r="ED28" s="143">
        <f t="shared" si="19"/>
        <v>0</v>
      </c>
      <c r="EE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8">
        <f>VLOOKUP(A28,'Données projet'!$A$191:$I$211,2,0)</f>
        <v>40</v>
      </c>
      <c r="EH28" s="131">
        <f>VLOOKUP(A28,'Données projet'!$A$191:$I$211,9,0)</f>
        <v>1.6</v>
      </c>
      <c r="EI28" s="131">
        <f t="array" ref="EI28">INDEX(EH:EH,MIN(IF(ISNUMBER(EH28:EH224),ROW(EH28:EH224),"")))</f>
        <v>1.6</v>
      </c>
      <c r="EJ28" s="138">
        <f>IF('Données projet'!$A$192&gt;35,EJ27+EI28-ER27,IF(A28&lt;'Données projet'!$A$192,$EG$205^A28,IF(A28='Données projet'!$A$192,'Données projet'!$B$192,EJ27+EI28-ER27)))</f>
        <v>40</v>
      </c>
      <c r="EK28" s="138">
        <f>EJ28*VLOOKUP('Données projet'!$B$15,'Paramètres'!$A$1:$I$89,3,0)*VLOOKUP('Données projet'!$B$15,'Paramètres'!$A$1:$I$89,5,0)</f>
        <v>29.328</v>
      </c>
      <c r="EL28" s="130">
        <f t="shared" si="46"/>
        <v>9.121007978</v>
      </c>
      <c r="EM28" s="141">
        <f t="shared" si="20"/>
        <v>66.96535556</v>
      </c>
      <c r="EN28" s="133">
        <f t="shared" si="21"/>
        <v>360.2986889</v>
      </c>
      <c r="EO28" s="133">
        <f>AVERAGE(OFFSET($EN$3,0,0,'Données projet'!$E$15+1,1))-AVERAGE(OFFSET($H$3,0,0,'Données projet'!$E$15+1,1))</f>
        <v>130.3193339</v>
      </c>
      <c r="EP28" s="133">
        <f t="shared" si="47"/>
        <v>82.22784365</v>
      </c>
      <c r="EQ28" s="134">
        <f>IF(ISNA(VLOOKUP(A28,'Données projet'!$A$191:$I$211,3,0)),0,VLOOKUP(A28,'Données projet'!$A$191:$I$211,3,0))</f>
        <v>1</v>
      </c>
      <c r="ER28" s="144">
        <f>IF(ISNA(VLOOKUP(A28,'Données projet'!$A$191:$I$211,4,0)),0,VLOOKUP(A28,'Données projet'!$A$191:$I$211,4,0))</f>
        <v>0</v>
      </c>
      <c r="ES28" s="135">
        <f>IF(ISNA(VLOOKUP(A28,'Données projet'!$A$191:$I$211,5,0)),0%,VLOOKUP(A28,'Données projet'!$A$191:$I$211,5,0)*VLOOKUP('Données projet'!$B$15,'Paramètres'!$A$1:$I$89,7,0))</f>
        <v>0</v>
      </c>
      <c r="ET28" s="135">
        <f>IF(ISNA(VLOOKUP(A28,'Données projet'!$A$191:$I$211,6,0)),0%,VLOOKUP(A28,'Données projet'!$A$191:$I$211,6,0)*VLOOKUP('Données projet'!$B$15,'Paramètres'!$A$1:$I$89,7,0))</f>
        <v>0</v>
      </c>
      <c r="EU28" s="135" t="str">
        <f>IF(ISNA(VLOOKUP(A28,'Données projet'!$A$191:$I$211,7,0)),0%,VLOOKUP(A28,'Données projet'!$A$191:$I$211,7,0))</f>
        <v/>
      </c>
      <c r="EV28" s="142">
        <f>EXP(-LN(2)/35)*EV27+(1-EXP(-LN(2)/35))/(LN(2)/35)*ER28*ES28*VLOOKUP('Données projet'!$B$15,'Paramètres'!$A$1:$I$89,3,0)*0.475*44/12</f>
        <v>0</v>
      </c>
      <c r="EW28" s="142">
        <f>EXP(-LN(2)/25)*EW27+(1-EXP(-LN(2)/25))/(LN(2)/25)*Calculateur!ER28*Calculateur!ET28*VLOOKUP('Données projet'!$B$15,'Paramètres'!$A$1:$I$89,3,0)*0.475*44/12</f>
        <v>0</v>
      </c>
      <c r="EX28" s="142">
        <f>EXP(-LN(2)/2)*EX27+(1-EXP(-LN(2)/2))/(LN(2)/2)*ER28*EU28*VLOOKUP('Données projet'!$B$15,'Paramètres'!$A$1:$I$89,3,0)*0.475*44/12</f>
        <v>0</v>
      </c>
      <c r="EY28" s="143">
        <f t="shared" si="22"/>
        <v>0</v>
      </c>
      <c r="EZ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1">
        <f>VLOOKUP(A28,'Données projet'!$A$217:$I$237,2,0)</f>
        <v>165</v>
      </c>
      <c r="FC28" s="130">
        <f>VLOOKUP(A28,'Données projet'!$A$217:$I$237,9,0)</f>
        <v>10.2</v>
      </c>
      <c r="FD28" s="130">
        <f t="array" ref="FD28">INDEX(FC:FC,MIN(IF(ISNUMBER(FC28:FC224),ROW(FC28:FC224),"")))</f>
        <v>10.2</v>
      </c>
      <c r="FE28" s="130">
        <f>IF('Données projet'!$A$218&gt;35,FE27+FD28-FM27,IF(A28&lt;'Données projet'!$A$218,$FB$205^A28,IF(A28='Données projet'!$A$218,'Données projet'!$B$218,FE27+FD28-FM27)))</f>
        <v>165</v>
      </c>
      <c r="FF28" s="138">
        <f>FE28*VLOOKUP('Données projet'!$B$16,'Paramètres'!$A$1:$I$89,3,0)*VLOOKUP('Données projet'!$B$16,'Paramètres'!$A$1:$I$89,5,0)</f>
        <v>149.292</v>
      </c>
      <c r="FG28" s="130">
        <f t="shared" si="48"/>
        <v>38.4176458</v>
      </c>
      <c r="FH28" s="141">
        <f t="shared" si="23"/>
        <v>326.9276331</v>
      </c>
      <c r="FI28" s="133">
        <f t="shared" si="24"/>
        <v>620.2609664</v>
      </c>
      <c r="FJ28" s="133">
        <f>AVERAGE(OFFSET($FI$3,0,0,'Données projet'!$E$16+1,1))-AVERAGE(OFFSET($H$3,0,0,'Données projet'!$E$16+1,1))</f>
        <v>305.6252353</v>
      </c>
      <c r="FK28" s="133">
        <f t="shared" si="49"/>
        <v>331.397916</v>
      </c>
      <c r="FL28" s="134">
        <f>IF(ISNA(VLOOKUP(A28,'Données projet'!$A$217:$I$237,3,0)),0,VLOOKUP(A28,'Données projet'!$A$217:$I$237,3,0))</f>
        <v>3</v>
      </c>
      <c r="FM28" s="134">
        <f>IF(ISNA(VLOOKUP(A28,'Données projet'!$A$217:$I$237,4,0)),0,VLOOKUP(A28,'Données projet'!$A$217:$I$237,4,0))</f>
        <v>21</v>
      </c>
      <c r="FN28" s="135">
        <f>IF(ISNA(VLOOKUP(A28,'Données projet'!$A$217:$I$237,5,0)),0%,VLOOKUP(A28,'Données projet'!$A$217:$I$237,5,0)*VLOOKUP('Données projet'!$B$16,'Paramètres'!$A$1:$I$89,7,0))</f>
        <v>0</v>
      </c>
      <c r="FO28" s="135">
        <f>IF(ISNA(VLOOKUP(A28,'Données projet'!$A$217:$I$237,6,0)),0%,VLOOKUP(A28,'Données projet'!$A$217:$I$237,6,0)*VLOOKUP('Données projet'!$B$16,'Paramètres'!$A$1:$I$89,7,0))</f>
        <v>0</v>
      </c>
      <c r="FP28" s="135" t="str">
        <f>IF(ISNA(VLOOKUP(A28,'Données projet'!$A$217:$I$237,7,0)),0%,VLOOKUP(A28,'Données projet'!$A$217:$I$237,7,0))</f>
        <v/>
      </c>
      <c r="FQ28" s="142">
        <f>EXP(-LN(2)/35)*FQ27+(1-EXP(-LN(2)/35))/(LN(2)/35)*FM28*FN28*VLOOKUP('Données projet'!$B$16,'Paramètres'!$A$1:$I$89,3,0)*0.475*44/12</f>
        <v>0</v>
      </c>
      <c r="FR28" s="142">
        <f>EXP(-LN(2)/25)*FR27+(1-EXP(-LN(2)/25))/(LN(2)/25)*Calculateur!FM28*Calculateur!FO28*VLOOKUP('Données projet'!$B$16,'Paramètres'!$A$1:$I$89,3,0)*0.475*44/12</f>
        <v>0</v>
      </c>
      <c r="FS28" s="142">
        <f>EXP(-LN(2)/2)*FS27+(1-EXP(-LN(2)/2))/(LN(2)/2)*FM28*FP28*VLOOKUP('Données projet'!$B$16,'Paramètres'!$A$1:$I$89,3,0)*0.475*44/12</f>
        <v>0</v>
      </c>
      <c r="FT28" s="143">
        <f t="shared" si="25"/>
        <v>0</v>
      </c>
      <c r="FU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8">
        <f>VLOOKUP(A28,'Données projet'!$A$243:$I$263,2,0)</f>
        <v>76</v>
      </c>
      <c r="FX28" s="130">
        <f>VLOOKUP(A28,'Données projet'!$A$243:$I$263,9,0)</f>
        <v>8.8</v>
      </c>
      <c r="FY28" s="130">
        <f t="array" ref="FY28">INDEX(FX:FX,MIN(IF(ISNUMBER(FX28:FX224),ROW(FX28:FX224),"")))</f>
        <v>8.8</v>
      </c>
      <c r="FZ28" s="138">
        <f>IF('Données projet'!$A$244&gt;35,FZ27+FY28-GH27,IF(A28&lt;'Données projet'!$A$244,$FW$205^A28,IF(A28='Données projet'!$A$244,'Données projet'!$B$244,FZ27+FY28-GH27)))</f>
        <v>76</v>
      </c>
      <c r="GA28" s="138">
        <f>FZ28*VLOOKUP('Données projet'!$B$17,'Paramètres'!$A$1:$I$89,3,0)*VLOOKUP('Données projet'!$B$17,'Paramètres'!$A$1:$I$89,5,0)</f>
        <v>50.9808</v>
      </c>
      <c r="GB28" s="130">
        <f t="shared" si="50"/>
        <v>14.86676845</v>
      </c>
      <c r="GC28" s="141">
        <f t="shared" si="26"/>
        <v>114.6845151</v>
      </c>
      <c r="GD28" s="133">
        <f t="shared" si="27"/>
        <v>408.0178484</v>
      </c>
      <c r="GE28" s="133">
        <f>AVERAGE(OFFSET($GD$3,0,0,'Données projet'!$E$17+1,1))-AVERAGE(OFFSET($H$3,0,0,'Données projet'!$E$17+1,1))</f>
        <v>118.7368745</v>
      </c>
      <c r="GF28" s="133">
        <f t="shared" si="51"/>
        <v>135.1233677</v>
      </c>
      <c r="GG28" s="134">
        <f>IF(ISNA(VLOOKUP(A28,'Données projet'!$A$243:$I$263,3,0)),0,VLOOKUP(A28,'Données projet'!$A$243:$I$263,3,0))</f>
        <v>2</v>
      </c>
      <c r="GH28" s="144">
        <f>IF(ISNA(VLOOKUP(A28,'Données projet'!$A$243:$I$263,4,0)),0,VLOOKUP(A28,'Données projet'!$A$243:$I$263,4,0))</f>
        <v>7</v>
      </c>
      <c r="GI28" s="135">
        <f>IF(ISNA(VLOOKUP(A28,'Données projet'!$A$243:$I$263,5,0)),0%,VLOOKUP(A28,'Données projet'!$A$243:$I$263,5,0)*VLOOKUP('Données projet'!$B$17,'Paramètres'!$A$1:$I$89,7,0))</f>
        <v>0</v>
      </c>
      <c r="GJ28" s="135">
        <f>IF(ISNA(VLOOKUP(A28,'Données projet'!$A$243:$I$263,6,0)),0%,VLOOKUP(A28,'Données projet'!$A$243:$I$263,6,0)*VLOOKUP('Données projet'!$B$17,'Paramètres'!$A$1:$I$89,7,0))</f>
        <v>0</v>
      </c>
      <c r="GK28" s="135" t="str">
        <f>IF(ISNA(VLOOKUP(A28,'Données projet'!$A$243:$I$263,7,0)),0%,VLOOKUP(A28,'Données projet'!$A$243:$I$263,7,0))</f>
        <v/>
      </c>
      <c r="GL28" s="142">
        <f>EXP(-LN(2)/35)*GL27+(1-EXP(-LN(2)/35))/(LN(2)/35)*GH28*GI28*VLOOKUP('Données projet'!$B$17,'Paramètres'!$A$1:$I$89,3,0)*0.475*44/12</f>
        <v>0</v>
      </c>
      <c r="GM28" s="142">
        <f>EXP(-LN(2)/25)*GM27+(1-EXP(-LN(2)/25))/(LN(2)/25)*Calculateur!GH28*Calculateur!GJ28*VLOOKUP('Données projet'!$B$17,'Paramètres'!$A$1:$I$89,3,0)*0.475*44/12</f>
        <v>0</v>
      </c>
      <c r="GN28" s="142">
        <f>EXP(-LN(2)/2)*GN27+(1-EXP(-LN(2)/2))/(LN(2)/2)*GH28*GK28*VLOOKUP('Données projet'!$B$17,'Paramètres'!$A$1:$I$89,3,0)*0.475*44/12</f>
        <v>0</v>
      </c>
      <c r="GO28" s="142">
        <f t="shared" si="28"/>
        <v>0</v>
      </c>
      <c r="GP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8">
        <f>VLOOKUP(A28,'Données projet'!$A$269:$I$289,2,0)</f>
        <v>30</v>
      </c>
      <c r="GS28" s="130">
        <f>VLOOKUP(A28,'Données projet'!$A$269:$I$289,9,0)</f>
        <v>1.2</v>
      </c>
      <c r="GT28" s="130">
        <f t="array" ref="GT28">INDEX(GS:GS,MIN(IF(ISNUMBER(GS28:GS224),ROW(GS28:GS224),"")))</f>
        <v>1.2</v>
      </c>
      <c r="GU28" s="138">
        <f>IF('Données projet'!$A$270&gt;35,GU27+GT28-HC27,IF(A28&lt;'Données projet'!$A$270,$GR$205^A28,IF(A28='Données projet'!$A$270,'Données projet'!$B$270,GU27+GT28-HC27)))</f>
        <v>30</v>
      </c>
      <c r="GV28" s="138">
        <f>GU28*VLOOKUP('Données projet'!$B$18,'Paramètres'!$A$1:$I$89,3,0)*VLOOKUP('Données projet'!$B$18,'Paramètres'!$A$1:$I$89,5,0)</f>
        <v>32.292</v>
      </c>
      <c r="GW28" s="130">
        <f t="shared" si="52"/>
        <v>9.930894248</v>
      </c>
      <c r="GX28" s="141">
        <f t="shared" si="29"/>
        <v>73.53820748</v>
      </c>
      <c r="GY28" s="133">
        <f t="shared" si="30"/>
        <v>366.8715408</v>
      </c>
      <c r="GZ28" s="133">
        <f>AVERAGE(OFFSET($GY$3,0,0,'Données projet'!$E$18+1,1))-AVERAGE(OFFSET($H$3,0,0,'Données projet'!$E$18+1,1))</f>
        <v>100.5427875</v>
      </c>
      <c r="HA28" s="133">
        <f t="shared" si="53"/>
        <v>92.28663609</v>
      </c>
      <c r="HB28" s="134">
        <f>IF(ISNA(VLOOKUP(A28,'Données projet'!$A$269:$I$289,3,0)),0,VLOOKUP(A28,'Données projet'!$A$269:$I$289,3,0))</f>
        <v>1</v>
      </c>
      <c r="HC28" s="144">
        <f>IF(ISNA(VLOOKUP(A28,'Données projet'!$A$269:$I$289,4,0)),0,VLOOKUP(A28,'Données projet'!$A$269:$I$289,4,0))</f>
        <v>0</v>
      </c>
      <c r="HD28" s="135">
        <f>IF(ISNA(VLOOKUP(A28,'Données projet'!$A$269:$I$289,5,0)),0%,VLOOKUP(A28,'Données projet'!$A$269:$I$289,5,0)*VLOOKUP('Données projet'!$B$18,'Paramètres'!$A$1:$I$89,7,0))</f>
        <v>0</v>
      </c>
      <c r="HE28" s="135">
        <f>IF(ISNA(VLOOKUP(A28,'Données projet'!$A$269:$I$289,6,0)),0%,VLOOKUP(A28,'Données projet'!$A$269:$I$289,6,0)*VLOOKUP('Données projet'!$B$18,'Paramètres'!$A$1:$I$89,7,0))</f>
        <v>0</v>
      </c>
      <c r="HF28" s="135" t="str">
        <f>IF(ISNA(VLOOKUP(A28,'Données projet'!$A$269:$I$289,7,0)),0%,VLOOKUP(A28,'Données projet'!$A$269:$I$289,7,0))</f>
        <v/>
      </c>
      <c r="HG28" s="142">
        <f>EXP(-LN(2)/35)*HG27+(1-EXP(-LN(2)/35))/(LN(2)/35)*HC28*HD28*VLOOKUP('Données projet'!$B$18,'Paramètres'!$A$1:$I$89,3,0)*0.475*44/12</f>
        <v>0</v>
      </c>
      <c r="HH28" s="142">
        <f>EXP(-LN(2)/25)*HH27+(1-EXP(-LN(2)/25))/(LN(2)/25)*Calculateur!HC28*Calculateur!HE28*VLOOKUP('Données projet'!$B$18,'Paramètres'!$A$1:$I$89,3,0)*0.475*44/12</f>
        <v>0</v>
      </c>
      <c r="HI28" s="142">
        <f>EXP(-LN(2)/2)*HI27+(1-EXP(-LN(2)/2))/(LN(2)/2)*HC28*HF28*VLOOKUP('Données projet'!$B$18,'Paramètres'!$A$1:$I$89,3,0)*0.475*44/12</f>
        <v>0</v>
      </c>
      <c r="HJ28" s="143">
        <f t="shared" si="31"/>
        <v>0</v>
      </c>
    </row>
    <row r="29" ht="15.75" customHeight="1">
      <c r="A29" s="125">
        <f t="shared" si="32"/>
        <v>26</v>
      </c>
      <c r="B29" s="126">
        <f>'Scénario référence'!$B$16*5+'Scénario référence'!$B$17*0+'Scénario référence'!$B$18*5</f>
        <v>0</v>
      </c>
      <c r="C29" s="140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14.196</v>
      </c>
      <c r="D29" s="127">
        <f t="shared" si="33"/>
        <v>4.804032471</v>
      </c>
      <c r="E2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7">
        <f>IF(OR('Scénario référence'!$F$8&gt;0,'Scénario référence'!$F$9&gt;0),('Scénario référence'!$F$8+'Scénario référence'!$F$9)*10,0)</f>
        <v>10</v>
      </c>
      <c r="G29" s="127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</v>
      </c>
      <c r="H29" s="128">
        <f t="shared" si="1"/>
        <v>326.4250566</v>
      </c>
      <c r="I29" s="12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1" t="str">
        <f>VLOOKUP(A29,'Données projet'!$A$35:$I$55,2,0)</f>
        <v>#N/A</v>
      </c>
      <c r="L29" s="131" t="str">
        <f>VLOOKUP(A29,'Données projet'!$A$35:$I$55,9,0)</f>
        <v>#N/A</v>
      </c>
      <c r="M29" s="130">
        <f t="array" ref="M29">INDEX(L:L,MIN(IF(ISNUMBER(L29:L225),ROW(L29:L225),"")))</f>
        <v>10.8</v>
      </c>
      <c r="N29" s="130">
        <f>IF('Données projet'!$A$36&gt;35,N28+M29-V28,IF(A29&lt;'Données projet'!$A$36,$K$205^A29,IF(A29='Données projet'!$A$36,'Données projet'!$B$36,N28+M29-V28)))</f>
        <v>96.8</v>
      </c>
      <c r="O29" s="130">
        <f>N29*VLOOKUP('Données projet'!$B$9,'Paramètres'!$A$1:$I$89,3,0)*VLOOKUP('Données projet'!$B$9,'Paramètres'!$A$1:$I$89,5,0)</f>
        <v>55.3696</v>
      </c>
      <c r="P29" s="130">
        <f t="shared" si="34"/>
        <v>15.99214289</v>
      </c>
      <c r="Q29" s="141">
        <f t="shared" si="2"/>
        <v>124.2883689</v>
      </c>
      <c r="R29" s="133">
        <f t="shared" si="3"/>
        <v>417.6217022</v>
      </c>
      <c r="S29" s="133">
        <f>AVERAGE(OFFSET($R$3,0,0,'Données projet'!$E$9+1,1))-AVERAGE(OFFSET($H$3,0,0,'Données projet'!$E$9+1,1))</f>
        <v>126.9946492</v>
      </c>
      <c r="T29" s="133">
        <f t="shared" si="35"/>
        <v>140.039049</v>
      </c>
      <c r="U29" s="134">
        <f>IF(ISNA(VLOOKUP(A29,'Données projet'!$A$35:$I$55,3,0)),0,VLOOKUP(A29,'Données projet'!$A$35:$I$55,3,0))</f>
        <v>0</v>
      </c>
      <c r="V29" s="134">
        <f>IF(ISNA(VLOOKUP(A29,'Données projet'!$A$35:$I$55,4,0)),0,VLOOKUP(A29,'Données projet'!$A$35:$I$55,4,0))</f>
        <v>0</v>
      </c>
      <c r="W29" s="135">
        <f>IF(ISNA(VLOOKUP(A29,'Données projet'!$A$35:$I$55,5,0)),0%,VLOOKUP(A29,'Données projet'!$A$35:$I$55,5,0)*VLOOKUP('Données projet'!$B$9,'Paramètres'!$A$1:$I$89,7,0))</f>
        <v>0</v>
      </c>
      <c r="X29" s="135">
        <f>IF(ISNA(VLOOKUP(A29,'Données projet'!$A$35:$I$55,6,0)),0%,VLOOKUP(A29,'Données projet'!$A$35:$I$55,6,0)*VLOOKUP('Données projet'!$B$9,'Paramètres'!$A$1:$I$89,7,0))</f>
        <v>0</v>
      </c>
      <c r="Y29" s="135">
        <f>IF(ISNA(VLOOKUP(A29,'Données projet'!$A$35:$I$55,7,0)),0%,VLOOKUP(A29,'Données projet'!$A$35:$I$55,7,0))</f>
        <v>0</v>
      </c>
      <c r="Z29" s="142">
        <f>EXP(-LN(2)/35)*Z28+(1-EXP(-LN(2)/35))/(LN(2)/35)*V29*W29*VLOOKUP('Données projet'!$B$9,'Paramètres'!$A$1:$I$89,3,0)*0.475*44/12</f>
        <v>0</v>
      </c>
      <c r="AA29" s="142">
        <f>EXP(-LN(2)/25)*AA28+(1-EXP(-LN(2)/25))/(LN(2)/25)*Calculateur!V29*Calculateur!X29*VLOOKUP('Données projet'!$B$9,'Paramètres'!$A$1:$I$89,3,0)*0.475*44/12</f>
        <v>2.2230622</v>
      </c>
      <c r="AB29" s="142">
        <f>EXP(-LN(2)/2)*AB28+(1-EXP(-LN(2)/2))/(LN(2)/2)*V29*Y29*VLOOKUP('Données projet'!$B$9,'Paramètres'!$A$1:$I$89,3,0)*0.475*44/12</f>
        <v>2.417967687</v>
      </c>
      <c r="AC29" s="143">
        <f t="shared" si="4"/>
        <v>4.641029886</v>
      </c>
      <c r="AD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0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1" t="str">
        <f>VLOOKUP(A29,'Données projet'!$A$61:$I$81,2,0)</f>
        <v>#N/A</v>
      </c>
      <c r="AG29" s="131" t="str">
        <f>VLOOKUP(A29,'Données projet'!$A$61:$I$81,9,0)</f>
        <v>#N/A</v>
      </c>
      <c r="AH29" s="131">
        <f t="array" ref="AH29">INDEX(AG:AG,MIN(IF(ISNUMBER(AG29:AG225),ROW(AG29:AG225),"")))</f>
        <v>13.4</v>
      </c>
      <c r="AI29" s="130">
        <f>IF('Données projet'!$A$62&gt;35,AI28+AH29-AQ28,IF(A29&lt;'Données projet'!$A$62,$AF$205^A29,IF(A29='Données projet'!$A$62,'Données projet'!$B$62,AI28+AH29-AQ28)))</f>
        <v>140.4</v>
      </c>
      <c r="AJ29" s="130">
        <f>AI29*VLOOKUP('Données projet'!$B$10,'Paramètres'!$A$1:$I$89,3,0)*VLOOKUP('Données projet'!$B$10,'Paramètres'!$A$1:$I$89,5,0)</f>
        <v>83.9592</v>
      </c>
      <c r="AK29" s="130">
        <f t="shared" si="36"/>
        <v>23.10249088</v>
      </c>
      <c r="AL29" s="141">
        <f t="shared" si="5"/>
        <v>186.4657783</v>
      </c>
      <c r="AM29" s="133">
        <f t="shared" si="6"/>
        <v>479.7991116</v>
      </c>
      <c r="AN29" s="133">
        <f>AVERAGE(OFFSET($AM$3,0,0,'Données projet'!$E$10+1,1))-AVERAGE(OFFSET($H$3,0,0,'Données projet'!$E$10+1,1))</f>
        <v>196.874484</v>
      </c>
      <c r="AO29" s="133">
        <f t="shared" si="37"/>
        <v>217.5750859</v>
      </c>
      <c r="AP29" s="134">
        <f>IF(ISNA(VLOOKUP(A29,'Données projet'!$A$61:$I$81,3,0)),0,VLOOKUP(A29,'Données projet'!$A$61:$I$81,3,0))</f>
        <v>0</v>
      </c>
      <c r="AQ29" s="134">
        <f>IF(ISNA(VLOOKUP(A29,'Données projet'!$A$61:$I$81,4,0)),0,VLOOKUP(A29,'Données projet'!$A$61:$I$81,4,0))</f>
        <v>0</v>
      </c>
      <c r="AR29" s="135">
        <f>IF(ISNA(VLOOKUP(A29,'Données projet'!$A$61:$I$81,5,0)),0%,VLOOKUP(A29,'Données projet'!$A$61:$I$81,5,0)*VLOOKUP('Données projet'!$B$10,'Paramètres'!$A$1:$I$89,7,0))</f>
        <v>0</v>
      </c>
      <c r="AS29" s="135">
        <f>IF(ISNA(VLOOKUP(A29,'Données projet'!$A$61:$I$81,6,0)),0%,VLOOKUP(A29,'Données projet'!$A$61:$I$81,6,0)*VLOOKUP('Données projet'!$B$10,'Paramètres'!$A$1:$I$89,7,0))</f>
        <v>0</v>
      </c>
      <c r="AT29" s="135">
        <f>IF(ISNA(VLOOKUP(A29,'Données projet'!$A$61:$I$81,7,0)),0%,VLOOKUP(A29,'Données projet'!$A$61:$I$81,7,0))</f>
        <v>0</v>
      </c>
      <c r="AU29" s="142">
        <f>EXP(-LN(2)/35)*AU28+(1-EXP(-LN(2)/35))/(LN(2)/35)*AQ29*AR29*VLOOKUP('Données projet'!$B$10,'Paramètres'!$A$1:$I$89,3,0)*0.475*44/12</f>
        <v>0</v>
      </c>
      <c r="AV29" s="142">
        <f>EXP(-LN(2)/25)*AV28+(1-EXP(-LN(2)/25))/(LN(2)/25)*Calculateur!AQ29*Calculateur!AS29*VLOOKUP('Données projet'!$B$10,'Paramètres'!$A$1:$I$89,3,0)*0.475*44/12</f>
        <v>6.1439802</v>
      </c>
      <c r="AW29" s="142">
        <f>EXP(-LN(2)/2)*AW28+(1-EXP(-LN(2)/2))/(LN(2)/2)*AQ29*AT29*VLOOKUP('Données projet'!$B$10,'Paramètres'!$A$1:$I$89,3,0)*0.475*44/12</f>
        <v>4.772808536</v>
      </c>
      <c r="AX29" s="142">
        <f t="shared" si="7"/>
        <v>10.91678874</v>
      </c>
      <c r="AY29" s="13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1" t="str">
        <f>VLOOKUP(A29,'Données projet'!$A$87:$I$107,2,0)</f>
        <v>#N/A</v>
      </c>
      <c r="BB29" s="131" t="str">
        <f>VLOOKUP(A29,'Données projet'!$A$87:$I$107,9,0)</f>
        <v>#N/A</v>
      </c>
      <c r="BC29" s="130">
        <f t="array" ref="BC29">INDEX(BB:BB,MIN(IF(ISNUMBER(BB29:BB225),ROW(BB29:BB225),"")))</f>
        <v>4.666666667</v>
      </c>
      <c r="BD29" s="131">
        <f>IF('Données projet'!$A$88&gt;35,BD28+BC29-BL28,IF(A29&lt;'Données projet'!$A$88,$BA$205^A29,IF(A29='Données projet'!$A$88,'Données projet'!$B$88,BD28+BC29-BL28)))</f>
        <v>72.43986477</v>
      </c>
      <c r="BE29" s="130">
        <f>BD29*VLOOKUP('Données projet'!$B$11,'Paramètres'!$A$1:$I$89,3,0)*VLOOKUP('Données projet'!$B$11,'Paramètres'!$A$1:$I$89,5,0)</f>
        <v>33.90185671</v>
      </c>
      <c r="BF29" s="130">
        <f t="shared" si="38"/>
        <v>10.36710591</v>
      </c>
      <c r="BG29" s="141">
        <f t="shared" si="8"/>
        <v>77.10177657</v>
      </c>
      <c r="BH29" s="133">
        <f t="shared" si="9"/>
        <v>370.4351099</v>
      </c>
      <c r="BI29" s="133">
        <f>AVERAGE(OFFSET($BH$3,0,0,'Données projet'!$E$11+1,1))-AVERAGE(OFFSET($H$3,0,0,'Données projet'!$E$11+1,1))</f>
        <v>134.0948534</v>
      </c>
      <c r="BJ29" s="133">
        <f t="shared" si="39"/>
        <v>108.4102536</v>
      </c>
      <c r="BK29" s="134">
        <f>IF(ISNA(VLOOKUP(A29,'Données projet'!$A$87:$I$107,3,0)),0,VLOOKUP(A29,'Données projet'!$A$87:$I$107,3,0))</f>
        <v>0</v>
      </c>
      <c r="BL29" s="134">
        <f>IF(ISNA(VLOOKUP(A29,'Données projet'!$A$87:$I$107,4,0)),0,VLOOKUP(A29,'Données projet'!$A$87:$I$107,4,0))</f>
        <v>0</v>
      </c>
      <c r="BM29" s="135">
        <f>IF(ISNA(VLOOKUP(A29,'Données projet'!$A$87:$I$107,5,0)),0%,VLOOKUP(A29,'Données projet'!$A$87:$I$107,5,0)*VLOOKUP('Données projet'!$B$11,'Paramètres'!$A$1:$I$89,7,0))</f>
        <v>0</v>
      </c>
      <c r="BN29" s="135">
        <f>IF(ISNA(VLOOKUP(A29,'Données projet'!$A$87:$I$107,6,0)),0%,VLOOKUP(A29,'Données projet'!$A$87:$I$107,6,0)*VLOOKUP('Données projet'!$B$11,'Paramètres'!$A$1:$I$89,7,0))</f>
        <v>0</v>
      </c>
      <c r="BO29" s="135">
        <f>IF(ISNA(VLOOKUP(A29,'Données projet'!$A$87:$I$107,7,0)),0%,VLOOKUP(A29,'Données projet'!$A$87:$I$107,7,0))</f>
        <v>0</v>
      </c>
      <c r="BP29" s="142">
        <f>EXP(-LN(2)/35)*BP28+(1-EXP(-LN(2)/35))/(LN(2)/35)*BL29*BM29*VLOOKUP('Données projet'!$B$11,'Paramètres'!$A$1:$I$89,3,0)*0.475*44/12</f>
        <v>0</v>
      </c>
      <c r="BQ29" s="142">
        <f>EXP(-LN(2)/25)*BQ28+(1-EXP(-LN(2)/25))/(LN(2)/25)*Calculateur!BL29*Calculateur!BN29*VLOOKUP('Données projet'!$B$11,'Paramètres'!$A$1:$I$89,3,0)*0.475*44/12</f>
        <v>0</v>
      </c>
      <c r="BR29" s="142">
        <f>EXP(-LN(2)/2)*BR28+(1-EXP(-LN(2)/2))/(LN(2)/2)*BL29*BO29*VLOOKUP('Données projet'!$B$11,'Paramètres'!$A$1:$I$89,3,0)*0.475*44/12</f>
        <v>0</v>
      </c>
      <c r="BS29" s="143">
        <f t="shared" si="10"/>
        <v>0</v>
      </c>
      <c r="BT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1" t="str">
        <f>VLOOKUP(A29,'Données projet'!$A$113:$I$133,2,0)</f>
        <v>#N/A</v>
      </c>
      <c r="BW29" s="131" t="str">
        <f>VLOOKUP(A29,'Données projet'!$A$113:$I$133,9,0)</f>
        <v>#N/A</v>
      </c>
      <c r="BX29" s="130">
        <f t="array" ref="BX29">INDEX(BW:BW,MIN(IF(ISNUMBER(BW29:BW225),ROW(BW29:BW225),"")))</f>
        <v>25.4</v>
      </c>
      <c r="BY29" s="130">
        <f>IF('Données projet'!$A$114&gt;35,BY28+BX29-CG28,IF(A29&lt;'Données projet'!$A$114,$BV$205^A29,IF(A29='Données projet'!$A$114,'Données projet'!$B$114,BY28+BX29-CG28)))</f>
        <v>207.4</v>
      </c>
      <c r="BZ29" s="130">
        <f>BY29*VLOOKUP('Données projet'!$B$12,'Paramètres'!$A$1:$I$89,3,0)*VLOOKUP('Données projet'!$B$12,'Paramètres'!$A$1:$I$89,5,0)</f>
        <v>102.4556</v>
      </c>
      <c r="CA29" s="130">
        <f t="shared" si="40"/>
        <v>27.54618185</v>
      </c>
      <c r="CB29" s="141">
        <f t="shared" si="11"/>
        <v>226.4197701</v>
      </c>
      <c r="CC29" s="133">
        <f t="shared" si="12"/>
        <v>519.7531034</v>
      </c>
      <c r="CD29" s="133">
        <f>AVERAGE(OFFSET($CC$3,0,0,'Données projet'!$E$12+1,1))-AVERAGE(OFFSET($H$3,0,0,'Données projet'!$E$12+1,1))</f>
        <v>258.1672054</v>
      </c>
      <c r="CE29" s="133">
        <f t="shared" si="41"/>
        <v>296.0724261</v>
      </c>
      <c r="CF29" s="134">
        <f>IF(ISNA(VLOOKUP(A29,'Données projet'!$A$113:$I$133,3,0)),0,VLOOKUP(A29,'Données projet'!$A$113:$I$133,3,0))</f>
        <v>0</v>
      </c>
      <c r="CG29" s="134">
        <f>IF(ISNA(VLOOKUP(A29,'Données projet'!$A$113:$I$133,4,0)),0,VLOOKUP(A29,'Données projet'!$A$113:$I$133,4,0))</f>
        <v>0</v>
      </c>
      <c r="CH29" s="135">
        <f>IF(ISNA(VLOOKUP(A29,'Données projet'!$A$113:$I$133,5,0)),0%,VLOOKUP(A29,'Données projet'!$A$113:$I$133,5,0)*VLOOKUP('Données projet'!$B$12,'Paramètres'!$A$1:$I$89,7,0))</f>
        <v>0</v>
      </c>
      <c r="CI29" s="135">
        <f>IF(ISNA(VLOOKUP(A29,'Données projet'!$A$113:$I$133,6,0)),0%,VLOOKUP(A29,'Données projet'!$A$113:$I$133,6,0)*VLOOKUP('Données projet'!$B$12,'Paramètres'!$A$1:$I$89,7,0))</f>
        <v>0</v>
      </c>
      <c r="CJ29" s="135">
        <f>IF(ISNA(VLOOKUP(A29,'Données projet'!$A$113:$I$133,7,0)),0%,VLOOKUP(A29,'Données projet'!$A$113:$I$133,7,0))</f>
        <v>0</v>
      </c>
      <c r="CK29" s="142">
        <f>EXP(-LN(2)/35)*CK28+(1-EXP(-LN(2)/35))/(LN(2)/35)*CG29*CH29*VLOOKUP('Données projet'!$B$12,'Paramètres'!$A$1:$I$89,3,0)*0.475*44/12</f>
        <v>4.452333453</v>
      </c>
      <c r="CL29" s="142">
        <f>EXP(-LN(2)/25)*CL28+(1-EXP(-LN(2)/25))/(LN(2)/25)*Calculateur!CG29*Calculateur!CI29*VLOOKUP('Données projet'!$B$12,'Paramètres'!$A$1:$I$89,3,0)*0.475*44/12</f>
        <v>10.36627676</v>
      </c>
      <c r="CM29" s="142">
        <f>EXP(-LN(2)/2)*CM28+(1-EXP(-LN(2)/2))/(LN(2)/2)*CG29*CJ29*VLOOKUP('Données projet'!$B$12,'Paramètres'!$A$1:$I$89,3,0)*0.475*44/12</f>
        <v>8.813083384</v>
      </c>
      <c r="CN29" s="143">
        <f t="shared" si="13"/>
        <v>23.6316936</v>
      </c>
      <c r="CO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1" t="str">
        <f>VLOOKUP(A29,'Données projet'!$A$139:$I$159,2,0)</f>
        <v>#N/A</v>
      </c>
      <c r="CR29" s="131" t="str">
        <f>VLOOKUP(A29,'Données projet'!$A$139:$I$159,9,0)</f>
        <v>#N/A</v>
      </c>
      <c r="CS29" s="130">
        <f t="array" ref="CS29">INDEX(CR:CR,MIN(IF(ISNUMBER(CR29:CR225),ROW(CR29:CR225),"")))</f>
        <v>4.8</v>
      </c>
      <c r="CT29" s="138">
        <f>IF('Données projet'!$A$140&gt;35,CT28+CS29-DB28,IF(A29&lt;'Données projet'!$A$140,$CQ$205^A29,IF(A29='Données projet'!$A$140,'Données projet'!$B$140,CT28+CS29-DB28)))</f>
        <v>34.8</v>
      </c>
      <c r="CU29" s="138">
        <f>CT29*VLOOKUP('Données projet'!$B$13,'Paramètres'!$A$1:$I$89,3,0)*VLOOKUP('Données projet'!$B$13,'Paramètres'!$A$1:$I$89,5,0)</f>
        <v>35.2872</v>
      </c>
      <c r="CV29" s="130">
        <f t="shared" si="42"/>
        <v>10.74055249</v>
      </c>
      <c r="CW29" s="141">
        <f t="shared" si="14"/>
        <v>80.16500225</v>
      </c>
      <c r="CX29" s="133">
        <f t="shared" si="15"/>
        <v>373.4983356</v>
      </c>
      <c r="CY29" s="133">
        <f>AVERAGE(OFFSET($CX$3,0,0,'Données projet'!$E$13+1,1))-AVERAGE(OFFSET($H$3,0,0,'Données projet'!$E$13+1,1))</f>
        <v>223.783507</v>
      </c>
      <c r="CZ29" s="133">
        <f t="shared" si="43"/>
        <v>84.92349117</v>
      </c>
      <c r="DA29" s="134">
        <f>IF(ISNA(VLOOKUP(A29,'Données projet'!$A$139:$I$159,3,0)),0,VLOOKUP(A29,'Données projet'!$A$139:$I$159,3,0))</f>
        <v>0</v>
      </c>
      <c r="DB29" s="134">
        <f>IF(ISNA(VLOOKUP(A29,'Données projet'!$A$139:$I$159,4,0)),0,VLOOKUP(A29,'Données projet'!$A$139:$I$159,4,0))</f>
        <v>0</v>
      </c>
      <c r="DC29" s="135">
        <f>IF(ISNA(VLOOKUP(A29,'Données projet'!$A$139:$I$159,5,0)),0%,VLOOKUP(A29,'Données projet'!$A$139:$I$159,5,0)*VLOOKUP('Données projet'!$B$13,'Paramètres'!$A$1:$I$89,7,0))</f>
        <v>0</v>
      </c>
      <c r="DD29" s="135">
        <f>IF(ISNA(VLOOKUP(A29,'Données projet'!$A$139:$I$159,6,0)),0%,VLOOKUP(A29,'Données projet'!$A$139:$I$159,6,0)*VLOOKUP('Données projet'!$B$13,'Paramètres'!$A$1:$I$89,7,0))</f>
        <v>0</v>
      </c>
      <c r="DE29" s="135">
        <f>IF(ISNA(VLOOKUP(A29,'Données projet'!$A$139:$I$159,7,0)),0%,VLOOKUP(A29,'Données projet'!$A$139:$I$159,7,0))</f>
        <v>0</v>
      </c>
      <c r="DF29" s="142">
        <f>EXP(-LN(2)/35)*DF28+(1-EXP(-LN(2)/35))/(LN(2)/35)*DB29*DC29*VLOOKUP('Données projet'!$B$13,'Paramètres'!$A$1:$I$89,3,0)*0.475*44/12</f>
        <v>0</v>
      </c>
      <c r="DG29" s="142">
        <f>EXP(-LN(2)/25)*DG28+(1-EXP(-LN(2)/25))/(LN(2)/25)*Calculateur!DB29*Calculateur!DD29*VLOOKUP('Données projet'!$B$13,'Paramètres'!$A$1:$I$89,3,0)*0.475*44/12</f>
        <v>0</v>
      </c>
      <c r="DH29" s="142">
        <f>EXP(-LN(2)/2)*DH28+(1-EXP(-LN(2)/2))/(LN(2)/2)*DB29*DE29*VLOOKUP('Données projet'!$B$13,'Paramètres'!$A$1:$I$89,3,0)*0.475*44/12</f>
        <v>0</v>
      </c>
      <c r="DI29" s="143">
        <f t="shared" si="16"/>
        <v>0</v>
      </c>
      <c r="DJ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1" t="str">
        <f>VLOOKUP(A29,'Données projet'!$A$165:$I$185,2,0)</f>
        <v>#N/A</v>
      </c>
      <c r="DM29" s="131" t="str">
        <f>VLOOKUP(A29,'Données projet'!$A$165:$I$185,9,0)</f>
        <v>#N/A</v>
      </c>
      <c r="DN29" s="131">
        <f t="array" ref="DN29">INDEX(DM:DM,MIN(IF(ISNUMBER(DM29:DM225),ROW(DM29:DM225),"")))</f>
        <v>7</v>
      </c>
      <c r="DO29" s="138">
        <f>IF('Données projet'!$A$166&gt;35,DO28+DN29-DW28,IF(A29&lt;'Données projet'!$A$166,$DL$205^A29,IF(A29='Données projet'!$A$166,'Données projet'!$B$166,DO28+DN29-DW28)))</f>
        <v>69</v>
      </c>
      <c r="DP29" s="138">
        <f>DO29*VLOOKUP('Données projet'!$B$14,'Paramètres'!$A$1:$I$89,3,0)*VLOOKUP('Données projet'!$B$14,'Paramètres'!$A$1:$I$89,5,0)</f>
        <v>62.4312</v>
      </c>
      <c r="DQ29" s="130">
        <f t="shared" si="44"/>
        <v>17.78152447</v>
      </c>
      <c r="DR29" s="141">
        <f t="shared" si="17"/>
        <v>139.7038284</v>
      </c>
      <c r="DS29" s="133">
        <f t="shared" si="18"/>
        <v>433.0371618</v>
      </c>
      <c r="DT29" s="133">
        <f>AVERAGE(OFFSET($DS$3,0,0,'Données projet'!$E$14+1,1))-AVERAGE(OFFSET($H$3,0,0,'Données projet'!$E$14+1,1))</f>
        <v>287.9334714</v>
      </c>
      <c r="DU29" s="133">
        <f t="shared" si="45"/>
        <v>156.6796502</v>
      </c>
      <c r="DV29" s="134">
        <f>IF(ISNA(VLOOKUP(A29,'Données projet'!$A$165:$I$185,3,0)),0,VLOOKUP(A29,'Données projet'!$A$165:$I$185,3,0))</f>
        <v>0</v>
      </c>
      <c r="DW29" s="134">
        <f>IF(ISNA(VLOOKUP(A29,'Données projet'!$A$165:$I$185,4,0)),0,VLOOKUP(A29,'Données projet'!$A$165:$I$185,4,0))</f>
        <v>0</v>
      </c>
      <c r="DX29" s="135">
        <f>IF(ISNA(VLOOKUP(A29,'Données projet'!$A$165:$I$185,5,0)),0%,VLOOKUP(A29,'Données projet'!$A$165:$I$185,5,0)*VLOOKUP('Données projet'!$B$14,'Paramètres'!$A$1:$I$89,7,0))</f>
        <v>0</v>
      </c>
      <c r="DY29" s="135">
        <f>IF(ISNA(VLOOKUP(A29,'Données projet'!$A$165:$I$185,6,0)),0%,VLOOKUP(A29,'Données projet'!$A$165:$I$185,6,0)*VLOOKUP('Données projet'!$B$14,'Paramètres'!$A$1:$I$89,7,0))</f>
        <v>0</v>
      </c>
      <c r="DZ29" s="135">
        <f>IF(ISNA(VLOOKUP(A29,'Données projet'!$A$165:$I$185,7,0)),0%,VLOOKUP(A29,'Données projet'!$A$165:$I$185,7,0))</f>
        <v>0</v>
      </c>
      <c r="EA29" s="142">
        <f>EXP(-LN(2)/35)*EA28+(1-EXP(-LN(2)/35))/(LN(2)/35)*DW29*DX29*VLOOKUP('Données projet'!$B$14,'Paramètres'!$A$1:$I$89,3,0)*0.475*44/12</f>
        <v>0</v>
      </c>
      <c r="EB29" s="142">
        <f>EXP(-LN(2)/25)*EB28+(1-EXP(-LN(2)/25))/(LN(2)/25)*Calculateur!DW29*Calculateur!DY29*VLOOKUP('Données projet'!$B$14,'Paramètres'!$A$1:$I$89,3,0)*0.475*44/12</f>
        <v>0</v>
      </c>
      <c r="EC29" s="142">
        <f>EXP(-LN(2)/2)*EC28+(1-EXP(-LN(2)/2))/(LN(2)/2)*DW29*DZ29*VLOOKUP('Données projet'!$B$14,'Paramètres'!$A$1:$I$89,3,0)*0.475*44/12</f>
        <v>0</v>
      </c>
      <c r="ED29" s="143">
        <f t="shared" si="19"/>
        <v>0</v>
      </c>
      <c r="EE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1" t="str">
        <f>VLOOKUP(A29,'Données projet'!$A$191:$I$211,2,0)</f>
        <v>#N/A</v>
      </c>
      <c r="EH29" s="131" t="str">
        <f>VLOOKUP(A29,'Données projet'!$A$191:$I$211,9,0)</f>
        <v>#N/A</v>
      </c>
      <c r="EI29" s="131">
        <f t="array" ref="EI29">INDEX(EH:EH,MIN(IF(ISNUMBER(EH29:EH225),ROW(EH29:EH225),"")))</f>
        <v>6.6</v>
      </c>
      <c r="EJ29" s="138">
        <f>IF('Données projet'!$A$192&gt;35,EJ28+EI29-ER28,IF(A29&lt;'Données projet'!$A$192,$EG$205^A29,IF(A29='Données projet'!$A$192,'Données projet'!$B$192,EJ28+EI29-ER28)))</f>
        <v>46.6</v>
      </c>
      <c r="EK29" s="138">
        <f>EJ29*VLOOKUP('Données projet'!$B$15,'Paramètres'!$A$1:$I$89,3,0)*VLOOKUP('Données projet'!$B$15,'Paramètres'!$A$1:$I$89,5,0)</f>
        <v>34.16712</v>
      </c>
      <c r="EL29" s="130">
        <f t="shared" si="46"/>
        <v>10.43874823</v>
      </c>
      <c r="EM29" s="141">
        <f t="shared" si="20"/>
        <v>77.68855384</v>
      </c>
      <c r="EN29" s="133">
        <f t="shared" si="21"/>
        <v>371.0218872</v>
      </c>
      <c r="EO29" s="133">
        <f>AVERAGE(OFFSET($EN$3,0,0,'Données projet'!$E$15+1,1))-AVERAGE(OFFSET($H$3,0,0,'Données projet'!$E$15+1,1))</f>
        <v>130.3193339</v>
      </c>
      <c r="EP29" s="133">
        <f t="shared" si="47"/>
        <v>82.22784365</v>
      </c>
      <c r="EQ29" s="134">
        <f>IF(ISNA(VLOOKUP(A29,'Données projet'!$A$191:$I$211,3,0)),0,VLOOKUP(A29,'Données projet'!$A$191:$I$211,3,0))</f>
        <v>0</v>
      </c>
      <c r="ER29" s="134">
        <f>IF(ISNA(VLOOKUP(A29,'Données projet'!$A$191:$I$211,4,0)),0,VLOOKUP(A29,'Données projet'!$A$191:$I$211,4,0))</f>
        <v>0</v>
      </c>
      <c r="ES29" s="135">
        <f>IF(ISNA(VLOOKUP(A29,'Données projet'!$A$191:$I$211,5,0)),0%,VLOOKUP(A29,'Données projet'!$A$191:$I$211,5,0)*VLOOKUP('Données projet'!$B$15,'Paramètres'!$A$1:$I$89,7,0))</f>
        <v>0</v>
      </c>
      <c r="ET29" s="135">
        <f>IF(ISNA(VLOOKUP(A29,'Données projet'!$A$191:$I$211,6,0)),0%,VLOOKUP(A29,'Données projet'!$A$191:$I$211,6,0)*VLOOKUP('Données projet'!$B$15,'Paramètres'!$A$1:$I$89,7,0))</f>
        <v>0</v>
      </c>
      <c r="EU29" s="135">
        <f>IF(ISNA(VLOOKUP(A29,'Données projet'!$A$191:$I$211,7,0)),0%,VLOOKUP(A29,'Données projet'!$A$191:$I$211,7,0))</f>
        <v>0</v>
      </c>
      <c r="EV29" s="142">
        <f>EXP(-LN(2)/35)*EV28+(1-EXP(-LN(2)/35))/(LN(2)/35)*ER29*ES29*VLOOKUP('Données projet'!$B$15,'Paramètres'!$A$1:$I$89,3,0)*0.475*44/12</f>
        <v>0</v>
      </c>
      <c r="EW29" s="142">
        <f>EXP(-LN(2)/25)*EW28+(1-EXP(-LN(2)/25))/(LN(2)/25)*Calculateur!ER29*Calculateur!ET29*VLOOKUP('Données projet'!$B$15,'Paramètres'!$A$1:$I$89,3,0)*0.475*44/12</f>
        <v>0</v>
      </c>
      <c r="EX29" s="142">
        <f>EXP(-LN(2)/2)*EX28+(1-EXP(-LN(2)/2))/(LN(2)/2)*ER29*EU29*VLOOKUP('Données projet'!$B$15,'Paramètres'!$A$1:$I$89,3,0)*0.475*44/12</f>
        <v>0</v>
      </c>
      <c r="EY29" s="143">
        <f t="shared" si="22"/>
        <v>0</v>
      </c>
      <c r="EZ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1" t="str">
        <f>VLOOKUP(A29,'Données projet'!$A$217:$I$237,2,0)</f>
        <v>#N/A</v>
      </c>
      <c r="FC29" s="131" t="str">
        <f>VLOOKUP(A29,'Données projet'!$A$217:$I$237,9,0)</f>
        <v>#N/A</v>
      </c>
      <c r="FD29" s="130">
        <f t="array" ref="FD29">INDEX(FC:FC,MIN(IF(ISNUMBER(FC29:FC225),ROW(FC29:FC225),"")))</f>
        <v>8.6</v>
      </c>
      <c r="FE29" s="130">
        <f>IF('Données projet'!$A$218&gt;35,FE28+FD29-FM28,IF(A29&lt;'Données projet'!$A$218,$FB$205^A29,IF(A29='Données projet'!$A$218,'Données projet'!$B$218,FE28+FD29-FM28)))</f>
        <v>152.6</v>
      </c>
      <c r="FF29" s="138">
        <f>FE29*VLOOKUP('Données projet'!$B$16,'Paramètres'!$A$1:$I$89,3,0)*VLOOKUP('Données projet'!$B$16,'Paramètres'!$A$1:$I$89,5,0)</f>
        <v>138.07248</v>
      </c>
      <c r="FG29" s="130">
        <f t="shared" si="48"/>
        <v>35.85508208</v>
      </c>
      <c r="FH29" s="141">
        <f t="shared" si="23"/>
        <v>302.9238373</v>
      </c>
      <c r="FI29" s="133">
        <f t="shared" si="24"/>
        <v>596.2571706</v>
      </c>
      <c r="FJ29" s="133">
        <f>AVERAGE(OFFSET($FI$3,0,0,'Données projet'!$E$16+1,1))-AVERAGE(OFFSET($H$3,0,0,'Données projet'!$E$16+1,1))</f>
        <v>305.6252353</v>
      </c>
      <c r="FK29" s="133">
        <f t="shared" si="49"/>
        <v>331.397916</v>
      </c>
      <c r="FL29" s="134">
        <f>IF(ISNA(VLOOKUP(A29,'Données projet'!$A$217:$I$237,3,0)),0,VLOOKUP(A29,'Données projet'!$A$217:$I$237,3,0))</f>
        <v>0</v>
      </c>
      <c r="FM29" s="134">
        <f>IF(ISNA(VLOOKUP(A29,'Données projet'!$A$217:$I$237,4,0)),0,VLOOKUP(A29,'Données projet'!$A$217:$I$237,4,0))</f>
        <v>0</v>
      </c>
      <c r="FN29" s="135">
        <f>IF(ISNA(VLOOKUP(A29,'Données projet'!$A$217:$I$237,5,0)),0%,VLOOKUP(A29,'Données projet'!$A$217:$I$237,5,0)*VLOOKUP('Données projet'!$B$16,'Paramètres'!$A$1:$I$89,7,0))</f>
        <v>0</v>
      </c>
      <c r="FO29" s="135">
        <f>IF(ISNA(VLOOKUP(A29,'Données projet'!$A$217:$I$237,6,0)),0%,VLOOKUP(A29,'Données projet'!$A$217:$I$237,6,0)*VLOOKUP('Données projet'!$B$16,'Paramètres'!$A$1:$I$89,7,0))</f>
        <v>0</v>
      </c>
      <c r="FP29" s="135">
        <f>IF(ISNA(VLOOKUP(A29,'Données projet'!$A$217:$I$237,7,0)),0%,VLOOKUP(A29,'Données projet'!$A$217:$I$237,7,0))</f>
        <v>0</v>
      </c>
      <c r="FQ29" s="142">
        <f>EXP(-LN(2)/35)*FQ28+(1-EXP(-LN(2)/35))/(LN(2)/35)*FM29*FN29*VLOOKUP('Données projet'!$B$16,'Paramètres'!$A$1:$I$89,3,0)*0.475*44/12</f>
        <v>0</v>
      </c>
      <c r="FR29" s="142">
        <f>EXP(-LN(2)/25)*FR28+(1-EXP(-LN(2)/25))/(LN(2)/25)*Calculateur!FM29*Calculateur!FO29*VLOOKUP('Données projet'!$B$16,'Paramètres'!$A$1:$I$89,3,0)*0.475*44/12</f>
        <v>0</v>
      </c>
      <c r="FS29" s="142">
        <f>EXP(-LN(2)/2)*FS28+(1-EXP(-LN(2)/2))/(LN(2)/2)*FM29*FP29*VLOOKUP('Données projet'!$B$16,'Paramètres'!$A$1:$I$89,3,0)*0.475*44/12</f>
        <v>0</v>
      </c>
      <c r="FT29" s="143">
        <f t="shared" si="25"/>
        <v>0</v>
      </c>
      <c r="FU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1" t="str">
        <f>VLOOKUP(A29,'Données projet'!$A$243:$I$263,2,0)</f>
        <v>#N/A</v>
      </c>
      <c r="FX29" s="131" t="str">
        <f>VLOOKUP(A29,'Données projet'!$A$243:$I$263,9,0)</f>
        <v>#N/A</v>
      </c>
      <c r="FY29" s="130">
        <f t="array" ref="FY29">INDEX(FX:FX,MIN(IF(ISNUMBER(FX29:FX225),ROW(FX29:FX225),"")))</f>
        <v>9.4</v>
      </c>
      <c r="FZ29" s="138">
        <f>IF('Données projet'!$A$244&gt;35,FZ28+FY29-GH28,IF(A29&lt;'Données projet'!$A$244,$FW$205^A29,IF(A29='Données projet'!$A$244,'Données projet'!$B$244,FZ28+FY29-GH28)))</f>
        <v>78.4</v>
      </c>
      <c r="GA29" s="138">
        <f>FZ29*VLOOKUP('Données projet'!$B$17,'Paramètres'!$A$1:$I$89,3,0)*VLOOKUP('Données projet'!$B$17,'Paramètres'!$A$1:$I$89,5,0)</f>
        <v>52.59072</v>
      </c>
      <c r="GB29" s="130">
        <f t="shared" si="50"/>
        <v>15.28084464</v>
      </c>
      <c r="GC29" s="141">
        <f t="shared" si="26"/>
        <v>118.2096417</v>
      </c>
      <c r="GD29" s="133">
        <f t="shared" si="27"/>
        <v>411.5429751</v>
      </c>
      <c r="GE29" s="133">
        <f>AVERAGE(OFFSET($GD$3,0,0,'Données projet'!$E$17+1,1))-AVERAGE(OFFSET($H$3,0,0,'Données projet'!$E$17+1,1))</f>
        <v>118.7368745</v>
      </c>
      <c r="GF29" s="133">
        <f t="shared" si="51"/>
        <v>135.1233677</v>
      </c>
      <c r="GG29" s="134">
        <f>IF(ISNA(VLOOKUP(A29,'Données projet'!$A$243:$I$263,3,0)),0,VLOOKUP(A29,'Données projet'!$A$243:$I$263,3,0))</f>
        <v>0</v>
      </c>
      <c r="GH29" s="134">
        <f>IF(ISNA(VLOOKUP(A29,'Données projet'!$A$243:$I$263,4,0)),0,VLOOKUP(A29,'Données projet'!$A$243:$I$263,4,0))</f>
        <v>0</v>
      </c>
      <c r="GI29" s="135">
        <f>IF(ISNA(VLOOKUP(A29,'Données projet'!$A$243:$I$263,5,0)),0%,VLOOKUP(A29,'Données projet'!$A$243:$I$263,5,0)*VLOOKUP('Données projet'!$B$17,'Paramètres'!$A$1:$I$89,7,0))</f>
        <v>0</v>
      </c>
      <c r="GJ29" s="135">
        <f>IF(ISNA(VLOOKUP(A29,'Données projet'!$A$243:$I$263,6,0)),0%,VLOOKUP(A29,'Données projet'!$A$243:$I$263,6,0)*VLOOKUP('Données projet'!$B$17,'Paramètres'!$A$1:$I$89,7,0))</f>
        <v>0</v>
      </c>
      <c r="GK29" s="135">
        <f>IF(ISNA(VLOOKUP(A29,'Données projet'!$A$243:$I$263,7,0)),0%,VLOOKUP(A29,'Données projet'!$A$243:$I$263,7,0))</f>
        <v>0</v>
      </c>
      <c r="GL29" s="142">
        <f>EXP(-LN(2)/35)*GL28+(1-EXP(-LN(2)/35))/(LN(2)/35)*GH29*GI29*VLOOKUP('Données projet'!$B$17,'Paramètres'!$A$1:$I$89,3,0)*0.475*44/12</f>
        <v>0</v>
      </c>
      <c r="GM29" s="142">
        <f>EXP(-LN(2)/25)*GM28+(1-EXP(-LN(2)/25))/(LN(2)/25)*Calculateur!GH29*Calculateur!GJ29*VLOOKUP('Données projet'!$B$17,'Paramètres'!$A$1:$I$89,3,0)*0.475*44/12</f>
        <v>0</v>
      </c>
      <c r="GN29" s="142">
        <f>EXP(-LN(2)/2)*GN28+(1-EXP(-LN(2)/2))/(LN(2)/2)*GH29*GK29*VLOOKUP('Données projet'!$B$17,'Paramètres'!$A$1:$I$89,3,0)*0.475*44/12</f>
        <v>0</v>
      </c>
      <c r="GO29" s="142">
        <f t="shared" si="28"/>
        <v>0</v>
      </c>
      <c r="GP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1" t="str">
        <f>VLOOKUP(A29,'Données projet'!$A$269:$I$289,2,0)</f>
        <v>#N/A</v>
      </c>
      <c r="GS29" s="131" t="str">
        <f>VLOOKUP(A29,'Données projet'!$A$269:$I$289,9,0)</f>
        <v>#N/A</v>
      </c>
      <c r="GT29" s="130">
        <f t="array" ref="GT29">INDEX(GS:GS,MIN(IF(ISNUMBER(GS29:GS225),ROW(GS29:GS225),"")))</f>
        <v>4.8</v>
      </c>
      <c r="GU29" s="138">
        <f>IF('Données projet'!$A$270&gt;35,GU28+GT29-HC28,IF(A29&lt;'Données projet'!$A$270,$GR$205^A29,IF(A29='Données projet'!$A$270,'Données projet'!$B$270,GU28+GT29-HC28)))</f>
        <v>34.8</v>
      </c>
      <c r="GV29" s="138">
        <f>GU29*VLOOKUP('Données projet'!$B$18,'Paramètres'!$A$1:$I$89,3,0)*VLOOKUP('Données projet'!$B$18,'Paramètres'!$A$1:$I$89,5,0)</f>
        <v>37.45872</v>
      </c>
      <c r="GW29" s="130">
        <f t="shared" si="52"/>
        <v>11.32252886</v>
      </c>
      <c r="GX29" s="141">
        <f t="shared" si="29"/>
        <v>84.96067511</v>
      </c>
      <c r="GY29" s="133">
        <f t="shared" si="30"/>
        <v>378.2940084</v>
      </c>
      <c r="GZ29" s="133">
        <f>AVERAGE(OFFSET($GY$3,0,0,'Données projet'!$E$18+1,1))-AVERAGE(OFFSET($H$3,0,0,'Données projet'!$E$18+1,1))</f>
        <v>100.5427875</v>
      </c>
      <c r="HA29" s="133">
        <f t="shared" si="53"/>
        <v>92.28663609</v>
      </c>
      <c r="HB29" s="134">
        <f>IF(ISNA(VLOOKUP(A29,'Données projet'!$A$269:$I$289,3,0)),0,VLOOKUP(A29,'Données projet'!$A$269:$I$289,3,0))</f>
        <v>0</v>
      </c>
      <c r="HC29" s="134">
        <f>IF(ISNA(VLOOKUP(A29,'Données projet'!$A$269:$I$289,4,0)),0,VLOOKUP(A29,'Données projet'!$A$269:$I$289,4,0))</f>
        <v>0</v>
      </c>
      <c r="HD29" s="135">
        <f>IF(ISNA(VLOOKUP(A29,'Données projet'!$A$269:$I$289,5,0)),0%,VLOOKUP(A29,'Données projet'!$A$269:$I$289,5,0)*VLOOKUP('Données projet'!$B$18,'Paramètres'!$A$1:$I$89,7,0))</f>
        <v>0</v>
      </c>
      <c r="HE29" s="135">
        <f>IF(ISNA(VLOOKUP(A29,'Données projet'!$A$269:$I$289,6,0)),0%,VLOOKUP(A29,'Données projet'!$A$269:$I$289,6,0)*VLOOKUP('Données projet'!$B$18,'Paramètres'!$A$1:$I$89,7,0))</f>
        <v>0</v>
      </c>
      <c r="HF29" s="135">
        <f>IF(ISNA(VLOOKUP(A29,'Données projet'!$A$269:$I$289,7,0)),0%,VLOOKUP(A29,'Données projet'!$A$269:$I$289,7,0))</f>
        <v>0</v>
      </c>
      <c r="HG29" s="142">
        <f>EXP(-LN(2)/35)*HG28+(1-EXP(-LN(2)/35))/(LN(2)/35)*HC29*HD29*VLOOKUP('Données projet'!$B$18,'Paramètres'!$A$1:$I$89,3,0)*0.475*44/12</f>
        <v>0</v>
      </c>
      <c r="HH29" s="142">
        <f>EXP(-LN(2)/25)*HH28+(1-EXP(-LN(2)/25))/(LN(2)/25)*Calculateur!HC29*Calculateur!HE29*VLOOKUP('Données projet'!$B$18,'Paramètres'!$A$1:$I$89,3,0)*0.475*44/12</f>
        <v>0</v>
      </c>
      <c r="HI29" s="142">
        <f>EXP(-LN(2)/2)*HI28+(1-EXP(-LN(2)/2))/(LN(2)/2)*HC29*HF29*VLOOKUP('Données projet'!$B$18,'Paramètres'!$A$1:$I$89,3,0)*0.475*44/12</f>
        <v>0</v>
      </c>
      <c r="HJ29" s="143">
        <f t="shared" si="31"/>
        <v>0</v>
      </c>
    </row>
    <row r="30" ht="15.75" customHeight="1">
      <c r="A30" s="125">
        <f t="shared" si="32"/>
        <v>27</v>
      </c>
      <c r="B30" s="126">
        <f>'Scénario référence'!$B$16*5+'Scénario référence'!$B$17*0+'Scénario référence'!$B$18*5</f>
        <v>0</v>
      </c>
      <c r="C30" s="140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14.742</v>
      </c>
      <c r="D30" s="127">
        <f t="shared" si="33"/>
        <v>4.966935336</v>
      </c>
      <c r="E3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7">
        <f>IF(OR('Scénario référence'!$F$8&gt;0,'Scénario référence'!$F$9&gt;0),('Scénario référence'!$F$8+'Scénario référence'!$F$9)*10,0)</f>
        <v>10</v>
      </c>
      <c r="G30" s="127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152.13915</v>
      </c>
      <c r="H30" s="128">
        <f t="shared" si="1"/>
        <v>327.659729</v>
      </c>
      <c r="I30" s="12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1" t="str">
        <f>VLOOKUP(A30,'Données projet'!$A$35:$I$55,2,0)</f>
        <v>#N/A</v>
      </c>
      <c r="L30" s="131" t="str">
        <f>VLOOKUP(A30,'Données projet'!$A$35:$I$55,9,0)</f>
        <v>#N/A</v>
      </c>
      <c r="M30" s="130">
        <f t="array" ref="M30">INDEX(L:L,MIN(IF(ISNUMBER(L30:L226),ROW(L30:L226),"")))</f>
        <v>10.8</v>
      </c>
      <c r="N30" s="130">
        <f>IF('Données projet'!$A$36&gt;35,N29+M30-V29,IF(A30&lt;'Données projet'!$A$36,$K$205^A30,IF(A30='Données projet'!$A$36,'Données projet'!$B$36,N29+M30-V29)))</f>
        <v>107.6</v>
      </c>
      <c r="O30" s="130">
        <f>N30*VLOOKUP('Données projet'!$B$9,'Paramètres'!$A$1:$I$89,3,0)*VLOOKUP('Données projet'!$B$9,'Paramètres'!$A$1:$I$89,5,0)</f>
        <v>61.5472</v>
      </c>
      <c r="P30" s="130">
        <f t="shared" si="34"/>
        <v>17.5588682</v>
      </c>
      <c r="Q30" s="141">
        <f t="shared" si="2"/>
        <v>137.7764021</v>
      </c>
      <c r="R30" s="133">
        <f t="shared" si="3"/>
        <v>431.1097354</v>
      </c>
      <c r="S30" s="133">
        <f>AVERAGE(OFFSET($R$3,0,0,'Données projet'!$E$9+1,1))-AVERAGE(OFFSET($H$3,0,0,'Données projet'!$E$9+1,1))</f>
        <v>126.9946492</v>
      </c>
      <c r="T30" s="133">
        <f t="shared" si="35"/>
        <v>140.039049</v>
      </c>
      <c r="U30" s="134">
        <f>IF(ISNA(VLOOKUP(A30,'Données projet'!$A$35:$I$55,3,0)),0,VLOOKUP(A30,'Données projet'!$A$35:$I$55,3,0))</f>
        <v>0</v>
      </c>
      <c r="V30" s="134">
        <f>IF(ISNA(VLOOKUP(A30,'Données projet'!$A$35:$I$55,4,0)),0,VLOOKUP(A30,'Données projet'!$A$35:$I$55,4,0))</f>
        <v>0</v>
      </c>
      <c r="W30" s="135">
        <f>IF(ISNA(VLOOKUP(A30,'Données projet'!$A$35:$I$55,5,0)),0%,VLOOKUP(A30,'Données projet'!$A$35:$I$55,5,0)*VLOOKUP('Données projet'!$B$9,'Paramètres'!$A$1:$I$89,7,0))</f>
        <v>0</v>
      </c>
      <c r="X30" s="135">
        <f>IF(ISNA(VLOOKUP(A30,'Données projet'!$A$35:$I$55,6,0)),0%,VLOOKUP(A30,'Données projet'!$A$35:$I$55,6,0)*VLOOKUP('Données projet'!$B$9,'Paramètres'!$A$1:$I$89,7,0))</f>
        <v>0</v>
      </c>
      <c r="Y30" s="135">
        <f>IF(ISNA(VLOOKUP(A30,'Données projet'!$A$35:$I$55,7,0)),0%,VLOOKUP(A30,'Données projet'!$A$35:$I$55,7,0))</f>
        <v>0</v>
      </c>
      <c r="Z30" s="142">
        <f>EXP(-LN(2)/35)*Z29+(1-EXP(-LN(2)/35))/(LN(2)/35)*V30*W30*VLOOKUP('Données projet'!$B$9,'Paramètres'!$A$1:$I$89,3,0)*0.475*44/12</f>
        <v>0</v>
      </c>
      <c r="AA30" s="142">
        <f>EXP(-LN(2)/25)*AA29+(1-EXP(-LN(2)/25))/(LN(2)/25)*Calculateur!V30*Calculateur!X30*VLOOKUP('Données projet'!$B$9,'Paramètres'!$A$1:$I$89,3,0)*0.475*44/12</f>
        <v>2.162272447</v>
      </c>
      <c r="AB30" s="142">
        <f>EXP(-LN(2)/2)*AB29+(1-EXP(-LN(2)/2))/(LN(2)/2)*V30*Y30*VLOOKUP('Données projet'!$B$9,'Paramètres'!$A$1:$I$89,3,0)*0.475*44/12</f>
        <v>1.709761348</v>
      </c>
      <c r="AC30" s="143">
        <f t="shared" si="4"/>
        <v>3.872033795</v>
      </c>
      <c r="AD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0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1" t="str">
        <f>VLOOKUP(A30,'Données projet'!$A$61:$I$81,2,0)</f>
        <v>#N/A</v>
      </c>
      <c r="AG30" s="131" t="str">
        <f>VLOOKUP(A30,'Données projet'!$A$61:$I$81,9,0)</f>
        <v>#N/A</v>
      </c>
      <c r="AH30" s="131">
        <f t="array" ref="AH30">INDEX(AG:AG,MIN(IF(ISNUMBER(AG30:AG226),ROW(AG30:AG226),"")))</f>
        <v>13.4</v>
      </c>
      <c r="AI30" s="130">
        <f>IF('Données projet'!$A$62&gt;35,AI29+AH30-AQ29,IF(A30&lt;'Données projet'!$A$62,$AF$205^A30,IF(A30='Données projet'!$A$62,'Données projet'!$B$62,AI29+AH30-AQ29)))</f>
        <v>153.8</v>
      </c>
      <c r="AJ30" s="130">
        <f>AI30*VLOOKUP('Données projet'!$B$10,'Paramètres'!$A$1:$I$89,3,0)*VLOOKUP('Données projet'!$B$10,'Paramètres'!$A$1:$I$89,5,0)</f>
        <v>91.9724</v>
      </c>
      <c r="AK30" s="130">
        <f t="shared" si="36"/>
        <v>25.04031853</v>
      </c>
      <c r="AL30" s="141">
        <f t="shared" si="5"/>
        <v>203.7971514</v>
      </c>
      <c r="AM30" s="133">
        <f t="shared" si="6"/>
        <v>497.1304848</v>
      </c>
      <c r="AN30" s="133">
        <f>AVERAGE(OFFSET($AM$3,0,0,'Données projet'!$E$10+1,1))-AVERAGE(OFFSET($H$3,0,0,'Données projet'!$E$10+1,1))</f>
        <v>196.874484</v>
      </c>
      <c r="AO30" s="133">
        <f t="shared" si="37"/>
        <v>217.5750859</v>
      </c>
      <c r="AP30" s="134">
        <f>IF(ISNA(VLOOKUP(A30,'Données projet'!$A$61:$I$81,3,0)),0,VLOOKUP(A30,'Données projet'!$A$61:$I$81,3,0))</f>
        <v>0</v>
      </c>
      <c r="AQ30" s="134">
        <f>IF(ISNA(VLOOKUP(A30,'Données projet'!$A$61:$I$81,4,0)),0,VLOOKUP(A30,'Données projet'!$A$61:$I$81,4,0))</f>
        <v>0</v>
      </c>
      <c r="AR30" s="135">
        <f>IF(ISNA(VLOOKUP(A30,'Données projet'!$A$61:$I$81,5,0)),0%,VLOOKUP(A30,'Données projet'!$A$61:$I$81,5,0)*VLOOKUP('Données projet'!$B$10,'Paramètres'!$A$1:$I$89,7,0))</f>
        <v>0</v>
      </c>
      <c r="AS30" s="135">
        <f>IF(ISNA(VLOOKUP(A30,'Données projet'!$A$61:$I$81,6,0)),0%,VLOOKUP(A30,'Données projet'!$A$61:$I$81,6,0)*VLOOKUP('Données projet'!$B$10,'Paramètres'!$A$1:$I$89,7,0))</f>
        <v>0</v>
      </c>
      <c r="AT30" s="135">
        <f>IF(ISNA(VLOOKUP(A30,'Données projet'!$A$61:$I$81,7,0)),0%,VLOOKUP(A30,'Données projet'!$A$61:$I$81,7,0))</f>
        <v>0</v>
      </c>
      <c r="AU30" s="142">
        <f>EXP(-LN(2)/35)*AU29+(1-EXP(-LN(2)/35))/(LN(2)/35)*AQ30*AR30*VLOOKUP('Données projet'!$B$10,'Paramètres'!$A$1:$I$89,3,0)*0.475*44/12</f>
        <v>0</v>
      </c>
      <c r="AV30" s="142">
        <f>EXP(-LN(2)/25)*AV29+(1-EXP(-LN(2)/25))/(LN(2)/25)*Calculateur!AQ30*Calculateur!AS30*VLOOKUP('Données projet'!$B$10,'Paramètres'!$A$1:$I$89,3,0)*0.475*44/12</f>
        <v>5.975972738</v>
      </c>
      <c r="AW30" s="142">
        <f>EXP(-LN(2)/2)*AW29+(1-EXP(-LN(2)/2))/(LN(2)/2)*AQ30*AT30*VLOOKUP('Données projet'!$B$10,'Paramètres'!$A$1:$I$89,3,0)*0.475*44/12</f>
        <v>3.374885281</v>
      </c>
      <c r="AX30" s="142">
        <f t="shared" si="7"/>
        <v>9.350858019</v>
      </c>
      <c r="AY30" s="13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1" t="str">
        <f>VLOOKUP(A30,'Données projet'!$A$87:$I$107,2,0)</f>
        <v>#N/A</v>
      </c>
      <c r="BB30" s="131" t="str">
        <f>VLOOKUP(A30,'Données projet'!$A$87:$I$107,9,0)</f>
        <v>#N/A</v>
      </c>
      <c r="BC30" s="130">
        <f t="array" ref="BC30">INDEX(BB:BB,MIN(IF(ISNUMBER(BB30:BB226),ROW(BB30:BB226),"")))</f>
        <v>4.666666667</v>
      </c>
      <c r="BD30" s="131">
        <f>IF('Données projet'!$A$88&gt;35,BD29+BC30-BL29,IF(A30&lt;'Données projet'!$A$88,$BA$205^A30,IF(A30='Données projet'!$A$88,'Données projet'!$B$88,BD29+BC30-BL29)))</f>
        <v>85.41128034</v>
      </c>
      <c r="BE30" s="130">
        <f>BD30*VLOOKUP('Données projet'!$B$11,'Paramètres'!$A$1:$I$89,3,0)*VLOOKUP('Données projet'!$B$11,'Paramètres'!$A$1:$I$89,5,0)</f>
        <v>39.9724792</v>
      </c>
      <c r="BF30" s="130">
        <f t="shared" si="38"/>
        <v>11.99135222</v>
      </c>
      <c r="BG30" s="141">
        <f t="shared" si="8"/>
        <v>90.50367306</v>
      </c>
      <c r="BH30" s="133">
        <f t="shared" si="9"/>
        <v>383.8370064</v>
      </c>
      <c r="BI30" s="133">
        <f>AVERAGE(OFFSET($BH$3,0,0,'Données projet'!$E$11+1,1))-AVERAGE(OFFSET($H$3,0,0,'Données projet'!$E$11+1,1))</f>
        <v>134.0948534</v>
      </c>
      <c r="BJ30" s="133">
        <f t="shared" si="39"/>
        <v>108.4102536</v>
      </c>
      <c r="BK30" s="134">
        <f>IF(ISNA(VLOOKUP(A30,'Données projet'!$A$87:$I$107,3,0)),0,VLOOKUP(A30,'Données projet'!$A$87:$I$107,3,0))</f>
        <v>0</v>
      </c>
      <c r="BL30" s="134">
        <f>IF(ISNA(VLOOKUP(A30,'Données projet'!$A$87:$I$107,4,0)),0,VLOOKUP(A30,'Données projet'!$A$87:$I$107,4,0))</f>
        <v>0</v>
      </c>
      <c r="BM30" s="135">
        <f>IF(ISNA(VLOOKUP(A30,'Données projet'!$A$87:$I$107,5,0)),0%,VLOOKUP(A30,'Données projet'!$A$87:$I$107,5,0)*VLOOKUP('Données projet'!$B$11,'Paramètres'!$A$1:$I$89,7,0))</f>
        <v>0</v>
      </c>
      <c r="BN30" s="135">
        <f>IF(ISNA(VLOOKUP(A30,'Données projet'!$A$87:$I$107,6,0)),0%,VLOOKUP(A30,'Données projet'!$A$87:$I$107,6,0)*VLOOKUP('Données projet'!$B$11,'Paramètres'!$A$1:$I$89,7,0))</f>
        <v>0</v>
      </c>
      <c r="BO30" s="135">
        <f>IF(ISNA(VLOOKUP(A30,'Données projet'!$A$87:$I$107,7,0)),0%,VLOOKUP(A30,'Données projet'!$A$87:$I$107,7,0))</f>
        <v>0</v>
      </c>
      <c r="BP30" s="142">
        <f>EXP(-LN(2)/35)*BP29+(1-EXP(-LN(2)/35))/(LN(2)/35)*BL30*BM30*VLOOKUP('Données projet'!$B$11,'Paramètres'!$A$1:$I$89,3,0)*0.475*44/12</f>
        <v>0</v>
      </c>
      <c r="BQ30" s="142">
        <f>EXP(-LN(2)/25)*BQ29+(1-EXP(-LN(2)/25))/(LN(2)/25)*Calculateur!BL30*Calculateur!BN30*VLOOKUP('Données projet'!$B$11,'Paramètres'!$A$1:$I$89,3,0)*0.475*44/12</f>
        <v>0</v>
      </c>
      <c r="BR30" s="142">
        <f>EXP(-LN(2)/2)*BR29+(1-EXP(-LN(2)/2))/(LN(2)/2)*BL30*BO30*VLOOKUP('Données projet'!$B$11,'Paramètres'!$A$1:$I$89,3,0)*0.475*44/12</f>
        <v>0</v>
      </c>
      <c r="BS30" s="143">
        <f t="shared" si="10"/>
        <v>0</v>
      </c>
      <c r="BT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1" t="str">
        <f>VLOOKUP(A30,'Données projet'!$A$113:$I$133,2,0)</f>
        <v>#N/A</v>
      </c>
      <c r="BW30" s="131" t="str">
        <f>VLOOKUP(A30,'Données projet'!$A$113:$I$133,9,0)</f>
        <v>#N/A</v>
      </c>
      <c r="BX30" s="130">
        <f t="array" ref="BX30">INDEX(BW:BW,MIN(IF(ISNUMBER(BW30:BW226),ROW(BW30:BW226),"")))</f>
        <v>25.4</v>
      </c>
      <c r="BY30" s="130">
        <f>IF('Données projet'!$A$114&gt;35,BY29+BX30-CG29,IF(A30&lt;'Données projet'!$A$114,$BV$205^A30,IF(A30='Données projet'!$A$114,'Données projet'!$B$114,BY29+BX30-CG29)))</f>
        <v>232.8</v>
      </c>
      <c r="BZ30" s="130">
        <f>BY30*VLOOKUP('Données projet'!$B$12,'Paramètres'!$A$1:$I$89,3,0)*VLOOKUP('Données projet'!$B$12,'Paramètres'!$A$1:$I$89,5,0)</f>
        <v>115.0032</v>
      </c>
      <c r="CA30" s="130">
        <f t="shared" si="40"/>
        <v>30.50670866</v>
      </c>
      <c r="CB30" s="141">
        <f t="shared" si="11"/>
        <v>253.4297576</v>
      </c>
      <c r="CC30" s="133">
        <f t="shared" si="12"/>
        <v>546.7630909</v>
      </c>
      <c r="CD30" s="133">
        <f>AVERAGE(OFFSET($CC$3,0,0,'Données projet'!$E$12+1,1))-AVERAGE(OFFSET($H$3,0,0,'Données projet'!$E$12+1,1))</f>
        <v>258.1672054</v>
      </c>
      <c r="CE30" s="133">
        <f t="shared" si="41"/>
        <v>296.0724261</v>
      </c>
      <c r="CF30" s="134">
        <f>IF(ISNA(VLOOKUP(A30,'Données projet'!$A$113:$I$133,3,0)),0,VLOOKUP(A30,'Données projet'!$A$113:$I$133,3,0))</f>
        <v>0</v>
      </c>
      <c r="CG30" s="134">
        <f>IF(ISNA(VLOOKUP(A30,'Données projet'!$A$113:$I$133,4,0)),0,VLOOKUP(A30,'Données projet'!$A$113:$I$133,4,0))</f>
        <v>0</v>
      </c>
      <c r="CH30" s="135">
        <f>IF(ISNA(VLOOKUP(A30,'Données projet'!$A$113:$I$133,5,0)),0%,VLOOKUP(A30,'Données projet'!$A$113:$I$133,5,0)*VLOOKUP('Données projet'!$B$12,'Paramètres'!$A$1:$I$89,7,0))</f>
        <v>0</v>
      </c>
      <c r="CI30" s="135">
        <f>IF(ISNA(VLOOKUP(A30,'Données projet'!$A$113:$I$133,6,0)),0%,VLOOKUP(A30,'Données projet'!$A$113:$I$133,6,0)*VLOOKUP('Données projet'!$B$12,'Paramètres'!$A$1:$I$89,7,0))</f>
        <v>0</v>
      </c>
      <c r="CJ30" s="135">
        <f>IF(ISNA(VLOOKUP(A30,'Données projet'!$A$113:$I$133,7,0)),0%,VLOOKUP(A30,'Données projet'!$A$113:$I$133,7,0))</f>
        <v>0</v>
      </c>
      <c r="CK30" s="142">
        <f>EXP(-LN(2)/35)*CK29+(1-EXP(-LN(2)/35))/(LN(2)/35)*CG30*CH30*VLOOKUP('Données projet'!$B$12,'Paramètres'!$A$1:$I$89,3,0)*0.475*44/12</f>
        <v>4.36502591</v>
      </c>
      <c r="CL30" s="142">
        <f>EXP(-LN(2)/25)*CL29+(1-EXP(-LN(2)/25))/(LN(2)/25)*Calculateur!CG30*Calculateur!CI30*VLOOKUP('Données projet'!$B$12,'Paramètres'!$A$1:$I$89,3,0)*0.475*44/12</f>
        <v>10.08281038</v>
      </c>
      <c r="CM30" s="142">
        <f>EXP(-LN(2)/2)*CM29+(1-EXP(-LN(2)/2))/(LN(2)/2)*CG30*CJ30*VLOOKUP('Données projet'!$B$12,'Paramètres'!$A$1:$I$89,3,0)*0.475*44/12</f>
        <v>6.231791024</v>
      </c>
      <c r="CN30" s="143">
        <f t="shared" si="13"/>
        <v>20.67962732</v>
      </c>
      <c r="CO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1" t="str">
        <f>VLOOKUP(A30,'Données projet'!$A$139:$I$159,2,0)</f>
        <v>#N/A</v>
      </c>
      <c r="CR30" s="131" t="str">
        <f>VLOOKUP(A30,'Données projet'!$A$139:$I$159,9,0)</f>
        <v>#N/A</v>
      </c>
      <c r="CS30" s="130">
        <f t="array" ref="CS30">INDEX(CR:CR,MIN(IF(ISNUMBER(CR30:CR226),ROW(CR30:CR226),"")))</f>
        <v>4.8</v>
      </c>
      <c r="CT30" s="138">
        <f>IF('Données projet'!$A$140&gt;35,CT29+CS30-DB29,IF(A30&lt;'Données projet'!$A$140,$CQ$205^A30,IF(A30='Données projet'!$A$140,'Données projet'!$B$140,CT29+CS30-DB29)))</f>
        <v>39.6</v>
      </c>
      <c r="CU30" s="138">
        <f>CT30*VLOOKUP('Données projet'!$B$13,'Paramètres'!$A$1:$I$89,3,0)*VLOOKUP('Données projet'!$B$13,'Paramètres'!$A$1:$I$89,5,0)</f>
        <v>40.1544</v>
      </c>
      <c r="CV30" s="130">
        <f t="shared" si="42"/>
        <v>12.03956146</v>
      </c>
      <c r="CW30" s="141">
        <f t="shared" si="14"/>
        <v>90.90448288</v>
      </c>
      <c r="CX30" s="133">
        <f t="shared" si="15"/>
        <v>384.2378162</v>
      </c>
      <c r="CY30" s="133">
        <f>AVERAGE(OFFSET($CX$3,0,0,'Données projet'!$E$13+1,1))-AVERAGE(OFFSET($H$3,0,0,'Données projet'!$E$13+1,1))</f>
        <v>223.783507</v>
      </c>
      <c r="CZ30" s="133">
        <f t="shared" si="43"/>
        <v>84.92349117</v>
      </c>
      <c r="DA30" s="134">
        <f>IF(ISNA(VLOOKUP(A30,'Données projet'!$A$139:$I$159,3,0)),0,VLOOKUP(A30,'Données projet'!$A$139:$I$159,3,0))</f>
        <v>0</v>
      </c>
      <c r="DB30" s="134">
        <f>IF(ISNA(VLOOKUP(A30,'Données projet'!$A$139:$I$159,4,0)),0,VLOOKUP(A30,'Données projet'!$A$139:$I$159,4,0))</f>
        <v>0</v>
      </c>
      <c r="DC30" s="135">
        <f>IF(ISNA(VLOOKUP(A30,'Données projet'!$A$139:$I$159,5,0)),0%,VLOOKUP(A30,'Données projet'!$A$139:$I$159,5,0)*VLOOKUP('Données projet'!$B$13,'Paramètres'!$A$1:$I$89,7,0))</f>
        <v>0</v>
      </c>
      <c r="DD30" s="135">
        <f>IF(ISNA(VLOOKUP(A30,'Données projet'!$A$139:$I$159,6,0)),0%,VLOOKUP(A30,'Données projet'!$A$139:$I$159,6,0)*VLOOKUP('Données projet'!$B$13,'Paramètres'!$A$1:$I$89,7,0))</f>
        <v>0</v>
      </c>
      <c r="DE30" s="135">
        <f>IF(ISNA(VLOOKUP(A30,'Données projet'!$A$139:$I$159,7,0)),0%,VLOOKUP(A30,'Données projet'!$A$139:$I$159,7,0))</f>
        <v>0</v>
      </c>
      <c r="DF30" s="142">
        <f>EXP(-LN(2)/35)*DF29+(1-EXP(-LN(2)/35))/(LN(2)/35)*DB30*DC30*VLOOKUP('Données projet'!$B$13,'Paramètres'!$A$1:$I$89,3,0)*0.475*44/12</f>
        <v>0</v>
      </c>
      <c r="DG30" s="142">
        <f>EXP(-LN(2)/25)*DG29+(1-EXP(-LN(2)/25))/(LN(2)/25)*Calculateur!DB30*Calculateur!DD30*VLOOKUP('Données projet'!$B$13,'Paramètres'!$A$1:$I$89,3,0)*0.475*44/12</f>
        <v>0</v>
      </c>
      <c r="DH30" s="142">
        <f>EXP(-LN(2)/2)*DH29+(1-EXP(-LN(2)/2))/(LN(2)/2)*DB30*DE30*VLOOKUP('Données projet'!$B$13,'Paramètres'!$A$1:$I$89,3,0)*0.475*44/12</f>
        <v>0</v>
      </c>
      <c r="DI30" s="143">
        <f t="shared" si="16"/>
        <v>0</v>
      </c>
      <c r="DJ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1" t="str">
        <f>VLOOKUP(A30,'Données projet'!$A$165:$I$185,2,0)</f>
        <v>#N/A</v>
      </c>
      <c r="DM30" s="131" t="str">
        <f>VLOOKUP(A30,'Données projet'!$A$165:$I$185,9,0)</f>
        <v>#N/A</v>
      </c>
      <c r="DN30" s="131">
        <f t="array" ref="DN30">INDEX(DM:DM,MIN(IF(ISNUMBER(DM30:DM226),ROW(DM30:DM226),"")))</f>
        <v>7</v>
      </c>
      <c r="DO30" s="138">
        <f>IF('Données projet'!$A$166&gt;35,DO29+DN30-DW29,IF(A30&lt;'Données projet'!$A$166,$DL$205^A30,IF(A30='Données projet'!$A$166,'Données projet'!$B$166,DO29+DN30-DW29)))</f>
        <v>76</v>
      </c>
      <c r="DP30" s="138">
        <f>DO30*VLOOKUP('Données projet'!$B$14,'Paramètres'!$A$1:$I$89,3,0)*VLOOKUP('Données projet'!$B$14,'Paramètres'!$A$1:$I$89,5,0)</f>
        <v>68.7648</v>
      </c>
      <c r="DQ30" s="130">
        <f t="shared" si="44"/>
        <v>19.36639677</v>
      </c>
      <c r="DR30" s="141">
        <f t="shared" si="17"/>
        <v>153.4951677</v>
      </c>
      <c r="DS30" s="133">
        <f t="shared" si="18"/>
        <v>446.828501</v>
      </c>
      <c r="DT30" s="133">
        <f>AVERAGE(OFFSET($DS$3,0,0,'Données projet'!$E$14+1,1))-AVERAGE(OFFSET($H$3,0,0,'Données projet'!$E$14+1,1))</f>
        <v>287.9334714</v>
      </c>
      <c r="DU30" s="133">
        <f t="shared" si="45"/>
        <v>156.6796502</v>
      </c>
      <c r="DV30" s="134">
        <f>IF(ISNA(VLOOKUP(A30,'Données projet'!$A$165:$I$185,3,0)),0,VLOOKUP(A30,'Données projet'!$A$165:$I$185,3,0))</f>
        <v>0</v>
      </c>
      <c r="DW30" s="134">
        <f>IF(ISNA(VLOOKUP(A30,'Données projet'!$A$165:$I$185,4,0)),0,VLOOKUP(A30,'Données projet'!$A$165:$I$185,4,0))</f>
        <v>0</v>
      </c>
      <c r="DX30" s="135">
        <f>IF(ISNA(VLOOKUP(A30,'Données projet'!$A$165:$I$185,5,0)),0%,VLOOKUP(A30,'Données projet'!$A$165:$I$185,5,0)*VLOOKUP('Données projet'!$B$14,'Paramètres'!$A$1:$I$89,7,0))</f>
        <v>0</v>
      </c>
      <c r="DY30" s="135">
        <f>IF(ISNA(VLOOKUP(A30,'Données projet'!$A$165:$I$185,6,0)),0%,VLOOKUP(A30,'Données projet'!$A$165:$I$185,6,0)*VLOOKUP('Données projet'!$B$14,'Paramètres'!$A$1:$I$89,7,0))</f>
        <v>0</v>
      </c>
      <c r="DZ30" s="135">
        <f>IF(ISNA(VLOOKUP(A30,'Données projet'!$A$165:$I$185,7,0)),0%,VLOOKUP(A30,'Données projet'!$A$165:$I$185,7,0))</f>
        <v>0</v>
      </c>
      <c r="EA30" s="142">
        <f>EXP(-LN(2)/35)*EA29+(1-EXP(-LN(2)/35))/(LN(2)/35)*DW30*DX30*VLOOKUP('Données projet'!$B$14,'Paramètres'!$A$1:$I$89,3,0)*0.475*44/12</f>
        <v>0</v>
      </c>
      <c r="EB30" s="142">
        <f>EXP(-LN(2)/25)*EB29+(1-EXP(-LN(2)/25))/(LN(2)/25)*Calculateur!DW30*Calculateur!DY30*VLOOKUP('Données projet'!$B$14,'Paramètres'!$A$1:$I$89,3,0)*0.475*44/12</f>
        <v>0</v>
      </c>
      <c r="EC30" s="142">
        <f>EXP(-LN(2)/2)*EC29+(1-EXP(-LN(2)/2))/(LN(2)/2)*DW30*DZ30*VLOOKUP('Données projet'!$B$14,'Paramètres'!$A$1:$I$89,3,0)*0.475*44/12</f>
        <v>0</v>
      </c>
      <c r="ED30" s="143">
        <f t="shared" si="19"/>
        <v>0</v>
      </c>
      <c r="EE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1" t="str">
        <f>VLOOKUP(A30,'Données projet'!$A$191:$I$211,2,0)</f>
        <v>#N/A</v>
      </c>
      <c r="EH30" s="131" t="str">
        <f>VLOOKUP(A30,'Données projet'!$A$191:$I$211,9,0)</f>
        <v>#N/A</v>
      </c>
      <c r="EI30" s="131">
        <f t="array" ref="EI30">INDEX(EH:EH,MIN(IF(ISNUMBER(EH30:EH226),ROW(EH30:EH226),"")))</f>
        <v>6.6</v>
      </c>
      <c r="EJ30" s="138">
        <f>IF('Données projet'!$A$192&gt;35,EJ29+EI30-ER29,IF(A30&lt;'Données projet'!$A$192,$EG$205^A30,IF(A30='Données projet'!$A$192,'Données projet'!$B$192,EJ29+EI30-ER29)))</f>
        <v>53.2</v>
      </c>
      <c r="EK30" s="138">
        <f>EJ30*VLOOKUP('Données projet'!$B$15,'Paramètres'!$A$1:$I$89,3,0)*VLOOKUP('Données projet'!$B$15,'Paramètres'!$A$1:$I$89,5,0)</f>
        <v>39.00624</v>
      </c>
      <c r="EL30" s="130">
        <f t="shared" si="46"/>
        <v>11.73486629</v>
      </c>
      <c r="EM30" s="141">
        <f t="shared" si="20"/>
        <v>88.37409346</v>
      </c>
      <c r="EN30" s="133">
        <f t="shared" si="21"/>
        <v>381.7074268</v>
      </c>
      <c r="EO30" s="133">
        <f>AVERAGE(OFFSET($EN$3,0,0,'Données projet'!$E$15+1,1))-AVERAGE(OFFSET($H$3,0,0,'Données projet'!$E$15+1,1))</f>
        <v>130.3193339</v>
      </c>
      <c r="EP30" s="133">
        <f t="shared" si="47"/>
        <v>82.22784365</v>
      </c>
      <c r="EQ30" s="134">
        <f>IF(ISNA(VLOOKUP(A30,'Données projet'!$A$191:$I$211,3,0)),0,VLOOKUP(A30,'Données projet'!$A$191:$I$211,3,0))</f>
        <v>0</v>
      </c>
      <c r="ER30" s="134">
        <f>IF(ISNA(VLOOKUP(A30,'Données projet'!$A$191:$I$211,4,0)),0,VLOOKUP(A30,'Données projet'!$A$191:$I$211,4,0))</f>
        <v>0</v>
      </c>
      <c r="ES30" s="135">
        <f>IF(ISNA(VLOOKUP(A30,'Données projet'!$A$191:$I$211,5,0)),0%,VLOOKUP(A30,'Données projet'!$A$191:$I$211,5,0)*VLOOKUP('Données projet'!$B$15,'Paramètres'!$A$1:$I$89,7,0))</f>
        <v>0</v>
      </c>
      <c r="ET30" s="135">
        <f>IF(ISNA(VLOOKUP(A30,'Données projet'!$A$191:$I$211,6,0)),0%,VLOOKUP(A30,'Données projet'!$A$191:$I$211,6,0)*VLOOKUP('Données projet'!$B$15,'Paramètres'!$A$1:$I$89,7,0))</f>
        <v>0</v>
      </c>
      <c r="EU30" s="135">
        <f>IF(ISNA(VLOOKUP(A30,'Données projet'!$A$191:$I$211,7,0)),0%,VLOOKUP(A30,'Données projet'!$A$191:$I$211,7,0))</f>
        <v>0</v>
      </c>
      <c r="EV30" s="142">
        <f>EXP(-LN(2)/35)*EV29+(1-EXP(-LN(2)/35))/(LN(2)/35)*ER30*ES30*VLOOKUP('Données projet'!$B$15,'Paramètres'!$A$1:$I$89,3,0)*0.475*44/12</f>
        <v>0</v>
      </c>
      <c r="EW30" s="142">
        <f>EXP(-LN(2)/25)*EW29+(1-EXP(-LN(2)/25))/(LN(2)/25)*Calculateur!ER30*Calculateur!ET30*VLOOKUP('Données projet'!$B$15,'Paramètres'!$A$1:$I$89,3,0)*0.475*44/12</f>
        <v>0</v>
      </c>
      <c r="EX30" s="142">
        <f>EXP(-LN(2)/2)*EX29+(1-EXP(-LN(2)/2))/(LN(2)/2)*ER30*EU30*VLOOKUP('Données projet'!$B$15,'Paramètres'!$A$1:$I$89,3,0)*0.475*44/12</f>
        <v>0</v>
      </c>
      <c r="EY30" s="143">
        <f t="shared" si="22"/>
        <v>0</v>
      </c>
      <c r="EZ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1" t="str">
        <f>VLOOKUP(A30,'Données projet'!$A$217:$I$237,2,0)</f>
        <v>#N/A</v>
      </c>
      <c r="FC30" s="131" t="str">
        <f>VLOOKUP(A30,'Données projet'!$A$217:$I$237,9,0)</f>
        <v>#N/A</v>
      </c>
      <c r="FD30" s="130">
        <f t="array" ref="FD30">INDEX(FC:FC,MIN(IF(ISNUMBER(FC30:FC226),ROW(FC30:FC226),"")))</f>
        <v>8.6</v>
      </c>
      <c r="FE30" s="130">
        <f>IF('Données projet'!$A$218&gt;35,FE29+FD30-FM29,IF(A30&lt;'Données projet'!$A$218,$FB$205^A30,IF(A30='Données projet'!$A$218,'Données projet'!$B$218,FE29+FD30-FM29)))</f>
        <v>161.2</v>
      </c>
      <c r="FF30" s="138">
        <f>FE30*VLOOKUP('Données projet'!$B$16,'Paramètres'!$A$1:$I$89,3,0)*VLOOKUP('Données projet'!$B$16,'Paramètres'!$A$1:$I$89,5,0)</f>
        <v>145.85376</v>
      </c>
      <c r="FG30" s="130">
        <f t="shared" si="48"/>
        <v>37.63480605</v>
      </c>
      <c r="FH30" s="141">
        <f t="shared" si="23"/>
        <v>319.5759192</v>
      </c>
      <c r="FI30" s="133">
        <f t="shared" si="24"/>
        <v>612.9092525</v>
      </c>
      <c r="FJ30" s="133">
        <f>AVERAGE(OFFSET($FI$3,0,0,'Données projet'!$E$16+1,1))-AVERAGE(OFFSET($H$3,0,0,'Données projet'!$E$16+1,1))</f>
        <v>305.6252353</v>
      </c>
      <c r="FK30" s="133">
        <f t="shared" si="49"/>
        <v>331.397916</v>
      </c>
      <c r="FL30" s="134">
        <f>IF(ISNA(VLOOKUP(A30,'Données projet'!$A$217:$I$237,3,0)),0,VLOOKUP(A30,'Données projet'!$A$217:$I$237,3,0))</f>
        <v>0</v>
      </c>
      <c r="FM30" s="134">
        <f>IF(ISNA(VLOOKUP(A30,'Données projet'!$A$217:$I$237,4,0)),0,VLOOKUP(A30,'Données projet'!$A$217:$I$237,4,0))</f>
        <v>0</v>
      </c>
      <c r="FN30" s="135">
        <f>IF(ISNA(VLOOKUP(A30,'Données projet'!$A$217:$I$237,5,0)),0%,VLOOKUP(A30,'Données projet'!$A$217:$I$237,5,0)*VLOOKUP('Données projet'!$B$16,'Paramètres'!$A$1:$I$89,7,0))</f>
        <v>0</v>
      </c>
      <c r="FO30" s="135">
        <f>IF(ISNA(VLOOKUP(A30,'Données projet'!$A$217:$I$237,6,0)),0%,VLOOKUP(A30,'Données projet'!$A$217:$I$237,6,0)*VLOOKUP('Données projet'!$B$16,'Paramètres'!$A$1:$I$89,7,0))</f>
        <v>0</v>
      </c>
      <c r="FP30" s="135">
        <f>IF(ISNA(VLOOKUP(A30,'Données projet'!$A$217:$I$237,7,0)),0%,VLOOKUP(A30,'Données projet'!$A$217:$I$237,7,0))</f>
        <v>0</v>
      </c>
      <c r="FQ30" s="142">
        <f>EXP(-LN(2)/35)*FQ29+(1-EXP(-LN(2)/35))/(LN(2)/35)*FM30*FN30*VLOOKUP('Données projet'!$B$16,'Paramètres'!$A$1:$I$89,3,0)*0.475*44/12</f>
        <v>0</v>
      </c>
      <c r="FR30" s="142">
        <f>EXP(-LN(2)/25)*FR29+(1-EXP(-LN(2)/25))/(LN(2)/25)*Calculateur!FM30*Calculateur!FO30*VLOOKUP('Données projet'!$B$16,'Paramètres'!$A$1:$I$89,3,0)*0.475*44/12</f>
        <v>0</v>
      </c>
      <c r="FS30" s="142">
        <f>EXP(-LN(2)/2)*FS29+(1-EXP(-LN(2)/2))/(LN(2)/2)*FM30*FP30*VLOOKUP('Données projet'!$B$16,'Paramètres'!$A$1:$I$89,3,0)*0.475*44/12</f>
        <v>0</v>
      </c>
      <c r="FT30" s="143">
        <f t="shared" si="25"/>
        <v>0</v>
      </c>
      <c r="FU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1" t="str">
        <f>VLOOKUP(A30,'Données projet'!$A$243:$I$263,2,0)</f>
        <v>#N/A</v>
      </c>
      <c r="FX30" s="131" t="str">
        <f>VLOOKUP(A30,'Données projet'!$A$243:$I$263,9,0)</f>
        <v>#N/A</v>
      </c>
      <c r="FY30" s="130">
        <f t="array" ref="FY30">INDEX(FX:FX,MIN(IF(ISNUMBER(FX30:FX226),ROW(FX30:FX226),"")))</f>
        <v>9.4</v>
      </c>
      <c r="FZ30" s="138">
        <f>IF('Données projet'!$A$244&gt;35,FZ29+FY30-GH29,IF(A30&lt;'Données projet'!$A$244,$FW$205^A30,IF(A30='Données projet'!$A$244,'Données projet'!$B$244,FZ29+FY30-GH29)))</f>
        <v>87.8</v>
      </c>
      <c r="GA30" s="138">
        <f>FZ30*VLOOKUP('Données projet'!$B$17,'Paramètres'!$A$1:$I$89,3,0)*VLOOKUP('Données projet'!$B$17,'Paramètres'!$A$1:$I$89,5,0)</f>
        <v>58.89624</v>
      </c>
      <c r="GB30" s="130">
        <f t="shared" si="50"/>
        <v>16.88890301</v>
      </c>
      <c r="GC30" s="141">
        <f t="shared" si="26"/>
        <v>131.9924574</v>
      </c>
      <c r="GD30" s="133">
        <f t="shared" si="27"/>
        <v>425.3257907</v>
      </c>
      <c r="GE30" s="133">
        <f>AVERAGE(OFFSET($GD$3,0,0,'Données projet'!$E$17+1,1))-AVERAGE(OFFSET($H$3,0,0,'Données projet'!$E$17+1,1))</f>
        <v>118.7368745</v>
      </c>
      <c r="GF30" s="133">
        <f t="shared" si="51"/>
        <v>135.1233677</v>
      </c>
      <c r="GG30" s="134">
        <f>IF(ISNA(VLOOKUP(A30,'Données projet'!$A$243:$I$263,3,0)),0,VLOOKUP(A30,'Données projet'!$A$243:$I$263,3,0))</f>
        <v>0</v>
      </c>
      <c r="GH30" s="134">
        <f>IF(ISNA(VLOOKUP(A30,'Données projet'!$A$243:$I$263,4,0)),0,VLOOKUP(A30,'Données projet'!$A$243:$I$263,4,0))</f>
        <v>0</v>
      </c>
      <c r="GI30" s="135">
        <f>IF(ISNA(VLOOKUP(A30,'Données projet'!$A$243:$I$263,5,0)),0%,VLOOKUP(A30,'Données projet'!$A$243:$I$263,5,0)*VLOOKUP('Données projet'!$B$17,'Paramètres'!$A$1:$I$89,7,0))</f>
        <v>0</v>
      </c>
      <c r="GJ30" s="135">
        <f>IF(ISNA(VLOOKUP(A30,'Données projet'!$A$243:$I$263,6,0)),0%,VLOOKUP(A30,'Données projet'!$A$243:$I$263,6,0)*VLOOKUP('Données projet'!$B$17,'Paramètres'!$A$1:$I$89,7,0))</f>
        <v>0</v>
      </c>
      <c r="GK30" s="135">
        <f>IF(ISNA(VLOOKUP(A30,'Données projet'!$A$243:$I$263,7,0)),0%,VLOOKUP(A30,'Données projet'!$A$243:$I$263,7,0))</f>
        <v>0</v>
      </c>
      <c r="GL30" s="142">
        <f>EXP(-LN(2)/35)*GL29+(1-EXP(-LN(2)/35))/(LN(2)/35)*GH30*GI30*VLOOKUP('Données projet'!$B$17,'Paramètres'!$A$1:$I$89,3,0)*0.475*44/12</f>
        <v>0</v>
      </c>
      <c r="GM30" s="142">
        <f>EXP(-LN(2)/25)*GM29+(1-EXP(-LN(2)/25))/(LN(2)/25)*Calculateur!GH30*Calculateur!GJ30*VLOOKUP('Données projet'!$B$17,'Paramètres'!$A$1:$I$89,3,0)*0.475*44/12</f>
        <v>0</v>
      </c>
      <c r="GN30" s="142">
        <f>EXP(-LN(2)/2)*GN29+(1-EXP(-LN(2)/2))/(LN(2)/2)*GH30*GK30*VLOOKUP('Données projet'!$B$17,'Paramètres'!$A$1:$I$89,3,0)*0.475*44/12</f>
        <v>0</v>
      </c>
      <c r="GO30" s="142">
        <f t="shared" si="28"/>
        <v>0</v>
      </c>
      <c r="GP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1" t="str">
        <f>VLOOKUP(A30,'Données projet'!$A$269:$I$289,2,0)</f>
        <v>#N/A</v>
      </c>
      <c r="GS30" s="131" t="str">
        <f>VLOOKUP(A30,'Données projet'!$A$269:$I$289,9,0)</f>
        <v>#N/A</v>
      </c>
      <c r="GT30" s="130">
        <f t="array" ref="GT30">INDEX(GS:GS,MIN(IF(ISNUMBER(GS30:GS226),ROW(GS30:GS226),"")))</f>
        <v>4.8</v>
      </c>
      <c r="GU30" s="138">
        <f>IF('Données projet'!$A$270&gt;35,GU29+GT30-HC29,IF(A30&lt;'Données projet'!$A$270,$GR$205^A30,IF(A30='Données projet'!$A$270,'Données projet'!$B$270,GU29+GT30-HC29)))</f>
        <v>39.6</v>
      </c>
      <c r="GV30" s="138">
        <f>GU30*VLOOKUP('Données projet'!$B$18,'Paramètres'!$A$1:$I$89,3,0)*VLOOKUP('Données projet'!$B$18,'Paramètres'!$A$1:$I$89,5,0)</f>
        <v>42.62544</v>
      </c>
      <c r="GW30" s="130">
        <f t="shared" si="52"/>
        <v>12.69192458</v>
      </c>
      <c r="GX30" s="141">
        <f t="shared" si="29"/>
        <v>96.34440998</v>
      </c>
      <c r="GY30" s="133">
        <f t="shared" si="30"/>
        <v>389.6777433</v>
      </c>
      <c r="GZ30" s="133">
        <f>AVERAGE(OFFSET($GY$3,0,0,'Données projet'!$E$18+1,1))-AVERAGE(OFFSET($H$3,0,0,'Données projet'!$E$18+1,1))</f>
        <v>100.5427875</v>
      </c>
      <c r="HA30" s="133">
        <f t="shared" si="53"/>
        <v>92.28663609</v>
      </c>
      <c r="HB30" s="134">
        <f>IF(ISNA(VLOOKUP(A30,'Données projet'!$A$269:$I$289,3,0)),0,VLOOKUP(A30,'Données projet'!$A$269:$I$289,3,0))</f>
        <v>0</v>
      </c>
      <c r="HC30" s="134">
        <f>IF(ISNA(VLOOKUP(A30,'Données projet'!$A$269:$I$289,4,0)),0,VLOOKUP(A30,'Données projet'!$A$269:$I$289,4,0))</f>
        <v>0</v>
      </c>
      <c r="HD30" s="135">
        <f>IF(ISNA(VLOOKUP(A30,'Données projet'!$A$269:$I$289,5,0)),0%,VLOOKUP(A30,'Données projet'!$A$269:$I$289,5,0)*VLOOKUP('Données projet'!$B$18,'Paramètres'!$A$1:$I$89,7,0))</f>
        <v>0</v>
      </c>
      <c r="HE30" s="135">
        <f>IF(ISNA(VLOOKUP(A30,'Données projet'!$A$269:$I$289,6,0)),0%,VLOOKUP(A30,'Données projet'!$A$269:$I$289,6,0)*VLOOKUP('Données projet'!$B$18,'Paramètres'!$A$1:$I$89,7,0))</f>
        <v>0</v>
      </c>
      <c r="HF30" s="135">
        <f>IF(ISNA(VLOOKUP(A30,'Données projet'!$A$269:$I$289,7,0)),0%,VLOOKUP(A30,'Données projet'!$A$269:$I$289,7,0))</f>
        <v>0</v>
      </c>
      <c r="HG30" s="142">
        <f>EXP(-LN(2)/35)*HG29+(1-EXP(-LN(2)/35))/(LN(2)/35)*HC30*HD30*VLOOKUP('Données projet'!$B$18,'Paramètres'!$A$1:$I$89,3,0)*0.475*44/12</f>
        <v>0</v>
      </c>
      <c r="HH30" s="142">
        <f>EXP(-LN(2)/25)*HH29+(1-EXP(-LN(2)/25))/(LN(2)/25)*Calculateur!HC30*Calculateur!HE30*VLOOKUP('Données projet'!$B$18,'Paramètres'!$A$1:$I$89,3,0)*0.475*44/12</f>
        <v>0</v>
      </c>
      <c r="HI30" s="142">
        <f>EXP(-LN(2)/2)*HI29+(1-EXP(-LN(2)/2))/(LN(2)/2)*HC30*HF30*VLOOKUP('Données projet'!$B$18,'Paramètres'!$A$1:$I$89,3,0)*0.475*44/12</f>
        <v>0</v>
      </c>
      <c r="HJ30" s="143">
        <f t="shared" si="31"/>
        <v>0</v>
      </c>
    </row>
    <row r="31" ht="15.75" customHeight="1">
      <c r="A31" s="125">
        <f t="shared" si="32"/>
        <v>28</v>
      </c>
      <c r="B31" s="126">
        <f>'Scénario référence'!$B$16*5+'Scénario référence'!$B$17*0+'Scénario référence'!$B$18*5</f>
        <v>0</v>
      </c>
      <c r="C31" s="140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15.288</v>
      </c>
      <c r="D31" s="127">
        <f t="shared" si="33"/>
        <v>5.12913725</v>
      </c>
      <c r="E3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7">
        <f>IF(OR('Scénario référence'!$F$8&gt;0,'Scénario référence'!$F$9&gt;0),('Scénario référence'!$F$8+'Scénario référence'!$F$9)*10,0)</f>
        <v>10</v>
      </c>
      <c r="G31" s="127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157.6059718</v>
      </c>
      <c r="H31" s="128">
        <f t="shared" si="1"/>
        <v>328.8931807</v>
      </c>
      <c r="I31" s="12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1" t="str">
        <f>VLOOKUP(A31,'Données projet'!$A$35:$I$55,2,0)</f>
        <v>#N/A</v>
      </c>
      <c r="L31" s="131" t="str">
        <f>VLOOKUP(A31,'Données projet'!$A$35:$I$55,9,0)</f>
        <v>#N/A</v>
      </c>
      <c r="M31" s="130">
        <f t="array" ref="M31">INDEX(L:L,MIN(IF(ISNUMBER(L31:L227),ROW(L31:L227),"")))</f>
        <v>10.8</v>
      </c>
      <c r="N31" s="130">
        <f>IF('Données projet'!$A$36&gt;35,N30+M31-V30,IF(A31&lt;'Données projet'!$A$36,$K$205^A31,IF(A31='Données projet'!$A$36,'Données projet'!$B$36,N30+M31-V30)))</f>
        <v>118.4</v>
      </c>
      <c r="O31" s="130">
        <f>N31*VLOOKUP('Données projet'!$B$9,'Paramètres'!$A$1:$I$89,3,0)*VLOOKUP('Données projet'!$B$9,'Paramètres'!$A$1:$I$89,5,0)</f>
        <v>67.7248</v>
      </c>
      <c r="P31" s="130">
        <f t="shared" si="34"/>
        <v>19.10736325</v>
      </c>
      <c r="Q31" s="141">
        <f t="shared" si="2"/>
        <v>151.2326843</v>
      </c>
      <c r="R31" s="133">
        <f t="shared" si="3"/>
        <v>444.5660177</v>
      </c>
      <c r="S31" s="133">
        <f>AVERAGE(OFFSET($R$3,0,0,'Données projet'!$E$9+1,1))-AVERAGE(OFFSET($H$3,0,0,'Données projet'!$E$9+1,1))</f>
        <v>126.9946492</v>
      </c>
      <c r="T31" s="133">
        <f t="shared" si="35"/>
        <v>140.039049</v>
      </c>
      <c r="U31" s="134">
        <f>IF(ISNA(VLOOKUP(A31,'Données projet'!$A$35:$I$55,3,0)),0,VLOOKUP(A31,'Données projet'!$A$35:$I$55,3,0))</f>
        <v>0</v>
      </c>
      <c r="V31" s="134">
        <f>IF(ISNA(VLOOKUP(A31,'Données projet'!$A$35:$I$55,4,0)),0,VLOOKUP(A31,'Données projet'!$A$35:$I$55,4,0))</f>
        <v>0</v>
      </c>
      <c r="W31" s="135">
        <f>IF(ISNA(VLOOKUP(A31,'Données projet'!$A$35:$I$55,5,0)),0%,VLOOKUP(A31,'Données projet'!$A$35:$I$55,5,0)*VLOOKUP('Données projet'!$B$9,'Paramètres'!$A$1:$I$89,7,0))</f>
        <v>0</v>
      </c>
      <c r="X31" s="135">
        <f>IF(ISNA(VLOOKUP(A31,'Données projet'!$A$35:$I$55,6,0)),0%,VLOOKUP(A31,'Données projet'!$A$35:$I$55,6,0)*VLOOKUP('Données projet'!$B$9,'Paramètres'!$A$1:$I$89,7,0))</f>
        <v>0</v>
      </c>
      <c r="Y31" s="135">
        <f>IF(ISNA(VLOOKUP(A31,'Données projet'!$A$35:$I$55,7,0)),0%,VLOOKUP(A31,'Données projet'!$A$35:$I$55,7,0))</f>
        <v>0</v>
      </c>
      <c r="Z31" s="142">
        <f>EXP(-LN(2)/35)*Z30+(1-EXP(-LN(2)/35))/(LN(2)/35)*V31*W31*VLOOKUP('Données projet'!$B$9,'Paramètres'!$A$1:$I$89,3,0)*0.475*44/12</f>
        <v>0</v>
      </c>
      <c r="AA31" s="142">
        <f>EXP(-LN(2)/25)*AA30+(1-EXP(-LN(2)/25))/(LN(2)/25)*Calculateur!V31*Calculateur!X31*VLOOKUP('Données projet'!$B$9,'Paramètres'!$A$1:$I$89,3,0)*0.475*44/12</f>
        <v>2.103144993</v>
      </c>
      <c r="AB31" s="142">
        <f>EXP(-LN(2)/2)*AB30+(1-EXP(-LN(2)/2))/(LN(2)/2)*V31*Y31*VLOOKUP('Données projet'!$B$9,'Paramètres'!$A$1:$I$89,3,0)*0.475*44/12</f>
        <v>1.208983843</v>
      </c>
      <c r="AC31" s="143">
        <f t="shared" si="4"/>
        <v>3.312128836</v>
      </c>
      <c r="AD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0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1" t="str">
        <f>VLOOKUP(A31,'Données projet'!$A$61:$I$81,2,0)</f>
        <v>#N/A</v>
      </c>
      <c r="AG31" s="131" t="str">
        <f>VLOOKUP(A31,'Données projet'!$A$61:$I$81,9,0)</f>
        <v>#N/A</v>
      </c>
      <c r="AH31" s="131">
        <f t="array" ref="AH31">INDEX(AG:AG,MIN(IF(ISNUMBER(AG31:AG227),ROW(AG31:AG227),"")))</f>
        <v>13.4</v>
      </c>
      <c r="AI31" s="130">
        <f>IF('Données projet'!$A$62&gt;35,AI30+AH31-AQ30,IF(A31&lt;'Données projet'!$A$62,$AF$205^A31,IF(A31='Données projet'!$A$62,'Données projet'!$B$62,AI30+AH31-AQ30)))</f>
        <v>167.2</v>
      </c>
      <c r="AJ31" s="130">
        <f>AI31*VLOOKUP('Données projet'!$B$10,'Paramètres'!$A$1:$I$89,3,0)*VLOOKUP('Données projet'!$B$10,'Paramètres'!$A$1:$I$89,5,0)</f>
        <v>99.9856</v>
      </c>
      <c r="AK31" s="130">
        <f t="shared" si="36"/>
        <v>26.95856692</v>
      </c>
      <c r="AL31" s="141">
        <f t="shared" si="5"/>
        <v>221.094424</v>
      </c>
      <c r="AM31" s="133">
        <f t="shared" si="6"/>
        <v>514.4277574</v>
      </c>
      <c r="AN31" s="133">
        <f>AVERAGE(OFFSET($AM$3,0,0,'Données projet'!$E$10+1,1))-AVERAGE(OFFSET($H$3,0,0,'Données projet'!$E$10+1,1))</f>
        <v>196.874484</v>
      </c>
      <c r="AO31" s="133">
        <f t="shared" si="37"/>
        <v>217.5750859</v>
      </c>
      <c r="AP31" s="134">
        <f>IF(ISNA(VLOOKUP(A31,'Données projet'!$A$61:$I$81,3,0)),0,VLOOKUP(A31,'Données projet'!$A$61:$I$81,3,0))</f>
        <v>0</v>
      </c>
      <c r="AQ31" s="134">
        <f>IF(ISNA(VLOOKUP(A31,'Données projet'!$A$61:$I$81,4,0)),0,VLOOKUP(A31,'Données projet'!$A$61:$I$81,4,0))</f>
        <v>0</v>
      </c>
      <c r="AR31" s="135">
        <f>IF(ISNA(VLOOKUP(A31,'Données projet'!$A$61:$I$81,5,0)),0%,VLOOKUP(A31,'Données projet'!$A$61:$I$81,5,0)*VLOOKUP('Données projet'!$B$10,'Paramètres'!$A$1:$I$89,7,0))</f>
        <v>0</v>
      </c>
      <c r="AS31" s="135">
        <f>IF(ISNA(VLOOKUP(A31,'Données projet'!$A$61:$I$81,6,0)),0%,VLOOKUP(A31,'Données projet'!$A$61:$I$81,6,0)*VLOOKUP('Données projet'!$B$10,'Paramètres'!$A$1:$I$89,7,0))</f>
        <v>0</v>
      </c>
      <c r="AT31" s="135">
        <f>IF(ISNA(VLOOKUP(A31,'Données projet'!$A$61:$I$81,7,0)),0%,VLOOKUP(A31,'Données projet'!$A$61:$I$81,7,0))</f>
        <v>0</v>
      </c>
      <c r="AU31" s="142">
        <f>EXP(-LN(2)/35)*AU30+(1-EXP(-LN(2)/35))/(LN(2)/35)*AQ31*AR31*VLOOKUP('Données projet'!$B$10,'Paramètres'!$A$1:$I$89,3,0)*0.475*44/12</f>
        <v>0</v>
      </c>
      <c r="AV31" s="142">
        <f>EXP(-LN(2)/25)*AV30+(1-EXP(-LN(2)/25))/(LN(2)/25)*Calculateur!AQ31*Calculateur!AS31*VLOOKUP('Données projet'!$B$10,'Paramètres'!$A$1:$I$89,3,0)*0.475*44/12</f>
        <v>5.81255945</v>
      </c>
      <c r="AW31" s="142">
        <f>EXP(-LN(2)/2)*AW30+(1-EXP(-LN(2)/2))/(LN(2)/2)*AQ31*AT31*VLOOKUP('Données projet'!$B$10,'Paramètres'!$A$1:$I$89,3,0)*0.475*44/12</f>
        <v>2.386404268</v>
      </c>
      <c r="AX31" s="142">
        <f t="shared" si="7"/>
        <v>8.198963717</v>
      </c>
      <c r="AY31" s="13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1" t="str">
        <f>VLOOKUP(A31,'Données projet'!$A$87:$I$107,2,0)</f>
        <v>#N/A</v>
      </c>
      <c r="BB31" s="131" t="str">
        <f>VLOOKUP(A31,'Données projet'!$A$87:$I$107,9,0)</f>
        <v>#N/A</v>
      </c>
      <c r="BC31" s="130">
        <f t="array" ref="BC31">INDEX(BB:BB,MIN(IF(ISNUMBER(BB31:BB227),ROW(BB31:BB227),"")))</f>
        <v>4.666666667</v>
      </c>
      <c r="BD31" s="131">
        <f>IF('Données projet'!$A$88&gt;35,BD30+BC31-BL30,IF(A31&lt;'Données projet'!$A$88,$BA$205^A31,IF(A31='Données projet'!$A$88,'Données projet'!$B$88,BD30+BC31-BL30)))</f>
        <v>100.7054173</v>
      </c>
      <c r="BE31" s="130">
        <f>BD31*VLOOKUP('Données projet'!$B$11,'Paramètres'!$A$1:$I$89,3,0)*VLOOKUP('Données projet'!$B$11,'Paramètres'!$A$1:$I$89,5,0)</f>
        <v>47.13013528</v>
      </c>
      <c r="BF31" s="130">
        <f t="shared" si="38"/>
        <v>13.87007419</v>
      </c>
      <c r="BG31" s="141">
        <f t="shared" si="8"/>
        <v>106.2420315</v>
      </c>
      <c r="BH31" s="133">
        <f t="shared" si="9"/>
        <v>399.5753648</v>
      </c>
      <c r="BI31" s="133">
        <f>AVERAGE(OFFSET($BH$3,0,0,'Données projet'!$E$11+1,1))-AVERAGE(OFFSET($H$3,0,0,'Données projet'!$E$11+1,1))</f>
        <v>134.0948534</v>
      </c>
      <c r="BJ31" s="133">
        <f t="shared" si="39"/>
        <v>108.4102536</v>
      </c>
      <c r="BK31" s="134">
        <f>IF(ISNA(VLOOKUP(A31,'Données projet'!$A$87:$I$107,3,0)),0,VLOOKUP(A31,'Données projet'!$A$87:$I$107,3,0))</f>
        <v>0</v>
      </c>
      <c r="BL31" s="134">
        <f>IF(ISNA(VLOOKUP(A31,'Données projet'!$A$87:$I$107,4,0)),0,VLOOKUP(A31,'Données projet'!$A$87:$I$107,4,0))</f>
        <v>0</v>
      </c>
      <c r="BM31" s="135">
        <f>IF(ISNA(VLOOKUP(A31,'Données projet'!$A$87:$I$107,5,0)),0%,VLOOKUP(A31,'Données projet'!$A$87:$I$107,5,0)*VLOOKUP('Données projet'!$B$11,'Paramètres'!$A$1:$I$89,7,0))</f>
        <v>0</v>
      </c>
      <c r="BN31" s="135">
        <f>IF(ISNA(VLOOKUP(A31,'Données projet'!$A$87:$I$107,6,0)),0%,VLOOKUP(A31,'Données projet'!$A$87:$I$107,6,0)*VLOOKUP('Données projet'!$B$11,'Paramètres'!$A$1:$I$89,7,0))</f>
        <v>0</v>
      </c>
      <c r="BO31" s="135">
        <f>IF(ISNA(VLOOKUP(A31,'Données projet'!$A$87:$I$107,7,0)),0%,VLOOKUP(A31,'Données projet'!$A$87:$I$107,7,0))</f>
        <v>0</v>
      </c>
      <c r="BP31" s="142">
        <f>EXP(-LN(2)/35)*BP30+(1-EXP(-LN(2)/35))/(LN(2)/35)*BL31*BM31*VLOOKUP('Données projet'!$B$11,'Paramètres'!$A$1:$I$89,3,0)*0.475*44/12</f>
        <v>0</v>
      </c>
      <c r="BQ31" s="142">
        <f>EXP(-LN(2)/25)*BQ30+(1-EXP(-LN(2)/25))/(LN(2)/25)*Calculateur!BL31*Calculateur!BN31*VLOOKUP('Données projet'!$B$11,'Paramètres'!$A$1:$I$89,3,0)*0.475*44/12</f>
        <v>0</v>
      </c>
      <c r="BR31" s="142">
        <f>EXP(-LN(2)/2)*BR30+(1-EXP(-LN(2)/2))/(LN(2)/2)*BL31*BO31*VLOOKUP('Données projet'!$B$11,'Paramètres'!$A$1:$I$89,3,0)*0.475*44/12</f>
        <v>0</v>
      </c>
      <c r="BS31" s="143">
        <f t="shared" si="10"/>
        <v>0</v>
      </c>
      <c r="BT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1" t="str">
        <f>VLOOKUP(A31,'Données projet'!$A$113:$I$133,2,0)</f>
        <v>#N/A</v>
      </c>
      <c r="BW31" s="131" t="str">
        <f>VLOOKUP(A31,'Données projet'!$A$113:$I$133,9,0)</f>
        <v>#N/A</v>
      </c>
      <c r="BX31" s="130">
        <f t="array" ref="BX31">INDEX(BW:BW,MIN(IF(ISNUMBER(BW31:BW227),ROW(BW31:BW227),"")))</f>
        <v>25.4</v>
      </c>
      <c r="BY31" s="130">
        <f>IF('Données projet'!$A$114&gt;35,BY30+BX31-CG30,IF(A31&lt;'Données projet'!$A$114,$BV$205^A31,IF(A31='Données projet'!$A$114,'Données projet'!$B$114,BY30+BX31-CG30)))</f>
        <v>258.2</v>
      </c>
      <c r="BZ31" s="130">
        <f>BY31*VLOOKUP('Données projet'!$B$12,'Paramètres'!$A$1:$I$89,3,0)*VLOOKUP('Données projet'!$B$12,'Paramètres'!$A$1:$I$89,5,0)</f>
        <v>127.5508</v>
      </c>
      <c r="CA31" s="130">
        <f t="shared" si="40"/>
        <v>33.42979618</v>
      </c>
      <c r="CB31" s="141">
        <f t="shared" si="11"/>
        <v>280.3745384</v>
      </c>
      <c r="CC31" s="133">
        <f t="shared" si="12"/>
        <v>573.7078717</v>
      </c>
      <c r="CD31" s="133">
        <f>AVERAGE(OFFSET($CC$3,0,0,'Données projet'!$E$12+1,1))-AVERAGE(OFFSET($H$3,0,0,'Données projet'!$E$12+1,1))</f>
        <v>258.1672054</v>
      </c>
      <c r="CE31" s="133">
        <f t="shared" si="41"/>
        <v>296.0724261</v>
      </c>
      <c r="CF31" s="134">
        <f>IF(ISNA(VLOOKUP(A31,'Données projet'!$A$113:$I$133,3,0)),0,VLOOKUP(A31,'Données projet'!$A$113:$I$133,3,0))</f>
        <v>0</v>
      </c>
      <c r="CG31" s="134">
        <f>IF(ISNA(VLOOKUP(A31,'Données projet'!$A$113:$I$133,4,0)),0,VLOOKUP(A31,'Données projet'!$A$113:$I$133,4,0))</f>
        <v>0</v>
      </c>
      <c r="CH31" s="135">
        <f>IF(ISNA(VLOOKUP(A31,'Données projet'!$A$113:$I$133,5,0)),0%,VLOOKUP(A31,'Données projet'!$A$113:$I$133,5,0)*VLOOKUP('Données projet'!$B$12,'Paramètres'!$A$1:$I$89,7,0))</f>
        <v>0</v>
      </c>
      <c r="CI31" s="135">
        <f>IF(ISNA(VLOOKUP(A31,'Données projet'!$A$113:$I$133,6,0)),0%,VLOOKUP(A31,'Données projet'!$A$113:$I$133,6,0)*VLOOKUP('Données projet'!$B$12,'Paramètres'!$A$1:$I$89,7,0))</f>
        <v>0</v>
      </c>
      <c r="CJ31" s="135">
        <f>IF(ISNA(VLOOKUP(A31,'Données projet'!$A$113:$I$133,7,0)),0%,VLOOKUP(A31,'Données projet'!$A$113:$I$133,7,0))</f>
        <v>0</v>
      </c>
      <c r="CK31" s="142">
        <f>EXP(-LN(2)/35)*CK30+(1-EXP(-LN(2)/35))/(LN(2)/35)*CG31*CH31*VLOOKUP('Données projet'!$B$12,'Paramètres'!$A$1:$I$89,3,0)*0.475*44/12</f>
        <v>4.279430414</v>
      </c>
      <c r="CL31" s="142">
        <f>EXP(-LN(2)/25)*CL30+(1-EXP(-LN(2)/25))/(LN(2)/25)*Calculateur!CG31*Calculateur!CI31*VLOOKUP('Données projet'!$B$12,'Paramètres'!$A$1:$I$89,3,0)*0.475*44/12</f>
        <v>9.807095401</v>
      </c>
      <c r="CM31" s="142">
        <f>EXP(-LN(2)/2)*CM30+(1-EXP(-LN(2)/2))/(LN(2)/2)*CG31*CJ31*VLOOKUP('Données projet'!$B$12,'Paramètres'!$A$1:$I$89,3,0)*0.475*44/12</f>
        <v>4.406541692</v>
      </c>
      <c r="CN31" s="143">
        <f t="shared" si="13"/>
        <v>18.49306751</v>
      </c>
      <c r="CO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1" t="str">
        <f>VLOOKUP(A31,'Données projet'!$A$139:$I$159,2,0)</f>
        <v>#N/A</v>
      </c>
      <c r="CR31" s="131" t="str">
        <f>VLOOKUP(A31,'Données projet'!$A$139:$I$159,9,0)</f>
        <v>#N/A</v>
      </c>
      <c r="CS31" s="130">
        <f t="array" ref="CS31">INDEX(CR:CR,MIN(IF(ISNUMBER(CR31:CR227),ROW(CR31:CR227),"")))</f>
        <v>4.8</v>
      </c>
      <c r="CT31" s="138">
        <f>IF('Données projet'!$A$140&gt;35,CT30+CS31-DB30,IF(A31&lt;'Données projet'!$A$140,$CQ$205^A31,IF(A31='Données projet'!$A$140,'Données projet'!$B$140,CT30+CS31-DB30)))</f>
        <v>44.4</v>
      </c>
      <c r="CU31" s="138">
        <f>CT31*VLOOKUP('Données projet'!$B$13,'Paramètres'!$A$1:$I$89,3,0)*VLOOKUP('Données projet'!$B$13,'Paramètres'!$A$1:$I$89,5,0)</f>
        <v>45.0216</v>
      </c>
      <c r="CV31" s="130">
        <f t="shared" si="42"/>
        <v>13.32032417</v>
      </c>
      <c r="CW31" s="141">
        <f t="shared" si="14"/>
        <v>101.6121846</v>
      </c>
      <c r="CX31" s="133">
        <f t="shared" si="15"/>
        <v>394.9455179</v>
      </c>
      <c r="CY31" s="133">
        <f>AVERAGE(OFFSET($CX$3,0,0,'Données projet'!$E$13+1,1))-AVERAGE(OFFSET($H$3,0,0,'Données projet'!$E$13+1,1))</f>
        <v>223.783507</v>
      </c>
      <c r="CZ31" s="133">
        <f t="shared" si="43"/>
        <v>84.92349117</v>
      </c>
      <c r="DA31" s="134">
        <f>IF(ISNA(VLOOKUP(A31,'Données projet'!$A$139:$I$159,3,0)),0,VLOOKUP(A31,'Données projet'!$A$139:$I$159,3,0))</f>
        <v>0</v>
      </c>
      <c r="DB31" s="134">
        <f>IF(ISNA(VLOOKUP(A31,'Données projet'!$A$139:$I$159,4,0)),0,VLOOKUP(A31,'Données projet'!$A$139:$I$159,4,0))</f>
        <v>0</v>
      </c>
      <c r="DC31" s="135">
        <f>IF(ISNA(VLOOKUP(A31,'Données projet'!$A$139:$I$159,5,0)),0%,VLOOKUP(A31,'Données projet'!$A$139:$I$159,5,0)*VLOOKUP('Données projet'!$B$13,'Paramètres'!$A$1:$I$89,7,0))</f>
        <v>0</v>
      </c>
      <c r="DD31" s="135">
        <f>IF(ISNA(VLOOKUP(A31,'Données projet'!$A$139:$I$159,6,0)),0%,VLOOKUP(A31,'Données projet'!$A$139:$I$159,6,0)*VLOOKUP('Données projet'!$B$13,'Paramètres'!$A$1:$I$89,7,0))</f>
        <v>0</v>
      </c>
      <c r="DE31" s="135">
        <f>IF(ISNA(VLOOKUP(A31,'Données projet'!$A$139:$I$159,7,0)),0%,VLOOKUP(A31,'Données projet'!$A$139:$I$159,7,0))</f>
        <v>0</v>
      </c>
      <c r="DF31" s="142">
        <f>EXP(-LN(2)/35)*DF30+(1-EXP(-LN(2)/35))/(LN(2)/35)*DB31*DC31*VLOOKUP('Données projet'!$B$13,'Paramètres'!$A$1:$I$89,3,0)*0.475*44/12</f>
        <v>0</v>
      </c>
      <c r="DG31" s="142">
        <f>EXP(-LN(2)/25)*DG30+(1-EXP(-LN(2)/25))/(LN(2)/25)*Calculateur!DB31*Calculateur!DD31*VLOOKUP('Données projet'!$B$13,'Paramètres'!$A$1:$I$89,3,0)*0.475*44/12</f>
        <v>0</v>
      </c>
      <c r="DH31" s="142">
        <f>EXP(-LN(2)/2)*DH30+(1-EXP(-LN(2)/2))/(LN(2)/2)*DB31*DE31*VLOOKUP('Données projet'!$B$13,'Paramètres'!$A$1:$I$89,3,0)*0.475*44/12</f>
        <v>0</v>
      </c>
      <c r="DI31" s="143">
        <f t="shared" si="16"/>
        <v>0</v>
      </c>
      <c r="DJ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1" t="str">
        <f>VLOOKUP(A31,'Données projet'!$A$165:$I$185,2,0)</f>
        <v>#N/A</v>
      </c>
      <c r="DM31" s="131" t="str">
        <f>VLOOKUP(A31,'Données projet'!$A$165:$I$185,9,0)</f>
        <v>#N/A</v>
      </c>
      <c r="DN31" s="131">
        <f t="array" ref="DN31">INDEX(DM:DM,MIN(IF(ISNUMBER(DM31:DM227),ROW(DM31:DM227),"")))</f>
        <v>7</v>
      </c>
      <c r="DO31" s="138">
        <f>IF('Données projet'!$A$166&gt;35,DO30+DN31-DW30,IF(A31&lt;'Données projet'!$A$166,$DL$205^A31,IF(A31='Données projet'!$A$166,'Données projet'!$B$166,DO30+DN31-DW30)))</f>
        <v>83</v>
      </c>
      <c r="DP31" s="138">
        <f>DO31*VLOOKUP('Données projet'!$B$14,'Paramètres'!$A$1:$I$89,3,0)*VLOOKUP('Données projet'!$B$14,'Paramètres'!$A$1:$I$89,5,0)</f>
        <v>75.0984</v>
      </c>
      <c r="DQ31" s="130">
        <f t="shared" si="44"/>
        <v>20.93434309</v>
      </c>
      <c r="DR31" s="141">
        <f t="shared" si="17"/>
        <v>167.2570276</v>
      </c>
      <c r="DS31" s="133">
        <f t="shared" si="18"/>
        <v>460.5903609</v>
      </c>
      <c r="DT31" s="133">
        <f>AVERAGE(OFFSET($DS$3,0,0,'Données projet'!$E$14+1,1))-AVERAGE(OFFSET($H$3,0,0,'Données projet'!$E$14+1,1))</f>
        <v>287.9334714</v>
      </c>
      <c r="DU31" s="133">
        <f t="shared" si="45"/>
        <v>156.6796502</v>
      </c>
      <c r="DV31" s="134">
        <f>IF(ISNA(VLOOKUP(A31,'Données projet'!$A$165:$I$185,3,0)),0,VLOOKUP(A31,'Données projet'!$A$165:$I$185,3,0))</f>
        <v>0</v>
      </c>
      <c r="DW31" s="134">
        <f>IF(ISNA(VLOOKUP(A31,'Données projet'!$A$165:$I$185,4,0)),0,VLOOKUP(A31,'Données projet'!$A$165:$I$185,4,0))</f>
        <v>0</v>
      </c>
      <c r="DX31" s="135">
        <f>IF(ISNA(VLOOKUP(A31,'Données projet'!$A$165:$I$185,5,0)),0%,VLOOKUP(A31,'Données projet'!$A$165:$I$185,5,0)*VLOOKUP('Données projet'!$B$14,'Paramètres'!$A$1:$I$89,7,0))</f>
        <v>0</v>
      </c>
      <c r="DY31" s="135">
        <f>IF(ISNA(VLOOKUP(A31,'Données projet'!$A$165:$I$185,6,0)),0%,VLOOKUP(A31,'Données projet'!$A$165:$I$185,6,0)*VLOOKUP('Données projet'!$B$14,'Paramètres'!$A$1:$I$89,7,0))</f>
        <v>0</v>
      </c>
      <c r="DZ31" s="135">
        <f>IF(ISNA(VLOOKUP(A31,'Données projet'!$A$165:$I$185,7,0)),0%,VLOOKUP(A31,'Données projet'!$A$165:$I$185,7,0))</f>
        <v>0</v>
      </c>
      <c r="EA31" s="142">
        <f>EXP(-LN(2)/35)*EA30+(1-EXP(-LN(2)/35))/(LN(2)/35)*DW31*DX31*VLOOKUP('Données projet'!$B$14,'Paramètres'!$A$1:$I$89,3,0)*0.475*44/12</f>
        <v>0</v>
      </c>
      <c r="EB31" s="142">
        <f>EXP(-LN(2)/25)*EB30+(1-EXP(-LN(2)/25))/(LN(2)/25)*Calculateur!DW31*Calculateur!DY31*VLOOKUP('Données projet'!$B$14,'Paramètres'!$A$1:$I$89,3,0)*0.475*44/12</f>
        <v>0</v>
      </c>
      <c r="EC31" s="142">
        <f>EXP(-LN(2)/2)*EC30+(1-EXP(-LN(2)/2))/(LN(2)/2)*DW31*DZ31*VLOOKUP('Données projet'!$B$14,'Paramètres'!$A$1:$I$89,3,0)*0.475*44/12</f>
        <v>0</v>
      </c>
      <c r="ED31" s="143">
        <f t="shared" si="19"/>
        <v>0</v>
      </c>
      <c r="EE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1" t="str">
        <f>VLOOKUP(A31,'Données projet'!$A$191:$I$211,2,0)</f>
        <v>#N/A</v>
      </c>
      <c r="EH31" s="131" t="str">
        <f>VLOOKUP(A31,'Données projet'!$A$191:$I$211,9,0)</f>
        <v>#N/A</v>
      </c>
      <c r="EI31" s="131">
        <f t="array" ref="EI31">INDEX(EH:EH,MIN(IF(ISNUMBER(EH31:EH227),ROW(EH31:EH227),"")))</f>
        <v>6.6</v>
      </c>
      <c r="EJ31" s="138">
        <f>IF('Données projet'!$A$192&gt;35,EJ30+EI31-ER30,IF(A31&lt;'Données projet'!$A$192,$EG$205^A31,IF(A31='Données projet'!$A$192,'Données projet'!$B$192,EJ30+EI31-ER30)))</f>
        <v>59.8</v>
      </c>
      <c r="EK31" s="138">
        <f>EJ31*VLOOKUP('Données projet'!$B$15,'Paramètres'!$A$1:$I$89,3,0)*VLOOKUP('Données projet'!$B$15,'Paramètres'!$A$1:$I$89,5,0)</f>
        <v>43.84536</v>
      </c>
      <c r="EL31" s="130">
        <f t="shared" si="46"/>
        <v>13.01235171</v>
      </c>
      <c r="EM31" s="141">
        <f t="shared" si="20"/>
        <v>99.02718124</v>
      </c>
      <c r="EN31" s="133">
        <f t="shared" si="21"/>
        <v>392.3605146</v>
      </c>
      <c r="EO31" s="133">
        <f>AVERAGE(OFFSET($EN$3,0,0,'Données projet'!$E$15+1,1))-AVERAGE(OFFSET($H$3,0,0,'Données projet'!$E$15+1,1))</f>
        <v>130.3193339</v>
      </c>
      <c r="EP31" s="133">
        <f t="shared" si="47"/>
        <v>82.22784365</v>
      </c>
      <c r="EQ31" s="134">
        <f>IF(ISNA(VLOOKUP(A31,'Données projet'!$A$191:$I$211,3,0)),0,VLOOKUP(A31,'Données projet'!$A$191:$I$211,3,0))</f>
        <v>0</v>
      </c>
      <c r="ER31" s="134">
        <f>IF(ISNA(VLOOKUP(A31,'Données projet'!$A$191:$I$211,4,0)),0,VLOOKUP(A31,'Données projet'!$A$191:$I$211,4,0))</f>
        <v>0</v>
      </c>
      <c r="ES31" s="135">
        <f>IF(ISNA(VLOOKUP(A31,'Données projet'!$A$191:$I$211,5,0)),0%,VLOOKUP(A31,'Données projet'!$A$191:$I$211,5,0)*VLOOKUP('Données projet'!$B$15,'Paramètres'!$A$1:$I$89,7,0))</f>
        <v>0</v>
      </c>
      <c r="ET31" s="135">
        <f>IF(ISNA(VLOOKUP(A31,'Données projet'!$A$191:$I$211,6,0)),0%,VLOOKUP(A31,'Données projet'!$A$191:$I$211,6,0)*VLOOKUP('Données projet'!$B$15,'Paramètres'!$A$1:$I$89,7,0))</f>
        <v>0</v>
      </c>
      <c r="EU31" s="135">
        <f>IF(ISNA(VLOOKUP(A31,'Données projet'!$A$191:$I$211,7,0)),0%,VLOOKUP(A31,'Données projet'!$A$191:$I$211,7,0))</f>
        <v>0</v>
      </c>
      <c r="EV31" s="142">
        <f>EXP(-LN(2)/35)*EV30+(1-EXP(-LN(2)/35))/(LN(2)/35)*ER31*ES31*VLOOKUP('Données projet'!$B$15,'Paramètres'!$A$1:$I$89,3,0)*0.475*44/12</f>
        <v>0</v>
      </c>
      <c r="EW31" s="142">
        <f>EXP(-LN(2)/25)*EW30+(1-EXP(-LN(2)/25))/(LN(2)/25)*Calculateur!ER31*Calculateur!ET31*VLOOKUP('Données projet'!$B$15,'Paramètres'!$A$1:$I$89,3,0)*0.475*44/12</f>
        <v>0</v>
      </c>
      <c r="EX31" s="142">
        <f>EXP(-LN(2)/2)*EX30+(1-EXP(-LN(2)/2))/(LN(2)/2)*ER31*EU31*VLOOKUP('Données projet'!$B$15,'Paramètres'!$A$1:$I$89,3,0)*0.475*44/12</f>
        <v>0</v>
      </c>
      <c r="EY31" s="143">
        <f t="shared" si="22"/>
        <v>0</v>
      </c>
      <c r="EZ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1" t="str">
        <f>VLOOKUP(A31,'Données projet'!$A$217:$I$237,2,0)</f>
        <v>#N/A</v>
      </c>
      <c r="FC31" s="131" t="str">
        <f>VLOOKUP(A31,'Données projet'!$A$217:$I$237,9,0)</f>
        <v>#N/A</v>
      </c>
      <c r="FD31" s="130">
        <f t="array" ref="FD31">INDEX(FC:FC,MIN(IF(ISNUMBER(FC31:FC227),ROW(FC31:FC227),"")))</f>
        <v>8.6</v>
      </c>
      <c r="FE31" s="130">
        <f>IF('Données projet'!$A$218&gt;35,FE30+FD31-FM30,IF(A31&lt;'Données projet'!$A$218,$FB$205^A31,IF(A31='Données projet'!$A$218,'Données projet'!$B$218,FE30+FD31-FM30)))</f>
        <v>169.8</v>
      </c>
      <c r="FF31" s="138">
        <f>FE31*VLOOKUP('Données projet'!$B$16,'Paramètres'!$A$1:$I$89,3,0)*VLOOKUP('Données projet'!$B$16,'Paramètres'!$A$1:$I$89,5,0)</f>
        <v>153.63504</v>
      </c>
      <c r="FG31" s="130">
        <f t="shared" si="48"/>
        <v>39.40350679</v>
      </c>
      <c r="FH31" s="141">
        <f t="shared" si="23"/>
        <v>336.2088023</v>
      </c>
      <c r="FI31" s="133">
        <f t="shared" si="24"/>
        <v>629.5421357</v>
      </c>
      <c r="FJ31" s="133">
        <f>AVERAGE(OFFSET($FI$3,0,0,'Données projet'!$E$16+1,1))-AVERAGE(OFFSET($H$3,0,0,'Données projet'!$E$16+1,1))</f>
        <v>305.6252353</v>
      </c>
      <c r="FK31" s="133">
        <f t="shared" si="49"/>
        <v>331.397916</v>
      </c>
      <c r="FL31" s="134">
        <f>IF(ISNA(VLOOKUP(A31,'Données projet'!$A$217:$I$237,3,0)),0,VLOOKUP(A31,'Données projet'!$A$217:$I$237,3,0))</f>
        <v>0</v>
      </c>
      <c r="FM31" s="134">
        <f>IF(ISNA(VLOOKUP(A31,'Données projet'!$A$217:$I$237,4,0)),0,VLOOKUP(A31,'Données projet'!$A$217:$I$237,4,0))</f>
        <v>0</v>
      </c>
      <c r="FN31" s="135">
        <f>IF(ISNA(VLOOKUP(A31,'Données projet'!$A$217:$I$237,5,0)),0%,VLOOKUP(A31,'Données projet'!$A$217:$I$237,5,0)*VLOOKUP('Données projet'!$B$16,'Paramètres'!$A$1:$I$89,7,0))</f>
        <v>0</v>
      </c>
      <c r="FO31" s="135">
        <f>IF(ISNA(VLOOKUP(A31,'Données projet'!$A$217:$I$237,6,0)),0%,VLOOKUP(A31,'Données projet'!$A$217:$I$237,6,0)*VLOOKUP('Données projet'!$B$16,'Paramètres'!$A$1:$I$89,7,0))</f>
        <v>0</v>
      </c>
      <c r="FP31" s="135">
        <f>IF(ISNA(VLOOKUP(A31,'Données projet'!$A$217:$I$237,7,0)),0%,VLOOKUP(A31,'Données projet'!$A$217:$I$237,7,0))</f>
        <v>0</v>
      </c>
      <c r="FQ31" s="142">
        <f>EXP(-LN(2)/35)*FQ30+(1-EXP(-LN(2)/35))/(LN(2)/35)*FM31*FN31*VLOOKUP('Données projet'!$B$16,'Paramètres'!$A$1:$I$89,3,0)*0.475*44/12</f>
        <v>0</v>
      </c>
      <c r="FR31" s="142">
        <f>EXP(-LN(2)/25)*FR30+(1-EXP(-LN(2)/25))/(LN(2)/25)*Calculateur!FM31*Calculateur!FO31*VLOOKUP('Données projet'!$B$16,'Paramètres'!$A$1:$I$89,3,0)*0.475*44/12</f>
        <v>0</v>
      </c>
      <c r="FS31" s="142">
        <f>EXP(-LN(2)/2)*FS30+(1-EXP(-LN(2)/2))/(LN(2)/2)*FM31*FP31*VLOOKUP('Données projet'!$B$16,'Paramètres'!$A$1:$I$89,3,0)*0.475*44/12</f>
        <v>0</v>
      </c>
      <c r="FT31" s="143">
        <f t="shared" si="25"/>
        <v>0</v>
      </c>
      <c r="FU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1" t="str">
        <f>VLOOKUP(A31,'Données projet'!$A$243:$I$263,2,0)</f>
        <v>#N/A</v>
      </c>
      <c r="FX31" s="131" t="str">
        <f>VLOOKUP(A31,'Données projet'!$A$243:$I$263,9,0)</f>
        <v>#N/A</v>
      </c>
      <c r="FY31" s="130">
        <f t="array" ref="FY31">INDEX(FX:FX,MIN(IF(ISNUMBER(FX31:FX227),ROW(FX31:FX227),"")))</f>
        <v>9.4</v>
      </c>
      <c r="FZ31" s="138">
        <f>IF('Données projet'!$A$244&gt;35,FZ30+FY31-GH30,IF(A31&lt;'Données projet'!$A$244,$FW$205^A31,IF(A31='Données projet'!$A$244,'Données projet'!$B$244,FZ30+FY31-GH30)))</f>
        <v>97.2</v>
      </c>
      <c r="GA31" s="138">
        <f>FZ31*VLOOKUP('Données projet'!$B$17,'Paramètres'!$A$1:$I$89,3,0)*VLOOKUP('Données projet'!$B$17,'Paramètres'!$A$1:$I$89,5,0)</f>
        <v>65.20176</v>
      </c>
      <c r="GB31" s="130">
        <f t="shared" si="50"/>
        <v>18.47700596</v>
      </c>
      <c r="GC31" s="141">
        <f t="shared" si="26"/>
        <v>145.7405174</v>
      </c>
      <c r="GD31" s="133">
        <f t="shared" si="27"/>
        <v>439.0738507</v>
      </c>
      <c r="GE31" s="133">
        <f>AVERAGE(OFFSET($GD$3,0,0,'Données projet'!$E$17+1,1))-AVERAGE(OFFSET($H$3,0,0,'Données projet'!$E$17+1,1))</f>
        <v>118.7368745</v>
      </c>
      <c r="GF31" s="133">
        <f t="shared" si="51"/>
        <v>135.1233677</v>
      </c>
      <c r="GG31" s="134">
        <f>IF(ISNA(VLOOKUP(A31,'Données projet'!$A$243:$I$263,3,0)),0,VLOOKUP(A31,'Données projet'!$A$243:$I$263,3,0))</f>
        <v>0</v>
      </c>
      <c r="GH31" s="134">
        <f>IF(ISNA(VLOOKUP(A31,'Données projet'!$A$243:$I$263,4,0)),0,VLOOKUP(A31,'Données projet'!$A$243:$I$263,4,0))</f>
        <v>0</v>
      </c>
      <c r="GI31" s="135">
        <f>IF(ISNA(VLOOKUP(A31,'Données projet'!$A$243:$I$263,5,0)),0%,VLOOKUP(A31,'Données projet'!$A$243:$I$263,5,0)*VLOOKUP('Données projet'!$B$17,'Paramètres'!$A$1:$I$89,7,0))</f>
        <v>0</v>
      </c>
      <c r="GJ31" s="135">
        <f>IF(ISNA(VLOOKUP(A31,'Données projet'!$A$243:$I$263,6,0)),0%,VLOOKUP(A31,'Données projet'!$A$243:$I$263,6,0)*VLOOKUP('Données projet'!$B$17,'Paramètres'!$A$1:$I$89,7,0))</f>
        <v>0</v>
      </c>
      <c r="GK31" s="135">
        <f>IF(ISNA(VLOOKUP(A31,'Données projet'!$A$243:$I$263,7,0)),0%,VLOOKUP(A31,'Données projet'!$A$243:$I$263,7,0))</f>
        <v>0</v>
      </c>
      <c r="GL31" s="142">
        <f>EXP(-LN(2)/35)*GL30+(1-EXP(-LN(2)/35))/(LN(2)/35)*GH31*GI31*VLOOKUP('Données projet'!$B$17,'Paramètres'!$A$1:$I$89,3,0)*0.475*44/12</f>
        <v>0</v>
      </c>
      <c r="GM31" s="142">
        <f>EXP(-LN(2)/25)*GM30+(1-EXP(-LN(2)/25))/(LN(2)/25)*Calculateur!GH31*Calculateur!GJ31*VLOOKUP('Données projet'!$B$17,'Paramètres'!$A$1:$I$89,3,0)*0.475*44/12</f>
        <v>0</v>
      </c>
      <c r="GN31" s="142">
        <f>EXP(-LN(2)/2)*GN30+(1-EXP(-LN(2)/2))/(LN(2)/2)*GH31*GK31*VLOOKUP('Données projet'!$B$17,'Paramètres'!$A$1:$I$89,3,0)*0.475*44/12</f>
        <v>0</v>
      </c>
      <c r="GO31" s="142">
        <f t="shared" si="28"/>
        <v>0</v>
      </c>
      <c r="GP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1" t="str">
        <f>VLOOKUP(A31,'Données projet'!$A$269:$I$289,2,0)</f>
        <v>#N/A</v>
      </c>
      <c r="GS31" s="131" t="str">
        <f>VLOOKUP(A31,'Données projet'!$A$269:$I$289,9,0)</f>
        <v>#N/A</v>
      </c>
      <c r="GT31" s="130">
        <f t="array" ref="GT31">INDEX(GS:GS,MIN(IF(ISNUMBER(GS31:GS227),ROW(GS31:GS227),"")))</f>
        <v>4.8</v>
      </c>
      <c r="GU31" s="138">
        <f>IF('Données projet'!$A$270&gt;35,GU30+GT31-HC30,IF(A31&lt;'Données projet'!$A$270,$GR$205^A31,IF(A31='Données projet'!$A$270,'Données projet'!$B$270,GU30+GT31-HC30)))</f>
        <v>44.4</v>
      </c>
      <c r="GV31" s="138">
        <f>GU31*VLOOKUP('Données projet'!$B$18,'Paramètres'!$A$1:$I$89,3,0)*VLOOKUP('Données projet'!$B$18,'Paramètres'!$A$1:$I$89,5,0)</f>
        <v>47.79216</v>
      </c>
      <c r="GW31" s="130">
        <f t="shared" si="52"/>
        <v>14.04208537</v>
      </c>
      <c r="GX31" s="141">
        <f t="shared" si="29"/>
        <v>107.694644</v>
      </c>
      <c r="GY31" s="133">
        <f t="shared" si="30"/>
        <v>401.0279773</v>
      </c>
      <c r="GZ31" s="133">
        <f>AVERAGE(OFFSET($GY$3,0,0,'Données projet'!$E$18+1,1))-AVERAGE(OFFSET($H$3,0,0,'Données projet'!$E$18+1,1))</f>
        <v>100.5427875</v>
      </c>
      <c r="HA31" s="133">
        <f t="shared" si="53"/>
        <v>92.28663609</v>
      </c>
      <c r="HB31" s="134">
        <f>IF(ISNA(VLOOKUP(A31,'Données projet'!$A$269:$I$289,3,0)),0,VLOOKUP(A31,'Données projet'!$A$269:$I$289,3,0))</f>
        <v>0</v>
      </c>
      <c r="HC31" s="134">
        <f>IF(ISNA(VLOOKUP(A31,'Données projet'!$A$269:$I$289,4,0)),0,VLOOKUP(A31,'Données projet'!$A$269:$I$289,4,0))</f>
        <v>0</v>
      </c>
      <c r="HD31" s="135">
        <f>IF(ISNA(VLOOKUP(A31,'Données projet'!$A$269:$I$289,5,0)),0%,VLOOKUP(A31,'Données projet'!$A$269:$I$289,5,0)*VLOOKUP('Données projet'!$B$18,'Paramètres'!$A$1:$I$89,7,0))</f>
        <v>0</v>
      </c>
      <c r="HE31" s="135">
        <f>IF(ISNA(VLOOKUP(A31,'Données projet'!$A$269:$I$289,6,0)),0%,VLOOKUP(A31,'Données projet'!$A$269:$I$289,6,0)*VLOOKUP('Données projet'!$B$18,'Paramètres'!$A$1:$I$89,7,0))</f>
        <v>0</v>
      </c>
      <c r="HF31" s="135">
        <f>IF(ISNA(VLOOKUP(A31,'Données projet'!$A$269:$I$289,7,0)),0%,VLOOKUP(A31,'Données projet'!$A$269:$I$289,7,0))</f>
        <v>0</v>
      </c>
      <c r="HG31" s="142">
        <f>EXP(-LN(2)/35)*HG30+(1-EXP(-LN(2)/35))/(LN(2)/35)*HC31*HD31*VLOOKUP('Données projet'!$B$18,'Paramètres'!$A$1:$I$89,3,0)*0.475*44/12</f>
        <v>0</v>
      </c>
      <c r="HH31" s="142">
        <f>EXP(-LN(2)/25)*HH30+(1-EXP(-LN(2)/25))/(LN(2)/25)*Calculateur!HC31*Calculateur!HE31*VLOOKUP('Données projet'!$B$18,'Paramètres'!$A$1:$I$89,3,0)*0.475*44/12</f>
        <v>0</v>
      </c>
      <c r="HI31" s="142">
        <f>EXP(-LN(2)/2)*HI30+(1-EXP(-LN(2)/2))/(LN(2)/2)*HC31*HF31*VLOOKUP('Données projet'!$B$18,'Paramètres'!$A$1:$I$89,3,0)*0.475*44/12</f>
        <v>0</v>
      </c>
      <c r="HJ31" s="143">
        <f t="shared" si="31"/>
        <v>0</v>
      </c>
    </row>
    <row r="32" ht="15.75" customHeight="1">
      <c r="A32" s="125">
        <f t="shared" si="32"/>
        <v>29</v>
      </c>
      <c r="B32" s="126">
        <f>'Scénario référence'!$B$16*5+'Scénario référence'!$B$17*0+'Scénario référence'!$B$18*5</f>
        <v>0</v>
      </c>
      <c r="C32" s="140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15.834</v>
      </c>
      <c r="D32" s="127">
        <f t="shared" si="33"/>
        <v>5.290666116</v>
      </c>
      <c r="E3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7">
        <f>IF(OR('Scénario référence'!$F$8&gt;0,'Scénario référence'!$F$9&gt;0),('Scénario référence'!$F$8+'Scénario référence'!$F$9)*10,0)</f>
        <v>10</v>
      </c>
      <c r="G32" s="127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163.0675981</v>
      </c>
      <c r="H32" s="128">
        <f t="shared" si="1"/>
        <v>330.1254602</v>
      </c>
      <c r="I32" s="12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1" t="str">
        <f>VLOOKUP(A32,'Données projet'!$A$35:$I$55,2,0)</f>
        <v>#N/A</v>
      </c>
      <c r="L32" s="131" t="str">
        <f>VLOOKUP(A32,'Données projet'!$A$35:$I$55,9,0)</f>
        <v>#N/A</v>
      </c>
      <c r="M32" s="130">
        <f t="array" ref="M32">INDEX(L:L,MIN(IF(ISNUMBER(L32:L228),ROW(L32:L228),"")))</f>
        <v>10.8</v>
      </c>
      <c r="N32" s="130">
        <f>IF('Données projet'!$A$36&gt;35,N31+M32-V31,IF(A32&lt;'Données projet'!$A$36,$K$205^A32,IF(A32='Données projet'!$A$36,'Données projet'!$B$36,N31+M32-V31)))</f>
        <v>129.2</v>
      </c>
      <c r="O32" s="130">
        <f>N32*VLOOKUP('Données projet'!$B$9,'Paramètres'!$A$1:$I$89,3,0)*VLOOKUP('Données projet'!$B$9,'Paramètres'!$A$1:$I$89,5,0)</f>
        <v>73.9024</v>
      </c>
      <c r="P32" s="130">
        <f t="shared" si="34"/>
        <v>20.63948008</v>
      </c>
      <c r="Q32" s="141">
        <f t="shared" si="2"/>
        <v>164.6604411</v>
      </c>
      <c r="R32" s="133">
        <f t="shared" si="3"/>
        <v>457.9937745</v>
      </c>
      <c r="S32" s="133">
        <f>AVERAGE(OFFSET($R$3,0,0,'Données projet'!$E$9+1,1))-AVERAGE(OFFSET($H$3,0,0,'Données projet'!$E$9+1,1))</f>
        <v>126.9946492</v>
      </c>
      <c r="T32" s="133">
        <f t="shared" si="35"/>
        <v>140.039049</v>
      </c>
      <c r="U32" s="134">
        <f>IF(ISNA(VLOOKUP(A32,'Données projet'!$A$35:$I$55,3,0)),0,VLOOKUP(A32,'Données projet'!$A$35:$I$55,3,0))</f>
        <v>0</v>
      </c>
      <c r="V32" s="134">
        <f>IF(ISNA(VLOOKUP(A32,'Données projet'!$A$35:$I$55,4,0)),0,VLOOKUP(A32,'Données projet'!$A$35:$I$55,4,0))</f>
        <v>0</v>
      </c>
      <c r="W32" s="135">
        <f>IF(ISNA(VLOOKUP(A32,'Données projet'!$A$35:$I$55,5,0)),0%,VLOOKUP(A32,'Données projet'!$A$35:$I$55,5,0)*VLOOKUP('Données projet'!$B$9,'Paramètres'!$A$1:$I$89,7,0))</f>
        <v>0</v>
      </c>
      <c r="X32" s="135">
        <f>IF(ISNA(VLOOKUP(A32,'Données projet'!$A$35:$I$55,6,0)),0%,VLOOKUP(A32,'Données projet'!$A$35:$I$55,6,0)*VLOOKUP('Données projet'!$B$9,'Paramètres'!$A$1:$I$89,7,0))</f>
        <v>0</v>
      </c>
      <c r="Y32" s="135">
        <f>IF(ISNA(VLOOKUP(A32,'Données projet'!$A$35:$I$55,7,0)),0%,VLOOKUP(A32,'Données projet'!$A$35:$I$55,7,0))</f>
        <v>0</v>
      </c>
      <c r="Z32" s="142">
        <f>EXP(-LN(2)/35)*Z31+(1-EXP(-LN(2)/35))/(LN(2)/35)*V32*W32*VLOOKUP('Données projet'!$B$9,'Paramètres'!$A$1:$I$89,3,0)*0.475*44/12</f>
        <v>0</v>
      </c>
      <c r="AA32" s="142">
        <f>EXP(-LN(2)/25)*AA31+(1-EXP(-LN(2)/25))/(LN(2)/25)*Calculateur!V32*Calculateur!X32*VLOOKUP('Données projet'!$B$9,'Paramètres'!$A$1:$I$89,3,0)*0.475*44/12</f>
        <v>2.045634383</v>
      </c>
      <c r="AB32" s="142">
        <f>EXP(-LN(2)/2)*AB31+(1-EXP(-LN(2)/2))/(LN(2)/2)*V32*Y32*VLOOKUP('Données projet'!$B$9,'Paramètres'!$A$1:$I$89,3,0)*0.475*44/12</f>
        <v>0.8548806739</v>
      </c>
      <c r="AC32" s="143">
        <f t="shared" si="4"/>
        <v>2.900515057</v>
      </c>
      <c r="AD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0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1" t="str">
        <f>VLOOKUP(A32,'Données projet'!$A$61:$I$81,2,0)</f>
        <v>#N/A</v>
      </c>
      <c r="AG32" s="131" t="str">
        <f>VLOOKUP(A32,'Données projet'!$A$61:$I$81,9,0)</f>
        <v>#N/A</v>
      </c>
      <c r="AH32" s="131">
        <f t="array" ref="AH32">INDEX(AG:AG,MIN(IF(ISNUMBER(AG32:AG228),ROW(AG32:AG228),"")))</f>
        <v>13.4</v>
      </c>
      <c r="AI32" s="130">
        <f>IF('Données projet'!$A$62&gt;35,AI31+AH32-AQ31,IF(A32&lt;'Données projet'!$A$62,$AF$205^A32,IF(A32='Données projet'!$A$62,'Données projet'!$B$62,AI31+AH32-AQ31)))</f>
        <v>180.6</v>
      </c>
      <c r="AJ32" s="130">
        <f>AI32*VLOOKUP('Données projet'!$B$10,'Paramètres'!$A$1:$I$89,3,0)*VLOOKUP('Données projet'!$B$10,'Paramètres'!$A$1:$I$89,5,0)</f>
        <v>107.9988</v>
      </c>
      <c r="AK32" s="130">
        <f t="shared" si="36"/>
        <v>28.8589836</v>
      </c>
      <c r="AL32" s="141">
        <f t="shared" si="5"/>
        <v>238.3606398</v>
      </c>
      <c r="AM32" s="133">
        <f t="shared" si="6"/>
        <v>531.6939731</v>
      </c>
      <c r="AN32" s="133">
        <f>AVERAGE(OFFSET($AM$3,0,0,'Données projet'!$E$10+1,1))-AVERAGE(OFFSET($H$3,0,0,'Données projet'!$E$10+1,1))</f>
        <v>196.874484</v>
      </c>
      <c r="AO32" s="133">
        <f t="shared" si="37"/>
        <v>217.5750859</v>
      </c>
      <c r="AP32" s="134">
        <f>IF(ISNA(VLOOKUP(A32,'Données projet'!$A$61:$I$81,3,0)),0,VLOOKUP(A32,'Données projet'!$A$61:$I$81,3,0))</f>
        <v>0</v>
      </c>
      <c r="AQ32" s="134">
        <f>IF(ISNA(VLOOKUP(A32,'Données projet'!$A$61:$I$81,4,0)),0,VLOOKUP(A32,'Données projet'!$A$61:$I$81,4,0))</f>
        <v>0</v>
      </c>
      <c r="AR32" s="135">
        <f>IF(ISNA(VLOOKUP(A32,'Données projet'!$A$61:$I$81,5,0)),0%,VLOOKUP(A32,'Données projet'!$A$61:$I$81,5,0)*VLOOKUP('Données projet'!$B$10,'Paramètres'!$A$1:$I$89,7,0))</f>
        <v>0</v>
      </c>
      <c r="AS32" s="135">
        <f>IF(ISNA(VLOOKUP(A32,'Données projet'!$A$61:$I$81,6,0)),0%,VLOOKUP(A32,'Données projet'!$A$61:$I$81,6,0)*VLOOKUP('Données projet'!$B$10,'Paramètres'!$A$1:$I$89,7,0))</f>
        <v>0</v>
      </c>
      <c r="AT32" s="135">
        <f>IF(ISNA(VLOOKUP(A32,'Données projet'!$A$61:$I$81,7,0)),0%,VLOOKUP(A32,'Données projet'!$A$61:$I$81,7,0))</f>
        <v>0</v>
      </c>
      <c r="AU32" s="142">
        <f>EXP(-LN(2)/35)*AU31+(1-EXP(-LN(2)/35))/(LN(2)/35)*AQ32*AR32*VLOOKUP('Données projet'!$B$10,'Paramètres'!$A$1:$I$89,3,0)*0.475*44/12</f>
        <v>0</v>
      </c>
      <c r="AV32" s="142">
        <f>EXP(-LN(2)/25)*AV31+(1-EXP(-LN(2)/25))/(LN(2)/25)*Calculateur!AQ32*Calculateur!AS32*VLOOKUP('Données projet'!$B$10,'Paramètres'!$A$1:$I$89,3,0)*0.475*44/12</f>
        <v>5.653614706</v>
      </c>
      <c r="AW32" s="142">
        <f>EXP(-LN(2)/2)*AW31+(1-EXP(-LN(2)/2))/(LN(2)/2)*AQ32*AT32*VLOOKUP('Données projet'!$B$10,'Paramètres'!$A$1:$I$89,3,0)*0.475*44/12</f>
        <v>1.68744264</v>
      </c>
      <c r="AX32" s="142">
        <f t="shared" si="7"/>
        <v>7.341057346</v>
      </c>
      <c r="AY32" s="13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1" t="str">
        <f>VLOOKUP(A32,'Données projet'!$A$87:$I$107,2,0)</f>
        <v>#N/A</v>
      </c>
      <c r="BB32" s="131" t="str">
        <f>VLOOKUP(A32,'Données projet'!$A$87:$I$107,9,0)</f>
        <v>#N/A</v>
      </c>
      <c r="BC32" s="130">
        <f t="array" ref="BC32">INDEX(BB:BB,MIN(IF(ISNUMBER(BB32:BB228),ROW(BB32:BB228),"")))</f>
        <v>4.666666667</v>
      </c>
      <c r="BD32" s="131">
        <f>IF('Données projet'!$A$88&gt;35,BD31+BC32-BL31,IF(A32&lt;'Données projet'!$A$88,$BA$205^A32,IF(A32='Données projet'!$A$88,'Données projet'!$B$88,BD31+BC32-BL31)))</f>
        <v>118.7381928</v>
      </c>
      <c r="BE32" s="130">
        <f>BD32*VLOOKUP('Données projet'!$B$11,'Paramètres'!$A$1:$I$89,3,0)*VLOOKUP('Données projet'!$B$11,'Paramètres'!$A$1:$I$89,5,0)</f>
        <v>55.56947421</v>
      </c>
      <c r="BF32" s="130">
        <f t="shared" si="38"/>
        <v>16.0431413</v>
      </c>
      <c r="BG32" s="141">
        <f t="shared" si="8"/>
        <v>124.7253053</v>
      </c>
      <c r="BH32" s="133">
        <f t="shared" si="9"/>
        <v>418.0586387</v>
      </c>
      <c r="BI32" s="133">
        <f>AVERAGE(OFFSET($BH$3,0,0,'Données projet'!$E$11+1,1))-AVERAGE(OFFSET($H$3,0,0,'Données projet'!$E$11+1,1))</f>
        <v>134.0948534</v>
      </c>
      <c r="BJ32" s="133">
        <f t="shared" si="39"/>
        <v>108.4102536</v>
      </c>
      <c r="BK32" s="134">
        <f>IF(ISNA(VLOOKUP(A32,'Données projet'!$A$87:$I$107,3,0)),0,VLOOKUP(A32,'Données projet'!$A$87:$I$107,3,0))</f>
        <v>0</v>
      </c>
      <c r="BL32" s="134">
        <f>IF(ISNA(VLOOKUP(A32,'Données projet'!$A$87:$I$107,4,0)),0,VLOOKUP(A32,'Données projet'!$A$87:$I$107,4,0))</f>
        <v>0</v>
      </c>
      <c r="BM32" s="135">
        <f>IF(ISNA(VLOOKUP(A32,'Données projet'!$A$87:$I$107,5,0)),0%,VLOOKUP(A32,'Données projet'!$A$87:$I$107,5,0)*VLOOKUP('Données projet'!$B$11,'Paramètres'!$A$1:$I$89,7,0))</f>
        <v>0</v>
      </c>
      <c r="BN32" s="135">
        <f>IF(ISNA(VLOOKUP(A32,'Données projet'!$A$87:$I$107,6,0)),0%,VLOOKUP(A32,'Données projet'!$A$87:$I$107,6,0)*VLOOKUP('Données projet'!$B$11,'Paramètres'!$A$1:$I$89,7,0))</f>
        <v>0</v>
      </c>
      <c r="BO32" s="135">
        <f>IF(ISNA(VLOOKUP(A32,'Données projet'!$A$87:$I$107,7,0)),0%,VLOOKUP(A32,'Données projet'!$A$87:$I$107,7,0))</f>
        <v>0</v>
      </c>
      <c r="BP32" s="142">
        <f>EXP(-LN(2)/35)*BP31+(1-EXP(-LN(2)/35))/(LN(2)/35)*BL32*BM32*VLOOKUP('Données projet'!$B$11,'Paramètres'!$A$1:$I$89,3,0)*0.475*44/12</f>
        <v>0</v>
      </c>
      <c r="BQ32" s="142">
        <f>EXP(-LN(2)/25)*BQ31+(1-EXP(-LN(2)/25))/(LN(2)/25)*Calculateur!BL32*Calculateur!BN32*VLOOKUP('Données projet'!$B$11,'Paramètres'!$A$1:$I$89,3,0)*0.475*44/12</f>
        <v>0</v>
      </c>
      <c r="BR32" s="142">
        <f>EXP(-LN(2)/2)*BR31+(1-EXP(-LN(2)/2))/(LN(2)/2)*BL32*BO32*VLOOKUP('Données projet'!$B$11,'Paramètres'!$A$1:$I$89,3,0)*0.475*44/12</f>
        <v>0</v>
      </c>
      <c r="BS32" s="143">
        <f t="shared" si="10"/>
        <v>0</v>
      </c>
      <c r="BT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1" t="str">
        <f>VLOOKUP(A32,'Données projet'!$A$113:$I$133,2,0)</f>
        <v>#N/A</v>
      </c>
      <c r="BW32" s="131" t="str">
        <f>VLOOKUP(A32,'Données projet'!$A$113:$I$133,9,0)</f>
        <v>#N/A</v>
      </c>
      <c r="BX32" s="130">
        <f t="array" ref="BX32">INDEX(BW:BW,MIN(IF(ISNUMBER(BW32:BW228),ROW(BW32:BW228),"")))</f>
        <v>25.4</v>
      </c>
      <c r="BY32" s="130">
        <f>IF('Données projet'!$A$114&gt;35,BY31+BX32-CG31,IF(A32&lt;'Données projet'!$A$114,$BV$205^A32,IF(A32='Données projet'!$A$114,'Données projet'!$B$114,BY31+BX32-CG31)))</f>
        <v>283.6</v>
      </c>
      <c r="BZ32" s="130">
        <f>BY32*VLOOKUP('Données projet'!$B$12,'Paramètres'!$A$1:$I$89,3,0)*VLOOKUP('Données projet'!$B$12,'Paramètres'!$A$1:$I$89,5,0)</f>
        <v>140.0984</v>
      </c>
      <c r="CA32" s="130">
        <f t="shared" si="40"/>
        <v>36.31954663</v>
      </c>
      <c r="CB32" s="141">
        <f t="shared" si="11"/>
        <v>307.261257</v>
      </c>
      <c r="CC32" s="133">
        <f t="shared" si="12"/>
        <v>600.5945904</v>
      </c>
      <c r="CD32" s="133">
        <f>AVERAGE(OFFSET($CC$3,0,0,'Données projet'!$E$12+1,1))-AVERAGE(OFFSET($H$3,0,0,'Données projet'!$E$12+1,1))</f>
        <v>258.1672054</v>
      </c>
      <c r="CE32" s="133">
        <f t="shared" si="41"/>
        <v>296.0724261</v>
      </c>
      <c r="CF32" s="134">
        <f>IF(ISNA(VLOOKUP(A32,'Données projet'!$A$113:$I$133,3,0)),0,VLOOKUP(A32,'Données projet'!$A$113:$I$133,3,0))</f>
        <v>0</v>
      </c>
      <c r="CG32" s="134">
        <f>IF(ISNA(VLOOKUP(A32,'Données projet'!$A$113:$I$133,4,0)),0,VLOOKUP(A32,'Données projet'!$A$113:$I$133,4,0))</f>
        <v>0</v>
      </c>
      <c r="CH32" s="135">
        <f>IF(ISNA(VLOOKUP(A32,'Données projet'!$A$113:$I$133,5,0)),0%,VLOOKUP(A32,'Données projet'!$A$113:$I$133,5,0)*VLOOKUP('Données projet'!$B$12,'Paramètres'!$A$1:$I$89,7,0))</f>
        <v>0</v>
      </c>
      <c r="CI32" s="135">
        <f>IF(ISNA(VLOOKUP(A32,'Données projet'!$A$113:$I$133,6,0)),0%,VLOOKUP(A32,'Données projet'!$A$113:$I$133,6,0)*VLOOKUP('Données projet'!$B$12,'Paramètres'!$A$1:$I$89,7,0))</f>
        <v>0</v>
      </c>
      <c r="CJ32" s="135">
        <f>IF(ISNA(VLOOKUP(A32,'Données projet'!$A$113:$I$133,7,0)),0%,VLOOKUP(A32,'Données projet'!$A$113:$I$133,7,0))</f>
        <v>0</v>
      </c>
      <c r="CK32" s="142">
        <f>EXP(-LN(2)/35)*CK31+(1-EXP(-LN(2)/35))/(LN(2)/35)*CG32*CH32*VLOOKUP('Données projet'!$B$12,'Paramètres'!$A$1:$I$89,3,0)*0.475*44/12</f>
        <v>4.195513394</v>
      </c>
      <c r="CL32" s="142">
        <f>EXP(-LN(2)/25)*CL31+(1-EXP(-LN(2)/25))/(LN(2)/25)*Calculateur!CG32*Calculateur!CI32*VLOOKUP('Données projet'!$B$12,'Paramètres'!$A$1:$I$89,3,0)*0.475*44/12</f>
        <v>9.538919862</v>
      </c>
      <c r="CM32" s="142">
        <f>EXP(-LN(2)/2)*CM31+(1-EXP(-LN(2)/2))/(LN(2)/2)*CG32*CJ32*VLOOKUP('Données projet'!$B$12,'Paramètres'!$A$1:$I$89,3,0)*0.475*44/12</f>
        <v>3.115895512</v>
      </c>
      <c r="CN32" s="143">
        <f t="shared" si="13"/>
        <v>16.85032877</v>
      </c>
      <c r="CO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1" t="str">
        <f>VLOOKUP(A32,'Données projet'!$A$139:$I$159,2,0)</f>
        <v>#N/A</v>
      </c>
      <c r="CR32" s="131" t="str">
        <f>VLOOKUP(A32,'Données projet'!$A$139:$I$159,9,0)</f>
        <v>#N/A</v>
      </c>
      <c r="CS32" s="130">
        <f t="array" ref="CS32">INDEX(CR:CR,MIN(IF(ISNUMBER(CR32:CR228),ROW(CR32:CR228),"")))</f>
        <v>4.8</v>
      </c>
      <c r="CT32" s="138">
        <f>IF('Données projet'!$A$140&gt;35,CT31+CS32-DB31,IF(A32&lt;'Données projet'!$A$140,$CQ$205^A32,IF(A32='Données projet'!$A$140,'Données projet'!$B$140,CT31+CS32-DB31)))</f>
        <v>49.2</v>
      </c>
      <c r="CU32" s="138">
        <f>CT32*VLOOKUP('Données projet'!$B$13,'Paramètres'!$A$1:$I$89,3,0)*VLOOKUP('Données projet'!$B$13,'Paramètres'!$A$1:$I$89,5,0)</f>
        <v>49.8888</v>
      </c>
      <c r="CV32" s="130">
        <f t="shared" si="42"/>
        <v>14.58503806</v>
      </c>
      <c r="CW32" s="141">
        <f t="shared" si="14"/>
        <v>112.2919346</v>
      </c>
      <c r="CX32" s="133">
        <f t="shared" si="15"/>
        <v>405.625268</v>
      </c>
      <c r="CY32" s="133">
        <f>AVERAGE(OFFSET($CX$3,0,0,'Données projet'!$E$13+1,1))-AVERAGE(OFFSET($H$3,0,0,'Données projet'!$E$13+1,1))</f>
        <v>223.783507</v>
      </c>
      <c r="CZ32" s="133">
        <f t="shared" si="43"/>
        <v>84.92349117</v>
      </c>
      <c r="DA32" s="134">
        <f>IF(ISNA(VLOOKUP(A32,'Données projet'!$A$139:$I$159,3,0)),0,VLOOKUP(A32,'Données projet'!$A$139:$I$159,3,0))</f>
        <v>0</v>
      </c>
      <c r="DB32" s="134">
        <f>IF(ISNA(VLOOKUP(A32,'Données projet'!$A$139:$I$159,4,0)),0,VLOOKUP(A32,'Données projet'!$A$139:$I$159,4,0))</f>
        <v>0</v>
      </c>
      <c r="DC32" s="135">
        <f>IF(ISNA(VLOOKUP(A32,'Données projet'!$A$139:$I$159,5,0)),0%,VLOOKUP(A32,'Données projet'!$A$139:$I$159,5,0)*VLOOKUP('Données projet'!$B$13,'Paramètres'!$A$1:$I$89,7,0))</f>
        <v>0</v>
      </c>
      <c r="DD32" s="135">
        <f>IF(ISNA(VLOOKUP(A32,'Données projet'!$A$139:$I$159,6,0)),0%,VLOOKUP(A32,'Données projet'!$A$139:$I$159,6,0)*VLOOKUP('Données projet'!$B$13,'Paramètres'!$A$1:$I$89,7,0))</f>
        <v>0</v>
      </c>
      <c r="DE32" s="135">
        <f>IF(ISNA(VLOOKUP(A32,'Données projet'!$A$139:$I$159,7,0)),0%,VLOOKUP(A32,'Données projet'!$A$139:$I$159,7,0))</f>
        <v>0</v>
      </c>
      <c r="DF32" s="142">
        <f>EXP(-LN(2)/35)*DF31+(1-EXP(-LN(2)/35))/(LN(2)/35)*DB32*DC32*VLOOKUP('Données projet'!$B$13,'Paramètres'!$A$1:$I$89,3,0)*0.475*44/12</f>
        <v>0</v>
      </c>
      <c r="DG32" s="142">
        <f>EXP(-LN(2)/25)*DG31+(1-EXP(-LN(2)/25))/(LN(2)/25)*Calculateur!DB32*Calculateur!DD32*VLOOKUP('Données projet'!$B$13,'Paramètres'!$A$1:$I$89,3,0)*0.475*44/12</f>
        <v>0</v>
      </c>
      <c r="DH32" s="142">
        <f>EXP(-LN(2)/2)*DH31+(1-EXP(-LN(2)/2))/(LN(2)/2)*DB32*DE32*VLOOKUP('Données projet'!$B$13,'Paramètres'!$A$1:$I$89,3,0)*0.475*44/12</f>
        <v>0</v>
      </c>
      <c r="DI32" s="143">
        <f t="shared" si="16"/>
        <v>0</v>
      </c>
      <c r="DJ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1" t="str">
        <f>VLOOKUP(A32,'Données projet'!$A$165:$I$185,2,0)</f>
        <v>#N/A</v>
      </c>
      <c r="DM32" s="131" t="str">
        <f>VLOOKUP(A32,'Données projet'!$A$165:$I$185,9,0)</f>
        <v>#N/A</v>
      </c>
      <c r="DN32" s="131">
        <f t="array" ref="DN32">INDEX(DM:DM,MIN(IF(ISNUMBER(DM32:DM228),ROW(DM32:DM228),"")))</f>
        <v>7</v>
      </c>
      <c r="DO32" s="138">
        <f>IF('Données projet'!$A$166&gt;35,DO31+DN32-DW31,IF(A32&lt;'Données projet'!$A$166,$DL$205^A32,IF(A32='Données projet'!$A$166,'Données projet'!$B$166,DO31+DN32-DW31)))</f>
        <v>90</v>
      </c>
      <c r="DP32" s="138">
        <f>DO32*VLOOKUP('Données projet'!$B$14,'Paramètres'!$A$1:$I$89,3,0)*VLOOKUP('Données projet'!$B$14,'Paramètres'!$A$1:$I$89,5,0)</f>
        <v>81.432</v>
      </c>
      <c r="DQ32" s="130">
        <f t="shared" si="44"/>
        <v>22.48695322</v>
      </c>
      <c r="DR32" s="141">
        <f t="shared" si="17"/>
        <v>180.9921769</v>
      </c>
      <c r="DS32" s="133">
        <f t="shared" si="18"/>
        <v>474.3255102</v>
      </c>
      <c r="DT32" s="133">
        <f>AVERAGE(OFFSET($DS$3,0,0,'Données projet'!$E$14+1,1))-AVERAGE(OFFSET($H$3,0,0,'Données projet'!$E$14+1,1))</f>
        <v>287.9334714</v>
      </c>
      <c r="DU32" s="133">
        <f t="shared" si="45"/>
        <v>156.6796502</v>
      </c>
      <c r="DV32" s="134">
        <f>IF(ISNA(VLOOKUP(A32,'Données projet'!$A$165:$I$185,3,0)),0,VLOOKUP(A32,'Données projet'!$A$165:$I$185,3,0))</f>
        <v>0</v>
      </c>
      <c r="DW32" s="134">
        <f>IF(ISNA(VLOOKUP(A32,'Données projet'!$A$165:$I$185,4,0)),0,VLOOKUP(A32,'Données projet'!$A$165:$I$185,4,0))</f>
        <v>0</v>
      </c>
      <c r="DX32" s="135">
        <f>IF(ISNA(VLOOKUP(A32,'Données projet'!$A$165:$I$185,5,0)),0%,VLOOKUP(A32,'Données projet'!$A$165:$I$185,5,0)*VLOOKUP('Données projet'!$B$14,'Paramètres'!$A$1:$I$89,7,0))</f>
        <v>0</v>
      </c>
      <c r="DY32" s="135">
        <f>IF(ISNA(VLOOKUP(A32,'Données projet'!$A$165:$I$185,6,0)),0%,VLOOKUP(A32,'Données projet'!$A$165:$I$185,6,0)*VLOOKUP('Données projet'!$B$14,'Paramètres'!$A$1:$I$89,7,0))</f>
        <v>0</v>
      </c>
      <c r="DZ32" s="135">
        <f>IF(ISNA(VLOOKUP(A32,'Données projet'!$A$165:$I$185,7,0)),0%,VLOOKUP(A32,'Données projet'!$A$165:$I$185,7,0))</f>
        <v>0</v>
      </c>
      <c r="EA32" s="142">
        <f>EXP(-LN(2)/35)*EA31+(1-EXP(-LN(2)/35))/(LN(2)/35)*DW32*DX32*VLOOKUP('Données projet'!$B$14,'Paramètres'!$A$1:$I$89,3,0)*0.475*44/12</f>
        <v>0</v>
      </c>
      <c r="EB32" s="142">
        <f>EXP(-LN(2)/25)*EB31+(1-EXP(-LN(2)/25))/(LN(2)/25)*Calculateur!DW32*Calculateur!DY32*VLOOKUP('Données projet'!$B$14,'Paramètres'!$A$1:$I$89,3,0)*0.475*44/12</f>
        <v>0</v>
      </c>
      <c r="EC32" s="142">
        <f>EXP(-LN(2)/2)*EC31+(1-EXP(-LN(2)/2))/(LN(2)/2)*DW32*DZ32*VLOOKUP('Données projet'!$B$14,'Paramètres'!$A$1:$I$89,3,0)*0.475*44/12</f>
        <v>0</v>
      </c>
      <c r="ED32" s="143">
        <f t="shared" si="19"/>
        <v>0</v>
      </c>
      <c r="EE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1" t="str">
        <f>VLOOKUP(A32,'Données projet'!$A$191:$I$211,2,0)</f>
        <v>#N/A</v>
      </c>
      <c r="EH32" s="131" t="str">
        <f>VLOOKUP(A32,'Données projet'!$A$191:$I$211,9,0)</f>
        <v>#N/A</v>
      </c>
      <c r="EI32" s="131">
        <f t="array" ref="EI32">INDEX(EH:EH,MIN(IF(ISNUMBER(EH32:EH228),ROW(EH32:EH228),"")))</f>
        <v>6.6</v>
      </c>
      <c r="EJ32" s="138">
        <f>IF('Données projet'!$A$192&gt;35,EJ31+EI32-ER31,IF(A32&lt;'Données projet'!$A$192,$EG$205^A32,IF(A32='Données projet'!$A$192,'Données projet'!$B$192,EJ31+EI32-ER31)))</f>
        <v>66.4</v>
      </c>
      <c r="EK32" s="138">
        <f>EJ32*VLOOKUP('Données projet'!$B$15,'Paramètres'!$A$1:$I$89,3,0)*VLOOKUP('Données projet'!$B$15,'Paramètres'!$A$1:$I$89,5,0)</f>
        <v>48.68448</v>
      </c>
      <c r="EL32" s="130">
        <f t="shared" si="46"/>
        <v>14.27349549</v>
      </c>
      <c r="EM32" s="141">
        <f t="shared" si="20"/>
        <v>109.6518073</v>
      </c>
      <c r="EN32" s="133">
        <f t="shared" si="21"/>
        <v>402.9851406</v>
      </c>
      <c r="EO32" s="133">
        <f>AVERAGE(OFFSET($EN$3,0,0,'Données projet'!$E$15+1,1))-AVERAGE(OFFSET($H$3,0,0,'Données projet'!$E$15+1,1))</f>
        <v>130.3193339</v>
      </c>
      <c r="EP32" s="133">
        <f t="shared" si="47"/>
        <v>82.22784365</v>
      </c>
      <c r="EQ32" s="134">
        <f>IF(ISNA(VLOOKUP(A32,'Données projet'!$A$191:$I$211,3,0)),0,VLOOKUP(A32,'Données projet'!$A$191:$I$211,3,0))</f>
        <v>0</v>
      </c>
      <c r="ER32" s="134">
        <f>IF(ISNA(VLOOKUP(A32,'Données projet'!$A$191:$I$211,4,0)),0,VLOOKUP(A32,'Données projet'!$A$191:$I$211,4,0))</f>
        <v>0</v>
      </c>
      <c r="ES32" s="135">
        <f>IF(ISNA(VLOOKUP(A32,'Données projet'!$A$191:$I$211,5,0)),0%,VLOOKUP(A32,'Données projet'!$A$191:$I$211,5,0)*VLOOKUP('Données projet'!$B$15,'Paramètres'!$A$1:$I$89,7,0))</f>
        <v>0</v>
      </c>
      <c r="ET32" s="135">
        <f>IF(ISNA(VLOOKUP(A32,'Données projet'!$A$191:$I$211,6,0)),0%,VLOOKUP(A32,'Données projet'!$A$191:$I$211,6,0)*VLOOKUP('Données projet'!$B$15,'Paramètres'!$A$1:$I$89,7,0))</f>
        <v>0</v>
      </c>
      <c r="EU32" s="135">
        <f>IF(ISNA(VLOOKUP(A32,'Données projet'!$A$191:$I$211,7,0)),0%,VLOOKUP(A32,'Données projet'!$A$191:$I$211,7,0))</f>
        <v>0</v>
      </c>
      <c r="EV32" s="142">
        <f>EXP(-LN(2)/35)*EV31+(1-EXP(-LN(2)/35))/(LN(2)/35)*ER32*ES32*VLOOKUP('Données projet'!$B$15,'Paramètres'!$A$1:$I$89,3,0)*0.475*44/12</f>
        <v>0</v>
      </c>
      <c r="EW32" s="142">
        <f>EXP(-LN(2)/25)*EW31+(1-EXP(-LN(2)/25))/(LN(2)/25)*Calculateur!ER32*Calculateur!ET32*VLOOKUP('Données projet'!$B$15,'Paramètres'!$A$1:$I$89,3,0)*0.475*44/12</f>
        <v>0</v>
      </c>
      <c r="EX32" s="142">
        <f>EXP(-LN(2)/2)*EX31+(1-EXP(-LN(2)/2))/(LN(2)/2)*ER32*EU32*VLOOKUP('Données projet'!$B$15,'Paramètres'!$A$1:$I$89,3,0)*0.475*44/12</f>
        <v>0</v>
      </c>
      <c r="EY32" s="143">
        <f t="shared" si="22"/>
        <v>0</v>
      </c>
      <c r="EZ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1" t="str">
        <f>VLOOKUP(A32,'Données projet'!$A$217:$I$237,2,0)</f>
        <v>#N/A</v>
      </c>
      <c r="FC32" s="131" t="str">
        <f>VLOOKUP(A32,'Données projet'!$A$217:$I$237,9,0)</f>
        <v>#N/A</v>
      </c>
      <c r="FD32" s="130">
        <f t="array" ref="FD32">INDEX(FC:FC,MIN(IF(ISNUMBER(FC32:FC228),ROW(FC32:FC228),"")))</f>
        <v>8.6</v>
      </c>
      <c r="FE32" s="130">
        <f>IF('Données projet'!$A$218&gt;35,FE31+FD32-FM31,IF(A32&lt;'Données projet'!$A$218,$FB$205^A32,IF(A32='Données projet'!$A$218,'Données projet'!$B$218,FE31+FD32-FM31)))</f>
        <v>178.4</v>
      </c>
      <c r="FF32" s="138">
        <f>FE32*VLOOKUP('Données projet'!$B$16,'Paramètres'!$A$1:$I$89,3,0)*VLOOKUP('Données projet'!$B$16,'Paramètres'!$A$1:$I$89,5,0)</f>
        <v>161.41632</v>
      </c>
      <c r="FG32" s="130">
        <f t="shared" si="48"/>
        <v>41.1618063</v>
      </c>
      <c r="FH32" s="141">
        <f t="shared" si="23"/>
        <v>352.82357</v>
      </c>
      <c r="FI32" s="133">
        <f t="shared" si="24"/>
        <v>646.1569033</v>
      </c>
      <c r="FJ32" s="133">
        <f>AVERAGE(OFFSET($FI$3,0,0,'Données projet'!$E$16+1,1))-AVERAGE(OFFSET($H$3,0,0,'Données projet'!$E$16+1,1))</f>
        <v>305.6252353</v>
      </c>
      <c r="FK32" s="133">
        <f t="shared" si="49"/>
        <v>331.397916</v>
      </c>
      <c r="FL32" s="134">
        <f>IF(ISNA(VLOOKUP(A32,'Données projet'!$A$217:$I$237,3,0)),0,VLOOKUP(A32,'Données projet'!$A$217:$I$237,3,0))</f>
        <v>0</v>
      </c>
      <c r="FM32" s="134">
        <f>IF(ISNA(VLOOKUP(A32,'Données projet'!$A$217:$I$237,4,0)),0,VLOOKUP(A32,'Données projet'!$A$217:$I$237,4,0))</f>
        <v>0</v>
      </c>
      <c r="FN32" s="135">
        <f>IF(ISNA(VLOOKUP(A32,'Données projet'!$A$217:$I$237,5,0)),0%,VLOOKUP(A32,'Données projet'!$A$217:$I$237,5,0)*VLOOKUP('Données projet'!$B$16,'Paramètres'!$A$1:$I$89,7,0))</f>
        <v>0</v>
      </c>
      <c r="FO32" s="135">
        <f>IF(ISNA(VLOOKUP(A32,'Données projet'!$A$217:$I$237,6,0)),0%,VLOOKUP(A32,'Données projet'!$A$217:$I$237,6,0)*VLOOKUP('Données projet'!$B$16,'Paramètres'!$A$1:$I$89,7,0))</f>
        <v>0</v>
      </c>
      <c r="FP32" s="135">
        <f>IF(ISNA(VLOOKUP(A32,'Données projet'!$A$217:$I$237,7,0)),0%,VLOOKUP(A32,'Données projet'!$A$217:$I$237,7,0))</f>
        <v>0</v>
      </c>
      <c r="FQ32" s="142">
        <f>EXP(-LN(2)/35)*FQ31+(1-EXP(-LN(2)/35))/(LN(2)/35)*FM32*FN32*VLOOKUP('Données projet'!$B$16,'Paramètres'!$A$1:$I$89,3,0)*0.475*44/12</f>
        <v>0</v>
      </c>
      <c r="FR32" s="142">
        <f>EXP(-LN(2)/25)*FR31+(1-EXP(-LN(2)/25))/(LN(2)/25)*Calculateur!FM32*Calculateur!FO32*VLOOKUP('Données projet'!$B$16,'Paramètres'!$A$1:$I$89,3,0)*0.475*44/12</f>
        <v>0</v>
      </c>
      <c r="FS32" s="142">
        <f>EXP(-LN(2)/2)*FS31+(1-EXP(-LN(2)/2))/(LN(2)/2)*FM32*FP32*VLOOKUP('Données projet'!$B$16,'Paramètres'!$A$1:$I$89,3,0)*0.475*44/12</f>
        <v>0</v>
      </c>
      <c r="FT32" s="143">
        <f t="shared" si="25"/>
        <v>0</v>
      </c>
      <c r="FU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1" t="str">
        <f>VLOOKUP(A32,'Données projet'!$A$243:$I$263,2,0)</f>
        <v>#N/A</v>
      </c>
      <c r="FX32" s="131" t="str">
        <f>VLOOKUP(A32,'Données projet'!$A$243:$I$263,9,0)</f>
        <v>#N/A</v>
      </c>
      <c r="FY32" s="130">
        <f t="array" ref="FY32">INDEX(FX:FX,MIN(IF(ISNUMBER(FX32:FX228),ROW(FX32:FX228),"")))</f>
        <v>9.4</v>
      </c>
      <c r="FZ32" s="138">
        <f>IF('Données projet'!$A$244&gt;35,FZ31+FY32-GH31,IF(A32&lt;'Données projet'!$A$244,$FW$205^A32,IF(A32='Données projet'!$A$244,'Données projet'!$B$244,FZ31+FY32-GH31)))</f>
        <v>106.6</v>
      </c>
      <c r="GA32" s="138">
        <f>FZ32*VLOOKUP('Données projet'!$B$17,'Paramètres'!$A$1:$I$89,3,0)*VLOOKUP('Données projet'!$B$17,'Paramètres'!$A$1:$I$89,5,0)</f>
        <v>71.50728</v>
      </c>
      <c r="GB32" s="130">
        <f t="shared" si="50"/>
        <v>20.04730295</v>
      </c>
      <c r="GC32" s="141">
        <f t="shared" si="26"/>
        <v>159.4575653</v>
      </c>
      <c r="GD32" s="133">
        <f t="shared" si="27"/>
        <v>452.7908986</v>
      </c>
      <c r="GE32" s="133">
        <f>AVERAGE(OFFSET($GD$3,0,0,'Données projet'!$E$17+1,1))-AVERAGE(OFFSET($H$3,0,0,'Données projet'!$E$17+1,1))</f>
        <v>118.7368745</v>
      </c>
      <c r="GF32" s="133">
        <f t="shared" si="51"/>
        <v>135.1233677</v>
      </c>
      <c r="GG32" s="134">
        <f>IF(ISNA(VLOOKUP(A32,'Données projet'!$A$243:$I$263,3,0)),0,VLOOKUP(A32,'Données projet'!$A$243:$I$263,3,0))</f>
        <v>0</v>
      </c>
      <c r="GH32" s="134">
        <f>IF(ISNA(VLOOKUP(A32,'Données projet'!$A$243:$I$263,4,0)),0,VLOOKUP(A32,'Données projet'!$A$243:$I$263,4,0))</f>
        <v>0</v>
      </c>
      <c r="GI32" s="135">
        <f>IF(ISNA(VLOOKUP(A32,'Données projet'!$A$243:$I$263,5,0)),0%,VLOOKUP(A32,'Données projet'!$A$243:$I$263,5,0)*VLOOKUP('Données projet'!$B$17,'Paramètres'!$A$1:$I$89,7,0))</f>
        <v>0</v>
      </c>
      <c r="GJ32" s="135">
        <f>IF(ISNA(VLOOKUP(A32,'Données projet'!$A$243:$I$263,6,0)),0%,VLOOKUP(A32,'Données projet'!$A$243:$I$263,6,0)*VLOOKUP('Données projet'!$B$17,'Paramètres'!$A$1:$I$89,7,0))</f>
        <v>0</v>
      </c>
      <c r="GK32" s="135">
        <f>IF(ISNA(VLOOKUP(A32,'Données projet'!$A$243:$I$263,7,0)),0%,VLOOKUP(A32,'Données projet'!$A$243:$I$263,7,0))</f>
        <v>0</v>
      </c>
      <c r="GL32" s="142">
        <f>EXP(-LN(2)/35)*GL31+(1-EXP(-LN(2)/35))/(LN(2)/35)*GH32*GI32*VLOOKUP('Données projet'!$B$17,'Paramètres'!$A$1:$I$89,3,0)*0.475*44/12</f>
        <v>0</v>
      </c>
      <c r="GM32" s="142">
        <f>EXP(-LN(2)/25)*GM31+(1-EXP(-LN(2)/25))/(LN(2)/25)*Calculateur!GH32*Calculateur!GJ32*VLOOKUP('Données projet'!$B$17,'Paramètres'!$A$1:$I$89,3,0)*0.475*44/12</f>
        <v>0</v>
      </c>
      <c r="GN32" s="142">
        <f>EXP(-LN(2)/2)*GN31+(1-EXP(-LN(2)/2))/(LN(2)/2)*GH32*GK32*VLOOKUP('Données projet'!$B$17,'Paramètres'!$A$1:$I$89,3,0)*0.475*44/12</f>
        <v>0</v>
      </c>
      <c r="GO32" s="142">
        <f t="shared" si="28"/>
        <v>0</v>
      </c>
      <c r="GP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1" t="str">
        <f>VLOOKUP(A32,'Données projet'!$A$269:$I$289,2,0)</f>
        <v>#N/A</v>
      </c>
      <c r="GS32" s="131" t="str">
        <f>VLOOKUP(A32,'Données projet'!$A$269:$I$289,9,0)</f>
        <v>#N/A</v>
      </c>
      <c r="GT32" s="130">
        <f t="array" ref="GT32">INDEX(GS:GS,MIN(IF(ISNUMBER(GS32:GS228),ROW(GS32:GS228),"")))</f>
        <v>4.8</v>
      </c>
      <c r="GU32" s="138">
        <f>IF('Données projet'!$A$270&gt;35,GU31+GT32-HC31,IF(A32&lt;'Données projet'!$A$270,$GR$205^A32,IF(A32='Données projet'!$A$270,'Données projet'!$B$270,GU31+GT32-HC31)))</f>
        <v>49.2</v>
      </c>
      <c r="GV32" s="138">
        <f>GU32*VLOOKUP('Données projet'!$B$18,'Paramètres'!$A$1:$I$89,3,0)*VLOOKUP('Données projet'!$B$18,'Paramètres'!$A$1:$I$89,5,0)</f>
        <v>52.95888</v>
      </c>
      <c r="GW32" s="130">
        <f t="shared" si="52"/>
        <v>15.37532772</v>
      </c>
      <c r="GX32" s="141">
        <f t="shared" si="29"/>
        <v>119.0154118</v>
      </c>
      <c r="GY32" s="133">
        <f t="shared" si="30"/>
        <v>412.3487451</v>
      </c>
      <c r="GZ32" s="133">
        <f>AVERAGE(OFFSET($GY$3,0,0,'Données projet'!$E$18+1,1))-AVERAGE(OFFSET($H$3,0,0,'Données projet'!$E$18+1,1))</f>
        <v>100.5427875</v>
      </c>
      <c r="HA32" s="133">
        <f t="shared" si="53"/>
        <v>92.28663609</v>
      </c>
      <c r="HB32" s="134">
        <f>IF(ISNA(VLOOKUP(A32,'Données projet'!$A$269:$I$289,3,0)),0,VLOOKUP(A32,'Données projet'!$A$269:$I$289,3,0))</f>
        <v>0</v>
      </c>
      <c r="HC32" s="134">
        <f>IF(ISNA(VLOOKUP(A32,'Données projet'!$A$269:$I$289,4,0)),0,VLOOKUP(A32,'Données projet'!$A$269:$I$289,4,0))</f>
        <v>0</v>
      </c>
      <c r="HD32" s="135">
        <f>IF(ISNA(VLOOKUP(A32,'Données projet'!$A$269:$I$289,5,0)),0%,VLOOKUP(A32,'Données projet'!$A$269:$I$289,5,0)*VLOOKUP('Données projet'!$B$18,'Paramètres'!$A$1:$I$89,7,0))</f>
        <v>0</v>
      </c>
      <c r="HE32" s="135">
        <f>IF(ISNA(VLOOKUP(A32,'Données projet'!$A$269:$I$289,6,0)),0%,VLOOKUP(A32,'Données projet'!$A$269:$I$289,6,0)*VLOOKUP('Données projet'!$B$18,'Paramètres'!$A$1:$I$89,7,0))</f>
        <v>0</v>
      </c>
      <c r="HF32" s="135">
        <f>IF(ISNA(VLOOKUP(A32,'Données projet'!$A$269:$I$289,7,0)),0%,VLOOKUP(A32,'Données projet'!$A$269:$I$289,7,0))</f>
        <v>0</v>
      </c>
      <c r="HG32" s="142">
        <f>EXP(-LN(2)/35)*HG31+(1-EXP(-LN(2)/35))/(LN(2)/35)*HC32*HD32*VLOOKUP('Données projet'!$B$18,'Paramètres'!$A$1:$I$89,3,0)*0.475*44/12</f>
        <v>0</v>
      </c>
      <c r="HH32" s="142">
        <f>EXP(-LN(2)/25)*HH31+(1-EXP(-LN(2)/25))/(LN(2)/25)*Calculateur!HC32*Calculateur!HE32*VLOOKUP('Données projet'!$B$18,'Paramètres'!$A$1:$I$89,3,0)*0.475*44/12</f>
        <v>0</v>
      </c>
      <c r="HI32" s="142">
        <f>EXP(-LN(2)/2)*HI31+(1-EXP(-LN(2)/2))/(LN(2)/2)*HC32*HF32*VLOOKUP('Données projet'!$B$18,'Paramètres'!$A$1:$I$89,3,0)*0.475*44/12</f>
        <v>0</v>
      </c>
      <c r="HJ32" s="143">
        <f t="shared" si="31"/>
        <v>0</v>
      </c>
    </row>
    <row r="33" ht="15.75" customHeight="1">
      <c r="A33" s="125">
        <f t="shared" si="32"/>
        <v>30</v>
      </c>
      <c r="B33" s="126">
        <f>'Scénario référence'!$B$16*5+'Scénario référence'!$B$17*0+'Scénario référence'!$B$18*5</f>
        <v>0</v>
      </c>
      <c r="C33" s="140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16.38</v>
      </c>
      <c r="D33" s="127">
        <f t="shared" si="33"/>
        <v>5.451547803</v>
      </c>
      <c r="E3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7">
        <f>IF(OR('Scénario référence'!$F$8&gt;0,'Scénario référence'!$F$9&gt;0),('Scénario référence'!$F$8+'Scénario référence'!$F$9)*10,0)</f>
        <v>10</v>
      </c>
      <c r="G33" s="127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168.5242287</v>
      </c>
      <c r="H33" s="128">
        <f t="shared" si="1"/>
        <v>331.3566124</v>
      </c>
      <c r="I33" s="12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8">
        <f>VLOOKUP(A33,'Données projet'!$A$35:$I$55,2,0)</f>
        <v>140</v>
      </c>
      <c r="L33" s="130">
        <f>VLOOKUP(A33,'Données projet'!$A$35:$I$55,9,0)</f>
        <v>10.8</v>
      </c>
      <c r="M33" s="130">
        <f t="array" ref="M33">INDEX(L:L,MIN(IF(ISNUMBER(L33:L229),ROW(L33:L229),"")))</f>
        <v>10.8</v>
      </c>
      <c r="N33" s="130">
        <f>IF('Données projet'!$A$36&gt;35,N32+M33-V32,IF(A33&lt;'Données projet'!$A$36,$K$205^A33,IF(A33='Données projet'!$A$36,'Données projet'!$B$36,N32+M33-V32)))</f>
        <v>140</v>
      </c>
      <c r="O33" s="130">
        <f>N33*VLOOKUP('Données projet'!$B$9,'Paramètres'!$A$1:$I$89,3,0)*VLOOKUP('Données projet'!$B$9,'Paramètres'!$A$1:$I$89,5,0)</f>
        <v>80.08</v>
      </c>
      <c r="P33" s="130">
        <f t="shared" si="34"/>
        <v>22.15674341</v>
      </c>
      <c r="Q33" s="141">
        <f t="shared" si="2"/>
        <v>178.0623281</v>
      </c>
      <c r="R33" s="133">
        <f t="shared" si="3"/>
        <v>471.3956614</v>
      </c>
      <c r="S33" s="133">
        <f>AVERAGE(OFFSET($R$3,0,0,'Données projet'!$E$9+1,1))-AVERAGE(OFFSET($H$3,0,0,'Données projet'!$E$9+1,1))</f>
        <v>126.9946492</v>
      </c>
      <c r="T33" s="133">
        <f t="shared" si="35"/>
        <v>140.039049</v>
      </c>
      <c r="U33" s="134">
        <f>IF(ISNA(VLOOKUP(A33,'Données projet'!$A$35:$I$55,3,0)),0,VLOOKUP(A33,'Données projet'!$A$35:$I$55,3,0))</f>
        <v>2</v>
      </c>
      <c r="V33" s="144">
        <f>IF(ISNA(VLOOKUP(A33,'Données projet'!$A$35:$I$55,4,0)),0,VLOOKUP(A33,'Données projet'!$A$35:$I$55,4,0))</f>
        <v>23</v>
      </c>
      <c r="W33" s="135">
        <f>IF(ISNA(VLOOKUP(A33,'Données projet'!$A$35:$I$55,5,0)),0%,VLOOKUP(A33,'Données projet'!$A$35:$I$55,5,0)*VLOOKUP('Données projet'!$B$9,'Paramètres'!$A$1:$I$89,7,0))</f>
        <v>0.09</v>
      </c>
      <c r="X33" s="135">
        <f>IF(ISNA(VLOOKUP(A33,'Données projet'!$A$35:$I$55,6,0)),0%,VLOOKUP(A33,'Données projet'!$A$35:$I$55,6,0)*VLOOKUP('Données projet'!$B$9,'Paramètres'!$A$1:$I$89,7,0))</f>
        <v>0.2016</v>
      </c>
      <c r="Y33" s="135">
        <f>IF(ISNA(VLOOKUP(A33,'Données projet'!$A$35:$I$55,7,0)),0%,VLOOKUP(A33,'Données projet'!$A$35:$I$55,7,0))</f>
        <v>0.352</v>
      </c>
      <c r="Z33" s="142">
        <f>EXP(-LN(2)/35)*Z32+(1-EXP(-LN(2)/35))/(LN(2)/35)*V33*W33*VLOOKUP('Données projet'!$B$9,'Paramètres'!$A$1:$I$89,3,0)*0.475*44/12</f>
        <v>1.570705378</v>
      </c>
      <c r="AA33" s="142">
        <f>EXP(-LN(2)/25)*AA32+(1-EXP(-LN(2)/25))/(LN(2)/25)*Calculateur!V33*Calculateur!X33*VLOOKUP('Données projet'!$B$9,'Paramètres'!$A$1:$I$89,3,0)*0.475*44/12</f>
        <v>5.494223246</v>
      </c>
      <c r="AB33" s="142">
        <f>EXP(-LN(2)/2)*AB32+(1-EXP(-LN(2)/2))/(LN(2)/2)*V33*Y33*VLOOKUP('Données projet'!$B$9,'Paramètres'!$A$1:$I$89,3,0)*0.475*44/12</f>
        <v>5.847760055</v>
      </c>
      <c r="AC33" s="143">
        <f t="shared" si="4"/>
        <v>12.91268868</v>
      </c>
      <c r="AD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1">
        <f>VLOOKUP(A33,'Données projet'!$A$61:$I$81,2,0)</f>
        <v>194</v>
      </c>
      <c r="AG33" s="131">
        <f>VLOOKUP(A33,'Données projet'!$A$61:$I$81,9,0)</f>
        <v>13.4</v>
      </c>
      <c r="AH33" s="131">
        <f t="array" ref="AH33">INDEX(AG:AG,MIN(IF(ISNUMBER(AG33:AG229),ROW(AG33:AG229),"")))</f>
        <v>13.4</v>
      </c>
      <c r="AI33" s="130">
        <f>IF('Données projet'!$A$62&gt;35,AI32+AH33-AQ32,IF(A33&lt;'Données projet'!$A$62,$AF$205^A33,IF(A33='Données projet'!$A$62,'Données projet'!$B$62,AI32+AH33-AQ32)))</f>
        <v>194</v>
      </c>
      <c r="AJ33" s="130">
        <f>AI33*VLOOKUP('Données projet'!$B$10,'Paramètres'!$A$1:$I$89,3,0)*VLOOKUP('Données projet'!$B$10,'Paramètres'!$A$1:$I$89,5,0)</f>
        <v>116.012</v>
      </c>
      <c r="AK33" s="130">
        <f t="shared" si="36"/>
        <v>30.74304209</v>
      </c>
      <c r="AL33" s="141">
        <f t="shared" si="5"/>
        <v>255.598365</v>
      </c>
      <c r="AM33" s="133">
        <f t="shared" si="6"/>
        <v>548.9316983</v>
      </c>
      <c r="AN33" s="133">
        <f>AVERAGE(OFFSET($AM$3,0,0,'Données projet'!$E$10+1,1))-AVERAGE(OFFSET($H$3,0,0,'Données projet'!$E$10+1,1))</f>
        <v>196.874484</v>
      </c>
      <c r="AO33" s="133">
        <f t="shared" si="37"/>
        <v>217.5750859</v>
      </c>
      <c r="AP33" s="134">
        <f>IF(ISNA(VLOOKUP(A33,'Données projet'!$A$61:$I$81,3,0)),0,VLOOKUP(A33,'Données projet'!$A$61:$I$81,3,0))</f>
        <v>3</v>
      </c>
      <c r="AQ33" s="145">
        <f>IF(ISNA(VLOOKUP(A33,'Données projet'!$A$61:$I$81,4,0)),0,VLOOKUP(A33,'Données projet'!$A$61:$I$81,4,0))</f>
        <v>34</v>
      </c>
      <c r="AR33" s="135">
        <f>IF(ISNA(VLOOKUP(A33,'Données projet'!$A$61:$I$81,5,0)),0%,VLOOKUP(A33,'Données projet'!$A$61:$I$81,5,0)*VLOOKUP('Données projet'!$B$10,'Paramètres'!$A$1:$I$89,7,0))</f>
        <v>0.09</v>
      </c>
      <c r="AS33" s="135">
        <f>IF(ISNA(VLOOKUP(A33,'Données projet'!$A$61:$I$81,6,0)),0%,VLOOKUP(A33,'Données projet'!$A$61:$I$81,6,0)*VLOOKUP('Données projet'!$B$10,'Paramètres'!$A$1:$I$89,7,0))</f>
        <v>0.2016</v>
      </c>
      <c r="AT33" s="135">
        <f>IF(ISNA(VLOOKUP(A33,'Données projet'!$A$61:$I$81,7,0)),0%,VLOOKUP(A33,'Données projet'!$A$61:$I$81,7,0))</f>
        <v>0.352</v>
      </c>
      <c r="AU33" s="142">
        <f>EXP(-LN(2)/35)*AU32+(1-EXP(-LN(2)/35))/(LN(2)/35)*AQ33*AR33*VLOOKUP('Données projet'!$B$10,'Paramètres'!$A$1:$I$89,3,0)*0.475*44/12</f>
        <v>2.427453766</v>
      </c>
      <c r="AV33" s="142">
        <f>EXP(-LN(2)/25)*AV32+(1-EXP(-LN(2)/25))/(LN(2)/25)*Calculateur!AQ33*Calculateur!AS33*VLOOKUP('Données projet'!$B$10,'Paramètres'!$A$1:$I$89,3,0)*0.475*44/12</f>
        <v>10.91510325</v>
      </c>
      <c r="AW33" s="142">
        <f>EXP(-LN(2)/2)*AW32+(1-EXP(-LN(2)/2))/(LN(2)/2)*AQ33*AT33*VLOOKUP('Données projet'!$B$10,'Paramètres'!$A$1:$I$89,3,0)*0.475*44/12</f>
        <v>9.296434704</v>
      </c>
      <c r="AX33" s="142">
        <f t="shared" si="7"/>
        <v>22.63899172</v>
      </c>
      <c r="AY33" s="13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1">
        <f>VLOOKUP(A33,'Données projet'!$A$87:$I$107,2,0)</f>
        <v>140</v>
      </c>
      <c r="BB33" s="130">
        <f>VLOOKUP(A33,'Données projet'!$A$87:$I$107,9,0)</f>
        <v>4.666666667</v>
      </c>
      <c r="BC33" s="130">
        <f t="array" ref="BC33">INDEX(BB:BB,MIN(IF(ISNUMBER(BB33:BB229),ROW(BB33:BB229),"")))</f>
        <v>4.666666667</v>
      </c>
      <c r="BD33" s="131">
        <f>IF('Données projet'!$A$88&gt;35,BD32+BC33-BL32,IF(A33&lt;'Données projet'!$A$88,$BA$205^A33,IF(A33='Données projet'!$A$88,'Données projet'!$B$88,BD32+BC33-BL32)))</f>
        <v>140</v>
      </c>
      <c r="BE33" s="130">
        <f>BD33*VLOOKUP('Données projet'!$B$11,'Paramètres'!$A$1:$I$89,3,0)*VLOOKUP('Données projet'!$B$11,'Paramètres'!$A$1:$I$89,5,0)</f>
        <v>65.52</v>
      </c>
      <c r="BF33" s="130">
        <f t="shared" si="38"/>
        <v>18.5566695</v>
      </c>
      <c r="BG33" s="141">
        <f t="shared" si="8"/>
        <v>146.4335327</v>
      </c>
      <c r="BH33" s="133">
        <f t="shared" si="9"/>
        <v>439.7668661</v>
      </c>
      <c r="BI33" s="133">
        <f>AVERAGE(OFFSET($BH$3,0,0,'Données projet'!$E$11+1,1))-AVERAGE(OFFSET($H$3,0,0,'Données projet'!$E$11+1,1))</f>
        <v>134.0948534</v>
      </c>
      <c r="BJ33" s="133">
        <f t="shared" si="39"/>
        <v>108.4102536</v>
      </c>
      <c r="BK33" s="134">
        <f>IF(ISNA(VLOOKUP(A33,'Données projet'!$A$87:$I$107,3,0)),0,VLOOKUP(A33,'Données projet'!$A$87:$I$107,3,0))</f>
        <v>1</v>
      </c>
      <c r="BL33" s="146">
        <f>IF(ISNA(VLOOKUP(A33,'Données projet'!$A$87:$I$107,4,0)),0,VLOOKUP(A33,'Données projet'!$A$87:$I$107,4,0))</f>
        <v>40</v>
      </c>
      <c r="BM33" s="135">
        <f>IF(ISNA(VLOOKUP(A33,'Données projet'!$A$87:$I$107,5,0)),0%,VLOOKUP(A33,'Données projet'!$A$87:$I$107,5,0)*VLOOKUP('Données projet'!$B$11,'Paramètres'!$A$1:$I$89,7,0))</f>
        <v>0.11</v>
      </c>
      <c r="BN33" s="135">
        <f>IF(ISNA(VLOOKUP(A33,'Données projet'!$A$87:$I$107,6,0)),0%,VLOOKUP(A33,'Données projet'!$A$87:$I$107,6,0)*VLOOKUP('Données projet'!$B$11,'Paramètres'!$A$1:$I$89,7,0))</f>
        <v>0.2464</v>
      </c>
      <c r="BO33" s="135">
        <f>IF(ISNA(VLOOKUP(A33,'Données projet'!$A$87:$I$107,7,0)),0%,VLOOKUP(A33,'Données projet'!$A$87:$I$107,7,0))</f>
        <v>0.352</v>
      </c>
      <c r="BP33" s="142">
        <f>EXP(-LN(2)/35)*BP32+(1-EXP(-LN(2)/35))/(LN(2)/35)*BL33*BM33*VLOOKUP('Données projet'!$B$11,'Paramètres'!$A$1:$I$89,3,0)*0.475*44/12</f>
        <v>2.731661527</v>
      </c>
      <c r="BQ33" s="142">
        <f>EXP(-LN(2)/25)*BQ32+(1-EXP(-LN(2)/25))/(LN(2)/25)*Calculateur!BL33*Calculateur!BN33*VLOOKUP('Données projet'!$B$11,'Paramètres'!$A$1:$I$89,3,0)*0.475*44/12</f>
        <v>6.094829293</v>
      </c>
      <c r="BR33" s="142">
        <f>EXP(-LN(2)/2)*BR32+(1-EXP(-LN(2)/2))/(LN(2)/2)*BL33*BO33*VLOOKUP('Données projet'!$B$11,'Paramètres'!$A$1:$I$89,3,0)*0.475*44/12</f>
        <v>7.460776791</v>
      </c>
      <c r="BS33" s="143">
        <f t="shared" si="10"/>
        <v>16.28726761</v>
      </c>
      <c r="BT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1">
        <f>VLOOKUP(A33,'Données projet'!$A$113:$I$133,2,0)</f>
        <v>309</v>
      </c>
      <c r="BW33" s="130">
        <f>VLOOKUP(A33,'Données projet'!$A$113:$I$133,9,0)</f>
        <v>25.4</v>
      </c>
      <c r="BX33" s="130">
        <f t="array" ref="BX33">INDEX(BW:BW,MIN(IF(ISNUMBER(BW33:BW229),ROW(BW33:BW229),"")))</f>
        <v>25.4</v>
      </c>
      <c r="BY33" s="130">
        <f>IF('Données projet'!$A$114&gt;35,BY32+BX33-CG32,IF(A33&lt;'Données projet'!$A$114,$BV$205^A33,IF(A33='Données projet'!$A$114,'Données projet'!$B$114,BY32+BX33-CG32)))</f>
        <v>309</v>
      </c>
      <c r="BZ33" s="130">
        <f>BY33*VLOOKUP('Données projet'!$B$12,'Paramètres'!$A$1:$I$89,3,0)*VLOOKUP('Données projet'!$B$12,'Paramètres'!$A$1:$I$89,5,0)</f>
        <v>152.646</v>
      </c>
      <c r="CA33" s="130">
        <f t="shared" si="40"/>
        <v>39.17928529</v>
      </c>
      <c r="CB33" s="141">
        <f t="shared" si="11"/>
        <v>334.0957052</v>
      </c>
      <c r="CC33" s="133">
        <f t="shared" si="12"/>
        <v>627.4290386</v>
      </c>
      <c r="CD33" s="133">
        <f>AVERAGE(OFFSET($CC$3,0,0,'Données projet'!$E$12+1,1))-AVERAGE(OFFSET($H$3,0,0,'Données projet'!$E$12+1,1))</f>
        <v>258.1672054</v>
      </c>
      <c r="CE33" s="133">
        <f t="shared" si="41"/>
        <v>296.0724261</v>
      </c>
      <c r="CF33" s="134">
        <f>IF(ISNA(VLOOKUP(A33,'Données projet'!$A$113:$I$133,3,0)),0,VLOOKUP(A33,'Données projet'!$A$113:$I$133,3,0))</f>
        <v>4</v>
      </c>
      <c r="CG33" s="134">
        <f>IF(ISNA(VLOOKUP(A33,'Données projet'!$A$113:$I$133,4,0)),0,VLOOKUP(A33,'Données projet'!$A$113:$I$133,4,0))</f>
        <v>63</v>
      </c>
      <c r="CH33" s="135">
        <f>IF(ISNA(VLOOKUP(A33,'Données projet'!$A$113:$I$133,5,0)),0%,VLOOKUP(A33,'Données projet'!$A$113:$I$133,5,0)*VLOOKUP('Données projet'!$B$12,'Paramètres'!$A$1:$I$89,7,0))</f>
        <v>0.11</v>
      </c>
      <c r="CI33" s="135">
        <f>IF(ISNA(VLOOKUP(A33,'Données projet'!$A$113:$I$133,6,0)),0%,VLOOKUP(A33,'Données projet'!$A$113:$I$133,6,0)*VLOOKUP('Données projet'!$B$12,'Paramètres'!$A$1:$I$89,7,0))</f>
        <v>0.2464</v>
      </c>
      <c r="CJ33" s="135">
        <f>IF(ISNA(VLOOKUP(A33,'Données projet'!$A$113:$I$133,7,0)),0%,VLOOKUP(A33,'Données projet'!$A$113:$I$133,7,0))</f>
        <v>0.35</v>
      </c>
      <c r="CK33" s="142">
        <f>EXP(-LN(2)/35)*CK32+(1-EXP(-LN(2)/35))/(LN(2)/35)*CG33*CH33*VLOOKUP('Données projet'!$B$12,'Paramètres'!$A$1:$I$89,3,0)*0.475*44/12</f>
        <v>8.654629223</v>
      </c>
      <c r="CL33" s="142">
        <f>EXP(-LN(2)/25)*CL32+(1-EXP(-LN(2)/25))/(LN(2)/25)*Calculateur!CG33*Calculateur!CI33*VLOOKUP('Données projet'!$B$12,'Paramètres'!$A$1:$I$89,3,0)*0.475*44/12</f>
        <v>19.4107313</v>
      </c>
      <c r="CM33" s="142">
        <f>EXP(-LN(2)/2)*CM32+(1-EXP(-LN(2)/2))/(LN(2)/2)*CG33*CJ33*VLOOKUP('Données projet'!$B$12,'Paramètres'!$A$1:$I$89,3,0)*0.475*44/12</f>
        <v>14.53633759</v>
      </c>
      <c r="CN33" s="143">
        <f t="shared" si="13"/>
        <v>42.60169811</v>
      </c>
      <c r="CO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8">
        <f>VLOOKUP(A33,'Données projet'!$A$139:$I$159,2,0)</f>
        <v>54</v>
      </c>
      <c r="CR33" s="130">
        <f>VLOOKUP(A33,'Données projet'!$A$139:$I$159,9,0)</f>
        <v>4.8</v>
      </c>
      <c r="CS33" s="130">
        <f t="array" ref="CS33">INDEX(CR:CR,MIN(IF(ISNUMBER(CR33:CR229),ROW(CR33:CR229),"")))</f>
        <v>4.8</v>
      </c>
      <c r="CT33" s="138">
        <f>IF('Données projet'!$A$140&gt;35,CT32+CS33-DB32,IF(A33&lt;'Données projet'!$A$140,$CQ$205^A33,IF(A33='Données projet'!$A$140,'Données projet'!$B$140,CT32+CS33-DB32)))</f>
        <v>54</v>
      </c>
      <c r="CU33" s="138">
        <f>CT33*VLOOKUP('Données projet'!$B$13,'Paramètres'!$A$1:$I$89,3,0)*VLOOKUP('Données projet'!$B$13,'Paramètres'!$A$1:$I$89,5,0)</f>
        <v>54.756</v>
      </c>
      <c r="CV33" s="130">
        <f t="shared" si="42"/>
        <v>15.83544704</v>
      </c>
      <c r="CW33" s="141">
        <f t="shared" si="14"/>
        <v>122.9467703</v>
      </c>
      <c r="CX33" s="133">
        <f t="shared" si="15"/>
        <v>416.2801036</v>
      </c>
      <c r="CY33" s="133">
        <f>AVERAGE(OFFSET($CX$3,0,0,'Données projet'!$E$13+1,1))-AVERAGE(OFFSET($H$3,0,0,'Données projet'!$E$13+1,1))</f>
        <v>223.783507</v>
      </c>
      <c r="CZ33" s="133">
        <f t="shared" si="43"/>
        <v>84.92349117</v>
      </c>
      <c r="DA33" s="134">
        <f>IF(ISNA(VLOOKUP(A33,'Données projet'!$A$139:$I$159,3,0)),0,VLOOKUP(A33,'Données projet'!$A$139:$I$159,3,0))</f>
        <v>2</v>
      </c>
      <c r="DB33" s="144">
        <f>IF(ISNA(VLOOKUP(A33,'Données projet'!$A$139:$I$159,4,0)),0,VLOOKUP(A33,'Données projet'!$A$139:$I$159,4,0))</f>
        <v>0</v>
      </c>
      <c r="DC33" s="135">
        <f>IF(ISNA(VLOOKUP(A33,'Données projet'!$A$139:$I$159,5,0)),0%,VLOOKUP(A33,'Données projet'!$A$139:$I$159,5,0)*VLOOKUP('Données projet'!$B$13,'Paramètres'!$A$1:$I$89,7,0))</f>
        <v>0</v>
      </c>
      <c r="DD33" s="135">
        <f>IF(ISNA(VLOOKUP(A33,'Données projet'!$A$139:$I$159,6,0)),0%,VLOOKUP(A33,'Données projet'!$A$139:$I$159,6,0)*VLOOKUP('Données projet'!$B$13,'Paramètres'!$A$1:$I$89,7,0))</f>
        <v>0</v>
      </c>
      <c r="DE33" s="135" t="str">
        <f>IF(ISNA(VLOOKUP(A33,'Données projet'!$A$139:$I$159,7,0)),0%,VLOOKUP(A33,'Données projet'!$A$139:$I$159,7,0))</f>
        <v/>
      </c>
      <c r="DF33" s="142">
        <f>EXP(-LN(2)/35)*DF32+(1-EXP(-LN(2)/35))/(LN(2)/35)*DB33*DC33*VLOOKUP('Données projet'!$B$13,'Paramètres'!$A$1:$I$89,3,0)*0.475*44/12</f>
        <v>0</v>
      </c>
      <c r="DG33" s="142">
        <f>EXP(-LN(2)/25)*DG32+(1-EXP(-LN(2)/25))/(LN(2)/25)*Calculateur!DB33*Calculateur!DD33*VLOOKUP('Données projet'!$B$13,'Paramètres'!$A$1:$I$89,3,0)*0.475*44/12</f>
        <v>0</v>
      </c>
      <c r="DH33" s="142">
        <f>EXP(-LN(2)/2)*DH32+(1-EXP(-LN(2)/2))/(LN(2)/2)*DB33*DE33*VLOOKUP('Données projet'!$B$13,'Paramètres'!$A$1:$I$89,3,0)*0.475*44/12</f>
        <v>0</v>
      </c>
      <c r="DI33" s="143">
        <f t="shared" si="16"/>
        <v>0</v>
      </c>
      <c r="DJ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8">
        <f>VLOOKUP(A33,'Données projet'!$A$165:$I$185,2,0)</f>
        <v>97</v>
      </c>
      <c r="DM33" s="131">
        <f>VLOOKUP(A33,'Données projet'!$A$165:$I$185,9,0)</f>
        <v>7</v>
      </c>
      <c r="DN33" s="131">
        <f t="array" ref="DN33">INDEX(DM:DM,MIN(IF(ISNUMBER(DM33:DM229),ROW(DM33:DM229),"")))</f>
        <v>7</v>
      </c>
      <c r="DO33" s="138">
        <f>IF('Données projet'!$A$166&gt;35,DO32+DN33-DW32,IF(A33&lt;'Données projet'!$A$166,$DL$205^A33,IF(A33='Données projet'!$A$166,'Données projet'!$B$166,DO32+DN33-DW32)))</f>
        <v>97</v>
      </c>
      <c r="DP33" s="138">
        <f>DO33*VLOOKUP('Données projet'!$B$14,'Paramètres'!$A$1:$I$89,3,0)*VLOOKUP('Données projet'!$B$14,'Paramètres'!$A$1:$I$89,5,0)</f>
        <v>87.7656</v>
      </c>
      <c r="DQ33" s="130">
        <f t="shared" si="44"/>
        <v>24.02555559</v>
      </c>
      <c r="DR33" s="141">
        <f t="shared" si="17"/>
        <v>194.7029293</v>
      </c>
      <c r="DS33" s="133">
        <f t="shared" si="18"/>
        <v>488.0362627</v>
      </c>
      <c r="DT33" s="133">
        <f>AVERAGE(OFFSET($DS$3,0,0,'Données projet'!$E$14+1,1))-AVERAGE(OFFSET($H$3,0,0,'Données projet'!$E$14+1,1))</f>
        <v>287.9334714</v>
      </c>
      <c r="DU33" s="133">
        <f t="shared" si="45"/>
        <v>156.6796502</v>
      </c>
      <c r="DV33" s="134">
        <f>IF(ISNA(VLOOKUP(A33,'Données projet'!$A$165:$I$185,3,0)),0,VLOOKUP(A33,'Données projet'!$A$165:$I$185,3,0))</f>
        <v>3</v>
      </c>
      <c r="DW33" s="144">
        <f>IF(ISNA(VLOOKUP(A33,'Données projet'!$A$165:$I$185,4,0)),0,VLOOKUP(A33,'Données projet'!$A$165:$I$185,4,0))</f>
        <v>21</v>
      </c>
      <c r="DX33" s="135">
        <f>IF(ISNA(VLOOKUP(A33,'Données projet'!$A$165:$I$185,5,0)),0%,VLOOKUP(A33,'Données projet'!$A$165:$I$185,5,0)*VLOOKUP('Données projet'!$B$14,'Paramètres'!$A$1:$I$89,7,0))</f>
        <v>0</v>
      </c>
      <c r="DY33" s="135">
        <f>IF(ISNA(VLOOKUP(A33,'Données projet'!$A$165:$I$185,6,0)),0%,VLOOKUP(A33,'Données projet'!$A$165:$I$185,6,0)*VLOOKUP('Données projet'!$B$14,'Paramètres'!$A$1:$I$89,7,0))</f>
        <v>0</v>
      </c>
      <c r="DZ33" s="135" t="str">
        <f>IF(ISNA(VLOOKUP(A33,'Données projet'!$A$165:$I$185,7,0)),0%,VLOOKUP(A33,'Données projet'!$A$165:$I$185,7,0))</f>
        <v/>
      </c>
      <c r="EA33" s="142">
        <f>EXP(-LN(2)/35)*EA32+(1-EXP(-LN(2)/35))/(LN(2)/35)*DW33*DX33*VLOOKUP('Données projet'!$B$14,'Paramètres'!$A$1:$I$89,3,0)*0.475*44/12</f>
        <v>0</v>
      </c>
      <c r="EB33" s="142">
        <f>EXP(-LN(2)/25)*EB32+(1-EXP(-LN(2)/25))/(LN(2)/25)*Calculateur!DW33*Calculateur!DY33*VLOOKUP('Données projet'!$B$14,'Paramètres'!$A$1:$I$89,3,0)*0.475*44/12</f>
        <v>0</v>
      </c>
      <c r="EC33" s="142">
        <f>EXP(-LN(2)/2)*EC32+(1-EXP(-LN(2)/2))/(LN(2)/2)*DW33*DZ33*VLOOKUP('Données projet'!$B$14,'Paramètres'!$A$1:$I$89,3,0)*0.475*44/12</f>
        <v>0</v>
      </c>
      <c r="ED33" s="143">
        <f t="shared" si="19"/>
        <v>0</v>
      </c>
      <c r="EE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8">
        <f>VLOOKUP(A33,'Données projet'!$A$191:$I$211,2,0)</f>
        <v>73</v>
      </c>
      <c r="EH33" s="131">
        <f>VLOOKUP(A33,'Données projet'!$A$191:$I$211,9,0)</f>
        <v>6.6</v>
      </c>
      <c r="EI33" s="131">
        <f t="array" ref="EI33">INDEX(EH:EH,MIN(IF(ISNUMBER(EH33:EH229),ROW(EH33:EH229),"")))</f>
        <v>6.6</v>
      </c>
      <c r="EJ33" s="138">
        <f>IF('Données projet'!$A$192&gt;35,EJ32+EI33-ER32,IF(A33&lt;'Données projet'!$A$192,$EG$205^A33,IF(A33='Données projet'!$A$192,'Données projet'!$B$192,EJ32+EI33-ER32)))</f>
        <v>73</v>
      </c>
      <c r="EK33" s="138">
        <f>EJ33*VLOOKUP('Données projet'!$B$15,'Paramètres'!$A$1:$I$89,3,0)*VLOOKUP('Données projet'!$B$15,'Paramètres'!$A$1:$I$89,5,0)</f>
        <v>53.5236</v>
      </c>
      <c r="EL33" s="130">
        <f t="shared" si="46"/>
        <v>15.52010683</v>
      </c>
      <c r="EM33" s="141">
        <f t="shared" si="20"/>
        <v>120.2511227</v>
      </c>
      <c r="EN33" s="133">
        <f t="shared" si="21"/>
        <v>413.5844561</v>
      </c>
      <c r="EO33" s="133">
        <f>AVERAGE(OFFSET($EN$3,0,0,'Données projet'!$E$15+1,1))-AVERAGE(OFFSET($H$3,0,0,'Données projet'!$E$15+1,1))</f>
        <v>130.3193339</v>
      </c>
      <c r="EP33" s="133">
        <f t="shared" si="47"/>
        <v>82.22784365</v>
      </c>
      <c r="EQ33" s="134">
        <f>IF(ISNA(VLOOKUP(A33,'Données projet'!$A$191:$I$211,3,0)),0,VLOOKUP(A33,'Données projet'!$A$191:$I$211,3,0))</f>
        <v>2</v>
      </c>
      <c r="ER33" s="144">
        <f>IF(ISNA(VLOOKUP(A33,'Données projet'!$A$191:$I$211,4,0)),0,VLOOKUP(A33,'Données projet'!$A$191:$I$211,4,0))</f>
        <v>12</v>
      </c>
      <c r="ES33" s="135">
        <f>IF(ISNA(VLOOKUP(A33,'Données projet'!$A$191:$I$211,5,0)),0%,VLOOKUP(A33,'Données projet'!$A$191:$I$211,5,0)*VLOOKUP('Données projet'!$B$15,'Paramètres'!$A$1:$I$89,7,0))</f>
        <v>0.086</v>
      </c>
      <c r="ET33" s="135">
        <f>IF(ISNA(VLOOKUP(A33,'Données projet'!$A$191:$I$211,6,0)),0%,VLOOKUP(A33,'Données projet'!$A$191:$I$211,6,0)*VLOOKUP('Données projet'!$B$15,'Paramètres'!$A$1:$I$89,7,0))</f>
        <v>0</v>
      </c>
      <c r="EU33" s="135" t="str">
        <f>IF(ISNA(VLOOKUP(A33,'Données projet'!$A$191:$I$211,7,0)),0%,VLOOKUP(A33,'Données projet'!$A$191:$I$211,7,0))</f>
        <v/>
      </c>
      <c r="EV33" s="142">
        <f>EXP(-LN(2)/35)*EV32+(1-EXP(-LN(2)/35))/(LN(2)/35)*ER33*ES33*VLOOKUP('Données projet'!$B$15,'Paramètres'!$A$1:$I$89,3,0)*0.475*44/12</f>
        <v>0.8364678705</v>
      </c>
      <c r="EW33" s="142">
        <f>EXP(-LN(2)/25)*EW32+(1-EXP(-LN(2)/25))/(LN(2)/25)*Calculateur!ER33*Calculateur!ET33*VLOOKUP('Données projet'!$B$15,'Paramètres'!$A$1:$I$89,3,0)*0.475*44/12</f>
        <v>0</v>
      </c>
      <c r="EX33" s="142">
        <f>EXP(-LN(2)/2)*EX32+(1-EXP(-LN(2)/2))/(LN(2)/2)*ER33*EU33*VLOOKUP('Données projet'!$B$15,'Paramètres'!$A$1:$I$89,3,0)*0.475*44/12</f>
        <v>0</v>
      </c>
      <c r="EY33" s="143">
        <f t="shared" si="22"/>
        <v>0.8364678705</v>
      </c>
      <c r="EZ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1">
        <f>VLOOKUP(A33,'Données projet'!$A$217:$I$237,2,0)</f>
        <v>187</v>
      </c>
      <c r="FC33" s="130">
        <f>VLOOKUP(A33,'Données projet'!$A$217:$I$237,9,0)</f>
        <v>8.6</v>
      </c>
      <c r="FD33" s="130">
        <f t="array" ref="FD33">INDEX(FC:FC,MIN(IF(ISNUMBER(FC33:FC229),ROW(FC33:FC229),"")))</f>
        <v>8.6</v>
      </c>
      <c r="FE33" s="130">
        <f>IF('Données projet'!$A$218&gt;35,FE32+FD33-FM32,IF(A33&lt;'Données projet'!$A$218,$FB$205^A33,IF(A33='Données projet'!$A$218,'Données projet'!$B$218,FE32+FD33-FM32)))</f>
        <v>187</v>
      </c>
      <c r="FF33" s="138">
        <f>FE33*VLOOKUP('Données projet'!$B$16,'Paramètres'!$A$1:$I$89,3,0)*VLOOKUP('Données projet'!$B$16,'Paramètres'!$A$1:$I$89,5,0)</f>
        <v>169.1976</v>
      </c>
      <c r="FG33" s="130">
        <f t="shared" si="48"/>
        <v>42.91026322</v>
      </c>
      <c r="FH33" s="141">
        <f t="shared" si="23"/>
        <v>369.4211951</v>
      </c>
      <c r="FI33" s="133">
        <f t="shared" si="24"/>
        <v>662.7545284</v>
      </c>
      <c r="FJ33" s="133">
        <f>AVERAGE(OFFSET($FI$3,0,0,'Données projet'!$E$16+1,1))-AVERAGE(OFFSET($H$3,0,0,'Données projet'!$E$16+1,1))</f>
        <v>305.6252353</v>
      </c>
      <c r="FK33" s="133">
        <f t="shared" si="49"/>
        <v>331.397916</v>
      </c>
      <c r="FL33" s="134">
        <f>IF(ISNA(VLOOKUP(A33,'Données projet'!$A$217:$I$237,3,0)),0,VLOOKUP(A33,'Données projet'!$A$217:$I$237,3,0))</f>
        <v>4</v>
      </c>
      <c r="FM33" s="134">
        <f>IF(ISNA(VLOOKUP(A33,'Données projet'!$A$217:$I$237,4,0)),0,VLOOKUP(A33,'Données projet'!$A$217:$I$237,4,0))</f>
        <v>18</v>
      </c>
      <c r="FN33" s="135">
        <f>IF(ISNA(VLOOKUP(A33,'Données projet'!$A$217:$I$237,5,0)),0%,VLOOKUP(A33,'Données projet'!$A$217:$I$237,5,0)*VLOOKUP('Données projet'!$B$16,'Paramètres'!$A$1:$I$89,7,0))</f>
        <v>0</v>
      </c>
      <c r="FO33" s="135">
        <f>IF(ISNA(VLOOKUP(A33,'Données projet'!$A$217:$I$237,6,0)),0%,VLOOKUP(A33,'Données projet'!$A$217:$I$237,6,0)*VLOOKUP('Données projet'!$B$16,'Paramètres'!$A$1:$I$89,7,0))</f>
        <v>0</v>
      </c>
      <c r="FP33" s="135" t="str">
        <f>IF(ISNA(VLOOKUP(A33,'Données projet'!$A$217:$I$237,7,0)),0%,VLOOKUP(A33,'Données projet'!$A$217:$I$237,7,0))</f>
        <v/>
      </c>
      <c r="FQ33" s="142">
        <f>EXP(-LN(2)/35)*FQ32+(1-EXP(-LN(2)/35))/(LN(2)/35)*FM33*FN33*VLOOKUP('Données projet'!$B$16,'Paramètres'!$A$1:$I$89,3,0)*0.475*44/12</f>
        <v>0</v>
      </c>
      <c r="FR33" s="142">
        <f>EXP(-LN(2)/25)*FR32+(1-EXP(-LN(2)/25))/(LN(2)/25)*Calculateur!FM33*Calculateur!FO33*VLOOKUP('Données projet'!$B$16,'Paramètres'!$A$1:$I$89,3,0)*0.475*44/12</f>
        <v>0</v>
      </c>
      <c r="FS33" s="142">
        <f>EXP(-LN(2)/2)*FS32+(1-EXP(-LN(2)/2))/(LN(2)/2)*FM33*FP33*VLOOKUP('Données projet'!$B$16,'Paramètres'!$A$1:$I$89,3,0)*0.475*44/12</f>
        <v>0</v>
      </c>
      <c r="FT33" s="143">
        <f t="shared" si="25"/>
        <v>0</v>
      </c>
      <c r="FU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8">
        <f>VLOOKUP(A33,'Données projet'!$A$243:$I$263,2,0)</f>
        <v>116</v>
      </c>
      <c r="FX33" s="130">
        <f>VLOOKUP(A33,'Données projet'!$A$243:$I$263,9,0)</f>
        <v>9.4</v>
      </c>
      <c r="FY33" s="130">
        <f t="array" ref="FY33">INDEX(FX:FX,MIN(IF(ISNUMBER(FX33:FX229),ROW(FX33:FX229),"")))</f>
        <v>9.4</v>
      </c>
      <c r="FZ33" s="138">
        <f>IF('Données projet'!$A$244&gt;35,FZ32+FY33-GH32,IF(A33&lt;'Données projet'!$A$244,$FW$205^A33,IF(A33='Données projet'!$A$244,'Données projet'!$B$244,FZ32+FY33-GH32)))</f>
        <v>116</v>
      </c>
      <c r="GA33" s="138">
        <f>FZ33*VLOOKUP('Données projet'!$B$17,'Paramètres'!$A$1:$I$89,3,0)*VLOOKUP('Données projet'!$B$17,'Paramètres'!$A$1:$I$89,5,0)</f>
        <v>77.8128</v>
      </c>
      <c r="GB33" s="130">
        <f t="shared" si="50"/>
        <v>21.60154263</v>
      </c>
      <c r="GC33" s="141">
        <f t="shared" si="26"/>
        <v>173.1466468</v>
      </c>
      <c r="GD33" s="133">
        <f t="shared" si="27"/>
        <v>466.4799801</v>
      </c>
      <c r="GE33" s="133">
        <f>AVERAGE(OFFSET($GD$3,0,0,'Données projet'!$E$17+1,1))-AVERAGE(OFFSET($H$3,0,0,'Données projet'!$E$17+1,1))</f>
        <v>118.7368745</v>
      </c>
      <c r="GF33" s="133">
        <f t="shared" si="51"/>
        <v>135.1233677</v>
      </c>
      <c r="GG33" s="134">
        <f>IF(ISNA(VLOOKUP(A33,'Données projet'!$A$243:$I$263,3,0)),0,VLOOKUP(A33,'Données projet'!$A$243:$I$263,3,0))</f>
        <v>3</v>
      </c>
      <c r="GH33" s="144">
        <f>IF(ISNA(VLOOKUP(A33,'Données projet'!$A$243:$I$263,4,0)),0,VLOOKUP(A33,'Données projet'!$A$243:$I$263,4,0))</f>
        <v>28</v>
      </c>
      <c r="GI33" s="135">
        <f>IF(ISNA(VLOOKUP(A33,'Données projet'!$A$243:$I$263,5,0)),0%,VLOOKUP(A33,'Données projet'!$A$243:$I$263,5,0)*VLOOKUP('Données projet'!$B$17,'Paramètres'!$A$1:$I$89,7,0))</f>
        <v>0</v>
      </c>
      <c r="GJ33" s="135">
        <f>IF(ISNA(VLOOKUP(A33,'Données projet'!$A$243:$I$263,6,0)),0%,VLOOKUP(A33,'Données projet'!$A$243:$I$263,6,0)*VLOOKUP('Données projet'!$B$17,'Paramètres'!$A$1:$I$89,7,0))</f>
        <v>0</v>
      </c>
      <c r="GK33" s="135" t="str">
        <f>IF(ISNA(VLOOKUP(A33,'Données projet'!$A$243:$I$263,7,0)),0%,VLOOKUP(A33,'Données projet'!$A$243:$I$263,7,0))</f>
        <v/>
      </c>
      <c r="GL33" s="142">
        <f>EXP(-LN(2)/35)*GL32+(1-EXP(-LN(2)/35))/(LN(2)/35)*GH33*GI33*VLOOKUP('Données projet'!$B$17,'Paramètres'!$A$1:$I$89,3,0)*0.475*44/12</f>
        <v>0</v>
      </c>
      <c r="GM33" s="142">
        <f>EXP(-LN(2)/25)*GM32+(1-EXP(-LN(2)/25))/(LN(2)/25)*Calculateur!GH33*Calculateur!GJ33*VLOOKUP('Données projet'!$B$17,'Paramètres'!$A$1:$I$89,3,0)*0.475*44/12</f>
        <v>0</v>
      </c>
      <c r="GN33" s="142">
        <f>EXP(-LN(2)/2)*GN32+(1-EXP(-LN(2)/2))/(LN(2)/2)*GH33*GK33*VLOOKUP('Données projet'!$B$17,'Paramètres'!$A$1:$I$89,3,0)*0.475*44/12</f>
        <v>0</v>
      </c>
      <c r="GO33" s="142">
        <f t="shared" si="28"/>
        <v>0</v>
      </c>
      <c r="GP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8">
        <f>VLOOKUP(A33,'Données projet'!$A$269:$I$289,2,0)</f>
        <v>54</v>
      </c>
      <c r="GS33" s="130">
        <f>VLOOKUP(A33,'Données projet'!$A$269:$I$289,9,0)</f>
        <v>4.8</v>
      </c>
      <c r="GT33" s="130">
        <f t="array" ref="GT33">INDEX(GS:GS,MIN(IF(ISNUMBER(GS33:GS229),ROW(GS33:GS229),"")))</f>
        <v>4.8</v>
      </c>
      <c r="GU33" s="138">
        <f>IF('Données projet'!$A$270&gt;35,GU32+GT33-HC32,IF(A33&lt;'Données projet'!$A$270,$GR$205^A33,IF(A33='Données projet'!$A$270,'Données projet'!$B$270,GU32+GT33-HC32)))</f>
        <v>54</v>
      </c>
      <c r="GV33" s="138">
        <f>GU33*VLOOKUP('Données projet'!$B$18,'Paramètres'!$A$1:$I$89,3,0)*VLOOKUP('Données projet'!$B$18,'Paramètres'!$A$1:$I$89,5,0)</f>
        <v>58.1256</v>
      </c>
      <c r="GW33" s="130">
        <f t="shared" si="52"/>
        <v>16.69349005</v>
      </c>
      <c r="GX33" s="141">
        <f t="shared" si="29"/>
        <v>130.3099152</v>
      </c>
      <c r="GY33" s="133">
        <f t="shared" si="30"/>
        <v>423.6432485</v>
      </c>
      <c r="GZ33" s="133">
        <f>AVERAGE(OFFSET($GY$3,0,0,'Données projet'!$E$18+1,1))-AVERAGE(OFFSET($H$3,0,0,'Données projet'!$E$18+1,1))</f>
        <v>100.5427875</v>
      </c>
      <c r="HA33" s="133">
        <f t="shared" si="53"/>
        <v>92.28663609</v>
      </c>
      <c r="HB33" s="134">
        <f>IF(ISNA(VLOOKUP(A33,'Données projet'!$A$269:$I$289,3,0)),0,VLOOKUP(A33,'Données projet'!$A$269:$I$289,3,0))</f>
        <v>2</v>
      </c>
      <c r="HC33" s="144">
        <f>IF(ISNA(VLOOKUP(A33,'Données projet'!$A$269:$I$289,4,0)),0,VLOOKUP(A33,'Données projet'!$A$269:$I$289,4,0))</f>
        <v>0</v>
      </c>
      <c r="HD33" s="135">
        <f>IF(ISNA(VLOOKUP(A33,'Données projet'!$A$269:$I$289,5,0)),0%,VLOOKUP(A33,'Données projet'!$A$269:$I$289,5,0)*VLOOKUP('Données projet'!$B$18,'Paramètres'!$A$1:$I$89,7,0))</f>
        <v>0</v>
      </c>
      <c r="HE33" s="135">
        <f>IF(ISNA(VLOOKUP(A33,'Données projet'!$A$269:$I$289,6,0)),0%,VLOOKUP(A33,'Données projet'!$A$269:$I$289,6,0)*VLOOKUP('Données projet'!$B$18,'Paramètres'!$A$1:$I$89,7,0))</f>
        <v>0</v>
      </c>
      <c r="HF33" s="135" t="str">
        <f>IF(ISNA(VLOOKUP(A33,'Données projet'!$A$269:$I$289,7,0)),0%,VLOOKUP(A33,'Données projet'!$A$269:$I$289,7,0))</f>
        <v/>
      </c>
      <c r="HG33" s="142">
        <f>EXP(-LN(2)/35)*HG32+(1-EXP(-LN(2)/35))/(LN(2)/35)*HC33*HD33*VLOOKUP('Données projet'!$B$18,'Paramètres'!$A$1:$I$89,3,0)*0.475*44/12</f>
        <v>0</v>
      </c>
      <c r="HH33" s="142">
        <f>EXP(-LN(2)/25)*HH32+(1-EXP(-LN(2)/25))/(LN(2)/25)*Calculateur!HC33*Calculateur!HE33*VLOOKUP('Données projet'!$B$18,'Paramètres'!$A$1:$I$89,3,0)*0.475*44/12</f>
        <v>0</v>
      </c>
      <c r="HI33" s="142">
        <f>EXP(-LN(2)/2)*HI32+(1-EXP(-LN(2)/2))/(LN(2)/2)*HC33*HF33*VLOOKUP('Données projet'!$B$18,'Paramètres'!$A$1:$I$89,3,0)*0.475*44/12</f>
        <v>0</v>
      </c>
      <c r="HJ33" s="143">
        <f t="shared" si="31"/>
        <v>0</v>
      </c>
    </row>
    <row r="34" ht="15.75" customHeight="1">
      <c r="A34" s="125">
        <f t="shared" si="32"/>
        <v>31</v>
      </c>
      <c r="B34" s="126">
        <f>'Scénario référence'!$B$16*5+'Scénario référence'!$B$17*0+'Scénario référence'!$B$18*5</f>
        <v>0</v>
      </c>
      <c r="C34" s="140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16.926</v>
      </c>
      <c r="D34" s="127">
        <f t="shared" si="33"/>
        <v>5.611806356</v>
      </c>
      <c r="E3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7">
        <f>IF(OR('Scénario référence'!$F$8&gt;0,'Scénario référence'!$F$9&gt;0),('Scénario référence'!$F$8+'Scénario référence'!$F$9)*10,0)</f>
        <v>10</v>
      </c>
      <c r="G34" s="127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173.9760491</v>
      </c>
      <c r="H34" s="128">
        <f t="shared" si="1"/>
        <v>332.5866794</v>
      </c>
      <c r="I34" s="12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1" t="str">
        <f>VLOOKUP(A34,'Données projet'!$A$35:$I$55,2,0)</f>
        <v>#N/A</v>
      </c>
      <c r="L34" s="131" t="str">
        <f>VLOOKUP(A34,'Données projet'!$A$35:$I$55,9,0)</f>
        <v>#N/A</v>
      </c>
      <c r="M34" s="130">
        <f t="array" ref="M34">INDEX(L:L,MIN(IF(ISNUMBER(L34:L230),ROW(L34:L230),"")))</f>
        <v>10.8</v>
      </c>
      <c r="N34" s="130">
        <f>IF('Données projet'!$A$36&gt;35,N33+M34-V33,IF(A34&lt;'Données projet'!$A$36,$K$205^A34,IF(A34='Données projet'!$A$36,'Données projet'!$B$36,N33+M34-V33)))</f>
        <v>127.8</v>
      </c>
      <c r="O34" s="130">
        <f>N34*VLOOKUP('Données projet'!$B$9,'Paramètres'!$A$1:$I$89,3,0)*VLOOKUP('Données projet'!$B$9,'Paramètres'!$A$1:$I$89,5,0)</f>
        <v>73.1016</v>
      </c>
      <c r="P34" s="130">
        <f t="shared" si="34"/>
        <v>20.44173991</v>
      </c>
      <c r="Q34" s="141">
        <f t="shared" si="2"/>
        <v>162.921317</v>
      </c>
      <c r="R34" s="133">
        <f t="shared" si="3"/>
        <v>456.2546504</v>
      </c>
      <c r="S34" s="133">
        <f>AVERAGE(OFFSET($R$3,0,0,'Données projet'!$E$9+1,1))-AVERAGE(OFFSET($H$3,0,0,'Données projet'!$E$9+1,1))</f>
        <v>126.9946492</v>
      </c>
      <c r="T34" s="133">
        <f t="shared" si="35"/>
        <v>140.039049</v>
      </c>
      <c r="U34" s="134">
        <f>IF(ISNA(VLOOKUP(A34,'Données projet'!$A$35:$I$55,3,0)),0,VLOOKUP(A34,'Données projet'!$A$35:$I$55,3,0))</f>
        <v>0</v>
      </c>
      <c r="V34" s="134">
        <f>IF(ISNA(VLOOKUP(A34,'Données projet'!$A$35:$I$55,4,0)),0,VLOOKUP(A34,'Données projet'!$A$35:$I$55,4,0))</f>
        <v>0</v>
      </c>
      <c r="W34" s="135">
        <f>IF(ISNA(VLOOKUP(A34,'Données projet'!$A$35:$I$55,5,0)),0%,VLOOKUP(A34,'Données projet'!$A$35:$I$55,5,0)*VLOOKUP('Données projet'!$B$9,'Paramètres'!$A$1:$I$89,7,0))</f>
        <v>0</v>
      </c>
      <c r="X34" s="135">
        <f>IF(ISNA(VLOOKUP(A34,'Données projet'!$A$35:$I$55,6,0)),0%,VLOOKUP(A34,'Données projet'!$A$35:$I$55,6,0)*VLOOKUP('Données projet'!$B$9,'Paramètres'!$A$1:$I$89,7,0))</f>
        <v>0</v>
      </c>
      <c r="Y34" s="135">
        <f>IF(ISNA(VLOOKUP(A34,'Données projet'!$A$35:$I$55,7,0)),0%,VLOOKUP(A34,'Données projet'!$A$35:$I$55,7,0))</f>
        <v>0</v>
      </c>
      <c r="Z34" s="142">
        <f>EXP(-LN(2)/35)*Z33+(1-EXP(-LN(2)/35))/(LN(2)/35)*V34*W34*VLOOKUP('Données projet'!$B$9,'Paramètres'!$A$1:$I$89,3,0)*0.475*44/12</f>
        <v>1.539904803</v>
      </c>
      <c r="AA34" s="142">
        <f>EXP(-LN(2)/25)*AA33+(1-EXP(-LN(2)/25))/(LN(2)/25)*Calculateur!V34*Calculateur!X34*VLOOKUP('Données projet'!$B$9,'Paramètres'!$A$1:$I$89,3,0)*0.475*44/12</f>
        <v>5.343983423</v>
      </c>
      <c r="AB34" s="142">
        <f>EXP(-LN(2)/2)*AB33+(1-EXP(-LN(2)/2))/(LN(2)/2)*V34*Y34*VLOOKUP('Données projet'!$B$9,'Paramètres'!$A$1:$I$89,3,0)*0.475*44/12</f>
        <v>4.13499079</v>
      </c>
      <c r="AC34" s="143">
        <f t="shared" si="4"/>
        <v>11.01887902</v>
      </c>
      <c r="AD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1" t="str">
        <f>VLOOKUP(A34,'Données projet'!$A$61:$I$81,2,0)</f>
        <v>#N/A</v>
      </c>
      <c r="AG34" s="131" t="str">
        <f>VLOOKUP(A34,'Données projet'!$A$61:$I$81,9,0)</f>
        <v>#N/A</v>
      </c>
      <c r="AH34" s="131">
        <f t="array" ref="AH34">INDEX(AG:AG,MIN(IF(ISNUMBER(AG34:AG230),ROW(AG34:AG230),"")))</f>
        <v>14.6</v>
      </c>
      <c r="AI34" s="130">
        <f>IF('Données projet'!$A$62&gt;35,AI33+AH34-AQ33,IF(A34&lt;'Données projet'!$A$62,$AF$205^A34,IF(A34='Données projet'!$A$62,'Données projet'!$B$62,AI33+AH34-AQ33)))</f>
        <v>174.6</v>
      </c>
      <c r="AJ34" s="130">
        <f>AI34*VLOOKUP('Données projet'!$B$10,'Paramètres'!$A$1:$I$89,3,0)*VLOOKUP('Données projet'!$B$10,'Paramètres'!$A$1:$I$89,5,0)</f>
        <v>104.4108</v>
      </c>
      <c r="AK34" s="130">
        <f t="shared" si="36"/>
        <v>28.01015557</v>
      </c>
      <c r="AL34" s="141">
        <f t="shared" si="5"/>
        <v>230.6331643</v>
      </c>
      <c r="AM34" s="133">
        <f t="shared" si="6"/>
        <v>523.9664976</v>
      </c>
      <c r="AN34" s="133">
        <f>AVERAGE(OFFSET($AM$3,0,0,'Données projet'!$E$10+1,1))-AVERAGE(OFFSET($H$3,0,0,'Données projet'!$E$10+1,1))</f>
        <v>196.874484</v>
      </c>
      <c r="AO34" s="133">
        <f t="shared" si="37"/>
        <v>217.5750859</v>
      </c>
      <c r="AP34" s="134">
        <f>IF(ISNA(VLOOKUP(A34,'Données projet'!$A$61:$I$81,3,0)),0,VLOOKUP(A34,'Données projet'!$A$61:$I$81,3,0))</f>
        <v>0</v>
      </c>
      <c r="AQ34" s="134">
        <f>IF(ISNA(VLOOKUP(A34,'Données projet'!$A$61:$I$81,4,0)),0,VLOOKUP(A34,'Données projet'!$A$61:$I$81,4,0))</f>
        <v>0</v>
      </c>
      <c r="AR34" s="135">
        <f>IF(ISNA(VLOOKUP(A34,'Données projet'!$A$61:$I$81,5,0)),0%,VLOOKUP(A34,'Données projet'!$A$61:$I$81,5,0)*VLOOKUP('Données projet'!$B$10,'Paramètres'!$A$1:$I$89,7,0))</f>
        <v>0</v>
      </c>
      <c r="AS34" s="135">
        <f>IF(ISNA(VLOOKUP(A34,'Données projet'!$A$61:$I$81,6,0)),0%,VLOOKUP(A34,'Données projet'!$A$61:$I$81,6,0)*VLOOKUP('Données projet'!$B$10,'Paramètres'!$A$1:$I$89,7,0))</f>
        <v>0</v>
      </c>
      <c r="AT34" s="135">
        <f>IF(ISNA(VLOOKUP(A34,'Données projet'!$A$61:$I$81,7,0)),0%,VLOOKUP(A34,'Données projet'!$A$61:$I$81,7,0))</f>
        <v>0</v>
      </c>
      <c r="AU34" s="142">
        <f>EXP(-LN(2)/35)*AU33+(1-EXP(-LN(2)/35))/(LN(2)/35)*AQ34*AR34*VLOOKUP('Données projet'!$B$10,'Paramètres'!$A$1:$I$89,3,0)*0.475*44/12</f>
        <v>2.379852878</v>
      </c>
      <c r="AV34" s="142">
        <f>EXP(-LN(2)/25)*AV33+(1-EXP(-LN(2)/25))/(LN(2)/25)*Calculateur!AQ34*Calculateur!AS34*VLOOKUP('Données projet'!$B$10,'Paramètres'!$A$1:$I$89,3,0)*0.475*44/12</f>
        <v>10.61662918</v>
      </c>
      <c r="AW34" s="142">
        <f>EXP(-LN(2)/2)*AW33+(1-EXP(-LN(2)/2))/(LN(2)/2)*AQ34*AT34*VLOOKUP('Données projet'!$B$10,'Paramètres'!$A$1:$I$89,3,0)*0.475*44/12</f>
        <v>6.57357202</v>
      </c>
      <c r="AX34" s="142">
        <f t="shared" si="7"/>
        <v>19.57005408</v>
      </c>
      <c r="AY34" s="13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1" t="str">
        <f>VLOOKUP(A34,'Données projet'!$A$87:$I$107,2,0)</f>
        <v>#N/A</v>
      </c>
      <c r="BB34" s="131" t="str">
        <f>VLOOKUP(A34,'Données projet'!$A$87:$I$107,9,0)</f>
        <v>#N/A</v>
      </c>
      <c r="BC34" s="130">
        <f t="array" ref="BC34">INDEX(BB:BB,MIN(IF(ISNUMBER(BB34:BB230),ROW(BB34:BB230),"")))</f>
        <v>11</v>
      </c>
      <c r="BD34" s="130">
        <f>IF('Données projet'!$A$88&gt;35,BD33+BC34-BL33,IF(A34&lt;'Données projet'!$A$88,$BA$205^A34,IF(A34='Données projet'!$A$88,'Données projet'!$B$88,BD33+BC34-BL33)))</f>
        <v>111</v>
      </c>
      <c r="BE34" s="130">
        <f>BD34*VLOOKUP('Données projet'!$B$11,'Paramètres'!$A$1:$I$89,3,0)*VLOOKUP('Données projet'!$B$11,'Paramètres'!$A$1:$I$89,5,0)</f>
        <v>51.948</v>
      </c>
      <c r="BF34" s="130">
        <f t="shared" si="38"/>
        <v>15.11571465</v>
      </c>
      <c r="BG34" s="141">
        <f t="shared" si="8"/>
        <v>116.8026363</v>
      </c>
      <c r="BH34" s="133">
        <f t="shared" si="9"/>
        <v>410.1359697</v>
      </c>
      <c r="BI34" s="133">
        <f>AVERAGE(OFFSET($BH$3,0,0,'Données projet'!$E$11+1,1))-AVERAGE(OFFSET($H$3,0,0,'Données projet'!$E$11+1,1))</f>
        <v>134.0948534</v>
      </c>
      <c r="BJ34" s="133">
        <f t="shared" si="39"/>
        <v>108.4102536</v>
      </c>
      <c r="BK34" s="134">
        <f>IF(ISNA(VLOOKUP(A34,'Données projet'!$A$87:$I$107,3,0)),0,VLOOKUP(A34,'Données projet'!$A$87:$I$107,3,0))</f>
        <v>0</v>
      </c>
      <c r="BL34" s="134">
        <f>IF(ISNA(VLOOKUP(A34,'Données projet'!$A$87:$I$107,4,0)),0,VLOOKUP(A34,'Données projet'!$A$87:$I$107,4,0))</f>
        <v>0</v>
      </c>
      <c r="BM34" s="135">
        <f>IF(ISNA(VLOOKUP(A34,'Données projet'!$A$87:$I$107,5,0)),0%,VLOOKUP(A34,'Données projet'!$A$87:$I$107,5,0)*VLOOKUP('Données projet'!$B$11,'Paramètres'!$A$1:$I$89,7,0))</f>
        <v>0</v>
      </c>
      <c r="BN34" s="135">
        <f>IF(ISNA(VLOOKUP(A34,'Données projet'!$A$87:$I$107,6,0)),0%,VLOOKUP(A34,'Données projet'!$A$87:$I$107,6,0)*VLOOKUP('Données projet'!$B$11,'Paramètres'!$A$1:$I$89,7,0))</f>
        <v>0</v>
      </c>
      <c r="BO34" s="135">
        <f>IF(ISNA(VLOOKUP(A34,'Données projet'!$A$87:$I$107,7,0)),0%,VLOOKUP(A34,'Données projet'!$A$87:$I$107,7,0))</f>
        <v>0</v>
      </c>
      <c r="BP34" s="142">
        <f>EXP(-LN(2)/35)*BP33+(1-EXP(-LN(2)/35))/(LN(2)/35)*BL34*BM34*VLOOKUP('Données projet'!$B$11,'Paramètres'!$A$1:$I$89,3,0)*0.475*44/12</f>
        <v>2.67809531</v>
      </c>
      <c r="BQ34" s="142">
        <f>EXP(-LN(2)/25)*BQ33+(1-EXP(-LN(2)/25))/(LN(2)/25)*Calculateur!BL34*Calculateur!BN34*VLOOKUP('Données projet'!$B$11,'Paramètres'!$A$1:$I$89,3,0)*0.475*44/12</f>
        <v>5.928165865</v>
      </c>
      <c r="BR34" s="142">
        <f>EXP(-LN(2)/2)*BR33+(1-EXP(-LN(2)/2))/(LN(2)/2)*BL34*BO34*VLOOKUP('Données projet'!$B$11,'Paramètres'!$A$1:$I$89,3,0)*0.475*44/12</f>
        <v>5.275565862</v>
      </c>
      <c r="BS34" s="143">
        <f t="shared" si="10"/>
        <v>13.88182704</v>
      </c>
      <c r="BT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1" t="str">
        <f>VLOOKUP(A34,'Données projet'!$A$113:$I$133,2,0)</f>
        <v>#N/A</v>
      </c>
      <c r="BW34" s="131" t="str">
        <f>VLOOKUP(A34,'Données projet'!$A$113:$I$133,9,0)</f>
        <v>#N/A</v>
      </c>
      <c r="BX34" s="130">
        <f t="array" ref="BX34">INDEX(BW:BW,MIN(IF(ISNUMBER(BW34:BW230),ROW(BW34:BW230),"")))</f>
        <v>25.6</v>
      </c>
      <c r="BY34" s="130">
        <f>IF('Données projet'!$A$114&gt;35,BY33+BX34-CG33,IF(A34&lt;'Données projet'!$A$114,$BV$205^A34,IF(A34='Données projet'!$A$114,'Données projet'!$B$114,BY33+BX34-CG33)))</f>
        <v>271.6</v>
      </c>
      <c r="BZ34" s="130">
        <f>BY34*VLOOKUP('Données projet'!$B$12,'Paramètres'!$A$1:$I$89,3,0)*VLOOKUP('Données projet'!$B$12,'Paramètres'!$A$1:$I$89,5,0)</f>
        <v>134.1704</v>
      </c>
      <c r="CA34" s="130">
        <f t="shared" si="40"/>
        <v>34.95823825</v>
      </c>
      <c r="CB34" s="141">
        <f t="shared" si="11"/>
        <v>294.5657116</v>
      </c>
      <c r="CC34" s="133">
        <f t="shared" si="12"/>
        <v>587.8990449</v>
      </c>
      <c r="CD34" s="133">
        <f>AVERAGE(OFFSET($CC$3,0,0,'Données projet'!$E$12+1,1))-AVERAGE(OFFSET($H$3,0,0,'Données projet'!$E$12+1,1))</f>
        <v>258.1672054</v>
      </c>
      <c r="CE34" s="133">
        <f t="shared" si="41"/>
        <v>296.0724261</v>
      </c>
      <c r="CF34" s="134">
        <f>IF(ISNA(VLOOKUP(A34,'Données projet'!$A$113:$I$133,3,0)),0,VLOOKUP(A34,'Données projet'!$A$113:$I$133,3,0))</f>
        <v>0</v>
      </c>
      <c r="CG34" s="134">
        <f>IF(ISNA(VLOOKUP(A34,'Données projet'!$A$113:$I$133,4,0)),0,VLOOKUP(A34,'Données projet'!$A$113:$I$133,4,0))</f>
        <v>0</v>
      </c>
      <c r="CH34" s="135">
        <f>IF(ISNA(VLOOKUP(A34,'Données projet'!$A$113:$I$133,5,0)),0%,VLOOKUP(A34,'Données projet'!$A$113:$I$133,5,0)*VLOOKUP('Données projet'!$B$12,'Paramètres'!$A$1:$I$89,7,0))</f>
        <v>0</v>
      </c>
      <c r="CI34" s="135">
        <f>IF(ISNA(VLOOKUP(A34,'Données projet'!$A$113:$I$133,6,0)),0%,VLOOKUP(A34,'Données projet'!$A$113:$I$133,6,0)*VLOOKUP('Données projet'!$B$12,'Paramètres'!$A$1:$I$89,7,0))</f>
        <v>0</v>
      </c>
      <c r="CJ34" s="135">
        <f>IF(ISNA(VLOOKUP(A34,'Données projet'!$A$113:$I$133,7,0)),0%,VLOOKUP(A34,'Données projet'!$A$113:$I$133,7,0))</f>
        <v>0</v>
      </c>
      <c r="CK34" s="142">
        <f>EXP(-LN(2)/35)*CK33+(1-EXP(-LN(2)/35))/(LN(2)/35)*CG34*CH34*VLOOKUP('Données projet'!$B$12,'Paramètres'!$A$1:$I$89,3,0)*0.475*44/12</f>
        <v>8.484917223</v>
      </c>
      <c r="CL34" s="142">
        <f>EXP(-LN(2)/25)*CL33+(1-EXP(-LN(2)/25))/(LN(2)/25)*Calculateur!CG34*Calculateur!CI34*VLOOKUP('Données projet'!$B$12,'Paramètres'!$A$1:$I$89,3,0)*0.475*44/12</f>
        <v>18.87994383</v>
      </c>
      <c r="CM34" s="142">
        <f>EXP(-LN(2)/2)*CM33+(1-EXP(-LN(2)/2))/(LN(2)/2)*CG34*CJ34*VLOOKUP('Données projet'!$B$12,'Paramètres'!$A$1:$I$89,3,0)*0.475*44/12</f>
        <v>10.27874289</v>
      </c>
      <c r="CN34" s="143">
        <f t="shared" si="13"/>
        <v>37.64360394</v>
      </c>
      <c r="CO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1" t="str">
        <f>VLOOKUP(A34,'Données projet'!$A$139:$I$159,2,0)</f>
        <v>#N/A</v>
      </c>
      <c r="CR34" s="131" t="str">
        <f>VLOOKUP(A34,'Données projet'!$A$139:$I$159,9,0)</f>
        <v>#N/A</v>
      </c>
      <c r="CS34" s="130">
        <f t="array" ref="CS34">INDEX(CR:CR,MIN(IF(ISNUMBER(CR34:CR230),ROW(CR34:CR230),"")))</f>
        <v>5</v>
      </c>
      <c r="CT34" s="138">
        <f>IF('Données projet'!$A$140&gt;35,CT33+CS34-DB33,IF(A34&lt;'Données projet'!$A$140,$CQ$205^A34,IF(A34='Données projet'!$A$140,'Données projet'!$B$140,CT33+CS34-DB33)))</f>
        <v>59</v>
      </c>
      <c r="CU34" s="138">
        <f>CT34*VLOOKUP('Données projet'!$B$13,'Paramètres'!$A$1:$I$89,3,0)*VLOOKUP('Données projet'!$B$13,'Paramètres'!$A$1:$I$89,5,0)</f>
        <v>59.826</v>
      </c>
      <c r="CV34" s="130">
        <f t="shared" si="42"/>
        <v>17.12426892</v>
      </c>
      <c r="CW34" s="141">
        <f t="shared" si="14"/>
        <v>134.0217184</v>
      </c>
      <c r="CX34" s="133">
        <f t="shared" si="15"/>
        <v>427.3550517</v>
      </c>
      <c r="CY34" s="133">
        <f>AVERAGE(OFFSET($CX$3,0,0,'Données projet'!$E$13+1,1))-AVERAGE(OFFSET($H$3,0,0,'Données projet'!$E$13+1,1))</f>
        <v>223.783507</v>
      </c>
      <c r="CZ34" s="133">
        <f t="shared" si="43"/>
        <v>84.92349117</v>
      </c>
      <c r="DA34" s="134">
        <f>IF(ISNA(VLOOKUP(A34,'Données projet'!$A$139:$I$159,3,0)),0,VLOOKUP(A34,'Données projet'!$A$139:$I$159,3,0))</f>
        <v>0</v>
      </c>
      <c r="DB34" s="134">
        <f>IF(ISNA(VLOOKUP(A34,'Données projet'!$A$139:$I$159,4,0)),0,VLOOKUP(A34,'Données projet'!$A$139:$I$159,4,0))</f>
        <v>0</v>
      </c>
      <c r="DC34" s="135">
        <f>IF(ISNA(VLOOKUP(A34,'Données projet'!$A$139:$I$159,5,0)),0%,VLOOKUP(A34,'Données projet'!$A$139:$I$159,5,0)*VLOOKUP('Données projet'!$B$13,'Paramètres'!$A$1:$I$89,7,0))</f>
        <v>0</v>
      </c>
      <c r="DD34" s="135">
        <f>IF(ISNA(VLOOKUP(A34,'Données projet'!$A$139:$I$159,6,0)),0%,VLOOKUP(A34,'Données projet'!$A$139:$I$159,6,0)*VLOOKUP('Données projet'!$B$13,'Paramètres'!$A$1:$I$89,7,0))</f>
        <v>0</v>
      </c>
      <c r="DE34" s="135">
        <f>IF(ISNA(VLOOKUP(A34,'Données projet'!$A$139:$I$159,7,0)),0%,VLOOKUP(A34,'Données projet'!$A$139:$I$159,7,0))</f>
        <v>0</v>
      </c>
      <c r="DF34" s="142">
        <f>EXP(-LN(2)/35)*DF33+(1-EXP(-LN(2)/35))/(LN(2)/35)*DB34*DC34*VLOOKUP('Données projet'!$B$13,'Paramètres'!$A$1:$I$89,3,0)*0.475*44/12</f>
        <v>0</v>
      </c>
      <c r="DG34" s="142">
        <f>EXP(-LN(2)/25)*DG33+(1-EXP(-LN(2)/25))/(LN(2)/25)*Calculateur!DB34*Calculateur!DD34*VLOOKUP('Données projet'!$B$13,'Paramètres'!$A$1:$I$89,3,0)*0.475*44/12</f>
        <v>0</v>
      </c>
      <c r="DH34" s="142">
        <f>EXP(-LN(2)/2)*DH33+(1-EXP(-LN(2)/2))/(LN(2)/2)*DB34*DE34*VLOOKUP('Données projet'!$B$13,'Paramètres'!$A$1:$I$89,3,0)*0.475*44/12</f>
        <v>0</v>
      </c>
      <c r="DI34" s="143">
        <f t="shared" si="16"/>
        <v>0</v>
      </c>
      <c r="DJ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1" t="str">
        <f>VLOOKUP(A34,'Données projet'!$A$165:$I$185,2,0)</f>
        <v>#N/A</v>
      </c>
      <c r="DM34" s="131" t="str">
        <f>VLOOKUP(A34,'Données projet'!$A$165:$I$185,9,0)</f>
        <v>#N/A</v>
      </c>
      <c r="DN34" s="131">
        <f t="array" ref="DN34">INDEX(DM:DM,MIN(IF(ISNUMBER(DM34:DM230),ROW(DM34:DM230),"")))</f>
        <v>8</v>
      </c>
      <c r="DO34" s="138">
        <f>IF('Données projet'!$A$166&gt;35,DO33+DN34-DW33,IF(A34&lt;'Données projet'!$A$166,$DL$205^A34,IF(A34='Données projet'!$A$166,'Données projet'!$B$166,DO33+DN34-DW33)))</f>
        <v>84</v>
      </c>
      <c r="DP34" s="138">
        <f>DO34*VLOOKUP('Données projet'!$B$14,'Paramètres'!$A$1:$I$89,3,0)*VLOOKUP('Données projet'!$B$14,'Paramètres'!$A$1:$I$89,5,0)</f>
        <v>76.0032</v>
      </c>
      <c r="DQ34" s="130">
        <f t="shared" si="44"/>
        <v>21.15704999</v>
      </c>
      <c r="DR34" s="141">
        <f t="shared" si="17"/>
        <v>169.2207687</v>
      </c>
      <c r="DS34" s="133">
        <f t="shared" si="18"/>
        <v>462.5541021</v>
      </c>
      <c r="DT34" s="133">
        <f>AVERAGE(OFFSET($DS$3,0,0,'Données projet'!$E$14+1,1))-AVERAGE(OFFSET($H$3,0,0,'Données projet'!$E$14+1,1))</f>
        <v>287.9334714</v>
      </c>
      <c r="DU34" s="133">
        <f t="shared" si="45"/>
        <v>156.6796502</v>
      </c>
      <c r="DV34" s="134">
        <f>IF(ISNA(VLOOKUP(A34,'Données projet'!$A$165:$I$185,3,0)),0,VLOOKUP(A34,'Données projet'!$A$165:$I$185,3,0))</f>
        <v>0</v>
      </c>
      <c r="DW34" s="134">
        <f>IF(ISNA(VLOOKUP(A34,'Données projet'!$A$165:$I$185,4,0)),0,VLOOKUP(A34,'Données projet'!$A$165:$I$185,4,0))</f>
        <v>0</v>
      </c>
      <c r="DX34" s="135">
        <f>IF(ISNA(VLOOKUP(A34,'Données projet'!$A$165:$I$185,5,0)),0%,VLOOKUP(A34,'Données projet'!$A$165:$I$185,5,0)*VLOOKUP('Données projet'!$B$14,'Paramètres'!$A$1:$I$89,7,0))</f>
        <v>0</v>
      </c>
      <c r="DY34" s="135">
        <f>IF(ISNA(VLOOKUP(A34,'Données projet'!$A$165:$I$185,6,0)),0%,VLOOKUP(A34,'Données projet'!$A$165:$I$185,6,0)*VLOOKUP('Données projet'!$B$14,'Paramètres'!$A$1:$I$89,7,0))</f>
        <v>0</v>
      </c>
      <c r="DZ34" s="135">
        <f>IF(ISNA(VLOOKUP(A34,'Données projet'!$A$165:$I$185,7,0)),0%,VLOOKUP(A34,'Données projet'!$A$165:$I$185,7,0))</f>
        <v>0</v>
      </c>
      <c r="EA34" s="142">
        <f>EXP(-LN(2)/35)*EA33+(1-EXP(-LN(2)/35))/(LN(2)/35)*DW34*DX34*VLOOKUP('Données projet'!$B$14,'Paramètres'!$A$1:$I$89,3,0)*0.475*44/12</f>
        <v>0</v>
      </c>
      <c r="EB34" s="142">
        <f>EXP(-LN(2)/25)*EB33+(1-EXP(-LN(2)/25))/(LN(2)/25)*Calculateur!DW34*Calculateur!DY34*VLOOKUP('Données projet'!$B$14,'Paramètres'!$A$1:$I$89,3,0)*0.475*44/12</f>
        <v>0</v>
      </c>
      <c r="EC34" s="142">
        <f>EXP(-LN(2)/2)*EC33+(1-EXP(-LN(2)/2))/(LN(2)/2)*DW34*DZ34*VLOOKUP('Données projet'!$B$14,'Paramètres'!$A$1:$I$89,3,0)*0.475*44/12</f>
        <v>0</v>
      </c>
      <c r="ED34" s="143">
        <f t="shared" si="19"/>
        <v>0</v>
      </c>
      <c r="EE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1" t="str">
        <f>VLOOKUP(A34,'Données projet'!$A$191:$I$211,2,0)</f>
        <v>#N/A</v>
      </c>
      <c r="EH34" s="131" t="str">
        <f>VLOOKUP(A34,'Données projet'!$A$191:$I$211,9,0)</f>
        <v>#N/A</v>
      </c>
      <c r="EI34" s="131">
        <f t="array" ref="EI34">INDEX(EH:EH,MIN(IF(ISNUMBER(EH34:EH230),ROW(EH34:EH230),"")))</f>
        <v>7.2</v>
      </c>
      <c r="EJ34" s="138">
        <f>IF('Données projet'!$A$192&gt;35,EJ33+EI34-ER33,IF(A34&lt;'Données projet'!$A$192,$EG$205^A34,IF(A34='Données projet'!$A$192,'Données projet'!$B$192,EJ33+EI34-ER33)))</f>
        <v>68.2</v>
      </c>
      <c r="EK34" s="138">
        <f>EJ34*VLOOKUP('Données projet'!$B$15,'Paramètres'!$A$1:$I$89,3,0)*VLOOKUP('Données projet'!$B$15,'Paramètres'!$A$1:$I$89,5,0)</f>
        <v>50.00424</v>
      </c>
      <c r="EL34" s="130">
        <f t="shared" si="46"/>
        <v>14.61485466</v>
      </c>
      <c r="EM34" s="141">
        <f t="shared" si="20"/>
        <v>112.5449232</v>
      </c>
      <c r="EN34" s="133">
        <f t="shared" si="21"/>
        <v>405.8782565</v>
      </c>
      <c r="EO34" s="133">
        <f>AVERAGE(OFFSET($EN$3,0,0,'Données projet'!$E$15+1,1))-AVERAGE(OFFSET($H$3,0,0,'Données projet'!$E$15+1,1))</f>
        <v>130.3193339</v>
      </c>
      <c r="EP34" s="133">
        <f t="shared" si="47"/>
        <v>82.22784365</v>
      </c>
      <c r="EQ34" s="134">
        <f>IF(ISNA(VLOOKUP(A34,'Données projet'!$A$191:$I$211,3,0)),0,VLOOKUP(A34,'Données projet'!$A$191:$I$211,3,0))</f>
        <v>0</v>
      </c>
      <c r="ER34" s="134">
        <f>IF(ISNA(VLOOKUP(A34,'Données projet'!$A$191:$I$211,4,0)),0,VLOOKUP(A34,'Données projet'!$A$191:$I$211,4,0))</f>
        <v>0</v>
      </c>
      <c r="ES34" s="135">
        <f>IF(ISNA(VLOOKUP(A34,'Données projet'!$A$191:$I$211,5,0)),0%,VLOOKUP(A34,'Données projet'!$A$191:$I$211,5,0)*VLOOKUP('Données projet'!$B$15,'Paramètres'!$A$1:$I$89,7,0))</f>
        <v>0</v>
      </c>
      <c r="ET34" s="135">
        <f>IF(ISNA(VLOOKUP(A34,'Données projet'!$A$191:$I$211,6,0)),0%,VLOOKUP(A34,'Données projet'!$A$191:$I$211,6,0)*VLOOKUP('Données projet'!$B$15,'Paramètres'!$A$1:$I$89,7,0))</f>
        <v>0</v>
      </c>
      <c r="EU34" s="135">
        <f>IF(ISNA(VLOOKUP(A34,'Données projet'!$A$191:$I$211,7,0)),0%,VLOOKUP(A34,'Données projet'!$A$191:$I$211,7,0))</f>
        <v>0</v>
      </c>
      <c r="EV34" s="142">
        <f>EXP(-LN(2)/35)*EV33+(1-EXP(-LN(2)/35))/(LN(2)/35)*ER34*ES34*VLOOKUP('Données projet'!$B$15,'Paramètres'!$A$1:$I$89,3,0)*0.475*44/12</f>
        <v>0.8200652458</v>
      </c>
      <c r="EW34" s="142">
        <f>EXP(-LN(2)/25)*EW33+(1-EXP(-LN(2)/25))/(LN(2)/25)*Calculateur!ER34*Calculateur!ET34*VLOOKUP('Données projet'!$B$15,'Paramètres'!$A$1:$I$89,3,0)*0.475*44/12</f>
        <v>0</v>
      </c>
      <c r="EX34" s="142">
        <f>EXP(-LN(2)/2)*EX33+(1-EXP(-LN(2)/2))/(LN(2)/2)*ER34*EU34*VLOOKUP('Données projet'!$B$15,'Paramètres'!$A$1:$I$89,3,0)*0.475*44/12</f>
        <v>0</v>
      </c>
      <c r="EY34" s="143">
        <f t="shared" si="22"/>
        <v>0.8200652458</v>
      </c>
      <c r="EZ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1" t="str">
        <f>VLOOKUP(A34,'Données projet'!$A$217:$I$237,2,0)</f>
        <v>#N/A</v>
      </c>
      <c r="FC34" s="131" t="str">
        <f>VLOOKUP(A34,'Données projet'!$A$217:$I$237,9,0)</f>
        <v>#N/A</v>
      </c>
      <c r="FD34" s="130">
        <f t="array" ref="FD34">INDEX(FC:FC,MIN(IF(ISNUMBER(FC34:FC230),ROW(FC34:FC230),"")))</f>
        <v>7.8</v>
      </c>
      <c r="FE34" s="130">
        <f>IF('Données projet'!$A$218&gt;35,FE33+FD34-FM33,IF(A34&lt;'Données projet'!$A$218,$FB$205^A34,IF(A34='Données projet'!$A$218,'Données projet'!$B$218,FE33+FD34-FM33)))</f>
        <v>176.8</v>
      </c>
      <c r="FF34" s="138">
        <f>FE34*VLOOKUP('Données projet'!$B$16,'Paramètres'!$A$1:$I$89,3,0)*VLOOKUP('Données projet'!$B$16,'Paramètres'!$A$1:$I$89,5,0)</f>
        <v>159.96864</v>
      </c>
      <c r="FG34" s="130">
        <f t="shared" si="48"/>
        <v>40.83544199</v>
      </c>
      <c r="FH34" s="141">
        <f t="shared" si="23"/>
        <v>349.7337761</v>
      </c>
      <c r="FI34" s="133">
        <f t="shared" si="24"/>
        <v>643.0671095</v>
      </c>
      <c r="FJ34" s="133">
        <f>AVERAGE(OFFSET($FI$3,0,0,'Données projet'!$E$16+1,1))-AVERAGE(OFFSET($H$3,0,0,'Données projet'!$E$16+1,1))</f>
        <v>305.6252353</v>
      </c>
      <c r="FK34" s="133">
        <f t="shared" si="49"/>
        <v>331.397916</v>
      </c>
      <c r="FL34" s="134">
        <f>IF(ISNA(VLOOKUP(A34,'Données projet'!$A$217:$I$237,3,0)),0,VLOOKUP(A34,'Données projet'!$A$217:$I$237,3,0))</f>
        <v>0</v>
      </c>
      <c r="FM34" s="134">
        <f>IF(ISNA(VLOOKUP(A34,'Données projet'!$A$217:$I$237,4,0)),0,VLOOKUP(A34,'Données projet'!$A$217:$I$237,4,0))</f>
        <v>0</v>
      </c>
      <c r="FN34" s="135">
        <f>IF(ISNA(VLOOKUP(A34,'Données projet'!$A$217:$I$237,5,0)),0%,VLOOKUP(A34,'Données projet'!$A$217:$I$237,5,0)*VLOOKUP('Données projet'!$B$16,'Paramètres'!$A$1:$I$89,7,0))</f>
        <v>0</v>
      </c>
      <c r="FO34" s="135">
        <f>IF(ISNA(VLOOKUP(A34,'Données projet'!$A$217:$I$237,6,0)),0%,VLOOKUP(A34,'Données projet'!$A$217:$I$237,6,0)*VLOOKUP('Données projet'!$B$16,'Paramètres'!$A$1:$I$89,7,0))</f>
        <v>0</v>
      </c>
      <c r="FP34" s="135">
        <f>IF(ISNA(VLOOKUP(A34,'Données projet'!$A$217:$I$237,7,0)),0%,VLOOKUP(A34,'Données projet'!$A$217:$I$237,7,0))</f>
        <v>0</v>
      </c>
      <c r="FQ34" s="142">
        <f>EXP(-LN(2)/35)*FQ33+(1-EXP(-LN(2)/35))/(LN(2)/35)*FM34*FN34*VLOOKUP('Données projet'!$B$16,'Paramètres'!$A$1:$I$89,3,0)*0.475*44/12</f>
        <v>0</v>
      </c>
      <c r="FR34" s="142">
        <f>EXP(-LN(2)/25)*FR33+(1-EXP(-LN(2)/25))/(LN(2)/25)*Calculateur!FM34*Calculateur!FO34*VLOOKUP('Données projet'!$B$16,'Paramètres'!$A$1:$I$89,3,0)*0.475*44/12</f>
        <v>0</v>
      </c>
      <c r="FS34" s="142">
        <f>EXP(-LN(2)/2)*FS33+(1-EXP(-LN(2)/2))/(LN(2)/2)*FM34*FP34*VLOOKUP('Données projet'!$B$16,'Paramètres'!$A$1:$I$89,3,0)*0.475*44/12</f>
        <v>0</v>
      </c>
      <c r="FT34" s="143">
        <f t="shared" si="25"/>
        <v>0</v>
      </c>
      <c r="FU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1" t="str">
        <f>VLOOKUP(A34,'Données projet'!$A$243:$I$263,2,0)</f>
        <v>#N/A</v>
      </c>
      <c r="FX34" s="131" t="str">
        <f>VLOOKUP(A34,'Données projet'!$A$243:$I$263,9,0)</f>
        <v>#N/A</v>
      </c>
      <c r="FY34" s="130">
        <f t="array" ref="FY34">INDEX(FX:FX,MIN(IF(ISNUMBER(FX34:FX230),ROW(FX34:FX230),"")))</f>
        <v>10.2</v>
      </c>
      <c r="FZ34" s="138">
        <f>IF('Données projet'!$A$244&gt;35,FZ33+FY34-GH33,IF(A34&lt;'Données projet'!$A$244,$FW$205^A34,IF(A34='Données projet'!$A$244,'Données projet'!$B$244,FZ33+FY34-GH33)))</f>
        <v>98.2</v>
      </c>
      <c r="GA34" s="138">
        <f>FZ34*VLOOKUP('Données projet'!$B$17,'Paramètres'!$A$1:$I$89,3,0)*VLOOKUP('Données projet'!$B$17,'Paramètres'!$A$1:$I$89,5,0)</f>
        <v>65.87256</v>
      </c>
      <c r="GB34" s="130">
        <f t="shared" si="50"/>
        <v>18.64487164</v>
      </c>
      <c r="GC34" s="141">
        <f t="shared" si="26"/>
        <v>147.2011934</v>
      </c>
      <c r="GD34" s="133">
        <f t="shared" si="27"/>
        <v>440.5345268</v>
      </c>
      <c r="GE34" s="133">
        <f>AVERAGE(OFFSET($GD$3,0,0,'Données projet'!$E$17+1,1))-AVERAGE(OFFSET($H$3,0,0,'Données projet'!$E$17+1,1))</f>
        <v>118.7368745</v>
      </c>
      <c r="GF34" s="133">
        <f t="shared" si="51"/>
        <v>135.1233677</v>
      </c>
      <c r="GG34" s="134">
        <f>IF(ISNA(VLOOKUP(A34,'Données projet'!$A$243:$I$263,3,0)),0,VLOOKUP(A34,'Données projet'!$A$243:$I$263,3,0))</f>
        <v>0</v>
      </c>
      <c r="GH34" s="134">
        <f>IF(ISNA(VLOOKUP(A34,'Données projet'!$A$243:$I$263,4,0)),0,VLOOKUP(A34,'Données projet'!$A$243:$I$263,4,0))</f>
        <v>0</v>
      </c>
      <c r="GI34" s="135">
        <f>IF(ISNA(VLOOKUP(A34,'Données projet'!$A$243:$I$263,5,0)),0%,VLOOKUP(A34,'Données projet'!$A$243:$I$263,5,0)*VLOOKUP('Données projet'!$B$17,'Paramètres'!$A$1:$I$89,7,0))</f>
        <v>0</v>
      </c>
      <c r="GJ34" s="135">
        <f>IF(ISNA(VLOOKUP(A34,'Données projet'!$A$243:$I$263,6,0)),0%,VLOOKUP(A34,'Données projet'!$A$243:$I$263,6,0)*VLOOKUP('Données projet'!$B$17,'Paramètres'!$A$1:$I$89,7,0))</f>
        <v>0</v>
      </c>
      <c r="GK34" s="135">
        <f>IF(ISNA(VLOOKUP(A34,'Données projet'!$A$243:$I$263,7,0)),0%,VLOOKUP(A34,'Données projet'!$A$243:$I$263,7,0))</f>
        <v>0</v>
      </c>
      <c r="GL34" s="142">
        <f>EXP(-LN(2)/35)*GL33+(1-EXP(-LN(2)/35))/(LN(2)/35)*GH34*GI34*VLOOKUP('Données projet'!$B$17,'Paramètres'!$A$1:$I$89,3,0)*0.475*44/12</f>
        <v>0</v>
      </c>
      <c r="GM34" s="142">
        <f>EXP(-LN(2)/25)*GM33+(1-EXP(-LN(2)/25))/(LN(2)/25)*Calculateur!GH34*Calculateur!GJ34*VLOOKUP('Données projet'!$B$17,'Paramètres'!$A$1:$I$89,3,0)*0.475*44/12</f>
        <v>0</v>
      </c>
      <c r="GN34" s="142">
        <f>EXP(-LN(2)/2)*GN33+(1-EXP(-LN(2)/2))/(LN(2)/2)*GH34*GK34*VLOOKUP('Données projet'!$B$17,'Paramètres'!$A$1:$I$89,3,0)*0.475*44/12</f>
        <v>0</v>
      </c>
      <c r="GO34" s="142">
        <f t="shared" si="28"/>
        <v>0</v>
      </c>
      <c r="GP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1" t="str">
        <f>VLOOKUP(A34,'Données projet'!$A$269:$I$289,2,0)</f>
        <v>#N/A</v>
      </c>
      <c r="GS34" s="131" t="str">
        <f>VLOOKUP(A34,'Données projet'!$A$269:$I$289,9,0)</f>
        <v>#N/A</v>
      </c>
      <c r="GT34" s="130">
        <f t="array" ref="GT34">INDEX(GS:GS,MIN(IF(ISNUMBER(GS34:GS230),ROW(GS34:GS230),"")))</f>
        <v>5</v>
      </c>
      <c r="GU34" s="138">
        <f>IF('Données projet'!$A$270&gt;35,GU33+GT34-HC33,IF(A34&lt;'Données projet'!$A$270,$GR$205^A34,IF(A34='Données projet'!$A$270,'Données projet'!$B$270,GU33+GT34-HC33)))</f>
        <v>59</v>
      </c>
      <c r="GV34" s="138">
        <f>GU34*VLOOKUP('Données projet'!$B$18,'Paramètres'!$A$1:$I$89,3,0)*VLOOKUP('Données projet'!$B$18,'Paramètres'!$A$1:$I$89,5,0)</f>
        <v>63.5076</v>
      </c>
      <c r="GW34" s="130">
        <f t="shared" si="52"/>
        <v>18.0521467</v>
      </c>
      <c r="GX34" s="141">
        <f t="shared" si="29"/>
        <v>142.0498922</v>
      </c>
      <c r="GY34" s="133">
        <f t="shared" si="30"/>
        <v>435.3832255</v>
      </c>
      <c r="GZ34" s="133">
        <f>AVERAGE(OFFSET($GY$3,0,0,'Données projet'!$E$18+1,1))-AVERAGE(OFFSET($H$3,0,0,'Données projet'!$E$18+1,1))</f>
        <v>100.5427875</v>
      </c>
      <c r="HA34" s="133">
        <f t="shared" si="53"/>
        <v>92.28663609</v>
      </c>
      <c r="HB34" s="134">
        <f>IF(ISNA(VLOOKUP(A34,'Données projet'!$A$269:$I$289,3,0)),0,VLOOKUP(A34,'Données projet'!$A$269:$I$289,3,0))</f>
        <v>0</v>
      </c>
      <c r="HC34" s="134">
        <f>IF(ISNA(VLOOKUP(A34,'Données projet'!$A$269:$I$289,4,0)),0,VLOOKUP(A34,'Données projet'!$A$269:$I$289,4,0))</f>
        <v>0</v>
      </c>
      <c r="HD34" s="135">
        <f>IF(ISNA(VLOOKUP(A34,'Données projet'!$A$269:$I$289,5,0)),0%,VLOOKUP(A34,'Données projet'!$A$269:$I$289,5,0)*VLOOKUP('Données projet'!$B$18,'Paramètres'!$A$1:$I$89,7,0))</f>
        <v>0</v>
      </c>
      <c r="HE34" s="135">
        <f>IF(ISNA(VLOOKUP(A34,'Données projet'!$A$269:$I$289,6,0)),0%,VLOOKUP(A34,'Données projet'!$A$269:$I$289,6,0)*VLOOKUP('Données projet'!$B$18,'Paramètres'!$A$1:$I$89,7,0))</f>
        <v>0</v>
      </c>
      <c r="HF34" s="135">
        <f>IF(ISNA(VLOOKUP(A34,'Données projet'!$A$269:$I$289,7,0)),0%,VLOOKUP(A34,'Données projet'!$A$269:$I$289,7,0))</f>
        <v>0</v>
      </c>
      <c r="HG34" s="142">
        <f>EXP(-LN(2)/35)*HG33+(1-EXP(-LN(2)/35))/(LN(2)/35)*HC34*HD34*VLOOKUP('Données projet'!$B$18,'Paramètres'!$A$1:$I$89,3,0)*0.475*44/12</f>
        <v>0</v>
      </c>
      <c r="HH34" s="142">
        <f>EXP(-LN(2)/25)*HH33+(1-EXP(-LN(2)/25))/(LN(2)/25)*Calculateur!HC34*Calculateur!HE34*VLOOKUP('Données projet'!$B$18,'Paramètres'!$A$1:$I$89,3,0)*0.475*44/12</f>
        <v>0</v>
      </c>
      <c r="HI34" s="142">
        <f>EXP(-LN(2)/2)*HI33+(1-EXP(-LN(2)/2))/(LN(2)/2)*HC34*HF34*VLOOKUP('Données projet'!$B$18,'Paramètres'!$A$1:$I$89,3,0)*0.475*44/12</f>
        <v>0</v>
      </c>
      <c r="HJ34" s="143">
        <f t="shared" si="31"/>
        <v>0</v>
      </c>
    </row>
    <row r="35" ht="15.75" customHeight="1">
      <c r="A35" s="125">
        <f t="shared" si="32"/>
        <v>32</v>
      </c>
      <c r="B35" s="126">
        <f>'Scénario référence'!$B$16*5+'Scénario référence'!$B$17*0+'Scénario référence'!$B$18*5</f>
        <v>0</v>
      </c>
      <c r="C35" s="140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17.472</v>
      </c>
      <c r="D35" s="127">
        <f t="shared" si="33"/>
        <v>5.771464183</v>
      </c>
      <c r="E3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7">
        <f>IF(OR('Scénario référence'!$F$8&gt;0,'Scénario référence'!$F$9&gt;0),('Scénario référence'!$F$8+'Scénario référence'!$F$9)*10,0)</f>
        <v>10</v>
      </c>
      <c r="G35" s="127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179.4232323</v>
      </c>
      <c r="H35" s="128">
        <f t="shared" si="1"/>
        <v>333.8157001</v>
      </c>
      <c r="I35" s="12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1" t="str">
        <f>VLOOKUP(A35,'Données projet'!$A$35:$I$55,2,0)</f>
        <v>#N/A</v>
      </c>
      <c r="L35" s="131" t="str">
        <f>VLOOKUP(A35,'Données projet'!$A$35:$I$55,9,0)</f>
        <v>#N/A</v>
      </c>
      <c r="M35" s="130">
        <f t="array" ref="M35">INDEX(L:L,MIN(IF(ISNUMBER(L35:L231),ROW(L35:L231),"")))</f>
        <v>10.8</v>
      </c>
      <c r="N35" s="130">
        <f>IF('Données projet'!$A$36&gt;35,N34+M35-V34,IF(A35&lt;'Données projet'!$A$36,$K$205^A35,IF(A35='Données projet'!$A$36,'Données projet'!$B$36,N34+M35-V34)))</f>
        <v>138.6</v>
      </c>
      <c r="O35" s="130">
        <f>N35*VLOOKUP('Données projet'!$B$9,'Paramètres'!$A$1:$I$89,3,0)*VLOOKUP('Données projet'!$B$9,'Paramètres'!$A$1:$I$89,5,0)</f>
        <v>79.2792</v>
      </c>
      <c r="P35" s="130">
        <f t="shared" si="34"/>
        <v>21.96085205</v>
      </c>
      <c r="Q35" s="141">
        <f t="shared" si="2"/>
        <v>176.326424</v>
      </c>
      <c r="R35" s="133">
        <f t="shared" si="3"/>
        <v>469.6597573</v>
      </c>
      <c r="S35" s="133">
        <f>AVERAGE(OFFSET($R$3,0,0,'Données projet'!$E$9+1,1))-AVERAGE(OFFSET($H$3,0,0,'Données projet'!$E$9+1,1))</f>
        <v>126.9946492</v>
      </c>
      <c r="T35" s="133">
        <f t="shared" si="35"/>
        <v>140.039049</v>
      </c>
      <c r="U35" s="134">
        <f>IF(ISNA(VLOOKUP(A35,'Données projet'!$A$35:$I$55,3,0)),0,VLOOKUP(A35,'Données projet'!$A$35:$I$55,3,0))</f>
        <v>0</v>
      </c>
      <c r="V35" s="134">
        <f>IF(ISNA(VLOOKUP(A35,'Données projet'!$A$35:$I$55,4,0)),0,VLOOKUP(A35,'Données projet'!$A$35:$I$55,4,0))</f>
        <v>0</v>
      </c>
      <c r="W35" s="135">
        <f>IF(ISNA(VLOOKUP(A35,'Données projet'!$A$35:$I$55,5,0)),0%,VLOOKUP(A35,'Données projet'!$A$35:$I$55,5,0)*VLOOKUP('Données projet'!$B$9,'Paramètres'!$A$1:$I$89,7,0))</f>
        <v>0</v>
      </c>
      <c r="X35" s="135">
        <f>IF(ISNA(VLOOKUP(A35,'Données projet'!$A$35:$I$55,6,0)),0%,VLOOKUP(A35,'Données projet'!$A$35:$I$55,6,0)*VLOOKUP('Données projet'!$B$9,'Paramètres'!$A$1:$I$89,7,0))</f>
        <v>0</v>
      </c>
      <c r="Y35" s="135">
        <f>IF(ISNA(VLOOKUP(A35,'Données projet'!$A$35:$I$55,7,0)),0%,VLOOKUP(A35,'Données projet'!$A$35:$I$55,7,0))</f>
        <v>0</v>
      </c>
      <c r="Z35" s="142">
        <f>EXP(-LN(2)/35)*Z34+(1-EXP(-LN(2)/35))/(LN(2)/35)*V35*W35*VLOOKUP('Données projet'!$B$9,'Paramètres'!$A$1:$I$89,3,0)*0.475*44/12</f>
        <v>1.509708209</v>
      </c>
      <c r="AA35" s="142">
        <f>EXP(-LN(2)/25)*AA34+(1-EXP(-LN(2)/25))/(LN(2)/25)*Calculateur!V35*Calculateur!X35*VLOOKUP('Données projet'!$B$9,'Paramètres'!$A$1:$I$89,3,0)*0.475*44/12</f>
        <v>5.197851915</v>
      </c>
      <c r="AB35" s="142">
        <f>EXP(-LN(2)/2)*AB34+(1-EXP(-LN(2)/2))/(LN(2)/2)*V35*Y35*VLOOKUP('Données projet'!$B$9,'Paramètres'!$A$1:$I$89,3,0)*0.475*44/12</f>
        <v>2.923880028</v>
      </c>
      <c r="AC35" s="143">
        <f t="shared" si="4"/>
        <v>9.631440152</v>
      </c>
      <c r="AD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1" t="str">
        <f>VLOOKUP(A35,'Données projet'!$A$61:$I$81,2,0)</f>
        <v>#N/A</v>
      </c>
      <c r="AG35" s="131" t="str">
        <f>VLOOKUP(A35,'Données projet'!$A$61:$I$81,9,0)</f>
        <v>#N/A</v>
      </c>
      <c r="AH35" s="131">
        <f t="array" ref="AH35">INDEX(AG:AG,MIN(IF(ISNUMBER(AG35:AG231),ROW(AG35:AG231),"")))</f>
        <v>14.6</v>
      </c>
      <c r="AI35" s="130">
        <f>IF('Données projet'!$A$62&gt;35,AI34+AH35-AQ34,IF(A35&lt;'Données projet'!$A$62,$AF$205^A35,IF(A35='Données projet'!$A$62,'Données projet'!$B$62,AI34+AH35-AQ34)))</f>
        <v>189.2</v>
      </c>
      <c r="AJ35" s="130">
        <f>AI35*VLOOKUP('Données projet'!$B$10,'Paramètres'!$A$1:$I$89,3,0)*VLOOKUP('Données projet'!$B$10,'Paramètres'!$A$1:$I$89,5,0)</f>
        <v>113.1416</v>
      </c>
      <c r="AK35" s="130">
        <f t="shared" si="36"/>
        <v>30.06995259</v>
      </c>
      <c r="AL35" s="141">
        <f t="shared" si="5"/>
        <v>249.4267874</v>
      </c>
      <c r="AM35" s="133">
        <f t="shared" si="6"/>
        <v>542.7601208</v>
      </c>
      <c r="AN35" s="133">
        <f>AVERAGE(OFFSET($AM$3,0,0,'Données projet'!$E$10+1,1))-AVERAGE(OFFSET($H$3,0,0,'Données projet'!$E$10+1,1))</f>
        <v>196.874484</v>
      </c>
      <c r="AO35" s="133">
        <f t="shared" si="37"/>
        <v>217.5750859</v>
      </c>
      <c r="AP35" s="134">
        <f>IF(ISNA(VLOOKUP(A35,'Données projet'!$A$61:$I$81,3,0)),0,VLOOKUP(A35,'Données projet'!$A$61:$I$81,3,0))</f>
        <v>0</v>
      </c>
      <c r="AQ35" s="134">
        <f>IF(ISNA(VLOOKUP(A35,'Données projet'!$A$61:$I$81,4,0)),0,VLOOKUP(A35,'Données projet'!$A$61:$I$81,4,0))</f>
        <v>0</v>
      </c>
      <c r="AR35" s="135">
        <f>IF(ISNA(VLOOKUP(A35,'Données projet'!$A$61:$I$81,5,0)),0%,VLOOKUP(A35,'Données projet'!$A$61:$I$81,5,0)*VLOOKUP('Données projet'!$B$10,'Paramètres'!$A$1:$I$89,7,0))</f>
        <v>0</v>
      </c>
      <c r="AS35" s="135">
        <f>IF(ISNA(VLOOKUP(A35,'Données projet'!$A$61:$I$81,6,0)),0%,VLOOKUP(A35,'Données projet'!$A$61:$I$81,6,0)*VLOOKUP('Données projet'!$B$10,'Paramètres'!$A$1:$I$89,7,0))</f>
        <v>0</v>
      </c>
      <c r="AT35" s="135">
        <f>IF(ISNA(VLOOKUP(A35,'Données projet'!$A$61:$I$81,7,0)),0%,VLOOKUP(A35,'Données projet'!$A$61:$I$81,7,0))</f>
        <v>0</v>
      </c>
      <c r="AU35" s="142">
        <f>EXP(-LN(2)/35)*AU34+(1-EXP(-LN(2)/35))/(LN(2)/35)*AQ35*AR35*VLOOKUP('Données projet'!$B$10,'Paramètres'!$A$1:$I$89,3,0)*0.475*44/12</f>
        <v>2.333185415</v>
      </c>
      <c r="AV35" s="142">
        <f>EXP(-LN(2)/25)*AV34+(1-EXP(-LN(2)/25))/(LN(2)/25)*Calculateur!AQ35*Calculateur!AS35*VLOOKUP('Données projet'!$B$10,'Paramètres'!$A$1:$I$89,3,0)*0.475*44/12</f>
        <v>10.3263169</v>
      </c>
      <c r="AW35" s="142">
        <f>EXP(-LN(2)/2)*AW34+(1-EXP(-LN(2)/2))/(LN(2)/2)*AQ35*AT35*VLOOKUP('Données projet'!$B$10,'Paramètres'!$A$1:$I$89,3,0)*0.475*44/12</f>
        <v>4.648217352</v>
      </c>
      <c r="AX35" s="142">
        <f t="shared" si="7"/>
        <v>17.30771966</v>
      </c>
      <c r="AY35" s="13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1" t="str">
        <f>VLOOKUP(A35,'Données projet'!$A$87:$I$107,2,0)</f>
        <v>#N/A</v>
      </c>
      <c r="BB35" s="131" t="str">
        <f>VLOOKUP(A35,'Données projet'!$A$87:$I$107,9,0)</f>
        <v>#N/A</v>
      </c>
      <c r="BC35" s="130">
        <f t="array" ref="BC35">INDEX(BB:BB,MIN(IF(ISNUMBER(BB35:BB231),ROW(BB35:BB231),"")))</f>
        <v>11</v>
      </c>
      <c r="BD35" s="130">
        <f>IF('Données projet'!$A$88&gt;35,BD34+BC35-BL34,IF(A35&lt;'Données projet'!$A$88,$BA$205^A35,IF(A35='Données projet'!$A$88,'Données projet'!$B$88,BD34+BC35-BL34)))</f>
        <v>122</v>
      </c>
      <c r="BE35" s="130">
        <f>BD35*VLOOKUP('Données projet'!$B$11,'Paramètres'!$A$1:$I$89,3,0)*VLOOKUP('Données projet'!$B$11,'Paramètres'!$A$1:$I$89,5,0)</f>
        <v>57.096</v>
      </c>
      <c r="BF35" s="130">
        <f t="shared" si="38"/>
        <v>16.43194025</v>
      </c>
      <c r="BG35" s="141">
        <f t="shared" si="8"/>
        <v>128.0611626</v>
      </c>
      <c r="BH35" s="133">
        <f t="shared" si="9"/>
        <v>421.3944959</v>
      </c>
      <c r="BI35" s="133">
        <f>AVERAGE(OFFSET($BH$3,0,0,'Données projet'!$E$11+1,1))-AVERAGE(OFFSET($H$3,0,0,'Données projet'!$E$11+1,1))</f>
        <v>134.0948534</v>
      </c>
      <c r="BJ35" s="133">
        <f t="shared" si="39"/>
        <v>108.4102536</v>
      </c>
      <c r="BK35" s="134">
        <f>IF(ISNA(VLOOKUP(A35,'Données projet'!$A$87:$I$107,3,0)),0,VLOOKUP(A35,'Données projet'!$A$87:$I$107,3,0))</f>
        <v>0</v>
      </c>
      <c r="BL35" s="134">
        <f>IF(ISNA(VLOOKUP(A35,'Données projet'!$A$87:$I$107,4,0)),0,VLOOKUP(A35,'Données projet'!$A$87:$I$107,4,0))</f>
        <v>0</v>
      </c>
      <c r="BM35" s="135">
        <f>IF(ISNA(VLOOKUP(A35,'Données projet'!$A$87:$I$107,5,0)),0%,VLOOKUP(A35,'Données projet'!$A$87:$I$107,5,0)*VLOOKUP('Données projet'!$B$11,'Paramètres'!$A$1:$I$89,7,0))</f>
        <v>0</v>
      </c>
      <c r="BN35" s="135">
        <f>IF(ISNA(VLOOKUP(A35,'Données projet'!$A$87:$I$107,6,0)),0%,VLOOKUP(A35,'Données projet'!$A$87:$I$107,6,0)*VLOOKUP('Données projet'!$B$11,'Paramètres'!$A$1:$I$89,7,0))</f>
        <v>0</v>
      </c>
      <c r="BO35" s="135">
        <f>IF(ISNA(VLOOKUP(A35,'Données projet'!$A$87:$I$107,7,0)),0%,VLOOKUP(A35,'Données projet'!$A$87:$I$107,7,0))</f>
        <v>0</v>
      </c>
      <c r="BP35" s="142">
        <f>EXP(-LN(2)/35)*BP34+(1-EXP(-LN(2)/35))/(LN(2)/35)*BL35*BM35*VLOOKUP('Données projet'!$B$11,'Paramètres'!$A$1:$I$89,3,0)*0.475*44/12</f>
        <v>2.625579495</v>
      </c>
      <c r="BQ35" s="142">
        <f>EXP(-LN(2)/25)*BQ34+(1-EXP(-LN(2)/25))/(LN(2)/25)*Calculateur!BL35*Calculateur!BN35*VLOOKUP('Données projet'!$B$11,'Paramètres'!$A$1:$I$89,3,0)*0.475*44/12</f>
        <v>5.766059858</v>
      </c>
      <c r="BR35" s="142">
        <f>EXP(-LN(2)/2)*BR34+(1-EXP(-LN(2)/2))/(LN(2)/2)*BL35*BO35*VLOOKUP('Données projet'!$B$11,'Paramètres'!$A$1:$I$89,3,0)*0.475*44/12</f>
        <v>3.730388395</v>
      </c>
      <c r="BS35" s="143">
        <f t="shared" si="10"/>
        <v>12.12202775</v>
      </c>
      <c r="BT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1" t="str">
        <f>VLOOKUP(A35,'Données projet'!$A$113:$I$133,2,0)</f>
        <v>#N/A</v>
      </c>
      <c r="BW35" s="131" t="str">
        <f>VLOOKUP(A35,'Données projet'!$A$113:$I$133,9,0)</f>
        <v>#N/A</v>
      </c>
      <c r="BX35" s="130">
        <f t="array" ref="BX35">INDEX(BW:BW,MIN(IF(ISNUMBER(BW35:BW231),ROW(BW35:BW231),"")))</f>
        <v>25.6</v>
      </c>
      <c r="BY35" s="130">
        <f>IF('Données projet'!$A$114&gt;35,BY34+BX35-CG34,IF(A35&lt;'Données projet'!$A$114,$BV$205^A35,IF(A35='Données projet'!$A$114,'Données projet'!$B$114,BY34+BX35-CG34)))</f>
        <v>297.2</v>
      </c>
      <c r="BZ35" s="130">
        <f>BY35*VLOOKUP('Données projet'!$B$12,'Paramètres'!$A$1:$I$89,3,0)*VLOOKUP('Données projet'!$B$12,'Paramètres'!$A$1:$I$89,5,0)</f>
        <v>146.8168</v>
      </c>
      <c r="CA35" s="130">
        <f t="shared" si="40"/>
        <v>37.85429141</v>
      </c>
      <c r="CB35" s="141">
        <f t="shared" si="11"/>
        <v>321.6354842</v>
      </c>
      <c r="CC35" s="133">
        <f t="shared" si="12"/>
        <v>614.9688175</v>
      </c>
      <c r="CD35" s="133">
        <f>AVERAGE(OFFSET($CC$3,0,0,'Données projet'!$E$12+1,1))-AVERAGE(OFFSET($H$3,0,0,'Données projet'!$E$12+1,1))</f>
        <v>258.1672054</v>
      </c>
      <c r="CE35" s="133">
        <f t="shared" si="41"/>
        <v>296.0724261</v>
      </c>
      <c r="CF35" s="134">
        <f>IF(ISNA(VLOOKUP(A35,'Données projet'!$A$113:$I$133,3,0)),0,VLOOKUP(A35,'Données projet'!$A$113:$I$133,3,0))</f>
        <v>0</v>
      </c>
      <c r="CG35" s="134">
        <f>IF(ISNA(VLOOKUP(A35,'Données projet'!$A$113:$I$133,4,0)),0,VLOOKUP(A35,'Données projet'!$A$113:$I$133,4,0))</f>
        <v>0</v>
      </c>
      <c r="CH35" s="135">
        <f>IF(ISNA(VLOOKUP(A35,'Données projet'!$A$113:$I$133,5,0)),0%,VLOOKUP(A35,'Données projet'!$A$113:$I$133,5,0)*VLOOKUP('Données projet'!$B$12,'Paramètres'!$A$1:$I$89,7,0))</f>
        <v>0</v>
      </c>
      <c r="CI35" s="135">
        <f>IF(ISNA(VLOOKUP(A35,'Données projet'!$A$113:$I$133,6,0)),0%,VLOOKUP(A35,'Données projet'!$A$113:$I$133,6,0)*VLOOKUP('Données projet'!$B$12,'Paramètres'!$A$1:$I$89,7,0))</f>
        <v>0</v>
      </c>
      <c r="CJ35" s="135">
        <f>IF(ISNA(VLOOKUP(A35,'Données projet'!$A$113:$I$133,7,0)),0%,VLOOKUP(A35,'Données projet'!$A$113:$I$133,7,0))</f>
        <v>0</v>
      </c>
      <c r="CK35" s="142">
        <f>EXP(-LN(2)/35)*CK34+(1-EXP(-LN(2)/35))/(LN(2)/35)*CG35*CH35*VLOOKUP('Données projet'!$B$12,'Paramètres'!$A$1:$I$89,3,0)*0.475*44/12</f>
        <v>8.318533172</v>
      </c>
      <c r="CL35" s="142">
        <f>EXP(-LN(2)/25)*CL34+(1-EXP(-LN(2)/25))/(LN(2)/25)*Calculateur!CG35*Calculateur!CI35*VLOOKUP('Données projet'!$B$12,'Paramètres'!$A$1:$I$89,3,0)*0.475*44/12</f>
        <v>18.36367077</v>
      </c>
      <c r="CM35" s="142">
        <f>EXP(-LN(2)/2)*CM34+(1-EXP(-LN(2)/2))/(LN(2)/2)*CG35*CJ35*VLOOKUP('Données projet'!$B$12,'Paramètres'!$A$1:$I$89,3,0)*0.475*44/12</f>
        <v>7.268168797</v>
      </c>
      <c r="CN35" s="143">
        <f t="shared" si="13"/>
        <v>33.95037274</v>
      </c>
      <c r="CO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1" t="str">
        <f>VLOOKUP(A35,'Données projet'!$A$139:$I$159,2,0)</f>
        <v>#N/A</v>
      </c>
      <c r="CR35" s="131" t="str">
        <f>VLOOKUP(A35,'Données projet'!$A$139:$I$159,9,0)</f>
        <v>#N/A</v>
      </c>
      <c r="CS35" s="130">
        <f t="array" ref="CS35">INDEX(CR:CR,MIN(IF(ISNUMBER(CR35:CR231),ROW(CR35:CR231),"")))</f>
        <v>5</v>
      </c>
      <c r="CT35" s="138">
        <f>IF('Données projet'!$A$140&gt;35,CT34+CS35-DB34,IF(A35&lt;'Données projet'!$A$140,$CQ$205^A35,IF(A35='Données projet'!$A$140,'Données projet'!$B$140,CT34+CS35-DB34)))</f>
        <v>64</v>
      </c>
      <c r="CU35" s="138">
        <f>CT35*VLOOKUP('Données projet'!$B$13,'Paramètres'!$A$1:$I$89,3,0)*VLOOKUP('Données projet'!$B$13,'Paramètres'!$A$1:$I$89,5,0)</f>
        <v>64.896</v>
      </c>
      <c r="CV35" s="130">
        <f t="shared" si="42"/>
        <v>18.40042385</v>
      </c>
      <c r="CW35" s="141">
        <f t="shared" si="14"/>
        <v>145.0746049</v>
      </c>
      <c r="CX35" s="133">
        <f t="shared" si="15"/>
        <v>438.4079382</v>
      </c>
      <c r="CY35" s="133">
        <f>AVERAGE(OFFSET($CX$3,0,0,'Données projet'!$E$13+1,1))-AVERAGE(OFFSET($H$3,0,0,'Données projet'!$E$13+1,1))</f>
        <v>223.783507</v>
      </c>
      <c r="CZ35" s="133">
        <f t="shared" si="43"/>
        <v>84.92349117</v>
      </c>
      <c r="DA35" s="134">
        <f>IF(ISNA(VLOOKUP(A35,'Données projet'!$A$139:$I$159,3,0)),0,VLOOKUP(A35,'Données projet'!$A$139:$I$159,3,0))</f>
        <v>0</v>
      </c>
      <c r="DB35" s="134">
        <f>IF(ISNA(VLOOKUP(A35,'Données projet'!$A$139:$I$159,4,0)),0,VLOOKUP(A35,'Données projet'!$A$139:$I$159,4,0))</f>
        <v>0</v>
      </c>
      <c r="DC35" s="135">
        <f>IF(ISNA(VLOOKUP(A35,'Données projet'!$A$139:$I$159,5,0)),0%,VLOOKUP(A35,'Données projet'!$A$139:$I$159,5,0)*VLOOKUP('Données projet'!$B$13,'Paramètres'!$A$1:$I$89,7,0))</f>
        <v>0</v>
      </c>
      <c r="DD35" s="135">
        <f>IF(ISNA(VLOOKUP(A35,'Données projet'!$A$139:$I$159,6,0)),0%,VLOOKUP(A35,'Données projet'!$A$139:$I$159,6,0)*VLOOKUP('Données projet'!$B$13,'Paramètres'!$A$1:$I$89,7,0))</f>
        <v>0</v>
      </c>
      <c r="DE35" s="135">
        <f>IF(ISNA(VLOOKUP(A35,'Données projet'!$A$139:$I$159,7,0)),0%,VLOOKUP(A35,'Données projet'!$A$139:$I$159,7,0))</f>
        <v>0</v>
      </c>
      <c r="DF35" s="142">
        <f>EXP(-LN(2)/35)*DF34+(1-EXP(-LN(2)/35))/(LN(2)/35)*DB35*DC35*VLOOKUP('Données projet'!$B$13,'Paramètres'!$A$1:$I$89,3,0)*0.475*44/12</f>
        <v>0</v>
      </c>
      <c r="DG35" s="142">
        <f>EXP(-LN(2)/25)*DG34+(1-EXP(-LN(2)/25))/(LN(2)/25)*Calculateur!DB35*Calculateur!DD35*VLOOKUP('Données projet'!$B$13,'Paramètres'!$A$1:$I$89,3,0)*0.475*44/12</f>
        <v>0</v>
      </c>
      <c r="DH35" s="142">
        <f>EXP(-LN(2)/2)*DH34+(1-EXP(-LN(2)/2))/(LN(2)/2)*DB35*DE35*VLOOKUP('Données projet'!$B$13,'Paramètres'!$A$1:$I$89,3,0)*0.475*44/12</f>
        <v>0</v>
      </c>
      <c r="DI35" s="143">
        <f t="shared" si="16"/>
        <v>0</v>
      </c>
      <c r="DJ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1" t="str">
        <f>VLOOKUP(A35,'Données projet'!$A$165:$I$185,2,0)</f>
        <v>#N/A</v>
      </c>
      <c r="DM35" s="131" t="str">
        <f>VLOOKUP(A35,'Données projet'!$A$165:$I$185,9,0)</f>
        <v>#N/A</v>
      </c>
      <c r="DN35" s="131">
        <f t="array" ref="DN35">INDEX(DM:DM,MIN(IF(ISNUMBER(DM35:DM231),ROW(DM35:DM231),"")))</f>
        <v>8</v>
      </c>
      <c r="DO35" s="138">
        <f>IF('Données projet'!$A$166&gt;35,DO34+DN35-DW34,IF(A35&lt;'Données projet'!$A$166,$DL$205^A35,IF(A35='Données projet'!$A$166,'Données projet'!$B$166,DO34+DN35-DW34)))</f>
        <v>92</v>
      </c>
      <c r="DP35" s="138">
        <f>DO35*VLOOKUP('Données projet'!$B$14,'Paramètres'!$A$1:$I$89,3,0)*VLOOKUP('Données projet'!$B$14,'Paramètres'!$A$1:$I$89,5,0)</f>
        <v>83.2416</v>
      </c>
      <c r="DQ35" s="130">
        <f t="shared" si="44"/>
        <v>22.92793064</v>
      </c>
      <c r="DR35" s="141">
        <f t="shared" si="17"/>
        <v>184.9119325</v>
      </c>
      <c r="DS35" s="133">
        <f t="shared" si="18"/>
        <v>478.2452659</v>
      </c>
      <c r="DT35" s="133">
        <f>AVERAGE(OFFSET($DS$3,0,0,'Données projet'!$E$14+1,1))-AVERAGE(OFFSET($H$3,0,0,'Données projet'!$E$14+1,1))</f>
        <v>287.9334714</v>
      </c>
      <c r="DU35" s="133">
        <f t="shared" si="45"/>
        <v>156.6796502</v>
      </c>
      <c r="DV35" s="134">
        <f>IF(ISNA(VLOOKUP(A35,'Données projet'!$A$165:$I$185,3,0)),0,VLOOKUP(A35,'Données projet'!$A$165:$I$185,3,0))</f>
        <v>0</v>
      </c>
      <c r="DW35" s="134">
        <f>IF(ISNA(VLOOKUP(A35,'Données projet'!$A$165:$I$185,4,0)),0,VLOOKUP(A35,'Données projet'!$A$165:$I$185,4,0))</f>
        <v>0</v>
      </c>
      <c r="DX35" s="135">
        <f>IF(ISNA(VLOOKUP(A35,'Données projet'!$A$165:$I$185,5,0)),0%,VLOOKUP(A35,'Données projet'!$A$165:$I$185,5,0)*VLOOKUP('Données projet'!$B$14,'Paramètres'!$A$1:$I$89,7,0))</f>
        <v>0</v>
      </c>
      <c r="DY35" s="135">
        <f>IF(ISNA(VLOOKUP(A35,'Données projet'!$A$165:$I$185,6,0)),0%,VLOOKUP(A35,'Données projet'!$A$165:$I$185,6,0)*VLOOKUP('Données projet'!$B$14,'Paramètres'!$A$1:$I$89,7,0))</f>
        <v>0</v>
      </c>
      <c r="DZ35" s="135">
        <f>IF(ISNA(VLOOKUP(A35,'Données projet'!$A$165:$I$185,7,0)),0%,VLOOKUP(A35,'Données projet'!$A$165:$I$185,7,0))</f>
        <v>0</v>
      </c>
      <c r="EA35" s="142">
        <f>EXP(-LN(2)/35)*EA34+(1-EXP(-LN(2)/35))/(LN(2)/35)*DW35*DX35*VLOOKUP('Données projet'!$B$14,'Paramètres'!$A$1:$I$89,3,0)*0.475*44/12</f>
        <v>0</v>
      </c>
      <c r="EB35" s="142">
        <f>EXP(-LN(2)/25)*EB34+(1-EXP(-LN(2)/25))/(LN(2)/25)*Calculateur!DW35*Calculateur!DY35*VLOOKUP('Données projet'!$B$14,'Paramètres'!$A$1:$I$89,3,0)*0.475*44/12</f>
        <v>0</v>
      </c>
      <c r="EC35" s="142">
        <f>EXP(-LN(2)/2)*EC34+(1-EXP(-LN(2)/2))/(LN(2)/2)*DW35*DZ35*VLOOKUP('Données projet'!$B$14,'Paramètres'!$A$1:$I$89,3,0)*0.475*44/12</f>
        <v>0</v>
      </c>
      <c r="ED35" s="143">
        <f t="shared" si="19"/>
        <v>0</v>
      </c>
      <c r="EE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1" t="str">
        <f>VLOOKUP(A35,'Données projet'!$A$191:$I$211,2,0)</f>
        <v>#N/A</v>
      </c>
      <c r="EH35" s="131" t="str">
        <f>VLOOKUP(A35,'Données projet'!$A$191:$I$211,9,0)</f>
        <v>#N/A</v>
      </c>
      <c r="EI35" s="131">
        <f t="array" ref="EI35">INDEX(EH:EH,MIN(IF(ISNUMBER(EH35:EH231),ROW(EH35:EH231),"")))</f>
        <v>7.2</v>
      </c>
      <c r="EJ35" s="138">
        <f>IF('Données projet'!$A$192&gt;35,EJ34+EI35-ER34,IF(A35&lt;'Données projet'!$A$192,$EG$205^A35,IF(A35='Données projet'!$A$192,'Données projet'!$B$192,EJ34+EI35-ER34)))</f>
        <v>75.4</v>
      </c>
      <c r="EK35" s="138">
        <f>EJ35*VLOOKUP('Données projet'!$B$15,'Paramètres'!$A$1:$I$89,3,0)*VLOOKUP('Données projet'!$B$15,'Paramètres'!$A$1:$I$89,5,0)</f>
        <v>55.28328</v>
      </c>
      <c r="EL35" s="130">
        <f t="shared" si="46"/>
        <v>15.97011151</v>
      </c>
      <c r="EM35" s="141">
        <f t="shared" si="20"/>
        <v>124.0996569</v>
      </c>
      <c r="EN35" s="133">
        <f t="shared" si="21"/>
        <v>417.4329902</v>
      </c>
      <c r="EO35" s="133">
        <f>AVERAGE(OFFSET($EN$3,0,0,'Données projet'!$E$15+1,1))-AVERAGE(OFFSET($H$3,0,0,'Données projet'!$E$15+1,1))</f>
        <v>130.3193339</v>
      </c>
      <c r="EP35" s="133">
        <f t="shared" si="47"/>
        <v>82.22784365</v>
      </c>
      <c r="EQ35" s="134">
        <f>IF(ISNA(VLOOKUP(A35,'Données projet'!$A$191:$I$211,3,0)),0,VLOOKUP(A35,'Données projet'!$A$191:$I$211,3,0))</f>
        <v>0</v>
      </c>
      <c r="ER35" s="134">
        <f>IF(ISNA(VLOOKUP(A35,'Données projet'!$A$191:$I$211,4,0)),0,VLOOKUP(A35,'Données projet'!$A$191:$I$211,4,0))</f>
        <v>0</v>
      </c>
      <c r="ES35" s="135">
        <f>IF(ISNA(VLOOKUP(A35,'Données projet'!$A$191:$I$211,5,0)),0%,VLOOKUP(A35,'Données projet'!$A$191:$I$211,5,0)*VLOOKUP('Données projet'!$B$15,'Paramètres'!$A$1:$I$89,7,0))</f>
        <v>0</v>
      </c>
      <c r="ET35" s="135">
        <f>IF(ISNA(VLOOKUP(A35,'Données projet'!$A$191:$I$211,6,0)),0%,VLOOKUP(A35,'Données projet'!$A$191:$I$211,6,0)*VLOOKUP('Données projet'!$B$15,'Paramètres'!$A$1:$I$89,7,0))</f>
        <v>0</v>
      </c>
      <c r="EU35" s="135">
        <f>IF(ISNA(VLOOKUP(A35,'Données projet'!$A$191:$I$211,7,0)),0%,VLOOKUP(A35,'Données projet'!$A$191:$I$211,7,0))</f>
        <v>0</v>
      </c>
      <c r="EV35" s="142">
        <f>EXP(-LN(2)/35)*EV34+(1-EXP(-LN(2)/35))/(LN(2)/35)*ER35*ES35*VLOOKUP('Données projet'!$B$15,'Paramètres'!$A$1:$I$89,3,0)*0.475*44/12</f>
        <v>0.8039842665</v>
      </c>
      <c r="EW35" s="142">
        <f>EXP(-LN(2)/25)*EW34+(1-EXP(-LN(2)/25))/(LN(2)/25)*Calculateur!ER35*Calculateur!ET35*VLOOKUP('Données projet'!$B$15,'Paramètres'!$A$1:$I$89,3,0)*0.475*44/12</f>
        <v>0</v>
      </c>
      <c r="EX35" s="142">
        <f>EXP(-LN(2)/2)*EX34+(1-EXP(-LN(2)/2))/(LN(2)/2)*ER35*EU35*VLOOKUP('Données projet'!$B$15,'Paramètres'!$A$1:$I$89,3,0)*0.475*44/12</f>
        <v>0</v>
      </c>
      <c r="EY35" s="143">
        <f t="shared" si="22"/>
        <v>0.8039842665</v>
      </c>
      <c r="EZ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1" t="str">
        <f>VLOOKUP(A35,'Données projet'!$A$217:$I$237,2,0)</f>
        <v>#N/A</v>
      </c>
      <c r="FC35" s="131" t="str">
        <f>VLOOKUP(A35,'Données projet'!$A$217:$I$237,9,0)</f>
        <v>#N/A</v>
      </c>
      <c r="FD35" s="130">
        <f t="array" ref="FD35">INDEX(FC:FC,MIN(IF(ISNUMBER(FC35:FC231),ROW(FC35:FC231),"")))</f>
        <v>7.8</v>
      </c>
      <c r="FE35" s="130">
        <f>IF('Données projet'!$A$218&gt;35,FE34+FD35-FM34,IF(A35&lt;'Données projet'!$A$218,$FB$205^A35,IF(A35='Données projet'!$A$218,'Données projet'!$B$218,FE34+FD35-FM34)))</f>
        <v>184.6</v>
      </c>
      <c r="FF35" s="138">
        <f>FE35*VLOOKUP('Données projet'!$B$16,'Paramètres'!$A$1:$I$89,3,0)*VLOOKUP('Données projet'!$B$16,'Paramètres'!$A$1:$I$89,5,0)</f>
        <v>167.02608</v>
      </c>
      <c r="FG35" s="130">
        <f t="shared" si="48"/>
        <v>42.42328184</v>
      </c>
      <c r="FH35" s="141">
        <f t="shared" si="23"/>
        <v>364.7909719</v>
      </c>
      <c r="FI35" s="133">
        <f t="shared" si="24"/>
        <v>658.1243052</v>
      </c>
      <c r="FJ35" s="133">
        <f>AVERAGE(OFFSET($FI$3,0,0,'Données projet'!$E$16+1,1))-AVERAGE(OFFSET($H$3,0,0,'Données projet'!$E$16+1,1))</f>
        <v>305.6252353</v>
      </c>
      <c r="FK35" s="133">
        <f t="shared" si="49"/>
        <v>331.397916</v>
      </c>
      <c r="FL35" s="134">
        <f>IF(ISNA(VLOOKUP(A35,'Données projet'!$A$217:$I$237,3,0)),0,VLOOKUP(A35,'Données projet'!$A$217:$I$237,3,0))</f>
        <v>0</v>
      </c>
      <c r="FM35" s="134">
        <f>IF(ISNA(VLOOKUP(A35,'Données projet'!$A$217:$I$237,4,0)),0,VLOOKUP(A35,'Données projet'!$A$217:$I$237,4,0))</f>
        <v>0</v>
      </c>
      <c r="FN35" s="135">
        <f>IF(ISNA(VLOOKUP(A35,'Données projet'!$A$217:$I$237,5,0)),0%,VLOOKUP(A35,'Données projet'!$A$217:$I$237,5,0)*VLOOKUP('Données projet'!$B$16,'Paramètres'!$A$1:$I$89,7,0))</f>
        <v>0</v>
      </c>
      <c r="FO35" s="135">
        <f>IF(ISNA(VLOOKUP(A35,'Données projet'!$A$217:$I$237,6,0)),0%,VLOOKUP(A35,'Données projet'!$A$217:$I$237,6,0)*VLOOKUP('Données projet'!$B$16,'Paramètres'!$A$1:$I$89,7,0))</f>
        <v>0</v>
      </c>
      <c r="FP35" s="135">
        <f>IF(ISNA(VLOOKUP(A35,'Données projet'!$A$217:$I$237,7,0)),0%,VLOOKUP(A35,'Données projet'!$A$217:$I$237,7,0))</f>
        <v>0</v>
      </c>
      <c r="FQ35" s="142">
        <f>EXP(-LN(2)/35)*FQ34+(1-EXP(-LN(2)/35))/(LN(2)/35)*FM35*FN35*VLOOKUP('Données projet'!$B$16,'Paramètres'!$A$1:$I$89,3,0)*0.475*44/12</f>
        <v>0</v>
      </c>
      <c r="FR35" s="142">
        <f>EXP(-LN(2)/25)*FR34+(1-EXP(-LN(2)/25))/(LN(2)/25)*Calculateur!FM35*Calculateur!FO35*VLOOKUP('Données projet'!$B$16,'Paramètres'!$A$1:$I$89,3,0)*0.475*44/12</f>
        <v>0</v>
      </c>
      <c r="FS35" s="142">
        <f>EXP(-LN(2)/2)*FS34+(1-EXP(-LN(2)/2))/(LN(2)/2)*FM35*FP35*VLOOKUP('Données projet'!$B$16,'Paramètres'!$A$1:$I$89,3,0)*0.475*44/12</f>
        <v>0</v>
      </c>
      <c r="FT35" s="143">
        <f t="shared" si="25"/>
        <v>0</v>
      </c>
      <c r="FU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1" t="str">
        <f>VLOOKUP(A35,'Données projet'!$A$243:$I$263,2,0)</f>
        <v>#N/A</v>
      </c>
      <c r="FX35" s="131" t="str">
        <f>VLOOKUP(A35,'Données projet'!$A$243:$I$263,9,0)</f>
        <v>#N/A</v>
      </c>
      <c r="FY35" s="130">
        <f t="array" ref="FY35">INDEX(FX:FX,MIN(IF(ISNUMBER(FX35:FX231),ROW(FX35:FX231),"")))</f>
        <v>10.2</v>
      </c>
      <c r="FZ35" s="138">
        <f>IF('Données projet'!$A$244&gt;35,FZ34+FY35-GH34,IF(A35&lt;'Données projet'!$A$244,$FW$205^A35,IF(A35='Données projet'!$A$244,'Données projet'!$B$244,FZ34+FY35-GH34)))</f>
        <v>108.4</v>
      </c>
      <c r="GA35" s="138">
        <f>FZ35*VLOOKUP('Données projet'!$B$17,'Paramètres'!$A$1:$I$89,3,0)*VLOOKUP('Données projet'!$B$17,'Paramètres'!$A$1:$I$89,5,0)</f>
        <v>72.71472</v>
      </c>
      <c r="GB35" s="130">
        <f t="shared" si="50"/>
        <v>20.3461181</v>
      </c>
      <c r="GC35" s="141">
        <f t="shared" si="26"/>
        <v>162.0809597</v>
      </c>
      <c r="GD35" s="133">
        <f t="shared" si="27"/>
        <v>455.414293</v>
      </c>
      <c r="GE35" s="133">
        <f>AVERAGE(OFFSET($GD$3,0,0,'Données projet'!$E$17+1,1))-AVERAGE(OFFSET($H$3,0,0,'Données projet'!$E$17+1,1))</f>
        <v>118.7368745</v>
      </c>
      <c r="GF35" s="133">
        <f t="shared" si="51"/>
        <v>135.1233677</v>
      </c>
      <c r="GG35" s="134">
        <f>IF(ISNA(VLOOKUP(A35,'Données projet'!$A$243:$I$263,3,0)),0,VLOOKUP(A35,'Données projet'!$A$243:$I$263,3,0))</f>
        <v>0</v>
      </c>
      <c r="GH35" s="134">
        <f>IF(ISNA(VLOOKUP(A35,'Données projet'!$A$243:$I$263,4,0)),0,VLOOKUP(A35,'Données projet'!$A$243:$I$263,4,0))</f>
        <v>0</v>
      </c>
      <c r="GI35" s="135">
        <f>IF(ISNA(VLOOKUP(A35,'Données projet'!$A$243:$I$263,5,0)),0%,VLOOKUP(A35,'Données projet'!$A$243:$I$263,5,0)*VLOOKUP('Données projet'!$B$17,'Paramètres'!$A$1:$I$89,7,0))</f>
        <v>0</v>
      </c>
      <c r="GJ35" s="135">
        <f>IF(ISNA(VLOOKUP(A35,'Données projet'!$A$243:$I$263,6,0)),0%,VLOOKUP(A35,'Données projet'!$A$243:$I$263,6,0)*VLOOKUP('Données projet'!$B$17,'Paramètres'!$A$1:$I$89,7,0))</f>
        <v>0</v>
      </c>
      <c r="GK35" s="135">
        <f>IF(ISNA(VLOOKUP(A35,'Données projet'!$A$243:$I$263,7,0)),0%,VLOOKUP(A35,'Données projet'!$A$243:$I$263,7,0))</f>
        <v>0</v>
      </c>
      <c r="GL35" s="142">
        <f>EXP(-LN(2)/35)*GL34+(1-EXP(-LN(2)/35))/(LN(2)/35)*GH35*GI35*VLOOKUP('Données projet'!$B$17,'Paramètres'!$A$1:$I$89,3,0)*0.475*44/12</f>
        <v>0</v>
      </c>
      <c r="GM35" s="142">
        <f>EXP(-LN(2)/25)*GM34+(1-EXP(-LN(2)/25))/(LN(2)/25)*Calculateur!GH35*Calculateur!GJ35*VLOOKUP('Données projet'!$B$17,'Paramètres'!$A$1:$I$89,3,0)*0.475*44/12</f>
        <v>0</v>
      </c>
      <c r="GN35" s="142">
        <f>EXP(-LN(2)/2)*GN34+(1-EXP(-LN(2)/2))/(LN(2)/2)*GH35*GK35*VLOOKUP('Données projet'!$B$17,'Paramètres'!$A$1:$I$89,3,0)*0.475*44/12</f>
        <v>0</v>
      </c>
      <c r="GO35" s="142">
        <f t="shared" si="28"/>
        <v>0</v>
      </c>
      <c r="GP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1" t="str">
        <f>VLOOKUP(A35,'Données projet'!$A$269:$I$289,2,0)</f>
        <v>#N/A</v>
      </c>
      <c r="GS35" s="131" t="str">
        <f>VLOOKUP(A35,'Données projet'!$A$269:$I$289,9,0)</f>
        <v>#N/A</v>
      </c>
      <c r="GT35" s="130">
        <f t="array" ref="GT35">INDEX(GS:GS,MIN(IF(ISNUMBER(GS35:GS231),ROW(GS35:GS231),"")))</f>
        <v>5</v>
      </c>
      <c r="GU35" s="138">
        <f>IF('Données projet'!$A$270&gt;35,GU34+GT35-HC34,IF(A35&lt;'Données projet'!$A$270,$GR$205^A35,IF(A35='Données projet'!$A$270,'Données projet'!$B$270,GU34+GT35-HC34)))</f>
        <v>64</v>
      </c>
      <c r="GV35" s="138">
        <f>GU35*VLOOKUP('Données projet'!$B$18,'Paramètres'!$A$1:$I$89,3,0)*VLOOKUP('Données projet'!$B$18,'Paramètres'!$A$1:$I$89,5,0)</f>
        <v>68.8896</v>
      </c>
      <c r="GW35" s="130">
        <f t="shared" si="52"/>
        <v>19.39745002</v>
      </c>
      <c r="GX35" s="141">
        <f t="shared" si="29"/>
        <v>153.7666121</v>
      </c>
      <c r="GY35" s="133">
        <f t="shared" si="30"/>
        <v>447.0999455</v>
      </c>
      <c r="GZ35" s="133">
        <f>AVERAGE(OFFSET($GY$3,0,0,'Données projet'!$E$18+1,1))-AVERAGE(OFFSET($H$3,0,0,'Données projet'!$E$18+1,1))</f>
        <v>100.5427875</v>
      </c>
      <c r="HA35" s="133">
        <f t="shared" si="53"/>
        <v>92.28663609</v>
      </c>
      <c r="HB35" s="134">
        <f>IF(ISNA(VLOOKUP(A35,'Données projet'!$A$269:$I$289,3,0)),0,VLOOKUP(A35,'Données projet'!$A$269:$I$289,3,0))</f>
        <v>0</v>
      </c>
      <c r="HC35" s="134">
        <f>IF(ISNA(VLOOKUP(A35,'Données projet'!$A$269:$I$289,4,0)),0,VLOOKUP(A35,'Données projet'!$A$269:$I$289,4,0))</f>
        <v>0</v>
      </c>
      <c r="HD35" s="135">
        <f>IF(ISNA(VLOOKUP(A35,'Données projet'!$A$269:$I$289,5,0)),0%,VLOOKUP(A35,'Données projet'!$A$269:$I$289,5,0)*VLOOKUP('Données projet'!$B$18,'Paramètres'!$A$1:$I$89,7,0))</f>
        <v>0</v>
      </c>
      <c r="HE35" s="135">
        <f>IF(ISNA(VLOOKUP(A35,'Données projet'!$A$269:$I$289,6,0)),0%,VLOOKUP(A35,'Données projet'!$A$269:$I$289,6,0)*VLOOKUP('Données projet'!$B$18,'Paramètres'!$A$1:$I$89,7,0))</f>
        <v>0</v>
      </c>
      <c r="HF35" s="135">
        <f>IF(ISNA(VLOOKUP(A35,'Données projet'!$A$269:$I$289,7,0)),0%,VLOOKUP(A35,'Données projet'!$A$269:$I$289,7,0))</f>
        <v>0</v>
      </c>
      <c r="HG35" s="142">
        <f>EXP(-LN(2)/35)*HG34+(1-EXP(-LN(2)/35))/(LN(2)/35)*HC35*HD35*VLOOKUP('Données projet'!$B$18,'Paramètres'!$A$1:$I$89,3,0)*0.475*44/12</f>
        <v>0</v>
      </c>
      <c r="HH35" s="142">
        <f>EXP(-LN(2)/25)*HH34+(1-EXP(-LN(2)/25))/(LN(2)/25)*Calculateur!HC35*Calculateur!HE35*VLOOKUP('Données projet'!$B$18,'Paramètres'!$A$1:$I$89,3,0)*0.475*44/12</f>
        <v>0</v>
      </c>
      <c r="HI35" s="142">
        <f>EXP(-LN(2)/2)*HI34+(1-EXP(-LN(2)/2))/(LN(2)/2)*HC35*HF35*VLOOKUP('Données projet'!$B$18,'Paramètres'!$A$1:$I$89,3,0)*0.475*44/12</f>
        <v>0</v>
      </c>
      <c r="HJ35" s="143">
        <f t="shared" si="31"/>
        <v>0</v>
      </c>
    </row>
    <row r="36" ht="15.75" customHeight="1">
      <c r="A36" s="125">
        <f t="shared" si="32"/>
        <v>33</v>
      </c>
      <c r="B36" s="126">
        <f>'Scénario référence'!$B$16*5+'Scénario référence'!$B$17*0+'Scénario référence'!$B$18*5</f>
        <v>0</v>
      </c>
      <c r="C36" s="140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18.018</v>
      </c>
      <c r="D36" s="127">
        <f t="shared" si="33"/>
        <v>5.930542209</v>
      </c>
      <c r="E3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7">
        <f>IF(OR('Scénario référence'!$F$8&gt;0,'Scénario référence'!$F$9&gt;0),('Scénario référence'!$F$8+'Scénario référence'!$F$9)*10,0)</f>
        <v>10</v>
      </c>
      <c r="G36" s="127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184.8659399</v>
      </c>
      <c r="H36" s="128">
        <f t="shared" si="1"/>
        <v>335.043711</v>
      </c>
      <c r="I36" s="12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1" t="str">
        <f>VLOOKUP(A36,'Données projet'!$A$35:$I$55,2,0)</f>
        <v>#N/A</v>
      </c>
      <c r="L36" s="131" t="str">
        <f>VLOOKUP(A36,'Données projet'!$A$35:$I$55,9,0)</f>
        <v>#N/A</v>
      </c>
      <c r="M36" s="130">
        <f t="array" ref="M36">INDEX(L:L,MIN(IF(ISNUMBER(L36:L232),ROW(L36:L232),"")))</f>
        <v>10.8</v>
      </c>
      <c r="N36" s="130">
        <f>IF('Données projet'!$A$36&gt;35,N35+M36-V35,IF(A36&lt;'Données projet'!$A$36,$K$205^A36,IF(A36='Données projet'!$A$36,'Données projet'!$B$36,N35+M36-V35)))</f>
        <v>149.4</v>
      </c>
      <c r="O36" s="130">
        <f>N36*VLOOKUP('Données projet'!$B$9,'Paramètres'!$A$1:$I$89,3,0)*VLOOKUP('Données projet'!$B$9,'Paramètres'!$A$1:$I$89,5,0)</f>
        <v>85.4568</v>
      </c>
      <c r="P36" s="130">
        <f t="shared" si="34"/>
        <v>23.46623329</v>
      </c>
      <c r="Q36" s="141">
        <f t="shared" si="2"/>
        <v>189.7076163</v>
      </c>
      <c r="R36" s="133">
        <f t="shared" si="3"/>
        <v>483.0409496</v>
      </c>
      <c r="S36" s="133">
        <f>AVERAGE(OFFSET($R$3,0,0,'Données projet'!$E$9+1,1))-AVERAGE(OFFSET($H$3,0,0,'Données projet'!$E$9+1,1))</f>
        <v>126.9946492</v>
      </c>
      <c r="T36" s="133">
        <f t="shared" si="35"/>
        <v>140.039049</v>
      </c>
      <c r="U36" s="134">
        <f>IF(ISNA(VLOOKUP(A36,'Données projet'!$A$35:$I$55,3,0)),0,VLOOKUP(A36,'Données projet'!$A$35:$I$55,3,0))</f>
        <v>0</v>
      </c>
      <c r="V36" s="134">
        <f>IF(ISNA(VLOOKUP(A36,'Données projet'!$A$35:$I$55,4,0)),0,VLOOKUP(A36,'Données projet'!$A$35:$I$55,4,0))</f>
        <v>0</v>
      </c>
      <c r="W36" s="135">
        <f>IF(ISNA(VLOOKUP(A36,'Données projet'!$A$35:$I$55,5,0)),0%,VLOOKUP(A36,'Données projet'!$A$35:$I$55,5,0)*VLOOKUP('Données projet'!$B$9,'Paramètres'!$A$1:$I$89,7,0))</f>
        <v>0</v>
      </c>
      <c r="X36" s="135">
        <f>IF(ISNA(VLOOKUP(A36,'Données projet'!$A$35:$I$55,6,0)),0%,VLOOKUP(A36,'Données projet'!$A$35:$I$55,6,0)*VLOOKUP('Données projet'!$B$9,'Paramètres'!$A$1:$I$89,7,0))</f>
        <v>0</v>
      </c>
      <c r="Y36" s="135">
        <f>IF(ISNA(VLOOKUP(A36,'Données projet'!$A$35:$I$55,7,0)),0%,VLOOKUP(A36,'Données projet'!$A$35:$I$55,7,0))</f>
        <v>0</v>
      </c>
      <c r="Z36" s="142">
        <f>EXP(-LN(2)/35)*Z35+(1-EXP(-LN(2)/35))/(LN(2)/35)*V36*W36*VLOOKUP('Données projet'!$B$9,'Paramètres'!$A$1:$I$89,3,0)*0.475*44/12</f>
        <v>1.480103752</v>
      </c>
      <c r="AA36" s="142">
        <f>EXP(-LN(2)/25)*AA35+(1-EXP(-LN(2)/25))/(LN(2)/25)*Calculateur!V36*Calculateur!X36*VLOOKUP('Données projet'!$B$9,'Paramètres'!$A$1:$I$89,3,0)*0.475*44/12</f>
        <v>5.055716381</v>
      </c>
      <c r="AB36" s="142">
        <f>EXP(-LN(2)/2)*AB35+(1-EXP(-LN(2)/2))/(LN(2)/2)*V36*Y36*VLOOKUP('Données projet'!$B$9,'Paramètres'!$A$1:$I$89,3,0)*0.475*44/12</f>
        <v>2.067495395</v>
      </c>
      <c r="AC36" s="143">
        <f t="shared" si="4"/>
        <v>8.603315528</v>
      </c>
      <c r="AD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1" t="str">
        <f>VLOOKUP(A36,'Données projet'!$A$61:$I$81,2,0)</f>
        <v>#N/A</v>
      </c>
      <c r="AG36" s="131" t="str">
        <f>VLOOKUP(A36,'Données projet'!$A$61:$I$81,9,0)</f>
        <v>#N/A</v>
      </c>
      <c r="AH36" s="131">
        <f t="array" ref="AH36">INDEX(AG:AG,MIN(IF(ISNUMBER(AG36:AG232),ROW(AG36:AG232),"")))</f>
        <v>14.6</v>
      </c>
      <c r="AI36" s="130">
        <f>IF('Données projet'!$A$62&gt;35,AI35+AH36-AQ35,IF(A36&lt;'Données projet'!$A$62,$AF$205^A36,IF(A36='Données projet'!$A$62,'Données projet'!$B$62,AI35+AH36-AQ35)))</f>
        <v>203.8</v>
      </c>
      <c r="AJ36" s="130">
        <f>AI36*VLOOKUP('Données projet'!$B$10,'Paramètres'!$A$1:$I$89,3,0)*VLOOKUP('Données projet'!$B$10,'Paramètres'!$A$1:$I$89,5,0)</f>
        <v>121.8724</v>
      </c>
      <c r="AK36" s="130">
        <f t="shared" si="36"/>
        <v>32.11131155</v>
      </c>
      <c r="AL36" s="141">
        <f t="shared" si="5"/>
        <v>268.1882976</v>
      </c>
      <c r="AM36" s="133">
        <f t="shared" si="6"/>
        <v>561.521631</v>
      </c>
      <c r="AN36" s="133">
        <f>AVERAGE(OFFSET($AM$3,0,0,'Données projet'!$E$10+1,1))-AVERAGE(OFFSET($H$3,0,0,'Données projet'!$E$10+1,1))</f>
        <v>196.874484</v>
      </c>
      <c r="AO36" s="133">
        <f t="shared" si="37"/>
        <v>217.5750859</v>
      </c>
      <c r="AP36" s="134">
        <f>IF(ISNA(VLOOKUP(A36,'Données projet'!$A$61:$I$81,3,0)),0,VLOOKUP(A36,'Données projet'!$A$61:$I$81,3,0))</f>
        <v>0</v>
      </c>
      <c r="AQ36" s="134">
        <f>IF(ISNA(VLOOKUP(A36,'Données projet'!$A$61:$I$81,4,0)),0,VLOOKUP(A36,'Données projet'!$A$61:$I$81,4,0))</f>
        <v>0</v>
      </c>
      <c r="AR36" s="135">
        <f>IF(ISNA(VLOOKUP(A36,'Données projet'!$A$61:$I$81,5,0)),0%,VLOOKUP(A36,'Données projet'!$A$61:$I$81,5,0)*VLOOKUP('Données projet'!$B$10,'Paramètres'!$A$1:$I$89,7,0))</f>
        <v>0</v>
      </c>
      <c r="AS36" s="135">
        <f>IF(ISNA(VLOOKUP(A36,'Données projet'!$A$61:$I$81,6,0)),0%,VLOOKUP(A36,'Données projet'!$A$61:$I$81,6,0)*VLOOKUP('Données projet'!$B$10,'Paramètres'!$A$1:$I$89,7,0))</f>
        <v>0</v>
      </c>
      <c r="AT36" s="135">
        <f>IF(ISNA(VLOOKUP(A36,'Données projet'!$A$61:$I$81,7,0)),0%,VLOOKUP(A36,'Données projet'!$A$61:$I$81,7,0))</f>
        <v>0</v>
      </c>
      <c r="AU36" s="142">
        <f>EXP(-LN(2)/35)*AU35+(1-EXP(-LN(2)/35))/(LN(2)/35)*AQ36*AR36*VLOOKUP('Données projet'!$B$10,'Paramètres'!$A$1:$I$89,3,0)*0.475*44/12</f>
        <v>2.287433072</v>
      </c>
      <c r="AV36" s="142">
        <f>EXP(-LN(2)/25)*AV35+(1-EXP(-LN(2)/25))/(LN(2)/25)*Calculateur!AQ36*Calculateur!AS36*VLOOKUP('Données projet'!$B$10,'Paramètres'!$A$1:$I$89,3,0)*0.475*44/12</f>
        <v>10.04394322</v>
      </c>
      <c r="AW36" s="142">
        <f>EXP(-LN(2)/2)*AW35+(1-EXP(-LN(2)/2))/(LN(2)/2)*AQ36*AT36*VLOOKUP('Données projet'!$B$10,'Paramètres'!$A$1:$I$89,3,0)*0.475*44/12</f>
        <v>3.28678601</v>
      </c>
      <c r="AX36" s="142">
        <f t="shared" si="7"/>
        <v>15.6181623</v>
      </c>
      <c r="AY36" s="13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1" t="str">
        <f>VLOOKUP(A36,'Données projet'!$A$87:$I$107,2,0)</f>
        <v>#N/A</v>
      </c>
      <c r="BB36" s="131" t="str">
        <f>VLOOKUP(A36,'Données projet'!$A$87:$I$107,9,0)</f>
        <v>#N/A</v>
      </c>
      <c r="BC36" s="130">
        <f t="array" ref="BC36">INDEX(BB:BB,MIN(IF(ISNUMBER(BB36:BB232),ROW(BB36:BB232),"")))</f>
        <v>11</v>
      </c>
      <c r="BD36" s="130">
        <f>IF('Données projet'!$A$88&gt;35,BD35+BC36-BL35,IF(A36&lt;'Données projet'!$A$88,$BA$205^A36,IF(A36='Données projet'!$A$88,'Données projet'!$B$88,BD35+BC36-BL35)))</f>
        <v>133</v>
      </c>
      <c r="BE36" s="130">
        <f>BD36*VLOOKUP('Données projet'!$B$11,'Paramètres'!$A$1:$I$89,3,0)*VLOOKUP('Données projet'!$B$11,'Paramètres'!$A$1:$I$89,5,0)</f>
        <v>62.244</v>
      </c>
      <c r="BF36" s="130">
        <f t="shared" si="38"/>
        <v>17.73440453</v>
      </c>
      <c r="BG36" s="141">
        <f t="shared" si="8"/>
        <v>139.2957212</v>
      </c>
      <c r="BH36" s="133">
        <f t="shared" si="9"/>
        <v>432.6290545</v>
      </c>
      <c r="BI36" s="133">
        <f>AVERAGE(OFFSET($BH$3,0,0,'Données projet'!$E$11+1,1))-AVERAGE(OFFSET($H$3,0,0,'Données projet'!$E$11+1,1))</f>
        <v>134.0948534</v>
      </c>
      <c r="BJ36" s="133">
        <f t="shared" si="39"/>
        <v>108.4102536</v>
      </c>
      <c r="BK36" s="134">
        <f>IF(ISNA(VLOOKUP(A36,'Données projet'!$A$87:$I$107,3,0)),0,VLOOKUP(A36,'Données projet'!$A$87:$I$107,3,0))</f>
        <v>0</v>
      </c>
      <c r="BL36" s="134">
        <f>IF(ISNA(VLOOKUP(A36,'Données projet'!$A$87:$I$107,4,0)),0,VLOOKUP(A36,'Données projet'!$A$87:$I$107,4,0))</f>
        <v>0</v>
      </c>
      <c r="BM36" s="135">
        <f>IF(ISNA(VLOOKUP(A36,'Données projet'!$A$87:$I$107,5,0)),0%,VLOOKUP(A36,'Données projet'!$A$87:$I$107,5,0)*VLOOKUP('Données projet'!$B$11,'Paramètres'!$A$1:$I$89,7,0))</f>
        <v>0</v>
      </c>
      <c r="BN36" s="135">
        <f>IF(ISNA(VLOOKUP(A36,'Données projet'!$A$87:$I$107,6,0)),0%,VLOOKUP(A36,'Données projet'!$A$87:$I$107,6,0)*VLOOKUP('Données projet'!$B$11,'Paramètres'!$A$1:$I$89,7,0))</f>
        <v>0</v>
      </c>
      <c r="BO36" s="135">
        <f>IF(ISNA(VLOOKUP(A36,'Données projet'!$A$87:$I$107,7,0)),0%,VLOOKUP(A36,'Données projet'!$A$87:$I$107,7,0))</f>
        <v>0</v>
      </c>
      <c r="BP36" s="142">
        <f>EXP(-LN(2)/35)*BP35+(1-EXP(-LN(2)/35))/(LN(2)/35)*BL36*BM36*VLOOKUP('Données projet'!$B$11,'Paramètres'!$A$1:$I$89,3,0)*0.475*44/12</f>
        <v>2.574093482</v>
      </c>
      <c r="BQ36" s="142">
        <f>EXP(-LN(2)/25)*BQ35+(1-EXP(-LN(2)/25))/(LN(2)/25)*Calculateur!BL36*Calculateur!BN36*VLOOKUP('Données projet'!$B$11,'Paramètres'!$A$1:$I$89,3,0)*0.475*44/12</f>
        <v>5.608386648</v>
      </c>
      <c r="BR36" s="142">
        <f>EXP(-LN(2)/2)*BR35+(1-EXP(-LN(2)/2))/(LN(2)/2)*BL36*BO36*VLOOKUP('Données projet'!$B$11,'Paramètres'!$A$1:$I$89,3,0)*0.475*44/12</f>
        <v>2.637782931</v>
      </c>
      <c r="BS36" s="143">
        <f t="shared" si="10"/>
        <v>10.82026306</v>
      </c>
      <c r="BT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1" t="str">
        <f>VLOOKUP(A36,'Données projet'!$A$113:$I$133,2,0)</f>
        <v>#N/A</v>
      </c>
      <c r="BW36" s="131" t="str">
        <f>VLOOKUP(A36,'Données projet'!$A$113:$I$133,9,0)</f>
        <v>#N/A</v>
      </c>
      <c r="BX36" s="130">
        <f t="array" ref="BX36">INDEX(BW:BW,MIN(IF(ISNUMBER(BW36:BW232),ROW(BW36:BW232),"")))</f>
        <v>25.6</v>
      </c>
      <c r="BY36" s="130">
        <f>IF('Données projet'!$A$114&gt;35,BY35+BX36-CG35,IF(A36&lt;'Données projet'!$A$114,$BV$205^A36,IF(A36='Données projet'!$A$114,'Données projet'!$B$114,BY35+BX36-CG35)))</f>
        <v>322.8</v>
      </c>
      <c r="BZ36" s="130">
        <f>BY36*VLOOKUP('Données projet'!$B$12,'Paramètres'!$A$1:$I$89,3,0)*VLOOKUP('Données projet'!$B$12,'Paramètres'!$A$1:$I$89,5,0)</f>
        <v>159.4632</v>
      </c>
      <c r="CA36" s="130">
        <f t="shared" si="40"/>
        <v>40.721415</v>
      </c>
      <c r="CB36" s="141">
        <f t="shared" si="11"/>
        <v>348.6548711</v>
      </c>
      <c r="CC36" s="133">
        <f t="shared" si="12"/>
        <v>641.9882045</v>
      </c>
      <c r="CD36" s="133">
        <f>AVERAGE(OFFSET($CC$3,0,0,'Données projet'!$E$12+1,1))-AVERAGE(OFFSET($H$3,0,0,'Données projet'!$E$12+1,1))</f>
        <v>258.1672054</v>
      </c>
      <c r="CE36" s="133">
        <f t="shared" si="41"/>
        <v>296.0724261</v>
      </c>
      <c r="CF36" s="134">
        <f>IF(ISNA(VLOOKUP(A36,'Données projet'!$A$113:$I$133,3,0)),0,VLOOKUP(A36,'Données projet'!$A$113:$I$133,3,0))</f>
        <v>0</v>
      </c>
      <c r="CG36" s="134">
        <f>IF(ISNA(VLOOKUP(A36,'Données projet'!$A$113:$I$133,4,0)),0,VLOOKUP(A36,'Données projet'!$A$113:$I$133,4,0))</f>
        <v>0</v>
      </c>
      <c r="CH36" s="135">
        <f>IF(ISNA(VLOOKUP(A36,'Données projet'!$A$113:$I$133,5,0)),0%,VLOOKUP(A36,'Données projet'!$A$113:$I$133,5,0)*VLOOKUP('Données projet'!$B$12,'Paramètres'!$A$1:$I$89,7,0))</f>
        <v>0</v>
      </c>
      <c r="CI36" s="135">
        <f>IF(ISNA(VLOOKUP(A36,'Données projet'!$A$113:$I$133,6,0)),0%,VLOOKUP(A36,'Données projet'!$A$113:$I$133,6,0)*VLOOKUP('Données projet'!$B$12,'Paramètres'!$A$1:$I$89,7,0))</f>
        <v>0</v>
      </c>
      <c r="CJ36" s="135">
        <f>IF(ISNA(VLOOKUP(A36,'Données projet'!$A$113:$I$133,7,0)),0%,VLOOKUP(A36,'Données projet'!$A$113:$I$133,7,0))</f>
        <v>0</v>
      </c>
      <c r="CK36" s="142">
        <f>EXP(-LN(2)/35)*CK35+(1-EXP(-LN(2)/35))/(LN(2)/35)*CG36*CH36*VLOOKUP('Données projet'!$B$12,'Paramètres'!$A$1:$I$89,3,0)*0.475*44/12</f>
        <v>8.15541181</v>
      </c>
      <c r="CL36" s="142">
        <f>EXP(-LN(2)/25)*CL35+(1-EXP(-LN(2)/25))/(LN(2)/25)*Calculateur!CG36*Calculateur!CI36*VLOOKUP('Données projet'!$B$12,'Paramètres'!$A$1:$I$89,3,0)*0.475*44/12</f>
        <v>17.86151523</v>
      </c>
      <c r="CM36" s="142">
        <f>EXP(-LN(2)/2)*CM35+(1-EXP(-LN(2)/2))/(LN(2)/2)*CG36*CJ36*VLOOKUP('Données projet'!$B$12,'Paramètres'!$A$1:$I$89,3,0)*0.475*44/12</f>
        <v>5.139371443</v>
      </c>
      <c r="CN36" s="143">
        <f t="shared" si="13"/>
        <v>31.15629848</v>
      </c>
      <c r="CO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1" t="str">
        <f>VLOOKUP(A36,'Données projet'!$A$139:$I$159,2,0)</f>
        <v>#N/A</v>
      </c>
      <c r="CR36" s="131" t="str">
        <f>VLOOKUP(A36,'Données projet'!$A$139:$I$159,9,0)</f>
        <v>#N/A</v>
      </c>
      <c r="CS36" s="130">
        <f t="array" ref="CS36">INDEX(CR:CR,MIN(IF(ISNUMBER(CR36:CR232),ROW(CR36:CR232),"")))</f>
        <v>5</v>
      </c>
      <c r="CT36" s="138">
        <f>IF('Données projet'!$A$140&gt;35,CT35+CS36-DB35,IF(A36&lt;'Données projet'!$A$140,$CQ$205^A36,IF(A36='Données projet'!$A$140,'Données projet'!$B$140,CT35+CS36-DB35)))</f>
        <v>69</v>
      </c>
      <c r="CU36" s="138">
        <f>CT36*VLOOKUP('Données projet'!$B$13,'Paramètres'!$A$1:$I$89,3,0)*VLOOKUP('Données projet'!$B$13,'Paramètres'!$A$1:$I$89,5,0)</f>
        <v>69.966</v>
      </c>
      <c r="CV36" s="130">
        <f t="shared" si="42"/>
        <v>19.66501393</v>
      </c>
      <c r="CW36" s="141">
        <f t="shared" si="14"/>
        <v>156.1073493</v>
      </c>
      <c r="CX36" s="133">
        <f t="shared" si="15"/>
        <v>449.4406826</v>
      </c>
      <c r="CY36" s="133">
        <f>AVERAGE(OFFSET($CX$3,0,0,'Données projet'!$E$13+1,1))-AVERAGE(OFFSET($H$3,0,0,'Données projet'!$E$13+1,1))</f>
        <v>223.783507</v>
      </c>
      <c r="CZ36" s="133">
        <f t="shared" si="43"/>
        <v>84.92349117</v>
      </c>
      <c r="DA36" s="134">
        <f>IF(ISNA(VLOOKUP(A36,'Données projet'!$A$139:$I$159,3,0)),0,VLOOKUP(A36,'Données projet'!$A$139:$I$159,3,0))</f>
        <v>0</v>
      </c>
      <c r="DB36" s="134">
        <f>IF(ISNA(VLOOKUP(A36,'Données projet'!$A$139:$I$159,4,0)),0,VLOOKUP(A36,'Données projet'!$A$139:$I$159,4,0))</f>
        <v>0</v>
      </c>
      <c r="DC36" s="135">
        <f>IF(ISNA(VLOOKUP(A36,'Données projet'!$A$139:$I$159,5,0)),0%,VLOOKUP(A36,'Données projet'!$A$139:$I$159,5,0)*VLOOKUP('Données projet'!$B$13,'Paramètres'!$A$1:$I$89,7,0))</f>
        <v>0</v>
      </c>
      <c r="DD36" s="135">
        <f>IF(ISNA(VLOOKUP(A36,'Données projet'!$A$139:$I$159,6,0)),0%,VLOOKUP(A36,'Données projet'!$A$139:$I$159,6,0)*VLOOKUP('Données projet'!$B$13,'Paramètres'!$A$1:$I$89,7,0))</f>
        <v>0</v>
      </c>
      <c r="DE36" s="135">
        <f>IF(ISNA(VLOOKUP(A36,'Données projet'!$A$139:$I$159,7,0)),0%,VLOOKUP(A36,'Données projet'!$A$139:$I$159,7,0))</f>
        <v>0</v>
      </c>
      <c r="DF36" s="142">
        <f>EXP(-LN(2)/35)*DF35+(1-EXP(-LN(2)/35))/(LN(2)/35)*DB36*DC36*VLOOKUP('Données projet'!$B$13,'Paramètres'!$A$1:$I$89,3,0)*0.475*44/12</f>
        <v>0</v>
      </c>
      <c r="DG36" s="142">
        <f>EXP(-LN(2)/25)*DG35+(1-EXP(-LN(2)/25))/(LN(2)/25)*Calculateur!DB36*Calculateur!DD36*VLOOKUP('Données projet'!$B$13,'Paramètres'!$A$1:$I$89,3,0)*0.475*44/12</f>
        <v>0</v>
      </c>
      <c r="DH36" s="142">
        <f>EXP(-LN(2)/2)*DH35+(1-EXP(-LN(2)/2))/(LN(2)/2)*DB36*DE36*VLOOKUP('Données projet'!$B$13,'Paramètres'!$A$1:$I$89,3,0)*0.475*44/12</f>
        <v>0</v>
      </c>
      <c r="DI36" s="143">
        <f t="shared" si="16"/>
        <v>0</v>
      </c>
      <c r="DJ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1" t="str">
        <f>VLOOKUP(A36,'Données projet'!$A$165:$I$185,2,0)</f>
        <v>#N/A</v>
      </c>
      <c r="DM36" s="131" t="str">
        <f>VLOOKUP(A36,'Données projet'!$A$165:$I$185,9,0)</f>
        <v>#N/A</v>
      </c>
      <c r="DN36" s="131">
        <f t="array" ref="DN36">INDEX(DM:DM,MIN(IF(ISNUMBER(DM36:DM232),ROW(DM36:DM232),"")))</f>
        <v>8</v>
      </c>
      <c r="DO36" s="138">
        <f>IF('Données projet'!$A$166&gt;35,DO35+DN36-DW35,IF(A36&lt;'Données projet'!$A$166,$DL$205^A36,IF(A36='Données projet'!$A$166,'Données projet'!$B$166,DO35+DN36-DW35)))</f>
        <v>100</v>
      </c>
      <c r="DP36" s="138">
        <f>DO36*VLOOKUP('Données projet'!$B$14,'Paramètres'!$A$1:$I$89,3,0)*VLOOKUP('Données projet'!$B$14,'Paramètres'!$A$1:$I$89,5,0)</f>
        <v>90.48</v>
      </c>
      <c r="DQ36" s="130">
        <f t="shared" si="44"/>
        <v>24.68095357</v>
      </c>
      <c r="DR36" s="141">
        <f t="shared" si="17"/>
        <v>200.5719941</v>
      </c>
      <c r="DS36" s="133">
        <f t="shared" si="18"/>
        <v>493.9053275</v>
      </c>
      <c r="DT36" s="133">
        <f>AVERAGE(OFFSET($DS$3,0,0,'Données projet'!$E$14+1,1))-AVERAGE(OFFSET($H$3,0,0,'Données projet'!$E$14+1,1))</f>
        <v>287.9334714</v>
      </c>
      <c r="DU36" s="133">
        <f t="shared" si="45"/>
        <v>156.6796502</v>
      </c>
      <c r="DV36" s="134">
        <f>IF(ISNA(VLOOKUP(A36,'Données projet'!$A$165:$I$185,3,0)),0,VLOOKUP(A36,'Données projet'!$A$165:$I$185,3,0))</f>
        <v>0</v>
      </c>
      <c r="DW36" s="134">
        <f>IF(ISNA(VLOOKUP(A36,'Données projet'!$A$165:$I$185,4,0)),0,VLOOKUP(A36,'Données projet'!$A$165:$I$185,4,0))</f>
        <v>0</v>
      </c>
      <c r="DX36" s="135">
        <f>IF(ISNA(VLOOKUP(A36,'Données projet'!$A$165:$I$185,5,0)),0%,VLOOKUP(A36,'Données projet'!$A$165:$I$185,5,0)*VLOOKUP('Données projet'!$B$14,'Paramètres'!$A$1:$I$89,7,0))</f>
        <v>0</v>
      </c>
      <c r="DY36" s="135">
        <f>IF(ISNA(VLOOKUP(A36,'Données projet'!$A$165:$I$185,6,0)),0%,VLOOKUP(A36,'Données projet'!$A$165:$I$185,6,0)*VLOOKUP('Données projet'!$B$14,'Paramètres'!$A$1:$I$89,7,0))</f>
        <v>0</v>
      </c>
      <c r="DZ36" s="135">
        <f>IF(ISNA(VLOOKUP(A36,'Données projet'!$A$165:$I$185,7,0)),0%,VLOOKUP(A36,'Données projet'!$A$165:$I$185,7,0))</f>
        <v>0</v>
      </c>
      <c r="EA36" s="142">
        <f>EXP(-LN(2)/35)*EA35+(1-EXP(-LN(2)/35))/(LN(2)/35)*DW36*DX36*VLOOKUP('Données projet'!$B$14,'Paramètres'!$A$1:$I$89,3,0)*0.475*44/12</f>
        <v>0</v>
      </c>
      <c r="EB36" s="142">
        <f>EXP(-LN(2)/25)*EB35+(1-EXP(-LN(2)/25))/(LN(2)/25)*Calculateur!DW36*Calculateur!DY36*VLOOKUP('Données projet'!$B$14,'Paramètres'!$A$1:$I$89,3,0)*0.475*44/12</f>
        <v>0</v>
      </c>
      <c r="EC36" s="142">
        <f>EXP(-LN(2)/2)*EC35+(1-EXP(-LN(2)/2))/(LN(2)/2)*DW36*DZ36*VLOOKUP('Données projet'!$B$14,'Paramètres'!$A$1:$I$89,3,0)*0.475*44/12</f>
        <v>0</v>
      </c>
      <c r="ED36" s="143">
        <f t="shared" si="19"/>
        <v>0</v>
      </c>
      <c r="EE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1" t="str">
        <f>VLOOKUP(A36,'Données projet'!$A$191:$I$211,2,0)</f>
        <v>#N/A</v>
      </c>
      <c r="EH36" s="131" t="str">
        <f>VLOOKUP(A36,'Données projet'!$A$191:$I$211,9,0)</f>
        <v>#N/A</v>
      </c>
      <c r="EI36" s="131">
        <f t="array" ref="EI36">INDEX(EH:EH,MIN(IF(ISNUMBER(EH36:EH232),ROW(EH36:EH232),"")))</f>
        <v>7.2</v>
      </c>
      <c r="EJ36" s="138">
        <f>IF('Données projet'!$A$192&gt;35,EJ35+EI36-ER35,IF(A36&lt;'Données projet'!$A$192,$EG$205^A36,IF(A36='Données projet'!$A$192,'Données projet'!$B$192,EJ35+EI36-ER35)))</f>
        <v>82.6</v>
      </c>
      <c r="EK36" s="138">
        <f>EJ36*VLOOKUP('Données projet'!$B$15,'Paramètres'!$A$1:$I$89,3,0)*VLOOKUP('Données projet'!$B$15,'Paramètres'!$A$1:$I$89,5,0)</f>
        <v>60.56232</v>
      </c>
      <c r="EL36" s="130">
        <f t="shared" si="46"/>
        <v>17.31036387</v>
      </c>
      <c r="EM36" s="141">
        <f t="shared" si="20"/>
        <v>135.6282577</v>
      </c>
      <c r="EN36" s="133">
        <f t="shared" si="21"/>
        <v>428.9615911</v>
      </c>
      <c r="EO36" s="133">
        <f>AVERAGE(OFFSET($EN$3,0,0,'Données projet'!$E$15+1,1))-AVERAGE(OFFSET($H$3,0,0,'Données projet'!$E$15+1,1))</f>
        <v>130.3193339</v>
      </c>
      <c r="EP36" s="133">
        <f t="shared" si="47"/>
        <v>82.22784365</v>
      </c>
      <c r="EQ36" s="134">
        <f>IF(ISNA(VLOOKUP(A36,'Données projet'!$A$191:$I$211,3,0)),0,VLOOKUP(A36,'Données projet'!$A$191:$I$211,3,0))</f>
        <v>0</v>
      </c>
      <c r="ER36" s="134">
        <f>IF(ISNA(VLOOKUP(A36,'Données projet'!$A$191:$I$211,4,0)),0,VLOOKUP(A36,'Données projet'!$A$191:$I$211,4,0))</f>
        <v>0</v>
      </c>
      <c r="ES36" s="135">
        <f>IF(ISNA(VLOOKUP(A36,'Données projet'!$A$191:$I$211,5,0)),0%,VLOOKUP(A36,'Données projet'!$A$191:$I$211,5,0)*VLOOKUP('Données projet'!$B$15,'Paramètres'!$A$1:$I$89,7,0))</f>
        <v>0</v>
      </c>
      <c r="ET36" s="135">
        <f>IF(ISNA(VLOOKUP(A36,'Données projet'!$A$191:$I$211,6,0)),0%,VLOOKUP(A36,'Données projet'!$A$191:$I$211,6,0)*VLOOKUP('Données projet'!$B$15,'Paramètres'!$A$1:$I$89,7,0))</f>
        <v>0</v>
      </c>
      <c r="EU36" s="135">
        <f>IF(ISNA(VLOOKUP(A36,'Données projet'!$A$191:$I$211,7,0)),0%,VLOOKUP(A36,'Données projet'!$A$191:$I$211,7,0))</f>
        <v>0</v>
      </c>
      <c r="EV36" s="142">
        <f>EXP(-LN(2)/35)*EV35+(1-EXP(-LN(2)/35))/(LN(2)/35)*ER36*ES36*VLOOKUP('Données projet'!$B$15,'Paramètres'!$A$1:$I$89,3,0)*0.475*44/12</f>
        <v>0.7882186254</v>
      </c>
      <c r="EW36" s="142">
        <f>EXP(-LN(2)/25)*EW35+(1-EXP(-LN(2)/25))/(LN(2)/25)*Calculateur!ER36*Calculateur!ET36*VLOOKUP('Données projet'!$B$15,'Paramètres'!$A$1:$I$89,3,0)*0.475*44/12</f>
        <v>0</v>
      </c>
      <c r="EX36" s="142">
        <f>EXP(-LN(2)/2)*EX35+(1-EXP(-LN(2)/2))/(LN(2)/2)*ER36*EU36*VLOOKUP('Données projet'!$B$15,'Paramètres'!$A$1:$I$89,3,0)*0.475*44/12</f>
        <v>0</v>
      </c>
      <c r="EY36" s="143">
        <f t="shared" si="22"/>
        <v>0.7882186254</v>
      </c>
      <c r="EZ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1" t="str">
        <f>VLOOKUP(A36,'Données projet'!$A$217:$I$237,2,0)</f>
        <v>#N/A</v>
      </c>
      <c r="FC36" s="131" t="str">
        <f>VLOOKUP(A36,'Données projet'!$A$217:$I$237,9,0)</f>
        <v>#N/A</v>
      </c>
      <c r="FD36" s="130">
        <f t="array" ref="FD36">INDEX(FC:FC,MIN(IF(ISNUMBER(FC36:FC232),ROW(FC36:FC232),"")))</f>
        <v>7.8</v>
      </c>
      <c r="FE36" s="130">
        <f>IF('Données projet'!$A$218&gt;35,FE35+FD36-FM35,IF(A36&lt;'Données projet'!$A$218,$FB$205^A36,IF(A36='Données projet'!$A$218,'Données projet'!$B$218,FE35+FD36-FM35)))</f>
        <v>192.4</v>
      </c>
      <c r="FF36" s="138">
        <f>FE36*VLOOKUP('Données projet'!$B$16,'Paramètres'!$A$1:$I$89,3,0)*VLOOKUP('Données projet'!$B$16,'Paramètres'!$A$1:$I$89,5,0)</f>
        <v>174.08352</v>
      </c>
      <c r="FG36" s="130">
        <f t="shared" si="48"/>
        <v>44.00332893</v>
      </c>
      <c r="FH36" s="141">
        <f t="shared" si="23"/>
        <v>379.8345952</v>
      </c>
      <c r="FI36" s="133">
        <f t="shared" si="24"/>
        <v>673.1679286</v>
      </c>
      <c r="FJ36" s="133">
        <f>AVERAGE(OFFSET($FI$3,0,0,'Données projet'!$E$16+1,1))-AVERAGE(OFFSET($H$3,0,0,'Données projet'!$E$16+1,1))</f>
        <v>305.6252353</v>
      </c>
      <c r="FK36" s="133">
        <f t="shared" si="49"/>
        <v>331.397916</v>
      </c>
      <c r="FL36" s="134">
        <f>IF(ISNA(VLOOKUP(A36,'Données projet'!$A$217:$I$237,3,0)),0,VLOOKUP(A36,'Données projet'!$A$217:$I$237,3,0))</f>
        <v>0</v>
      </c>
      <c r="FM36" s="134">
        <f>IF(ISNA(VLOOKUP(A36,'Données projet'!$A$217:$I$237,4,0)),0,VLOOKUP(A36,'Données projet'!$A$217:$I$237,4,0))</f>
        <v>0</v>
      </c>
      <c r="FN36" s="135">
        <f>IF(ISNA(VLOOKUP(A36,'Données projet'!$A$217:$I$237,5,0)),0%,VLOOKUP(A36,'Données projet'!$A$217:$I$237,5,0)*VLOOKUP('Données projet'!$B$16,'Paramètres'!$A$1:$I$89,7,0))</f>
        <v>0</v>
      </c>
      <c r="FO36" s="135">
        <f>IF(ISNA(VLOOKUP(A36,'Données projet'!$A$217:$I$237,6,0)),0%,VLOOKUP(A36,'Données projet'!$A$217:$I$237,6,0)*VLOOKUP('Données projet'!$B$16,'Paramètres'!$A$1:$I$89,7,0))</f>
        <v>0</v>
      </c>
      <c r="FP36" s="135">
        <f>IF(ISNA(VLOOKUP(A36,'Données projet'!$A$217:$I$237,7,0)),0%,VLOOKUP(A36,'Données projet'!$A$217:$I$237,7,0))</f>
        <v>0</v>
      </c>
      <c r="FQ36" s="142">
        <f>EXP(-LN(2)/35)*FQ35+(1-EXP(-LN(2)/35))/(LN(2)/35)*FM36*FN36*VLOOKUP('Données projet'!$B$16,'Paramètres'!$A$1:$I$89,3,0)*0.475*44/12</f>
        <v>0</v>
      </c>
      <c r="FR36" s="142">
        <f>EXP(-LN(2)/25)*FR35+(1-EXP(-LN(2)/25))/(LN(2)/25)*Calculateur!FM36*Calculateur!FO36*VLOOKUP('Données projet'!$B$16,'Paramètres'!$A$1:$I$89,3,0)*0.475*44/12</f>
        <v>0</v>
      </c>
      <c r="FS36" s="142">
        <f>EXP(-LN(2)/2)*FS35+(1-EXP(-LN(2)/2))/(LN(2)/2)*FM36*FP36*VLOOKUP('Données projet'!$B$16,'Paramètres'!$A$1:$I$89,3,0)*0.475*44/12</f>
        <v>0</v>
      </c>
      <c r="FT36" s="143">
        <f t="shared" si="25"/>
        <v>0</v>
      </c>
      <c r="FU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1" t="str">
        <f>VLOOKUP(A36,'Données projet'!$A$243:$I$263,2,0)</f>
        <v>#N/A</v>
      </c>
      <c r="FX36" s="131" t="str">
        <f>VLOOKUP(A36,'Données projet'!$A$243:$I$263,9,0)</f>
        <v>#N/A</v>
      </c>
      <c r="FY36" s="130">
        <f t="array" ref="FY36">INDEX(FX:FX,MIN(IF(ISNUMBER(FX36:FX232),ROW(FX36:FX232),"")))</f>
        <v>10.2</v>
      </c>
      <c r="FZ36" s="138">
        <f>IF('Données projet'!$A$244&gt;35,FZ35+FY36-GH35,IF(A36&lt;'Données projet'!$A$244,$FW$205^A36,IF(A36='Données projet'!$A$244,'Données projet'!$B$244,FZ35+FY36-GH35)))</f>
        <v>118.6</v>
      </c>
      <c r="GA36" s="138">
        <f>FZ36*VLOOKUP('Données projet'!$B$17,'Paramètres'!$A$1:$I$89,3,0)*VLOOKUP('Données projet'!$B$17,'Paramètres'!$A$1:$I$89,5,0)</f>
        <v>79.55688</v>
      </c>
      <c r="GB36" s="130">
        <f t="shared" si="50"/>
        <v>22.02880399</v>
      </c>
      <c r="GC36" s="141">
        <f t="shared" si="26"/>
        <v>176.9283996</v>
      </c>
      <c r="GD36" s="133">
        <f t="shared" si="27"/>
        <v>470.2617329</v>
      </c>
      <c r="GE36" s="133">
        <f>AVERAGE(OFFSET($GD$3,0,0,'Données projet'!$E$17+1,1))-AVERAGE(OFFSET($H$3,0,0,'Données projet'!$E$17+1,1))</f>
        <v>118.7368745</v>
      </c>
      <c r="GF36" s="133">
        <f t="shared" si="51"/>
        <v>135.1233677</v>
      </c>
      <c r="GG36" s="134">
        <f>IF(ISNA(VLOOKUP(A36,'Données projet'!$A$243:$I$263,3,0)),0,VLOOKUP(A36,'Données projet'!$A$243:$I$263,3,0))</f>
        <v>0</v>
      </c>
      <c r="GH36" s="134">
        <f>IF(ISNA(VLOOKUP(A36,'Données projet'!$A$243:$I$263,4,0)),0,VLOOKUP(A36,'Données projet'!$A$243:$I$263,4,0))</f>
        <v>0</v>
      </c>
      <c r="GI36" s="135">
        <f>IF(ISNA(VLOOKUP(A36,'Données projet'!$A$243:$I$263,5,0)),0%,VLOOKUP(A36,'Données projet'!$A$243:$I$263,5,0)*VLOOKUP('Données projet'!$B$17,'Paramètres'!$A$1:$I$89,7,0))</f>
        <v>0</v>
      </c>
      <c r="GJ36" s="135">
        <f>IF(ISNA(VLOOKUP(A36,'Données projet'!$A$243:$I$263,6,0)),0%,VLOOKUP(A36,'Données projet'!$A$243:$I$263,6,0)*VLOOKUP('Données projet'!$B$17,'Paramètres'!$A$1:$I$89,7,0))</f>
        <v>0</v>
      </c>
      <c r="GK36" s="135">
        <f>IF(ISNA(VLOOKUP(A36,'Données projet'!$A$243:$I$263,7,0)),0%,VLOOKUP(A36,'Données projet'!$A$243:$I$263,7,0))</f>
        <v>0</v>
      </c>
      <c r="GL36" s="142">
        <f>EXP(-LN(2)/35)*GL35+(1-EXP(-LN(2)/35))/(LN(2)/35)*GH36*GI36*VLOOKUP('Données projet'!$B$17,'Paramètres'!$A$1:$I$89,3,0)*0.475*44/12</f>
        <v>0</v>
      </c>
      <c r="GM36" s="142">
        <f>EXP(-LN(2)/25)*GM35+(1-EXP(-LN(2)/25))/(LN(2)/25)*Calculateur!GH36*Calculateur!GJ36*VLOOKUP('Données projet'!$B$17,'Paramètres'!$A$1:$I$89,3,0)*0.475*44/12</f>
        <v>0</v>
      </c>
      <c r="GN36" s="142">
        <f>EXP(-LN(2)/2)*GN35+(1-EXP(-LN(2)/2))/(LN(2)/2)*GH36*GK36*VLOOKUP('Données projet'!$B$17,'Paramètres'!$A$1:$I$89,3,0)*0.475*44/12</f>
        <v>0</v>
      </c>
      <c r="GO36" s="142">
        <f t="shared" si="28"/>
        <v>0</v>
      </c>
      <c r="GP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1" t="str">
        <f>VLOOKUP(A36,'Données projet'!$A$269:$I$289,2,0)</f>
        <v>#N/A</v>
      </c>
      <c r="GS36" s="131" t="str">
        <f>VLOOKUP(A36,'Données projet'!$A$269:$I$289,9,0)</f>
        <v>#N/A</v>
      </c>
      <c r="GT36" s="130">
        <f t="array" ref="GT36">INDEX(GS:GS,MIN(IF(ISNUMBER(GS36:GS232),ROW(GS36:GS232),"")))</f>
        <v>5</v>
      </c>
      <c r="GU36" s="138">
        <f>IF('Données projet'!$A$270&gt;35,GU35+GT36-HC35,IF(A36&lt;'Données projet'!$A$270,$GR$205^A36,IF(A36='Données projet'!$A$270,'Données projet'!$B$270,GU35+GT36-HC35)))</f>
        <v>69</v>
      </c>
      <c r="GV36" s="138">
        <f>GU36*VLOOKUP('Données projet'!$B$18,'Paramètres'!$A$1:$I$89,3,0)*VLOOKUP('Données projet'!$B$18,'Paramètres'!$A$1:$I$89,5,0)</f>
        <v>74.2716</v>
      </c>
      <c r="GW36" s="130">
        <f t="shared" si="52"/>
        <v>20.73056187</v>
      </c>
      <c r="GX36" s="141">
        <f t="shared" si="29"/>
        <v>165.4620986</v>
      </c>
      <c r="GY36" s="133">
        <f t="shared" si="30"/>
        <v>458.7954319</v>
      </c>
      <c r="GZ36" s="133">
        <f>AVERAGE(OFFSET($GY$3,0,0,'Données projet'!$E$18+1,1))-AVERAGE(OFFSET($H$3,0,0,'Données projet'!$E$18+1,1))</f>
        <v>100.5427875</v>
      </c>
      <c r="HA36" s="133">
        <f t="shared" si="53"/>
        <v>92.28663609</v>
      </c>
      <c r="HB36" s="134">
        <f>IF(ISNA(VLOOKUP(A36,'Données projet'!$A$269:$I$289,3,0)),0,VLOOKUP(A36,'Données projet'!$A$269:$I$289,3,0))</f>
        <v>0</v>
      </c>
      <c r="HC36" s="134">
        <f>IF(ISNA(VLOOKUP(A36,'Données projet'!$A$269:$I$289,4,0)),0,VLOOKUP(A36,'Données projet'!$A$269:$I$289,4,0))</f>
        <v>0</v>
      </c>
      <c r="HD36" s="135">
        <f>IF(ISNA(VLOOKUP(A36,'Données projet'!$A$269:$I$289,5,0)),0%,VLOOKUP(A36,'Données projet'!$A$269:$I$289,5,0)*VLOOKUP('Données projet'!$B$18,'Paramètres'!$A$1:$I$89,7,0))</f>
        <v>0</v>
      </c>
      <c r="HE36" s="135">
        <f>IF(ISNA(VLOOKUP(A36,'Données projet'!$A$269:$I$289,6,0)),0%,VLOOKUP(A36,'Données projet'!$A$269:$I$289,6,0)*VLOOKUP('Données projet'!$B$18,'Paramètres'!$A$1:$I$89,7,0))</f>
        <v>0</v>
      </c>
      <c r="HF36" s="135">
        <f>IF(ISNA(VLOOKUP(A36,'Données projet'!$A$269:$I$289,7,0)),0%,VLOOKUP(A36,'Données projet'!$A$269:$I$289,7,0))</f>
        <v>0</v>
      </c>
      <c r="HG36" s="142">
        <f>EXP(-LN(2)/35)*HG35+(1-EXP(-LN(2)/35))/(LN(2)/35)*HC36*HD36*VLOOKUP('Données projet'!$B$18,'Paramètres'!$A$1:$I$89,3,0)*0.475*44/12</f>
        <v>0</v>
      </c>
      <c r="HH36" s="142">
        <f>EXP(-LN(2)/25)*HH35+(1-EXP(-LN(2)/25))/(LN(2)/25)*Calculateur!HC36*Calculateur!HE36*VLOOKUP('Données projet'!$B$18,'Paramètres'!$A$1:$I$89,3,0)*0.475*44/12</f>
        <v>0</v>
      </c>
      <c r="HI36" s="142">
        <f>EXP(-LN(2)/2)*HI35+(1-EXP(-LN(2)/2))/(LN(2)/2)*HC36*HF36*VLOOKUP('Données projet'!$B$18,'Paramètres'!$A$1:$I$89,3,0)*0.475*44/12</f>
        <v>0</v>
      </c>
      <c r="HJ36" s="143">
        <f t="shared" si="31"/>
        <v>0</v>
      </c>
    </row>
    <row r="37" ht="15.75" customHeight="1">
      <c r="A37" s="125">
        <f t="shared" si="32"/>
        <v>34</v>
      </c>
      <c r="B37" s="126">
        <f>'Scénario référence'!$B$16*5+'Scénario référence'!$B$17*0+'Scénario référence'!$B$18*5</f>
        <v>0</v>
      </c>
      <c r="C37" s="140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18.564</v>
      </c>
      <c r="D37" s="127">
        <f t="shared" si="33"/>
        <v>6.089060022</v>
      </c>
      <c r="E3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7">
        <f>IF(OR('Scénario référence'!$F$8&gt;0,'Scénario référence'!$F$9&gt;0),('Scénario référence'!$F$8+'Scénario référence'!$F$9)*10,0)</f>
        <v>10</v>
      </c>
      <c r="G37" s="127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190.304323</v>
      </c>
      <c r="H37" s="128">
        <f t="shared" si="1"/>
        <v>336.2707462</v>
      </c>
      <c r="I37" s="12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1" t="str">
        <f>VLOOKUP(A37,'Données projet'!$A$35:$I$55,2,0)</f>
        <v>#N/A</v>
      </c>
      <c r="L37" s="131" t="str">
        <f>VLOOKUP(A37,'Données projet'!$A$35:$I$55,9,0)</f>
        <v>#N/A</v>
      </c>
      <c r="M37" s="130">
        <f t="array" ref="M37">INDEX(L:L,MIN(IF(ISNUMBER(L37:L233),ROW(L37:L233),"")))</f>
        <v>10.8</v>
      </c>
      <c r="N37" s="130">
        <f>IF('Données projet'!$A$36&gt;35,N36+M37-V36,IF(A37&lt;'Données projet'!$A$36,$K$205^A37,IF(A37='Données projet'!$A$36,'Données projet'!$B$36,N36+M37-V36)))</f>
        <v>160.2</v>
      </c>
      <c r="O37" s="130">
        <f>N37*VLOOKUP('Données projet'!$B$9,'Paramètres'!$A$1:$I$89,3,0)*VLOOKUP('Données projet'!$B$9,'Paramètres'!$A$1:$I$89,5,0)</f>
        <v>91.6344</v>
      </c>
      <c r="P37" s="130">
        <f t="shared" si="34"/>
        <v>24.95898909</v>
      </c>
      <c r="Q37" s="141">
        <f t="shared" si="2"/>
        <v>203.0668193</v>
      </c>
      <c r="R37" s="133">
        <f t="shared" si="3"/>
        <v>496.4001527</v>
      </c>
      <c r="S37" s="133">
        <f>AVERAGE(OFFSET($R$3,0,0,'Données projet'!$E$9+1,1))-AVERAGE(OFFSET($H$3,0,0,'Données projet'!$E$9+1,1))</f>
        <v>126.9946492</v>
      </c>
      <c r="T37" s="133">
        <f t="shared" si="35"/>
        <v>140.039049</v>
      </c>
      <c r="U37" s="134">
        <f>IF(ISNA(VLOOKUP(A37,'Données projet'!$A$35:$I$55,3,0)),0,VLOOKUP(A37,'Données projet'!$A$35:$I$55,3,0))</f>
        <v>0</v>
      </c>
      <c r="V37" s="134">
        <f>IF(ISNA(VLOOKUP(A37,'Données projet'!$A$35:$I$55,4,0)),0,VLOOKUP(A37,'Données projet'!$A$35:$I$55,4,0))</f>
        <v>0</v>
      </c>
      <c r="W37" s="135">
        <f>IF(ISNA(VLOOKUP(A37,'Données projet'!$A$35:$I$55,5,0)),0%,VLOOKUP(A37,'Données projet'!$A$35:$I$55,5,0)*VLOOKUP('Données projet'!$B$9,'Paramètres'!$A$1:$I$89,7,0))</f>
        <v>0</v>
      </c>
      <c r="X37" s="135">
        <f>IF(ISNA(VLOOKUP(A37,'Données projet'!$A$35:$I$55,6,0)),0%,VLOOKUP(A37,'Données projet'!$A$35:$I$55,6,0)*VLOOKUP('Données projet'!$B$9,'Paramètres'!$A$1:$I$89,7,0))</f>
        <v>0</v>
      </c>
      <c r="Y37" s="135">
        <f>IF(ISNA(VLOOKUP(A37,'Données projet'!$A$35:$I$55,7,0)),0%,VLOOKUP(A37,'Données projet'!$A$35:$I$55,7,0))</f>
        <v>0</v>
      </c>
      <c r="Z37" s="142">
        <f>EXP(-LN(2)/35)*Z36+(1-EXP(-LN(2)/35))/(LN(2)/35)*V37*W37*VLOOKUP('Données projet'!$B$9,'Paramètres'!$A$1:$I$89,3,0)*0.475*44/12</f>
        <v>1.45107982</v>
      </c>
      <c r="AA37" s="142">
        <f>EXP(-LN(2)/25)*AA36+(1-EXP(-LN(2)/25))/(LN(2)/25)*Calculateur!V37*Calculateur!X37*VLOOKUP('Données projet'!$B$9,'Paramètres'!$A$1:$I$89,3,0)*0.475*44/12</f>
        <v>4.917467551</v>
      </c>
      <c r="AB37" s="142">
        <f>EXP(-LN(2)/2)*AB36+(1-EXP(-LN(2)/2))/(LN(2)/2)*V37*Y37*VLOOKUP('Données projet'!$B$9,'Paramètres'!$A$1:$I$89,3,0)*0.475*44/12</f>
        <v>1.461940014</v>
      </c>
      <c r="AC37" s="143">
        <f t="shared" si="4"/>
        <v>7.830487385</v>
      </c>
      <c r="AD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1" t="str">
        <f>VLOOKUP(A37,'Données projet'!$A$61:$I$81,2,0)</f>
        <v>#N/A</v>
      </c>
      <c r="AG37" s="131" t="str">
        <f>VLOOKUP(A37,'Données projet'!$A$61:$I$81,9,0)</f>
        <v>#N/A</v>
      </c>
      <c r="AH37" s="131">
        <f t="array" ref="AH37">INDEX(AG:AG,MIN(IF(ISNUMBER(AG37:AG233),ROW(AG37:AG233),"")))</f>
        <v>14.6</v>
      </c>
      <c r="AI37" s="130">
        <f>IF('Données projet'!$A$62&gt;35,AI36+AH37-AQ36,IF(A37&lt;'Données projet'!$A$62,$AF$205^A37,IF(A37='Données projet'!$A$62,'Données projet'!$B$62,AI36+AH37-AQ36)))</f>
        <v>218.4</v>
      </c>
      <c r="AJ37" s="130">
        <f>AI37*VLOOKUP('Données projet'!$B$10,'Paramètres'!$A$1:$I$89,3,0)*VLOOKUP('Données projet'!$B$10,'Paramètres'!$A$1:$I$89,5,0)</f>
        <v>130.6032</v>
      </c>
      <c r="AK37" s="130">
        <f t="shared" si="36"/>
        <v>34.13570357</v>
      </c>
      <c r="AL37" s="141">
        <f t="shared" si="5"/>
        <v>286.920257</v>
      </c>
      <c r="AM37" s="133">
        <f t="shared" si="6"/>
        <v>580.2535904</v>
      </c>
      <c r="AN37" s="133">
        <f>AVERAGE(OFFSET($AM$3,0,0,'Données projet'!$E$10+1,1))-AVERAGE(OFFSET($H$3,0,0,'Données projet'!$E$10+1,1))</f>
        <v>196.874484</v>
      </c>
      <c r="AO37" s="133">
        <f t="shared" si="37"/>
        <v>217.5750859</v>
      </c>
      <c r="AP37" s="134">
        <f>IF(ISNA(VLOOKUP(A37,'Données projet'!$A$61:$I$81,3,0)),0,VLOOKUP(A37,'Données projet'!$A$61:$I$81,3,0))</f>
        <v>0</v>
      </c>
      <c r="AQ37" s="134">
        <f>IF(ISNA(VLOOKUP(A37,'Données projet'!$A$61:$I$81,4,0)),0,VLOOKUP(A37,'Données projet'!$A$61:$I$81,4,0))</f>
        <v>0</v>
      </c>
      <c r="AR37" s="135">
        <f>IF(ISNA(VLOOKUP(A37,'Données projet'!$A$61:$I$81,5,0)),0%,VLOOKUP(A37,'Données projet'!$A$61:$I$81,5,0)*VLOOKUP('Données projet'!$B$10,'Paramètres'!$A$1:$I$89,7,0))</f>
        <v>0</v>
      </c>
      <c r="AS37" s="135">
        <f>IF(ISNA(VLOOKUP(A37,'Données projet'!$A$61:$I$81,6,0)),0%,VLOOKUP(A37,'Données projet'!$A$61:$I$81,6,0)*VLOOKUP('Données projet'!$B$10,'Paramètres'!$A$1:$I$89,7,0))</f>
        <v>0</v>
      </c>
      <c r="AT37" s="135">
        <f>IF(ISNA(VLOOKUP(A37,'Données projet'!$A$61:$I$81,7,0)),0%,VLOOKUP(A37,'Données projet'!$A$61:$I$81,7,0))</f>
        <v>0</v>
      </c>
      <c r="AU37" s="142">
        <f>EXP(-LN(2)/35)*AU36+(1-EXP(-LN(2)/35))/(LN(2)/35)*AQ37*AR37*VLOOKUP('Données projet'!$B$10,'Paramètres'!$A$1:$I$89,3,0)*0.475*44/12</f>
        <v>2.242577904</v>
      </c>
      <c r="AV37" s="142">
        <f>EXP(-LN(2)/25)*AV36+(1-EXP(-LN(2)/25))/(LN(2)/25)*Calculateur!AQ37*Calculateur!AS37*VLOOKUP('Données projet'!$B$10,'Paramètres'!$A$1:$I$89,3,0)*0.475*44/12</f>
        <v>9.769291064</v>
      </c>
      <c r="AW37" s="142">
        <f>EXP(-LN(2)/2)*AW36+(1-EXP(-LN(2)/2))/(LN(2)/2)*AQ37*AT37*VLOOKUP('Données projet'!$B$10,'Paramètres'!$A$1:$I$89,3,0)*0.475*44/12</f>
        <v>2.324108676</v>
      </c>
      <c r="AX37" s="142">
        <f t="shared" si="7"/>
        <v>14.33597764</v>
      </c>
      <c r="AY37" s="13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1" t="str">
        <f>VLOOKUP(A37,'Données projet'!$A$87:$I$107,2,0)</f>
        <v>#N/A</v>
      </c>
      <c r="BB37" s="131" t="str">
        <f>VLOOKUP(A37,'Données projet'!$A$87:$I$107,9,0)</f>
        <v>#N/A</v>
      </c>
      <c r="BC37" s="130">
        <f t="array" ref="BC37">INDEX(BB:BB,MIN(IF(ISNUMBER(BB37:BB233),ROW(BB37:BB233),"")))</f>
        <v>11</v>
      </c>
      <c r="BD37" s="130">
        <f>IF('Données projet'!$A$88&gt;35,BD36+BC37-BL36,IF(A37&lt;'Données projet'!$A$88,$BA$205^A37,IF(A37='Données projet'!$A$88,'Données projet'!$B$88,BD36+BC37-BL36)))</f>
        <v>144</v>
      </c>
      <c r="BE37" s="130">
        <f>BD37*VLOOKUP('Données projet'!$B$11,'Paramètres'!$A$1:$I$89,3,0)*VLOOKUP('Données projet'!$B$11,'Paramètres'!$A$1:$I$89,5,0)</f>
        <v>67.392</v>
      </c>
      <c r="BF37" s="130">
        <f t="shared" si="38"/>
        <v>19.02437503</v>
      </c>
      <c r="BG37" s="141">
        <f t="shared" si="8"/>
        <v>150.5085198</v>
      </c>
      <c r="BH37" s="133">
        <f t="shared" si="9"/>
        <v>443.8418532</v>
      </c>
      <c r="BI37" s="133">
        <f>AVERAGE(OFFSET($BH$3,0,0,'Données projet'!$E$11+1,1))-AVERAGE(OFFSET($H$3,0,0,'Données projet'!$E$11+1,1))</f>
        <v>134.0948534</v>
      </c>
      <c r="BJ37" s="133">
        <f t="shared" si="39"/>
        <v>108.4102536</v>
      </c>
      <c r="BK37" s="134">
        <f>IF(ISNA(VLOOKUP(A37,'Données projet'!$A$87:$I$107,3,0)),0,VLOOKUP(A37,'Données projet'!$A$87:$I$107,3,0))</f>
        <v>0</v>
      </c>
      <c r="BL37" s="134">
        <f>IF(ISNA(VLOOKUP(A37,'Données projet'!$A$87:$I$107,4,0)),0,VLOOKUP(A37,'Données projet'!$A$87:$I$107,4,0))</f>
        <v>0</v>
      </c>
      <c r="BM37" s="135">
        <f>IF(ISNA(VLOOKUP(A37,'Données projet'!$A$87:$I$107,5,0)),0%,VLOOKUP(A37,'Données projet'!$A$87:$I$107,5,0)*VLOOKUP('Données projet'!$B$11,'Paramètres'!$A$1:$I$89,7,0))</f>
        <v>0</v>
      </c>
      <c r="BN37" s="135">
        <f>IF(ISNA(VLOOKUP(A37,'Données projet'!$A$87:$I$107,6,0)),0%,VLOOKUP(A37,'Données projet'!$A$87:$I$107,6,0)*VLOOKUP('Données projet'!$B$11,'Paramètres'!$A$1:$I$89,7,0))</f>
        <v>0</v>
      </c>
      <c r="BO37" s="135">
        <f>IF(ISNA(VLOOKUP(A37,'Données projet'!$A$87:$I$107,7,0)),0%,VLOOKUP(A37,'Données projet'!$A$87:$I$107,7,0))</f>
        <v>0</v>
      </c>
      <c r="BP37" s="142">
        <f>EXP(-LN(2)/35)*BP36+(1-EXP(-LN(2)/35))/(LN(2)/35)*BL37*BM37*VLOOKUP('Données projet'!$B$11,'Paramètres'!$A$1:$I$89,3,0)*0.475*44/12</f>
        <v>2.523617079</v>
      </c>
      <c r="BQ37" s="142">
        <f>EXP(-LN(2)/25)*BQ36+(1-EXP(-LN(2)/25))/(LN(2)/25)*Calculateur!BL37*Calculateur!BN37*VLOOKUP('Données projet'!$B$11,'Paramètres'!$A$1:$I$89,3,0)*0.475*44/12</f>
        <v>5.45502502</v>
      </c>
      <c r="BR37" s="142">
        <f>EXP(-LN(2)/2)*BR36+(1-EXP(-LN(2)/2))/(LN(2)/2)*BL37*BO37*VLOOKUP('Données projet'!$B$11,'Paramètres'!$A$1:$I$89,3,0)*0.475*44/12</f>
        <v>1.865194198</v>
      </c>
      <c r="BS37" s="143">
        <f t="shared" si="10"/>
        <v>9.843836297</v>
      </c>
      <c r="BT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1" t="str">
        <f>VLOOKUP(A37,'Données projet'!$A$113:$I$133,2,0)</f>
        <v>#N/A</v>
      </c>
      <c r="BW37" s="131" t="str">
        <f>VLOOKUP(A37,'Données projet'!$A$113:$I$133,9,0)</f>
        <v>#N/A</v>
      </c>
      <c r="BX37" s="130">
        <f t="array" ref="BX37">INDEX(BW:BW,MIN(IF(ISNUMBER(BW37:BW233),ROW(BW37:BW233),"")))</f>
        <v>25.6</v>
      </c>
      <c r="BY37" s="130">
        <f>IF('Données projet'!$A$114&gt;35,BY36+BX37-CG36,IF(A37&lt;'Données projet'!$A$114,$BV$205^A37,IF(A37='Données projet'!$A$114,'Données projet'!$B$114,BY36+BX37-CG36)))</f>
        <v>348.4</v>
      </c>
      <c r="BZ37" s="130">
        <f>BY37*VLOOKUP('Données projet'!$B$12,'Paramètres'!$A$1:$I$89,3,0)*VLOOKUP('Données projet'!$B$12,'Paramètres'!$A$1:$I$89,5,0)</f>
        <v>172.1096</v>
      </c>
      <c r="CA37" s="130">
        <f t="shared" si="40"/>
        <v>43.56216414</v>
      </c>
      <c r="CB37" s="141">
        <f t="shared" si="11"/>
        <v>375.6283225</v>
      </c>
      <c r="CC37" s="133">
        <f t="shared" si="12"/>
        <v>668.9616559</v>
      </c>
      <c r="CD37" s="133">
        <f>AVERAGE(OFFSET($CC$3,0,0,'Données projet'!$E$12+1,1))-AVERAGE(OFFSET($H$3,0,0,'Données projet'!$E$12+1,1))</f>
        <v>258.1672054</v>
      </c>
      <c r="CE37" s="133">
        <f t="shared" si="41"/>
        <v>296.0724261</v>
      </c>
      <c r="CF37" s="134">
        <f>IF(ISNA(VLOOKUP(A37,'Données projet'!$A$113:$I$133,3,0)),0,VLOOKUP(A37,'Données projet'!$A$113:$I$133,3,0))</f>
        <v>0</v>
      </c>
      <c r="CG37" s="134">
        <f>IF(ISNA(VLOOKUP(A37,'Données projet'!$A$113:$I$133,4,0)),0,VLOOKUP(A37,'Données projet'!$A$113:$I$133,4,0))</f>
        <v>0</v>
      </c>
      <c r="CH37" s="135">
        <f>IF(ISNA(VLOOKUP(A37,'Données projet'!$A$113:$I$133,5,0)),0%,VLOOKUP(A37,'Données projet'!$A$113:$I$133,5,0)*VLOOKUP('Données projet'!$B$12,'Paramètres'!$A$1:$I$89,7,0))</f>
        <v>0</v>
      </c>
      <c r="CI37" s="135">
        <f>IF(ISNA(VLOOKUP(A37,'Données projet'!$A$113:$I$133,6,0)),0%,VLOOKUP(A37,'Données projet'!$A$113:$I$133,6,0)*VLOOKUP('Données projet'!$B$12,'Paramètres'!$A$1:$I$89,7,0))</f>
        <v>0</v>
      </c>
      <c r="CJ37" s="135">
        <f>IF(ISNA(VLOOKUP(A37,'Données projet'!$A$113:$I$133,7,0)),0%,VLOOKUP(A37,'Données projet'!$A$113:$I$133,7,0))</f>
        <v>0</v>
      </c>
      <c r="CK37" s="142">
        <f>EXP(-LN(2)/35)*CK36+(1-EXP(-LN(2)/35))/(LN(2)/35)*CG37*CH37*VLOOKUP('Données projet'!$B$12,'Paramètres'!$A$1:$I$89,3,0)*0.475*44/12</f>
        <v>7.995489159</v>
      </c>
      <c r="CL37" s="142">
        <f>EXP(-LN(2)/25)*CL36+(1-EXP(-LN(2)/25))/(LN(2)/25)*Calculateur!CG37*Calculateur!CI37*VLOOKUP('Données projet'!$B$12,'Paramètres'!$A$1:$I$89,3,0)*0.475*44/12</f>
        <v>17.37309115</v>
      </c>
      <c r="CM37" s="142">
        <f>EXP(-LN(2)/2)*CM36+(1-EXP(-LN(2)/2))/(LN(2)/2)*CG37*CJ37*VLOOKUP('Données projet'!$B$12,'Paramètres'!$A$1:$I$89,3,0)*0.475*44/12</f>
        <v>3.634084398</v>
      </c>
      <c r="CN37" s="143">
        <f t="shared" si="13"/>
        <v>29.00266471</v>
      </c>
      <c r="CO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1" t="str">
        <f>VLOOKUP(A37,'Données projet'!$A$139:$I$159,2,0)</f>
        <v>#N/A</v>
      </c>
      <c r="CR37" s="131" t="str">
        <f>VLOOKUP(A37,'Données projet'!$A$139:$I$159,9,0)</f>
        <v>#N/A</v>
      </c>
      <c r="CS37" s="130">
        <f t="array" ref="CS37">INDEX(CR:CR,MIN(IF(ISNUMBER(CR37:CR233),ROW(CR37:CR233),"")))</f>
        <v>5</v>
      </c>
      <c r="CT37" s="138">
        <f>IF('Données projet'!$A$140&gt;35,CT36+CS37-DB36,IF(A37&lt;'Données projet'!$A$140,$CQ$205^A37,IF(A37='Données projet'!$A$140,'Données projet'!$B$140,CT36+CS37-DB36)))</f>
        <v>74</v>
      </c>
      <c r="CU37" s="138">
        <f>CT37*VLOOKUP('Données projet'!$B$13,'Paramètres'!$A$1:$I$89,3,0)*VLOOKUP('Données projet'!$B$13,'Paramètres'!$A$1:$I$89,5,0)</f>
        <v>75.036</v>
      </c>
      <c r="CV37" s="130">
        <f t="shared" si="42"/>
        <v>20.91897252</v>
      </c>
      <c r="CW37" s="141">
        <f t="shared" si="14"/>
        <v>167.1215771</v>
      </c>
      <c r="CX37" s="133">
        <f t="shared" si="15"/>
        <v>460.4549105</v>
      </c>
      <c r="CY37" s="133">
        <f>AVERAGE(OFFSET($CX$3,0,0,'Données projet'!$E$13+1,1))-AVERAGE(OFFSET($H$3,0,0,'Données projet'!$E$13+1,1))</f>
        <v>223.783507</v>
      </c>
      <c r="CZ37" s="133">
        <f t="shared" si="43"/>
        <v>84.92349117</v>
      </c>
      <c r="DA37" s="134">
        <f>IF(ISNA(VLOOKUP(A37,'Données projet'!$A$139:$I$159,3,0)),0,VLOOKUP(A37,'Données projet'!$A$139:$I$159,3,0))</f>
        <v>0</v>
      </c>
      <c r="DB37" s="134">
        <f>IF(ISNA(VLOOKUP(A37,'Données projet'!$A$139:$I$159,4,0)),0,VLOOKUP(A37,'Données projet'!$A$139:$I$159,4,0))</f>
        <v>0</v>
      </c>
      <c r="DC37" s="135">
        <f>IF(ISNA(VLOOKUP(A37,'Données projet'!$A$139:$I$159,5,0)),0%,VLOOKUP(A37,'Données projet'!$A$139:$I$159,5,0)*VLOOKUP('Données projet'!$B$13,'Paramètres'!$A$1:$I$89,7,0))</f>
        <v>0</v>
      </c>
      <c r="DD37" s="135">
        <f>IF(ISNA(VLOOKUP(A37,'Données projet'!$A$139:$I$159,6,0)),0%,VLOOKUP(A37,'Données projet'!$A$139:$I$159,6,0)*VLOOKUP('Données projet'!$B$13,'Paramètres'!$A$1:$I$89,7,0))</f>
        <v>0</v>
      </c>
      <c r="DE37" s="135">
        <f>IF(ISNA(VLOOKUP(A37,'Données projet'!$A$139:$I$159,7,0)),0%,VLOOKUP(A37,'Données projet'!$A$139:$I$159,7,0))</f>
        <v>0</v>
      </c>
      <c r="DF37" s="142">
        <f>EXP(-LN(2)/35)*DF36+(1-EXP(-LN(2)/35))/(LN(2)/35)*DB37*DC37*VLOOKUP('Données projet'!$B$13,'Paramètres'!$A$1:$I$89,3,0)*0.475*44/12</f>
        <v>0</v>
      </c>
      <c r="DG37" s="142">
        <f>EXP(-LN(2)/25)*DG36+(1-EXP(-LN(2)/25))/(LN(2)/25)*Calculateur!DB37*Calculateur!DD37*VLOOKUP('Données projet'!$B$13,'Paramètres'!$A$1:$I$89,3,0)*0.475*44/12</f>
        <v>0</v>
      </c>
      <c r="DH37" s="142">
        <f>EXP(-LN(2)/2)*DH36+(1-EXP(-LN(2)/2))/(LN(2)/2)*DB37*DE37*VLOOKUP('Données projet'!$B$13,'Paramètres'!$A$1:$I$89,3,0)*0.475*44/12</f>
        <v>0</v>
      </c>
      <c r="DI37" s="143">
        <f t="shared" si="16"/>
        <v>0</v>
      </c>
      <c r="DJ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1" t="str">
        <f>VLOOKUP(A37,'Données projet'!$A$165:$I$185,2,0)</f>
        <v>#N/A</v>
      </c>
      <c r="DM37" s="131" t="str">
        <f>VLOOKUP(A37,'Données projet'!$A$165:$I$185,9,0)</f>
        <v>#N/A</v>
      </c>
      <c r="DN37" s="131">
        <f t="array" ref="DN37">INDEX(DM:DM,MIN(IF(ISNUMBER(DM37:DM233),ROW(DM37:DM233),"")))</f>
        <v>8</v>
      </c>
      <c r="DO37" s="138">
        <f>IF('Données projet'!$A$166&gt;35,DO36+DN37-DW36,IF(A37&lt;'Données projet'!$A$166,$DL$205^A37,IF(A37='Données projet'!$A$166,'Données projet'!$B$166,DO36+DN37-DW36)))</f>
        <v>108</v>
      </c>
      <c r="DP37" s="138">
        <f>DO37*VLOOKUP('Données projet'!$B$14,'Paramètres'!$A$1:$I$89,3,0)*VLOOKUP('Données projet'!$B$14,'Paramètres'!$A$1:$I$89,5,0)</f>
        <v>97.7184</v>
      </c>
      <c r="DQ37" s="130">
        <f t="shared" si="44"/>
        <v>26.41770982</v>
      </c>
      <c r="DR37" s="141">
        <f t="shared" si="17"/>
        <v>216.2037246</v>
      </c>
      <c r="DS37" s="133">
        <f t="shared" si="18"/>
        <v>509.5370579</v>
      </c>
      <c r="DT37" s="133">
        <f>AVERAGE(OFFSET($DS$3,0,0,'Données projet'!$E$14+1,1))-AVERAGE(OFFSET($H$3,0,0,'Données projet'!$E$14+1,1))</f>
        <v>287.9334714</v>
      </c>
      <c r="DU37" s="133">
        <f t="shared" si="45"/>
        <v>156.6796502</v>
      </c>
      <c r="DV37" s="134">
        <f>IF(ISNA(VLOOKUP(A37,'Données projet'!$A$165:$I$185,3,0)),0,VLOOKUP(A37,'Données projet'!$A$165:$I$185,3,0))</f>
        <v>0</v>
      </c>
      <c r="DW37" s="134">
        <f>IF(ISNA(VLOOKUP(A37,'Données projet'!$A$165:$I$185,4,0)),0,VLOOKUP(A37,'Données projet'!$A$165:$I$185,4,0))</f>
        <v>0</v>
      </c>
      <c r="DX37" s="135">
        <f>IF(ISNA(VLOOKUP(A37,'Données projet'!$A$165:$I$185,5,0)),0%,VLOOKUP(A37,'Données projet'!$A$165:$I$185,5,0)*VLOOKUP('Données projet'!$B$14,'Paramètres'!$A$1:$I$89,7,0))</f>
        <v>0</v>
      </c>
      <c r="DY37" s="135">
        <f>IF(ISNA(VLOOKUP(A37,'Données projet'!$A$165:$I$185,6,0)),0%,VLOOKUP(A37,'Données projet'!$A$165:$I$185,6,0)*VLOOKUP('Données projet'!$B$14,'Paramètres'!$A$1:$I$89,7,0))</f>
        <v>0</v>
      </c>
      <c r="DZ37" s="135">
        <f>IF(ISNA(VLOOKUP(A37,'Données projet'!$A$165:$I$185,7,0)),0%,VLOOKUP(A37,'Données projet'!$A$165:$I$185,7,0))</f>
        <v>0</v>
      </c>
      <c r="EA37" s="142">
        <f>EXP(-LN(2)/35)*EA36+(1-EXP(-LN(2)/35))/(LN(2)/35)*DW37*DX37*VLOOKUP('Données projet'!$B$14,'Paramètres'!$A$1:$I$89,3,0)*0.475*44/12</f>
        <v>0</v>
      </c>
      <c r="EB37" s="142">
        <f>EXP(-LN(2)/25)*EB36+(1-EXP(-LN(2)/25))/(LN(2)/25)*Calculateur!DW37*Calculateur!DY37*VLOOKUP('Données projet'!$B$14,'Paramètres'!$A$1:$I$89,3,0)*0.475*44/12</f>
        <v>0</v>
      </c>
      <c r="EC37" s="142">
        <f>EXP(-LN(2)/2)*EC36+(1-EXP(-LN(2)/2))/(LN(2)/2)*DW37*DZ37*VLOOKUP('Données projet'!$B$14,'Paramètres'!$A$1:$I$89,3,0)*0.475*44/12</f>
        <v>0</v>
      </c>
      <c r="ED37" s="143">
        <f t="shared" si="19"/>
        <v>0</v>
      </c>
      <c r="EE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1" t="str">
        <f>VLOOKUP(A37,'Données projet'!$A$191:$I$211,2,0)</f>
        <v>#N/A</v>
      </c>
      <c r="EH37" s="131" t="str">
        <f>VLOOKUP(A37,'Données projet'!$A$191:$I$211,9,0)</f>
        <v>#N/A</v>
      </c>
      <c r="EI37" s="131">
        <f t="array" ref="EI37">INDEX(EH:EH,MIN(IF(ISNUMBER(EH37:EH233),ROW(EH37:EH233),"")))</f>
        <v>7.2</v>
      </c>
      <c r="EJ37" s="138">
        <f>IF('Données projet'!$A$192&gt;35,EJ36+EI37-ER36,IF(A37&lt;'Données projet'!$A$192,$EG$205^A37,IF(A37='Données projet'!$A$192,'Données projet'!$B$192,EJ36+EI37-ER36)))</f>
        <v>89.8</v>
      </c>
      <c r="EK37" s="138">
        <f>EJ37*VLOOKUP('Données projet'!$B$15,'Paramètres'!$A$1:$I$89,3,0)*VLOOKUP('Données projet'!$B$15,'Paramètres'!$A$1:$I$89,5,0)</f>
        <v>65.84136</v>
      </c>
      <c r="EL37" s="130">
        <f t="shared" si="46"/>
        <v>18.63706837</v>
      </c>
      <c r="EM37" s="141">
        <f t="shared" si="20"/>
        <v>147.1332627</v>
      </c>
      <c r="EN37" s="133">
        <f t="shared" si="21"/>
        <v>440.4665961</v>
      </c>
      <c r="EO37" s="133">
        <f>AVERAGE(OFFSET($EN$3,0,0,'Données projet'!$E$15+1,1))-AVERAGE(OFFSET($H$3,0,0,'Données projet'!$E$15+1,1))</f>
        <v>130.3193339</v>
      </c>
      <c r="EP37" s="133">
        <f t="shared" si="47"/>
        <v>82.22784365</v>
      </c>
      <c r="EQ37" s="134">
        <f>IF(ISNA(VLOOKUP(A37,'Données projet'!$A$191:$I$211,3,0)),0,VLOOKUP(A37,'Données projet'!$A$191:$I$211,3,0))</f>
        <v>0</v>
      </c>
      <c r="ER37" s="134">
        <f>IF(ISNA(VLOOKUP(A37,'Données projet'!$A$191:$I$211,4,0)),0,VLOOKUP(A37,'Données projet'!$A$191:$I$211,4,0))</f>
        <v>0</v>
      </c>
      <c r="ES37" s="135">
        <f>IF(ISNA(VLOOKUP(A37,'Données projet'!$A$191:$I$211,5,0)),0%,VLOOKUP(A37,'Données projet'!$A$191:$I$211,5,0)*VLOOKUP('Données projet'!$B$15,'Paramètres'!$A$1:$I$89,7,0))</f>
        <v>0</v>
      </c>
      <c r="ET37" s="135">
        <f>IF(ISNA(VLOOKUP(A37,'Données projet'!$A$191:$I$211,6,0)),0%,VLOOKUP(A37,'Données projet'!$A$191:$I$211,6,0)*VLOOKUP('Données projet'!$B$15,'Paramètres'!$A$1:$I$89,7,0))</f>
        <v>0</v>
      </c>
      <c r="EU37" s="135">
        <f>IF(ISNA(VLOOKUP(A37,'Données projet'!$A$191:$I$211,7,0)),0%,VLOOKUP(A37,'Données projet'!$A$191:$I$211,7,0))</f>
        <v>0</v>
      </c>
      <c r="EV37" s="142">
        <f>EXP(-LN(2)/35)*EV36+(1-EXP(-LN(2)/35))/(LN(2)/35)*ER37*ES37*VLOOKUP('Données projet'!$B$15,'Paramètres'!$A$1:$I$89,3,0)*0.475*44/12</f>
        <v>0.7727621389</v>
      </c>
      <c r="EW37" s="142">
        <f>EXP(-LN(2)/25)*EW36+(1-EXP(-LN(2)/25))/(LN(2)/25)*Calculateur!ER37*Calculateur!ET37*VLOOKUP('Données projet'!$B$15,'Paramètres'!$A$1:$I$89,3,0)*0.475*44/12</f>
        <v>0</v>
      </c>
      <c r="EX37" s="142">
        <f>EXP(-LN(2)/2)*EX36+(1-EXP(-LN(2)/2))/(LN(2)/2)*ER37*EU37*VLOOKUP('Données projet'!$B$15,'Paramètres'!$A$1:$I$89,3,0)*0.475*44/12</f>
        <v>0</v>
      </c>
      <c r="EY37" s="143">
        <f t="shared" si="22"/>
        <v>0.7727621389</v>
      </c>
      <c r="EZ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1" t="str">
        <f>VLOOKUP(A37,'Données projet'!$A$217:$I$237,2,0)</f>
        <v>#N/A</v>
      </c>
      <c r="FC37" s="131" t="str">
        <f>VLOOKUP(A37,'Données projet'!$A$217:$I$237,9,0)</f>
        <v>#N/A</v>
      </c>
      <c r="FD37" s="130">
        <f t="array" ref="FD37">INDEX(FC:FC,MIN(IF(ISNUMBER(FC37:FC233),ROW(FC37:FC233),"")))</f>
        <v>7.8</v>
      </c>
      <c r="FE37" s="130">
        <f>IF('Données projet'!$A$218&gt;35,FE36+FD37-FM36,IF(A37&lt;'Données projet'!$A$218,$FB$205^A37,IF(A37='Données projet'!$A$218,'Données projet'!$B$218,FE36+FD37-FM36)))</f>
        <v>200.2</v>
      </c>
      <c r="FF37" s="138">
        <f>FE37*VLOOKUP('Données projet'!$B$16,'Paramètres'!$A$1:$I$89,3,0)*VLOOKUP('Données projet'!$B$16,'Paramètres'!$A$1:$I$89,5,0)</f>
        <v>181.14096</v>
      </c>
      <c r="FG37" s="130">
        <f t="shared" si="48"/>
        <v>45.57593532</v>
      </c>
      <c r="FH37" s="141">
        <f t="shared" si="23"/>
        <v>394.8652594</v>
      </c>
      <c r="FI37" s="133">
        <f t="shared" si="24"/>
        <v>688.1985927</v>
      </c>
      <c r="FJ37" s="133">
        <f>AVERAGE(OFFSET($FI$3,0,0,'Données projet'!$E$16+1,1))-AVERAGE(OFFSET($H$3,0,0,'Données projet'!$E$16+1,1))</f>
        <v>305.6252353</v>
      </c>
      <c r="FK37" s="133">
        <f t="shared" si="49"/>
        <v>331.397916</v>
      </c>
      <c r="FL37" s="134">
        <f>IF(ISNA(VLOOKUP(A37,'Données projet'!$A$217:$I$237,3,0)),0,VLOOKUP(A37,'Données projet'!$A$217:$I$237,3,0))</f>
        <v>0</v>
      </c>
      <c r="FM37" s="134">
        <f>IF(ISNA(VLOOKUP(A37,'Données projet'!$A$217:$I$237,4,0)),0,VLOOKUP(A37,'Données projet'!$A$217:$I$237,4,0))</f>
        <v>0</v>
      </c>
      <c r="FN37" s="135">
        <f>IF(ISNA(VLOOKUP(A37,'Données projet'!$A$217:$I$237,5,0)),0%,VLOOKUP(A37,'Données projet'!$A$217:$I$237,5,0)*VLOOKUP('Données projet'!$B$16,'Paramètres'!$A$1:$I$89,7,0))</f>
        <v>0</v>
      </c>
      <c r="FO37" s="135">
        <f>IF(ISNA(VLOOKUP(A37,'Données projet'!$A$217:$I$237,6,0)),0%,VLOOKUP(A37,'Données projet'!$A$217:$I$237,6,0)*VLOOKUP('Données projet'!$B$16,'Paramètres'!$A$1:$I$89,7,0))</f>
        <v>0</v>
      </c>
      <c r="FP37" s="135">
        <f>IF(ISNA(VLOOKUP(A37,'Données projet'!$A$217:$I$237,7,0)),0%,VLOOKUP(A37,'Données projet'!$A$217:$I$237,7,0))</f>
        <v>0</v>
      </c>
      <c r="FQ37" s="142">
        <f>EXP(-LN(2)/35)*FQ36+(1-EXP(-LN(2)/35))/(LN(2)/35)*FM37*FN37*VLOOKUP('Données projet'!$B$16,'Paramètres'!$A$1:$I$89,3,0)*0.475*44/12</f>
        <v>0</v>
      </c>
      <c r="FR37" s="142">
        <f>EXP(-LN(2)/25)*FR36+(1-EXP(-LN(2)/25))/(LN(2)/25)*Calculateur!FM37*Calculateur!FO37*VLOOKUP('Données projet'!$B$16,'Paramètres'!$A$1:$I$89,3,0)*0.475*44/12</f>
        <v>0</v>
      </c>
      <c r="FS37" s="142">
        <f>EXP(-LN(2)/2)*FS36+(1-EXP(-LN(2)/2))/(LN(2)/2)*FM37*FP37*VLOOKUP('Données projet'!$B$16,'Paramètres'!$A$1:$I$89,3,0)*0.475*44/12</f>
        <v>0</v>
      </c>
      <c r="FT37" s="143">
        <f t="shared" si="25"/>
        <v>0</v>
      </c>
      <c r="FU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1" t="str">
        <f>VLOOKUP(A37,'Données projet'!$A$243:$I$263,2,0)</f>
        <v>#N/A</v>
      </c>
      <c r="FX37" s="131" t="str">
        <f>VLOOKUP(A37,'Données projet'!$A$243:$I$263,9,0)</f>
        <v>#N/A</v>
      </c>
      <c r="FY37" s="130">
        <f t="array" ref="FY37">INDEX(FX:FX,MIN(IF(ISNUMBER(FX37:FX233),ROW(FX37:FX233),"")))</f>
        <v>10.2</v>
      </c>
      <c r="FZ37" s="138">
        <f>IF('Données projet'!$A$244&gt;35,FZ36+FY37-GH36,IF(A37&lt;'Données projet'!$A$244,$FW$205^A37,IF(A37='Données projet'!$A$244,'Données projet'!$B$244,FZ36+FY37-GH36)))</f>
        <v>128.8</v>
      </c>
      <c r="GA37" s="138">
        <f>FZ37*VLOOKUP('Données projet'!$B$17,'Paramètres'!$A$1:$I$89,3,0)*VLOOKUP('Données projet'!$B$17,'Paramètres'!$A$1:$I$89,5,0)</f>
        <v>86.39904</v>
      </c>
      <c r="GB37" s="130">
        <f t="shared" si="50"/>
        <v>23.69470706</v>
      </c>
      <c r="GC37" s="141">
        <f t="shared" si="26"/>
        <v>191.7466095</v>
      </c>
      <c r="GD37" s="133">
        <f t="shared" si="27"/>
        <v>485.0799428</v>
      </c>
      <c r="GE37" s="133">
        <f>AVERAGE(OFFSET($GD$3,0,0,'Données projet'!$E$17+1,1))-AVERAGE(OFFSET($H$3,0,0,'Données projet'!$E$17+1,1))</f>
        <v>118.7368745</v>
      </c>
      <c r="GF37" s="133">
        <f t="shared" si="51"/>
        <v>135.1233677</v>
      </c>
      <c r="GG37" s="134">
        <f>IF(ISNA(VLOOKUP(A37,'Données projet'!$A$243:$I$263,3,0)),0,VLOOKUP(A37,'Données projet'!$A$243:$I$263,3,0))</f>
        <v>0</v>
      </c>
      <c r="GH37" s="134">
        <f>IF(ISNA(VLOOKUP(A37,'Données projet'!$A$243:$I$263,4,0)),0,VLOOKUP(A37,'Données projet'!$A$243:$I$263,4,0))</f>
        <v>0</v>
      </c>
      <c r="GI37" s="135">
        <f>IF(ISNA(VLOOKUP(A37,'Données projet'!$A$243:$I$263,5,0)),0%,VLOOKUP(A37,'Données projet'!$A$243:$I$263,5,0)*VLOOKUP('Données projet'!$B$17,'Paramètres'!$A$1:$I$89,7,0))</f>
        <v>0</v>
      </c>
      <c r="GJ37" s="135">
        <f>IF(ISNA(VLOOKUP(A37,'Données projet'!$A$243:$I$263,6,0)),0%,VLOOKUP(A37,'Données projet'!$A$243:$I$263,6,0)*VLOOKUP('Données projet'!$B$17,'Paramètres'!$A$1:$I$89,7,0))</f>
        <v>0</v>
      </c>
      <c r="GK37" s="135">
        <f>IF(ISNA(VLOOKUP(A37,'Données projet'!$A$243:$I$263,7,0)),0%,VLOOKUP(A37,'Données projet'!$A$243:$I$263,7,0))</f>
        <v>0</v>
      </c>
      <c r="GL37" s="142">
        <f>EXP(-LN(2)/35)*GL36+(1-EXP(-LN(2)/35))/(LN(2)/35)*GH37*GI37*VLOOKUP('Données projet'!$B$17,'Paramètres'!$A$1:$I$89,3,0)*0.475*44/12</f>
        <v>0</v>
      </c>
      <c r="GM37" s="142">
        <f>EXP(-LN(2)/25)*GM36+(1-EXP(-LN(2)/25))/(LN(2)/25)*Calculateur!GH37*Calculateur!GJ37*VLOOKUP('Données projet'!$B$17,'Paramètres'!$A$1:$I$89,3,0)*0.475*44/12</f>
        <v>0</v>
      </c>
      <c r="GN37" s="142">
        <f>EXP(-LN(2)/2)*GN36+(1-EXP(-LN(2)/2))/(LN(2)/2)*GH37*GK37*VLOOKUP('Données projet'!$B$17,'Paramètres'!$A$1:$I$89,3,0)*0.475*44/12</f>
        <v>0</v>
      </c>
      <c r="GO37" s="142">
        <f t="shared" si="28"/>
        <v>0</v>
      </c>
      <c r="GP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1" t="str">
        <f>VLOOKUP(A37,'Données projet'!$A$269:$I$289,2,0)</f>
        <v>#N/A</v>
      </c>
      <c r="GS37" s="131" t="str">
        <f>VLOOKUP(A37,'Données projet'!$A$269:$I$289,9,0)</f>
        <v>#N/A</v>
      </c>
      <c r="GT37" s="130">
        <f t="array" ref="GT37">INDEX(GS:GS,MIN(IF(ISNUMBER(GS37:GS233),ROW(GS37:GS233),"")))</f>
        <v>5</v>
      </c>
      <c r="GU37" s="138">
        <f>IF('Données projet'!$A$270&gt;35,GU36+GT37-HC36,IF(A37&lt;'Données projet'!$A$270,$GR$205^A37,IF(A37='Données projet'!$A$270,'Données projet'!$B$270,GU36+GT37-HC36)))</f>
        <v>74</v>
      </c>
      <c r="GV37" s="138">
        <f>GU37*VLOOKUP('Données projet'!$B$18,'Paramètres'!$A$1:$I$89,3,0)*VLOOKUP('Données projet'!$B$18,'Paramètres'!$A$1:$I$89,5,0)</f>
        <v>79.6536</v>
      </c>
      <c r="GW37" s="130">
        <f t="shared" si="52"/>
        <v>22.05246615</v>
      </c>
      <c r="GX37" s="141">
        <f t="shared" si="29"/>
        <v>177.1380652</v>
      </c>
      <c r="GY37" s="133">
        <f t="shared" si="30"/>
        <v>470.4713985</v>
      </c>
      <c r="GZ37" s="133">
        <f>AVERAGE(OFFSET($GY$3,0,0,'Données projet'!$E$18+1,1))-AVERAGE(OFFSET($H$3,0,0,'Données projet'!$E$18+1,1))</f>
        <v>100.5427875</v>
      </c>
      <c r="HA37" s="133">
        <f t="shared" si="53"/>
        <v>92.28663609</v>
      </c>
      <c r="HB37" s="134">
        <f>IF(ISNA(VLOOKUP(A37,'Données projet'!$A$269:$I$289,3,0)),0,VLOOKUP(A37,'Données projet'!$A$269:$I$289,3,0))</f>
        <v>0</v>
      </c>
      <c r="HC37" s="134">
        <f>IF(ISNA(VLOOKUP(A37,'Données projet'!$A$269:$I$289,4,0)),0,VLOOKUP(A37,'Données projet'!$A$269:$I$289,4,0))</f>
        <v>0</v>
      </c>
      <c r="HD37" s="135">
        <f>IF(ISNA(VLOOKUP(A37,'Données projet'!$A$269:$I$289,5,0)),0%,VLOOKUP(A37,'Données projet'!$A$269:$I$289,5,0)*VLOOKUP('Données projet'!$B$18,'Paramètres'!$A$1:$I$89,7,0))</f>
        <v>0</v>
      </c>
      <c r="HE37" s="135">
        <f>IF(ISNA(VLOOKUP(A37,'Données projet'!$A$269:$I$289,6,0)),0%,VLOOKUP(A37,'Données projet'!$A$269:$I$289,6,0)*VLOOKUP('Données projet'!$B$18,'Paramètres'!$A$1:$I$89,7,0))</f>
        <v>0</v>
      </c>
      <c r="HF37" s="135">
        <f>IF(ISNA(VLOOKUP(A37,'Données projet'!$A$269:$I$289,7,0)),0%,VLOOKUP(A37,'Données projet'!$A$269:$I$289,7,0))</f>
        <v>0</v>
      </c>
      <c r="HG37" s="142">
        <f>EXP(-LN(2)/35)*HG36+(1-EXP(-LN(2)/35))/(LN(2)/35)*HC37*HD37*VLOOKUP('Données projet'!$B$18,'Paramètres'!$A$1:$I$89,3,0)*0.475*44/12</f>
        <v>0</v>
      </c>
      <c r="HH37" s="142">
        <f>EXP(-LN(2)/25)*HH36+(1-EXP(-LN(2)/25))/(LN(2)/25)*Calculateur!HC37*Calculateur!HE37*VLOOKUP('Données projet'!$B$18,'Paramètres'!$A$1:$I$89,3,0)*0.475*44/12</f>
        <v>0</v>
      </c>
      <c r="HI37" s="142">
        <f>EXP(-LN(2)/2)*HI36+(1-EXP(-LN(2)/2))/(LN(2)/2)*HC37*HF37*VLOOKUP('Données projet'!$B$18,'Paramètres'!$A$1:$I$89,3,0)*0.475*44/12</f>
        <v>0</v>
      </c>
      <c r="HJ37" s="143">
        <f t="shared" si="31"/>
        <v>0</v>
      </c>
    </row>
    <row r="38" ht="15.75" customHeight="1">
      <c r="A38" s="125">
        <f t="shared" si="32"/>
        <v>35</v>
      </c>
      <c r="B38" s="126">
        <f>'Scénario référence'!$B$16*5+'Scénario référence'!$B$17*0+'Scénario référence'!$B$18*5</f>
        <v>0</v>
      </c>
      <c r="C38" s="140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19.11</v>
      </c>
      <c r="D38" s="127">
        <f t="shared" si="33"/>
        <v>6.24703599</v>
      </c>
      <c r="E3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7">
        <f>IF(OR('Scénario référence'!$F$8&gt;0,'Scénario référence'!$F$9&gt;0),('Scénario référence'!$F$8+'Scénario référence'!$F$9)*10,0)</f>
        <v>10</v>
      </c>
      <c r="G38" s="127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</v>
      </c>
      <c r="H38" s="128">
        <f t="shared" si="1"/>
        <v>337.4968377</v>
      </c>
      <c r="I38" s="12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8">
        <f>VLOOKUP(A38,'Données projet'!$A$35:$I$55,2,0)</f>
        <v>171</v>
      </c>
      <c r="L38" s="130">
        <f>VLOOKUP(A38,'Données projet'!$A$35:$I$55,9,0)</f>
        <v>10.8</v>
      </c>
      <c r="M38" s="130">
        <f t="array" ref="M38">INDEX(L:L,MIN(IF(ISNUMBER(L38:L234),ROW(L38:L234),"")))</f>
        <v>10.8</v>
      </c>
      <c r="N38" s="130">
        <f>IF('Données projet'!$A$36&gt;35,N37+M38-V37,IF(A38&lt;'Données projet'!$A$36,$K$205^A38,IF(A38='Données projet'!$A$36,'Données projet'!$B$36,N37+M38-V37)))</f>
        <v>171</v>
      </c>
      <c r="O38" s="130">
        <f>N38*VLOOKUP('Données projet'!$B$9,'Paramètres'!$A$1:$I$89,3,0)*VLOOKUP('Données projet'!$B$9,'Paramètres'!$A$1:$I$89,5,0)</f>
        <v>97.812</v>
      </c>
      <c r="P38" s="130">
        <f t="shared" si="34"/>
        <v>26.44006747</v>
      </c>
      <c r="Q38" s="141">
        <f t="shared" si="2"/>
        <v>216.4056842</v>
      </c>
      <c r="R38" s="133">
        <f t="shared" si="3"/>
        <v>509.7390175</v>
      </c>
      <c r="S38" s="133">
        <f>AVERAGE(OFFSET($R$3,0,0,'Données projet'!$E$9+1,1))-AVERAGE(OFFSET($H$3,0,0,'Données projet'!$E$9+1,1))</f>
        <v>126.9946492</v>
      </c>
      <c r="T38" s="133">
        <f t="shared" si="35"/>
        <v>140.039049</v>
      </c>
      <c r="U38" s="134">
        <f>IF(ISNA(VLOOKUP(A38,'Données projet'!$A$35:$I$55,3,0)),0,VLOOKUP(A38,'Données projet'!$A$35:$I$55,3,0))</f>
        <v>3</v>
      </c>
      <c r="V38" s="144">
        <f>IF(ISNA(VLOOKUP(A38,'Données projet'!$A$35:$I$55,4,0)),0,VLOOKUP(A38,'Données projet'!$A$35:$I$55,4,0))</f>
        <v>28</v>
      </c>
      <c r="W38" s="135">
        <f>IF(ISNA(VLOOKUP(A38,'Données projet'!$A$35:$I$55,5,0)),0%,VLOOKUP(A38,'Données projet'!$A$35:$I$55,5,0)*VLOOKUP('Données projet'!$B$9,'Paramètres'!$A$1:$I$89,7,0))</f>
        <v>0.09</v>
      </c>
      <c r="X38" s="135">
        <f>IF(ISNA(VLOOKUP(A38,'Données projet'!$A$35:$I$55,6,0)),0%,VLOOKUP(A38,'Données projet'!$A$35:$I$55,6,0)*VLOOKUP('Données projet'!$B$9,'Paramètres'!$A$1:$I$89,7,0))</f>
        <v>0.2016</v>
      </c>
      <c r="Y38" s="135">
        <f>IF(ISNA(VLOOKUP(A38,'Données projet'!$A$35:$I$55,7,0)),0%,VLOOKUP(A38,'Données projet'!$A$35:$I$55,7,0))</f>
        <v>0.352</v>
      </c>
      <c r="Z38" s="142">
        <f>EXP(-LN(2)/35)*Z37+(1-EXP(-LN(2)/35))/(LN(2)/35)*V38*W38*VLOOKUP('Données projet'!$B$9,'Paramètres'!$A$1:$I$89,3,0)*0.475*44/12</f>
        <v>3.334788099</v>
      </c>
      <c r="AA38" s="142">
        <f>EXP(-LN(2)/25)*AA37+(1-EXP(-LN(2)/25))/(LN(2)/25)*Calculateur!V38*Calculateur!X38*VLOOKUP('Données projet'!$B$9,'Paramètres'!$A$1:$I$89,3,0)*0.475*44/12</f>
        <v>9.049379647</v>
      </c>
      <c r="AB38" s="142">
        <f>EXP(-LN(2)/2)*AB37+(1-EXP(-LN(2)/2))/(LN(2)/2)*V38*Y38*VLOOKUP('Données projet'!$B$9,'Paramètres'!$A$1:$I$89,3,0)*0.475*44/12</f>
        <v>7.416856729</v>
      </c>
      <c r="AC38" s="143">
        <f t="shared" si="4"/>
        <v>19.80102448</v>
      </c>
      <c r="AD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1">
        <f>VLOOKUP(A38,'Données projet'!$A$61:$I$81,2,0)</f>
        <v>233</v>
      </c>
      <c r="AG38" s="131">
        <f>VLOOKUP(A38,'Données projet'!$A$61:$I$81,9,0)</f>
        <v>14.6</v>
      </c>
      <c r="AH38" s="131">
        <f t="array" ref="AH38">INDEX(AG:AG,MIN(IF(ISNUMBER(AG38:AG234),ROW(AG38:AG234),"")))</f>
        <v>14.6</v>
      </c>
      <c r="AI38" s="130">
        <f>IF('Données projet'!$A$62&gt;35,AI37+AH38-AQ37,IF(A38&lt;'Données projet'!$A$62,$AF$205^A38,IF(A38='Données projet'!$A$62,'Données projet'!$B$62,AI37+AH38-AQ37)))</f>
        <v>233</v>
      </c>
      <c r="AJ38" s="130">
        <f>AI38*VLOOKUP('Données projet'!$B$10,'Paramètres'!$A$1:$I$89,3,0)*VLOOKUP('Données projet'!$B$10,'Paramètres'!$A$1:$I$89,5,0)</f>
        <v>139.334</v>
      </c>
      <c r="AK38" s="130">
        <f t="shared" si="36"/>
        <v>36.14439193</v>
      </c>
      <c r="AL38" s="141">
        <f t="shared" si="5"/>
        <v>305.6248659</v>
      </c>
      <c r="AM38" s="133">
        <f t="shared" si="6"/>
        <v>598.9581993</v>
      </c>
      <c r="AN38" s="133">
        <f>AVERAGE(OFFSET($AM$3,0,0,'Données projet'!$E$10+1,1))-AVERAGE(OFFSET($H$3,0,0,'Données projet'!$E$10+1,1))</f>
        <v>196.874484</v>
      </c>
      <c r="AO38" s="133">
        <f t="shared" si="37"/>
        <v>217.5750859</v>
      </c>
      <c r="AP38" s="134">
        <f>IF(ISNA(VLOOKUP(A38,'Données projet'!$A$61:$I$81,3,0)),0,VLOOKUP(A38,'Données projet'!$A$61:$I$81,3,0))</f>
        <v>4</v>
      </c>
      <c r="AQ38" s="145">
        <f>IF(ISNA(VLOOKUP(A38,'Données projet'!$A$61:$I$81,4,0)),0,VLOOKUP(A38,'Données projet'!$A$61:$I$81,4,0))</f>
        <v>41</v>
      </c>
      <c r="AR38" s="135">
        <f>IF(ISNA(VLOOKUP(A38,'Données projet'!$A$61:$I$81,5,0)),0%,VLOOKUP(A38,'Données projet'!$A$61:$I$81,5,0)*VLOOKUP('Données projet'!$B$10,'Paramètres'!$A$1:$I$89,7,0))</f>
        <v>0.09</v>
      </c>
      <c r="AS38" s="135">
        <f>IF(ISNA(VLOOKUP(A38,'Données projet'!$A$61:$I$81,6,0)),0%,VLOOKUP(A38,'Données projet'!$A$61:$I$81,6,0)*VLOOKUP('Données projet'!$B$10,'Paramètres'!$A$1:$I$89,7,0))</f>
        <v>0.2016</v>
      </c>
      <c r="AT38" s="135">
        <f>IF(ISNA(VLOOKUP(A38,'Données projet'!$A$61:$I$81,7,0)),0%,VLOOKUP(A38,'Données projet'!$A$61:$I$81,7,0))</f>
        <v>0.352</v>
      </c>
      <c r="AU38" s="142">
        <f>EXP(-LN(2)/35)*AU37+(1-EXP(-LN(2)/35))/(LN(2)/35)*AQ38*AR38*VLOOKUP('Données projet'!$B$10,'Paramètres'!$A$1:$I$89,3,0)*0.475*44/12</f>
        <v>5.125825978</v>
      </c>
      <c r="AV38" s="142">
        <f>EXP(-LN(2)/25)*AV37+(1-EXP(-LN(2)/25))/(LN(2)/25)*Calculateur!AQ38*Calculateur!AS38*VLOOKUP('Données projet'!$B$10,'Paramètres'!$A$1:$I$89,3,0)*0.475*44/12</f>
        <v>16.03331295</v>
      </c>
      <c r="AW38" s="142">
        <f>EXP(-LN(2)/2)*AW37+(1-EXP(-LN(2)/2))/(LN(2)/2)*AQ38*AT38*VLOOKUP('Données projet'!$B$10,'Paramètres'!$A$1:$I$89,3,0)*0.475*44/12</f>
        <v>11.41493816</v>
      </c>
      <c r="AX38" s="142">
        <f t="shared" si="7"/>
        <v>32.57407709</v>
      </c>
      <c r="AY38" s="13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1" t="str">
        <f>VLOOKUP(A38,'Données projet'!$A$87:$I$107,2,0)</f>
        <v>#N/A</v>
      </c>
      <c r="BB38" s="131" t="str">
        <f>VLOOKUP(A38,'Données projet'!$A$87:$I$107,9,0)</f>
        <v>#N/A</v>
      </c>
      <c r="BC38" s="130">
        <f t="array" ref="BC38">INDEX(BB:BB,MIN(IF(ISNUMBER(BB38:BB234),ROW(BB38:BB234),"")))</f>
        <v>11</v>
      </c>
      <c r="BD38" s="130">
        <f>IF('Données projet'!$A$88&gt;35,BD37+BC38-BL37,IF(A38&lt;'Données projet'!$A$88,$BA$205^A38,IF(A38='Données projet'!$A$88,'Données projet'!$B$88,BD37+BC38-BL37)))</f>
        <v>155</v>
      </c>
      <c r="BE38" s="130">
        <f>BD38*VLOOKUP('Données projet'!$B$11,'Paramètres'!$A$1:$I$89,3,0)*VLOOKUP('Données projet'!$B$11,'Paramètres'!$A$1:$I$89,5,0)</f>
        <v>72.54</v>
      </c>
      <c r="BF38" s="130">
        <f t="shared" si="38"/>
        <v>20.30291466</v>
      </c>
      <c r="BG38" s="141">
        <f t="shared" si="8"/>
        <v>161.7014097</v>
      </c>
      <c r="BH38" s="133">
        <f t="shared" si="9"/>
        <v>455.034743</v>
      </c>
      <c r="BI38" s="133">
        <f>AVERAGE(OFFSET($BH$3,0,0,'Données projet'!$E$11+1,1))-AVERAGE(OFFSET($H$3,0,0,'Données projet'!$E$11+1,1))</f>
        <v>134.0948534</v>
      </c>
      <c r="BJ38" s="133">
        <f t="shared" si="39"/>
        <v>108.4102536</v>
      </c>
      <c r="BK38" s="134">
        <f>IF(ISNA(VLOOKUP(A38,'Données projet'!$A$87:$I$107,3,0)),0,VLOOKUP(A38,'Données projet'!$A$87:$I$107,3,0))</f>
        <v>0</v>
      </c>
      <c r="BL38" s="134">
        <f>IF(ISNA(VLOOKUP(A38,'Données projet'!$A$87:$I$107,4,0)),0,VLOOKUP(A38,'Données projet'!$A$87:$I$107,4,0))</f>
        <v>0</v>
      </c>
      <c r="BM38" s="135">
        <f>IF(ISNA(VLOOKUP(A38,'Données projet'!$A$87:$I$107,5,0)),0%,VLOOKUP(A38,'Données projet'!$A$87:$I$107,5,0)*VLOOKUP('Données projet'!$B$11,'Paramètres'!$A$1:$I$89,7,0))</f>
        <v>0</v>
      </c>
      <c r="BN38" s="135">
        <f>IF(ISNA(VLOOKUP(A38,'Données projet'!$A$87:$I$107,6,0)),0%,VLOOKUP(A38,'Données projet'!$A$87:$I$107,6,0)*VLOOKUP('Données projet'!$B$11,'Paramètres'!$A$1:$I$89,7,0))</f>
        <v>0</v>
      </c>
      <c r="BO38" s="135">
        <f>IF(ISNA(VLOOKUP(A38,'Données projet'!$A$87:$I$107,7,0)),0%,VLOOKUP(A38,'Données projet'!$A$87:$I$107,7,0))</f>
        <v>0</v>
      </c>
      <c r="BP38" s="142">
        <f>EXP(-LN(2)/35)*BP37+(1-EXP(-LN(2)/35))/(LN(2)/35)*BL38*BM38*VLOOKUP('Données projet'!$B$11,'Paramètres'!$A$1:$I$89,3,0)*0.475*44/12</f>
        <v>2.474130487</v>
      </c>
      <c r="BQ38" s="142">
        <f>EXP(-LN(2)/25)*BQ37+(1-EXP(-LN(2)/25))/(LN(2)/25)*Calculateur!BL38*Calculateur!BN38*VLOOKUP('Données projet'!$B$11,'Paramètres'!$A$1:$I$89,3,0)*0.475*44/12</f>
        <v>5.305857074</v>
      </c>
      <c r="BR38" s="142">
        <f>EXP(-LN(2)/2)*BR37+(1-EXP(-LN(2)/2))/(LN(2)/2)*BL38*BO38*VLOOKUP('Données projet'!$B$11,'Paramètres'!$A$1:$I$89,3,0)*0.475*44/12</f>
        <v>1.318891465</v>
      </c>
      <c r="BS38" s="143">
        <f t="shared" si="10"/>
        <v>9.098879027</v>
      </c>
      <c r="BT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1">
        <f>VLOOKUP(A38,'Données projet'!$A$113:$I$133,2,0)</f>
        <v>374</v>
      </c>
      <c r="BW38" s="130">
        <f>VLOOKUP(A38,'Données projet'!$A$113:$I$133,9,0)</f>
        <v>25.6</v>
      </c>
      <c r="BX38" s="130">
        <f t="array" ref="BX38">INDEX(BW:BW,MIN(IF(ISNUMBER(BW38:BW234),ROW(BW38:BW234),"")))</f>
        <v>25.6</v>
      </c>
      <c r="BY38" s="130">
        <f>IF('Données projet'!$A$114&gt;35,BY37+BX38-CG37,IF(A38&lt;'Données projet'!$A$114,$BV$205^A38,IF(A38='Données projet'!$A$114,'Données projet'!$B$114,BY37+BX38-CG37)))</f>
        <v>374</v>
      </c>
      <c r="BZ38" s="130">
        <f>BY38*VLOOKUP('Données projet'!$B$12,'Paramètres'!$A$1:$I$89,3,0)*VLOOKUP('Données projet'!$B$12,'Paramètres'!$A$1:$I$89,5,0)</f>
        <v>184.756</v>
      </c>
      <c r="CA38" s="130">
        <f t="shared" si="40"/>
        <v>46.37869717</v>
      </c>
      <c r="CB38" s="141">
        <f t="shared" si="11"/>
        <v>402.5595976</v>
      </c>
      <c r="CC38" s="133">
        <f t="shared" si="12"/>
        <v>695.8929309</v>
      </c>
      <c r="CD38" s="133">
        <f>AVERAGE(OFFSET($CC$3,0,0,'Données projet'!$E$12+1,1))-AVERAGE(OFFSET($H$3,0,0,'Données projet'!$E$12+1,1))</f>
        <v>258.1672054</v>
      </c>
      <c r="CE38" s="133">
        <f t="shared" si="41"/>
        <v>296.0724261</v>
      </c>
      <c r="CF38" s="134">
        <f>IF(ISNA(VLOOKUP(A38,'Données projet'!$A$113:$I$133,3,0)),0,VLOOKUP(A38,'Données projet'!$A$113:$I$133,3,0))</f>
        <v>5</v>
      </c>
      <c r="CG38" s="134">
        <f>IF(ISNA(VLOOKUP(A38,'Données projet'!$A$113:$I$133,4,0)),0,VLOOKUP(A38,'Données projet'!$A$113:$I$133,4,0))</f>
        <v>63</v>
      </c>
      <c r="CH38" s="135">
        <f>IF(ISNA(VLOOKUP(A38,'Données projet'!$A$113:$I$133,5,0)),0%,VLOOKUP(A38,'Données projet'!$A$113:$I$133,5,0)*VLOOKUP('Données projet'!$B$12,'Paramètres'!$A$1:$I$89,7,0))</f>
        <v>0.22</v>
      </c>
      <c r="CI38" s="135">
        <f>IF(ISNA(VLOOKUP(A38,'Données projet'!$A$113:$I$133,6,0)),0%,VLOOKUP(A38,'Données projet'!$A$113:$I$133,6,0)*VLOOKUP('Données projet'!$B$12,'Paramètres'!$A$1:$I$89,7,0))</f>
        <v>0.1848</v>
      </c>
      <c r="CJ38" s="135">
        <f>IF(ISNA(VLOOKUP(A38,'Données projet'!$A$113:$I$133,7,0)),0%,VLOOKUP(A38,'Données projet'!$A$113:$I$133,7,0))</f>
        <v>0.26</v>
      </c>
      <c r="CK38" s="142">
        <f>EXP(-LN(2)/35)*CK37+(1-EXP(-LN(2)/35))/(LN(2)/35)*CG38*CH38*VLOOKUP('Données projet'!$B$12,'Paramètres'!$A$1:$I$89,3,0)*0.475*44/12</f>
        <v>16.92147707</v>
      </c>
      <c r="CL38" s="142">
        <f>EXP(-LN(2)/25)*CL37+(1-EXP(-LN(2)/25))/(LN(2)/25)*Calculateur!CG38*Calculateur!CI38*VLOOKUP('Données projet'!$B$12,'Paramètres'!$A$1:$I$89,3,0)*0.475*44/12</f>
        <v>24.49751334</v>
      </c>
      <c r="CM38" s="142">
        <f>EXP(-LN(2)/2)*CM37+(1-EXP(-LN(2)/2))/(LN(2)/2)*CG38*CJ38*VLOOKUP('Données projet'!$B$12,'Paramètres'!$A$1:$I$89,3,0)*0.475*44/12</f>
        <v>11.73139245</v>
      </c>
      <c r="CN38" s="143">
        <f t="shared" si="13"/>
        <v>53.15038286</v>
      </c>
      <c r="CO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8">
        <f>VLOOKUP(A38,'Données projet'!$A$139:$I$159,2,0)</f>
        <v>79</v>
      </c>
      <c r="CR38" s="130">
        <f>VLOOKUP(A38,'Données projet'!$A$139:$I$159,9,0)</f>
        <v>5</v>
      </c>
      <c r="CS38" s="130">
        <f t="array" ref="CS38">INDEX(CR:CR,MIN(IF(ISNUMBER(CR38:CR234),ROW(CR38:CR234),"")))</f>
        <v>5</v>
      </c>
      <c r="CT38" s="138">
        <f>IF('Données projet'!$A$140&gt;35,CT37+CS38-DB37,IF(A38&lt;'Données projet'!$A$140,$CQ$205^A38,IF(A38='Données projet'!$A$140,'Données projet'!$B$140,CT37+CS38-DB37)))</f>
        <v>79</v>
      </c>
      <c r="CU38" s="138">
        <f>CT38*VLOOKUP('Données projet'!$B$13,'Paramètres'!$A$1:$I$89,3,0)*VLOOKUP('Données projet'!$B$13,'Paramètres'!$A$1:$I$89,5,0)</f>
        <v>80.106</v>
      </c>
      <c r="CV38" s="130">
        <f t="shared" si="42"/>
        <v>22.16309968</v>
      </c>
      <c r="CW38" s="141">
        <f t="shared" si="14"/>
        <v>178.1186819</v>
      </c>
      <c r="CX38" s="133">
        <f t="shared" si="15"/>
        <v>471.4520153</v>
      </c>
      <c r="CY38" s="133">
        <f>AVERAGE(OFFSET($CX$3,0,0,'Données projet'!$E$13+1,1))-AVERAGE(OFFSET($H$3,0,0,'Données projet'!$E$13+1,1))</f>
        <v>223.783507</v>
      </c>
      <c r="CZ38" s="133">
        <f t="shared" si="43"/>
        <v>84.92349117</v>
      </c>
      <c r="DA38" s="134">
        <f>IF(ISNA(VLOOKUP(A38,'Données projet'!$A$139:$I$159,3,0)),0,VLOOKUP(A38,'Données projet'!$A$139:$I$159,3,0))</f>
        <v>3</v>
      </c>
      <c r="DB38" s="144">
        <f>IF(ISNA(VLOOKUP(A38,'Données projet'!$A$139:$I$159,4,0)),0,VLOOKUP(A38,'Données projet'!$A$139:$I$159,4,0))</f>
        <v>13</v>
      </c>
      <c r="DC38" s="135">
        <f>IF(ISNA(VLOOKUP(A38,'Données projet'!$A$139:$I$159,5,0)),0%,VLOOKUP(A38,'Données projet'!$A$139:$I$159,5,0)*VLOOKUP('Données projet'!$B$13,'Paramètres'!$A$1:$I$89,7,0))</f>
        <v>0</v>
      </c>
      <c r="DD38" s="135">
        <f>IF(ISNA(VLOOKUP(A38,'Données projet'!$A$139:$I$159,6,0)),0%,VLOOKUP(A38,'Données projet'!$A$139:$I$159,6,0)*VLOOKUP('Données projet'!$B$13,'Paramètres'!$A$1:$I$89,7,0))</f>
        <v>0</v>
      </c>
      <c r="DE38" s="135" t="str">
        <f>IF(ISNA(VLOOKUP(A38,'Données projet'!$A$139:$I$159,7,0)),0%,VLOOKUP(A38,'Données projet'!$A$139:$I$159,7,0))</f>
        <v/>
      </c>
      <c r="DF38" s="142">
        <f>EXP(-LN(2)/35)*DF37+(1-EXP(-LN(2)/35))/(LN(2)/35)*DB38*DC38*VLOOKUP('Données projet'!$B$13,'Paramètres'!$A$1:$I$89,3,0)*0.475*44/12</f>
        <v>0</v>
      </c>
      <c r="DG38" s="142">
        <f>EXP(-LN(2)/25)*DG37+(1-EXP(-LN(2)/25))/(LN(2)/25)*Calculateur!DB38*Calculateur!DD38*VLOOKUP('Données projet'!$B$13,'Paramètres'!$A$1:$I$89,3,0)*0.475*44/12</f>
        <v>0</v>
      </c>
      <c r="DH38" s="142">
        <f>EXP(-LN(2)/2)*DH37+(1-EXP(-LN(2)/2))/(LN(2)/2)*DB38*DE38*VLOOKUP('Données projet'!$B$13,'Paramètres'!$A$1:$I$89,3,0)*0.475*44/12</f>
        <v>0</v>
      </c>
      <c r="DI38" s="143">
        <f t="shared" si="16"/>
        <v>0</v>
      </c>
      <c r="DJ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8">
        <f>VLOOKUP(A38,'Données projet'!$A$165:$I$185,2,0)</f>
        <v>116</v>
      </c>
      <c r="DM38" s="131">
        <f>VLOOKUP(A38,'Données projet'!$A$165:$I$185,9,0)</f>
        <v>8</v>
      </c>
      <c r="DN38" s="131">
        <f t="array" ref="DN38">INDEX(DM:DM,MIN(IF(ISNUMBER(DM38:DM234),ROW(DM38:DM234),"")))</f>
        <v>8</v>
      </c>
      <c r="DO38" s="138">
        <f>IF('Données projet'!$A$166&gt;35,DO37+DN38-DW37,IF(A38&lt;'Données projet'!$A$166,$DL$205^A38,IF(A38='Données projet'!$A$166,'Données projet'!$B$166,DO37+DN38-DW37)))</f>
        <v>116</v>
      </c>
      <c r="DP38" s="138">
        <f>DO38*VLOOKUP('Données projet'!$B$14,'Paramètres'!$A$1:$I$89,3,0)*VLOOKUP('Données projet'!$B$14,'Paramètres'!$A$1:$I$89,5,0)</f>
        <v>104.9568</v>
      </c>
      <c r="DQ38" s="130">
        <f t="shared" si="44"/>
        <v>28.13954134</v>
      </c>
      <c r="DR38" s="141">
        <f t="shared" si="17"/>
        <v>231.8094612</v>
      </c>
      <c r="DS38" s="133">
        <f t="shared" si="18"/>
        <v>525.1427945</v>
      </c>
      <c r="DT38" s="133">
        <f>AVERAGE(OFFSET($DS$3,0,0,'Données projet'!$E$14+1,1))-AVERAGE(OFFSET($H$3,0,0,'Données projet'!$E$14+1,1))</f>
        <v>287.9334714</v>
      </c>
      <c r="DU38" s="133">
        <f t="shared" si="45"/>
        <v>156.6796502</v>
      </c>
      <c r="DV38" s="134">
        <f>IF(ISNA(VLOOKUP(A38,'Données projet'!$A$165:$I$185,3,0)),0,VLOOKUP(A38,'Données projet'!$A$165:$I$185,3,0))</f>
        <v>4</v>
      </c>
      <c r="DW38" s="144">
        <f>IF(ISNA(VLOOKUP(A38,'Données projet'!$A$165:$I$185,4,0)),0,VLOOKUP(A38,'Données projet'!$A$165:$I$185,4,0))</f>
        <v>21</v>
      </c>
      <c r="DX38" s="135">
        <f>IF(ISNA(VLOOKUP(A38,'Données projet'!$A$165:$I$185,5,0)),0%,VLOOKUP(A38,'Données projet'!$A$165:$I$185,5,0)*VLOOKUP('Données projet'!$B$14,'Paramètres'!$A$1:$I$89,7,0))</f>
        <v>0</v>
      </c>
      <c r="DY38" s="135">
        <f>IF(ISNA(VLOOKUP(A38,'Données projet'!$A$165:$I$185,6,0)),0%,VLOOKUP(A38,'Données projet'!$A$165:$I$185,6,0)*VLOOKUP('Données projet'!$B$14,'Paramètres'!$A$1:$I$89,7,0))</f>
        <v>0</v>
      </c>
      <c r="DZ38" s="135" t="str">
        <f>IF(ISNA(VLOOKUP(A38,'Données projet'!$A$165:$I$185,7,0)),0%,VLOOKUP(A38,'Données projet'!$A$165:$I$185,7,0))</f>
        <v/>
      </c>
      <c r="EA38" s="142">
        <f>EXP(-LN(2)/35)*EA37+(1-EXP(-LN(2)/35))/(LN(2)/35)*DW38*DX38*VLOOKUP('Données projet'!$B$14,'Paramètres'!$A$1:$I$89,3,0)*0.475*44/12</f>
        <v>0</v>
      </c>
      <c r="EB38" s="142">
        <f>EXP(-LN(2)/25)*EB37+(1-EXP(-LN(2)/25))/(LN(2)/25)*Calculateur!DW38*Calculateur!DY38*VLOOKUP('Données projet'!$B$14,'Paramètres'!$A$1:$I$89,3,0)*0.475*44/12</f>
        <v>0</v>
      </c>
      <c r="EC38" s="142">
        <f>EXP(-LN(2)/2)*EC37+(1-EXP(-LN(2)/2))/(LN(2)/2)*DW38*DZ38*VLOOKUP('Données projet'!$B$14,'Paramètres'!$A$1:$I$89,3,0)*0.475*44/12</f>
        <v>0</v>
      </c>
      <c r="ED38" s="143">
        <f t="shared" si="19"/>
        <v>0</v>
      </c>
      <c r="EE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8">
        <f>VLOOKUP(A38,'Données projet'!$A$191:$I$211,2,0)</f>
        <v>97</v>
      </c>
      <c r="EH38" s="131">
        <f>VLOOKUP(A38,'Données projet'!$A$191:$I$211,9,0)</f>
        <v>7.2</v>
      </c>
      <c r="EI38" s="131">
        <f t="array" ref="EI38">INDEX(EH:EH,MIN(IF(ISNUMBER(EH38:EH234),ROW(EH38:EH234),"")))</f>
        <v>7.2</v>
      </c>
      <c r="EJ38" s="138">
        <f>IF('Données projet'!$A$192&gt;35,EJ37+EI38-ER37,IF(A38&lt;'Données projet'!$A$192,$EG$205^A38,IF(A38='Données projet'!$A$192,'Données projet'!$B$192,EJ37+EI38-ER37)))</f>
        <v>97</v>
      </c>
      <c r="EK38" s="138">
        <f>EJ38*VLOOKUP('Données projet'!$B$15,'Paramètres'!$A$1:$I$89,3,0)*VLOOKUP('Données projet'!$B$15,'Paramètres'!$A$1:$I$89,5,0)</f>
        <v>71.1204</v>
      </c>
      <c r="EL38" s="130">
        <f t="shared" si="46"/>
        <v>19.95143473</v>
      </c>
      <c r="EM38" s="141">
        <f t="shared" si="20"/>
        <v>158.6167788</v>
      </c>
      <c r="EN38" s="133">
        <f t="shared" si="21"/>
        <v>451.9501121</v>
      </c>
      <c r="EO38" s="133">
        <f>AVERAGE(OFFSET($EN$3,0,0,'Données projet'!$E$15+1,1))-AVERAGE(OFFSET($H$3,0,0,'Données projet'!$E$15+1,1))</f>
        <v>130.3193339</v>
      </c>
      <c r="EP38" s="133">
        <f t="shared" si="47"/>
        <v>82.22784365</v>
      </c>
      <c r="EQ38" s="134">
        <f>IF(ISNA(VLOOKUP(A38,'Données projet'!$A$191:$I$211,3,0)),0,VLOOKUP(A38,'Données projet'!$A$191:$I$211,3,0))</f>
        <v>3</v>
      </c>
      <c r="ER38" s="144">
        <f>IF(ISNA(VLOOKUP(A38,'Données projet'!$A$191:$I$211,4,0)),0,VLOOKUP(A38,'Données projet'!$A$191:$I$211,4,0))</f>
        <v>21</v>
      </c>
      <c r="ES38" s="135">
        <f>IF(ISNA(VLOOKUP(A38,'Données projet'!$A$191:$I$211,5,0)),0%,VLOOKUP(A38,'Données projet'!$A$191:$I$211,5,0)*VLOOKUP('Données projet'!$B$15,'Paramètres'!$A$1:$I$89,7,0))</f>
        <v>0.086</v>
      </c>
      <c r="ET38" s="135">
        <f>IF(ISNA(VLOOKUP(A38,'Données projet'!$A$191:$I$211,6,0)),0%,VLOOKUP(A38,'Données projet'!$A$191:$I$211,6,0)*VLOOKUP('Données projet'!$B$15,'Paramètres'!$A$1:$I$89,7,0))</f>
        <v>0</v>
      </c>
      <c r="EU38" s="135" t="str">
        <f>IF(ISNA(VLOOKUP(A38,'Données projet'!$A$191:$I$211,7,0)),0%,VLOOKUP(A38,'Données projet'!$A$191:$I$211,7,0))</f>
        <v/>
      </c>
      <c r="EV38" s="142">
        <f>EXP(-LN(2)/35)*EV37+(1-EXP(-LN(2)/35))/(LN(2)/35)*ER38*ES38*VLOOKUP('Données projet'!$B$15,'Paramètres'!$A$1:$I$89,3,0)*0.475*44/12</f>
        <v>2.221427518</v>
      </c>
      <c r="EW38" s="142">
        <f>EXP(-LN(2)/25)*EW37+(1-EXP(-LN(2)/25))/(LN(2)/25)*Calculateur!ER38*Calculateur!ET38*VLOOKUP('Données projet'!$B$15,'Paramètres'!$A$1:$I$89,3,0)*0.475*44/12</f>
        <v>0</v>
      </c>
      <c r="EX38" s="142">
        <f>EXP(-LN(2)/2)*EX37+(1-EXP(-LN(2)/2))/(LN(2)/2)*ER38*EU38*VLOOKUP('Données projet'!$B$15,'Paramètres'!$A$1:$I$89,3,0)*0.475*44/12</f>
        <v>0</v>
      </c>
      <c r="EY38" s="143">
        <f t="shared" si="22"/>
        <v>2.221427518</v>
      </c>
      <c r="EZ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1">
        <f>VLOOKUP(A38,'Données projet'!$A$217:$I$237,2,0)</f>
        <v>208</v>
      </c>
      <c r="FC38" s="130">
        <f>VLOOKUP(A38,'Données projet'!$A$217:$I$237,9,0)</f>
        <v>7.8</v>
      </c>
      <c r="FD38" s="130">
        <f t="array" ref="FD38">INDEX(FC:FC,MIN(IF(ISNUMBER(FC38:FC234),ROW(FC38:FC234),"")))</f>
        <v>7.8</v>
      </c>
      <c r="FE38" s="130">
        <f>IF('Données projet'!$A$218&gt;35,FE37+FD38-FM37,IF(A38&lt;'Données projet'!$A$218,$FB$205^A38,IF(A38='Données projet'!$A$218,'Données projet'!$B$218,FE37+FD38-FM37)))</f>
        <v>208</v>
      </c>
      <c r="FF38" s="138">
        <f>FE38*VLOOKUP('Données projet'!$B$16,'Paramètres'!$A$1:$I$89,3,0)*VLOOKUP('Données projet'!$B$16,'Paramètres'!$A$1:$I$89,5,0)</f>
        <v>188.1984</v>
      </c>
      <c r="FG38" s="130">
        <f t="shared" si="48"/>
        <v>47.14142408</v>
      </c>
      <c r="FH38" s="141">
        <f t="shared" si="23"/>
        <v>409.8835269</v>
      </c>
      <c r="FI38" s="133">
        <f t="shared" si="24"/>
        <v>703.2168603</v>
      </c>
      <c r="FJ38" s="133">
        <f>AVERAGE(OFFSET($FI$3,0,0,'Données projet'!$E$16+1,1))-AVERAGE(OFFSET($H$3,0,0,'Données projet'!$E$16+1,1))</f>
        <v>305.6252353</v>
      </c>
      <c r="FK38" s="133">
        <f t="shared" si="49"/>
        <v>331.397916</v>
      </c>
      <c r="FL38" s="134">
        <f>IF(ISNA(VLOOKUP(A38,'Données projet'!$A$217:$I$237,3,0)),0,VLOOKUP(A38,'Données projet'!$A$217:$I$237,3,0))</f>
        <v>5</v>
      </c>
      <c r="FM38" s="134">
        <f>IF(ISNA(VLOOKUP(A38,'Données projet'!$A$217:$I$237,4,0)),0,VLOOKUP(A38,'Données projet'!$A$217:$I$237,4,0))</f>
        <v>16</v>
      </c>
      <c r="FN38" s="135">
        <f>IF(ISNA(VLOOKUP(A38,'Données projet'!$A$217:$I$237,5,0)),0%,VLOOKUP(A38,'Données projet'!$A$217:$I$237,5,0)*VLOOKUP('Données projet'!$B$16,'Paramètres'!$A$1:$I$89,7,0))</f>
        <v>0.06</v>
      </c>
      <c r="FO38" s="135">
        <f>IF(ISNA(VLOOKUP(A38,'Données projet'!$A$217:$I$237,6,0)),0%,VLOOKUP(A38,'Données projet'!$A$217:$I$237,6,0)*VLOOKUP('Données projet'!$B$16,'Paramètres'!$A$1:$I$89,7,0))</f>
        <v>0</v>
      </c>
      <c r="FP38" s="135" t="str">
        <f>IF(ISNA(VLOOKUP(A38,'Données projet'!$A$217:$I$237,7,0)),0%,VLOOKUP(A38,'Données projet'!$A$217:$I$237,7,0))</f>
        <v/>
      </c>
      <c r="FQ38" s="142">
        <f>EXP(-LN(2)/35)*FQ37+(1-EXP(-LN(2)/35))/(LN(2)/35)*FM38*FN38*VLOOKUP('Données projet'!$B$16,'Paramètres'!$A$1:$I$89,3,0)*0.475*44/12</f>
        <v>0.9602204154</v>
      </c>
      <c r="FR38" s="142">
        <f>EXP(-LN(2)/25)*FR37+(1-EXP(-LN(2)/25))/(LN(2)/25)*Calculateur!FM38*Calculateur!FO38*VLOOKUP('Données projet'!$B$16,'Paramètres'!$A$1:$I$89,3,0)*0.475*44/12</f>
        <v>0</v>
      </c>
      <c r="FS38" s="142">
        <f>EXP(-LN(2)/2)*FS37+(1-EXP(-LN(2)/2))/(LN(2)/2)*FM38*FP38*VLOOKUP('Données projet'!$B$16,'Paramètres'!$A$1:$I$89,3,0)*0.475*44/12</f>
        <v>0</v>
      </c>
      <c r="FT38" s="143">
        <f t="shared" si="25"/>
        <v>0.9602204154</v>
      </c>
      <c r="FU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8">
        <f>VLOOKUP(A38,'Données projet'!$A$243:$I$263,2,0)</f>
        <v>139</v>
      </c>
      <c r="FX38" s="130">
        <f>VLOOKUP(A38,'Données projet'!$A$243:$I$263,9,0)</f>
        <v>10.2</v>
      </c>
      <c r="FY38" s="130">
        <f t="array" ref="FY38">INDEX(FX:FX,MIN(IF(ISNUMBER(FX38:FX234),ROW(FX38:FX234),"")))</f>
        <v>10.2</v>
      </c>
      <c r="FZ38" s="138">
        <f>IF('Données projet'!$A$244&gt;35,FZ37+FY38-GH37,IF(A38&lt;'Données projet'!$A$244,$FW$205^A38,IF(A38='Données projet'!$A$244,'Données projet'!$B$244,FZ37+FY38-GH37)))</f>
        <v>139</v>
      </c>
      <c r="GA38" s="138">
        <f>FZ38*VLOOKUP('Données projet'!$B$17,'Paramètres'!$A$1:$I$89,3,0)*VLOOKUP('Données projet'!$B$17,'Paramètres'!$A$1:$I$89,5,0)</f>
        <v>93.2412</v>
      </c>
      <c r="GB38" s="130">
        <f t="shared" si="50"/>
        <v>25.34530751</v>
      </c>
      <c r="GC38" s="141">
        <f t="shared" si="26"/>
        <v>206.5381672</v>
      </c>
      <c r="GD38" s="133">
        <f t="shared" si="27"/>
        <v>499.8715006</v>
      </c>
      <c r="GE38" s="133">
        <f>AVERAGE(OFFSET($GD$3,0,0,'Données projet'!$E$17+1,1))-AVERAGE(OFFSET($H$3,0,0,'Données projet'!$E$17+1,1))</f>
        <v>118.7368745</v>
      </c>
      <c r="GF38" s="133">
        <f t="shared" si="51"/>
        <v>135.1233677</v>
      </c>
      <c r="GG38" s="134">
        <f>IF(ISNA(VLOOKUP(A38,'Données projet'!$A$243:$I$263,3,0)),0,VLOOKUP(A38,'Données projet'!$A$243:$I$263,3,0))</f>
        <v>4</v>
      </c>
      <c r="GH38" s="144">
        <f>IF(ISNA(VLOOKUP(A38,'Données projet'!$A$243:$I$263,4,0)),0,VLOOKUP(A38,'Données projet'!$A$243:$I$263,4,0))</f>
        <v>28</v>
      </c>
      <c r="GI38" s="135">
        <f>IF(ISNA(VLOOKUP(A38,'Données projet'!$A$243:$I$263,5,0)),0%,VLOOKUP(A38,'Données projet'!$A$243:$I$263,5,0)*VLOOKUP('Données projet'!$B$17,'Paramètres'!$A$1:$I$89,7,0))</f>
        <v>0.106</v>
      </c>
      <c r="GJ38" s="135">
        <f>IF(ISNA(VLOOKUP(A38,'Données projet'!$A$243:$I$263,6,0)),0%,VLOOKUP(A38,'Données projet'!$A$243:$I$263,6,0)*VLOOKUP('Données projet'!$B$17,'Paramètres'!$A$1:$I$89,7,0))</f>
        <v>0</v>
      </c>
      <c r="GK38" s="135" t="str">
        <f>IF(ISNA(VLOOKUP(A38,'Données projet'!$A$243:$I$263,7,0)),0%,VLOOKUP(A38,'Données projet'!$A$243:$I$263,7,0))</f>
        <v/>
      </c>
      <c r="GL38" s="142">
        <f>EXP(-LN(2)/35)*GL37+(1-EXP(-LN(2)/35))/(LN(2)/35)*GH38*GI38*VLOOKUP('Données projet'!$B$17,'Paramètres'!$A$1:$I$89,3,0)*0.475*44/12</f>
        <v>2.200919007</v>
      </c>
      <c r="GM38" s="142">
        <f>EXP(-LN(2)/25)*GM37+(1-EXP(-LN(2)/25))/(LN(2)/25)*Calculateur!GH38*Calculateur!GJ38*VLOOKUP('Données projet'!$B$17,'Paramètres'!$A$1:$I$89,3,0)*0.475*44/12</f>
        <v>0</v>
      </c>
      <c r="GN38" s="142">
        <f>EXP(-LN(2)/2)*GN37+(1-EXP(-LN(2)/2))/(LN(2)/2)*GH38*GK38*VLOOKUP('Données projet'!$B$17,'Paramètres'!$A$1:$I$89,3,0)*0.475*44/12</f>
        <v>0</v>
      </c>
      <c r="GO38" s="142">
        <f t="shared" si="28"/>
        <v>2.200919007</v>
      </c>
      <c r="GP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8">
        <f>VLOOKUP(A38,'Données projet'!$A$269:$I$289,2,0)</f>
        <v>79</v>
      </c>
      <c r="GS38" s="130">
        <f>VLOOKUP(A38,'Données projet'!$A$269:$I$289,9,0)</f>
        <v>5</v>
      </c>
      <c r="GT38" s="130">
        <f t="array" ref="GT38">INDEX(GS:GS,MIN(IF(ISNUMBER(GS38:GS234),ROW(GS38:GS234),"")))</f>
        <v>5</v>
      </c>
      <c r="GU38" s="138">
        <f>IF('Données projet'!$A$270&gt;35,GU37+GT38-HC37,IF(A38&lt;'Données projet'!$A$270,$GR$205^A38,IF(A38='Données projet'!$A$270,'Données projet'!$B$270,GU37+GT38-HC37)))</f>
        <v>79</v>
      </c>
      <c r="GV38" s="138">
        <f>GU38*VLOOKUP('Données projet'!$B$18,'Paramètres'!$A$1:$I$89,3,0)*VLOOKUP('Données projet'!$B$18,'Paramètres'!$A$1:$I$89,5,0)</f>
        <v>85.0356</v>
      </c>
      <c r="GW38" s="130">
        <f t="shared" si="52"/>
        <v>23.36400629</v>
      </c>
      <c r="GX38" s="141">
        <f t="shared" si="29"/>
        <v>188.7959809</v>
      </c>
      <c r="GY38" s="133">
        <f t="shared" si="30"/>
        <v>482.1293143</v>
      </c>
      <c r="GZ38" s="133">
        <f>AVERAGE(OFFSET($GY$3,0,0,'Données projet'!$E$18+1,1))-AVERAGE(OFFSET($H$3,0,0,'Données projet'!$E$18+1,1))</f>
        <v>100.5427875</v>
      </c>
      <c r="HA38" s="133">
        <f t="shared" si="53"/>
        <v>92.28663609</v>
      </c>
      <c r="HB38" s="134">
        <f>IF(ISNA(VLOOKUP(A38,'Données projet'!$A$269:$I$289,3,0)),0,VLOOKUP(A38,'Données projet'!$A$269:$I$289,3,0))</f>
        <v>3</v>
      </c>
      <c r="HC38" s="144">
        <f>IF(ISNA(VLOOKUP(A38,'Données projet'!$A$269:$I$289,4,0)),0,VLOOKUP(A38,'Données projet'!$A$269:$I$289,4,0))</f>
        <v>13</v>
      </c>
      <c r="HD38" s="135">
        <f>IF(ISNA(VLOOKUP(A38,'Données projet'!$A$269:$I$289,5,0)),0%,VLOOKUP(A38,'Données projet'!$A$269:$I$289,5,0)*VLOOKUP('Données projet'!$B$18,'Paramètres'!$A$1:$I$89,7,0))</f>
        <v>0.086</v>
      </c>
      <c r="HE38" s="135">
        <f>IF(ISNA(VLOOKUP(A38,'Données projet'!$A$269:$I$289,6,0)),0%,VLOOKUP(A38,'Données projet'!$A$269:$I$289,6,0)*VLOOKUP('Données projet'!$B$18,'Paramètres'!$A$1:$I$89,7,0))</f>
        <v>0</v>
      </c>
      <c r="HF38" s="135" t="str">
        <f>IF(ISNA(VLOOKUP(A38,'Données projet'!$A$269:$I$289,7,0)),0%,VLOOKUP(A38,'Données projet'!$A$269:$I$289,7,0))</f>
        <v/>
      </c>
      <c r="HG38" s="142">
        <f>EXP(-LN(2)/35)*HG37+(1-EXP(-LN(2)/35))/(LN(2)/35)*HC38*HD38*VLOOKUP('Données projet'!$B$18,'Paramètres'!$A$1:$I$89,3,0)*0.475*44/12</f>
        <v>1.330339858</v>
      </c>
      <c r="HH38" s="142">
        <f>EXP(-LN(2)/25)*HH37+(1-EXP(-LN(2)/25))/(LN(2)/25)*Calculateur!HC38*Calculateur!HE38*VLOOKUP('Données projet'!$B$18,'Paramètres'!$A$1:$I$89,3,0)*0.475*44/12</f>
        <v>0</v>
      </c>
      <c r="HI38" s="142">
        <f>EXP(-LN(2)/2)*HI37+(1-EXP(-LN(2)/2))/(LN(2)/2)*HC38*HF38*VLOOKUP('Données projet'!$B$18,'Paramètres'!$A$1:$I$89,3,0)*0.475*44/12</f>
        <v>0</v>
      </c>
      <c r="HJ38" s="143">
        <f t="shared" si="31"/>
        <v>1.330339858</v>
      </c>
    </row>
    <row r="39" ht="15.75" customHeight="1">
      <c r="A39" s="125">
        <f t="shared" si="32"/>
        <v>36</v>
      </c>
      <c r="B39" s="126">
        <f>'Scénario référence'!$B$16*5+'Scénario référence'!$B$17*0+'Scénario référence'!$B$18*5</f>
        <v>0</v>
      </c>
      <c r="C39" s="140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19.656</v>
      </c>
      <c r="D39" s="127">
        <f t="shared" si="33"/>
        <v>6.404487372</v>
      </c>
      <c r="E3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7">
        <f>IF(OR('Scénario référence'!$F$8&gt;0,'Scénario référence'!$F$9&gt;0),('Scénario référence'!$F$8+'Scénario référence'!$F$9)*10,0)</f>
        <v>10</v>
      </c>
      <c r="G39" s="127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</v>
      </c>
      <c r="H39" s="128">
        <f t="shared" si="1"/>
        <v>338.7220155</v>
      </c>
      <c r="I39" s="12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1" t="str">
        <f>VLOOKUP(A39,'Données projet'!$A$35:$I$55,2,0)</f>
        <v>#N/A</v>
      </c>
      <c r="L39" s="131" t="str">
        <f>VLOOKUP(A39,'Données projet'!$A$35:$I$55,9,0)</f>
        <v>#N/A</v>
      </c>
      <c r="M39" s="131">
        <f t="array" ref="M39">INDEX(L:L,MIN(IF(ISNUMBER(L39:L235),ROW(L39:L235),"")))</f>
        <v>12.8</v>
      </c>
      <c r="N39" s="130">
        <f>IF('Données projet'!$A$36&gt;35,N38+M39-V38,IF(A39&lt;'Données projet'!$A$36,$K$205^A39,IF(A39='Données projet'!$A$36,'Données projet'!$B$36,N38+M39-V38)))</f>
        <v>155.8</v>
      </c>
      <c r="O39" s="130">
        <f>N39*VLOOKUP('Données projet'!$B$9,'Paramètres'!$A$1:$I$89,3,0)*VLOOKUP('Données projet'!$B$9,'Paramètres'!$A$1:$I$89,5,0)</f>
        <v>89.1176</v>
      </c>
      <c r="P39" s="130">
        <f t="shared" si="34"/>
        <v>24.35228948</v>
      </c>
      <c r="Q39" s="141">
        <f t="shared" si="2"/>
        <v>197.6267242</v>
      </c>
      <c r="R39" s="133">
        <f t="shared" si="3"/>
        <v>490.9600575</v>
      </c>
      <c r="S39" s="133">
        <f>AVERAGE(OFFSET($R$3,0,0,'Données projet'!$E$9+1,1))-AVERAGE(OFFSET($H$3,0,0,'Données projet'!$E$9+1,1))</f>
        <v>126.9946492</v>
      </c>
      <c r="T39" s="133">
        <f t="shared" si="35"/>
        <v>140.039049</v>
      </c>
      <c r="U39" s="134">
        <f>IF(ISNA(VLOOKUP(A39,'Données projet'!$A$35:$I$55,3,0)),0,VLOOKUP(A39,'Données projet'!$A$35:$I$55,3,0))</f>
        <v>0</v>
      </c>
      <c r="V39" s="134">
        <f>IF(ISNA(VLOOKUP(A39,'Données projet'!$A$35:$I$55,4,0)),0,VLOOKUP(A39,'Données projet'!$A$35:$I$55,4,0))</f>
        <v>0</v>
      </c>
      <c r="W39" s="135">
        <f>IF(ISNA(VLOOKUP(A39,'Données projet'!$A$35:$I$55,5,0)),0%,VLOOKUP(A39,'Données projet'!$A$35:$I$55,5,0)*VLOOKUP('Données projet'!$B$9,'Paramètres'!$A$1:$I$89,7,0))</f>
        <v>0</v>
      </c>
      <c r="X39" s="135">
        <f>IF(ISNA(VLOOKUP(A39,'Données projet'!$A$35:$I$55,6,0)),0%,VLOOKUP(A39,'Données projet'!$A$35:$I$55,6,0)*VLOOKUP('Données projet'!$B$9,'Paramètres'!$A$1:$I$89,7,0))</f>
        <v>0</v>
      </c>
      <c r="Y39" s="135">
        <f>IF(ISNA(VLOOKUP(A39,'Données projet'!$A$35:$I$55,7,0)),0%,VLOOKUP(A39,'Données projet'!$A$35:$I$55,7,0))</f>
        <v>0</v>
      </c>
      <c r="Z39" s="142">
        <f>EXP(-LN(2)/35)*Z38+(1-EXP(-LN(2)/35))/(LN(2)/35)*V39*W39*VLOOKUP('Données projet'!$B$9,'Paramètres'!$A$1:$I$89,3,0)*0.475*44/12</f>
        <v>3.269394938</v>
      </c>
      <c r="AA39" s="142">
        <f>EXP(-LN(2)/25)*AA38+(1-EXP(-LN(2)/25))/(LN(2)/25)*Calculateur!V39*Calculateur!X39*VLOOKUP('Données projet'!$B$9,'Paramètres'!$A$1:$I$89,3,0)*0.475*44/12</f>
        <v>8.801923885</v>
      </c>
      <c r="AB39" s="142">
        <f>EXP(-LN(2)/2)*AB38+(1-EXP(-LN(2)/2))/(LN(2)/2)*V39*Y39*VLOOKUP('Données projet'!$B$9,'Paramètres'!$A$1:$I$89,3,0)*0.475*44/12</f>
        <v>5.244509688</v>
      </c>
      <c r="AC39" s="143">
        <f t="shared" si="4"/>
        <v>17.31582851</v>
      </c>
      <c r="AD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1" t="str">
        <f>VLOOKUP(A39,'Données projet'!$A$61:$I$81,2,0)</f>
        <v>#N/A</v>
      </c>
      <c r="AG39" s="131" t="str">
        <f>VLOOKUP(A39,'Données projet'!$A$61:$I$81,9,0)</f>
        <v>#N/A</v>
      </c>
      <c r="AH39" s="131">
        <f t="array" ref="AH39">INDEX(AG:AG,MIN(IF(ISNUMBER(AG39:AG235),ROW(AG39:AG235),"")))</f>
        <v>14.4</v>
      </c>
      <c r="AI39" s="130">
        <f>IF('Données projet'!$A$62&gt;35,AI38+AH39-AQ38,IF(A39&lt;'Données projet'!$A$62,$AF$205^A39,IF(A39='Données projet'!$A$62,'Données projet'!$B$62,AI38+AH39-AQ38)))</f>
        <v>206.4</v>
      </c>
      <c r="AJ39" s="130">
        <f>AI39*VLOOKUP('Données projet'!$B$10,'Paramètres'!$A$1:$I$89,3,0)*VLOOKUP('Données projet'!$B$10,'Paramètres'!$A$1:$I$89,5,0)</f>
        <v>123.4272</v>
      </c>
      <c r="AK39" s="130">
        <f t="shared" si="36"/>
        <v>32.47302267</v>
      </c>
      <c r="AL39" s="141">
        <f t="shared" si="5"/>
        <v>271.5262212</v>
      </c>
      <c r="AM39" s="133">
        <f t="shared" si="6"/>
        <v>564.8595545</v>
      </c>
      <c r="AN39" s="133">
        <f>AVERAGE(OFFSET($AM$3,0,0,'Données projet'!$E$10+1,1))-AVERAGE(OFFSET($H$3,0,0,'Données projet'!$E$10+1,1))</f>
        <v>196.874484</v>
      </c>
      <c r="AO39" s="133">
        <f t="shared" si="37"/>
        <v>217.5750859</v>
      </c>
      <c r="AP39" s="134">
        <f>IF(ISNA(VLOOKUP(A39,'Données projet'!$A$61:$I$81,3,0)),0,VLOOKUP(A39,'Données projet'!$A$61:$I$81,3,0))</f>
        <v>0</v>
      </c>
      <c r="AQ39" s="134">
        <f>IF(ISNA(VLOOKUP(A39,'Données projet'!$A$61:$I$81,4,0)),0,VLOOKUP(A39,'Données projet'!$A$61:$I$81,4,0))</f>
        <v>0</v>
      </c>
      <c r="AR39" s="135">
        <f>IF(ISNA(VLOOKUP(A39,'Données projet'!$A$61:$I$81,5,0)),0%,VLOOKUP(A39,'Données projet'!$A$61:$I$81,5,0)*VLOOKUP('Données projet'!$B$10,'Paramètres'!$A$1:$I$89,7,0))</f>
        <v>0</v>
      </c>
      <c r="AS39" s="135">
        <f>IF(ISNA(VLOOKUP(A39,'Données projet'!$A$61:$I$81,6,0)),0%,VLOOKUP(A39,'Données projet'!$A$61:$I$81,6,0)*VLOOKUP('Données projet'!$B$10,'Paramètres'!$A$1:$I$89,7,0))</f>
        <v>0</v>
      </c>
      <c r="AT39" s="135">
        <f>IF(ISNA(VLOOKUP(A39,'Données projet'!$A$61:$I$81,7,0)),0%,VLOOKUP(A39,'Données projet'!$A$61:$I$81,7,0))</f>
        <v>0</v>
      </c>
      <c r="AU39" s="142">
        <f>EXP(-LN(2)/35)*AU38+(1-EXP(-LN(2)/35))/(LN(2)/35)*AQ39*AR39*VLOOKUP('Données projet'!$B$10,'Paramètres'!$A$1:$I$89,3,0)*0.475*44/12</f>
        <v>5.025311657</v>
      </c>
      <c r="AV39" s="142">
        <f>EXP(-LN(2)/25)*AV38+(1-EXP(-LN(2)/25))/(LN(2)/25)*Calculateur!AQ39*Calculateur!AS39*VLOOKUP('Données projet'!$B$10,'Paramètres'!$A$1:$I$89,3,0)*0.475*44/12</f>
        <v>15.59488116</v>
      </c>
      <c r="AW39" s="142">
        <f>EXP(-LN(2)/2)*AW38+(1-EXP(-LN(2)/2))/(LN(2)/2)*AQ39*AT39*VLOOKUP('Données projet'!$B$10,'Paramètres'!$A$1:$I$89,3,0)*0.475*44/12</f>
        <v>8.071580182</v>
      </c>
      <c r="AX39" s="142">
        <f t="shared" si="7"/>
        <v>28.691773</v>
      </c>
      <c r="AY39" s="13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1" t="str">
        <f>VLOOKUP(A39,'Données projet'!$A$87:$I$107,2,0)</f>
        <v>#N/A</v>
      </c>
      <c r="BB39" s="131" t="str">
        <f>VLOOKUP(A39,'Données projet'!$A$87:$I$107,9,0)</f>
        <v>#N/A</v>
      </c>
      <c r="BC39" s="130">
        <f t="array" ref="BC39">INDEX(BB:BB,MIN(IF(ISNUMBER(BB39:BB235),ROW(BB39:BB235),"")))</f>
        <v>11</v>
      </c>
      <c r="BD39" s="130">
        <f>IF('Données projet'!$A$88&gt;35,BD38+BC39-BL38,IF(A39&lt;'Données projet'!$A$88,$BA$205^A39,IF(A39='Données projet'!$A$88,'Données projet'!$B$88,BD38+BC39-BL38)))</f>
        <v>166</v>
      </c>
      <c r="BE39" s="130">
        <f>BD39*VLOOKUP('Données projet'!$B$11,'Paramètres'!$A$1:$I$89,3,0)*VLOOKUP('Données projet'!$B$11,'Paramètres'!$A$1:$I$89,5,0)</f>
        <v>77.688</v>
      </c>
      <c r="BF39" s="130">
        <f t="shared" si="38"/>
        <v>21.57092691</v>
      </c>
      <c r="BG39" s="141">
        <f t="shared" si="8"/>
        <v>172.8759644</v>
      </c>
      <c r="BH39" s="133">
        <f t="shared" si="9"/>
        <v>466.2092977</v>
      </c>
      <c r="BI39" s="133">
        <f>AVERAGE(OFFSET($BH$3,0,0,'Données projet'!$E$11+1,1))-AVERAGE(OFFSET($H$3,0,0,'Données projet'!$E$11+1,1))</f>
        <v>134.0948534</v>
      </c>
      <c r="BJ39" s="133">
        <f t="shared" si="39"/>
        <v>108.4102536</v>
      </c>
      <c r="BK39" s="134">
        <f>IF(ISNA(VLOOKUP(A39,'Données projet'!$A$87:$I$107,3,0)),0,VLOOKUP(A39,'Données projet'!$A$87:$I$107,3,0))</f>
        <v>0</v>
      </c>
      <c r="BL39" s="134">
        <f>IF(ISNA(VLOOKUP(A39,'Données projet'!$A$87:$I$107,4,0)),0,VLOOKUP(A39,'Données projet'!$A$87:$I$107,4,0))</f>
        <v>0</v>
      </c>
      <c r="BM39" s="135">
        <f>IF(ISNA(VLOOKUP(A39,'Données projet'!$A$87:$I$107,5,0)),0%,VLOOKUP(A39,'Données projet'!$A$87:$I$107,5,0)*VLOOKUP('Données projet'!$B$11,'Paramètres'!$A$1:$I$89,7,0))</f>
        <v>0</v>
      </c>
      <c r="BN39" s="135">
        <f>IF(ISNA(VLOOKUP(A39,'Données projet'!$A$87:$I$107,6,0)),0%,VLOOKUP(A39,'Données projet'!$A$87:$I$107,6,0)*VLOOKUP('Données projet'!$B$11,'Paramètres'!$A$1:$I$89,7,0))</f>
        <v>0</v>
      </c>
      <c r="BO39" s="135">
        <f>IF(ISNA(VLOOKUP(A39,'Données projet'!$A$87:$I$107,7,0)),0%,VLOOKUP(A39,'Données projet'!$A$87:$I$107,7,0))</f>
        <v>0</v>
      </c>
      <c r="BP39" s="142">
        <f>EXP(-LN(2)/35)*BP38+(1-EXP(-LN(2)/35))/(LN(2)/35)*BL39*BM39*VLOOKUP('Données projet'!$B$11,'Paramètres'!$A$1:$I$89,3,0)*0.475*44/12</f>
        <v>2.425614298</v>
      </c>
      <c r="BQ39" s="142">
        <f>EXP(-LN(2)/25)*BQ38+(1-EXP(-LN(2)/25))/(LN(2)/25)*Calculateur!BL39*Calculateur!BN39*VLOOKUP('Données projet'!$B$11,'Paramètres'!$A$1:$I$89,3,0)*0.475*44/12</f>
        <v>5.160768133</v>
      </c>
      <c r="BR39" s="142">
        <f>EXP(-LN(2)/2)*BR38+(1-EXP(-LN(2)/2))/(LN(2)/2)*BL39*BO39*VLOOKUP('Données projet'!$B$11,'Paramètres'!$A$1:$I$89,3,0)*0.475*44/12</f>
        <v>0.9325970988</v>
      </c>
      <c r="BS39" s="143">
        <f t="shared" si="10"/>
        <v>8.51897953</v>
      </c>
      <c r="BT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1" t="str">
        <f>VLOOKUP(A39,'Données projet'!$A$113:$I$133,2,0)</f>
        <v>#N/A</v>
      </c>
      <c r="BW39" s="131" t="str">
        <f>VLOOKUP(A39,'Données projet'!$A$113:$I$133,9,0)</f>
        <v>#N/A</v>
      </c>
      <c r="BX39" s="130">
        <f t="array" ref="BX39">INDEX(BW:BW,MIN(IF(ISNUMBER(BW39:BW235),ROW(BW39:BW235),"")))</f>
        <v>25</v>
      </c>
      <c r="BY39" s="130">
        <f>IF('Données projet'!$A$114&gt;35,BY38+BX39-CG38,IF(A39&lt;'Données projet'!$A$114,$BV$205^A39,IF(A39='Données projet'!$A$114,'Données projet'!$B$114,BY38+BX39-CG38)))</f>
        <v>336</v>
      </c>
      <c r="BZ39" s="130">
        <f>BY39*VLOOKUP('Données projet'!$B$12,'Paramètres'!$A$1:$I$89,3,0)*VLOOKUP('Données projet'!$B$12,'Paramètres'!$A$1:$I$89,5,0)</f>
        <v>165.984</v>
      </c>
      <c r="CA39" s="130">
        <f t="shared" si="40"/>
        <v>42.18932553</v>
      </c>
      <c r="CB39" s="141">
        <f t="shared" si="11"/>
        <v>362.568542</v>
      </c>
      <c r="CC39" s="133">
        <f t="shared" si="12"/>
        <v>655.9018753</v>
      </c>
      <c r="CD39" s="133">
        <f>AVERAGE(OFFSET($CC$3,0,0,'Données projet'!$E$12+1,1))-AVERAGE(OFFSET($H$3,0,0,'Données projet'!$E$12+1,1))</f>
        <v>258.1672054</v>
      </c>
      <c r="CE39" s="133">
        <f t="shared" si="41"/>
        <v>296.0724261</v>
      </c>
      <c r="CF39" s="134">
        <f>IF(ISNA(VLOOKUP(A39,'Données projet'!$A$113:$I$133,3,0)),0,VLOOKUP(A39,'Données projet'!$A$113:$I$133,3,0))</f>
        <v>0</v>
      </c>
      <c r="CG39" s="134">
        <f>IF(ISNA(VLOOKUP(A39,'Données projet'!$A$113:$I$133,4,0)),0,VLOOKUP(A39,'Données projet'!$A$113:$I$133,4,0))</f>
        <v>0</v>
      </c>
      <c r="CH39" s="135">
        <f>IF(ISNA(VLOOKUP(A39,'Données projet'!$A$113:$I$133,5,0)),0%,VLOOKUP(A39,'Données projet'!$A$113:$I$133,5,0)*VLOOKUP('Données projet'!$B$12,'Paramètres'!$A$1:$I$89,7,0))</f>
        <v>0</v>
      </c>
      <c r="CI39" s="135">
        <f>IF(ISNA(VLOOKUP(A39,'Données projet'!$A$113:$I$133,6,0)),0%,VLOOKUP(A39,'Données projet'!$A$113:$I$133,6,0)*VLOOKUP('Données projet'!$B$12,'Paramètres'!$A$1:$I$89,7,0))</f>
        <v>0</v>
      </c>
      <c r="CJ39" s="135">
        <f>IF(ISNA(VLOOKUP(A39,'Données projet'!$A$113:$I$133,7,0)),0%,VLOOKUP(A39,'Données projet'!$A$113:$I$133,7,0))</f>
        <v>0</v>
      </c>
      <c r="CK39" s="142">
        <f>EXP(-LN(2)/35)*CK38+(1-EXP(-LN(2)/35))/(LN(2)/35)*CG39*CH39*VLOOKUP('Données projet'!$B$12,'Paramètres'!$A$1:$I$89,3,0)*0.475*44/12</f>
        <v>16.58965722</v>
      </c>
      <c r="CL39" s="142">
        <f>EXP(-LN(2)/25)*CL38+(1-EXP(-LN(2)/25))/(LN(2)/25)*Calculateur!CG39*Calculateur!CI39*VLOOKUP('Données projet'!$B$12,'Paramètres'!$A$1:$I$89,3,0)*0.475*44/12</f>
        <v>23.82762755</v>
      </c>
      <c r="CM39" s="142">
        <f>EXP(-LN(2)/2)*CM38+(1-EXP(-LN(2)/2))/(LN(2)/2)*CG39*CJ39*VLOOKUP('Données projet'!$B$12,'Paramètres'!$A$1:$I$89,3,0)*0.475*44/12</f>
        <v>8.295347153</v>
      </c>
      <c r="CN39" s="143">
        <f t="shared" si="13"/>
        <v>48.71263193</v>
      </c>
      <c r="CO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1" t="str">
        <f>VLOOKUP(A39,'Données projet'!$A$139:$I$159,2,0)</f>
        <v>#N/A</v>
      </c>
      <c r="CR39" s="131" t="str">
        <f>VLOOKUP(A39,'Données projet'!$A$139:$I$159,9,0)</f>
        <v>#N/A</v>
      </c>
      <c r="CS39" s="130">
        <f t="array" ref="CS39">INDEX(CR:CR,MIN(IF(ISNUMBER(CR39:CR235),ROW(CR39:CR235),"")))</f>
        <v>5.4</v>
      </c>
      <c r="CT39" s="138">
        <f>IF('Données projet'!$A$140&gt;35,CT38+CS39-DB38,IF(A39&lt;'Données projet'!$A$140,$CQ$205^A39,IF(A39='Données projet'!$A$140,'Données projet'!$B$140,CT38+CS39-DB38)))</f>
        <v>71.4</v>
      </c>
      <c r="CU39" s="138">
        <f>CT39*VLOOKUP('Données projet'!$B$13,'Paramètres'!$A$1:$I$89,3,0)*VLOOKUP('Données projet'!$B$13,'Paramètres'!$A$1:$I$89,5,0)</f>
        <v>72.3996</v>
      </c>
      <c r="CV39" s="130">
        <f t="shared" si="42"/>
        <v>20.26818883</v>
      </c>
      <c r="CW39" s="141">
        <f t="shared" si="14"/>
        <v>161.3963989</v>
      </c>
      <c r="CX39" s="133">
        <f t="shared" si="15"/>
        <v>454.7297322</v>
      </c>
      <c r="CY39" s="133">
        <f>AVERAGE(OFFSET($CX$3,0,0,'Données projet'!$E$13+1,1))-AVERAGE(OFFSET($H$3,0,0,'Données projet'!$E$13+1,1))</f>
        <v>223.783507</v>
      </c>
      <c r="CZ39" s="133">
        <f t="shared" si="43"/>
        <v>84.92349117</v>
      </c>
      <c r="DA39" s="134">
        <f>IF(ISNA(VLOOKUP(A39,'Données projet'!$A$139:$I$159,3,0)),0,VLOOKUP(A39,'Données projet'!$A$139:$I$159,3,0))</f>
        <v>0</v>
      </c>
      <c r="DB39" s="134">
        <f>IF(ISNA(VLOOKUP(A39,'Données projet'!$A$139:$I$159,4,0)),0,VLOOKUP(A39,'Données projet'!$A$139:$I$159,4,0))</f>
        <v>0</v>
      </c>
      <c r="DC39" s="135">
        <f>IF(ISNA(VLOOKUP(A39,'Données projet'!$A$139:$I$159,5,0)),0%,VLOOKUP(A39,'Données projet'!$A$139:$I$159,5,0)*VLOOKUP('Données projet'!$B$13,'Paramètres'!$A$1:$I$89,7,0))</f>
        <v>0</v>
      </c>
      <c r="DD39" s="135">
        <f>IF(ISNA(VLOOKUP(A39,'Données projet'!$A$139:$I$159,6,0)),0%,VLOOKUP(A39,'Données projet'!$A$139:$I$159,6,0)*VLOOKUP('Données projet'!$B$13,'Paramètres'!$A$1:$I$89,7,0))</f>
        <v>0</v>
      </c>
      <c r="DE39" s="135">
        <f>IF(ISNA(VLOOKUP(A39,'Données projet'!$A$139:$I$159,7,0)),0%,VLOOKUP(A39,'Données projet'!$A$139:$I$159,7,0))</f>
        <v>0</v>
      </c>
      <c r="DF39" s="142">
        <f>EXP(-LN(2)/35)*DF38+(1-EXP(-LN(2)/35))/(LN(2)/35)*DB39*DC39*VLOOKUP('Données projet'!$B$13,'Paramètres'!$A$1:$I$89,3,0)*0.475*44/12</f>
        <v>0</v>
      </c>
      <c r="DG39" s="142">
        <f>EXP(-LN(2)/25)*DG38+(1-EXP(-LN(2)/25))/(LN(2)/25)*Calculateur!DB39*Calculateur!DD39*VLOOKUP('Données projet'!$B$13,'Paramètres'!$A$1:$I$89,3,0)*0.475*44/12</f>
        <v>0</v>
      </c>
      <c r="DH39" s="142">
        <f>EXP(-LN(2)/2)*DH38+(1-EXP(-LN(2)/2))/(LN(2)/2)*DB39*DE39*VLOOKUP('Données projet'!$B$13,'Paramètres'!$A$1:$I$89,3,0)*0.475*44/12</f>
        <v>0</v>
      </c>
      <c r="DI39" s="143">
        <f t="shared" si="16"/>
        <v>0</v>
      </c>
      <c r="DJ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1" t="str">
        <f>VLOOKUP(A39,'Données projet'!$A$165:$I$185,2,0)</f>
        <v>#N/A</v>
      </c>
      <c r="DM39" s="131" t="str">
        <f>VLOOKUP(A39,'Données projet'!$A$165:$I$185,9,0)</f>
        <v>#N/A</v>
      </c>
      <c r="DN39" s="131">
        <f t="array" ref="DN39">INDEX(DM:DM,MIN(IF(ISNUMBER(DM39:DM235),ROW(DM39:DM235),"")))</f>
        <v>8.4</v>
      </c>
      <c r="DO39" s="138">
        <f>IF('Données projet'!$A$166&gt;35,DO38+DN39-DW38,IF(A39&lt;'Données projet'!$A$166,$DL$205^A39,IF(A39='Données projet'!$A$166,'Données projet'!$B$166,DO38+DN39-DW38)))</f>
        <v>103.4</v>
      </c>
      <c r="DP39" s="138">
        <f>DO39*VLOOKUP('Données projet'!$B$14,'Paramètres'!$A$1:$I$89,3,0)*VLOOKUP('Données projet'!$B$14,'Paramètres'!$A$1:$I$89,5,0)</f>
        <v>93.55632</v>
      </c>
      <c r="DQ39" s="130">
        <f t="shared" si="44"/>
        <v>25.42097966</v>
      </c>
      <c r="DR39" s="141">
        <f t="shared" si="17"/>
        <v>207.2187969</v>
      </c>
      <c r="DS39" s="133">
        <f t="shared" si="18"/>
        <v>500.5521302</v>
      </c>
      <c r="DT39" s="133">
        <f>AVERAGE(OFFSET($DS$3,0,0,'Données projet'!$E$14+1,1))-AVERAGE(OFFSET($H$3,0,0,'Données projet'!$E$14+1,1))</f>
        <v>287.9334714</v>
      </c>
      <c r="DU39" s="133">
        <f t="shared" si="45"/>
        <v>156.6796502</v>
      </c>
      <c r="DV39" s="134">
        <f>IF(ISNA(VLOOKUP(A39,'Données projet'!$A$165:$I$185,3,0)),0,VLOOKUP(A39,'Données projet'!$A$165:$I$185,3,0))</f>
        <v>0</v>
      </c>
      <c r="DW39" s="134">
        <f>IF(ISNA(VLOOKUP(A39,'Données projet'!$A$165:$I$185,4,0)),0,VLOOKUP(A39,'Données projet'!$A$165:$I$185,4,0))</f>
        <v>0</v>
      </c>
      <c r="DX39" s="135">
        <f>IF(ISNA(VLOOKUP(A39,'Données projet'!$A$165:$I$185,5,0)),0%,VLOOKUP(A39,'Données projet'!$A$165:$I$185,5,0)*VLOOKUP('Données projet'!$B$14,'Paramètres'!$A$1:$I$89,7,0))</f>
        <v>0</v>
      </c>
      <c r="DY39" s="135">
        <f>IF(ISNA(VLOOKUP(A39,'Données projet'!$A$165:$I$185,6,0)),0%,VLOOKUP(A39,'Données projet'!$A$165:$I$185,6,0)*VLOOKUP('Données projet'!$B$14,'Paramètres'!$A$1:$I$89,7,0))</f>
        <v>0</v>
      </c>
      <c r="DZ39" s="135">
        <f>IF(ISNA(VLOOKUP(A39,'Données projet'!$A$165:$I$185,7,0)),0%,VLOOKUP(A39,'Données projet'!$A$165:$I$185,7,0))</f>
        <v>0</v>
      </c>
      <c r="EA39" s="142">
        <f>EXP(-LN(2)/35)*EA38+(1-EXP(-LN(2)/35))/(LN(2)/35)*DW39*DX39*VLOOKUP('Données projet'!$B$14,'Paramètres'!$A$1:$I$89,3,0)*0.475*44/12</f>
        <v>0</v>
      </c>
      <c r="EB39" s="142">
        <f>EXP(-LN(2)/25)*EB38+(1-EXP(-LN(2)/25))/(LN(2)/25)*Calculateur!DW39*Calculateur!DY39*VLOOKUP('Données projet'!$B$14,'Paramètres'!$A$1:$I$89,3,0)*0.475*44/12</f>
        <v>0</v>
      </c>
      <c r="EC39" s="142">
        <f>EXP(-LN(2)/2)*EC38+(1-EXP(-LN(2)/2))/(LN(2)/2)*DW39*DZ39*VLOOKUP('Données projet'!$B$14,'Paramètres'!$A$1:$I$89,3,0)*0.475*44/12</f>
        <v>0</v>
      </c>
      <c r="ED39" s="143">
        <f t="shared" si="19"/>
        <v>0</v>
      </c>
      <c r="EE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1" t="str">
        <f>VLOOKUP(A39,'Données projet'!$A$191:$I$211,2,0)</f>
        <v>#N/A</v>
      </c>
      <c r="EH39" s="131" t="str">
        <f>VLOOKUP(A39,'Données projet'!$A$191:$I$211,9,0)</f>
        <v>#N/A</v>
      </c>
      <c r="EI39" s="131">
        <f t="array" ref="EI39">INDEX(EH:EH,MIN(IF(ISNUMBER(EH39:EH235),ROW(EH39:EH235),"")))</f>
        <v>7.8</v>
      </c>
      <c r="EJ39" s="138">
        <f>IF('Données projet'!$A$192&gt;35,EJ38+EI39-ER38,IF(A39&lt;'Données projet'!$A$192,$EG$205^A39,IF(A39='Données projet'!$A$192,'Données projet'!$B$192,EJ38+EI39-ER38)))</f>
        <v>83.8</v>
      </c>
      <c r="EK39" s="138">
        <f>EJ39*VLOOKUP('Données projet'!$B$15,'Paramètres'!$A$1:$I$89,3,0)*VLOOKUP('Données projet'!$B$15,'Paramètres'!$A$1:$I$89,5,0)</f>
        <v>61.44216</v>
      </c>
      <c r="EL39" s="130">
        <f t="shared" si="46"/>
        <v>17.53238674</v>
      </c>
      <c r="EM39" s="141">
        <f t="shared" si="20"/>
        <v>137.5473356</v>
      </c>
      <c r="EN39" s="133">
        <f t="shared" si="21"/>
        <v>430.8806689</v>
      </c>
      <c r="EO39" s="133">
        <f>AVERAGE(OFFSET($EN$3,0,0,'Données projet'!$E$15+1,1))-AVERAGE(OFFSET($H$3,0,0,'Données projet'!$E$15+1,1))</f>
        <v>130.3193339</v>
      </c>
      <c r="EP39" s="133">
        <f t="shared" si="47"/>
        <v>82.22784365</v>
      </c>
      <c r="EQ39" s="134">
        <f>IF(ISNA(VLOOKUP(A39,'Données projet'!$A$191:$I$211,3,0)),0,VLOOKUP(A39,'Données projet'!$A$191:$I$211,3,0))</f>
        <v>0</v>
      </c>
      <c r="ER39" s="134">
        <f>IF(ISNA(VLOOKUP(A39,'Données projet'!$A$191:$I$211,4,0)),0,VLOOKUP(A39,'Données projet'!$A$191:$I$211,4,0))</f>
        <v>0</v>
      </c>
      <c r="ES39" s="135">
        <f>IF(ISNA(VLOOKUP(A39,'Données projet'!$A$191:$I$211,5,0)),0%,VLOOKUP(A39,'Données projet'!$A$191:$I$211,5,0)*VLOOKUP('Données projet'!$B$15,'Paramètres'!$A$1:$I$89,7,0))</f>
        <v>0</v>
      </c>
      <c r="ET39" s="135">
        <f>IF(ISNA(VLOOKUP(A39,'Données projet'!$A$191:$I$211,6,0)),0%,VLOOKUP(A39,'Données projet'!$A$191:$I$211,6,0)*VLOOKUP('Données projet'!$B$15,'Paramètres'!$A$1:$I$89,7,0))</f>
        <v>0</v>
      </c>
      <c r="EU39" s="135">
        <f>IF(ISNA(VLOOKUP(A39,'Données projet'!$A$191:$I$211,7,0)),0%,VLOOKUP(A39,'Données projet'!$A$191:$I$211,7,0))</f>
        <v>0</v>
      </c>
      <c r="EV39" s="142">
        <f>EXP(-LN(2)/35)*EV38+(1-EXP(-LN(2)/35))/(LN(2)/35)*ER39*ES39*VLOOKUP('Données projet'!$B$15,'Paramètres'!$A$1:$I$89,3,0)*0.475*44/12</f>
        <v>2.177866679</v>
      </c>
      <c r="EW39" s="142">
        <f>EXP(-LN(2)/25)*EW38+(1-EXP(-LN(2)/25))/(LN(2)/25)*Calculateur!ER39*Calculateur!ET39*VLOOKUP('Données projet'!$B$15,'Paramètres'!$A$1:$I$89,3,0)*0.475*44/12</f>
        <v>0</v>
      </c>
      <c r="EX39" s="142">
        <f>EXP(-LN(2)/2)*EX38+(1-EXP(-LN(2)/2))/(LN(2)/2)*ER39*EU39*VLOOKUP('Données projet'!$B$15,'Paramètres'!$A$1:$I$89,3,0)*0.475*44/12</f>
        <v>0</v>
      </c>
      <c r="EY39" s="143">
        <f t="shared" si="22"/>
        <v>2.177866679</v>
      </c>
      <c r="EZ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1" t="str">
        <f>VLOOKUP(A39,'Données projet'!$A$217:$I$237,2,0)</f>
        <v>#N/A</v>
      </c>
      <c r="FC39" s="131" t="str">
        <f>VLOOKUP(A39,'Données projet'!$A$217:$I$237,9,0)</f>
        <v>#N/A</v>
      </c>
      <c r="FD39" s="130">
        <f t="array" ref="FD39">INDEX(FC:FC,MIN(IF(ISNUMBER(FC39:FC235),ROW(FC39:FC235),"")))</f>
        <v>7</v>
      </c>
      <c r="FE39" s="130">
        <f>IF('Données projet'!$A$218&gt;35,FE38+FD39-FM38,IF(A39&lt;'Données projet'!$A$218,$FB$205^A39,IF(A39='Données projet'!$A$218,'Données projet'!$B$218,FE38+FD39-FM38)))</f>
        <v>199</v>
      </c>
      <c r="FF39" s="138">
        <f>FE39*VLOOKUP('Données projet'!$B$16,'Paramètres'!$A$1:$I$89,3,0)*VLOOKUP('Données projet'!$B$16,'Paramètres'!$A$1:$I$89,5,0)</f>
        <v>180.0552</v>
      </c>
      <c r="FG39" s="130">
        <f t="shared" si="48"/>
        <v>45.33446693</v>
      </c>
      <c r="FH39" s="141">
        <f t="shared" si="23"/>
        <v>392.5536699</v>
      </c>
      <c r="FI39" s="133">
        <f t="shared" si="24"/>
        <v>685.8870032</v>
      </c>
      <c r="FJ39" s="133">
        <f>AVERAGE(OFFSET($FI$3,0,0,'Données projet'!$E$16+1,1))-AVERAGE(OFFSET($H$3,0,0,'Données projet'!$E$16+1,1))</f>
        <v>305.6252353</v>
      </c>
      <c r="FK39" s="133">
        <f t="shared" si="49"/>
        <v>331.397916</v>
      </c>
      <c r="FL39" s="134">
        <f>IF(ISNA(VLOOKUP(A39,'Données projet'!$A$217:$I$237,3,0)),0,VLOOKUP(A39,'Données projet'!$A$217:$I$237,3,0))</f>
        <v>0</v>
      </c>
      <c r="FM39" s="134">
        <f>IF(ISNA(VLOOKUP(A39,'Données projet'!$A$217:$I$237,4,0)),0,VLOOKUP(A39,'Données projet'!$A$217:$I$237,4,0))</f>
        <v>0</v>
      </c>
      <c r="FN39" s="135">
        <f>IF(ISNA(VLOOKUP(A39,'Données projet'!$A$217:$I$237,5,0)),0%,VLOOKUP(A39,'Données projet'!$A$217:$I$237,5,0)*VLOOKUP('Données projet'!$B$16,'Paramètres'!$A$1:$I$89,7,0))</f>
        <v>0</v>
      </c>
      <c r="FO39" s="135">
        <f>IF(ISNA(VLOOKUP(A39,'Données projet'!$A$217:$I$237,6,0)),0%,VLOOKUP(A39,'Données projet'!$A$217:$I$237,6,0)*VLOOKUP('Données projet'!$B$16,'Paramètres'!$A$1:$I$89,7,0))</f>
        <v>0</v>
      </c>
      <c r="FP39" s="135">
        <f>IF(ISNA(VLOOKUP(A39,'Données projet'!$A$217:$I$237,7,0)),0%,VLOOKUP(A39,'Données projet'!$A$217:$I$237,7,0))</f>
        <v>0</v>
      </c>
      <c r="FQ39" s="142">
        <f>EXP(-LN(2)/35)*FQ38+(1-EXP(-LN(2)/35))/(LN(2)/35)*FM39*FN39*VLOOKUP('Données projet'!$B$16,'Paramètres'!$A$1:$I$89,3,0)*0.475*44/12</f>
        <v>0.9413910788</v>
      </c>
      <c r="FR39" s="142">
        <f>EXP(-LN(2)/25)*FR38+(1-EXP(-LN(2)/25))/(LN(2)/25)*Calculateur!FM39*Calculateur!FO39*VLOOKUP('Données projet'!$B$16,'Paramètres'!$A$1:$I$89,3,0)*0.475*44/12</f>
        <v>0</v>
      </c>
      <c r="FS39" s="142">
        <f>EXP(-LN(2)/2)*FS38+(1-EXP(-LN(2)/2))/(LN(2)/2)*FM39*FP39*VLOOKUP('Données projet'!$B$16,'Paramètres'!$A$1:$I$89,3,0)*0.475*44/12</f>
        <v>0</v>
      </c>
      <c r="FT39" s="143">
        <f t="shared" si="25"/>
        <v>0.9413910788</v>
      </c>
      <c r="FU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1" t="str">
        <f>VLOOKUP(A39,'Données projet'!$A$243:$I$263,2,0)</f>
        <v>#N/A</v>
      </c>
      <c r="FX39" s="131" t="str">
        <f>VLOOKUP(A39,'Données projet'!$A$243:$I$263,9,0)</f>
        <v>#N/A</v>
      </c>
      <c r="FY39" s="130">
        <f t="array" ref="FY39">INDEX(FX:FX,MIN(IF(ISNUMBER(FX39:FX235),ROW(FX39:FX235),"")))</f>
        <v>10.4</v>
      </c>
      <c r="FZ39" s="138">
        <f>IF('Données projet'!$A$244&gt;35,FZ38+FY39-GH38,IF(A39&lt;'Données projet'!$A$244,$FW$205^A39,IF(A39='Données projet'!$A$244,'Données projet'!$B$244,FZ38+FY39-GH38)))</f>
        <v>121.4</v>
      </c>
      <c r="GA39" s="138">
        <f>FZ39*VLOOKUP('Données projet'!$B$17,'Paramètres'!$A$1:$I$89,3,0)*VLOOKUP('Données projet'!$B$17,'Paramètres'!$A$1:$I$89,5,0)</f>
        <v>81.43512</v>
      </c>
      <c r="GB39" s="130">
        <f t="shared" si="50"/>
        <v>22.4877145</v>
      </c>
      <c r="GC39" s="141">
        <f t="shared" si="26"/>
        <v>180.9989368</v>
      </c>
      <c r="GD39" s="133">
        <f t="shared" si="27"/>
        <v>474.3322701</v>
      </c>
      <c r="GE39" s="133">
        <f>AVERAGE(OFFSET($GD$3,0,0,'Données projet'!$E$17+1,1))-AVERAGE(OFFSET($H$3,0,0,'Données projet'!$E$17+1,1))</f>
        <v>118.7368745</v>
      </c>
      <c r="GF39" s="133">
        <f t="shared" si="51"/>
        <v>135.1233677</v>
      </c>
      <c r="GG39" s="134">
        <f>IF(ISNA(VLOOKUP(A39,'Données projet'!$A$243:$I$263,3,0)),0,VLOOKUP(A39,'Données projet'!$A$243:$I$263,3,0))</f>
        <v>0</v>
      </c>
      <c r="GH39" s="134">
        <f>IF(ISNA(VLOOKUP(A39,'Données projet'!$A$243:$I$263,4,0)),0,VLOOKUP(A39,'Données projet'!$A$243:$I$263,4,0))</f>
        <v>0</v>
      </c>
      <c r="GI39" s="135">
        <f>IF(ISNA(VLOOKUP(A39,'Données projet'!$A$243:$I$263,5,0)),0%,VLOOKUP(A39,'Données projet'!$A$243:$I$263,5,0)*VLOOKUP('Données projet'!$B$17,'Paramètres'!$A$1:$I$89,7,0))</f>
        <v>0</v>
      </c>
      <c r="GJ39" s="135">
        <f>IF(ISNA(VLOOKUP(A39,'Données projet'!$A$243:$I$263,6,0)),0%,VLOOKUP(A39,'Données projet'!$A$243:$I$263,6,0)*VLOOKUP('Données projet'!$B$17,'Paramètres'!$A$1:$I$89,7,0))</f>
        <v>0</v>
      </c>
      <c r="GK39" s="135">
        <f>IF(ISNA(VLOOKUP(A39,'Données projet'!$A$243:$I$263,7,0)),0%,VLOOKUP(A39,'Données projet'!$A$243:$I$263,7,0))</f>
        <v>0</v>
      </c>
      <c r="GL39" s="142">
        <f>EXP(-LN(2)/35)*GL38+(1-EXP(-LN(2)/35))/(LN(2)/35)*GH39*GI39*VLOOKUP('Données projet'!$B$17,'Paramètres'!$A$1:$I$89,3,0)*0.475*44/12</f>
        <v>2.157760327</v>
      </c>
      <c r="GM39" s="142">
        <f>EXP(-LN(2)/25)*GM38+(1-EXP(-LN(2)/25))/(LN(2)/25)*Calculateur!GH39*Calculateur!GJ39*VLOOKUP('Données projet'!$B$17,'Paramètres'!$A$1:$I$89,3,0)*0.475*44/12</f>
        <v>0</v>
      </c>
      <c r="GN39" s="142">
        <f>EXP(-LN(2)/2)*GN38+(1-EXP(-LN(2)/2))/(LN(2)/2)*GH39*GK39*VLOOKUP('Données projet'!$B$17,'Paramètres'!$A$1:$I$89,3,0)*0.475*44/12</f>
        <v>0</v>
      </c>
      <c r="GO39" s="142">
        <f t="shared" si="28"/>
        <v>2.157760327</v>
      </c>
      <c r="GP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1" t="str">
        <f>VLOOKUP(A39,'Données projet'!$A$269:$I$289,2,0)</f>
        <v>#N/A</v>
      </c>
      <c r="GS39" s="131" t="str">
        <f>VLOOKUP(A39,'Données projet'!$A$269:$I$289,9,0)</f>
        <v>#N/A</v>
      </c>
      <c r="GT39" s="130">
        <f t="array" ref="GT39">INDEX(GS:GS,MIN(IF(ISNUMBER(GS39:GS235),ROW(GS39:GS235),"")))</f>
        <v>5.4</v>
      </c>
      <c r="GU39" s="138">
        <f>IF('Données projet'!$A$270&gt;35,GU38+GT39-HC38,IF(A39&lt;'Données projet'!$A$270,$GR$205^A39,IF(A39='Données projet'!$A$270,'Données projet'!$B$270,GU38+GT39-HC38)))</f>
        <v>71.4</v>
      </c>
      <c r="GV39" s="138">
        <f>GU39*VLOOKUP('Données projet'!$B$18,'Paramètres'!$A$1:$I$89,3,0)*VLOOKUP('Données projet'!$B$18,'Paramètres'!$A$1:$I$89,5,0)</f>
        <v>76.85496</v>
      </c>
      <c r="GW39" s="130">
        <f t="shared" si="52"/>
        <v>21.36641977</v>
      </c>
      <c r="GX39" s="141">
        <f t="shared" si="29"/>
        <v>171.0689031</v>
      </c>
      <c r="GY39" s="133">
        <f t="shared" si="30"/>
        <v>464.4022364</v>
      </c>
      <c r="GZ39" s="133">
        <f>AVERAGE(OFFSET($GY$3,0,0,'Données projet'!$E$18+1,1))-AVERAGE(OFFSET($H$3,0,0,'Données projet'!$E$18+1,1))</f>
        <v>100.5427875</v>
      </c>
      <c r="HA39" s="133">
        <f t="shared" si="53"/>
        <v>92.28663609</v>
      </c>
      <c r="HB39" s="134">
        <f>IF(ISNA(VLOOKUP(A39,'Données projet'!$A$269:$I$289,3,0)),0,VLOOKUP(A39,'Données projet'!$A$269:$I$289,3,0))</f>
        <v>0</v>
      </c>
      <c r="HC39" s="134">
        <f>IF(ISNA(VLOOKUP(A39,'Données projet'!$A$269:$I$289,4,0)),0,VLOOKUP(A39,'Données projet'!$A$269:$I$289,4,0))</f>
        <v>0</v>
      </c>
      <c r="HD39" s="135">
        <f>IF(ISNA(VLOOKUP(A39,'Données projet'!$A$269:$I$289,5,0)),0%,VLOOKUP(A39,'Données projet'!$A$269:$I$289,5,0)*VLOOKUP('Données projet'!$B$18,'Paramètres'!$A$1:$I$89,7,0))</f>
        <v>0</v>
      </c>
      <c r="HE39" s="135">
        <f>IF(ISNA(VLOOKUP(A39,'Données projet'!$A$269:$I$289,6,0)),0%,VLOOKUP(A39,'Données projet'!$A$269:$I$289,6,0)*VLOOKUP('Données projet'!$B$18,'Paramètres'!$A$1:$I$89,7,0))</f>
        <v>0</v>
      </c>
      <c r="HF39" s="135">
        <f>IF(ISNA(VLOOKUP(A39,'Données projet'!$A$269:$I$289,7,0)),0%,VLOOKUP(A39,'Données projet'!$A$269:$I$289,7,0))</f>
        <v>0</v>
      </c>
      <c r="HG39" s="142">
        <f>EXP(-LN(2)/35)*HG38+(1-EXP(-LN(2)/35))/(LN(2)/35)*HC39*HD39*VLOOKUP('Données projet'!$B$18,'Paramètres'!$A$1:$I$89,3,0)*0.475*44/12</f>
        <v>1.304252705</v>
      </c>
      <c r="HH39" s="142">
        <f>EXP(-LN(2)/25)*HH38+(1-EXP(-LN(2)/25))/(LN(2)/25)*Calculateur!HC39*Calculateur!HE39*VLOOKUP('Données projet'!$B$18,'Paramètres'!$A$1:$I$89,3,0)*0.475*44/12</f>
        <v>0</v>
      </c>
      <c r="HI39" s="142">
        <f>EXP(-LN(2)/2)*HI38+(1-EXP(-LN(2)/2))/(LN(2)/2)*HC39*HF39*VLOOKUP('Données projet'!$B$18,'Paramètres'!$A$1:$I$89,3,0)*0.475*44/12</f>
        <v>0</v>
      </c>
      <c r="HJ39" s="143">
        <f t="shared" si="31"/>
        <v>1.304252705</v>
      </c>
    </row>
    <row r="40" ht="15.75" customHeight="1">
      <c r="A40" s="125">
        <f t="shared" si="32"/>
        <v>37</v>
      </c>
      <c r="B40" s="126">
        <f>'Scénario référence'!$B$16*5+'Scénario référence'!$B$17*0+'Scénario référence'!$B$18*5</f>
        <v>0</v>
      </c>
      <c r="C40" s="140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20.202</v>
      </c>
      <c r="D40" s="127">
        <f t="shared" si="33"/>
        <v>6.561430414</v>
      </c>
      <c r="E4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7">
        <f>IF(OR('Scénario référence'!$F$8&gt;0,'Scénario référence'!$F$9&gt;0),('Scénario référence'!$F$8+'Scénario référence'!$F$9)*10,0)</f>
        <v>10</v>
      </c>
      <c r="G40" s="127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</v>
      </c>
      <c r="H40" s="128">
        <f t="shared" si="1"/>
        <v>339.946308</v>
      </c>
      <c r="I40" s="12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1" t="str">
        <f>VLOOKUP(A40,'Données projet'!$A$35:$I$55,2,0)</f>
        <v>#N/A</v>
      </c>
      <c r="L40" s="131" t="str">
        <f>VLOOKUP(A40,'Données projet'!$A$35:$I$55,9,0)</f>
        <v>#N/A</v>
      </c>
      <c r="M40" s="131">
        <f t="array" ref="M40">INDEX(L:L,MIN(IF(ISNUMBER(L40:L236),ROW(L40:L236),"")))</f>
        <v>12.8</v>
      </c>
      <c r="N40" s="130">
        <f>IF('Données projet'!$A$36&gt;35,N39+M40-V39,IF(A40&lt;'Données projet'!$A$36,$K$205^A40,IF(A40='Données projet'!$A$36,'Données projet'!$B$36,N39+M40-V39)))</f>
        <v>168.6</v>
      </c>
      <c r="O40" s="130">
        <f>N40*VLOOKUP('Données projet'!$B$9,'Paramètres'!$A$1:$I$89,3,0)*VLOOKUP('Données projet'!$B$9,'Paramètres'!$A$1:$I$89,5,0)</f>
        <v>96.4392</v>
      </c>
      <c r="P40" s="130">
        <f t="shared" si="34"/>
        <v>26.11190428</v>
      </c>
      <c r="Q40" s="141">
        <f t="shared" si="2"/>
        <v>213.4431733</v>
      </c>
      <c r="R40" s="133">
        <f t="shared" si="3"/>
        <v>506.7765066</v>
      </c>
      <c r="S40" s="133">
        <f>AVERAGE(OFFSET($R$3,0,0,'Données projet'!$E$9+1,1))-AVERAGE(OFFSET($H$3,0,0,'Données projet'!$E$9+1,1))</f>
        <v>126.9946492</v>
      </c>
      <c r="T40" s="133">
        <f t="shared" si="35"/>
        <v>140.039049</v>
      </c>
      <c r="U40" s="134">
        <f>IF(ISNA(VLOOKUP(A40,'Données projet'!$A$35:$I$55,3,0)),0,VLOOKUP(A40,'Données projet'!$A$35:$I$55,3,0))</f>
        <v>0</v>
      </c>
      <c r="V40" s="134">
        <f>IF(ISNA(VLOOKUP(A40,'Données projet'!$A$35:$I$55,4,0)),0,VLOOKUP(A40,'Données projet'!$A$35:$I$55,4,0))</f>
        <v>0</v>
      </c>
      <c r="W40" s="135">
        <f>IF(ISNA(VLOOKUP(A40,'Données projet'!$A$35:$I$55,5,0)),0%,VLOOKUP(A40,'Données projet'!$A$35:$I$55,5,0)*VLOOKUP('Données projet'!$B$9,'Paramètres'!$A$1:$I$89,7,0))</f>
        <v>0</v>
      </c>
      <c r="X40" s="135">
        <f>IF(ISNA(VLOOKUP(A40,'Données projet'!$A$35:$I$55,6,0)),0%,VLOOKUP(A40,'Données projet'!$A$35:$I$55,6,0)*VLOOKUP('Données projet'!$B$9,'Paramètres'!$A$1:$I$89,7,0))</f>
        <v>0</v>
      </c>
      <c r="Y40" s="135">
        <f>IF(ISNA(VLOOKUP(A40,'Données projet'!$A$35:$I$55,7,0)),0%,VLOOKUP(A40,'Données projet'!$A$35:$I$55,7,0))</f>
        <v>0</v>
      </c>
      <c r="Z40" s="142">
        <f>EXP(-LN(2)/35)*Z39+(1-EXP(-LN(2)/35))/(LN(2)/35)*V40*W40*VLOOKUP('Données projet'!$B$9,'Paramètres'!$A$1:$I$89,3,0)*0.475*44/12</f>
        <v>3.205284098</v>
      </c>
      <c r="AA40" s="142">
        <f>EXP(-LN(2)/25)*AA39+(1-EXP(-LN(2)/25))/(LN(2)/25)*Calculateur!V40*Calculateur!X40*VLOOKUP('Données projet'!$B$9,'Paramètres'!$A$1:$I$89,3,0)*0.475*44/12</f>
        <v>8.561234813</v>
      </c>
      <c r="AB40" s="142">
        <f>EXP(-LN(2)/2)*AB39+(1-EXP(-LN(2)/2))/(LN(2)/2)*V40*Y40*VLOOKUP('Données projet'!$B$9,'Paramètres'!$A$1:$I$89,3,0)*0.475*44/12</f>
        <v>3.708428365</v>
      </c>
      <c r="AC40" s="143">
        <f t="shared" si="4"/>
        <v>15.47494728</v>
      </c>
      <c r="AD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1" t="str">
        <f>VLOOKUP(A40,'Données projet'!$A$61:$I$81,2,0)</f>
        <v>#N/A</v>
      </c>
      <c r="AG40" s="131" t="str">
        <f>VLOOKUP(A40,'Données projet'!$A$61:$I$81,9,0)</f>
        <v>#N/A</v>
      </c>
      <c r="AH40" s="131">
        <f t="array" ref="AH40">INDEX(AG:AG,MIN(IF(ISNUMBER(AG40:AG236),ROW(AG40:AG236),"")))</f>
        <v>14.4</v>
      </c>
      <c r="AI40" s="130">
        <f>IF('Données projet'!$A$62&gt;35,AI39+AH40-AQ39,IF(A40&lt;'Données projet'!$A$62,$AF$205^A40,IF(A40='Données projet'!$A$62,'Données projet'!$B$62,AI39+AH40-AQ39)))</f>
        <v>220.8</v>
      </c>
      <c r="AJ40" s="130">
        <f>AI40*VLOOKUP('Données projet'!$B$10,'Paramètres'!$A$1:$I$89,3,0)*VLOOKUP('Données projet'!$B$10,'Paramètres'!$A$1:$I$89,5,0)</f>
        <v>132.0384</v>
      </c>
      <c r="AK40" s="130">
        <f t="shared" si="36"/>
        <v>34.46694637</v>
      </c>
      <c r="AL40" s="141">
        <f t="shared" si="5"/>
        <v>289.9968116</v>
      </c>
      <c r="AM40" s="133">
        <f t="shared" si="6"/>
        <v>583.3301449</v>
      </c>
      <c r="AN40" s="133">
        <f>AVERAGE(OFFSET($AM$3,0,0,'Données projet'!$E$10+1,1))-AVERAGE(OFFSET($H$3,0,0,'Données projet'!$E$10+1,1))</f>
        <v>196.874484</v>
      </c>
      <c r="AO40" s="133">
        <f t="shared" si="37"/>
        <v>217.5750859</v>
      </c>
      <c r="AP40" s="134">
        <f>IF(ISNA(VLOOKUP(A40,'Données projet'!$A$61:$I$81,3,0)),0,VLOOKUP(A40,'Données projet'!$A$61:$I$81,3,0))</f>
        <v>0</v>
      </c>
      <c r="AQ40" s="134">
        <f>IF(ISNA(VLOOKUP(A40,'Données projet'!$A$61:$I$81,4,0)),0,VLOOKUP(A40,'Données projet'!$A$61:$I$81,4,0))</f>
        <v>0</v>
      </c>
      <c r="AR40" s="135">
        <f>IF(ISNA(VLOOKUP(A40,'Données projet'!$A$61:$I$81,5,0)),0%,VLOOKUP(A40,'Données projet'!$A$61:$I$81,5,0)*VLOOKUP('Données projet'!$B$10,'Paramètres'!$A$1:$I$89,7,0))</f>
        <v>0</v>
      </c>
      <c r="AS40" s="135">
        <f>IF(ISNA(VLOOKUP(A40,'Données projet'!$A$61:$I$81,6,0)),0%,VLOOKUP(A40,'Données projet'!$A$61:$I$81,6,0)*VLOOKUP('Données projet'!$B$10,'Paramètres'!$A$1:$I$89,7,0))</f>
        <v>0</v>
      </c>
      <c r="AT40" s="135">
        <f>IF(ISNA(VLOOKUP(A40,'Données projet'!$A$61:$I$81,7,0)),0%,VLOOKUP(A40,'Données projet'!$A$61:$I$81,7,0))</f>
        <v>0</v>
      </c>
      <c r="AU40" s="142">
        <f>EXP(-LN(2)/35)*AU39+(1-EXP(-LN(2)/35))/(LN(2)/35)*AQ40*AR40*VLOOKUP('Données projet'!$B$10,'Paramètres'!$A$1:$I$89,3,0)*0.475*44/12</f>
        <v>4.926768361</v>
      </c>
      <c r="AV40" s="142">
        <f>EXP(-LN(2)/25)*AV39+(1-EXP(-LN(2)/25))/(LN(2)/25)*Calculateur!AQ40*Calculateur!AS40*VLOOKUP('Données projet'!$B$10,'Paramètres'!$A$1:$I$89,3,0)*0.475*44/12</f>
        <v>15.16843832</v>
      </c>
      <c r="AW40" s="142">
        <f>EXP(-LN(2)/2)*AW39+(1-EXP(-LN(2)/2))/(LN(2)/2)*AQ40*AT40*VLOOKUP('Données projet'!$B$10,'Paramètres'!$A$1:$I$89,3,0)*0.475*44/12</f>
        <v>5.707469081</v>
      </c>
      <c r="AX40" s="142">
        <f t="shared" si="7"/>
        <v>25.80267576</v>
      </c>
      <c r="AY40" s="13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1" t="str">
        <f>VLOOKUP(A40,'Données projet'!$A$87:$I$107,2,0)</f>
        <v>#N/A</v>
      </c>
      <c r="BB40" s="131" t="str">
        <f>VLOOKUP(A40,'Données projet'!$A$87:$I$107,9,0)</f>
        <v>#N/A</v>
      </c>
      <c r="BC40" s="130">
        <f t="array" ref="BC40">INDEX(BB:BB,MIN(IF(ISNUMBER(BB40:BB236),ROW(BB40:BB236),"")))</f>
        <v>11</v>
      </c>
      <c r="BD40" s="130">
        <f>IF('Données projet'!$A$88&gt;35,BD39+BC40-BL39,IF(A40&lt;'Données projet'!$A$88,$BA$205^A40,IF(A40='Données projet'!$A$88,'Données projet'!$B$88,BD39+BC40-BL39)))</f>
        <v>177</v>
      </c>
      <c r="BE40" s="130">
        <f>BD40*VLOOKUP('Données projet'!$B$11,'Paramètres'!$A$1:$I$89,3,0)*VLOOKUP('Données projet'!$B$11,'Paramètres'!$A$1:$I$89,5,0)</f>
        <v>82.836</v>
      </c>
      <c r="BF40" s="130">
        <f t="shared" si="38"/>
        <v>22.82918875</v>
      </c>
      <c r="BG40" s="141">
        <f t="shared" si="8"/>
        <v>184.0335371</v>
      </c>
      <c r="BH40" s="133">
        <f t="shared" si="9"/>
        <v>477.3668704</v>
      </c>
      <c r="BI40" s="133">
        <f>AVERAGE(OFFSET($BH$3,0,0,'Données projet'!$E$11+1,1))-AVERAGE(OFFSET($H$3,0,0,'Données projet'!$E$11+1,1))</f>
        <v>134.0948534</v>
      </c>
      <c r="BJ40" s="133">
        <f t="shared" si="39"/>
        <v>108.4102536</v>
      </c>
      <c r="BK40" s="134">
        <f>IF(ISNA(VLOOKUP(A40,'Données projet'!$A$87:$I$107,3,0)),0,VLOOKUP(A40,'Données projet'!$A$87:$I$107,3,0))</f>
        <v>0</v>
      </c>
      <c r="BL40" s="134">
        <f>IF(ISNA(VLOOKUP(A40,'Données projet'!$A$87:$I$107,4,0)),0,VLOOKUP(A40,'Données projet'!$A$87:$I$107,4,0))</f>
        <v>0</v>
      </c>
      <c r="BM40" s="135">
        <f>IF(ISNA(VLOOKUP(A40,'Données projet'!$A$87:$I$107,5,0)),0%,VLOOKUP(A40,'Données projet'!$A$87:$I$107,5,0)*VLOOKUP('Données projet'!$B$11,'Paramètres'!$A$1:$I$89,7,0))</f>
        <v>0</v>
      </c>
      <c r="BN40" s="135">
        <f>IF(ISNA(VLOOKUP(A40,'Données projet'!$A$87:$I$107,6,0)),0%,VLOOKUP(A40,'Données projet'!$A$87:$I$107,6,0)*VLOOKUP('Données projet'!$B$11,'Paramètres'!$A$1:$I$89,7,0))</f>
        <v>0</v>
      </c>
      <c r="BO40" s="135">
        <f>IF(ISNA(VLOOKUP(A40,'Données projet'!$A$87:$I$107,7,0)),0%,VLOOKUP(A40,'Données projet'!$A$87:$I$107,7,0))</f>
        <v>0</v>
      </c>
      <c r="BP40" s="142">
        <f>EXP(-LN(2)/35)*BP39+(1-EXP(-LN(2)/35))/(LN(2)/35)*BL40*BM40*VLOOKUP('Données projet'!$B$11,'Paramètres'!$A$1:$I$89,3,0)*0.475*44/12</f>
        <v>2.378049481</v>
      </c>
      <c r="BQ40" s="142">
        <f>EXP(-LN(2)/25)*BQ39+(1-EXP(-LN(2)/25))/(LN(2)/25)*Calculateur!BL40*Calculateur!BN40*VLOOKUP('Données projet'!$B$11,'Paramètres'!$A$1:$I$89,3,0)*0.475*44/12</f>
        <v>5.019646657</v>
      </c>
      <c r="BR40" s="142">
        <f>EXP(-LN(2)/2)*BR39+(1-EXP(-LN(2)/2))/(LN(2)/2)*BL40*BO40*VLOOKUP('Données projet'!$B$11,'Paramètres'!$A$1:$I$89,3,0)*0.475*44/12</f>
        <v>0.6594457327</v>
      </c>
      <c r="BS40" s="143">
        <f t="shared" si="10"/>
        <v>8.057141871</v>
      </c>
      <c r="BT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1" t="str">
        <f>VLOOKUP(A40,'Données projet'!$A$113:$I$133,2,0)</f>
        <v>#N/A</v>
      </c>
      <c r="BW40" s="131" t="str">
        <f>VLOOKUP(A40,'Données projet'!$A$113:$I$133,9,0)</f>
        <v>#N/A</v>
      </c>
      <c r="BX40" s="130">
        <f t="array" ref="BX40">INDEX(BW:BW,MIN(IF(ISNUMBER(BW40:BW236),ROW(BW40:BW236),"")))</f>
        <v>25</v>
      </c>
      <c r="BY40" s="130">
        <f>IF('Données projet'!$A$114&gt;35,BY39+BX40-CG39,IF(A40&lt;'Données projet'!$A$114,$BV$205^A40,IF(A40='Données projet'!$A$114,'Données projet'!$B$114,BY39+BX40-CG39)))</f>
        <v>361</v>
      </c>
      <c r="BZ40" s="130">
        <f>BY40*VLOOKUP('Données projet'!$B$12,'Paramètres'!$A$1:$I$89,3,0)*VLOOKUP('Données projet'!$B$12,'Paramètres'!$A$1:$I$89,5,0)</f>
        <v>178.334</v>
      </c>
      <c r="CA40" s="130">
        <f t="shared" si="40"/>
        <v>44.95133151</v>
      </c>
      <c r="CB40" s="141">
        <f t="shared" si="11"/>
        <v>388.888619</v>
      </c>
      <c r="CC40" s="133">
        <f t="shared" si="12"/>
        <v>682.2219524</v>
      </c>
      <c r="CD40" s="133">
        <f>AVERAGE(OFFSET($CC$3,0,0,'Données projet'!$E$12+1,1))-AVERAGE(OFFSET($H$3,0,0,'Données projet'!$E$12+1,1))</f>
        <v>258.1672054</v>
      </c>
      <c r="CE40" s="133">
        <f t="shared" si="41"/>
        <v>296.0724261</v>
      </c>
      <c r="CF40" s="134">
        <f>IF(ISNA(VLOOKUP(A40,'Données projet'!$A$113:$I$133,3,0)),0,VLOOKUP(A40,'Données projet'!$A$113:$I$133,3,0))</f>
        <v>0</v>
      </c>
      <c r="CG40" s="134">
        <f>IF(ISNA(VLOOKUP(A40,'Données projet'!$A$113:$I$133,4,0)),0,VLOOKUP(A40,'Données projet'!$A$113:$I$133,4,0))</f>
        <v>0</v>
      </c>
      <c r="CH40" s="135">
        <f>IF(ISNA(VLOOKUP(A40,'Données projet'!$A$113:$I$133,5,0)),0%,VLOOKUP(A40,'Données projet'!$A$113:$I$133,5,0)*VLOOKUP('Données projet'!$B$12,'Paramètres'!$A$1:$I$89,7,0))</f>
        <v>0</v>
      </c>
      <c r="CI40" s="135">
        <f>IF(ISNA(VLOOKUP(A40,'Données projet'!$A$113:$I$133,6,0)),0%,VLOOKUP(A40,'Données projet'!$A$113:$I$133,6,0)*VLOOKUP('Données projet'!$B$12,'Paramètres'!$A$1:$I$89,7,0))</f>
        <v>0</v>
      </c>
      <c r="CJ40" s="135">
        <f>IF(ISNA(VLOOKUP(A40,'Données projet'!$A$113:$I$133,7,0)),0%,VLOOKUP(A40,'Données projet'!$A$113:$I$133,7,0))</f>
        <v>0</v>
      </c>
      <c r="CK40" s="142">
        <f>EXP(-LN(2)/35)*CK39+(1-EXP(-LN(2)/35))/(LN(2)/35)*CG40*CH40*VLOOKUP('Données projet'!$B$12,'Paramètres'!$A$1:$I$89,3,0)*0.475*44/12</f>
        <v>16.26434417</v>
      </c>
      <c r="CL40" s="142">
        <f>EXP(-LN(2)/25)*CL39+(1-EXP(-LN(2)/25))/(LN(2)/25)*Calculateur!CG40*Calculateur!CI40*VLOOKUP('Données projet'!$B$12,'Paramètres'!$A$1:$I$89,3,0)*0.475*44/12</f>
        <v>23.17605982</v>
      </c>
      <c r="CM40" s="142">
        <f>EXP(-LN(2)/2)*CM39+(1-EXP(-LN(2)/2))/(LN(2)/2)*CG40*CJ40*VLOOKUP('Données projet'!$B$12,'Paramètres'!$A$1:$I$89,3,0)*0.475*44/12</f>
        <v>5.865696224</v>
      </c>
      <c r="CN40" s="143">
        <f t="shared" si="13"/>
        <v>45.30610021</v>
      </c>
      <c r="CO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1" t="str">
        <f>VLOOKUP(A40,'Données projet'!$A$139:$I$159,2,0)</f>
        <v>#N/A</v>
      </c>
      <c r="CR40" s="131" t="str">
        <f>VLOOKUP(A40,'Données projet'!$A$139:$I$159,9,0)</f>
        <v>#N/A</v>
      </c>
      <c r="CS40" s="130">
        <f t="array" ref="CS40">INDEX(CR:CR,MIN(IF(ISNUMBER(CR40:CR236),ROW(CR40:CR236),"")))</f>
        <v>5.4</v>
      </c>
      <c r="CT40" s="138">
        <f>IF('Données projet'!$A$140&gt;35,CT39+CS40-DB39,IF(A40&lt;'Données projet'!$A$140,$CQ$205^A40,IF(A40='Données projet'!$A$140,'Données projet'!$B$140,CT39+CS40-DB39)))</f>
        <v>76.8</v>
      </c>
      <c r="CU40" s="138">
        <f>CT40*VLOOKUP('Données projet'!$B$13,'Paramètres'!$A$1:$I$89,3,0)*VLOOKUP('Données projet'!$B$13,'Paramètres'!$A$1:$I$89,5,0)</f>
        <v>77.8752</v>
      </c>
      <c r="CV40" s="130">
        <f t="shared" si="42"/>
        <v>21.61684835</v>
      </c>
      <c r="CW40" s="141">
        <f t="shared" si="14"/>
        <v>173.2819842</v>
      </c>
      <c r="CX40" s="133">
        <f t="shared" si="15"/>
        <v>466.6153176</v>
      </c>
      <c r="CY40" s="133">
        <f>AVERAGE(OFFSET($CX$3,0,0,'Données projet'!$E$13+1,1))-AVERAGE(OFFSET($H$3,0,0,'Données projet'!$E$13+1,1))</f>
        <v>223.783507</v>
      </c>
      <c r="CZ40" s="133">
        <f t="shared" si="43"/>
        <v>84.92349117</v>
      </c>
      <c r="DA40" s="134">
        <f>IF(ISNA(VLOOKUP(A40,'Données projet'!$A$139:$I$159,3,0)),0,VLOOKUP(A40,'Données projet'!$A$139:$I$159,3,0))</f>
        <v>0</v>
      </c>
      <c r="DB40" s="134">
        <f>IF(ISNA(VLOOKUP(A40,'Données projet'!$A$139:$I$159,4,0)),0,VLOOKUP(A40,'Données projet'!$A$139:$I$159,4,0))</f>
        <v>0</v>
      </c>
      <c r="DC40" s="135">
        <f>IF(ISNA(VLOOKUP(A40,'Données projet'!$A$139:$I$159,5,0)),0%,VLOOKUP(A40,'Données projet'!$A$139:$I$159,5,0)*VLOOKUP('Données projet'!$B$13,'Paramètres'!$A$1:$I$89,7,0))</f>
        <v>0</v>
      </c>
      <c r="DD40" s="135">
        <f>IF(ISNA(VLOOKUP(A40,'Données projet'!$A$139:$I$159,6,0)),0%,VLOOKUP(A40,'Données projet'!$A$139:$I$159,6,0)*VLOOKUP('Données projet'!$B$13,'Paramètres'!$A$1:$I$89,7,0))</f>
        <v>0</v>
      </c>
      <c r="DE40" s="135">
        <f>IF(ISNA(VLOOKUP(A40,'Données projet'!$A$139:$I$159,7,0)),0%,VLOOKUP(A40,'Données projet'!$A$139:$I$159,7,0))</f>
        <v>0</v>
      </c>
      <c r="DF40" s="142">
        <f>EXP(-LN(2)/35)*DF39+(1-EXP(-LN(2)/35))/(LN(2)/35)*DB40*DC40*VLOOKUP('Données projet'!$B$13,'Paramètres'!$A$1:$I$89,3,0)*0.475*44/12</f>
        <v>0</v>
      </c>
      <c r="DG40" s="142">
        <f>EXP(-LN(2)/25)*DG39+(1-EXP(-LN(2)/25))/(LN(2)/25)*Calculateur!DB40*Calculateur!DD40*VLOOKUP('Données projet'!$B$13,'Paramètres'!$A$1:$I$89,3,0)*0.475*44/12</f>
        <v>0</v>
      </c>
      <c r="DH40" s="142">
        <f>EXP(-LN(2)/2)*DH39+(1-EXP(-LN(2)/2))/(LN(2)/2)*DB40*DE40*VLOOKUP('Données projet'!$B$13,'Paramètres'!$A$1:$I$89,3,0)*0.475*44/12</f>
        <v>0</v>
      </c>
      <c r="DI40" s="143">
        <f t="shared" si="16"/>
        <v>0</v>
      </c>
      <c r="DJ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1" t="str">
        <f>VLOOKUP(A40,'Données projet'!$A$165:$I$185,2,0)</f>
        <v>#N/A</v>
      </c>
      <c r="DM40" s="131" t="str">
        <f>VLOOKUP(A40,'Données projet'!$A$165:$I$185,9,0)</f>
        <v>#N/A</v>
      </c>
      <c r="DN40" s="131">
        <f t="array" ref="DN40">INDEX(DM:DM,MIN(IF(ISNUMBER(DM40:DM236),ROW(DM40:DM236),"")))</f>
        <v>8.4</v>
      </c>
      <c r="DO40" s="138">
        <f>IF('Données projet'!$A$166&gt;35,DO39+DN40-DW39,IF(A40&lt;'Données projet'!$A$166,$DL$205^A40,IF(A40='Données projet'!$A$166,'Données projet'!$B$166,DO39+DN40-DW39)))</f>
        <v>111.8</v>
      </c>
      <c r="DP40" s="138">
        <f>DO40*VLOOKUP('Données projet'!$B$14,'Paramètres'!$A$1:$I$89,3,0)*VLOOKUP('Données projet'!$B$14,'Paramètres'!$A$1:$I$89,5,0)</f>
        <v>101.15664</v>
      </c>
      <c r="DQ40" s="130">
        <f t="shared" si="44"/>
        <v>27.23736638</v>
      </c>
      <c r="DR40" s="141">
        <f t="shared" si="17"/>
        <v>223.6195611</v>
      </c>
      <c r="DS40" s="133">
        <f t="shared" si="18"/>
        <v>516.9528944</v>
      </c>
      <c r="DT40" s="133">
        <f>AVERAGE(OFFSET($DS$3,0,0,'Données projet'!$E$14+1,1))-AVERAGE(OFFSET($H$3,0,0,'Données projet'!$E$14+1,1))</f>
        <v>287.9334714</v>
      </c>
      <c r="DU40" s="133">
        <f t="shared" si="45"/>
        <v>156.6796502</v>
      </c>
      <c r="DV40" s="134">
        <f>IF(ISNA(VLOOKUP(A40,'Données projet'!$A$165:$I$185,3,0)),0,VLOOKUP(A40,'Données projet'!$A$165:$I$185,3,0))</f>
        <v>0</v>
      </c>
      <c r="DW40" s="134">
        <f>IF(ISNA(VLOOKUP(A40,'Données projet'!$A$165:$I$185,4,0)),0,VLOOKUP(A40,'Données projet'!$A$165:$I$185,4,0))</f>
        <v>0</v>
      </c>
      <c r="DX40" s="135">
        <f>IF(ISNA(VLOOKUP(A40,'Données projet'!$A$165:$I$185,5,0)),0%,VLOOKUP(A40,'Données projet'!$A$165:$I$185,5,0)*VLOOKUP('Données projet'!$B$14,'Paramètres'!$A$1:$I$89,7,0))</f>
        <v>0</v>
      </c>
      <c r="DY40" s="135">
        <f>IF(ISNA(VLOOKUP(A40,'Données projet'!$A$165:$I$185,6,0)),0%,VLOOKUP(A40,'Données projet'!$A$165:$I$185,6,0)*VLOOKUP('Données projet'!$B$14,'Paramètres'!$A$1:$I$89,7,0))</f>
        <v>0</v>
      </c>
      <c r="DZ40" s="135">
        <f>IF(ISNA(VLOOKUP(A40,'Données projet'!$A$165:$I$185,7,0)),0%,VLOOKUP(A40,'Données projet'!$A$165:$I$185,7,0))</f>
        <v>0</v>
      </c>
      <c r="EA40" s="142">
        <f>EXP(-LN(2)/35)*EA39+(1-EXP(-LN(2)/35))/(LN(2)/35)*DW40*DX40*VLOOKUP('Données projet'!$B$14,'Paramètres'!$A$1:$I$89,3,0)*0.475*44/12</f>
        <v>0</v>
      </c>
      <c r="EB40" s="142">
        <f>EXP(-LN(2)/25)*EB39+(1-EXP(-LN(2)/25))/(LN(2)/25)*Calculateur!DW40*Calculateur!DY40*VLOOKUP('Données projet'!$B$14,'Paramètres'!$A$1:$I$89,3,0)*0.475*44/12</f>
        <v>0</v>
      </c>
      <c r="EC40" s="142">
        <f>EXP(-LN(2)/2)*EC39+(1-EXP(-LN(2)/2))/(LN(2)/2)*DW40*DZ40*VLOOKUP('Données projet'!$B$14,'Paramètres'!$A$1:$I$89,3,0)*0.475*44/12</f>
        <v>0</v>
      </c>
      <c r="ED40" s="143">
        <f t="shared" si="19"/>
        <v>0</v>
      </c>
      <c r="EE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1" t="str">
        <f>VLOOKUP(A40,'Données projet'!$A$191:$I$211,2,0)</f>
        <v>#N/A</v>
      </c>
      <c r="EH40" s="131" t="str">
        <f>VLOOKUP(A40,'Données projet'!$A$191:$I$211,9,0)</f>
        <v>#N/A</v>
      </c>
      <c r="EI40" s="131">
        <f t="array" ref="EI40">INDEX(EH:EH,MIN(IF(ISNUMBER(EH40:EH236),ROW(EH40:EH236),"")))</f>
        <v>7.8</v>
      </c>
      <c r="EJ40" s="138">
        <f>IF('Données projet'!$A$192&gt;35,EJ39+EI40-ER39,IF(A40&lt;'Données projet'!$A$192,$EG$205^A40,IF(A40='Données projet'!$A$192,'Données projet'!$B$192,EJ39+EI40-ER39)))</f>
        <v>91.6</v>
      </c>
      <c r="EK40" s="138">
        <f>EJ40*VLOOKUP('Données projet'!$B$15,'Paramètres'!$A$1:$I$89,3,0)*VLOOKUP('Données projet'!$B$15,'Paramètres'!$A$1:$I$89,5,0)</f>
        <v>67.16112</v>
      </c>
      <c r="EL40" s="130">
        <f t="shared" si="46"/>
        <v>18.96677393</v>
      </c>
      <c r="EM40" s="141">
        <f t="shared" si="20"/>
        <v>150.0060819</v>
      </c>
      <c r="EN40" s="133">
        <f t="shared" si="21"/>
        <v>443.3394153</v>
      </c>
      <c r="EO40" s="133">
        <f>AVERAGE(OFFSET($EN$3,0,0,'Données projet'!$E$15+1,1))-AVERAGE(OFFSET($H$3,0,0,'Données projet'!$E$15+1,1))</f>
        <v>130.3193339</v>
      </c>
      <c r="EP40" s="133">
        <f t="shared" si="47"/>
        <v>82.22784365</v>
      </c>
      <c r="EQ40" s="134">
        <f>IF(ISNA(VLOOKUP(A40,'Données projet'!$A$191:$I$211,3,0)),0,VLOOKUP(A40,'Données projet'!$A$191:$I$211,3,0))</f>
        <v>0</v>
      </c>
      <c r="ER40" s="134">
        <f>IF(ISNA(VLOOKUP(A40,'Données projet'!$A$191:$I$211,4,0)),0,VLOOKUP(A40,'Données projet'!$A$191:$I$211,4,0))</f>
        <v>0</v>
      </c>
      <c r="ES40" s="135">
        <f>IF(ISNA(VLOOKUP(A40,'Données projet'!$A$191:$I$211,5,0)),0%,VLOOKUP(A40,'Données projet'!$A$191:$I$211,5,0)*VLOOKUP('Données projet'!$B$15,'Paramètres'!$A$1:$I$89,7,0))</f>
        <v>0</v>
      </c>
      <c r="ET40" s="135">
        <f>IF(ISNA(VLOOKUP(A40,'Données projet'!$A$191:$I$211,6,0)),0%,VLOOKUP(A40,'Données projet'!$A$191:$I$211,6,0)*VLOOKUP('Données projet'!$B$15,'Paramètres'!$A$1:$I$89,7,0))</f>
        <v>0</v>
      </c>
      <c r="EU40" s="135">
        <f>IF(ISNA(VLOOKUP(A40,'Données projet'!$A$191:$I$211,7,0)),0%,VLOOKUP(A40,'Données projet'!$A$191:$I$211,7,0))</f>
        <v>0</v>
      </c>
      <c r="EV40" s="142">
        <f>EXP(-LN(2)/35)*EV39+(1-EXP(-LN(2)/35))/(LN(2)/35)*ER40*ES40*VLOOKUP('Données projet'!$B$15,'Paramètres'!$A$1:$I$89,3,0)*0.475*44/12</f>
        <v>2.135160042</v>
      </c>
      <c r="EW40" s="142">
        <f>EXP(-LN(2)/25)*EW39+(1-EXP(-LN(2)/25))/(LN(2)/25)*Calculateur!ER40*Calculateur!ET40*VLOOKUP('Données projet'!$B$15,'Paramètres'!$A$1:$I$89,3,0)*0.475*44/12</f>
        <v>0</v>
      </c>
      <c r="EX40" s="142">
        <f>EXP(-LN(2)/2)*EX39+(1-EXP(-LN(2)/2))/(LN(2)/2)*ER40*EU40*VLOOKUP('Données projet'!$B$15,'Paramètres'!$A$1:$I$89,3,0)*0.475*44/12</f>
        <v>0</v>
      </c>
      <c r="EY40" s="143">
        <f t="shared" si="22"/>
        <v>2.135160042</v>
      </c>
      <c r="EZ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1" t="str">
        <f>VLOOKUP(A40,'Données projet'!$A$217:$I$237,2,0)</f>
        <v>#N/A</v>
      </c>
      <c r="FC40" s="131" t="str">
        <f>VLOOKUP(A40,'Données projet'!$A$217:$I$237,9,0)</f>
        <v>#N/A</v>
      </c>
      <c r="FD40" s="130">
        <f t="array" ref="FD40">INDEX(FC:FC,MIN(IF(ISNUMBER(FC40:FC236),ROW(FC40:FC236),"")))</f>
        <v>7</v>
      </c>
      <c r="FE40" s="130">
        <f>IF('Données projet'!$A$218&gt;35,FE39+FD40-FM39,IF(A40&lt;'Données projet'!$A$218,$FB$205^A40,IF(A40='Données projet'!$A$218,'Données projet'!$B$218,FE39+FD40-FM39)))</f>
        <v>206</v>
      </c>
      <c r="FF40" s="138">
        <f>FE40*VLOOKUP('Données projet'!$B$16,'Paramètres'!$A$1:$I$89,3,0)*VLOOKUP('Données projet'!$B$16,'Paramètres'!$A$1:$I$89,5,0)</f>
        <v>186.3888</v>
      </c>
      <c r="FG40" s="130">
        <f t="shared" si="48"/>
        <v>46.74067835</v>
      </c>
      <c r="FH40" s="141">
        <f t="shared" si="23"/>
        <v>406.0338415</v>
      </c>
      <c r="FI40" s="133">
        <f t="shared" si="24"/>
        <v>699.3671748</v>
      </c>
      <c r="FJ40" s="133">
        <f>AVERAGE(OFFSET($FI$3,0,0,'Données projet'!$E$16+1,1))-AVERAGE(OFFSET($H$3,0,0,'Données projet'!$E$16+1,1))</f>
        <v>305.6252353</v>
      </c>
      <c r="FK40" s="133">
        <f t="shared" si="49"/>
        <v>331.397916</v>
      </c>
      <c r="FL40" s="134">
        <f>IF(ISNA(VLOOKUP(A40,'Données projet'!$A$217:$I$237,3,0)),0,VLOOKUP(A40,'Données projet'!$A$217:$I$237,3,0))</f>
        <v>0</v>
      </c>
      <c r="FM40" s="134">
        <f>IF(ISNA(VLOOKUP(A40,'Données projet'!$A$217:$I$237,4,0)),0,VLOOKUP(A40,'Données projet'!$A$217:$I$237,4,0))</f>
        <v>0</v>
      </c>
      <c r="FN40" s="135">
        <f>IF(ISNA(VLOOKUP(A40,'Données projet'!$A$217:$I$237,5,0)),0%,VLOOKUP(A40,'Données projet'!$A$217:$I$237,5,0)*VLOOKUP('Données projet'!$B$16,'Paramètres'!$A$1:$I$89,7,0))</f>
        <v>0</v>
      </c>
      <c r="FO40" s="135">
        <f>IF(ISNA(VLOOKUP(A40,'Données projet'!$A$217:$I$237,6,0)),0%,VLOOKUP(A40,'Données projet'!$A$217:$I$237,6,0)*VLOOKUP('Données projet'!$B$16,'Paramètres'!$A$1:$I$89,7,0))</f>
        <v>0</v>
      </c>
      <c r="FP40" s="135">
        <f>IF(ISNA(VLOOKUP(A40,'Données projet'!$A$217:$I$237,7,0)),0%,VLOOKUP(A40,'Données projet'!$A$217:$I$237,7,0))</f>
        <v>0</v>
      </c>
      <c r="FQ40" s="142">
        <f>EXP(-LN(2)/35)*FQ39+(1-EXP(-LN(2)/35))/(LN(2)/35)*FM40*FN40*VLOOKUP('Données projet'!$B$16,'Paramètres'!$A$1:$I$89,3,0)*0.475*44/12</f>
        <v>0.9229309739</v>
      </c>
      <c r="FR40" s="142">
        <f>EXP(-LN(2)/25)*FR39+(1-EXP(-LN(2)/25))/(LN(2)/25)*Calculateur!FM40*Calculateur!FO40*VLOOKUP('Données projet'!$B$16,'Paramètres'!$A$1:$I$89,3,0)*0.475*44/12</f>
        <v>0</v>
      </c>
      <c r="FS40" s="142">
        <f>EXP(-LN(2)/2)*FS39+(1-EXP(-LN(2)/2))/(LN(2)/2)*FM40*FP40*VLOOKUP('Données projet'!$B$16,'Paramètres'!$A$1:$I$89,3,0)*0.475*44/12</f>
        <v>0</v>
      </c>
      <c r="FT40" s="143">
        <f t="shared" si="25"/>
        <v>0.9229309739</v>
      </c>
      <c r="FU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1" t="str">
        <f>VLOOKUP(A40,'Données projet'!$A$243:$I$263,2,0)</f>
        <v>#N/A</v>
      </c>
      <c r="FX40" s="131" t="str">
        <f>VLOOKUP(A40,'Données projet'!$A$243:$I$263,9,0)</f>
        <v>#N/A</v>
      </c>
      <c r="FY40" s="130">
        <f t="array" ref="FY40">INDEX(FX:FX,MIN(IF(ISNUMBER(FX40:FX236),ROW(FX40:FX236),"")))</f>
        <v>10.4</v>
      </c>
      <c r="FZ40" s="138">
        <f>IF('Données projet'!$A$244&gt;35,FZ39+FY40-GH39,IF(A40&lt;'Données projet'!$A$244,$FW$205^A40,IF(A40='Données projet'!$A$244,'Données projet'!$B$244,FZ39+FY40-GH39)))</f>
        <v>131.8</v>
      </c>
      <c r="GA40" s="138">
        <f>FZ40*VLOOKUP('Données projet'!$B$17,'Paramètres'!$A$1:$I$89,3,0)*VLOOKUP('Données projet'!$B$17,'Paramètres'!$A$1:$I$89,5,0)</f>
        <v>88.41144</v>
      </c>
      <c r="GB40" s="130">
        <f t="shared" si="50"/>
        <v>24.1817064</v>
      </c>
      <c r="GC40" s="141">
        <f t="shared" si="26"/>
        <v>196.09973</v>
      </c>
      <c r="GD40" s="133">
        <f t="shared" si="27"/>
        <v>489.4330633</v>
      </c>
      <c r="GE40" s="133">
        <f>AVERAGE(OFFSET($GD$3,0,0,'Données projet'!$E$17+1,1))-AVERAGE(OFFSET($H$3,0,0,'Données projet'!$E$17+1,1))</f>
        <v>118.7368745</v>
      </c>
      <c r="GF40" s="133">
        <f t="shared" si="51"/>
        <v>135.1233677</v>
      </c>
      <c r="GG40" s="134">
        <f>IF(ISNA(VLOOKUP(A40,'Données projet'!$A$243:$I$263,3,0)),0,VLOOKUP(A40,'Données projet'!$A$243:$I$263,3,0))</f>
        <v>0</v>
      </c>
      <c r="GH40" s="134">
        <f>IF(ISNA(VLOOKUP(A40,'Données projet'!$A$243:$I$263,4,0)),0,VLOOKUP(A40,'Données projet'!$A$243:$I$263,4,0))</f>
        <v>0</v>
      </c>
      <c r="GI40" s="135">
        <f>IF(ISNA(VLOOKUP(A40,'Données projet'!$A$243:$I$263,5,0)),0%,VLOOKUP(A40,'Données projet'!$A$243:$I$263,5,0)*VLOOKUP('Données projet'!$B$17,'Paramètres'!$A$1:$I$89,7,0))</f>
        <v>0</v>
      </c>
      <c r="GJ40" s="135">
        <f>IF(ISNA(VLOOKUP(A40,'Données projet'!$A$243:$I$263,6,0)),0%,VLOOKUP(A40,'Données projet'!$A$243:$I$263,6,0)*VLOOKUP('Données projet'!$B$17,'Paramètres'!$A$1:$I$89,7,0))</f>
        <v>0</v>
      </c>
      <c r="GK40" s="135">
        <f>IF(ISNA(VLOOKUP(A40,'Données projet'!$A$243:$I$263,7,0)),0%,VLOOKUP(A40,'Données projet'!$A$243:$I$263,7,0))</f>
        <v>0</v>
      </c>
      <c r="GL40" s="142">
        <f>EXP(-LN(2)/35)*GL39+(1-EXP(-LN(2)/35))/(LN(2)/35)*GH40*GI40*VLOOKUP('Données projet'!$B$17,'Paramètres'!$A$1:$I$89,3,0)*0.475*44/12</f>
        <v>2.115447964</v>
      </c>
      <c r="GM40" s="142">
        <f>EXP(-LN(2)/25)*GM39+(1-EXP(-LN(2)/25))/(LN(2)/25)*Calculateur!GH40*Calculateur!GJ40*VLOOKUP('Données projet'!$B$17,'Paramètres'!$A$1:$I$89,3,0)*0.475*44/12</f>
        <v>0</v>
      </c>
      <c r="GN40" s="142">
        <f>EXP(-LN(2)/2)*GN39+(1-EXP(-LN(2)/2))/(LN(2)/2)*GH40*GK40*VLOOKUP('Données projet'!$B$17,'Paramètres'!$A$1:$I$89,3,0)*0.475*44/12</f>
        <v>0</v>
      </c>
      <c r="GO40" s="142">
        <f t="shared" si="28"/>
        <v>2.115447964</v>
      </c>
      <c r="GP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1" t="str">
        <f>VLOOKUP(A40,'Données projet'!$A$269:$I$289,2,0)</f>
        <v>#N/A</v>
      </c>
      <c r="GS40" s="131" t="str">
        <f>VLOOKUP(A40,'Données projet'!$A$269:$I$289,9,0)</f>
        <v>#N/A</v>
      </c>
      <c r="GT40" s="130">
        <f t="array" ref="GT40">INDEX(GS:GS,MIN(IF(ISNUMBER(GS40:GS236),ROW(GS40:GS236),"")))</f>
        <v>5.4</v>
      </c>
      <c r="GU40" s="138">
        <f>IF('Données projet'!$A$270&gt;35,GU39+GT40-HC39,IF(A40&lt;'Données projet'!$A$270,$GR$205^A40,IF(A40='Données projet'!$A$270,'Données projet'!$B$270,GU39+GT40-HC39)))</f>
        <v>76.8</v>
      </c>
      <c r="GV40" s="138">
        <f>GU40*VLOOKUP('Données projet'!$B$18,'Paramètres'!$A$1:$I$89,3,0)*VLOOKUP('Données projet'!$B$18,'Paramètres'!$A$1:$I$89,5,0)</f>
        <v>82.66752</v>
      </c>
      <c r="GW40" s="130">
        <f t="shared" si="52"/>
        <v>22.78815635</v>
      </c>
      <c r="GX40" s="141">
        <f t="shared" si="29"/>
        <v>183.6686363</v>
      </c>
      <c r="GY40" s="133">
        <f t="shared" si="30"/>
        <v>477.0019696</v>
      </c>
      <c r="GZ40" s="133">
        <f>AVERAGE(OFFSET($GY$3,0,0,'Données projet'!$E$18+1,1))-AVERAGE(OFFSET($H$3,0,0,'Données projet'!$E$18+1,1))</f>
        <v>100.5427875</v>
      </c>
      <c r="HA40" s="133">
        <f t="shared" si="53"/>
        <v>92.28663609</v>
      </c>
      <c r="HB40" s="134">
        <f>IF(ISNA(VLOOKUP(A40,'Données projet'!$A$269:$I$289,3,0)),0,VLOOKUP(A40,'Données projet'!$A$269:$I$289,3,0))</f>
        <v>0</v>
      </c>
      <c r="HC40" s="134">
        <f>IF(ISNA(VLOOKUP(A40,'Données projet'!$A$269:$I$289,4,0)),0,VLOOKUP(A40,'Données projet'!$A$269:$I$289,4,0))</f>
        <v>0</v>
      </c>
      <c r="HD40" s="135">
        <f>IF(ISNA(VLOOKUP(A40,'Données projet'!$A$269:$I$289,5,0)),0%,VLOOKUP(A40,'Données projet'!$A$269:$I$289,5,0)*VLOOKUP('Données projet'!$B$18,'Paramètres'!$A$1:$I$89,7,0))</f>
        <v>0</v>
      </c>
      <c r="HE40" s="135">
        <f>IF(ISNA(VLOOKUP(A40,'Données projet'!$A$269:$I$289,6,0)),0%,VLOOKUP(A40,'Données projet'!$A$269:$I$289,6,0)*VLOOKUP('Données projet'!$B$18,'Paramètres'!$A$1:$I$89,7,0))</f>
        <v>0</v>
      </c>
      <c r="HF40" s="135">
        <f>IF(ISNA(VLOOKUP(A40,'Données projet'!$A$269:$I$289,7,0)),0%,VLOOKUP(A40,'Données projet'!$A$269:$I$289,7,0))</f>
        <v>0</v>
      </c>
      <c r="HG40" s="142">
        <f>EXP(-LN(2)/35)*HG39+(1-EXP(-LN(2)/35))/(LN(2)/35)*HC40*HD40*VLOOKUP('Données projet'!$B$18,'Paramètres'!$A$1:$I$89,3,0)*0.475*44/12</f>
        <v>1.278677105</v>
      </c>
      <c r="HH40" s="142">
        <f>EXP(-LN(2)/25)*HH39+(1-EXP(-LN(2)/25))/(LN(2)/25)*Calculateur!HC40*Calculateur!HE40*VLOOKUP('Données projet'!$B$18,'Paramètres'!$A$1:$I$89,3,0)*0.475*44/12</f>
        <v>0</v>
      </c>
      <c r="HI40" s="142">
        <f>EXP(-LN(2)/2)*HI39+(1-EXP(-LN(2)/2))/(LN(2)/2)*HC40*HF40*VLOOKUP('Données projet'!$B$18,'Paramètres'!$A$1:$I$89,3,0)*0.475*44/12</f>
        <v>0</v>
      </c>
      <c r="HJ40" s="143">
        <f t="shared" si="31"/>
        <v>1.278677105</v>
      </c>
    </row>
    <row r="41" ht="15.75" customHeight="1">
      <c r="A41" s="125">
        <f t="shared" si="32"/>
        <v>38</v>
      </c>
      <c r="B41" s="126">
        <f>'Scénario référence'!$B$16*5+'Scénario référence'!$B$17*0+'Scénario référence'!$B$18*5</f>
        <v>0</v>
      </c>
      <c r="C41" s="140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20.748</v>
      </c>
      <c r="D41" s="127">
        <f t="shared" si="33"/>
        <v>6.717880434</v>
      </c>
      <c r="E4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7">
        <f>IF(OR('Scénario référence'!$F$8&gt;0,'Scénario référence'!$F$9&gt;0),('Scénario référence'!$F$8+'Scénario référence'!$F$9)*10,0)</f>
        <v>10</v>
      </c>
      <c r="G41" s="127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</v>
      </c>
      <c r="H41" s="128">
        <f t="shared" si="1"/>
        <v>341.1697418</v>
      </c>
      <c r="I41" s="12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1" t="str">
        <f>VLOOKUP(A41,'Données projet'!$A$35:$I$55,2,0)</f>
        <v>#N/A</v>
      </c>
      <c r="L41" s="131" t="str">
        <f>VLOOKUP(A41,'Données projet'!$A$35:$I$55,9,0)</f>
        <v>#N/A</v>
      </c>
      <c r="M41" s="131">
        <f t="array" ref="M41">INDEX(L:L,MIN(IF(ISNUMBER(L41:L237),ROW(L41:L237),"")))</f>
        <v>12.8</v>
      </c>
      <c r="N41" s="130">
        <f>IF('Données projet'!$A$36&gt;35,N40+M41-V40,IF(A41&lt;'Données projet'!$A$36,$K$205^A41,IF(A41='Données projet'!$A$36,'Données projet'!$B$36,N40+M41-V40)))</f>
        <v>181.4</v>
      </c>
      <c r="O41" s="130">
        <f>N41*VLOOKUP('Données projet'!$B$9,'Paramètres'!$A$1:$I$89,3,0)*VLOOKUP('Données projet'!$B$9,'Paramètres'!$A$1:$I$89,5,0)</f>
        <v>103.7608</v>
      </c>
      <c r="P41" s="130">
        <f t="shared" si="34"/>
        <v>27.85602214</v>
      </c>
      <c r="Q41" s="141">
        <f t="shared" si="2"/>
        <v>229.2326319</v>
      </c>
      <c r="R41" s="133">
        <f t="shared" si="3"/>
        <v>522.5659652</v>
      </c>
      <c r="S41" s="133">
        <f>AVERAGE(OFFSET($R$3,0,0,'Données projet'!$E$9+1,1))-AVERAGE(OFFSET($H$3,0,0,'Données projet'!$E$9+1,1))</f>
        <v>126.9946492</v>
      </c>
      <c r="T41" s="133">
        <f t="shared" si="35"/>
        <v>140.039049</v>
      </c>
      <c r="U41" s="134">
        <f>IF(ISNA(VLOOKUP(A41,'Données projet'!$A$35:$I$55,3,0)),0,VLOOKUP(A41,'Données projet'!$A$35:$I$55,3,0))</f>
        <v>0</v>
      </c>
      <c r="V41" s="134">
        <f>IF(ISNA(VLOOKUP(A41,'Données projet'!$A$35:$I$55,4,0)),0,VLOOKUP(A41,'Données projet'!$A$35:$I$55,4,0))</f>
        <v>0</v>
      </c>
      <c r="W41" s="135">
        <f>IF(ISNA(VLOOKUP(A41,'Données projet'!$A$35:$I$55,5,0)),0%,VLOOKUP(A41,'Données projet'!$A$35:$I$55,5,0)*VLOOKUP('Données projet'!$B$9,'Paramètres'!$A$1:$I$89,7,0))</f>
        <v>0</v>
      </c>
      <c r="X41" s="135">
        <f>IF(ISNA(VLOOKUP(A41,'Données projet'!$A$35:$I$55,6,0)),0%,VLOOKUP(A41,'Données projet'!$A$35:$I$55,6,0)*VLOOKUP('Données projet'!$B$9,'Paramètres'!$A$1:$I$89,7,0))</f>
        <v>0</v>
      </c>
      <c r="Y41" s="135">
        <f>IF(ISNA(VLOOKUP(A41,'Données projet'!$A$35:$I$55,7,0)),0%,VLOOKUP(A41,'Données projet'!$A$35:$I$55,7,0))</f>
        <v>0</v>
      </c>
      <c r="Z41" s="142">
        <f>EXP(-LN(2)/35)*Z40+(1-EXP(-LN(2)/35))/(LN(2)/35)*V41*W41*VLOOKUP('Données projet'!$B$9,'Paramètres'!$A$1:$I$89,3,0)*0.475*44/12</f>
        <v>3.142430432</v>
      </c>
      <c r="AA41" s="142">
        <f>EXP(-LN(2)/25)*AA40+(1-EXP(-LN(2)/25))/(LN(2)/25)*Calculateur!V41*Calculateur!X41*VLOOKUP('Données projet'!$B$9,'Paramètres'!$A$1:$I$89,3,0)*0.475*44/12</f>
        <v>8.327127397</v>
      </c>
      <c r="AB41" s="142">
        <f>EXP(-LN(2)/2)*AB40+(1-EXP(-LN(2)/2))/(LN(2)/2)*V41*Y41*VLOOKUP('Données projet'!$B$9,'Paramètres'!$A$1:$I$89,3,0)*0.475*44/12</f>
        <v>2.622254844</v>
      </c>
      <c r="AC41" s="143">
        <f t="shared" si="4"/>
        <v>14.09181267</v>
      </c>
      <c r="AD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1" t="str">
        <f>VLOOKUP(A41,'Données projet'!$A$61:$I$81,2,0)</f>
        <v>#N/A</v>
      </c>
      <c r="AG41" s="131" t="str">
        <f>VLOOKUP(A41,'Données projet'!$A$61:$I$81,9,0)</f>
        <v>#N/A</v>
      </c>
      <c r="AH41" s="131">
        <f t="array" ref="AH41">INDEX(AG:AG,MIN(IF(ISNUMBER(AG41:AG237),ROW(AG41:AG237),"")))</f>
        <v>14.4</v>
      </c>
      <c r="AI41" s="130">
        <f>IF('Données projet'!$A$62&gt;35,AI40+AH41-AQ40,IF(A41&lt;'Données projet'!$A$62,$AF$205^A41,IF(A41='Données projet'!$A$62,'Données projet'!$B$62,AI40+AH41-AQ40)))</f>
        <v>235.2</v>
      </c>
      <c r="AJ41" s="130">
        <f>AI41*VLOOKUP('Données projet'!$B$10,'Paramètres'!$A$1:$I$89,3,0)*VLOOKUP('Données projet'!$B$10,'Paramètres'!$A$1:$I$89,5,0)</f>
        <v>140.6496</v>
      </c>
      <c r="AK41" s="130">
        <f t="shared" si="36"/>
        <v>36.44577962</v>
      </c>
      <c r="AL41" s="141">
        <f t="shared" si="5"/>
        <v>308.4411195</v>
      </c>
      <c r="AM41" s="133">
        <f t="shared" si="6"/>
        <v>601.7744528</v>
      </c>
      <c r="AN41" s="133">
        <f>AVERAGE(OFFSET($AM$3,0,0,'Données projet'!$E$10+1,1))-AVERAGE(OFFSET($H$3,0,0,'Données projet'!$E$10+1,1))</f>
        <v>196.874484</v>
      </c>
      <c r="AO41" s="133">
        <f t="shared" si="37"/>
        <v>217.5750859</v>
      </c>
      <c r="AP41" s="134">
        <f>IF(ISNA(VLOOKUP(A41,'Données projet'!$A$61:$I$81,3,0)),0,VLOOKUP(A41,'Données projet'!$A$61:$I$81,3,0))</f>
        <v>0</v>
      </c>
      <c r="AQ41" s="134">
        <f>IF(ISNA(VLOOKUP(A41,'Données projet'!$A$61:$I$81,4,0)),0,VLOOKUP(A41,'Données projet'!$A$61:$I$81,4,0))</f>
        <v>0</v>
      </c>
      <c r="AR41" s="135">
        <f>IF(ISNA(VLOOKUP(A41,'Données projet'!$A$61:$I$81,5,0)),0%,VLOOKUP(A41,'Données projet'!$A$61:$I$81,5,0)*VLOOKUP('Données projet'!$B$10,'Paramètres'!$A$1:$I$89,7,0))</f>
        <v>0</v>
      </c>
      <c r="AS41" s="135">
        <f>IF(ISNA(VLOOKUP(A41,'Données projet'!$A$61:$I$81,6,0)),0%,VLOOKUP(A41,'Données projet'!$A$61:$I$81,6,0)*VLOOKUP('Données projet'!$B$10,'Paramètres'!$A$1:$I$89,7,0))</f>
        <v>0</v>
      </c>
      <c r="AT41" s="135">
        <f>IF(ISNA(VLOOKUP(A41,'Données projet'!$A$61:$I$81,7,0)),0%,VLOOKUP(A41,'Données projet'!$A$61:$I$81,7,0))</f>
        <v>0</v>
      </c>
      <c r="AU41" s="142">
        <f>EXP(-LN(2)/35)*AU40+(1-EXP(-LN(2)/35))/(LN(2)/35)*AQ41*AR41*VLOOKUP('Données projet'!$B$10,'Paramètres'!$A$1:$I$89,3,0)*0.475*44/12</f>
        <v>4.830157438</v>
      </c>
      <c r="AV41" s="142">
        <f>EXP(-LN(2)/25)*AV40+(1-EXP(-LN(2)/25))/(LN(2)/25)*Calculateur!AQ41*Calculateur!AS41*VLOOKUP('Données projet'!$B$10,'Paramètres'!$A$1:$I$89,3,0)*0.475*44/12</f>
        <v>14.75365657</v>
      </c>
      <c r="AW41" s="142">
        <f>EXP(-LN(2)/2)*AW40+(1-EXP(-LN(2)/2))/(LN(2)/2)*AQ41*AT41*VLOOKUP('Données projet'!$B$10,'Paramètres'!$A$1:$I$89,3,0)*0.475*44/12</f>
        <v>4.035790091</v>
      </c>
      <c r="AX41" s="142">
        <f t="shared" si="7"/>
        <v>23.6196041</v>
      </c>
      <c r="AY41" s="13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1" t="str">
        <f>VLOOKUP(A41,'Données projet'!$A$87:$I$107,2,0)</f>
        <v>#N/A</v>
      </c>
      <c r="BB41" s="131" t="str">
        <f>VLOOKUP(A41,'Données projet'!$A$87:$I$107,9,0)</f>
        <v>#N/A</v>
      </c>
      <c r="BC41" s="130">
        <f t="array" ref="BC41">INDEX(BB:BB,MIN(IF(ISNUMBER(BB41:BB237),ROW(BB41:BB237),"")))</f>
        <v>11</v>
      </c>
      <c r="BD41" s="130">
        <f>IF('Données projet'!$A$88&gt;35,BD40+BC41-BL40,IF(A41&lt;'Données projet'!$A$88,$BA$205^A41,IF(A41='Données projet'!$A$88,'Données projet'!$B$88,BD40+BC41-BL40)))</f>
        <v>188</v>
      </c>
      <c r="BE41" s="130">
        <f>BD41*VLOOKUP('Données projet'!$B$11,'Paramètres'!$A$1:$I$89,3,0)*VLOOKUP('Données projet'!$B$11,'Paramètres'!$A$1:$I$89,5,0)</f>
        <v>87.984</v>
      </c>
      <c r="BF41" s="130">
        <f t="shared" si="38"/>
        <v>24.07837513</v>
      </c>
      <c r="BG41" s="141">
        <f t="shared" si="8"/>
        <v>195.1753033</v>
      </c>
      <c r="BH41" s="133">
        <f t="shared" si="9"/>
        <v>488.5086367</v>
      </c>
      <c r="BI41" s="133">
        <f>AVERAGE(OFFSET($BH$3,0,0,'Données projet'!$E$11+1,1))-AVERAGE(OFFSET($H$3,0,0,'Données projet'!$E$11+1,1))</f>
        <v>134.0948534</v>
      </c>
      <c r="BJ41" s="133">
        <f t="shared" si="39"/>
        <v>108.4102536</v>
      </c>
      <c r="BK41" s="134">
        <f>IF(ISNA(VLOOKUP(A41,'Données projet'!$A$87:$I$107,3,0)),0,VLOOKUP(A41,'Données projet'!$A$87:$I$107,3,0))</f>
        <v>0</v>
      </c>
      <c r="BL41" s="134">
        <f>IF(ISNA(VLOOKUP(A41,'Données projet'!$A$87:$I$107,4,0)),0,VLOOKUP(A41,'Données projet'!$A$87:$I$107,4,0))</f>
        <v>0</v>
      </c>
      <c r="BM41" s="135">
        <f>IF(ISNA(VLOOKUP(A41,'Données projet'!$A$87:$I$107,5,0)),0%,VLOOKUP(A41,'Données projet'!$A$87:$I$107,5,0)*VLOOKUP('Données projet'!$B$11,'Paramètres'!$A$1:$I$89,7,0))</f>
        <v>0</v>
      </c>
      <c r="BN41" s="135">
        <f>IF(ISNA(VLOOKUP(A41,'Données projet'!$A$87:$I$107,6,0)),0%,VLOOKUP(A41,'Données projet'!$A$87:$I$107,6,0)*VLOOKUP('Données projet'!$B$11,'Paramètres'!$A$1:$I$89,7,0))</f>
        <v>0</v>
      </c>
      <c r="BO41" s="135">
        <f>IF(ISNA(VLOOKUP(A41,'Données projet'!$A$87:$I$107,7,0)),0%,VLOOKUP(A41,'Données projet'!$A$87:$I$107,7,0))</f>
        <v>0</v>
      </c>
      <c r="BP41" s="142">
        <f>EXP(-LN(2)/35)*BP40+(1-EXP(-LN(2)/35))/(LN(2)/35)*BL41*BM41*VLOOKUP('Données projet'!$B$11,'Paramètres'!$A$1:$I$89,3,0)*0.475*44/12</f>
        <v>2.331417381</v>
      </c>
      <c r="BQ41" s="142">
        <f>EXP(-LN(2)/25)*BQ40+(1-EXP(-LN(2)/25))/(LN(2)/25)*Calculateur!BL41*Calculateur!BN41*VLOOKUP('Données projet'!$B$11,'Paramètres'!$A$1:$I$89,3,0)*0.475*44/12</f>
        <v>4.882384156</v>
      </c>
      <c r="BR41" s="142">
        <f>EXP(-LN(2)/2)*BR40+(1-EXP(-LN(2)/2))/(LN(2)/2)*BL41*BO41*VLOOKUP('Données projet'!$B$11,'Paramètres'!$A$1:$I$89,3,0)*0.475*44/12</f>
        <v>0.4662985494</v>
      </c>
      <c r="BS41" s="143">
        <f t="shared" si="10"/>
        <v>7.680100086</v>
      </c>
      <c r="BT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1" t="str">
        <f>VLOOKUP(A41,'Données projet'!$A$113:$I$133,2,0)</f>
        <v>#N/A</v>
      </c>
      <c r="BW41" s="131" t="str">
        <f>VLOOKUP(A41,'Données projet'!$A$113:$I$133,9,0)</f>
        <v>#N/A</v>
      </c>
      <c r="BX41" s="130">
        <f t="array" ref="BX41">INDEX(BW:BW,MIN(IF(ISNUMBER(BW41:BW237),ROW(BW41:BW237),"")))</f>
        <v>25</v>
      </c>
      <c r="BY41" s="130">
        <f>IF('Données projet'!$A$114&gt;35,BY40+BX41-CG40,IF(A41&lt;'Données projet'!$A$114,$BV$205^A41,IF(A41='Données projet'!$A$114,'Données projet'!$B$114,BY40+BX41-CG40)))</f>
        <v>386</v>
      </c>
      <c r="BZ41" s="130">
        <f>BY41*VLOOKUP('Données projet'!$B$12,'Paramètres'!$A$1:$I$89,3,0)*VLOOKUP('Données projet'!$B$12,'Paramètres'!$A$1:$I$89,5,0)</f>
        <v>190.684</v>
      </c>
      <c r="CA41" s="130">
        <f t="shared" si="40"/>
        <v>47.6911439</v>
      </c>
      <c r="CB41" s="141">
        <f t="shared" si="11"/>
        <v>415.1700423</v>
      </c>
      <c r="CC41" s="133">
        <f t="shared" si="12"/>
        <v>708.5033756</v>
      </c>
      <c r="CD41" s="133">
        <f>AVERAGE(OFFSET($CC$3,0,0,'Données projet'!$E$12+1,1))-AVERAGE(OFFSET($H$3,0,0,'Données projet'!$E$12+1,1))</f>
        <v>258.1672054</v>
      </c>
      <c r="CE41" s="133">
        <f t="shared" si="41"/>
        <v>296.0724261</v>
      </c>
      <c r="CF41" s="134">
        <f>IF(ISNA(VLOOKUP(A41,'Données projet'!$A$113:$I$133,3,0)),0,VLOOKUP(A41,'Données projet'!$A$113:$I$133,3,0))</f>
        <v>0</v>
      </c>
      <c r="CG41" s="134">
        <f>IF(ISNA(VLOOKUP(A41,'Données projet'!$A$113:$I$133,4,0)),0,VLOOKUP(A41,'Données projet'!$A$113:$I$133,4,0))</f>
        <v>0</v>
      </c>
      <c r="CH41" s="135">
        <f>IF(ISNA(VLOOKUP(A41,'Données projet'!$A$113:$I$133,5,0)),0%,VLOOKUP(A41,'Données projet'!$A$113:$I$133,5,0)*VLOOKUP('Données projet'!$B$12,'Paramètres'!$A$1:$I$89,7,0))</f>
        <v>0</v>
      </c>
      <c r="CI41" s="135">
        <f>IF(ISNA(VLOOKUP(A41,'Données projet'!$A$113:$I$133,6,0)),0%,VLOOKUP(A41,'Données projet'!$A$113:$I$133,6,0)*VLOOKUP('Données projet'!$B$12,'Paramètres'!$A$1:$I$89,7,0))</f>
        <v>0</v>
      </c>
      <c r="CJ41" s="135">
        <f>IF(ISNA(VLOOKUP(A41,'Données projet'!$A$113:$I$133,7,0)),0%,VLOOKUP(A41,'Données projet'!$A$113:$I$133,7,0))</f>
        <v>0</v>
      </c>
      <c r="CK41" s="142">
        <f>EXP(-LN(2)/35)*CK40+(1-EXP(-LN(2)/35))/(LN(2)/35)*CG41*CH41*VLOOKUP('Données projet'!$B$12,'Paramètres'!$A$1:$I$89,3,0)*0.475*44/12</f>
        <v>15.9454103</v>
      </c>
      <c r="CL41" s="142">
        <f>EXP(-LN(2)/25)*CL40+(1-EXP(-LN(2)/25))/(LN(2)/25)*Calculateur!CG41*Calculateur!CI41*VLOOKUP('Données projet'!$B$12,'Paramètres'!$A$1:$I$89,3,0)*0.475*44/12</f>
        <v>22.54230925</v>
      </c>
      <c r="CM41" s="142">
        <f>EXP(-LN(2)/2)*CM40+(1-EXP(-LN(2)/2))/(LN(2)/2)*CG41*CJ41*VLOOKUP('Données projet'!$B$12,'Paramètres'!$A$1:$I$89,3,0)*0.475*44/12</f>
        <v>4.147673576</v>
      </c>
      <c r="CN41" s="143">
        <f t="shared" si="13"/>
        <v>42.63539312</v>
      </c>
      <c r="CO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1" t="str">
        <f>VLOOKUP(A41,'Données projet'!$A$139:$I$159,2,0)</f>
        <v>#N/A</v>
      </c>
      <c r="CR41" s="131" t="str">
        <f>VLOOKUP(A41,'Données projet'!$A$139:$I$159,9,0)</f>
        <v>#N/A</v>
      </c>
      <c r="CS41" s="130">
        <f t="array" ref="CS41">INDEX(CR:CR,MIN(IF(ISNUMBER(CR41:CR237),ROW(CR41:CR237),"")))</f>
        <v>5.4</v>
      </c>
      <c r="CT41" s="138">
        <f>IF('Données projet'!$A$140&gt;35,CT40+CS41-DB40,IF(A41&lt;'Données projet'!$A$140,$CQ$205^A41,IF(A41='Données projet'!$A$140,'Données projet'!$B$140,CT40+CS41-DB40)))</f>
        <v>82.2</v>
      </c>
      <c r="CU41" s="138">
        <f>CT41*VLOOKUP('Données projet'!$B$13,'Paramètres'!$A$1:$I$89,3,0)*VLOOKUP('Données projet'!$B$13,'Paramètres'!$A$1:$I$89,5,0)</f>
        <v>83.3508</v>
      </c>
      <c r="CV41" s="130">
        <f t="shared" si="42"/>
        <v>22.95450542</v>
      </c>
      <c r="CW41" s="141">
        <f t="shared" si="14"/>
        <v>185.1484069</v>
      </c>
      <c r="CX41" s="133">
        <f t="shared" si="15"/>
        <v>478.4817403</v>
      </c>
      <c r="CY41" s="133">
        <f>AVERAGE(OFFSET($CX$3,0,0,'Données projet'!$E$13+1,1))-AVERAGE(OFFSET($H$3,0,0,'Données projet'!$E$13+1,1))</f>
        <v>223.783507</v>
      </c>
      <c r="CZ41" s="133">
        <f t="shared" si="43"/>
        <v>84.92349117</v>
      </c>
      <c r="DA41" s="134">
        <f>IF(ISNA(VLOOKUP(A41,'Données projet'!$A$139:$I$159,3,0)),0,VLOOKUP(A41,'Données projet'!$A$139:$I$159,3,0))</f>
        <v>0</v>
      </c>
      <c r="DB41" s="134">
        <f>IF(ISNA(VLOOKUP(A41,'Données projet'!$A$139:$I$159,4,0)),0,VLOOKUP(A41,'Données projet'!$A$139:$I$159,4,0))</f>
        <v>0</v>
      </c>
      <c r="DC41" s="135">
        <f>IF(ISNA(VLOOKUP(A41,'Données projet'!$A$139:$I$159,5,0)),0%,VLOOKUP(A41,'Données projet'!$A$139:$I$159,5,0)*VLOOKUP('Données projet'!$B$13,'Paramètres'!$A$1:$I$89,7,0))</f>
        <v>0</v>
      </c>
      <c r="DD41" s="135">
        <f>IF(ISNA(VLOOKUP(A41,'Données projet'!$A$139:$I$159,6,0)),0%,VLOOKUP(A41,'Données projet'!$A$139:$I$159,6,0)*VLOOKUP('Données projet'!$B$13,'Paramètres'!$A$1:$I$89,7,0))</f>
        <v>0</v>
      </c>
      <c r="DE41" s="135">
        <f>IF(ISNA(VLOOKUP(A41,'Données projet'!$A$139:$I$159,7,0)),0%,VLOOKUP(A41,'Données projet'!$A$139:$I$159,7,0))</f>
        <v>0</v>
      </c>
      <c r="DF41" s="142">
        <f>EXP(-LN(2)/35)*DF40+(1-EXP(-LN(2)/35))/(LN(2)/35)*DB41*DC41*VLOOKUP('Données projet'!$B$13,'Paramètres'!$A$1:$I$89,3,0)*0.475*44/12</f>
        <v>0</v>
      </c>
      <c r="DG41" s="142">
        <f>EXP(-LN(2)/25)*DG40+(1-EXP(-LN(2)/25))/(LN(2)/25)*Calculateur!DB41*Calculateur!DD41*VLOOKUP('Données projet'!$B$13,'Paramètres'!$A$1:$I$89,3,0)*0.475*44/12</f>
        <v>0</v>
      </c>
      <c r="DH41" s="142">
        <f>EXP(-LN(2)/2)*DH40+(1-EXP(-LN(2)/2))/(LN(2)/2)*DB41*DE41*VLOOKUP('Données projet'!$B$13,'Paramètres'!$A$1:$I$89,3,0)*0.475*44/12</f>
        <v>0</v>
      </c>
      <c r="DI41" s="143">
        <f t="shared" si="16"/>
        <v>0</v>
      </c>
      <c r="DJ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1" t="str">
        <f>VLOOKUP(A41,'Données projet'!$A$165:$I$185,2,0)</f>
        <v>#N/A</v>
      </c>
      <c r="DM41" s="131" t="str">
        <f>VLOOKUP(A41,'Données projet'!$A$165:$I$185,9,0)</f>
        <v>#N/A</v>
      </c>
      <c r="DN41" s="131">
        <f t="array" ref="DN41">INDEX(DM:DM,MIN(IF(ISNUMBER(DM41:DM237),ROW(DM41:DM237),"")))</f>
        <v>8.4</v>
      </c>
      <c r="DO41" s="138">
        <f>IF('Données projet'!$A$166&gt;35,DO40+DN41-DW40,IF(A41&lt;'Données projet'!$A$166,$DL$205^A41,IF(A41='Données projet'!$A$166,'Données projet'!$B$166,DO40+DN41-DW40)))</f>
        <v>120.2</v>
      </c>
      <c r="DP41" s="138">
        <f>DO41*VLOOKUP('Données projet'!$B$14,'Paramètres'!$A$1:$I$89,3,0)*VLOOKUP('Données projet'!$B$14,'Paramètres'!$A$1:$I$89,5,0)</f>
        <v>108.75696</v>
      </c>
      <c r="DQ41" s="130">
        <f t="shared" si="44"/>
        <v>29.03792122</v>
      </c>
      <c r="DR41" s="141">
        <f t="shared" si="17"/>
        <v>239.9927515</v>
      </c>
      <c r="DS41" s="133">
        <f t="shared" si="18"/>
        <v>533.3260848</v>
      </c>
      <c r="DT41" s="133">
        <f>AVERAGE(OFFSET($DS$3,0,0,'Données projet'!$E$14+1,1))-AVERAGE(OFFSET($H$3,0,0,'Données projet'!$E$14+1,1))</f>
        <v>287.9334714</v>
      </c>
      <c r="DU41" s="133">
        <f t="shared" si="45"/>
        <v>156.6796502</v>
      </c>
      <c r="DV41" s="134">
        <f>IF(ISNA(VLOOKUP(A41,'Données projet'!$A$165:$I$185,3,0)),0,VLOOKUP(A41,'Données projet'!$A$165:$I$185,3,0))</f>
        <v>0</v>
      </c>
      <c r="DW41" s="134">
        <f>IF(ISNA(VLOOKUP(A41,'Données projet'!$A$165:$I$185,4,0)),0,VLOOKUP(A41,'Données projet'!$A$165:$I$185,4,0))</f>
        <v>0</v>
      </c>
      <c r="DX41" s="135">
        <f>IF(ISNA(VLOOKUP(A41,'Données projet'!$A$165:$I$185,5,0)),0%,VLOOKUP(A41,'Données projet'!$A$165:$I$185,5,0)*VLOOKUP('Données projet'!$B$14,'Paramètres'!$A$1:$I$89,7,0))</f>
        <v>0</v>
      </c>
      <c r="DY41" s="135">
        <f>IF(ISNA(VLOOKUP(A41,'Données projet'!$A$165:$I$185,6,0)),0%,VLOOKUP(A41,'Données projet'!$A$165:$I$185,6,0)*VLOOKUP('Données projet'!$B$14,'Paramètres'!$A$1:$I$89,7,0))</f>
        <v>0</v>
      </c>
      <c r="DZ41" s="135">
        <f>IF(ISNA(VLOOKUP(A41,'Données projet'!$A$165:$I$185,7,0)),0%,VLOOKUP(A41,'Données projet'!$A$165:$I$185,7,0))</f>
        <v>0</v>
      </c>
      <c r="EA41" s="142">
        <f>EXP(-LN(2)/35)*EA40+(1-EXP(-LN(2)/35))/(LN(2)/35)*DW41*DX41*VLOOKUP('Données projet'!$B$14,'Paramètres'!$A$1:$I$89,3,0)*0.475*44/12</f>
        <v>0</v>
      </c>
      <c r="EB41" s="142">
        <f>EXP(-LN(2)/25)*EB40+(1-EXP(-LN(2)/25))/(LN(2)/25)*Calculateur!DW41*Calculateur!DY41*VLOOKUP('Données projet'!$B$14,'Paramètres'!$A$1:$I$89,3,0)*0.475*44/12</f>
        <v>0</v>
      </c>
      <c r="EC41" s="142">
        <f>EXP(-LN(2)/2)*EC40+(1-EXP(-LN(2)/2))/(LN(2)/2)*DW41*DZ41*VLOOKUP('Données projet'!$B$14,'Paramètres'!$A$1:$I$89,3,0)*0.475*44/12</f>
        <v>0</v>
      </c>
      <c r="ED41" s="143">
        <f t="shared" si="19"/>
        <v>0</v>
      </c>
      <c r="EE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1" t="str">
        <f>VLOOKUP(A41,'Données projet'!$A$191:$I$211,2,0)</f>
        <v>#N/A</v>
      </c>
      <c r="EH41" s="131" t="str">
        <f>VLOOKUP(A41,'Données projet'!$A$191:$I$211,9,0)</f>
        <v>#N/A</v>
      </c>
      <c r="EI41" s="131">
        <f t="array" ref="EI41">INDEX(EH:EH,MIN(IF(ISNUMBER(EH41:EH237),ROW(EH41:EH237),"")))</f>
        <v>7.8</v>
      </c>
      <c r="EJ41" s="138">
        <f>IF('Données projet'!$A$192&gt;35,EJ40+EI41-ER40,IF(A41&lt;'Données projet'!$A$192,$EG$205^A41,IF(A41='Données projet'!$A$192,'Données projet'!$B$192,EJ40+EI41-ER40)))</f>
        <v>99.4</v>
      </c>
      <c r="EK41" s="138">
        <f>EJ41*VLOOKUP('Données projet'!$B$15,'Paramètres'!$A$1:$I$89,3,0)*VLOOKUP('Données projet'!$B$15,'Paramètres'!$A$1:$I$89,5,0)</f>
        <v>72.88008</v>
      </c>
      <c r="EL41" s="130">
        <f t="shared" si="46"/>
        <v>20.38699594</v>
      </c>
      <c r="EM41" s="141">
        <f t="shared" si="20"/>
        <v>162.4401573</v>
      </c>
      <c r="EN41" s="133">
        <f t="shared" si="21"/>
        <v>455.7734906</v>
      </c>
      <c r="EO41" s="133">
        <f>AVERAGE(OFFSET($EN$3,0,0,'Données projet'!$E$15+1,1))-AVERAGE(OFFSET($H$3,0,0,'Données projet'!$E$15+1,1))</f>
        <v>130.3193339</v>
      </c>
      <c r="EP41" s="133">
        <f t="shared" si="47"/>
        <v>82.22784365</v>
      </c>
      <c r="EQ41" s="134">
        <f>IF(ISNA(VLOOKUP(A41,'Données projet'!$A$191:$I$211,3,0)),0,VLOOKUP(A41,'Données projet'!$A$191:$I$211,3,0))</f>
        <v>0</v>
      </c>
      <c r="ER41" s="134">
        <f>IF(ISNA(VLOOKUP(A41,'Données projet'!$A$191:$I$211,4,0)),0,VLOOKUP(A41,'Données projet'!$A$191:$I$211,4,0))</f>
        <v>0</v>
      </c>
      <c r="ES41" s="135">
        <f>IF(ISNA(VLOOKUP(A41,'Données projet'!$A$191:$I$211,5,0)),0%,VLOOKUP(A41,'Données projet'!$A$191:$I$211,5,0)*VLOOKUP('Données projet'!$B$15,'Paramètres'!$A$1:$I$89,7,0))</f>
        <v>0</v>
      </c>
      <c r="ET41" s="135">
        <f>IF(ISNA(VLOOKUP(A41,'Données projet'!$A$191:$I$211,6,0)),0%,VLOOKUP(A41,'Données projet'!$A$191:$I$211,6,0)*VLOOKUP('Données projet'!$B$15,'Paramètres'!$A$1:$I$89,7,0))</f>
        <v>0</v>
      </c>
      <c r="EU41" s="135">
        <f>IF(ISNA(VLOOKUP(A41,'Données projet'!$A$191:$I$211,7,0)),0%,VLOOKUP(A41,'Données projet'!$A$191:$I$211,7,0))</f>
        <v>0</v>
      </c>
      <c r="EV41" s="142">
        <f>EXP(-LN(2)/35)*EV40+(1-EXP(-LN(2)/35))/(LN(2)/35)*ER41*ES41*VLOOKUP('Données projet'!$B$15,'Paramètres'!$A$1:$I$89,3,0)*0.475*44/12</f>
        <v>2.093290856</v>
      </c>
      <c r="EW41" s="142">
        <f>EXP(-LN(2)/25)*EW40+(1-EXP(-LN(2)/25))/(LN(2)/25)*Calculateur!ER41*Calculateur!ET41*VLOOKUP('Données projet'!$B$15,'Paramètres'!$A$1:$I$89,3,0)*0.475*44/12</f>
        <v>0</v>
      </c>
      <c r="EX41" s="142">
        <f>EXP(-LN(2)/2)*EX40+(1-EXP(-LN(2)/2))/(LN(2)/2)*ER41*EU41*VLOOKUP('Données projet'!$B$15,'Paramètres'!$A$1:$I$89,3,0)*0.475*44/12</f>
        <v>0</v>
      </c>
      <c r="EY41" s="143">
        <f t="shared" si="22"/>
        <v>2.093290856</v>
      </c>
      <c r="EZ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1" t="str">
        <f>VLOOKUP(A41,'Données projet'!$A$217:$I$237,2,0)</f>
        <v>#N/A</v>
      </c>
      <c r="FC41" s="131" t="str">
        <f>VLOOKUP(A41,'Données projet'!$A$217:$I$237,9,0)</f>
        <v>#N/A</v>
      </c>
      <c r="FD41" s="130">
        <f t="array" ref="FD41">INDEX(FC:FC,MIN(IF(ISNUMBER(FC41:FC237),ROW(FC41:FC237),"")))</f>
        <v>7</v>
      </c>
      <c r="FE41" s="130">
        <f>IF('Données projet'!$A$218&gt;35,FE40+FD41-FM40,IF(A41&lt;'Données projet'!$A$218,$FB$205^A41,IF(A41='Données projet'!$A$218,'Données projet'!$B$218,FE40+FD41-FM40)))</f>
        <v>213</v>
      </c>
      <c r="FF41" s="138">
        <f>FE41*VLOOKUP('Données projet'!$B$16,'Paramètres'!$A$1:$I$89,3,0)*VLOOKUP('Données projet'!$B$16,'Paramètres'!$A$1:$I$89,5,0)</f>
        <v>192.7224</v>
      </c>
      <c r="FG41" s="130">
        <f t="shared" si="48"/>
        <v>48.14133757</v>
      </c>
      <c r="FH41" s="141">
        <f t="shared" si="23"/>
        <v>419.5043429</v>
      </c>
      <c r="FI41" s="133">
        <f t="shared" si="24"/>
        <v>712.8376763</v>
      </c>
      <c r="FJ41" s="133">
        <f>AVERAGE(OFFSET($FI$3,0,0,'Données projet'!$E$16+1,1))-AVERAGE(OFFSET($H$3,0,0,'Données projet'!$E$16+1,1))</f>
        <v>305.6252353</v>
      </c>
      <c r="FK41" s="133">
        <f t="shared" si="49"/>
        <v>331.397916</v>
      </c>
      <c r="FL41" s="134">
        <f>IF(ISNA(VLOOKUP(A41,'Données projet'!$A$217:$I$237,3,0)),0,VLOOKUP(A41,'Données projet'!$A$217:$I$237,3,0))</f>
        <v>0</v>
      </c>
      <c r="FM41" s="134">
        <f>IF(ISNA(VLOOKUP(A41,'Données projet'!$A$217:$I$237,4,0)),0,VLOOKUP(A41,'Données projet'!$A$217:$I$237,4,0))</f>
        <v>0</v>
      </c>
      <c r="FN41" s="135">
        <f>IF(ISNA(VLOOKUP(A41,'Données projet'!$A$217:$I$237,5,0)),0%,VLOOKUP(A41,'Données projet'!$A$217:$I$237,5,0)*VLOOKUP('Données projet'!$B$16,'Paramètres'!$A$1:$I$89,7,0))</f>
        <v>0</v>
      </c>
      <c r="FO41" s="135">
        <f>IF(ISNA(VLOOKUP(A41,'Données projet'!$A$217:$I$237,6,0)),0%,VLOOKUP(A41,'Données projet'!$A$217:$I$237,6,0)*VLOOKUP('Données projet'!$B$16,'Paramètres'!$A$1:$I$89,7,0))</f>
        <v>0</v>
      </c>
      <c r="FP41" s="135">
        <f>IF(ISNA(VLOOKUP(A41,'Données projet'!$A$217:$I$237,7,0)),0%,VLOOKUP(A41,'Données projet'!$A$217:$I$237,7,0))</f>
        <v>0</v>
      </c>
      <c r="FQ41" s="142">
        <f>EXP(-LN(2)/35)*FQ40+(1-EXP(-LN(2)/35))/(LN(2)/35)*FM41*FN41*VLOOKUP('Données projet'!$B$16,'Paramètres'!$A$1:$I$89,3,0)*0.475*44/12</f>
        <v>0.9048328604</v>
      </c>
      <c r="FR41" s="142">
        <f>EXP(-LN(2)/25)*FR40+(1-EXP(-LN(2)/25))/(LN(2)/25)*Calculateur!FM41*Calculateur!FO41*VLOOKUP('Données projet'!$B$16,'Paramètres'!$A$1:$I$89,3,0)*0.475*44/12</f>
        <v>0</v>
      </c>
      <c r="FS41" s="142">
        <f>EXP(-LN(2)/2)*FS40+(1-EXP(-LN(2)/2))/(LN(2)/2)*FM41*FP41*VLOOKUP('Données projet'!$B$16,'Paramètres'!$A$1:$I$89,3,0)*0.475*44/12</f>
        <v>0</v>
      </c>
      <c r="FT41" s="143">
        <f t="shared" si="25"/>
        <v>0.9048328604</v>
      </c>
      <c r="FU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1" t="str">
        <f>VLOOKUP(A41,'Données projet'!$A$243:$I$263,2,0)</f>
        <v>#N/A</v>
      </c>
      <c r="FX41" s="131" t="str">
        <f>VLOOKUP(A41,'Données projet'!$A$243:$I$263,9,0)</f>
        <v>#N/A</v>
      </c>
      <c r="FY41" s="130">
        <f t="array" ref="FY41">INDEX(FX:FX,MIN(IF(ISNUMBER(FX41:FX237),ROW(FX41:FX237),"")))</f>
        <v>10.4</v>
      </c>
      <c r="FZ41" s="138">
        <f>IF('Données projet'!$A$244&gt;35,FZ40+FY41-GH40,IF(A41&lt;'Données projet'!$A$244,$FW$205^A41,IF(A41='Données projet'!$A$244,'Données projet'!$B$244,FZ40+FY41-GH40)))</f>
        <v>142.2</v>
      </c>
      <c r="GA41" s="138">
        <f>FZ41*VLOOKUP('Données projet'!$B$17,'Paramètres'!$A$1:$I$89,3,0)*VLOOKUP('Données projet'!$B$17,'Paramètres'!$A$1:$I$89,5,0)</f>
        <v>95.38776</v>
      </c>
      <c r="GB41" s="130">
        <f t="shared" si="50"/>
        <v>25.86019353</v>
      </c>
      <c r="GC41" s="141">
        <f t="shared" si="26"/>
        <v>211.1735191</v>
      </c>
      <c r="GD41" s="133">
        <f t="shared" si="27"/>
        <v>504.5068524</v>
      </c>
      <c r="GE41" s="133">
        <f>AVERAGE(OFFSET($GD$3,0,0,'Données projet'!$E$17+1,1))-AVERAGE(OFFSET($H$3,0,0,'Données projet'!$E$17+1,1))</f>
        <v>118.7368745</v>
      </c>
      <c r="GF41" s="133">
        <f t="shared" si="51"/>
        <v>135.1233677</v>
      </c>
      <c r="GG41" s="134">
        <f>IF(ISNA(VLOOKUP(A41,'Données projet'!$A$243:$I$263,3,0)),0,VLOOKUP(A41,'Données projet'!$A$243:$I$263,3,0))</f>
        <v>0</v>
      </c>
      <c r="GH41" s="134">
        <f>IF(ISNA(VLOOKUP(A41,'Données projet'!$A$243:$I$263,4,0)),0,VLOOKUP(A41,'Données projet'!$A$243:$I$263,4,0))</f>
        <v>0</v>
      </c>
      <c r="GI41" s="135">
        <f>IF(ISNA(VLOOKUP(A41,'Données projet'!$A$243:$I$263,5,0)),0%,VLOOKUP(A41,'Données projet'!$A$243:$I$263,5,0)*VLOOKUP('Données projet'!$B$17,'Paramètres'!$A$1:$I$89,7,0))</f>
        <v>0</v>
      </c>
      <c r="GJ41" s="135">
        <f>IF(ISNA(VLOOKUP(A41,'Données projet'!$A$243:$I$263,6,0)),0%,VLOOKUP(A41,'Données projet'!$A$243:$I$263,6,0)*VLOOKUP('Données projet'!$B$17,'Paramètres'!$A$1:$I$89,7,0))</f>
        <v>0</v>
      </c>
      <c r="GK41" s="135">
        <f>IF(ISNA(VLOOKUP(A41,'Données projet'!$A$243:$I$263,7,0)),0%,VLOOKUP(A41,'Données projet'!$A$243:$I$263,7,0))</f>
        <v>0</v>
      </c>
      <c r="GL41" s="142">
        <f>EXP(-LN(2)/35)*GL40+(1-EXP(-LN(2)/35))/(LN(2)/35)*GH41*GI41*VLOOKUP('Données projet'!$B$17,'Paramètres'!$A$1:$I$89,3,0)*0.475*44/12</f>
        <v>2.073965319</v>
      </c>
      <c r="GM41" s="142">
        <f>EXP(-LN(2)/25)*GM40+(1-EXP(-LN(2)/25))/(LN(2)/25)*Calculateur!GH41*Calculateur!GJ41*VLOOKUP('Données projet'!$B$17,'Paramètres'!$A$1:$I$89,3,0)*0.475*44/12</f>
        <v>0</v>
      </c>
      <c r="GN41" s="142">
        <f>EXP(-LN(2)/2)*GN40+(1-EXP(-LN(2)/2))/(LN(2)/2)*GH41*GK41*VLOOKUP('Données projet'!$B$17,'Paramètres'!$A$1:$I$89,3,0)*0.475*44/12</f>
        <v>0</v>
      </c>
      <c r="GO41" s="142">
        <f t="shared" si="28"/>
        <v>2.073965319</v>
      </c>
      <c r="GP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1" t="str">
        <f>VLOOKUP(A41,'Données projet'!$A$269:$I$289,2,0)</f>
        <v>#N/A</v>
      </c>
      <c r="GS41" s="131" t="str">
        <f>VLOOKUP(A41,'Données projet'!$A$269:$I$289,9,0)</f>
        <v>#N/A</v>
      </c>
      <c r="GT41" s="130">
        <f t="array" ref="GT41">INDEX(GS:GS,MIN(IF(ISNUMBER(GS41:GS237),ROW(GS41:GS237),"")))</f>
        <v>5.4</v>
      </c>
      <c r="GU41" s="138">
        <f>IF('Données projet'!$A$270&gt;35,GU40+GT41-HC40,IF(A41&lt;'Données projet'!$A$270,$GR$205^A41,IF(A41='Données projet'!$A$270,'Données projet'!$B$270,GU40+GT41-HC40)))</f>
        <v>82.2</v>
      </c>
      <c r="GV41" s="138">
        <f>GU41*VLOOKUP('Données projet'!$B$18,'Paramètres'!$A$1:$I$89,3,0)*VLOOKUP('Données projet'!$B$18,'Paramètres'!$A$1:$I$89,5,0)</f>
        <v>88.48008</v>
      </c>
      <c r="GW41" s="130">
        <f t="shared" si="52"/>
        <v>24.19829431</v>
      </c>
      <c r="GX41" s="141">
        <f t="shared" si="29"/>
        <v>196.2481686</v>
      </c>
      <c r="GY41" s="133">
        <f t="shared" si="30"/>
        <v>489.5815019</v>
      </c>
      <c r="GZ41" s="133">
        <f>AVERAGE(OFFSET($GY$3,0,0,'Données projet'!$E$18+1,1))-AVERAGE(OFFSET($H$3,0,0,'Données projet'!$E$18+1,1))</f>
        <v>100.5427875</v>
      </c>
      <c r="HA41" s="133">
        <f t="shared" si="53"/>
        <v>92.28663609</v>
      </c>
      <c r="HB41" s="134">
        <f>IF(ISNA(VLOOKUP(A41,'Données projet'!$A$269:$I$289,3,0)),0,VLOOKUP(A41,'Données projet'!$A$269:$I$289,3,0))</f>
        <v>0</v>
      </c>
      <c r="HC41" s="134">
        <f>IF(ISNA(VLOOKUP(A41,'Données projet'!$A$269:$I$289,4,0)),0,VLOOKUP(A41,'Données projet'!$A$269:$I$289,4,0))</f>
        <v>0</v>
      </c>
      <c r="HD41" s="135">
        <f>IF(ISNA(VLOOKUP(A41,'Données projet'!$A$269:$I$289,5,0)),0%,VLOOKUP(A41,'Données projet'!$A$269:$I$289,5,0)*VLOOKUP('Données projet'!$B$18,'Paramètres'!$A$1:$I$89,7,0))</f>
        <v>0</v>
      </c>
      <c r="HE41" s="135">
        <f>IF(ISNA(VLOOKUP(A41,'Données projet'!$A$269:$I$289,6,0)),0%,VLOOKUP(A41,'Données projet'!$A$269:$I$289,6,0)*VLOOKUP('Données projet'!$B$18,'Paramètres'!$A$1:$I$89,7,0))</f>
        <v>0</v>
      </c>
      <c r="HF41" s="135">
        <f>IF(ISNA(VLOOKUP(A41,'Données projet'!$A$269:$I$289,7,0)),0%,VLOOKUP(A41,'Données projet'!$A$269:$I$289,7,0))</f>
        <v>0</v>
      </c>
      <c r="HG41" s="142">
        <f>EXP(-LN(2)/35)*HG40+(1-EXP(-LN(2)/35))/(LN(2)/35)*HC41*HD41*VLOOKUP('Données projet'!$B$18,'Paramètres'!$A$1:$I$89,3,0)*0.475*44/12</f>
        <v>1.253603027</v>
      </c>
      <c r="HH41" s="142">
        <f>EXP(-LN(2)/25)*HH40+(1-EXP(-LN(2)/25))/(LN(2)/25)*Calculateur!HC41*Calculateur!HE41*VLOOKUP('Données projet'!$B$18,'Paramètres'!$A$1:$I$89,3,0)*0.475*44/12</f>
        <v>0</v>
      </c>
      <c r="HI41" s="142">
        <f>EXP(-LN(2)/2)*HI40+(1-EXP(-LN(2)/2))/(LN(2)/2)*HC41*HF41*VLOOKUP('Données projet'!$B$18,'Paramètres'!$A$1:$I$89,3,0)*0.475*44/12</f>
        <v>0</v>
      </c>
      <c r="HJ41" s="143">
        <f t="shared" si="31"/>
        <v>1.253603027</v>
      </c>
    </row>
    <row r="42" ht="15.75" customHeight="1">
      <c r="A42" s="125">
        <f t="shared" si="32"/>
        <v>39</v>
      </c>
      <c r="B42" s="126">
        <f>'Scénario référence'!$B$16*5+'Scénario référence'!$B$17*0+'Scénario référence'!$B$18*5</f>
        <v>0</v>
      </c>
      <c r="C42" s="140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21.294</v>
      </c>
      <c r="D42" s="127">
        <f t="shared" si="33"/>
        <v>6.873851898</v>
      </c>
      <c r="E4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7">
        <f>IF(OR('Scénario référence'!$F$8&gt;0,'Scénario référence'!$F$9&gt;0),('Scénario référence'!$F$8+'Scénario référence'!$F$9)*10,0)</f>
        <v>10</v>
      </c>
      <c r="G42" s="127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</v>
      </c>
      <c r="H42" s="128">
        <f t="shared" si="1"/>
        <v>342.3923421</v>
      </c>
      <c r="I42" s="12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1" t="str">
        <f>VLOOKUP(A42,'Données projet'!$A$35:$I$55,2,0)</f>
        <v>#N/A</v>
      </c>
      <c r="L42" s="131" t="str">
        <f>VLOOKUP(A42,'Données projet'!$A$35:$I$55,9,0)</f>
        <v>#N/A</v>
      </c>
      <c r="M42" s="131">
        <f t="array" ref="M42">INDEX(L:L,MIN(IF(ISNUMBER(L42:L238),ROW(L42:L238),"")))</f>
        <v>12.8</v>
      </c>
      <c r="N42" s="130">
        <f>IF('Données projet'!$A$36&gt;35,N41+M42-V41,IF(A42&lt;'Données projet'!$A$36,$K$205^A42,IF(A42='Données projet'!$A$36,'Données projet'!$B$36,N41+M42-V41)))</f>
        <v>194.2</v>
      </c>
      <c r="O42" s="130">
        <f>N42*VLOOKUP('Données projet'!$B$9,'Paramètres'!$A$1:$I$89,3,0)*VLOOKUP('Données projet'!$B$9,'Paramètres'!$A$1:$I$89,5,0)</f>
        <v>111.0824</v>
      </c>
      <c r="P42" s="130">
        <f t="shared" si="34"/>
        <v>29.58586094</v>
      </c>
      <c r="Q42" s="141">
        <f t="shared" si="2"/>
        <v>244.9972211</v>
      </c>
      <c r="R42" s="133">
        <f t="shared" si="3"/>
        <v>538.3305545</v>
      </c>
      <c r="S42" s="133">
        <f>AVERAGE(OFFSET($R$3,0,0,'Données projet'!$E$9+1,1))-AVERAGE(OFFSET($H$3,0,0,'Données projet'!$E$9+1,1))</f>
        <v>126.9946492</v>
      </c>
      <c r="T42" s="133">
        <f t="shared" si="35"/>
        <v>140.039049</v>
      </c>
      <c r="U42" s="134">
        <f>IF(ISNA(VLOOKUP(A42,'Données projet'!$A$35:$I$55,3,0)),0,VLOOKUP(A42,'Données projet'!$A$35:$I$55,3,0))</f>
        <v>0</v>
      </c>
      <c r="V42" s="134">
        <f>IF(ISNA(VLOOKUP(A42,'Données projet'!$A$35:$I$55,4,0)),0,VLOOKUP(A42,'Données projet'!$A$35:$I$55,4,0))</f>
        <v>0</v>
      </c>
      <c r="W42" s="135">
        <f>IF(ISNA(VLOOKUP(A42,'Données projet'!$A$35:$I$55,5,0)),0%,VLOOKUP(A42,'Données projet'!$A$35:$I$55,5,0)*VLOOKUP('Données projet'!$B$9,'Paramètres'!$A$1:$I$89,7,0))</f>
        <v>0</v>
      </c>
      <c r="X42" s="135">
        <f>IF(ISNA(VLOOKUP(A42,'Données projet'!$A$35:$I$55,6,0)),0%,VLOOKUP(A42,'Données projet'!$A$35:$I$55,6,0)*VLOOKUP('Données projet'!$B$9,'Paramètres'!$A$1:$I$89,7,0))</f>
        <v>0</v>
      </c>
      <c r="Y42" s="135">
        <f>IF(ISNA(VLOOKUP(A42,'Données projet'!$A$35:$I$55,7,0)),0%,VLOOKUP(A42,'Données projet'!$A$35:$I$55,7,0))</f>
        <v>0</v>
      </c>
      <c r="Z42" s="142">
        <f>EXP(-LN(2)/35)*Z41+(1-EXP(-LN(2)/35))/(LN(2)/35)*V42*W42*VLOOKUP('Données projet'!$B$9,'Paramètres'!$A$1:$I$89,3,0)*0.475*44/12</f>
        <v>3.080809288</v>
      </c>
      <c r="AA42" s="142">
        <f>EXP(-LN(2)/25)*AA41+(1-EXP(-LN(2)/25))/(LN(2)/25)*Calculateur!V42*Calculateur!X42*VLOOKUP('Données projet'!$B$9,'Paramètres'!$A$1:$I$89,3,0)*0.475*44/12</f>
        <v>8.09942166</v>
      </c>
      <c r="AB42" s="142">
        <f>EXP(-LN(2)/2)*AB41+(1-EXP(-LN(2)/2))/(LN(2)/2)*V42*Y42*VLOOKUP('Données projet'!$B$9,'Paramètres'!$A$1:$I$89,3,0)*0.475*44/12</f>
        <v>1.854214182</v>
      </c>
      <c r="AC42" s="143">
        <f t="shared" si="4"/>
        <v>13.03444513</v>
      </c>
      <c r="AD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1" t="str">
        <f>VLOOKUP(A42,'Données projet'!$A$61:$I$81,2,0)</f>
        <v>#N/A</v>
      </c>
      <c r="AG42" s="131" t="str">
        <f>VLOOKUP(A42,'Données projet'!$A$61:$I$81,9,0)</f>
        <v>#N/A</v>
      </c>
      <c r="AH42" s="131">
        <f t="array" ref="AH42">INDEX(AG:AG,MIN(IF(ISNUMBER(AG42:AG238),ROW(AG42:AG238),"")))</f>
        <v>14.4</v>
      </c>
      <c r="AI42" s="130">
        <f>IF('Données projet'!$A$62&gt;35,AI41+AH42-AQ41,IF(A42&lt;'Données projet'!$A$62,$AF$205^A42,IF(A42='Données projet'!$A$62,'Données projet'!$B$62,AI41+AH42-AQ41)))</f>
        <v>249.6</v>
      </c>
      <c r="AJ42" s="130">
        <f>AI42*VLOOKUP('Données projet'!$B$10,'Paramètres'!$A$1:$I$89,3,0)*VLOOKUP('Données projet'!$B$10,'Paramètres'!$A$1:$I$89,5,0)</f>
        <v>149.2608</v>
      </c>
      <c r="AK42" s="130">
        <f t="shared" si="36"/>
        <v>38.4105515</v>
      </c>
      <c r="AL42" s="141">
        <f t="shared" si="5"/>
        <v>326.8609372</v>
      </c>
      <c r="AM42" s="133">
        <f t="shared" si="6"/>
        <v>620.1942705</v>
      </c>
      <c r="AN42" s="133">
        <f>AVERAGE(OFFSET($AM$3,0,0,'Données projet'!$E$10+1,1))-AVERAGE(OFFSET($H$3,0,0,'Données projet'!$E$10+1,1))</f>
        <v>196.874484</v>
      </c>
      <c r="AO42" s="133">
        <f t="shared" si="37"/>
        <v>217.5750859</v>
      </c>
      <c r="AP42" s="134">
        <f>IF(ISNA(VLOOKUP(A42,'Données projet'!$A$61:$I$81,3,0)),0,VLOOKUP(A42,'Données projet'!$A$61:$I$81,3,0))</f>
        <v>0</v>
      </c>
      <c r="AQ42" s="134">
        <f>IF(ISNA(VLOOKUP(A42,'Données projet'!$A$61:$I$81,4,0)),0,VLOOKUP(A42,'Données projet'!$A$61:$I$81,4,0))</f>
        <v>0</v>
      </c>
      <c r="AR42" s="135">
        <f>IF(ISNA(VLOOKUP(A42,'Données projet'!$A$61:$I$81,5,0)),0%,VLOOKUP(A42,'Données projet'!$A$61:$I$81,5,0)*VLOOKUP('Données projet'!$B$10,'Paramètres'!$A$1:$I$89,7,0))</f>
        <v>0</v>
      </c>
      <c r="AS42" s="135">
        <f>IF(ISNA(VLOOKUP(A42,'Données projet'!$A$61:$I$81,6,0)),0%,VLOOKUP(A42,'Données projet'!$A$61:$I$81,6,0)*VLOOKUP('Données projet'!$B$10,'Paramètres'!$A$1:$I$89,7,0))</f>
        <v>0</v>
      </c>
      <c r="AT42" s="135">
        <f>IF(ISNA(VLOOKUP(A42,'Données projet'!$A$61:$I$81,7,0)),0%,VLOOKUP(A42,'Données projet'!$A$61:$I$81,7,0))</f>
        <v>0</v>
      </c>
      <c r="AU42" s="142">
        <f>EXP(-LN(2)/35)*AU41+(1-EXP(-LN(2)/35))/(LN(2)/35)*AQ42*AR42*VLOOKUP('Données projet'!$B$10,'Paramètres'!$A$1:$I$89,3,0)*0.475*44/12</f>
        <v>4.735440997</v>
      </c>
      <c r="AV42" s="142">
        <f>EXP(-LN(2)/25)*AV41+(1-EXP(-LN(2)/25))/(LN(2)/25)*Calculateur!AQ42*Calculateur!AS42*VLOOKUP('Données projet'!$B$10,'Paramètres'!$A$1:$I$89,3,0)*0.475*44/12</f>
        <v>14.35021706</v>
      </c>
      <c r="AW42" s="142">
        <f>EXP(-LN(2)/2)*AW41+(1-EXP(-LN(2)/2))/(LN(2)/2)*AQ42*AT42*VLOOKUP('Données projet'!$B$10,'Paramètres'!$A$1:$I$89,3,0)*0.475*44/12</f>
        <v>2.853734541</v>
      </c>
      <c r="AX42" s="142">
        <f t="shared" si="7"/>
        <v>21.9393926</v>
      </c>
      <c r="AY42" s="13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1" t="str">
        <f>VLOOKUP(A42,'Données projet'!$A$87:$I$107,2,0)</f>
        <v>#N/A</v>
      </c>
      <c r="BB42" s="131" t="str">
        <f>VLOOKUP(A42,'Données projet'!$A$87:$I$107,9,0)</f>
        <v>#N/A</v>
      </c>
      <c r="BC42" s="130">
        <f t="array" ref="BC42">INDEX(BB:BB,MIN(IF(ISNUMBER(BB42:BB238),ROW(BB42:BB238),"")))</f>
        <v>11</v>
      </c>
      <c r="BD42" s="130">
        <f>IF('Données projet'!$A$88&gt;35,BD41+BC42-BL41,IF(A42&lt;'Données projet'!$A$88,$BA$205^A42,IF(A42='Données projet'!$A$88,'Données projet'!$B$88,BD41+BC42-BL41)))</f>
        <v>199</v>
      </c>
      <c r="BE42" s="130">
        <f>BD42*VLOOKUP('Données projet'!$B$11,'Paramètres'!$A$1:$I$89,3,0)*VLOOKUP('Données projet'!$B$11,'Paramètres'!$A$1:$I$89,5,0)</f>
        <v>93.132</v>
      </c>
      <c r="BF42" s="130">
        <f t="shared" si="38"/>
        <v>25.31907755</v>
      </c>
      <c r="BG42" s="141">
        <f t="shared" si="8"/>
        <v>206.3022934</v>
      </c>
      <c r="BH42" s="133">
        <f t="shared" si="9"/>
        <v>499.6356267</v>
      </c>
      <c r="BI42" s="133">
        <f>AVERAGE(OFFSET($BH$3,0,0,'Données projet'!$E$11+1,1))-AVERAGE(OFFSET($H$3,0,0,'Données projet'!$E$11+1,1))</f>
        <v>134.0948534</v>
      </c>
      <c r="BJ42" s="133">
        <f t="shared" si="39"/>
        <v>108.4102536</v>
      </c>
      <c r="BK42" s="134">
        <f>IF(ISNA(VLOOKUP(A42,'Données projet'!$A$87:$I$107,3,0)),0,VLOOKUP(A42,'Données projet'!$A$87:$I$107,3,0))</f>
        <v>0</v>
      </c>
      <c r="BL42" s="134">
        <f>IF(ISNA(VLOOKUP(A42,'Données projet'!$A$87:$I$107,4,0)),0,VLOOKUP(A42,'Données projet'!$A$87:$I$107,4,0))</f>
        <v>0</v>
      </c>
      <c r="BM42" s="135">
        <f>IF(ISNA(VLOOKUP(A42,'Données projet'!$A$87:$I$107,5,0)),0%,VLOOKUP(A42,'Données projet'!$A$87:$I$107,5,0)*VLOOKUP('Données projet'!$B$11,'Paramètres'!$A$1:$I$89,7,0))</f>
        <v>0</v>
      </c>
      <c r="BN42" s="135">
        <f>IF(ISNA(VLOOKUP(A42,'Données projet'!$A$87:$I$107,6,0)),0%,VLOOKUP(A42,'Données projet'!$A$87:$I$107,6,0)*VLOOKUP('Données projet'!$B$11,'Paramètres'!$A$1:$I$89,7,0))</f>
        <v>0</v>
      </c>
      <c r="BO42" s="135">
        <f>IF(ISNA(VLOOKUP(A42,'Données projet'!$A$87:$I$107,7,0)),0%,VLOOKUP(A42,'Données projet'!$A$87:$I$107,7,0))</f>
        <v>0</v>
      </c>
      <c r="BP42" s="142">
        <f>EXP(-LN(2)/35)*BP41+(1-EXP(-LN(2)/35))/(LN(2)/35)*BL42*BM42*VLOOKUP('Données projet'!$B$11,'Paramètres'!$A$1:$I$89,3,0)*0.475*44/12</f>
        <v>2.285699708</v>
      </c>
      <c r="BQ42" s="142">
        <f>EXP(-LN(2)/25)*BQ41+(1-EXP(-LN(2)/25))/(LN(2)/25)*Calculateur!BL42*Calculateur!BN42*VLOOKUP('Données projet'!$B$11,'Paramètres'!$A$1:$I$89,3,0)*0.475*44/12</f>
        <v>4.748875104</v>
      </c>
      <c r="BR42" s="142">
        <f>EXP(-LN(2)/2)*BR41+(1-EXP(-LN(2)/2))/(LN(2)/2)*BL42*BO42*VLOOKUP('Données projet'!$B$11,'Paramètres'!$A$1:$I$89,3,0)*0.475*44/12</f>
        <v>0.3297228663</v>
      </c>
      <c r="BS42" s="143">
        <f t="shared" si="10"/>
        <v>7.364297679</v>
      </c>
      <c r="BT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1" t="str">
        <f>VLOOKUP(A42,'Données projet'!$A$113:$I$133,2,0)</f>
        <v>#N/A</v>
      </c>
      <c r="BW42" s="131" t="str">
        <f>VLOOKUP(A42,'Données projet'!$A$113:$I$133,9,0)</f>
        <v>#N/A</v>
      </c>
      <c r="BX42" s="130">
        <f t="array" ref="BX42">INDEX(BW:BW,MIN(IF(ISNUMBER(BW42:BW238),ROW(BW42:BW238),"")))</f>
        <v>25</v>
      </c>
      <c r="BY42" s="130">
        <f>IF('Données projet'!$A$114&gt;35,BY41+BX42-CG41,IF(A42&lt;'Données projet'!$A$114,$BV$205^A42,IF(A42='Données projet'!$A$114,'Données projet'!$B$114,BY41+BX42-CG41)))</f>
        <v>411</v>
      </c>
      <c r="BZ42" s="130">
        <f>BY42*VLOOKUP('Données projet'!$B$12,'Paramètres'!$A$1:$I$89,3,0)*VLOOKUP('Données projet'!$B$12,'Paramètres'!$A$1:$I$89,5,0)</f>
        <v>203.034</v>
      </c>
      <c r="CA42" s="130">
        <f t="shared" si="40"/>
        <v>50.41036369</v>
      </c>
      <c r="CB42" s="141">
        <f t="shared" si="11"/>
        <v>441.4156001</v>
      </c>
      <c r="CC42" s="133">
        <f t="shared" si="12"/>
        <v>734.7489334</v>
      </c>
      <c r="CD42" s="133">
        <f>AVERAGE(OFFSET($CC$3,0,0,'Données projet'!$E$12+1,1))-AVERAGE(OFFSET($H$3,0,0,'Données projet'!$E$12+1,1))</f>
        <v>258.1672054</v>
      </c>
      <c r="CE42" s="133">
        <f t="shared" si="41"/>
        <v>296.0724261</v>
      </c>
      <c r="CF42" s="134">
        <f>IF(ISNA(VLOOKUP(A42,'Données projet'!$A$113:$I$133,3,0)),0,VLOOKUP(A42,'Données projet'!$A$113:$I$133,3,0))</f>
        <v>0</v>
      </c>
      <c r="CG42" s="134">
        <f>IF(ISNA(VLOOKUP(A42,'Données projet'!$A$113:$I$133,4,0)),0,VLOOKUP(A42,'Données projet'!$A$113:$I$133,4,0))</f>
        <v>0</v>
      </c>
      <c r="CH42" s="135">
        <f>IF(ISNA(VLOOKUP(A42,'Données projet'!$A$113:$I$133,5,0)),0%,VLOOKUP(A42,'Données projet'!$A$113:$I$133,5,0)*VLOOKUP('Données projet'!$B$12,'Paramètres'!$A$1:$I$89,7,0))</f>
        <v>0</v>
      </c>
      <c r="CI42" s="135">
        <f>IF(ISNA(VLOOKUP(A42,'Données projet'!$A$113:$I$133,6,0)),0%,VLOOKUP(A42,'Données projet'!$A$113:$I$133,6,0)*VLOOKUP('Données projet'!$B$12,'Paramètres'!$A$1:$I$89,7,0))</f>
        <v>0</v>
      </c>
      <c r="CJ42" s="135">
        <f>IF(ISNA(VLOOKUP(A42,'Données projet'!$A$113:$I$133,7,0)),0%,VLOOKUP(A42,'Données projet'!$A$113:$I$133,7,0))</f>
        <v>0</v>
      </c>
      <c r="CK42" s="142">
        <f>EXP(-LN(2)/35)*CK41+(1-EXP(-LN(2)/35))/(LN(2)/35)*CG42*CH42*VLOOKUP('Données projet'!$B$12,'Paramètres'!$A$1:$I$89,3,0)*0.475*44/12</f>
        <v>15.63273053</v>
      </c>
      <c r="CL42" s="142">
        <f>EXP(-LN(2)/25)*CL41+(1-EXP(-LN(2)/25))/(LN(2)/25)*Calculateur!CG42*Calculateur!CI42*VLOOKUP('Données projet'!$B$12,'Paramètres'!$A$1:$I$89,3,0)*0.475*44/12</f>
        <v>21.92588861</v>
      </c>
      <c r="CM42" s="142">
        <f>EXP(-LN(2)/2)*CM41+(1-EXP(-LN(2)/2))/(LN(2)/2)*CG42*CJ42*VLOOKUP('Données projet'!$B$12,'Paramètres'!$A$1:$I$89,3,0)*0.475*44/12</f>
        <v>2.932848112</v>
      </c>
      <c r="CN42" s="143">
        <f t="shared" si="13"/>
        <v>40.49146725</v>
      </c>
      <c r="CO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1" t="str">
        <f>VLOOKUP(A42,'Données projet'!$A$139:$I$159,2,0)</f>
        <v>#N/A</v>
      </c>
      <c r="CR42" s="131" t="str">
        <f>VLOOKUP(A42,'Données projet'!$A$139:$I$159,9,0)</f>
        <v>#N/A</v>
      </c>
      <c r="CS42" s="130">
        <f t="array" ref="CS42">INDEX(CR:CR,MIN(IF(ISNUMBER(CR42:CR238),ROW(CR42:CR238),"")))</f>
        <v>5.4</v>
      </c>
      <c r="CT42" s="138">
        <f>IF('Données projet'!$A$140&gt;35,CT41+CS42-DB41,IF(A42&lt;'Données projet'!$A$140,$CQ$205^A42,IF(A42='Données projet'!$A$140,'Données projet'!$B$140,CT41+CS42-DB41)))</f>
        <v>87.6</v>
      </c>
      <c r="CU42" s="138">
        <f>CT42*VLOOKUP('Données projet'!$B$13,'Paramètres'!$A$1:$I$89,3,0)*VLOOKUP('Données projet'!$B$13,'Paramètres'!$A$1:$I$89,5,0)</f>
        <v>88.8264</v>
      </c>
      <c r="CV42" s="130">
        <f t="shared" si="42"/>
        <v>24.28196507</v>
      </c>
      <c r="CW42" s="141">
        <f t="shared" si="14"/>
        <v>196.9970692</v>
      </c>
      <c r="CX42" s="133">
        <f t="shared" si="15"/>
        <v>490.3304025</v>
      </c>
      <c r="CY42" s="133">
        <f>AVERAGE(OFFSET($CX$3,0,0,'Données projet'!$E$13+1,1))-AVERAGE(OFFSET($H$3,0,0,'Données projet'!$E$13+1,1))</f>
        <v>223.783507</v>
      </c>
      <c r="CZ42" s="133">
        <f t="shared" si="43"/>
        <v>84.92349117</v>
      </c>
      <c r="DA42" s="134">
        <f>IF(ISNA(VLOOKUP(A42,'Données projet'!$A$139:$I$159,3,0)),0,VLOOKUP(A42,'Données projet'!$A$139:$I$159,3,0))</f>
        <v>0</v>
      </c>
      <c r="DB42" s="134">
        <f>IF(ISNA(VLOOKUP(A42,'Données projet'!$A$139:$I$159,4,0)),0,VLOOKUP(A42,'Données projet'!$A$139:$I$159,4,0))</f>
        <v>0</v>
      </c>
      <c r="DC42" s="135">
        <f>IF(ISNA(VLOOKUP(A42,'Données projet'!$A$139:$I$159,5,0)),0%,VLOOKUP(A42,'Données projet'!$A$139:$I$159,5,0)*VLOOKUP('Données projet'!$B$13,'Paramètres'!$A$1:$I$89,7,0))</f>
        <v>0</v>
      </c>
      <c r="DD42" s="135">
        <f>IF(ISNA(VLOOKUP(A42,'Données projet'!$A$139:$I$159,6,0)),0%,VLOOKUP(A42,'Données projet'!$A$139:$I$159,6,0)*VLOOKUP('Données projet'!$B$13,'Paramètres'!$A$1:$I$89,7,0))</f>
        <v>0</v>
      </c>
      <c r="DE42" s="135">
        <f>IF(ISNA(VLOOKUP(A42,'Données projet'!$A$139:$I$159,7,0)),0%,VLOOKUP(A42,'Données projet'!$A$139:$I$159,7,0))</f>
        <v>0</v>
      </c>
      <c r="DF42" s="142">
        <f>EXP(-LN(2)/35)*DF41+(1-EXP(-LN(2)/35))/(LN(2)/35)*DB42*DC42*VLOOKUP('Données projet'!$B$13,'Paramètres'!$A$1:$I$89,3,0)*0.475*44/12</f>
        <v>0</v>
      </c>
      <c r="DG42" s="142">
        <f>EXP(-LN(2)/25)*DG41+(1-EXP(-LN(2)/25))/(LN(2)/25)*Calculateur!DB42*Calculateur!DD42*VLOOKUP('Données projet'!$B$13,'Paramètres'!$A$1:$I$89,3,0)*0.475*44/12</f>
        <v>0</v>
      </c>
      <c r="DH42" s="142">
        <f>EXP(-LN(2)/2)*DH41+(1-EXP(-LN(2)/2))/(LN(2)/2)*DB42*DE42*VLOOKUP('Données projet'!$B$13,'Paramètres'!$A$1:$I$89,3,0)*0.475*44/12</f>
        <v>0</v>
      </c>
      <c r="DI42" s="143">
        <f t="shared" si="16"/>
        <v>0</v>
      </c>
      <c r="DJ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1" t="str">
        <f>VLOOKUP(A42,'Données projet'!$A$165:$I$185,2,0)</f>
        <v>#N/A</v>
      </c>
      <c r="DM42" s="131" t="str">
        <f>VLOOKUP(A42,'Données projet'!$A$165:$I$185,9,0)</f>
        <v>#N/A</v>
      </c>
      <c r="DN42" s="131">
        <f t="array" ref="DN42">INDEX(DM:DM,MIN(IF(ISNUMBER(DM42:DM238),ROW(DM42:DM238),"")))</f>
        <v>8.4</v>
      </c>
      <c r="DO42" s="138">
        <f>IF('Données projet'!$A$166&gt;35,DO41+DN42-DW41,IF(A42&lt;'Données projet'!$A$166,$DL$205^A42,IF(A42='Données projet'!$A$166,'Données projet'!$B$166,DO41+DN42-DW41)))</f>
        <v>128.6</v>
      </c>
      <c r="DP42" s="138">
        <f>DO42*VLOOKUP('Données projet'!$B$14,'Paramètres'!$A$1:$I$89,3,0)*VLOOKUP('Données projet'!$B$14,'Paramètres'!$A$1:$I$89,5,0)</f>
        <v>116.35728</v>
      </c>
      <c r="DQ42" s="130">
        <f t="shared" si="44"/>
        <v>30.82387643</v>
      </c>
      <c r="DR42" s="141">
        <f t="shared" si="17"/>
        <v>256.3405141</v>
      </c>
      <c r="DS42" s="133">
        <f t="shared" si="18"/>
        <v>549.6738474</v>
      </c>
      <c r="DT42" s="133">
        <f>AVERAGE(OFFSET($DS$3,0,0,'Données projet'!$E$14+1,1))-AVERAGE(OFFSET($H$3,0,0,'Données projet'!$E$14+1,1))</f>
        <v>287.9334714</v>
      </c>
      <c r="DU42" s="133">
        <f t="shared" si="45"/>
        <v>156.6796502</v>
      </c>
      <c r="DV42" s="134">
        <f>IF(ISNA(VLOOKUP(A42,'Données projet'!$A$165:$I$185,3,0)),0,VLOOKUP(A42,'Données projet'!$A$165:$I$185,3,0))</f>
        <v>0</v>
      </c>
      <c r="DW42" s="134">
        <f>IF(ISNA(VLOOKUP(A42,'Données projet'!$A$165:$I$185,4,0)),0,VLOOKUP(A42,'Données projet'!$A$165:$I$185,4,0))</f>
        <v>0</v>
      </c>
      <c r="DX42" s="135">
        <f>IF(ISNA(VLOOKUP(A42,'Données projet'!$A$165:$I$185,5,0)),0%,VLOOKUP(A42,'Données projet'!$A$165:$I$185,5,0)*VLOOKUP('Données projet'!$B$14,'Paramètres'!$A$1:$I$89,7,0))</f>
        <v>0</v>
      </c>
      <c r="DY42" s="135">
        <f>IF(ISNA(VLOOKUP(A42,'Données projet'!$A$165:$I$185,6,0)),0%,VLOOKUP(A42,'Données projet'!$A$165:$I$185,6,0)*VLOOKUP('Données projet'!$B$14,'Paramètres'!$A$1:$I$89,7,0))</f>
        <v>0</v>
      </c>
      <c r="DZ42" s="135">
        <f>IF(ISNA(VLOOKUP(A42,'Données projet'!$A$165:$I$185,7,0)),0%,VLOOKUP(A42,'Données projet'!$A$165:$I$185,7,0))</f>
        <v>0</v>
      </c>
      <c r="EA42" s="142">
        <f>EXP(-LN(2)/35)*EA41+(1-EXP(-LN(2)/35))/(LN(2)/35)*DW42*DX42*VLOOKUP('Données projet'!$B$14,'Paramètres'!$A$1:$I$89,3,0)*0.475*44/12</f>
        <v>0</v>
      </c>
      <c r="EB42" s="142">
        <f>EXP(-LN(2)/25)*EB41+(1-EXP(-LN(2)/25))/(LN(2)/25)*Calculateur!DW42*Calculateur!DY42*VLOOKUP('Données projet'!$B$14,'Paramètres'!$A$1:$I$89,3,0)*0.475*44/12</f>
        <v>0</v>
      </c>
      <c r="EC42" s="142">
        <f>EXP(-LN(2)/2)*EC41+(1-EXP(-LN(2)/2))/(LN(2)/2)*DW42*DZ42*VLOOKUP('Données projet'!$B$14,'Paramètres'!$A$1:$I$89,3,0)*0.475*44/12</f>
        <v>0</v>
      </c>
      <c r="ED42" s="143">
        <f t="shared" si="19"/>
        <v>0</v>
      </c>
      <c r="EE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1" t="str">
        <f>VLOOKUP(A42,'Données projet'!$A$191:$I$211,2,0)</f>
        <v>#N/A</v>
      </c>
      <c r="EH42" s="131" t="str">
        <f>VLOOKUP(A42,'Données projet'!$A$191:$I$211,9,0)</f>
        <v>#N/A</v>
      </c>
      <c r="EI42" s="131">
        <f t="array" ref="EI42">INDEX(EH:EH,MIN(IF(ISNUMBER(EH42:EH238),ROW(EH42:EH238),"")))</f>
        <v>7.8</v>
      </c>
      <c r="EJ42" s="138">
        <f>IF('Données projet'!$A$192&gt;35,EJ41+EI42-ER41,IF(A42&lt;'Données projet'!$A$192,$EG$205^A42,IF(A42='Données projet'!$A$192,'Données projet'!$B$192,EJ41+EI42-ER41)))</f>
        <v>107.2</v>
      </c>
      <c r="EK42" s="138">
        <f>EJ42*VLOOKUP('Données projet'!$B$15,'Paramètres'!$A$1:$I$89,3,0)*VLOOKUP('Données projet'!$B$15,'Paramètres'!$A$1:$I$89,5,0)</f>
        <v>78.59904</v>
      </c>
      <c r="EL42" s="130">
        <f t="shared" si="46"/>
        <v>21.79429071</v>
      </c>
      <c r="EM42" s="141">
        <f t="shared" si="20"/>
        <v>174.8517177</v>
      </c>
      <c r="EN42" s="133">
        <f t="shared" si="21"/>
        <v>468.185051</v>
      </c>
      <c r="EO42" s="133">
        <f>AVERAGE(OFFSET($EN$3,0,0,'Données projet'!$E$15+1,1))-AVERAGE(OFFSET($H$3,0,0,'Données projet'!$E$15+1,1))</f>
        <v>130.3193339</v>
      </c>
      <c r="EP42" s="133">
        <f t="shared" si="47"/>
        <v>82.22784365</v>
      </c>
      <c r="EQ42" s="134">
        <f>IF(ISNA(VLOOKUP(A42,'Données projet'!$A$191:$I$211,3,0)),0,VLOOKUP(A42,'Données projet'!$A$191:$I$211,3,0))</f>
        <v>0</v>
      </c>
      <c r="ER42" s="134">
        <f>IF(ISNA(VLOOKUP(A42,'Données projet'!$A$191:$I$211,4,0)),0,VLOOKUP(A42,'Données projet'!$A$191:$I$211,4,0))</f>
        <v>0</v>
      </c>
      <c r="ES42" s="135">
        <f>IF(ISNA(VLOOKUP(A42,'Données projet'!$A$191:$I$211,5,0)),0%,VLOOKUP(A42,'Données projet'!$A$191:$I$211,5,0)*VLOOKUP('Données projet'!$B$15,'Paramètres'!$A$1:$I$89,7,0))</f>
        <v>0</v>
      </c>
      <c r="ET42" s="135">
        <f>IF(ISNA(VLOOKUP(A42,'Données projet'!$A$191:$I$211,6,0)),0%,VLOOKUP(A42,'Données projet'!$A$191:$I$211,6,0)*VLOOKUP('Données projet'!$B$15,'Paramètres'!$A$1:$I$89,7,0))</f>
        <v>0</v>
      </c>
      <c r="EU42" s="135">
        <f>IF(ISNA(VLOOKUP(A42,'Données projet'!$A$191:$I$211,7,0)),0%,VLOOKUP(A42,'Données projet'!$A$191:$I$211,7,0))</f>
        <v>0</v>
      </c>
      <c r="EV42" s="142">
        <f>EXP(-LN(2)/35)*EV41+(1-EXP(-LN(2)/35))/(LN(2)/35)*ER42*ES42*VLOOKUP('Données projet'!$B$15,'Paramètres'!$A$1:$I$89,3,0)*0.475*44/12</f>
        <v>2.052242699</v>
      </c>
      <c r="EW42" s="142">
        <f>EXP(-LN(2)/25)*EW41+(1-EXP(-LN(2)/25))/(LN(2)/25)*Calculateur!ER42*Calculateur!ET42*VLOOKUP('Données projet'!$B$15,'Paramètres'!$A$1:$I$89,3,0)*0.475*44/12</f>
        <v>0</v>
      </c>
      <c r="EX42" s="142">
        <f>EXP(-LN(2)/2)*EX41+(1-EXP(-LN(2)/2))/(LN(2)/2)*ER42*EU42*VLOOKUP('Données projet'!$B$15,'Paramètres'!$A$1:$I$89,3,0)*0.475*44/12</f>
        <v>0</v>
      </c>
      <c r="EY42" s="143">
        <f t="shared" si="22"/>
        <v>2.052242699</v>
      </c>
      <c r="EZ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1" t="str">
        <f>VLOOKUP(A42,'Données projet'!$A$217:$I$237,2,0)</f>
        <v>#N/A</v>
      </c>
      <c r="FC42" s="131" t="str">
        <f>VLOOKUP(A42,'Données projet'!$A$217:$I$237,9,0)</f>
        <v>#N/A</v>
      </c>
      <c r="FD42" s="130">
        <f t="array" ref="FD42">INDEX(FC:FC,MIN(IF(ISNUMBER(FC42:FC238),ROW(FC42:FC238),"")))</f>
        <v>7</v>
      </c>
      <c r="FE42" s="130">
        <f>IF('Données projet'!$A$218&gt;35,FE41+FD42-FM41,IF(A42&lt;'Données projet'!$A$218,$FB$205^A42,IF(A42='Données projet'!$A$218,'Données projet'!$B$218,FE41+FD42-FM41)))</f>
        <v>220</v>
      </c>
      <c r="FF42" s="138">
        <f>FE42*VLOOKUP('Données projet'!$B$16,'Paramètres'!$A$1:$I$89,3,0)*VLOOKUP('Données projet'!$B$16,'Paramètres'!$A$1:$I$89,5,0)</f>
        <v>199.056</v>
      </c>
      <c r="FG42" s="130">
        <f t="shared" si="48"/>
        <v>49.53664801</v>
      </c>
      <c r="FH42" s="141">
        <f t="shared" si="23"/>
        <v>432.9655286</v>
      </c>
      <c r="FI42" s="133">
        <f t="shared" si="24"/>
        <v>726.2988619</v>
      </c>
      <c r="FJ42" s="133">
        <f>AVERAGE(OFFSET($FI$3,0,0,'Données projet'!$E$16+1,1))-AVERAGE(OFFSET($H$3,0,0,'Données projet'!$E$16+1,1))</f>
        <v>305.6252353</v>
      </c>
      <c r="FK42" s="133">
        <f t="shared" si="49"/>
        <v>331.397916</v>
      </c>
      <c r="FL42" s="134">
        <f>IF(ISNA(VLOOKUP(A42,'Données projet'!$A$217:$I$237,3,0)),0,VLOOKUP(A42,'Données projet'!$A$217:$I$237,3,0))</f>
        <v>0</v>
      </c>
      <c r="FM42" s="134">
        <f>IF(ISNA(VLOOKUP(A42,'Données projet'!$A$217:$I$237,4,0)),0,VLOOKUP(A42,'Données projet'!$A$217:$I$237,4,0))</f>
        <v>0</v>
      </c>
      <c r="FN42" s="135">
        <f>IF(ISNA(VLOOKUP(A42,'Données projet'!$A$217:$I$237,5,0)),0%,VLOOKUP(A42,'Données projet'!$A$217:$I$237,5,0)*VLOOKUP('Données projet'!$B$16,'Paramètres'!$A$1:$I$89,7,0))</f>
        <v>0</v>
      </c>
      <c r="FO42" s="135">
        <f>IF(ISNA(VLOOKUP(A42,'Données projet'!$A$217:$I$237,6,0)),0%,VLOOKUP(A42,'Données projet'!$A$217:$I$237,6,0)*VLOOKUP('Données projet'!$B$16,'Paramètres'!$A$1:$I$89,7,0))</f>
        <v>0</v>
      </c>
      <c r="FP42" s="135">
        <f>IF(ISNA(VLOOKUP(A42,'Données projet'!$A$217:$I$237,7,0)),0%,VLOOKUP(A42,'Données projet'!$A$217:$I$237,7,0))</f>
        <v>0</v>
      </c>
      <c r="FQ42" s="142">
        <f>EXP(-LN(2)/35)*FQ41+(1-EXP(-LN(2)/35))/(LN(2)/35)*FM42*FN42*VLOOKUP('Données projet'!$B$16,'Paramètres'!$A$1:$I$89,3,0)*0.475*44/12</f>
        <v>0.8870896399</v>
      </c>
      <c r="FR42" s="142">
        <f>EXP(-LN(2)/25)*FR41+(1-EXP(-LN(2)/25))/(LN(2)/25)*Calculateur!FM42*Calculateur!FO42*VLOOKUP('Données projet'!$B$16,'Paramètres'!$A$1:$I$89,3,0)*0.475*44/12</f>
        <v>0</v>
      </c>
      <c r="FS42" s="142">
        <f>EXP(-LN(2)/2)*FS41+(1-EXP(-LN(2)/2))/(LN(2)/2)*FM42*FP42*VLOOKUP('Données projet'!$B$16,'Paramètres'!$A$1:$I$89,3,0)*0.475*44/12</f>
        <v>0</v>
      </c>
      <c r="FT42" s="143">
        <f t="shared" si="25"/>
        <v>0.8870896399</v>
      </c>
      <c r="FU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1" t="str">
        <f>VLOOKUP(A42,'Données projet'!$A$243:$I$263,2,0)</f>
        <v>#N/A</v>
      </c>
      <c r="FX42" s="131" t="str">
        <f>VLOOKUP(A42,'Données projet'!$A$243:$I$263,9,0)</f>
        <v>#N/A</v>
      </c>
      <c r="FY42" s="130">
        <f t="array" ref="FY42">INDEX(FX:FX,MIN(IF(ISNUMBER(FX42:FX238),ROW(FX42:FX238),"")))</f>
        <v>10.4</v>
      </c>
      <c r="FZ42" s="138">
        <f>IF('Données projet'!$A$244&gt;35,FZ41+FY42-GH41,IF(A42&lt;'Données projet'!$A$244,$FW$205^A42,IF(A42='Données projet'!$A$244,'Données projet'!$B$244,FZ41+FY42-GH41)))</f>
        <v>152.6</v>
      </c>
      <c r="GA42" s="138">
        <f>FZ42*VLOOKUP('Données projet'!$B$17,'Paramètres'!$A$1:$I$89,3,0)*VLOOKUP('Données projet'!$B$17,'Paramètres'!$A$1:$I$89,5,0)</f>
        <v>102.36408</v>
      </c>
      <c r="GB42" s="130">
        <f t="shared" si="50"/>
        <v>27.52443882</v>
      </c>
      <c r="GC42" s="141">
        <f t="shared" si="26"/>
        <v>226.2225036</v>
      </c>
      <c r="GD42" s="133">
        <f t="shared" si="27"/>
        <v>519.555837</v>
      </c>
      <c r="GE42" s="133">
        <f>AVERAGE(OFFSET($GD$3,0,0,'Données projet'!$E$17+1,1))-AVERAGE(OFFSET($H$3,0,0,'Données projet'!$E$17+1,1))</f>
        <v>118.7368745</v>
      </c>
      <c r="GF42" s="133">
        <f t="shared" si="51"/>
        <v>135.1233677</v>
      </c>
      <c r="GG42" s="134">
        <f>IF(ISNA(VLOOKUP(A42,'Données projet'!$A$243:$I$263,3,0)),0,VLOOKUP(A42,'Données projet'!$A$243:$I$263,3,0))</f>
        <v>0</v>
      </c>
      <c r="GH42" s="134">
        <f>IF(ISNA(VLOOKUP(A42,'Données projet'!$A$243:$I$263,4,0)),0,VLOOKUP(A42,'Données projet'!$A$243:$I$263,4,0))</f>
        <v>0</v>
      </c>
      <c r="GI42" s="135">
        <f>IF(ISNA(VLOOKUP(A42,'Données projet'!$A$243:$I$263,5,0)),0%,VLOOKUP(A42,'Données projet'!$A$243:$I$263,5,0)*VLOOKUP('Données projet'!$B$17,'Paramètres'!$A$1:$I$89,7,0))</f>
        <v>0</v>
      </c>
      <c r="GJ42" s="135">
        <f>IF(ISNA(VLOOKUP(A42,'Données projet'!$A$243:$I$263,6,0)),0%,VLOOKUP(A42,'Données projet'!$A$243:$I$263,6,0)*VLOOKUP('Données projet'!$B$17,'Paramètres'!$A$1:$I$89,7,0))</f>
        <v>0</v>
      </c>
      <c r="GK42" s="135">
        <f>IF(ISNA(VLOOKUP(A42,'Données projet'!$A$243:$I$263,7,0)),0%,VLOOKUP(A42,'Données projet'!$A$243:$I$263,7,0))</f>
        <v>0</v>
      </c>
      <c r="GL42" s="142">
        <f>EXP(-LN(2)/35)*GL41+(1-EXP(-LN(2)/35))/(LN(2)/35)*GH42*GI42*VLOOKUP('Données projet'!$B$17,'Paramètres'!$A$1:$I$89,3,0)*0.475*44/12</f>
        <v>2.033296124</v>
      </c>
      <c r="GM42" s="142">
        <f>EXP(-LN(2)/25)*GM41+(1-EXP(-LN(2)/25))/(LN(2)/25)*Calculateur!GH42*Calculateur!GJ42*VLOOKUP('Données projet'!$B$17,'Paramètres'!$A$1:$I$89,3,0)*0.475*44/12</f>
        <v>0</v>
      </c>
      <c r="GN42" s="142">
        <f>EXP(-LN(2)/2)*GN41+(1-EXP(-LN(2)/2))/(LN(2)/2)*GH42*GK42*VLOOKUP('Données projet'!$B$17,'Paramètres'!$A$1:$I$89,3,0)*0.475*44/12</f>
        <v>0</v>
      </c>
      <c r="GO42" s="142">
        <f t="shared" si="28"/>
        <v>2.033296124</v>
      </c>
      <c r="GP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1" t="str">
        <f>VLOOKUP(A42,'Données projet'!$A$269:$I$289,2,0)</f>
        <v>#N/A</v>
      </c>
      <c r="GS42" s="131" t="str">
        <f>VLOOKUP(A42,'Données projet'!$A$269:$I$289,9,0)</f>
        <v>#N/A</v>
      </c>
      <c r="GT42" s="130">
        <f t="array" ref="GT42">INDEX(GS:GS,MIN(IF(ISNUMBER(GS42:GS238),ROW(GS42:GS238),"")))</f>
        <v>5.4</v>
      </c>
      <c r="GU42" s="138">
        <f>IF('Données projet'!$A$270&gt;35,GU41+GT42-HC41,IF(A42&lt;'Données projet'!$A$270,$GR$205^A42,IF(A42='Données projet'!$A$270,'Données projet'!$B$270,GU41+GT42-HC41)))</f>
        <v>87.6</v>
      </c>
      <c r="GV42" s="138">
        <f>GU42*VLOOKUP('Données projet'!$B$18,'Paramètres'!$A$1:$I$89,3,0)*VLOOKUP('Données projet'!$B$18,'Paramètres'!$A$1:$I$89,5,0)</f>
        <v>94.29264</v>
      </c>
      <c r="GW42" s="130">
        <f t="shared" si="52"/>
        <v>25.59768231</v>
      </c>
      <c r="GX42" s="141">
        <f t="shared" si="29"/>
        <v>208.808978</v>
      </c>
      <c r="GY42" s="133">
        <f t="shared" si="30"/>
        <v>502.1423114</v>
      </c>
      <c r="GZ42" s="133">
        <f>AVERAGE(OFFSET($GY$3,0,0,'Données projet'!$E$18+1,1))-AVERAGE(OFFSET($H$3,0,0,'Données projet'!$E$18+1,1))</f>
        <v>100.5427875</v>
      </c>
      <c r="HA42" s="133">
        <f t="shared" si="53"/>
        <v>92.28663609</v>
      </c>
      <c r="HB42" s="134">
        <f>IF(ISNA(VLOOKUP(A42,'Données projet'!$A$269:$I$289,3,0)),0,VLOOKUP(A42,'Données projet'!$A$269:$I$289,3,0))</f>
        <v>0</v>
      </c>
      <c r="HC42" s="134">
        <f>IF(ISNA(VLOOKUP(A42,'Données projet'!$A$269:$I$289,4,0)),0,VLOOKUP(A42,'Données projet'!$A$269:$I$289,4,0))</f>
        <v>0</v>
      </c>
      <c r="HD42" s="135">
        <f>IF(ISNA(VLOOKUP(A42,'Données projet'!$A$269:$I$289,5,0)),0%,VLOOKUP(A42,'Données projet'!$A$269:$I$289,5,0)*VLOOKUP('Données projet'!$B$18,'Paramètres'!$A$1:$I$89,7,0))</f>
        <v>0</v>
      </c>
      <c r="HE42" s="135">
        <f>IF(ISNA(VLOOKUP(A42,'Données projet'!$A$269:$I$289,6,0)),0%,VLOOKUP(A42,'Données projet'!$A$269:$I$289,6,0)*VLOOKUP('Données projet'!$B$18,'Paramètres'!$A$1:$I$89,7,0))</f>
        <v>0</v>
      </c>
      <c r="HF42" s="135">
        <f>IF(ISNA(VLOOKUP(A42,'Données projet'!$A$269:$I$289,7,0)),0%,VLOOKUP(A42,'Données projet'!$A$269:$I$289,7,0))</f>
        <v>0</v>
      </c>
      <c r="HG42" s="142">
        <f>EXP(-LN(2)/35)*HG41+(1-EXP(-LN(2)/35))/(LN(2)/35)*HC42*HD42*VLOOKUP('Données projet'!$B$18,'Paramètres'!$A$1:$I$89,3,0)*0.475*44/12</f>
        <v>1.229020636</v>
      </c>
      <c r="HH42" s="142">
        <f>EXP(-LN(2)/25)*HH41+(1-EXP(-LN(2)/25))/(LN(2)/25)*Calculateur!HC42*Calculateur!HE42*VLOOKUP('Données projet'!$B$18,'Paramètres'!$A$1:$I$89,3,0)*0.475*44/12</f>
        <v>0</v>
      </c>
      <c r="HI42" s="142">
        <f>EXP(-LN(2)/2)*HI41+(1-EXP(-LN(2)/2))/(LN(2)/2)*HC42*HF42*VLOOKUP('Données projet'!$B$18,'Paramètres'!$A$1:$I$89,3,0)*0.475*44/12</f>
        <v>0</v>
      </c>
      <c r="HJ42" s="143">
        <f t="shared" si="31"/>
        <v>1.229020636</v>
      </c>
    </row>
    <row r="43" ht="15.75" customHeight="1">
      <c r="A43" s="125">
        <f t="shared" si="32"/>
        <v>40</v>
      </c>
      <c r="B43" s="126">
        <f>'Scénario référence'!$B$16*5+'Scénario référence'!$B$17*0+'Scénario référence'!$B$18*5</f>
        <v>0</v>
      </c>
      <c r="C43" s="140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21.84</v>
      </c>
      <c r="D43" s="127">
        <f t="shared" si="33"/>
        <v>7.029358488</v>
      </c>
      <c r="E4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7">
        <f>IF(OR('Scénario référence'!$F$8&gt;0,'Scénario référence'!$F$9&gt;0),('Scénario référence'!$F$8+'Scénario référence'!$F$9)*10,0)</f>
        <v>10</v>
      </c>
      <c r="G43" s="127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</v>
      </c>
      <c r="H43" s="128">
        <f t="shared" si="1"/>
        <v>343.6141327</v>
      </c>
      <c r="I43" s="12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8">
        <f>VLOOKUP(A43,'Données projet'!$A$35:$I$55,2,0)</f>
        <v>207</v>
      </c>
      <c r="L43" s="131">
        <f>VLOOKUP(A43,'Données projet'!$A$35:$I$55,9,0)</f>
        <v>12.8</v>
      </c>
      <c r="M43" s="131">
        <f t="array" ref="M43">INDEX(L:L,MIN(IF(ISNUMBER(L43:L239),ROW(L43:L239),"")))</f>
        <v>12.8</v>
      </c>
      <c r="N43" s="130">
        <f>IF('Données projet'!$A$36&gt;35,N42+M43-V42,IF(A43&lt;'Données projet'!$A$36,$K$205^A43,IF(A43='Données projet'!$A$36,'Données projet'!$B$36,N42+M43-V42)))</f>
        <v>207</v>
      </c>
      <c r="O43" s="130">
        <f>N43*VLOOKUP('Données projet'!$B$9,'Paramètres'!$A$1:$I$89,3,0)*VLOOKUP('Données projet'!$B$9,'Paramètres'!$A$1:$I$89,5,0)</f>
        <v>118.404</v>
      </c>
      <c r="P43" s="130">
        <f t="shared" si="34"/>
        <v>31.30246893</v>
      </c>
      <c r="Q43" s="141">
        <f t="shared" si="2"/>
        <v>260.7387667</v>
      </c>
      <c r="R43" s="133">
        <f t="shared" si="3"/>
        <v>554.0721001</v>
      </c>
      <c r="S43" s="133">
        <f>AVERAGE(OFFSET($R$3,0,0,'Données projet'!$E$9+1,1))-AVERAGE(OFFSET($H$3,0,0,'Données projet'!$E$9+1,1))</f>
        <v>126.9946492</v>
      </c>
      <c r="T43" s="133">
        <f t="shared" si="35"/>
        <v>140.039049</v>
      </c>
      <c r="U43" s="134">
        <f>IF(ISNA(VLOOKUP(A43,'Données projet'!$A$35:$I$55,3,0)),0,VLOOKUP(A43,'Données projet'!$A$35:$I$55,3,0))</f>
        <v>4</v>
      </c>
      <c r="V43" s="144">
        <f>IF(ISNA(VLOOKUP(A43,'Données projet'!$A$35:$I$55,4,0)),0,VLOOKUP(A43,'Données projet'!$A$35:$I$55,4,0))</f>
        <v>37</v>
      </c>
      <c r="W43" s="135">
        <f>IF(ISNA(VLOOKUP(A43,'Données projet'!$A$35:$I$55,5,0)),0%,VLOOKUP(A43,'Données projet'!$A$35:$I$55,5,0)*VLOOKUP('Données projet'!$B$9,'Paramètres'!$A$1:$I$89,7,0))</f>
        <v>0.18</v>
      </c>
      <c r="X43" s="135">
        <f>IF(ISNA(VLOOKUP(A43,'Données projet'!$A$35:$I$55,6,0)),0%,VLOOKUP(A43,'Données projet'!$A$35:$I$55,6,0)*VLOOKUP('Données projet'!$B$9,'Paramètres'!$A$1:$I$89,7,0))</f>
        <v>0.1512</v>
      </c>
      <c r="Y43" s="135">
        <f>IF(ISNA(VLOOKUP(A43,'Données projet'!$A$35:$I$55,7,0)),0%,VLOOKUP(A43,'Données projet'!$A$35:$I$55,7,0))</f>
        <v>0.264</v>
      </c>
      <c r="Z43" s="142">
        <f>EXP(-LN(2)/35)*Z42+(1-EXP(-LN(2)/35))/(LN(2)/35)*V43*W43*VLOOKUP('Données projet'!$B$9,'Paramètres'!$A$1:$I$89,3,0)*0.475*44/12</f>
        <v>8.073970321</v>
      </c>
      <c r="AA43" s="142">
        <f>EXP(-LN(2)/25)*AA42+(1-EXP(-LN(2)/25))/(LN(2)/25)*Calculateur!V43*Calculateur!X43*VLOOKUP('Données projet'!$B$9,'Paramètres'!$A$1:$I$89,3,0)*0.475*44/12</f>
        <v>12.10623037</v>
      </c>
      <c r="AB43" s="142">
        <f>EXP(-LN(2)/2)*AB42+(1-EXP(-LN(2)/2))/(LN(2)/2)*V43*Y43*VLOOKUP('Données projet'!$B$9,'Paramètres'!$A$1:$I$89,3,0)*0.475*44/12</f>
        <v>7.637244409</v>
      </c>
      <c r="AC43" s="143">
        <f t="shared" si="4"/>
        <v>27.8174451</v>
      </c>
      <c r="AD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1">
        <f>VLOOKUP(A43,'Données projet'!$A$61:$I$81,2,0)</f>
        <v>264</v>
      </c>
      <c r="AG43" s="131">
        <f>VLOOKUP(A43,'Données projet'!$A$61:$I$81,9,0)</f>
        <v>14.4</v>
      </c>
      <c r="AH43" s="131">
        <f t="array" ref="AH43">INDEX(AG:AG,MIN(IF(ISNUMBER(AG43:AG239),ROW(AG43:AG239),"")))</f>
        <v>14.4</v>
      </c>
      <c r="AI43" s="130">
        <f>IF('Données projet'!$A$62&gt;35,AI42+AH43-AQ42,IF(A43&lt;'Données projet'!$A$62,$AF$205^A43,IF(A43='Données projet'!$A$62,'Données projet'!$B$62,AI42+AH43-AQ42)))</f>
        <v>264</v>
      </c>
      <c r="AJ43" s="130">
        <f>AI43*VLOOKUP('Données projet'!$B$10,'Paramètres'!$A$1:$I$89,3,0)*VLOOKUP('Données projet'!$B$10,'Paramètres'!$A$1:$I$89,5,0)</f>
        <v>157.872</v>
      </c>
      <c r="AK43" s="130">
        <f t="shared" si="36"/>
        <v>40.36216568</v>
      </c>
      <c r="AL43" s="141">
        <f t="shared" si="5"/>
        <v>345.2578386</v>
      </c>
      <c r="AM43" s="133">
        <f t="shared" si="6"/>
        <v>638.5911719</v>
      </c>
      <c r="AN43" s="133">
        <f>AVERAGE(OFFSET($AM$3,0,0,'Données projet'!$E$10+1,1))-AVERAGE(OFFSET($H$3,0,0,'Données projet'!$E$10+1,1))</f>
        <v>196.874484</v>
      </c>
      <c r="AO43" s="133">
        <f t="shared" si="37"/>
        <v>217.5750859</v>
      </c>
      <c r="AP43" s="134">
        <f>IF(ISNA(VLOOKUP(A43,'Données projet'!$A$61:$I$81,3,0)),0,VLOOKUP(A43,'Données projet'!$A$61:$I$81,3,0))</f>
        <v>5</v>
      </c>
      <c r="AQ43" s="145">
        <f>IF(ISNA(VLOOKUP(A43,'Données projet'!$A$61:$I$81,4,0)),0,VLOOKUP(A43,'Données projet'!$A$61:$I$81,4,0))</f>
        <v>41</v>
      </c>
      <c r="AR43" s="135">
        <f>IF(ISNA(VLOOKUP(A43,'Données projet'!$A$61:$I$81,5,0)),0%,VLOOKUP(A43,'Données projet'!$A$61:$I$81,5,0)*VLOOKUP('Données projet'!$B$10,'Paramètres'!$A$1:$I$89,7,0))</f>
        <v>0.18</v>
      </c>
      <c r="AS43" s="135">
        <f>IF(ISNA(VLOOKUP(A43,'Données projet'!$A$61:$I$81,6,0)),0%,VLOOKUP(A43,'Données projet'!$A$61:$I$81,6,0)*VLOOKUP('Données projet'!$B$10,'Paramètres'!$A$1:$I$89,7,0))</f>
        <v>0.1512</v>
      </c>
      <c r="AT43" s="135">
        <f>IF(ISNA(VLOOKUP(A43,'Données projet'!$A$61:$I$81,7,0)),0%,VLOOKUP(A43,'Données projet'!$A$61:$I$81,7,0))</f>
        <v>0.264</v>
      </c>
      <c r="AU43" s="142">
        <f>EXP(-LN(2)/35)*AU42+(1-EXP(-LN(2)/35))/(LN(2)/35)*AQ43*AR43*VLOOKUP('Données projet'!$B$10,'Paramètres'!$A$1:$I$89,3,0)*0.475*44/12</f>
        <v>10.4970292</v>
      </c>
      <c r="AV43" s="142">
        <f>EXP(-LN(2)/25)*AV42+(1-EXP(-LN(2)/25))/(LN(2)/25)*Calculateur!AQ43*Calculateur!AS43*VLOOKUP('Données projet'!$B$10,'Paramètres'!$A$1:$I$89,3,0)*0.475*44/12</f>
        <v>18.85618237</v>
      </c>
      <c r="AW43" s="142">
        <f>EXP(-LN(2)/2)*AW42+(1-EXP(-LN(2)/2))/(LN(2)/2)*AQ43*AT43*VLOOKUP('Données projet'!$B$10,'Paramètres'!$A$1:$I$89,3,0)*0.475*44/12</f>
        <v>9.346553914</v>
      </c>
      <c r="AX43" s="142">
        <f t="shared" si="7"/>
        <v>38.69976548</v>
      </c>
      <c r="AY43" s="13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1">
        <f>VLOOKUP(A43,'Données projet'!$A$87:$I$107,2,0)</f>
        <v>210</v>
      </c>
      <c r="BB43" s="130">
        <f>VLOOKUP(A43,'Données projet'!$A$87:$I$107,9,0)</f>
        <v>11</v>
      </c>
      <c r="BC43" s="130">
        <f t="array" ref="BC43">INDEX(BB:BB,MIN(IF(ISNUMBER(BB43:BB239),ROW(BB43:BB239),"")))</f>
        <v>11</v>
      </c>
      <c r="BD43" s="130">
        <f>IF('Données projet'!$A$88&gt;35,BD42+BC43-BL42,IF(A43&lt;'Données projet'!$A$88,$BA$205^A43,IF(A43='Données projet'!$A$88,'Données projet'!$B$88,BD42+BC43-BL42)))</f>
        <v>210</v>
      </c>
      <c r="BE43" s="130">
        <f>BD43*VLOOKUP('Données projet'!$B$11,'Paramètres'!$A$1:$I$89,3,0)*VLOOKUP('Données projet'!$B$11,'Paramètres'!$A$1:$I$89,5,0)</f>
        <v>98.28</v>
      </c>
      <c r="BF43" s="130">
        <f t="shared" si="38"/>
        <v>26.55181842</v>
      </c>
      <c r="BG43" s="141">
        <f t="shared" si="8"/>
        <v>217.4154171</v>
      </c>
      <c r="BH43" s="133">
        <f t="shared" si="9"/>
        <v>510.7487504</v>
      </c>
      <c r="BI43" s="133">
        <f>AVERAGE(OFFSET($BH$3,0,0,'Données projet'!$E$11+1,1))-AVERAGE(OFFSET($H$3,0,0,'Données projet'!$E$11+1,1))</f>
        <v>134.0948534</v>
      </c>
      <c r="BJ43" s="133">
        <f t="shared" si="39"/>
        <v>108.4102536</v>
      </c>
      <c r="BK43" s="134">
        <f>IF(ISNA(VLOOKUP(A43,'Données projet'!$A$87:$I$107,3,0)),0,VLOOKUP(A43,'Données projet'!$A$87:$I$107,3,0))</f>
        <v>2</v>
      </c>
      <c r="BL43" s="146">
        <f>IF(ISNA(VLOOKUP(A43,'Données projet'!$A$87:$I$107,4,0)),0,VLOOKUP(A43,'Données projet'!$A$87:$I$107,4,0))</f>
        <v>50</v>
      </c>
      <c r="BM43" s="135">
        <f>IF(ISNA(VLOOKUP(A43,'Données projet'!$A$87:$I$107,5,0)),0%,VLOOKUP(A43,'Données projet'!$A$87:$I$107,5,0)*VLOOKUP('Données projet'!$B$11,'Paramètres'!$A$1:$I$89,7,0))</f>
        <v>0.22</v>
      </c>
      <c r="BN43" s="135">
        <f>IF(ISNA(VLOOKUP(A43,'Données projet'!$A$87:$I$107,6,0)),0%,VLOOKUP(A43,'Données projet'!$A$87:$I$107,6,0)*VLOOKUP('Données projet'!$B$11,'Paramètres'!$A$1:$I$89,7,0))</f>
        <v>0.1848</v>
      </c>
      <c r="BO43" s="135">
        <f>IF(ISNA(VLOOKUP(A43,'Données projet'!$A$87:$I$107,7,0)),0%,VLOOKUP(A43,'Données projet'!$A$87:$I$107,7,0))</f>
        <v>0.264</v>
      </c>
      <c r="BP43" s="142">
        <f>EXP(-LN(2)/35)*BP42+(1-EXP(-LN(2)/35))/(LN(2)/35)*BL43*BM43*VLOOKUP('Données projet'!$B$11,'Paramètres'!$A$1:$I$89,3,0)*0.475*44/12</f>
        <v>9.070032348</v>
      </c>
      <c r="BQ43" s="142">
        <f>EXP(-LN(2)/25)*BQ42+(1-EXP(-LN(2)/25))/(LN(2)/25)*Calculateur!BL43*Calculateur!BN43*VLOOKUP('Données projet'!$B$11,'Paramètres'!$A$1:$I$89,3,0)*0.475*44/12</f>
        <v>10.33291933</v>
      </c>
      <c r="BR43" s="142">
        <f>EXP(-LN(2)/2)*BR42+(1-EXP(-LN(2)/2))/(LN(2)/2)*BL43*BO43*VLOOKUP('Données projet'!$B$11,'Paramètres'!$A$1:$I$89,3,0)*0.475*44/12</f>
        <v>7.227627516</v>
      </c>
      <c r="BS43" s="143">
        <f t="shared" si="10"/>
        <v>26.63057919</v>
      </c>
      <c r="BT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1">
        <f>VLOOKUP(A43,'Données projet'!$A$113:$I$133,2,0)</f>
        <v>436</v>
      </c>
      <c r="BW43" s="130">
        <f>VLOOKUP(A43,'Données projet'!$A$113:$I$133,9,0)</f>
        <v>25</v>
      </c>
      <c r="BX43" s="130">
        <f t="array" ref="BX43">INDEX(BW:BW,MIN(IF(ISNUMBER(BW43:BW239),ROW(BW43:BW239),"")))</f>
        <v>25</v>
      </c>
      <c r="BY43" s="130">
        <f>IF('Données projet'!$A$114&gt;35,BY42+BX43-CG42,IF(A43&lt;'Données projet'!$A$114,$BV$205^A43,IF(A43='Données projet'!$A$114,'Données projet'!$B$114,BY42+BX43-CG42)))</f>
        <v>436</v>
      </c>
      <c r="BZ43" s="130">
        <f>BY43*VLOOKUP('Données projet'!$B$12,'Paramètres'!$A$1:$I$89,3,0)*VLOOKUP('Données projet'!$B$12,'Paramètres'!$A$1:$I$89,5,0)</f>
        <v>215.384</v>
      </c>
      <c r="CA43" s="130">
        <f t="shared" si="40"/>
        <v>53.11038613</v>
      </c>
      <c r="CB43" s="141">
        <f t="shared" si="11"/>
        <v>467.6277225</v>
      </c>
      <c r="CC43" s="133">
        <f t="shared" si="12"/>
        <v>760.9610558</v>
      </c>
      <c r="CD43" s="133">
        <f>AVERAGE(OFFSET($CC$3,0,0,'Données projet'!$E$12+1,1))-AVERAGE(OFFSET($H$3,0,0,'Données projet'!$E$12+1,1))</f>
        <v>258.1672054</v>
      </c>
      <c r="CE43" s="133">
        <f t="shared" si="41"/>
        <v>296.0724261</v>
      </c>
      <c r="CF43" s="134">
        <f>IF(ISNA(VLOOKUP(A43,'Données projet'!$A$113:$I$133,3,0)),0,VLOOKUP(A43,'Données projet'!$A$113:$I$133,3,0))</f>
        <v>6</v>
      </c>
      <c r="CG43" s="134">
        <f>IF(ISNA(VLOOKUP(A43,'Données projet'!$A$113:$I$133,4,0)),0,VLOOKUP(A43,'Données projet'!$A$113:$I$133,4,0))</f>
        <v>63</v>
      </c>
      <c r="CH43" s="135">
        <f>IF(ISNA(VLOOKUP(A43,'Données projet'!$A$113:$I$133,5,0)),0%,VLOOKUP(A43,'Données projet'!$A$113:$I$133,5,0)*VLOOKUP('Données projet'!$B$12,'Paramètres'!$A$1:$I$89,7,0))</f>
        <v>0.22</v>
      </c>
      <c r="CI43" s="135">
        <f>IF(ISNA(VLOOKUP(A43,'Données projet'!$A$113:$I$133,6,0)),0%,VLOOKUP(A43,'Données projet'!$A$113:$I$133,6,0)*VLOOKUP('Données projet'!$B$12,'Paramètres'!$A$1:$I$89,7,0))</f>
        <v>0.187</v>
      </c>
      <c r="CJ43" s="135">
        <f>IF(ISNA(VLOOKUP(A43,'Données projet'!$A$113:$I$133,7,0)),0%,VLOOKUP(A43,'Données projet'!$A$113:$I$133,7,0))</f>
        <v>0.26</v>
      </c>
      <c r="CK43" s="142">
        <f>EXP(-LN(2)/35)*CK42+(1-EXP(-LN(2)/35))/(LN(2)/35)*CG43*CH43*VLOOKUP('Données projet'!$B$12,'Paramètres'!$A$1:$I$89,3,0)*0.475*44/12</f>
        <v>24.40895679</v>
      </c>
      <c r="CL43" s="142">
        <f>EXP(-LN(2)/25)*CL42+(1-EXP(-LN(2)/25))/(LN(2)/25)*Calculateur!CG43*Calculateur!CI43*VLOOKUP('Données projet'!$B$12,'Paramètres'!$A$1:$I$89,3,0)*0.475*44/12</f>
        <v>29.01628443</v>
      </c>
      <c r="CM43" s="142">
        <f>EXP(-LN(2)/2)*CM42+(1-EXP(-LN(2)/2))/(LN(2)/2)*CG43*CJ43*VLOOKUP('Données projet'!$B$12,'Paramètres'!$A$1:$I$89,3,0)*0.475*44/12</f>
        <v>11.23554351</v>
      </c>
      <c r="CN43" s="143">
        <f t="shared" si="13"/>
        <v>64.66078474</v>
      </c>
      <c r="CO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8">
        <f>VLOOKUP(A43,'Données projet'!$A$139:$I$159,2,0)</f>
        <v>93</v>
      </c>
      <c r="CR43" s="130">
        <f>VLOOKUP(A43,'Données projet'!$A$139:$I$159,9,0)</f>
        <v>5.4</v>
      </c>
      <c r="CS43" s="130">
        <f t="array" ref="CS43">INDEX(CR:CR,MIN(IF(ISNUMBER(CR43:CR239),ROW(CR43:CR239),"")))</f>
        <v>5.4</v>
      </c>
      <c r="CT43" s="138">
        <f>IF('Données projet'!$A$140&gt;35,CT42+CS43-DB42,IF(A43&lt;'Données projet'!$A$140,$CQ$205^A43,IF(A43='Données projet'!$A$140,'Données projet'!$B$140,CT42+CS43-DB42)))</f>
        <v>93</v>
      </c>
      <c r="CU43" s="138">
        <f>CT43*VLOOKUP('Données projet'!$B$13,'Paramètres'!$A$1:$I$89,3,0)*VLOOKUP('Données projet'!$B$13,'Paramètres'!$A$1:$I$89,5,0)</f>
        <v>94.302</v>
      </c>
      <c r="CV43" s="130">
        <f t="shared" si="42"/>
        <v>25.59992749</v>
      </c>
      <c r="CW43" s="141">
        <f t="shared" si="14"/>
        <v>208.8291904</v>
      </c>
      <c r="CX43" s="133">
        <f t="shared" si="15"/>
        <v>502.1625237</v>
      </c>
      <c r="CY43" s="133">
        <f>AVERAGE(OFFSET($CX$3,0,0,'Données projet'!$E$13+1,1))-AVERAGE(OFFSET($H$3,0,0,'Données projet'!$E$13+1,1))</f>
        <v>223.783507</v>
      </c>
      <c r="CZ43" s="133">
        <f t="shared" si="43"/>
        <v>84.92349117</v>
      </c>
      <c r="DA43" s="134">
        <f>IF(ISNA(VLOOKUP(A43,'Données projet'!$A$139:$I$159,3,0)),0,VLOOKUP(A43,'Données projet'!$A$139:$I$159,3,0))</f>
        <v>4</v>
      </c>
      <c r="DB43" s="144">
        <f>IF(ISNA(VLOOKUP(A43,'Données projet'!$A$139:$I$159,4,0)),0,VLOOKUP(A43,'Données projet'!$A$139:$I$159,4,0))</f>
        <v>14</v>
      </c>
      <c r="DC43" s="135">
        <f>IF(ISNA(VLOOKUP(A43,'Données projet'!$A$139:$I$159,5,0)),0%,VLOOKUP(A43,'Données projet'!$A$139:$I$159,5,0)*VLOOKUP('Données projet'!$B$13,'Paramètres'!$A$1:$I$89,7,0))</f>
        <v>0</v>
      </c>
      <c r="DD43" s="135">
        <f>IF(ISNA(VLOOKUP(A43,'Données projet'!$A$139:$I$159,6,0)),0%,VLOOKUP(A43,'Données projet'!$A$139:$I$159,6,0)*VLOOKUP('Données projet'!$B$13,'Paramètres'!$A$1:$I$89,7,0))</f>
        <v>0</v>
      </c>
      <c r="DE43" s="135" t="str">
        <f>IF(ISNA(VLOOKUP(A43,'Données projet'!$A$139:$I$159,7,0)),0%,VLOOKUP(A43,'Données projet'!$A$139:$I$159,7,0))</f>
        <v/>
      </c>
      <c r="DF43" s="142">
        <f>EXP(-LN(2)/35)*DF42+(1-EXP(-LN(2)/35))/(LN(2)/35)*DB43*DC43*VLOOKUP('Données projet'!$B$13,'Paramètres'!$A$1:$I$89,3,0)*0.475*44/12</f>
        <v>0</v>
      </c>
      <c r="DG43" s="142">
        <f>EXP(-LN(2)/25)*DG42+(1-EXP(-LN(2)/25))/(LN(2)/25)*Calculateur!DB43*Calculateur!DD43*VLOOKUP('Données projet'!$B$13,'Paramètres'!$A$1:$I$89,3,0)*0.475*44/12</f>
        <v>0</v>
      </c>
      <c r="DH43" s="142">
        <f>EXP(-LN(2)/2)*DH42+(1-EXP(-LN(2)/2))/(LN(2)/2)*DB43*DE43*VLOOKUP('Données projet'!$B$13,'Paramètres'!$A$1:$I$89,3,0)*0.475*44/12</f>
        <v>0</v>
      </c>
      <c r="DI43" s="143">
        <f t="shared" si="16"/>
        <v>0</v>
      </c>
      <c r="DJ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8">
        <f>VLOOKUP(A43,'Données projet'!$A$165:$I$185,2,0)</f>
        <v>137</v>
      </c>
      <c r="DM43" s="131">
        <f>VLOOKUP(A43,'Données projet'!$A$165:$I$185,9,0)</f>
        <v>8.4</v>
      </c>
      <c r="DN43" s="131">
        <f t="array" ref="DN43">INDEX(DM:DM,MIN(IF(ISNUMBER(DM43:DM239),ROW(DM43:DM239),"")))</f>
        <v>8.4</v>
      </c>
      <c r="DO43" s="138">
        <f>IF('Données projet'!$A$166&gt;35,DO42+DN43-DW42,IF(A43&lt;'Données projet'!$A$166,$DL$205^A43,IF(A43='Données projet'!$A$166,'Données projet'!$B$166,DO42+DN43-DW42)))</f>
        <v>137</v>
      </c>
      <c r="DP43" s="138">
        <f>DO43*VLOOKUP('Données projet'!$B$14,'Paramètres'!$A$1:$I$89,3,0)*VLOOKUP('Données projet'!$B$14,'Paramètres'!$A$1:$I$89,5,0)</f>
        <v>123.9576</v>
      </c>
      <c r="DQ43" s="130">
        <f t="shared" si="44"/>
        <v>32.59629415</v>
      </c>
      <c r="DR43" s="141">
        <f t="shared" si="17"/>
        <v>272.664699</v>
      </c>
      <c r="DS43" s="133">
        <f t="shared" si="18"/>
        <v>565.9980323</v>
      </c>
      <c r="DT43" s="133">
        <f>AVERAGE(OFFSET($DS$3,0,0,'Données projet'!$E$14+1,1))-AVERAGE(OFFSET($H$3,0,0,'Données projet'!$E$14+1,1))</f>
        <v>287.9334714</v>
      </c>
      <c r="DU43" s="133">
        <f t="shared" si="45"/>
        <v>156.6796502</v>
      </c>
      <c r="DV43" s="134">
        <f>IF(ISNA(VLOOKUP(A43,'Données projet'!$A$165:$I$185,3,0)),0,VLOOKUP(A43,'Données projet'!$A$165:$I$185,3,0))</f>
        <v>5</v>
      </c>
      <c r="DW43" s="144">
        <f>IF(ISNA(VLOOKUP(A43,'Données projet'!$A$165:$I$185,4,0)),0,VLOOKUP(A43,'Données projet'!$A$165:$I$185,4,0))</f>
        <v>21</v>
      </c>
      <c r="DX43" s="135">
        <f>IF(ISNA(VLOOKUP(A43,'Données projet'!$A$165:$I$185,5,0)),0%,VLOOKUP(A43,'Données projet'!$A$165:$I$185,5,0)*VLOOKUP('Données projet'!$B$14,'Paramètres'!$A$1:$I$89,7,0))</f>
        <v>0.086</v>
      </c>
      <c r="DY43" s="135">
        <f>IF(ISNA(VLOOKUP(A43,'Données projet'!$A$165:$I$185,6,0)),0%,VLOOKUP(A43,'Données projet'!$A$165:$I$185,6,0)*VLOOKUP('Données projet'!$B$14,'Paramètres'!$A$1:$I$89,7,0))</f>
        <v>0</v>
      </c>
      <c r="DZ43" s="135" t="str">
        <f>IF(ISNA(VLOOKUP(A43,'Données projet'!$A$165:$I$185,7,0)),0%,VLOOKUP(A43,'Données projet'!$A$165:$I$185,7,0))</f>
        <v/>
      </c>
      <c r="EA43" s="142">
        <f>EXP(-LN(2)/35)*EA42+(1-EXP(-LN(2)/35))/(LN(2)/35)*DW43*DX43*VLOOKUP('Données projet'!$B$14,'Paramètres'!$A$1:$I$89,3,0)*0.475*44/12</f>
        <v>1.806414657</v>
      </c>
      <c r="EB43" s="142">
        <f>EXP(-LN(2)/25)*EB42+(1-EXP(-LN(2)/25))/(LN(2)/25)*Calculateur!DW43*Calculateur!DY43*VLOOKUP('Données projet'!$B$14,'Paramètres'!$A$1:$I$89,3,0)*0.475*44/12</f>
        <v>0</v>
      </c>
      <c r="EC43" s="142">
        <f>EXP(-LN(2)/2)*EC42+(1-EXP(-LN(2)/2))/(LN(2)/2)*DW43*DZ43*VLOOKUP('Données projet'!$B$14,'Paramètres'!$A$1:$I$89,3,0)*0.475*44/12</f>
        <v>0</v>
      </c>
      <c r="ED43" s="143">
        <f t="shared" si="19"/>
        <v>1.806414657</v>
      </c>
      <c r="EE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8">
        <f>VLOOKUP(A43,'Données projet'!$A$191:$I$211,2,0)</f>
        <v>115</v>
      </c>
      <c r="EH43" s="131">
        <f>VLOOKUP(A43,'Données projet'!$A$191:$I$211,9,0)</f>
        <v>7.8</v>
      </c>
      <c r="EI43" s="131">
        <f t="array" ref="EI43">INDEX(EH:EH,MIN(IF(ISNUMBER(EH43:EH239),ROW(EH43:EH239),"")))</f>
        <v>7.8</v>
      </c>
      <c r="EJ43" s="138">
        <f>IF('Données projet'!$A$192&gt;35,EJ42+EI43-ER42,IF(A43&lt;'Données projet'!$A$192,$EG$205^A43,IF(A43='Données projet'!$A$192,'Données projet'!$B$192,EJ42+EI43-ER42)))</f>
        <v>115</v>
      </c>
      <c r="EK43" s="138">
        <f>EJ43*VLOOKUP('Données projet'!$B$15,'Paramètres'!$A$1:$I$89,3,0)*VLOOKUP('Données projet'!$B$15,'Paramètres'!$A$1:$I$89,5,0)</f>
        <v>84.318</v>
      </c>
      <c r="EL43" s="130">
        <f t="shared" si="46"/>
        <v>23.1897058</v>
      </c>
      <c r="EM43" s="141">
        <f t="shared" si="20"/>
        <v>187.2425876</v>
      </c>
      <c r="EN43" s="133">
        <f t="shared" si="21"/>
        <v>480.5759209</v>
      </c>
      <c r="EO43" s="133">
        <f>AVERAGE(OFFSET($EN$3,0,0,'Données projet'!$E$15+1,1))-AVERAGE(OFFSET($H$3,0,0,'Données projet'!$E$15+1,1))</f>
        <v>130.3193339</v>
      </c>
      <c r="EP43" s="133">
        <f t="shared" si="47"/>
        <v>82.22784365</v>
      </c>
      <c r="EQ43" s="134">
        <f>IF(ISNA(VLOOKUP(A43,'Données projet'!$A$191:$I$211,3,0)),0,VLOOKUP(A43,'Données projet'!$A$191:$I$211,3,0))</f>
        <v>4</v>
      </c>
      <c r="ER43" s="144">
        <f>IF(ISNA(VLOOKUP(A43,'Données projet'!$A$191:$I$211,4,0)),0,VLOOKUP(A43,'Données projet'!$A$191:$I$211,4,0))</f>
        <v>21</v>
      </c>
      <c r="ES43" s="135">
        <f>IF(ISNA(VLOOKUP(A43,'Données projet'!$A$191:$I$211,5,0)),0%,VLOOKUP(A43,'Données projet'!$A$191:$I$211,5,0)*VLOOKUP('Données projet'!$B$15,'Paramètres'!$A$1:$I$89,7,0))</f>
        <v>0.086</v>
      </c>
      <c r="ET43" s="135">
        <f>IF(ISNA(VLOOKUP(A43,'Données projet'!$A$191:$I$211,6,0)),0%,VLOOKUP(A43,'Données projet'!$A$191:$I$211,6,0)*VLOOKUP('Données projet'!$B$15,'Paramètres'!$A$1:$I$89,7,0))</f>
        <v>0</v>
      </c>
      <c r="EU43" s="135" t="str">
        <f>IF(ISNA(VLOOKUP(A43,'Données projet'!$A$191:$I$211,7,0)),0%,VLOOKUP(A43,'Données projet'!$A$191:$I$211,7,0))</f>
        <v/>
      </c>
      <c r="EV43" s="142">
        <f>EXP(-LN(2)/35)*EV42+(1-EXP(-LN(2)/35))/(LN(2)/35)*ER43*ES43*VLOOKUP('Données projet'!$B$15,'Paramètres'!$A$1:$I$89,3,0)*0.475*44/12</f>
        <v>3.475818245</v>
      </c>
      <c r="EW43" s="142">
        <f>EXP(-LN(2)/25)*EW42+(1-EXP(-LN(2)/25))/(LN(2)/25)*Calculateur!ER43*Calculateur!ET43*VLOOKUP('Données projet'!$B$15,'Paramètres'!$A$1:$I$89,3,0)*0.475*44/12</f>
        <v>0</v>
      </c>
      <c r="EX43" s="142">
        <f>EXP(-LN(2)/2)*EX42+(1-EXP(-LN(2)/2))/(LN(2)/2)*ER43*EU43*VLOOKUP('Données projet'!$B$15,'Paramètres'!$A$1:$I$89,3,0)*0.475*44/12</f>
        <v>0</v>
      </c>
      <c r="EY43" s="143">
        <f t="shared" si="22"/>
        <v>3.475818245</v>
      </c>
      <c r="EZ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1">
        <f>VLOOKUP(A43,'Données projet'!$A$217:$I$237,2,0)</f>
        <v>227</v>
      </c>
      <c r="FC43" s="130">
        <f>VLOOKUP(A43,'Données projet'!$A$217:$I$237,9,0)</f>
        <v>7</v>
      </c>
      <c r="FD43" s="130">
        <f t="array" ref="FD43">INDEX(FC:FC,MIN(IF(ISNUMBER(FC43:FC239),ROW(FC43:FC239),"")))</f>
        <v>7</v>
      </c>
      <c r="FE43" s="130">
        <f>IF('Données projet'!$A$218&gt;35,FE42+FD43-FM42,IF(A43&lt;'Données projet'!$A$218,$FB$205^A43,IF(A43='Données projet'!$A$218,'Données projet'!$B$218,FE42+FD43-FM42)))</f>
        <v>227</v>
      </c>
      <c r="FF43" s="138">
        <f>FE43*VLOOKUP('Données projet'!$B$16,'Paramètres'!$A$1:$I$89,3,0)*VLOOKUP('Données projet'!$B$16,'Paramètres'!$A$1:$I$89,5,0)</f>
        <v>205.3896</v>
      </c>
      <c r="FG43" s="130">
        <f t="shared" si="48"/>
        <v>50.92679935</v>
      </c>
      <c r="FH43" s="141">
        <f t="shared" si="23"/>
        <v>446.4177289</v>
      </c>
      <c r="FI43" s="133">
        <f t="shared" si="24"/>
        <v>739.7510622</v>
      </c>
      <c r="FJ43" s="133">
        <f>AVERAGE(OFFSET($FI$3,0,0,'Données projet'!$E$16+1,1))-AVERAGE(OFFSET($H$3,0,0,'Données projet'!$E$16+1,1))</f>
        <v>305.6252353</v>
      </c>
      <c r="FK43" s="133">
        <f t="shared" si="49"/>
        <v>331.397916</v>
      </c>
      <c r="FL43" s="134">
        <f>IF(ISNA(VLOOKUP(A43,'Données projet'!$A$217:$I$237,3,0)),0,VLOOKUP(A43,'Données projet'!$A$217:$I$237,3,0))</f>
        <v>6</v>
      </c>
      <c r="FM43" s="134">
        <f>IF(ISNA(VLOOKUP(A43,'Données projet'!$A$217:$I$237,4,0)),0,VLOOKUP(A43,'Données projet'!$A$217:$I$237,4,0))</f>
        <v>14</v>
      </c>
      <c r="FN43" s="135">
        <f>IF(ISNA(VLOOKUP(A43,'Données projet'!$A$217:$I$237,5,0)),0%,VLOOKUP(A43,'Données projet'!$A$217:$I$237,5,0)*VLOOKUP('Données projet'!$B$16,'Paramètres'!$A$1:$I$89,7,0))</f>
        <v>0.06</v>
      </c>
      <c r="FO43" s="135">
        <f>IF(ISNA(VLOOKUP(A43,'Données projet'!$A$217:$I$237,6,0)),0%,VLOOKUP(A43,'Données projet'!$A$217:$I$237,6,0)*VLOOKUP('Données projet'!$B$16,'Paramètres'!$A$1:$I$89,7,0))</f>
        <v>0</v>
      </c>
      <c r="FP43" s="135" t="str">
        <f>IF(ISNA(VLOOKUP(A43,'Données projet'!$A$217:$I$237,7,0)),0%,VLOOKUP(A43,'Données projet'!$A$217:$I$237,7,0))</f>
        <v/>
      </c>
      <c r="FQ43" s="142">
        <f>EXP(-LN(2)/35)*FQ42+(1-EXP(-LN(2)/35))/(LN(2)/35)*FM43*FN43*VLOOKUP('Données projet'!$B$16,'Paramètres'!$A$1:$I$89,3,0)*0.475*44/12</f>
        <v>1.709887217</v>
      </c>
      <c r="FR43" s="142">
        <f>EXP(-LN(2)/25)*FR42+(1-EXP(-LN(2)/25))/(LN(2)/25)*Calculateur!FM43*Calculateur!FO43*VLOOKUP('Données projet'!$B$16,'Paramètres'!$A$1:$I$89,3,0)*0.475*44/12</f>
        <v>0</v>
      </c>
      <c r="FS43" s="142">
        <f>EXP(-LN(2)/2)*FS42+(1-EXP(-LN(2)/2))/(LN(2)/2)*FM43*FP43*VLOOKUP('Données projet'!$B$16,'Paramètres'!$A$1:$I$89,3,0)*0.475*44/12</f>
        <v>0</v>
      </c>
      <c r="FT43" s="143">
        <f t="shared" si="25"/>
        <v>1.709887217</v>
      </c>
      <c r="FU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8">
        <f>VLOOKUP(A43,'Données projet'!$A$243:$I$263,2,0)</f>
        <v>163</v>
      </c>
      <c r="FX43" s="130">
        <f>VLOOKUP(A43,'Données projet'!$A$243:$I$263,9,0)</f>
        <v>10.4</v>
      </c>
      <c r="FY43" s="130">
        <f t="array" ref="FY43">INDEX(FX:FX,MIN(IF(ISNUMBER(FX43:FX239),ROW(FX43:FX239),"")))</f>
        <v>10.4</v>
      </c>
      <c r="FZ43" s="138">
        <f>IF('Données projet'!$A$244&gt;35,FZ42+FY43-GH42,IF(A43&lt;'Données projet'!$A$244,$FW$205^A43,IF(A43='Données projet'!$A$244,'Données projet'!$B$244,FZ42+FY43-GH42)))</f>
        <v>163</v>
      </c>
      <c r="GA43" s="138">
        <f>FZ43*VLOOKUP('Données projet'!$B$17,'Paramètres'!$A$1:$I$89,3,0)*VLOOKUP('Données projet'!$B$17,'Paramètres'!$A$1:$I$89,5,0)</f>
        <v>109.3404</v>
      </c>
      <c r="GB43" s="130">
        <f t="shared" si="50"/>
        <v>29.17552331</v>
      </c>
      <c r="GC43" s="141">
        <f t="shared" si="26"/>
        <v>241.2485664</v>
      </c>
      <c r="GD43" s="133">
        <f t="shared" si="27"/>
        <v>534.5818998</v>
      </c>
      <c r="GE43" s="133">
        <f>AVERAGE(OFFSET($GD$3,0,0,'Données projet'!$E$17+1,1))-AVERAGE(OFFSET($H$3,0,0,'Données projet'!$E$17+1,1))</f>
        <v>118.7368745</v>
      </c>
      <c r="GF43" s="133">
        <f t="shared" si="51"/>
        <v>135.1233677</v>
      </c>
      <c r="GG43" s="134">
        <f>IF(ISNA(VLOOKUP(A43,'Données projet'!$A$243:$I$263,3,0)),0,VLOOKUP(A43,'Données projet'!$A$243:$I$263,3,0))</f>
        <v>5</v>
      </c>
      <c r="GH43" s="144">
        <f>IF(ISNA(VLOOKUP(A43,'Données projet'!$A$243:$I$263,4,0)),0,VLOOKUP(A43,'Données projet'!$A$243:$I$263,4,0))</f>
        <v>28</v>
      </c>
      <c r="GI43" s="135">
        <f>IF(ISNA(VLOOKUP(A43,'Données projet'!$A$243:$I$263,5,0)),0%,VLOOKUP(A43,'Données projet'!$A$243:$I$263,5,0)*VLOOKUP('Données projet'!$B$17,'Paramètres'!$A$1:$I$89,7,0))</f>
        <v>0.212</v>
      </c>
      <c r="GJ43" s="135">
        <f>IF(ISNA(VLOOKUP(A43,'Données projet'!$A$243:$I$263,6,0)),0%,VLOOKUP(A43,'Données projet'!$A$243:$I$263,6,0)*VLOOKUP('Données projet'!$B$17,'Paramètres'!$A$1:$I$89,7,0))</f>
        <v>0</v>
      </c>
      <c r="GK43" s="135" t="str">
        <f>IF(ISNA(VLOOKUP(A43,'Données projet'!$A$243:$I$263,7,0)),0%,VLOOKUP(A43,'Données projet'!$A$243:$I$263,7,0))</f>
        <v/>
      </c>
      <c r="GL43" s="142">
        <f>EXP(-LN(2)/35)*GL42+(1-EXP(-LN(2)/35))/(LN(2)/35)*GH43*GI43*VLOOKUP('Données projet'!$B$17,'Paramètres'!$A$1:$I$89,3,0)*0.475*44/12</f>
        <v>6.395262441</v>
      </c>
      <c r="GM43" s="142">
        <f>EXP(-LN(2)/25)*GM42+(1-EXP(-LN(2)/25))/(LN(2)/25)*Calculateur!GH43*Calculateur!GJ43*VLOOKUP('Données projet'!$B$17,'Paramètres'!$A$1:$I$89,3,0)*0.475*44/12</f>
        <v>0</v>
      </c>
      <c r="GN43" s="142">
        <f>EXP(-LN(2)/2)*GN42+(1-EXP(-LN(2)/2))/(LN(2)/2)*GH43*GK43*VLOOKUP('Données projet'!$B$17,'Paramètres'!$A$1:$I$89,3,0)*0.475*44/12</f>
        <v>0</v>
      </c>
      <c r="GO43" s="142">
        <f t="shared" si="28"/>
        <v>6.395262441</v>
      </c>
      <c r="GP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8">
        <f>VLOOKUP(A43,'Données projet'!$A$269:$I$289,2,0)</f>
        <v>93</v>
      </c>
      <c r="GS43" s="130">
        <f>VLOOKUP(A43,'Données projet'!$A$269:$I$289,9,0)</f>
        <v>5.4</v>
      </c>
      <c r="GT43" s="130">
        <f t="array" ref="GT43">INDEX(GS:GS,MIN(IF(ISNUMBER(GS43:GS239),ROW(GS43:GS239),"")))</f>
        <v>5.4</v>
      </c>
      <c r="GU43" s="138">
        <f>IF('Données projet'!$A$270&gt;35,GU42+GT43-HC42,IF(A43&lt;'Données projet'!$A$270,$GR$205^A43,IF(A43='Données projet'!$A$270,'Données projet'!$B$270,GU42+GT43-HC42)))</f>
        <v>93</v>
      </c>
      <c r="GV43" s="138">
        <f>GU43*VLOOKUP('Données projet'!$B$18,'Paramètres'!$A$1:$I$89,3,0)*VLOOKUP('Données projet'!$B$18,'Paramètres'!$A$1:$I$89,5,0)</f>
        <v>100.1052</v>
      </c>
      <c r="GW43" s="130">
        <f t="shared" si="52"/>
        <v>26.98705846</v>
      </c>
      <c r="GX43" s="141">
        <f t="shared" si="29"/>
        <v>221.3523502</v>
      </c>
      <c r="GY43" s="133">
        <f t="shared" si="30"/>
        <v>514.6856835</v>
      </c>
      <c r="GZ43" s="133">
        <f>AVERAGE(OFFSET($GY$3,0,0,'Données projet'!$E$18+1,1))-AVERAGE(OFFSET($H$3,0,0,'Données projet'!$E$18+1,1))</f>
        <v>100.5427875</v>
      </c>
      <c r="HA43" s="133">
        <f t="shared" si="53"/>
        <v>92.28663609</v>
      </c>
      <c r="HB43" s="134">
        <f>IF(ISNA(VLOOKUP(A43,'Données projet'!$A$269:$I$289,3,0)),0,VLOOKUP(A43,'Données projet'!$A$269:$I$289,3,0))</f>
        <v>4</v>
      </c>
      <c r="HC43" s="144">
        <f>IF(ISNA(VLOOKUP(A43,'Données projet'!$A$269:$I$289,4,0)),0,VLOOKUP(A43,'Données projet'!$A$269:$I$289,4,0))</f>
        <v>14</v>
      </c>
      <c r="HD43" s="135">
        <f>IF(ISNA(VLOOKUP(A43,'Données projet'!$A$269:$I$289,5,0)),0%,VLOOKUP(A43,'Données projet'!$A$269:$I$289,5,0)*VLOOKUP('Données projet'!$B$18,'Paramètres'!$A$1:$I$89,7,0))</f>
        <v>0.086</v>
      </c>
      <c r="HE43" s="135">
        <f>IF(ISNA(VLOOKUP(A43,'Données projet'!$A$269:$I$289,6,0)),0%,VLOOKUP(A43,'Données projet'!$A$269:$I$289,6,0)*VLOOKUP('Données projet'!$B$18,'Paramètres'!$A$1:$I$89,7,0))</f>
        <v>0</v>
      </c>
      <c r="HF43" s="135" t="str">
        <f>IF(ISNA(VLOOKUP(A43,'Données projet'!$A$269:$I$289,7,0)),0%,VLOOKUP(A43,'Données projet'!$A$269:$I$289,7,0))</f>
        <v/>
      </c>
      <c r="HG43" s="142">
        <f>EXP(-LN(2)/35)*HG42+(1-EXP(-LN(2)/35))/(LN(2)/35)*HC43*HD43*VLOOKUP('Données projet'!$B$18,'Paramètres'!$A$1:$I$89,3,0)*0.475*44/12</f>
        <v>2.637593984</v>
      </c>
      <c r="HH43" s="142">
        <f>EXP(-LN(2)/25)*HH42+(1-EXP(-LN(2)/25))/(LN(2)/25)*Calculateur!HC43*Calculateur!HE43*VLOOKUP('Données projet'!$B$18,'Paramètres'!$A$1:$I$89,3,0)*0.475*44/12</f>
        <v>0</v>
      </c>
      <c r="HI43" s="142">
        <f>EXP(-LN(2)/2)*HI42+(1-EXP(-LN(2)/2))/(LN(2)/2)*HC43*HF43*VLOOKUP('Données projet'!$B$18,'Paramètres'!$A$1:$I$89,3,0)*0.475*44/12</f>
        <v>0</v>
      </c>
      <c r="HJ43" s="143">
        <f t="shared" si="31"/>
        <v>2.637593984</v>
      </c>
    </row>
    <row r="44" ht="15.75" customHeight="1">
      <c r="A44" s="125">
        <f t="shared" si="32"/>
        <v>41</v>
      </c>
      <c r="B44" s="126">
        <f>'Scénario référence'!$B$16*5+'Scénario référence'!$B$17*0+'Scénario référence'!$B$18*5</f>
        <v>0</v>
      </c>
      <c r="C44" s="140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22.386</v>
      </c>
      <c r="D44" s="127">
        <f t="shared" si="33"/>
        <v>7.184413161</v>
      </c>
      <c r="E4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7">
        <f>IF(OR('Scénario référence'!$F$8&gt;0,'Scénario référence'!$F$9&gt;0),('Scénario référence'!$F$8+'Scénario référence'!$F$9)*10,0)</f>
        <v>10</v>
      </c>
      <c r="G44" s="127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</v>
      </c>
      <c r="H44" s="128">
        <f t="shared" si="1"/>
        <v>344.8351363</v>
      </c>
      <c r="I44" s="12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1" t="str">
        <f>VLOOKUP(A44,'Données projet'!$A$35:$I$55,2,0)</f>
        <v>#N/A</v>
      </c>
      <c r="L44" s="131" t="str">
        <f>VLOOKUP(A44,'Données projet'!$A$35:$I$55,9,0)</f>
        <v>#N/A</v>
      </c>
      <c r="M44" s="131">
        <f t="array" ref="M44">INDEX(L:L,MIN(IF(ISNUMBER(L44:L240),ROW(L44:L240),"")))</f>
        <v>11.6</v>
      </c>
      <c r="N44" s="130">
        <f>IF('Données projet'!$A$36&gt;35,N43+M44-V43,IF(A44&lt;'Données projet'!$A$36,$K$205^A44,IF(A44='Données projet'!$A$36,'Données projet'!$B$36,N43+M44-V43)))</f>
        <v>181.6</v>
      </c>
      <c r="O44" s="130">
        <f>N44*VLOOKUP('Données projet'!$B$9,'Paramètres'!$A$1:$I$89,3,0)*VLOOKUP('Données projet'!$B$9,'Paramètres'!$A$1:$I$89,5,0)</f>
        <v>103.8752</v>
      </c>
      <c r="P44" s="130">
        <f t="shared" si="34"/>
        <v>27.88315775</v>
      </c>
      <c r="Q44" s="141">
        <f t="shared" si="2"/>
        <v>229.4791398</v>
      </c>
      <c r="R44" s="133">
        <f t="shared" si="3"/>
        <v>522.8124731</v>
      </c>
      <c r="S44" s="133">
        <f>AVERAGE(OFFSET($R$3,0,0,'Données projet'!$E$9+1,1))-AVERAGE(OFFSET($H$3,0,0,'Données projet'!$E$9+1,1))</f>
        <v>126.9946492</v>
      </c>
      <c r="T44" s="133">
        <f t="shared" si="35"/>
        <v>140.039049</v>
      </c>
      <c r="U44" s="134">
        <f>IF(ISNA(VLOOKUP(A44,'Données projet'!$A$35:$I$55,3,0)),0,VLOOKUP(A44,'Données projet'!$A$35:$I$55,3,0))</f>
        <v>0</v>
      </c>
      <c r="V44" s="134">
        <f>IF(ISNA(VLOOKUP(A44,'Données projet'!$A$35:$I$55,4,0)),0,VLOOKUP(A44,'Données projet'!$A$35:$I$55,4,0))</f>
        <v>0</v>
      </c>
      <c r="W44" s="135">
        <f>IF(ISNA(VLOOKUP(A44,'Données projet'!$A$35:$I$55,5,0)),0%,VLOOKUP(A44,'Données projet'!$A$35:$I$55,5,0)*VLOOKUP('Données projet'!$B$9,'Paramètres'!$A$1:$I$89,7,0))</f>
        <v>0</v>
      </c>
      <c r="X44" s="135">
        <f>IF(ISNA(VLOOKUP(A44,'Données projet'!$A$35:$I$55,6,0)),0%,VLOOKUP(A44,'Données projet'!$A$35:$I$55,6,0)*VLOOKUP('Données projet'!$B$9,'Paramètres'!$A$1:$I$89,7,0))</f>
        <v>0</v>
      </c>
      <c r="Y44" s="135">
        <f>IF(ISNA(VLOOKUP(A44,'Données projet'!$A$35:$I$55,7,0)),0%,VLOOKUP(A44,'Données projet'!$A$35:$I$55,7,0))</f>
        <v>0</v>
      </c>
      <c r="Z44" s="142">
        <f>EXP(-LN(2)/35)*Z43+(1-EXP(-LN(2)/35))/(LN(2)/35)*V44*W44*VLOOKUP('Données projet'!$B$9,'Paramètres'!$A$1:$I$89,3,0)*0.475*44/12</f>
        <v>7.915644687</v>
      </c>
      <c r="AA44" s="142">
        <f>EXP(-LN(2)/25)*AA43+(1-EXP(-LN(2)/25))/(LN(2)/25)*Calculateur!V44*Calculateur!X44*VLOOKUP('Données projet'!$B$9,'Paramètres'!$A$1:$I$89,3,0)*0.475*44/12</f>
        <v>11.77518487</v>
      </c>
      <c r="AB44" s="142">
        <f>EXP(-LN(2)/2)*AB43+(1-EXP(-LN(2)/2))/(LN(2)/2)*V44*Y44*VLOOKUP('Données projet'!$B$9,'Paramètres'!$A$1:$I$89,3,0)*0.475*44/12</f>
        <v>5.400347311</v>
      </c>
      <c r="AC44" s="143">
        <f t="shared" si="4"/>
        <v>25.09117686</v>
      </c>
      <c r="AD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1" t="str">
        <f>VLOOKUP(A44,'Données projet'!$A$61:$I$81,2,0)</f>
        <v>#N/A</v>
      </c>
      <c r="AG44" s="131" t="str">
        <f>VLOOKUP(A44,'Données projet'!$A$61:$I$81,9,0)</f>
        <v>#N/A</v>
      </c>
      <c r="AH44" s="131">
        <f t="array" ref="AH44">INDEX(AG:AG,MIN(IF(ISNUMBER(AG44:AG240),ROW(AG44:AG240),"")))</f>
        <v>19</v>
      </c>
      <c r="AI44" s="130">
        <f>IF('Données projet'!$A$62&gt;35,AI43+AH44-AQ43,IF(A44&lt;'Données projet'!$A$62,$AF$205^A44,IF(A44='Données projet'!$A$62,'Données projet'!$B$62,AI43+AH44-AQ43)))</f>
        <v>242</v>
      </c>
      <c r="AJ44" s="130">
        <f>AI44*VLOOKUP('Données projet'!$B$10,'Paramètres'!$A$1:$I$89,3,0)*VLOOKUP('Données projet'!$B$10,'Paramètres'!$A$1:$I$89,5,0)</f>
        <v>144.716</v>
      </c>
      <c r="AK44" s="130">
        <f t="shared" si="36"/>
        <v>37.37528289</v>
      </c>
      <c r="AL44" s="141">
        <f t="shared" si="5"/>
        <v>317.1423177</v>
      </c>
      <c r="AM44" s="133">
        <f t="shared" si="6"/>
        <v>610.475651</v>
      </c>
      <c r="AN44" s="133">
        <f>AVERAGE(OFFSET($AM$3,0,0,'Données projet'!$E$10+1,1))-AVERAGE(OFFSET($H$3,0,0,'Données projet'!$E$10+1,1))</f>
        <v>196.874484</v>
      </c>
      <c r="AO44" s="133">
        <f t="shared" si="37"/>
        <v>217.5750859</v>
      </c>
      <c r="AP44" s="134">
        <f>IF(ISNA(VLOOKUP(A44,'Données projet'!$A$61:$I$81,3,0)),0,VLOOKUP(A44,'Données projet'!$A$61:$I$81,3,0))</f>
        <v>0</v>
      </c>
      <c r="AQ44" s="134">
        <f>IF(ISNA(VLOOKUP(A44,'Données projet'!$A$61:$I$81,4,0)),0,VLOOKUP(A44,'Données projet'!$A$61:$I$81,4,0))</f>
        <v>0</v>
      </c>
      <c r="AR44" s="135">
        <f>IF(ISNA(VLOOKUP(A44,'Données projet'!$A$61:$I$81,5,0)),0%,VLOOKUP(A44,'Données projet'!$A$61:$I$81,5,0)*VLOOKUP('Données projet'!$B$10,'Paramètres'!$A$1:$I$89,7,0))</f>
        <v>0</v>
      </c>
      <c r="AS44" s="135">
        <f>IF(ISNA(VLOOKUP(A44,'Données projet'!$A$61:$I$81,6,0)),0%,VLOOKUP(A44,'Données projet'!$A$61:$I$81,6,0)*VLOOKUP('Données projet'!$B$10,'Paramètres'!$A$1:$I$89,7,0))</f>
        <v>0</v>
      </c>
      <c r="AT44" s="135">
        <f>IF(ISNA(VLOOKUP(A44,'Données projet'!$A$61:$I$81,7,0)),0%,VLOOKUP(A44,'Données projet'!$A$61:$I$81,7,0))</f>
        <v>0</v>
      </c>
      <c r="AU44" s="142">
        <f>EXP(-LN(2)/35)*AU43+(1-EXP(-LN(2)/35))/(LN(2)/35)*AQ44*AR44*VLOOKUP('Données projet'!$B$10,'Paramètres'!$A$1:$I$89,3,0)*0.475*44/12</f>
        <v>10.29118886</v>
      </c>
      <c r="AV44" s="142">
        <f>EXP(-LN(2)/25)*AV43+(1-EXP(-LN(2)/25))/(LN(2)/25)*Calculateur!AQ44*Calculateur!AS44*VLOOKUP('Données projet'!$B$10,'Paramètres'!$A$1:$I$89,3,0)*0.475*44/12</f>
        <v>18.34055907</v>
      </c>
      <c r="AW44" s="142">
        <f>EXP(-LN(2)/2)*AW43+(1-EXP(-LN(2)/2))/(LN(2)/2)*AQ44*AT44*VLOOKUP('Données projet'!$B$10,'Paramètres'!$A$1:$I$89,3,0)*0.475*44/12</f>
        <v>6.609011653</v>
      </c>
      <c r="AX44" s="142">
        <f t="shared" si="7"/>
        <v>35.24075959</v>
      </c>
      <c r="AY44" s="13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1" t="str">
        <f>VLOOKUP(A44,'Données projet'!$A$87:$I$107,2,0)</f>
        <v>#N/A</v>
      </c>
      <c r="BB44" s="131" t="str">
        <f>VLOOKUP(A44,'Données projet'!$A$87:$I$107,9,0)</f>
        <v>#N/A</v>
      </c>
      <c r="BC44" s="130">
        <f t="array" ref="BC44">INDEX(BB:BB,MIN(IF(ISNUMBER(BB44:BB240),ROW(BB44:BB240),"")))</f>
        <v>14</v>
      </c>
      <c r="BD44" s="130">
        <f>IF('Données projet'!$A$88&gt;35,BD43+BC44-BL43,IF(A44&lt;'Données projet'!$A$88,$BA$205^A44,IF(A44='Données projet'!$A$88,'Données projet'!$B$88,BD43+BC44-BL43)))</f>
        <v>174</v>
      </c>
      <c r="BE44" s="130">
        <f>BD44*VLOOKUP('Données projet'!$B$11,'Paramètres'!$A$1:$I$89,3,0)*VLOOKUP('Données projet'!$B$11,'Paramètres'!$A$1:$I$89,5,0)</f>
        <v>81.432</v>
      </c>
      <c r="BF44" s="130">
        <f t="shared" si="38"/>
        <v>22.48695322</v>
      </c>
      <c r="BG44" s="141">
        <f t="shared" si="8"/>
        <v>180.9921769</v>
      </c>
      <c r="BH44" s="133">
        <f t="shared" si="9"/>
        <v>474.3255102</v>
      </c>
      <c r="BI44" s="133">
        <f>AVERAGE(OFFSET($BH$3,0,0,'Données projet'!$E$11+1,1))-AVERAGE(OFFSET($H$3,0,0,'Données projet'!$E$11+1,1))</f>
        <v>134.0948534</v>
      </c>
      <c r="BJ44" s="133">
        <f t="shared" si="39"/>
        <v>108.4102536</v>
      </c>
      <c r="BK44" s="134">
        <f>IF(ISNA(VLOOKUP(A44,'Données projet'!$A$87:$I$107,3,0)),0,VLOOKUP(A44,'Données projet'!$A$87:$I$107,3,0))</f>
        <v>0</v>
      </c>
      <c r="BL44" s="134">
        <f>IF(ISNA(VLOOKUP(A44,'Données projet'!$A$87:$I$107,4,0)),0,VLOOKUP(A44,'Données projet'!$A$87:$I$107,4,0))</f>
        <v>0</v>
      </c>
      <c r="BM44" s="135">
        <f>IF(ISNA(VLOOKUP(A44,'Données projet'!$A$87:$I$107,5,0)),0%,VLOOKUP(A44,'Données projet'!$A$87:$I$107,5,0)*VLOOKUP('Données projet'!$B$11,'Paramètres'!$A$1:$I$89,7,0))</f>
        <v>0</v>
      </c>
      <c r="BN44" s="135">
        <f>IF(ISNA(VLOOKUP(A44,'Données projet'!$A$87:$I$107,6,0)),0%,VLOOKUP(A44,'Données projet'!$A$87:$I$107,6,0)*VLOOKUP('Données projet'!$B$11,'Paramètres'!$A$1:$I$89,7,0))</f>
        <v>0</v>
      </c>
      <c r="BO44" s="135">
        <f>IF(ISNA(VLOOKUP(A44,'Données projet'!$A$87:$I$107,7,0)),0%,VLOOKUP(A44,'Données projet'!$A$87:$I$107,7,0))</f>
        <v>0</v>
      </c>
      <c r="BP44" s="142">
        <f>EXP(-LN(2)/35)*BP43+(1-EXP(-LN(2)/35))/(LN(2)/35)*BL44*BM44*VLOOKUP('Données projet'!$B$11,'Paramètres'!$A$1:$I$89,3,0)*0.475*44/12</f>
        <v>8.892174545</v>
      </c>
      <c r="BQ44" s="142">
        <f>EXP(-LN(2)/25)*BQ43+(1-EXP(-LN(2)/25))/(LN(2)/25)*Calculateur!BL44*Calculateur!BN44*VLOOKUP('Données projet'!$B$11,'Paramètres'!$A$1:$I$89,3,0)*0.475*44/12</f>
        <v>10.0503651</v>
      </c>
      <c r="BR44" s="142">
        <f>EXP(-LN(2)/2)*BR43+(1-EXP(-LN(2)/2))/(LN(2)/2)*BL44*BO44*VLOOKUP('Données projet'!$B$11,'Paramètres'!$A$1:$I$89,3,0)*0.475*44/12</f>
        <v>5.110704428</v>
      </c>
      <c r="BS44" s="143">
        <f t="shared" si="10"/>
        <v>24.05324408</v>
      </c>
      <c r="BT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1" t="str">
        <f>VLOOKUP(A44,'Données projet'!$A$113:$I$133,2,0)</f>
        <v>#N/A</v>
      </c>
      <c r="BW44" s="131" t="str">
        <f>VLOOKUP(A44,'Données projet'!$A$113:$I$133,9,0)</f>
        <v>#N/A</v>
      </c>
      <c r="BX44" s="130">
        <f t="array" ref="BX44">INDEX(BW:BW,MIN(IF(ISNUMBER(BW44:BW240),ROW(BW44:BW240),"")))</f>
        <v>24.2</v>
      </c>
      <c r="BY44" s="130">
        <f>IF('Données projet'!$A$114&gt;35,BY43+BX44-CG43,IF(A44&lt;'Données projet'!$A$114,$BV$205^A44,IF(A44='Données projet'!$A$114,'Données projet'!$B$114,BY43+BX44-CG43)))</f>
        <v>397.2</v>
      </c>
      <c r="BZ44" s="130">
        <f>BY44*VLOOKUP('Données projet'!$B$12,'Paramètres'!$A$1:$I$89,3,0)*VLOOKUP('Données projet'!$B$12,'Paramètres'!$A$1:$I$89,5,0)</f>
        <v>196.2168</v>
      </c>
      <c r="CA44" s="130">
        <f t="shared" si="40"/>
        <v>48.91181303</v>
      </c>
      <c r="CB44" s="141">
        <f t="shared" si="11"/>
        <v>426.9323344</v>
      </c>
      <c r="CC44" s="133">
        <f t="shared" si="12"/>
        <v>720.2656677</v>
      </c>
      <c r="CD44" s="133">
        <f>AVERAGE(OFFSET($CC$3,0,0,'Données projet'!$E$12+1,1))-AVERAGE(OFFSET($H$3,0,0,'Données projet'!$E$12+1,1))</f>
        <v>258.1672054</v>
      </c>
      <c r="CE44" s="133">
        <f t="shared" si="41"/>
        <v>296.0724261</v>
      </c>
      <c r="CF44" s="134">
        <f>IF(ISNA(VLOOKUP(A44,'Données projet'!$A$113:$I$133,3,0)),0,VLOOKUP(A44,'Données projet'!$A$113:$I$133,3,0))</f>
        <v>0</v>
      </c>
      <c r="CG44" s="134">
        <f>IF(ISNA(VLOOKUP(A44,'Données projet'!$A$113:$I$133,4,0)),0,VLOOKUP(A44,'Données projet'!$A$113:$I$133,4,0))</f>
        <v>0</v>
      </c>
      <c r="CH44" s="135">
        <f>IF(ISNA(VLOOKUP(A44,'Données projet'!$A$113:$I$133,5,0)),0%,VLOOKUP(A44,'Données projet'!$A$113:$I$133,5,0)*VLOOKUP('Données projet'!$B$12,'Paramètres'!$A$1:$I$89,7,0))</f>
        <v>0</v>
      </c>
      <c r="CI44" s="135">
        <f>IF(ISNA(VLOOKUP(A44,'Données projet'!$A$113:$I$133,6,0)),0%,VLOOKUP(A44,'Données projet'!$A$113:$I$133,6,0)*VLOOKUP('Données projet'!$B$12,'Paramètres'!$A$1:$I$89,7,0))</f>
        <v>0</v>
      </c>
      <c r="CJ44" s="135">
        <f>IF(ISNA(VLOOKUP(A44,'Données projet'!$A$113:$I$133,7,0)),0%,VLOOKUP(A44,'Données projet'!$A$113:$I$133,7,0))</f>
        <v>0</v>
      </c>
      <c r="CK44" s="142">
        <f>EXP(-LN(2)/35)*CK43+(1-EXP(-LN(2)/35))/(LN(2)/35)*CG44*CH44*VLOOKUP('Données projet'!$B$12,'Paramètres'!$A$1:$I$89,3,0)*0.475*44/12</f>
        <v>23.93031204</v>
      </c>
      <c r="CL44" s="142">
        <f>EXP(-LN(2)/25)*CL43+(1-EXP(-LN(2)/25))/(LN(2)/25)*Calculateur!CG44*Calculateur!CI44*VLOOKUP('Données projet'!$B$12,'Paramètres'!$A$1:$I$89,3,0)*0.475*44/12</f>
        <v>28.22283261</v>
      </c>
      <c r="CM44" s="142">
        <f>EXP(-LN(2)/2)*CM43+(1-EXP(-LN(2)/2))/(LN(2)/2)*CG44*CJ44*VLOOKUP('Données projet'!$B$12,'Paramètres'!$A$1:$I$89,3,0)*0.475*44/12</f>
        <v>7.94472901</v>
      </c>
      <c r="CN44" s="143">
        <f t="shared" si="13"/>
        <v>60.09787366</v>
      </c>
      <c r="CO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1" t="str">
        <f>VLOOKUP(A44,'Données projet'!$A$139:$I$159,2,0)</f>
        <v>#N/A</v>
      </c>
      <c r="CR44" s="131" t="str">
        <f>VLOOKUP(A44,'Données projet'!$A$139:$I$159,9,0)</f>
        <v>#N/A</v>
      </c>
      <c r="CS44" s="130">
        <f t="array" ref="CS44">INDEX(CR:CR,MIN(IF(ISNUMBER(CR44:CR240),ROW(CR44:CR240),"")))</f>
        <v>5.6</v>
      </c>
      <c r="CT44" s="138">
        <f>IF('Données projet'!$A$140&gt;35,CT43+CS44-DB43,IF(A44&lt;'Données projet'!$A$140,$CQ$205^A44,IF(A44='Données projet'!$A$140,'Données projet'!$B$140,CT43+CS44-DB43)))</f>
        <v>84.6</v>
      </c>
      <c r="CU44" s="138">
        <f>CT44*VLOOKUP('Données projet'!$B$13,'Paramètres'!$A$1:$I$89,3,0)*VLOOKUP('Données projet'!$B$13,'Paramètres'!$A$1:$I$89,5,0)</f>
        <v>85.7844</v>
      </c>
      <c r="CV44" s="130">
        <f t="shared" si="42"/>
        <v>23.54570262</v>
      </c>
      <c r="CW44" s="141">
        <f t="shared" si="14"/>
        <v>190.4165954</v>
      </c>
      <c r="CX44" s="133">
        <f t="shared" si="15"/>
        <v>483.7499287</v>
      </c>
      <c r="CY44" s="133">
        <f>AVERAGE(OFFSET($CX$3,0,0,'Données projet'!$E$13+1,1))-AVERAGE(OFFSET($H$3,0,0,'Données projet'!$E$13+1,1))</f>
        <v>223.783507</v>
      </c>
      <c r="CZ44" s="133">
        <f t="shared" si="43"/>
        <v>84.92349117</v>
      </c>
      <c r="DA44" s="134">
        <f>IF(ISNA(VLOOKUP(A44,'Données projet'!$A$139:$I$159,3,0)),0,VLOOKUP(A44,'Données projet'!$A$139:$I$159,3,0))</f>
        <v>0</v>
      </c>
      <c r="DB44" s="134">
        <f>IF(ISNA(VLOOKUP(A44,'Données projet'!$A$139:$I$159,4,0)),0,VLOOKUP(A44,'Données projet'!$A$139:$I$159,4,0))</f>
        <v>0</v>
      </c>
      <c r="DC44" s="135">
        <f>IF(ISNA(VLOOKUP(A44,'Données projet'!$A$139:$I$159,5,0)),0%,VLOOKUP(A44,'Données projet'!$A$139:$I$159,5,0)*VLOOKUP('Données projet'!$B$13,'Paramètres'!$A$1:$I$89,7,0))</f>
        <v>0</v>
      </c>
      <c r="DD44" s="135">
        <f>IF(ISNA(VLOOKUP(A44,'Données projet'!$A$139:$I$159,6,0)),0%,VLOOKUP(A44,'Données projet'!$A$139:$I$159,6,0)*VLOOKUP('Données projet'!$B$13,'Paramètres'!$A$1:$I$89,7,0))</f>
        <v>0</v>
      </c>
      <c r="DE44" s="135">
        <f>IF(ISNA(VLOOKUP(A44,'Données projet'!$A$139:$I$159,7,0)),0%,VLOOKUP(A44,'Données projet'!$A$139:$I$159,7,0))</f>
        <v>0</v>
      </c>
      <c r="DF44" s="142">
        <f>EXP(-LN(2)/35)*DF43+(1-EXP(-LN(2)/35))/(LN(2)/35)*DB44*DC44*VLOOKUP('Données projet'!$B$13,'Paramètres'!$A$1:$I$89,3,0)*0.475*44/12</f>
        <v>0</v>
      </c>
      <c r="DG44" s="142">
        <f>EXP(-LN(2)/25)*DG43+(1-EXP(-LN(2)/25))/(LN(2)/25)*Calculateur!DB44*Calculateur!DD44*VLOOKUP('Données projet'!$B$13,'Paramètres'!$A$1:$I$89,3,0)*0.475*44/12</f>
        <v>0</v>
      </c>
      <c r="DH44" s="142">
        <f>EXP(-LN(2)/2)*DH43+(1-EXP(-LN(2)/2))/(LN(2)/2)*DB44*DE44*VLOOKUP('Données projet'!$B$13,'Paramètres'!$A$1:$I$89,3,0)*0.475*44/12</f>
        <v>0</v>
      </c>
      <c r="DI44" s="143">
        <f t="shared" si="16"/>
        <v>0</v>
      </c>
      <c r="DJ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1" t="str">
        <f>VLOOKUP(A44,'Données projet'!$A$165:$I$185,2,0)</f>
        <v>#N/A</v>
      </c>
      <c r="DM44" s="131" t="str">
        <f>VLOOKUP(A44,'Données projet'!$A$165:$I$185,9,0)</f>
        <v>#N/A</v>
      </c>
      <c r="DN44" s="131">
        <f t="array" ref="DN44">INDEX(DM:DM,MIN(IF(ISNUMBER(DM44:DM240),ROW(DM44:DM240),"")))</f>
        <v>8.4</v>
      </c>
      <c r="DO44" s="138">
        <f>IF('Données projet'!$A$166&gt;35,DO43+DN44-DW43,IF(A44&lt;'Données projet'!$A$166,$DL$205^A44,IF(A44='Données projet'!$A$166,'Données projet'!$B$166,DO43+DN44-DW43)))</f>
        <v>124.4</v>
      </c>
      <c r="DP44" s="138">
        <f>DO44*VLOOKUP('Données projet'!$B$14,'Paramètres'!$A$1:$I$89,3,0)*VLOOKUP('Données projet'!$B$14,'Paramètres'!$A$1:$I$89,5,0)</f>
        <v>112.55712</v>
      </c>
      <c r="DQ44" s="130">
        <f t="shared" si="44"/>
        <v>29.93265383</v>
      </c>
      <c r="DR44" s="141">
        <f t="shared" si="17"/>
        <v>248.1696894</v>
      </c>
      <c r="DS44" s="133">
        <f t="shared" si="18"/>
        <v>541.5030228</v>
      </c>
      <c r="DT44" s="133">
        <f>AVERAGE(OFFSET($DS$3,0,0,'Données projet'!$E$14+1,1))-AVERAGE(OFFSET($H$3,0,0,'Données projet'!$E$14+1,1))</f>
        <v>287.9334714</v>
      </c>
      <c r="DU44" s="133">
        <f t="shared" si="45"/>
        <v>156.6796502</v>
      </c>
      <c r="DV44" s="134">
        <f>IF(ISNA(VLOOKUP(A44,'Données projet'!$A$165:$I$185,3,0)),0,VLOOKUP(A44,'Données projet'!$A$165:$I$185,3,0))</f>
        <v>0</v>
      </c>
      <c r="DW44" s="134">
        <f>IF(ISNA(VLOOKUP(A44,'Données projet'!$A$165:$I$185,4,0)),0,VLOOKUP(A44,'Données projet'!$A$165:$I$185,4,0))</f>
        <v>0</v>
      </c>
      <c r="DX44" s="135">
        <f>IF(ISNA(VLOOKUP(A44,'Données projet'!$A$165:$I$185,5,0)),0%,VLOOKUP(A44,'Données projet'!$A$165:$I$185,5,0)*VLOOKUP('Données projet'!$B$14,'Paramètres'!$A$1:$I$89,7,0))</f>
        <v>0</v>
      </c>
      <c r="DY44" s="135">
        <f>IF(ISNA(VLOOKUP(A44,'Données projet'!$A$165:$I$185,6,0)),0%,VLOOKUP(A44,'Données projet'!$A$165:$I$185,6,0)*VLOOKUP('Données projet'!$B$14,'Paramètres'!$A$1:$I$89,7,0))</f>
        <v>0</v>
      </c>
      <c r="DZ44" s="135">
        <f>IF(ISNA(VLOOKUP(A44,'Données projet'!$A$165:$I$185,7,0)),0%,VLOOKUP(A44,'Données projet'!$A$165:$I$185,7,0))</f>
        <v>0</v>
      </c>
      <c r="EA44" s="142">
        <f>EXP(-LN(2)/35)*EA43+(1-EXP(-LN(2)/35))/(LN(2)/35)*DW44*DX44*VLOOKUP('Données projet'!$B$14,'Paramètres'!$A$1:$I$89,3,0)*0.475*44/12</f>
        <v>1.770991967</v>
      </c>
      <c r="EB44" s="142">
        <f>EXP(-LN(2)/25)*EB43+(1-EXP(-LN(2)/25))/(LN(2)/25)*Calculateur!DW44*Calculateur!DY44*VLOOKUP('Données projet'!$B$14,'Paramètres'!$A$1:$I$89,3,0)*0.475*44/12</f>
        <v>0</v>
      </c>
      <c r="EC44" s="142">
        <f>EXP(-LN(2)/2)*EC43+(1-EXP(-LN(2)/2))/(LN(2)/2)*DW44*DZ44*VLOOKUP('Données projet'!$B$14,'Paramètres'!$A$1:$I$89,3,0)*0.475*44/12</f>
        <v>0</v>
      </c>
      <c r="ED44" s="143">
        <f t="shared" si="19"/>
        <v>1.770991967</v>
      </c>
      <c r="EE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1" t="str">
        <f>VLOOKUP(A44,'Données projet'!$A$191:$I$211,2,0)</f>
        <v>#N/A</v>
      </c>
      <c r="EH44" s="131" t="str">
        <f>VLOOKUP(A44,'Données projet'!$A$191:$I$211,9,0)</f>
        <v>#N/A</v>
      </c>
      <c r="EI44" s="131">
        <f t="array" ref="EI44">INDEX(EH:EH,MIN(IF(ISNUMBER(EH44:EH240),ROW(EH44:EH240),"")))</f>
        <v>8</v>
      </c>
      <c r="EJ44" s="138">
        <f>IF('Données projet'!$A$192&gt;35,EJ43+EI44-ER43,IF(A44&lt;'Données projet'!$A$192,$EG$205^A44,IF(A44='Données projet'!$A$192,'Données projet'!$B$192,EJ43+EI44-ER43)))</f>
        <v>102</v>
      </c>
      <c r="EK44" s="138">
        <f>EJ44*VLOOKUP('Données projet'!$B$15,'Paramètres'!$A$1:$I$89,3,0)*VLOOKUP('Données projet'!$B$15,'Paramètres'!$A$1:$I$89,5,0)</f>
        <v>74.7864</v>
      </c>
      <c r="EL44" s="130">
        <f t="shared" si="46"/>
        <v>20.85747535</v>
      </c>
      <c r="EM44" s="141">
        <f t="shared" si="20"/>
        <v>166.5797496</v>
      </c>
      <c r="EN44" s="133">
        <f t="shared" si="21"/>
        <v>459.9130829</v>
      </c>
      <c r="EO44" s="133">
        <f>AVERAGE(OFFSET($EN$3,0,0,'Données projet'!$E$15+1,1))-AVERAGE(OFFSET($H$3,0,0,'Données projet'!$E$15+1,1))</f>
        <v>130.3193339</v>
      </c>
      <c r="EP44" s="133">
        <f t="shared" si="47"/>
        <v>82.22784365</v>
      </c>
      <c r="EQ44" s="134">
        <f>IF(ISNA(VLOOKUP(A44,'Données projet'!$A$191:$I$211,3,0)),0,VLOOKUP(A44,'Données projet'!$A$191:$I$211,3,0))</f>
        <v>0</v>
      </c>
      <c r="ER44" s="134">
        <f>IF(ISNA(VLOOKUP(A44,'Données projet'!$A$191:$I$211,4,0)),0,VLOOKUP(A44,'Données projet'!$A$191:$I$211,4,0))</f>
        <v>0</v>
      </c>
      <c r="ES44" s="135">
        <f>IF(ISNA(VLOOKUP(A44,'Données projet'!$A$191:$I$211,5,0)),0%,VLOOKUP(A44,'Données projet'!$A$191:$I$211,5,0)*VLOOKUP('Données projet'!$B$15,'Paramètres'!$A$1:$I$89,7,0))</f>
        <v>0</v>
      </c>
      <c r="ET44" s="135">
        <f>IF(ISNA(VLOOKUP(A44,'Données projet'!$A$191:$I$211,6,0)),0%,VLOOKUP(A44,'Données projet'!$A$191:$I$211,6,0)*VLOOKUP('Données projet'!$B$15,'Paramètres'!$A$1:$I$89,7,0))</f>
        <v>0</v>
      </c>
      <c r="EU44" s="135">
        <f>IF(ISNA(VLOOKUP(A44,'Données projet'!$A$191:$I$211,7,0)),0%,VLOOKUP(A44,'Données projet'!$A$191:$I$211,7,0))</f>
        <v>0</v>
      </c>
      <c r="EV44" s="142">
        <f>EXP(-LN(2)/35)*EV43+(1-EXP(-LN(2)/35))/(LN(2)/35)*ER44*ES44*VLOOKUP('Données projet'!$B$15,'Paramètres'!$A$1:$I$89,3,0)*0.475*44/12</f>
        <v>3.407659569</v>
      </c>
      <c r="EW44" s="142">
        <f>EXP(-LN(2)/25)*EW43+(1-EXP(-LN(2)/25))/(LN(2)/25)*Calculateur!ER44*Calculateur!ET44*VLOOKUP('Données projet'!$B$15,'Paramètres'!$A$1:$I$89,3,0)*0.475*44/12</f>
        <v>0</v>
      </c>
      <c r="EX44" s="142">
        <f>EXP(-LN(2)/2)*EX43+(1-EXP(-LN(2)/2))/(LN(2)/2)*ER44*EU44*VLOOKUP('Données projet'!$B$15,'Paramètres'!$A$1:$I$89,3,0)*0.475*44/12</f>
        <v>0</v>
      </c>
      <c r="EY44" s="143">
        <f t="shared" si="22"/>
        <v>3.407659569</v>
      </c>
      <c r="EZ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1" t="str">
        <f>VLOOKUP(A44,'Données projet'!$A$217:$I$237,2,0)</f>
        <v>#N/A</v>
      </c>
      <c r="FC44" s="131" t="str">
        <f>VLOOKUP(A44,'Données projet'!$A$217:$I$237,9,0)</f>
        <v>#N/A</v>
      </c>
      <c r="FD44" s="130">
        <f t="array" ref="FD44">INDEX(FC:FC,MIN(IF(ISNUMBER(FC44:FC240),ROW(FC44:FC240),"")))</f>
        <v>6</v>
      </c>
      <c r="FE44" s="130">
        <f>IF('Données projet'!$A$218&gt;35,FE43+FD44-FM43,IF(A44&lt;'Données projet'!$A$218,$FB$205^A44,IF(A44='Données projet'!$A$218,'Données projet'!$B$218,FE43+FD44-FM43)))</f>
        <v>219</v>
      </c>
      <c r="FF44" s="138">
        <f>FE44*VLOOKUP('Données projet'!$B$16,'Paramètres'!$A$1:$I$89,3,0)*VLOOKUP('Données projet'!$B$16,'Paramètres'!$A$1:$I$89,5,0)</f>
        <v>198.1512</v>
      </c>
      <c r="FG44" s="130">
        <f t="shared" si="48"/>
        <v>49.33763809</v>
      </c>
      <c r="FH44" s="141">
        <f t="shared" si="23"/>
        <v>431.0430597</v>
      </c>
      <c r="FI44" s="133">
        <f t="shared" si="24"/>
        <v>724.376393</v>
      </c>
      <c r="FJ44" s="133">
        <f>AVERAGE(OFFSET($FI$3,0,0,'Données projet'!$E$16+1,1))-AVERAGE(OFFSET($H$3,0,0,'Données projet'!$E$16+1,1))</f>
        <v>305.6252353</v>
      </c>
      <c r="FK44" s="133">
        <f t="shared" si="49"/>
        <v>331.397916</v>
      </c>
      <c r="FL44" s="134">
        <f>IF(ISNA(VLOOKUP(A44,'Données projet'!$A$217:$I$237,3,0)),0,VLOOKUP(A44,'Données projet'!$A$217:$I$237,3,0))</f>
        <v>0</v>
      </c>
      <c r="FM44" s="134">
        <f>IF(ISNA(VLOOKUP(A44,'Données projet'!$A$217:$I$237,4,0)),0,VLOOKUP(A44,'Données projet'!$A$217:$I$237,4,0))</f>
        <v>0</v>
      </c>
      <c r="FN44" s="135">
        <f>IF(ISNA(VLOOKUP(A44,'Données projet'!$A$217:$I$237,5,0)),0%,VLOOKUP(A44,'Données projet'!$A$217:$I$237,5,0)*VLOOKUP('Données projet'!$B$16,'Paramètres'!$A$1:$I$89,7,0))</f>
        <v>0</v>
      </c>
      <c r="FO44" s="135">
        <f>IF(ISNA(VLOOKUP(A44,'Données projet'!$A$217:$I$237,6,0)),0%,VLOOKUP(A44,'Données projet'!$A$217:$I$237,6,0)*VLOOKUP('Données projet'!$B$16,'Paramètres'!$A$1:$I$89,7,0))</f>
        <v>0</v>
      </c>
      <c r="FP44" s="135">
        <f>IF(ISNA(VLOOKUP(A44,'Données projet'!$A$217:$I$237,7,0)),0%,VLOOKUP(A44,'Données projet'!$A$217:$I$237,7,0))</f>
        <v>0</v>
      </c>
      <c r="FQ44" s="142">
        <f>EXP(-LN(2)/35)*FQ43+(1-EXP(-LN(2)/35))/(LN(2)/35)*FM44*FN44*VLOOKUP('Données projet'!$B$16,'Paramètres'!$A$1:$I$89,3,0)*0.475*44/12</f>
        <v>1.676357371</v>
      </c>
      <c r="FR44" s="142">
        <f>EXP(-LN(2)/25)*FR43+(1-EXP(-LN(2)/25))/(LN(2)/25)*Calculateur!FM44*Calculateur!FO44*VLOOKUP('Données projet'!$B$16,'Paramètres'!$A$1:$I$89,3,0)*0.475*44/12</f>
        <v>0</v>
      </c>
      <c r="FS44" s="142">
        <f>EXP(-LN(2)/2)*FS43+(1-EXP(-LN(2)/2))/(LN(2)/2)*FM44*FP44*VLOOKUP('Données projet'!$B$16,'Paramètres'!$A$1:$I$89,3,0)*0.475*44/12</f>
        <v>0</v>
      </c>
      <c r="FT44" s="143">
        <f t="shared" si="25"/>
        <v>1.676357371</v>
      </c>
      <c r="FU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1" t="str">
        <f>VLOOKUP(A44,'Données projet'!$A$243:$I$263,2,0)</f>
        <v>#N/A</v>
      </c>
      <c r="FX44" s="131" t="str">
        <f>VLOOKUP(A44,'Données projet'!$A$243:$I$263,9,0)</f>
        <v>#N/A</v>
      </c>
      <c r="FY44" s="130">
        <f t="array" ref="FY44">INDEX(FX:FX,MIN(IF(ISNUMBER(FX44:FX240),ROW(FX44:FX240),"")))</f>
        <v>11</v>
      </c>
      <c r="FZ44" s="138">
        <f>IF('Données projet'!$A$244&gt;35,FZ43+FY44-GH43,IF(A44&lt;'Données projet'!$A$244,$FW$205^A44,IF(A44='Données projet'!$A$244,'Données projet'!$B$244,FZ43+FY44-GH43)))</f>
        <v>146</v>
      </c>
      <c r="GA44" s="138">
        <f>FZ44*VLOOKUP('Données projet'!$B$17,'Paramètres'!$A$1:$I$89,3,0)*VLOOKUP('Données projet'!$B$17,'Paramètres'!$A$1:$I$89,5,0)</f>
        <v>97.9368</v>
      </c>
      <c r="GB44" s="130">
        <f t="shared" si="50"/>
        <v>26.4698738</v>
      </c>
      <c r="GC44" s="141">
        <f t="shared" si="26"/>
        <v>216.6749569</v>
      </c>
      <c r="GD44" s="133">
        <f t="shared" si="27"/>
        <v>510.0082902</v>
      </c>
      <c r="GE44" s="133">
        <f>AVERAGE(OFFSET($GD$3,0,0,'Données projet'!$E$17+1,1))-AVERAGE(OFFSET($H$3,0,0,'Données projet'!$E$17+1,1))</f>
        <v>118.7368745</v>
      </c>
      <c r="GF44" s="133">
        <f t="shared" si="51"/>
        <v>135.1233677</v>
      </c>
      <c r="GG44" s="134">
        <f>IF(ISNA(VLOOKUP(A44,'Données projet'!$A$243:$I$263,3,0)),0,VLOOKUP(A44,'Données projet'!$A$243:$I$263,3,0))</f>
        <v>0</v>
      </c>
      <c r="GH44" s="134">
        <f>IF(ISNA(VLOOKUP(A44,'Données projet'!$A$243:$I$263,4,0)),0,VLOOKUP(A44,'Données projet'!$A$243:$I$263,4,0))</f>
        <v>0</v>
      </c>
      <c r="GI44" s="135">
        <f>IF(ISNA(VLOOKUP(A44,'Données projet'!$A$243:$I$263,5,0)),0%,VLOOKUP(A44,'Données projet'!$A$243:$I$263,5,0)*VLOOKUP('Données projet'!$B$17,'Paramètres'!$A$1:$I$89,7,0))</f>
        <v>0</v>
      </c>
      <c r="GJ44" s="135">
        <f>IF(ISNA(VLOOKUP(A44,'Données projet'!$A$243:$I$263,6,0)),0%,VLOOKUP(A44,'Données projet'!$A$243:$I$263,6,0)*VLOOKUP('Données projet'!$B$17,'Paramètres'!$A$1:$I$89,7,0))</f>
        <v>0</v>
      </c>
      <c r="GK44" s="135">
        <f>IF(ISNA(VLOOKUP(A44,'Données projet'!$A$243:$I$263,7,0)),0%,VLOOKUP(A44,'Données projet'!$A$243:$I$263,7,0))</f>
        <v>0</v>
      </c>
      <c r="GL44" s="142">
        <f>EXP(-LN(2)/35)*GL43+(1-EXP(-LN(2)/35))/(LN(2)/35)*GH44*GI44*VLOOKUP('Données projet'!$B$17,'Paramètres'!$A$1:$I$89,3,0)*0.475*44/12</f>
        <v>6.269855245</v>
      </c>
      <c r="GM44" s="142">
        <f>EXP(-LN(2)/25)*GM43+(1-EXP(-LN(2)/25))/(LN(2)/25)*Calculateur!GH44*Calculateur!GJ44*VLOOKUP('Données projet'!$B$17,'Paramètres'!$A$1:$I$89,3,0)*0.475*44/12</f>
        <v>0</v>
      </c>
      <c r="GN44" s="142">
        <f>EXP(-LN(2)/2)*GN43+(1-EXP(-LN(2)/2))/(LN(2)/2)*GH44*GK44*VLOOKUP('Données projet'!$B$17,'Paramètres'!$A$1:$I$89,3,0)*0.475*44/12</f>
        <v>0</v>
      </c>
      <c r="GO44" s="142">
        <f t="shared" si="28"/>
        <v>6.269855245</v>
      </c>
      <c r="GP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1" t="str">
        <f>VLOOKUP(A44,'Données projet'!$A$269:$I$289,2,0)</f>
        <v>#N/A</v>
      </c>
      <c r="GS44" s="131" t="str">
        <f>VLOOKUP(A44,'Données projet'!$A$269:$I$289,9,0)</f>
        <v>#N/A</v>
      </c>
      <c r="GT44" s="130">
        <f t="array" ref="GT44">INDEX(GS:GS,MIN(IF(ISNUMBER(GS44:GS240),ROW(GS44:GS240),"")))</f>
        <v>5.6</v>
      </c>
      <c r="GU44" s="138">
        <f>IF('Données projet'!$A$270&gt;35,GU43+GT44-HC43,IF(A44&lt;'Données projet'!$A$270,$GR$205^A44,IF(A44='Données projet'!$A$270,'Données projet'!$B$270,GU43+GT44-HC43)))</f>
        <v>84.6</v>
      </c>
      <c r="GV44" s="138">
        <f>GU44*VLOOKUP('Données projet'!$B$18,'Paramètres'!$A$1:$I$89,3,0)*VLOOKUP('Données projet'!$B$18,'Paramètres'!$A$1:$I$89,5,0)</f>
        <v>91.06344</v>
      </c>
      <c r="GW44" s="130">
        <f t="shared" si="52"/>
        <v>24.82152551</v>
      </c>
      <c r="GX44" s="141">
        <f t="shared" si="29"/>
        <v>201.8329816</v>
      </c>
      <c r="GY44" s="133">
        <f t="shared" si="30"/>
        <v>495.1663149</v>
      </c>
      <c r="GZ44" s="133">
        <f>AVERAGE(OFFSET($GY$3,0,0,'Données projet'!$E$18+1,1))-AVERAGE(OFFSET($H$3,0,0,'Données projet'!$E$18+1,1))</f>
        <v>100.5427875</v>
      </c>
      <c r="HA44" s="133">
        <f t="shared" si="53"/>
        <v>92.28663609</v>
      </c>
      <c r="HB44" s="134">
        <f>IF(ISNA(VLOOKUP(A44,'Données projet'!$A$269:$I$289,3,0)),0,VLOOKUP(A44,'Données projet'!$A$269:$I$289,3,0))</f>
        <v>0</v>
      </c>
      <c r="HC44" s="134">
        <f>IF(ISNA(VLOOKUP(A44,'Données projet'!$A$269:$I$289,4,0)),0,VLOOKUP(A44,'Données projet'!$A$269:$I$289,4,0))</f>
        <v>0</v>
      </c>
      <c r="HD44" s="135">
        <f>IF(ISNA(VLOOKUP(A44,'Données projet'!$A$269:$I$289,5,0)),0%,VLOOKUP(A44,'Données projet'!$A$269:$I$289,5,0)*VLOOKUP('Données projet'!$B$18,'Paramètres'!$A$1:$I$89,7,0))</f>
        <v>0</v>
      </c>
      <c r="HE44" s="135">
        <f>IF(ISNA(VLOOKUP(A44,'Données projet'!$A$269:$I$289,6,0)),0%,VLOOKUP(A44,'Données projet'!$A$269:$I$289,6,0)*VLOOKUP('Données projet'!$B$18,'Paramètres'!$A$1:$I$89,7,0))</f>
        <v>0</v>
      </c>
      <c r="HF44" s="135">
        <f>IF(ISNA(VLOOKUP(A44,'Données projet'!$A$269:$I$289,7,0)),0%,VLOOKUP(A44,'Données projet'!$A$269:$I$289,7,0))</f>
        <v>0</v>
      </c>
      <c r="HG44" s="142">
        <f>EXP(-LN(2)/35)*HG43+(1-EXP(-LN(2)/35))/(LN(2)/35)*HC44*HD44*VLOOKUP('Données projet'!$B$18,'Paramètres'!$A$1:$I$89,3,0)*0.475*44/12</f>
        <v>2.585872375</v>
      </c>
      <c r="HH44" s="142">
        <f>EXP(-LN(2)/25)*HH43+(1-EXP(-LN(2)/25))/(LN(2)/25)*Calculateur!HC44*Calculateur!HE44*VLOOKUP('Données projet'!$B$18,'Paramètres'!$A$1:$I$89,3,0)*0.475*44/12</f>
        <v>0</v>
      </c>
      <c r="HI44" s="142">
        <f>EXP(-LN(2)/2)*HI43+(1-EXP(-LN(2)/2))/(LN(2)/2)*HC44*HF44*VLOOKUP('Données projet'!$B$18,'Paramètres'!$A$1:$I$89,3,0)*0.475*44/12</f>
        <v>0</v>
      </c>
      <c r="HJ44" s="143">
        <f t="shared" si="31"/>
        <v>2.585872375</v>
      </c>
    </row>
    <row r="45" ht="15.75" customHeight="1">
      <c r="A45" s="125">
        <f t="shared" si="32"/>
        <v>42</v>
      </c>
      <c r="B45" s="126">
        <f>'Scénario référence'!$B$16*5+'Scénario référence'!$B$17*0+'Scénario référence'!$B$18*5</f>
        <v>0</v>
      </c>
      <c r="C45" s="140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22.932</v>
      </c>
      <c r="D45" s="127">
        <f t="shared" si="33"/>
        <v>7.339028208</v>
      </c>
      <c r="E4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7">
        <f>IF(OR('Scénario référence'!$F$8&gt;0,'Scénario référence'!$F$9&gt;0),('Scénario référence'!$F$8+'Scénario référence'!$F$9)*10,0)</f>
        <v>10</v>
      </c>
      <c r="G45" s="127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</v>
      </c>
      <c r="H45" s="128">
        <f t="shared" si="1"/>
        <v>346.0553741</v>
      </c>
      <c r="I45" s="12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1" t="str">
        <f>VLOOKUP(A45,'Données projet'!$A$35:$I$55,2,0)</f>
        <v>#N/A</v>
      </c>
      <c r="L45" s="131" t="str">
        <f>VLOOKUP(A45,'Données projet'!$A$35:$I$55,9,0)</f>
        <v>#N/A</v>
      </c>
      <c r="M45" s="131">
        <f t="array" ref="M45">INDEX(L:L,MIN(IF(ISNUMBER(L45:L241),ROW(L45:L241),"")))</f>
        <v>11.6</v>
      </c>
      <c r="N45" s="130">
        <f>IF('Données projet'!$A$36&gt;35,N44+M45-V44,IF(A45&lt;'Données projet'!$A$36,$K$205^A45,IF(A45='Données projet'!$A$36,'Données projet'!$B$36,N44+M45-V44)))</f>
        <v>193.2</v>
      </c>
      <c r="O45" s="130">
        <f>N45*VLOOKUP('Données projet'!$B$9,'Paramètres'!$A$1:$I$89,3,0)*VLOOKUP('Données projet'!$B$9,'Paramètres'!$A$1:$I$89,5,0)</f>
        <v>110.5104</v>
      </c>
      <c r="P45" s="130">
        <f t="shared" si="34"/>
        <v>29.45120638</v>
      </c>
      <c r="Q45" s="141">
        <f t="shared" si="2"/>
        <v>243.7664644</v>
      </c>
      <c r="R45" s="133">
        <f t="shared" si="3"/>
        <v>537.0997978</v>
      </c>
      <c r="S45" s="133">
        <f>AVERAGE(OFFSET($R$3,0,0,'Données projet'!$E$9+1,1))-AVERAGE(OFFSET($H$3,0,0,'Données projet'!$E$9+1,1))</f>
        <v>126.9946492</v>
      </c>
      <c r="T45" s="133">
        <f t="shared" si="35"/>
        <v>140.039049</v>
      </c>
      <c r="U45" s="134">
        <f>IF(ISNA(VLOOKUP(A45,'Données projet'!$A$35:$I$55,3,0)),0,VLOOKUP(A45,'Données projet'!$A$35:$I$55,3,0))</f>
        <v>0</v>
      </c>
      <c r="V45" s="134">
        <f>IF(ISNA(VLOOKUP(A45,'Données projet'!$A$35:$I$55,4,0)),0,VLOOKUP(A45,'Données projet'!$A$35:$I$55,4,0))</f>
        <v>0</v>
      </c>
      <c r="W45" s="135">
        <f>IF(ISNA(VLOOKUP(A45,'Données projet'!$A$35:$I$55,5,0)),0%,VLOOKUP(A45,'Données projet'!$A$35:$I$55,5,0)*VLOOKUP('Données projet'!$B$9,'Paramètres'!$A$1:$I$89,7,0))</f>
        <v>0</v>
      </c>
      <c r="X45" s="135">
        <f>IF(ISNA(VLOOKUP(A45,'Données projet'!$A$35:$I$55,6,0)),0%,VLOOKUP(A45,'Données projet'!$A$35:$I$55,6,0)*VLOOKUP('Données projet'!$B$9,'Paramètres'!$A$1:$I$89,7,0))</f>
        <v>0</v>
      </c>
      <c r="Y45" s="135">
        <f>IF(ISNA(VLOOKUP(A45,'Données projet'!$A$35:$I$55,7,0)),0%,VLOOKUP(A45,'Données projet'!$A$35:$I$55,7,0))</f>
        <v>0</v>
      </c>
      <c r="Z45" s="142">
        <f>EXP(-LN(2)/35)*Z44+(1-EXP(-LN(2)/35))/(LN(2)/35)*V45*W45*VLOOKUP('Données projet'!$B$9,'Paramètres'!$A$1:$I$89,3,0)*0.475*44/12</f>
        <v>7.760423723</v>
      </c>
      <c r="AA45" s="142">
        <f>EXP(-LN(2)/25)*AA44+(1-EXP(-LN(2)/25))/(LN(2)/25)*Calculateur!V45*Calculateur!X45*VLOOKUP('Données projet'!$B$9,'Paramètres'!$A$1:$I$89,3,0)*0.475*44/12</f>
        <v>11.45319182</v>
      </c>
      <c r="AB45" s="142">
        <f>EXP(-LN(2)/2)*AB44+(1-EXP(-LN(2)/2))/(LN(2)/2)*V45*Y45*VLOOKUP('Données projet'!$B$9,'Paramètres'!$A$1:$I$89,3,0)*0.475*44/12</f>
        <v>3.818622205</v>
      </c>
      <c r="AC45" s="143">
        <f t="shared" si="4"/>
        <v>23.03223774</v>
      </c>
      <c r="AD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1" t="str">
        <f>VLOOKUP(A45,'Données projet'!$A$61:$I$81,2,0)</f>
        <v>#N/A</v>
      </c>
      <c r="AG45" s="131" t="str">
        <f>VLOOKUP(A45,'Données projet'!$A$61:$I$81,9,0)</f>
        <v>#N/A</v>
      </c>
      <c r="AH45" s="131">
        <f t="array" ref="AH45">INDEX(AG:AG,MIN(IF(ISNUMBER(AG45:AG241),ROW(AG45:AG241),"")))</f>
        <v>19</v>
      </c>
      <c r="AI45" s="130">
        <f>IF('Données projet'!$A$62&gt;35,AI44+AH45-AQ44,IF(A45&lt;'Données projet'!$A$62,$AF$205^A45,IF(A45='Données projet'!$A$62,'Données projet'!$B$62,AI44+AH45-AQ44)))</f>
        <v>261</v>
      </c>
      <c r="AJ45" s="130">
        <f>AI45*VLOOKUP('Données projet'!$B$10,'Paramètres'!$A$1:$I$89,3,0)*VLOOKUP('Données projet'!$B$10,'Paramètres'!$A$1:$I$89,5,0)</f>
        <v>156.078</v>
      </c>
      <c r="AK45" s="130">
        <f t="shared" si="36"/>
        <v>39.95662367</v>
      </c>
      <c r="AL45" s="141">
        <f t="shared" si="5"/>
        <v>341.4269696</v>
      </c>
      <c r="AM45" s="133">
        <f t="shared" si="6"/>
        <v>634.7603029</v>
      </c>
      <c r="AN45" s="133">
        <f>AVERAGE(OFFSET($AM$3,0,0,'Données projet'!$E$10+1,1))-AVERAGE(OFFSET($H$3,0,0,'Données projet'!$E$10+1,1))</f>
        <v>196.874484</v>
      </c>
      <c r="AO45" s="133">
        <f t="shared" si="37"/>
        <v>217.5750859</v>
      </c>
      <c r="AP45" s="134">
        <f>IF(ISNA(VLOOKUP(A45,'Données projet'!$A$61:$I$81,3,0)),0,VLOOKUP(A45,'Données projet'!$A$61:$I$81,3,0))</f>
        <v>0</v>
      </c>
      <c r="AQ45" s="134">
        <f>IF(ISNA(VLOOKUP(A45,'Données projet'!$A$61:$I$81,4,0)),0,VLOOKUP(A45,'Données projet'!$A$61:$I$81,4,0))</f>
        <v>0</v>
      </c>
      <c r="AR45" s="135">
        <f>IF(ISNA(VLOOKUP(A45,'Données projet'!$A$61:$I$81,5,0)),0%,VLOOKUP(A45,'Données projet'!$A$61:$I$81,5,0)*VLOOKUP('Données projet'!$B$10,'Paramètres'!$A$1:$I$89,7,0))</f>
        <v>0</v>
      </c>
      <c r="AS45" s="135">
        <f>IF(ISNA(VLOOKUP(A45,'Données projet'!$A$61:$I$81,6,0)),0%,VLOOKUP(A45,'Données projet'!$A$61:$I$81,6,0)*VLOOKUP('Données projet'!$B$10,'Paramètres'!$A$1:$I$89,7,0))</f>
        <v>0</v>
      </c>
      <c r="AT45" s="135">
        <f>IF(ISNA(VLOOKUP(A45,'Données projet'!$A$61:$I$81,7,0)),0%,VLOOKUP(A45,'Données projet'!$A$61:$I$81,7,0))</f>
        <v>0</v>
      </c>
      <c r="AU45" s="142">
        <f>EXP(-LN(2)/35)*AU44+(1-EXP(-LN(2)/35))/(LN(2)/35)*AQ45*AR45*VLOOKUP('Données projet'!$B$10,'Paramètres'!$A$1:$I$89,3,0)*0.475*44/12</f>
        <v>10.08938493</v>
      </c>
      <c r="AV45" s="142">
        <f>EXP(-LN(2)/25)*AV44+(1-EXP(-LN(2)/25))/(LN(2)/25)*Calculateur!AQ45*Calculateur!AS45*VLOOKUP('Données projet'!$B$10,'Paramètres'!$A$1:$I$89,3,0)*0.475*44/12</f>
        <v>17.83903552</v>
      </c>
      <c r="AW45" s="142">
        <f>EXP(-LN(2)/2)*AW44+(1-EXP(-LN(2)/2))/(LN(2)/2)*AQ45*AT45*VLOOKUP('Données projet'!$B$10,'Paramètres'!$A$1:$I$89,3,0)*0.475*44/12</f>
        <v>4.673276957</v>
      </c>
      <c r="AX45" s="142">
        <f t="shared" si="7"/>
        <v>32.6016974</v>
      </c>
      <c r="AY45" s="13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1" t="str">
        <f>VLOOKUP(A45,'Données projet'!$A$87:$I$107,2,0)</f>
        <v>#N/A</v>
      </c>
      <c r="BB45" s="131" t="str">
        <f>VLOOKUP(A45,'Données projet'!$A$87:$I$107,9,0)</f>
        <v>#N/A</v>
      </c>
      <c r="BC45" s="130">
        <f t="array" ref="BC45">INDEX(BB:BB,MIN(IF(ISNUMBER(BB45:BB241),ROW(BB45:BB241),"")))</f>
        <v>14</v>
      </c>
      <c r="BD45" s="130">
        <f>IF('Données projet'!$A$88&gt;35,BD44+BC45-BL44,IF(A45&lt;'Données projet'!$A$88,$BA$205^A45,IF(A45='Données projet'!$A$88,'Données projet'!$B$88,BD44+BC45-BL44)))</f>
        <v>188</v>
      </c>
      <c r="BE45" s="130">
        <f>BD45*VLOOKUP('Données projet'!$B$11,'Paramètres'!$A$1:$I$89,3,0)*VLOOKUP('Données projet'!$B$11,'Paramètres'!$A$1:$I$89,5,0)</f>
        <v>87.984</v>
      </c>
      <c r="BF45" s="130">
        <f t="shared" si="38"/>
        <v>24.07837513</v>
      </c>
      <c r="BG45" s="141">
        <f t="shared" si="8"/>
        <v>195.1753033</v>
      </c>
      <c r="BH45" s="133">
        <f t="shared" si="9"/>
        <v>488.5086367</v>
      </c>
      <c r="BI45" s="133">
        <f>AVERAGE(OFFSET($BH$3,0,0,'Données projet'!$E$11+1,1))-AVERAGE(OFFSET($H$3,0,0,'Données projet'!$E$11+1,1))</f>
        <v>134.0948534</v>
      </c>
      <c r="BJ45" s="133">
        <f t="shared" si="39"/>
        <v>108.4102536</v>
      </c>
      <c r="BK45" s="134">
        <f>IF(ISNA(VLOOKUP(A45,'Données projet'!$A$87:$I$107,3,0)),0,VLOOKUP(A45,'Données projet'!$A$87:$I$107,3,0))</f>
        <v>0</v>
      </c>
      <c r="BL45" s="134">
        <f>IF(ISNA(VLOOKUP(A45,'Données projet'!$A$87:$I$107,4,0)),0,VLOOKUP(A45,'Données projet'!$A$87:$I$107,4,0))</f>
        <v>0</v>
      </c>
      <c r="BM45" s="135">
        <f>IF(ISNA(VLOOKUP(A45,'Données projet'!$A$87:$I$107,5,0)),0%,VLOOKUP(A45,'Données projet'!$A$87:$I$107,5,0)*VLOOKUP('Données projet'!$B$11,'Paramètres'!$A$1:$I$89,7,0))</f>
        <v>0</v>
      </c>
      <c r="BN45" s="135">
        <f>IF(ISNA(VLOOKUP(A45,'Données projet'!$A$87:$I$107,6,0)),0%,VLOOKUP(A45,'Données projet'!$A$87:$I$107,6,0)*VLOOKUP('Données projet'!$B$11,'Paramètres'!$A$1:$I$89,7,0))</f>
        <v>0</v>
      </c>
      <c r="BO45" s="135">
        <f>IF(ISNA(VLOOKUP(A45,'Données projet'!$A$87:$I$107,7,0)),0%,VLOOKUP(A45,'Données projet'!$A$87:$I$107,7,0))</f>
        <v>0</v>
      </c>
      <c r="BP45" s="142">
        <f>EXP(-LN(2)/35)*BP44+(1-EXP(-LN(2)/35))/(LN(2)/35)*BL45*BM45*VLOOKUP('Données projet'!$B$11,'Paramètres'!$A$1:$I$89,3,0)*0.475*44/12</f>
        <v>8.717804426</v>
      </c>
      <c r="BQ45" s="142">
        <f>EXP(-LN(2)/25)*BQ44+(1-EXP(-LN(2)/25))/(LN(2)/25)*Calculateur!BL45*Calculateur!BN45*VLOOKUP('Données projet'!$B$11,'Paramètres'!$A$1:$I$89,3,0)*0.475*44/12</f>
        <v>9.775537342</v>
      </c>
      <c r="BR45" s="142">
        <f>EXP(-LN(2)/2)*BR44+(1-EXP(-LN(2)/2))/(LN(2)/2)*BL45*BO45*VLOOKUP('Données projet'!$B$11,'Paramètres'!$A$1:$I$89,3,0)*0.475*44/12</f>
        <v>3.613813758</v>
      </c>
      <c r="BS45" s="143">
        <f t="shared" si="10"/>
        <v>22.10715553</v>
      </c>
      <c r="BT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1" t="str">
        <f>VLOOKUP(A45,'Données projet'!$A$113:$I$133,2,0)</f>
        <v>#N/A</v>
      </c>
      <c r="BW45" s="131" t="str">
        <f>VLOOKUP(A45,'Données projet'!$A$113:$I$133,9,0)</f>
        <v>#N/A</v>
      </c>
      <c r="BX45" s="130">
        <f t="array" ref="BX45">INDEX(BW:BW,MIN(IF(ISNUMBER(BW45:BW241),ROW(BW45:BW241),"")))</f>
        <v>24.2</v>
      </c>
      <c r="BY45" s="130">
        <f>IF('Données projet'!$A$114&gt;35,BY44+BX45-CG44,IF(A45&lt;'Données projet'!$A$114,$BV$205^A45,IF(A45='Données projet'!$A$114,'Données projet'!$B$114,BY44+BX45-CG44)))</f>
        <v>421.4</v>
      </c>
      <c r="BZ45" s="130">
        <f>BY45*VLOOKUP('Données projet'!$B$12,'Paramètres'!$A$1:$I$89,3,0)*VLOOKUP('Données projet'!$B$12,'Paramètres'!$A$1:$I$89,5,0)</f>
        <v>208.1716</v>
      </c>
      <c r="CA45" s="130">
        <f t="shared" si="40"/>
        <v>51.53583117</v>
      </c>
      <c r="CB45" s="141">
        <f t="shared" si="11"/>
        <v>452.323776</v>
      </c>
      <c r="CC45" s="133">
        <f t="shared" si="12"/>
        <v>745.6571093</v>
      </c>
      <c r="CD45" s="133">
        <f>AVERAGE(OFFSET($CC$3,0,0,'Données projet'!$E$12+1,1))-AVERAGE(OFFSET($H$3,0,0,'Données projet'!$E$12+1,1))</f>
        <v>258.1672054</v>
      </c>
      <c r="CE45" s="133">
        <f t="shared" si="41"/>
        <v>296.0724261</v>
      </c>
      <c r="CF45" s="134">
        <f>IF(ISNA(VLOOKUP(A45,'Données projet'!$A$113:$I$133,3,0)),0,VLOOKUP(A45,'Données projet'!$A$113:$I$133,3,0))</f>
        <v>0</v>
      </c>
      <c r="CG45" s="134">
        <f>IF(ISNA(VLOOKUP(A45,'Données projet'!$A$113:$I$133,4,0)),0,VLOOKUP(A45,'Données projet'!$A$113:$I$133,4,0))</f>
        <v>0</v>
      </c>
      <c r="CH45" s="135">
        <f>IF(ISNA(VLOOKUP(A45,'Données projet'!$A$113:$I$133,5,0)),0%,VLOOKUP(A45,'Données projet'!$A$113:$I$133,5,0)*VLOOKUP('Données projet'!$B$12,'Paramètres'!$A$1:$I$89,7,0))</f>
        <v>0</v>
      </c>
      <c r="CI45" s="135">
        <f>IF(ISNA(VLOOKUP(A45,'Données projet'!$A$113:$I$133,6,0)),0%,VLOOKUP(A45,'Données projet'!$A$113:$I$133,6,0)*VLOOKUP('Données projet'!$B$12,'Paramètres'!$A$1:$I$89,7,0))</f>
        <v>0</v>
      </c>
      <c r="CJ45" s="135">
        <f>IF(ISNA(VLOOKUP(A45,'Données projet'!$A$113:$I$133,7,0)),0%,VLOOKUP(A45,'Données projet'!$A$113:$I$133,7,0))</f>
        <v>0</v>
      </c>
      <c r="CK45" s="142">
        <f>EXP(-LN(2)/35)*CK44+(1-EXP(-LN(2)/35))/(LN(2)/35)*CG45*CH45*VLOOKUP('Données projet'!$B$12,'Paramètres'!$A$1:$I$89,3,0)*0.475*44/12</f>
        <v>23.46105321</v>
      </c>
      <c r="CL45" s="142">
        <f>EXP(-LN(2)/25)*CL44+(1-EXP(-LN(2)/25))/(LN(2)/25)*Calculateur!CG45*Calculateur!CI45*VLOOKUP('Données projet'!$B$12,'Paramètres'!$A$1:$I$89,3,0)*0.475*44/12</f>
        <v>27.45107777</v>
      </c>
      <c r="CM45" s="142">
        <f>EXP(-LN(2)/2)*CM44+(1-EXP(-LN(2)/2))/(LN(2)/2)*CG45*CJ45*VLOOKUP('Données projet'!$B$12,'Paramètres'!$A$1:$I$89,3,0)*0.475*44/12</f>
        <v>5.617771757</v>
      </c>
      <c r="CN45" s="143">
        <f t="shared" si="13"/>
        <v>56.52990274</v>
      </c>
      <c r="CO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1" t="str">
        <f>VLOOKUP(A45,'Données projet'!$A$139:$I$159,2,0)</f>
        <v>#N/A</v>
      </c>
      <c r="CR45" s="131" t="str">
        <f>VLOOKUP(A45,'Données projet'!$A$139:$I$159,9,0)</f>
        <v>#N/A</v>
      </c>
      <c r="CS45" s="130">
        <f t="array" ref="CS45">INDEX(CR:CR,MIN(IF(ISNUMBER(CR45:CR241),ROW(CR45:CR241),"")))</f>
        <v>5.6</v>
      </c>
      <c r="CT45" s="138">
        <f>IF('Données projet'!$A$140&gt;35,CT44+CS45-DB44,IF(A45&lt;'Données projet'!$A$140,$CQ$205^A45,IF(A45='Données projet'!$A$140,'Données projet'!$B$140,CT44+CS45-DB44)))</f>
        <v>90.2</v>
      </c>
      <c r="CU45" s="138">
        <f>CT45*VLOOKUP('Données projet'!$B$13,'Paramètres'!$A$1:$I$89,3,0)*VLOOKUP('Données projet'!$B$13,'Paramètres'!$A$1:$I$89,5,0)</f>
        <v>91.4628</v>
      </c>
      <c r="CV45" s="130">
        <f t="shared" si="42"/>
        <v>24.91768541</v>
      </c>
      <c r="CW45" s="141">
        <f t="shared" si="14"/>
        <v>202.6960121</v>
      </c>
      <c r="CX45" s="133">
        <f t="shared" si="15"/>
        <v>496.0293454</v>
      </c>
      <c r="CY45" s="133">
        <f>AVERAGE(OFFSET($CX$3,0,0,'Données projet'!$E$13+1,1))-AVERAGE(OFFSET($H$3,0,0,'Données projet'!$E$13+1,1))</f>
        <v>223.783507</v>
      </c>
      <c r="CZ45" s="133">
        <f t="shared" si="43"/>
        <v>84.92349117</v>
      </c>
      <c r="DA45" s="134">
        <f>IF(ISNA(VLOOKUP(A45,'Données projet'!$A$139:$I$159,3,0)),0,VLOOKUP(A45,'Données projet'!$A$139:$I$159,3,0))</f>
        <v>0</v>
      </c>
      <c r="DB45" s="134">
        <f>IF(ISNA(VLOOKUP(A45,'Données projet'!$A$139:$I$159,4,0)),0,VLOOKUP(A45,'Données projet'!$A$139:$I$159,4,0))</f>
        <v>0</v>
      </c>
      <c r="DC45" s="135">
        <f>IF(ISNA(VLOOKUP(A45,'Données projet'!$A$139:$I$159,5,0)),0%,VLOOKUP(A45,'Données projet'!$A$139:$I$159,5,0)*VLOOKUP('Données projet'!$B$13,'Paramètres'!$A$1:$I$89,7,0))</f>
        <v>0</v>
      </c>
      <c r="DD45" s="135">
        <f>IF(ISNA(VLOOKUP(A45,'Données projet'!$A$139:$I$159,6,0)),0%,VLOOKUP(A45,'Données projet'!$A$139:$I$159,6,0)*VLOOKUP('Données projet'!$B$13,'Paramètres'!$A$1:$I$89,7,0))</f>
        <v>0</v>
      </c>
      <c r="DE45" s="135">
        <f>IF(ISNA(VLOOKUP(A45,'Données projet'!$A$139:$I$159,7,0)),0%,VLOOKUP(A45,'Données projet'!$A$139:$I$159,7,0))</f>
        <v>0</v>
      </c>
      <c r="DF45" s="142">
        <f>EXP(-LN(2)/35)*DF44+(1-EXP(-LN(2)/35))/(LN(2)/35)*DB45*DC45*VLOOKUP('Données projet'!$B$13,'Paramètres'!$A$1:$I$89,3,0)*0.475*44/12</f>
        <v>0</v>
      </c>
      <c r="DG45" s="142">
        <f>EXP(-LN(2)/25)*DG44+(1-EXP(-LN(2)/25))/(LN(2)/25)*Calculateur!DB45*Calculateur!DD45*VLOOKUP('Données projet'!$B$13,'Paramètres'!$A$1:$I$89,3,0)*0.475*44/12</f>
        <v>0</v>
      </c>
      <c r="DH45" s="142">
        <f>EXP(-LN(2)/2)*DH44+(1-EXP(-LN(2)/2))/(LN(2)/2)*DB45*DE45*VLOOKUP('Données projet'!$B$13,'Paramètres'!$A$1:$I$89,3,0)*0.475*44/12</f>
        <v>0</v>
      </c>
      <c r="DI45" s="143">
        <f t="shared" si="16"/>
        <v>0</v>
      </c>
      <c r="DJ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1" t="str">
        <f>VLOOKUP(A45,'Données projet'!$A$165:$I$185,2,0)</f>
        <v>#N/A</v>
      </c>
      <c r="DM45" s="131" t="str">
        <f>VLOOKUP(A45,'Données projet'!$A$165:$I$185,9,0)</f>
        <v>#N/A</v>
      </c>
      <c r="DN45" s="131">
        <f t="array" ref="DN45">INDEX(DM:DM,MIN(IF(ISNUMBER(DM45:DM241),ROW(DM45:DM241),"")))</f>
        <v>8.4</v>
      </c>
      <c r="DO45" s="138">
        <f>IF('Données projet'!$A$166&gt;35,DO44+DN45-DW44,IF(A45&lt;'Données projet'!$A$166,$DL$205^A45,IF(A45='Données projet'!$A$166,'Données projet'!$B$166,DO44+DN45-DW44)))</f>
        <v>132.8</v>
      </c>
      <c r="DP45" s="138">
        <f>DO45*VLOOKUP('Données projet'!$B$14,'Paramètres'!$A$1:$I$89,3,0)*VLOOKUP('Données projet'!$B$14,'Paramètres'!$A$1:$I$89,5,0)</f>
        <v>120.15744</v>
      </c>
      <c r="DQ45" s="130">
        <f t="shared" si="44"/>
        <v>31.71171679</v>
      </c>
      <c r="DR45" s="141">
        <f t="shared" si="17"/>
        <v>264.5054481</v>
      </c>
      <c r="DS45" s="133">
        <f t="shared" si="18"/>
        <v>557.8387814</v>
      </c>
      <c r="DT45" s="133">
        <f>AVERAGE(OFFSET($DS$3,0,0,'Données projet'!$E$14+1,1))-AVERAGE(OFFSET($H$3,0,0,'Données projet'!$E$14+1,1))</f>
        <v>287.9334714</v>
      </c>
      <c r="DU45" s="133">
        <f t="shared" si="45"/>
        <v>156.6796502</v>
      </c>
      <c r="DV45" s="134">
        <f>IF(ISNA(VLOOKUP(A45,'Données projet'!$A$165:$I$185,3,0)),0,VLOOKUP(A45,'Données projet'!$A$165:$I$185,3,0))</f>
        <v>0</v>
      </c>
      <c r="DW45" s="134">
        <f>IF(ISNA(VLOOKUP(A45,'Données projet'!$A$165:$I$185,4,0)),0,VLOOKUP(A45,'Données projet'!$A$165:$I$185,4,0))</f>
        <v>0</v>
      </c>
      <c r="DX45" s="135">
        <f>IF(ISNA(VLOOKUP(A45,'Données projet'!$A$165:$I$185,5,0)),0%,VLOOKUP(A45,'Données projet'!$A$165:$I$185,5,0)*VLOOKUP('Données projet'!$B$14,'Paramètres'!$A$1:$I$89,7,0))</f>
        <v>0</v>
      </c>
      <c r="DY45" s="135">
        <f>IF(ISNA(VLOOKUP(A45,'Données projet'!$A$165:$I$185,6,0)),0%,VLOOKUP(A45,'Données projet'!$A$165:$I$185,6,0)*VLOOKUP('Données projet'!$B$14,'Paramètres'!$A$1:$I$89,7,0))</f>
        <v>0</v>
      </c>
      <c r="DZ45" s="135">
        <f>IF(ISNA(VLOOKUP(A45,'Données projet'!$A$165:$I$185,7,0)),0%,VLOOKUP(A45,'Données projet'!$A$165:$I$185,7,0))</f>
        <v>0</v>
      </c>
      <c r="EA45" s="142">
        <f>EXP(-LN(2)/35)*EA44+(1-EXP(-LN(2)/35))/(LN(2)/35)*DW45*DX45*VLOOKUP('Données projet'!$B$14,'Paramètres'!$A$1:$I$89,3,0)*0.475*44/12</f>
        <v>1.736263895</v>
      </c>
      <c r="EB45" s="142">
        <f>EXP(-LN(2)/25)*EB44+(1-EXP(-LN(2)/25))/(LN(2)/25)*Calculateur!DW45*Calculateur!DY45*VLOOKUP('Données projet'!$B$14,'Paramètres'!$A$1:$I$89,3,0)*0.475*44/12</f>
        <v>0</v>
      </c>
      <c r="EC45" s="142">
        <f>EXP(-LN(2)/2)*EC44+(1-EXP(-LN(2)/2))/(LN(2)/2)*DW45*DZ45*VLOOKUP('Données projet'!$B$14,'Paramètres'!$A$1:$I$89,3,0)*0.475*44/12</f>
        <v>0</v>
      </c>
      <c r="ED45" s="143">
        <f t="shared" si="19"/>
        <v>1.736263895</v>
      </c>
      <c r="EE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1" t="str">
        <f>VLOOKUP(A45,'Données projet'!$A$191:$I$211,2,0)</f>
        <v>#N/A</v>
      </c>
      <c r="EH45" s="131" t="str">
        <f>VLOOKUP(A45,'Données projet'!$A$191:$I$211,9,0)</f>
        <v>#N/A</v>
      </c>
      <c r="EI45" s="131">
        <f t="array" ref="EI45">INDEX(EH:EH,MIN(IF(ISNUMBER(EH45:EH241),ROW(EH45:EH241),"")))</f>
        <v>8</v>
      </c>
      <c r="EJ45" s="138">
        <f>IF('Données projet'!$A$192&gt;35,EJ44+EI45-ER44,IF(A45&lt;'Données projet'!$A$192,$EG$205^A45,IF(A45='Données projet'!$A$192,'Données projet'!$B$192,EJ44+EI45-ER44)))</f>
        <v>110</v>
      </c>
      <c r="EK45" s="138">
        <f>EJ45*VLOOKUP('Données projet'!$B$15,'Paramètres'!$A$1:$I$89,3,0)*VLOOKUP('Données projet'!$B$15,'Paramètres'!$A$1:$I$89,5,0)</f>
        <v>80.652</v>
      </c>
      <c r="EL45" s="130">
        <f t="shared" si="46"/>
        <v>22.29652613</v>
      </c>
      <c r="EM45" s="141">
        <f t="shared" si="20"/>
        <v>179.3020163</v>
      </c>
      <c r="EN45" s="133">
        <f t="shared" si="21"/>
        <v>472.6353497</v>
      </c>
      <c r="EO45" s="133">
        <f>AVERAGE(OFFSET($EN$3,0,0,'Données projet'!$E$15+1,1))-AVERAGE(OFFSET($H$3,0,0,'Données projet'!$E$15+1,1))</f>
        <v>130.3193339</v>
      </c>
      <c r="EP45" s="133">
        <f t="shared" si="47"/>
        <v>82.22784365</v>
      </c>
      <c r="EQ45" s="134">
        <f>IF(ISNA(VLOOKUP(A45,'Données projet'!$A$191:$I$211,3,0)),0,VLOOKUP(A45,'Données projet'!$A$191:$I$211,3,0))</f>
        <v>0</v>
      </c>
      <c r="ER45" s="134">
        <f>IF(ISNA(VLOOKUP(A45,'Données projet'!$A$191:$I$211,4,0)),0,VLOOKUP(A45,'Données projet'!$A$191:$I$211,4,0))</f>
        <v>0</v>
      </c>
      <c r="ES45" s="135">
        <f>IF(ISNA(VLOOKUP(A45,'Données projet'!$A$191:$I$211,5,0)),0%,VLOOKUP(A45,'Données projet'!$A$191:$I$211,5,0)*VLOOKUP('Données projet'!$B$15,'Paramètres'!$A$1:$I$89,7,0))</f>
        <v>0</v>
      </c>
      <c r="ET45" s="135">
        <f>IF(ISNA(VLOOKUP(A45,'Données projet'!$A$191:$I$211,6,0)),0%,VLOOKUP(A45,'Données projet'!$A$191:$I$211,6,0)*VLOOKUP('Données projet'!$B$15,'Paramètres'!$A$1:$I$89,7,0))</f>
        <v>0</v>
      </c>
      <c r="EU45" s="135">
        <f>IF(ISNA(VLOOKUP(A45,'Données projet'!$A$191:$I$211,7,0)),0%,VLOOKUP(A45,'Données projet'!$A$191:$I$211,7,0))</f>
        <v>0</v>
      </c>
      <c r="EV45" s="142">
        <f>EXP(-LN(2)/35)*EV44+(1-EXP(-LN(2)/35))/(LN(2)/35)*ER45*ES45*VLOOKUP('Données projet'!$B$15,'Paramètres'!$A$1:$I$89,3,0)*0.475*44/12</f>
        <v>3.340837444</v>
      </c>
      <c r="EW45" s="142">
        <f>EXP(-LN(2)/25)*EW44+(1-EXP(-LN(2)/25))/(LN(2)/25)*Calculateur!ER45*Calculateur!ET45*VLOOKUP('Données projet'!$B$15,'Paramètres'!$A$1:$I$89,3,0)*0.475*44/12</f>
        <v>0</v>
      </c>
      <c r="EX45" s="142">
        <f>EXP(-LN(2)/2)*EX44+(1-EXP(-LN(2)/2))/(LN(2)/2)*ER45*EU45*VLOOKUP('Données projet'!$B$15,'Paramètres'!$A$1:$I$89,3,0)*0.475*44/12</f>
        <v>0</v>
      </c>
      <c r="EY45" s="143">
        <f t="shared" si="22"/>
        <v>3.340837444</v>
      </c>
      <c r="EZ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1" t="str">
        <f>VLOOKUP(A45,'Données projet'!$A$217:$I$237,2,0)</f>
        <v>#N/A</v>
      </c>
      <c r="FC45" s="131" t="str">
        <f>VLOOKUP(A45,'Données projet'!$A$217:$I$237,9,0)</f>
        <v>#N/A</v>
      </c>
      <c r="FD45" s="130">
        <f t="array" ref="FD45">INDEX(FC:FC,MIN(IF(ISNUMBER(FC45:FC241),ROW(FC45:FC241),"")))</f>
        <v>6</v>
      </c>
      <c r="FE45" s="130">
        <f>IF('Données projet'!$A$218&gt;35,FE44+FD45-FM44,IF(A45&lt;'Données projet'!$A$218,$FB$205^A45,IF(A45='Données projet'!$A$218,'Données projet'!$B$218,FE44+FD45-FM44)))</f>
        <v>225</v>
      </c>
      <c r="FF45" s="138">
        <f>FE45*VLOOKUP('Données projet'!$B$16,'Paramètres'!$A$1:$I$89,3,0)*VLOOKUP('Données projet'!$B$16,'Paramètres'!$A$1:$I$89,5,0)</f>
        <v>203.58</v>
      </c>
      <c r="FG45" s="130">
        <f t="shared" si="48"/>
        <v>50.53012913</v>
      </c>
      <c r="FH45" s="141">
        <f t="shared" si="23"/>
        <v>442.5751416</v>
      </c>
      <c r="FI45" s="133">
        <f t="shared" si="24"/>
        <v>735.9084749</v>
      </c>
      <c r="FJ45" s="133">
        <f>AVERAGE(OFFSET($FI$3,0,0,'Données projet'!$E$16+1,1))-AVERAGE(OFFSET($H$3,0,0,'Données projet'!$E$16+1,1))</f>
        <v>305.6252353</v>
      </c>
      <c r="FK45" s="133">
        <f t="shared" si="49"/>
        <v>331.397916</v>
      </c>
      <c r="FL45" s="134">
        <f>IF(ISNA(VLOOKUP(A45,'Données projet'!$A$217:$I$237,3,0)),0,VLOOKUP(A45,'Données projet'!$A$217:$I$237,3,0))</f>
        <v>0</v>
      </c>
      <c r="FM45" s="134">
        <f>IF(ISNA(VLOOKUP(A45,'Données projet'!$A$217:$I$237,4,0)),0,VLOOKUP(A45,'Données projet'!$A$217:$I$237,4,0))</f>
        <v>0</v>
      </c>
      <c r="FN45" s="135">
        <f>IF(ISNA(VLOOKUP(A45,'Données projet'!$A$217:$I$237,5,0)),0%,VLOOKUP(A45,'Données projet'!$A$217:$I$237,5,0)*VLOOKUP('Données projet'!$B$16,'Paramètres'!$A$1:$I$89,7,0))</f>
        <v>0</v>
      </c>
      <c r="FO45" s="135">
        <f>IF(ISNA(VLOOKUP(A45,'Données projet'!$A$217:$I$237,6,0)),0%,VLOOKUP(A45,'Données projet'!$A$217:$I$237,6,0)*VLOOKUP('Données projet'!$B$16,'Paramètres'!$A$1:$I$89,7,0))</f>
        <v>0</v>
      </c>
      <c r="FP45" s="135">
        <f>IF(ISNA(VLOOKUP(A45,'Données projet'!$A$217:$I$237,7,0)),0%,VLOOKUP(A45,'Données projet'!$A$217:$I$237,7,0))</f>
        <v>0</v>
      </c>
      <c r="FQ45" s="142">
        <f>EXP(-LN(2)/35)*FQ44+(1-EXP(-LN(2)/35))/(LN(2)/35)*FM45*FN45*VLOOKUP('Données projet'!$B$16,'Paramètres'!$A$1:$I$89,3,0)*0.475*44/12</f>
        <v>1.643485026</v>
      </c>
      <c r="FR45" s="142">
        <f>EXP(-LN(2)/25)*FR44+(1-EXP(-LN(2)/25))/(LN(2)/25)*Calculateur!FM45*Calculateur!FO45*VLOOKUP('Données projet'!$B$16,'Paramètres'!$A$1:$I$89,3,0)*0.475*44/12</f>
        <v>0</v>
      </c>
      <c r="FS45" s="142">
        <f>EXP(-LN(2)/2)*FS44+(1-EXP(-LN(2)/2))/(LN(2)/2)*FM45*FP45*VLOOKUP('Données projet'!$B$16,'Paramètres'!$A$1:$I$89,3,0)*0.475*44/12</f>
        <v>0</v>
      </c>
      <c r="FT45" s="143">
        <f t="shared" si="25"/>
        <v>1.643485026</v>
      </c>
      <c r="FU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1" t="str">
        <f>VLOOKUP(A45,'Données projet'!$A$243:$I$263,2,0)</f>
        <v>#N/A</v>
      </c>
      <c r="FX45" s="131" t="str">
        <f>VLOOKUP(A45,'Données projet'!$A$243:$I$263,9,0)</f>
        <v>#N/A</v>
      </c>
      <c r="FY45" s="130">
        <f t="array" ref="FY45">INDEX(FX:FX,MIN(IF(ISNUMBER(FX45:FX241),ROW(FX45:FX241),"")))</f>
        <v>11</v>
      </c>
      <c r="FZ45" s="138">
        <f>IF('Données projet'!$A$244&gt;35,FZ44+FY45-GH44,IF(A45&lt;'Données projet'!$A$244,$FW$205^A45,IF(A45='Données projet'!$A$244,'Données projet'!$B$244,FZ44+FY45-GH44)))</f>
        <v>157</v>
      </c>
      <c r="GA45" s="138">
        <f>FZ45*VLOOKUP('Données projet'!$B$17,'Paramètres'!$A$1:$I$89,3,0)*VLOOKUP('Données projet'!$B$17,'Paramètres'!$A$1:$I$89,5,0)</f>
        <v>105.3156</v>
      </c>
      <c r="GB45" s="130">
        <f t="shared" si="50"/>
        <v>28.2245236</v>
      </c>
      <c r="GC45" s="141">
        <f t="shared" si="26"/>
        <v>232.5823819</v>
      </c>
      <c r="GD45" s="133">
        <f t="shared" si="27"/>
        <v>525.9157153</v>
      </c>
      <c r="GE45" s="133">
        <f>AVERAGE(OFFSET($GD$3,0,0,'Données projet'!$E$17+1,1))-AVERAGE(OFFSET($H$3,0,0,'Données projet'!$E$17+1,1))</f>
        <v>118.7368745</v>
      </c>
      <c r="GF45" s="133">
        <f t="shared" si="51"/>
        <v>135.1233677</v>
      </c>
      <c r="GG45" s="134">
        <f>IF(ISNA(VLOOKUP(A45,'Données projet'!$A$243:$I$263,3,0)),0,VLOOKUP(A45,'Données projet'!$A$243:$I$263,3,0))</f>
        <v>0</v>
      </c>
      <c r="GH45" s="134">
        <f>IF(ISNA(VLOOKUP(A45,'Données projet'!$A$243:$I$263,4,0)),0,VLOOKUP(A45,'Données projet'!$A$243:$I$263,4,0))</f>
        <v>0</v>
      </c>
      <c r="GI45" s="135">
        <f>IF(ISNA(VLOOKUP(A45,'Données projet'!$A$243:$I$263,5,0)),0%,VLOOKUP(A45,'Données projet'!$A$243:$I$263,5,0)*VLOOKUP('Données projet'!$B$17,'Paramètres'!$A$1:$I$89,7,0))</f>
        <v>0</v>
      </c>
      <c r="GJ45" s="135">
        <f>IF(ISNA(VLOOKUP(A45,'Données projet'!$A$243:$I$263,6,0)),0%,VLOOKUP(A45,'Données projet'!$A$243:$I$263,6,0)*VLOOKUP('Données projet'!$B$17,'Paramètres'!$A$1:$I$89,7,0))</f>
        <v>0</v>
      </c>
      <c r="GK45" s="135">
        <f>IF(ISNA(VLOOKUP(A45,'Données projet'!$A$243:$I$263,7,0)),0%,VLOOKUP(A45,'Données projet'!$A$243:$I$263,7,0))</f>
        <v>0</v>
      </c>
      <c r="GL45" s="142">
        <f>EXP(-LN(2)/35)*GL44+(1-EXP(-LN(2)/35))/(LN(2)/35)*GH45*GI45*VLOOKUP('Données projet'!$B$17,'Paramètres'!$A$1:$I$89,3,0)*0.475*44/12</f>
        <v>6.146907208</v>
      </c>
      <c r="GM45" s="142">
        <f>EXP(-LN(2)/25)*GM44+(1-EXP(-LN(2)/25))/(LN(2)/25)*Calculateur!GH45*Calculateur!GJ45*VLOOKUP('Données projet'!$B$17,'Paramètres'!$A$1:$I$89,3,0)*0.475*44/12</f>
        <v>0</v>
      </c>
      <c r="GN45" s="142">
        <f>EXP(-LN(2)/2)*GN44+(1-EXP(-LN(2)/2))/(LN(2)/2)*GH45*GK45*VLOOKUP('Données projet'!$B$17,'Paramètres'!$A$1:$I$89,3,0)*0.475*44/12</f>
        <v>0</v>
      </c>
      <c r="GO45" s="142">
        <f t="shared" si="28"/>
        <v>6.146907208</v>
      </c>
      <c r="GP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1" t="str">
        <f>VLOOKUP(A45,'Données projet'!$A$269:$I$289,2,0)</f>
        <v>#N/A</v>
      </c>
      <c r="GS45" s="131" t="str">
        <f>VLOOKUP(A45,'Données projet'!$A$269:$I$289,9,0)</f>
        <v>#N/A</v>
      </c>
      <c r="GT45" s="130">
        <f t="array" ref="GT45">INDEX(GS:GS,MIN(IF(ISNUMBER(GS45:GS241),ROW(GS45:GS241),"")))</f>
        <v>5.6</v>
      </c>
      <c r="GU45" s="138">
        <f>IF('Données projet'!$A$270&gt;35,GU44+GT45-HC44,IF(A45&lt;'Données projet'!$A$270,$GR$205^A45,IF(A45='Données projet'!$A$270,'Données projet'!$B$270,GU44+GT45-HC44)))</f>
        <v>90.2</v>
      </c>
      <c r="GV45" s="138">
        <f>GU45*VLOOKUP('Données projet'!$B$18,'Paramètres'!$A$1:$I$89,3,0)*VLOOKUP('Données projet'!$B$18,'Paramètres'!$A$1:$I$89,5,0)</f>
        <v>97.09128</v>
      </c>
      <c r="GW45" s="130">
        <f t="shared" si="52"/>
        <v>26.26784912</v>
      </c>
      <c r="GX45" s="141">
        <f t="shared" si="29"/>
        <v>214.8504832</v>
      </c>
      <c r="GY45" s="133">
        <f t="shared" si="30"/>
        <v>508.1838166</v>
      </c>
      <c r="GZ45" s="133">
        <f>AVERAGE(OFFSET($GY$3,0,0,'Données projet'!$E$18+1,1))-AVERAGE(OFFSET($H$3,0,0,'Données projet'!$E$18+1,1))</f>
        <v>100.5427875</v>
      </c>
      <c r="HA45" s="133">
        <f t="shared" si="53"/>
        <v>92.28663609</v>
      </c>
      <c r="HB45" s="134">
        <f>IF(ISNA(VLOOKUP(A45,'Données projet'!$A$269:$I$289,3,0)),0,VLOOKUP(A45,'Données projet'!$A$269:$I$289,3,0))</f>
        <v>0</v>
      </c>
      <c r="HC45" s="134">
        <f>IF(ISNA(VLOOKUP(A45,'Données projet'!$A$269:$I$289,4,0)),0,VLOOKUP(A45,'Données projet'!$A$269:$I$289,4,0))</f>
        <v>0</v>
      </c>
      <c r="HD45" s="135">
        <f>IF(ISNA(VLOOKUP(A45,'Données projet'!$A$269:$I$289,5,0)),0%,VLOOKUP(A45,'Données projet'!$A$269:$I$289,5,0)*VLOOKUP('Données projet'!$B$18,'Paramètres'!$A$1:$I$89,7,0))</f>
        <v>0</v>
      </c>
      <c r="HE45" s="135">
        <f>IF(ISNA(VLOOKUP(A45,'Données projet'!$A$269:$I$289,6,0)),0%,VLOOKUP(A45,'Données projet'!$A$269:$I$289,6,0)*VLOOKUP('Données projet'!$B$18,'Paramètres'!$A$1:$I$89,7,0))</f>
        <v>0</v>
      </c>
      <c r="HF45" s="135">
        <f>IF(ISNA(VLOOKUP(A45,'Données projet'!$A$269:$I$289,7,0)),0%,VLOOKUP(A45,'Données projet'!$A$269:$I$289,7,0))</f>
        <v>0</v>
      </c>
      <c r="HG45" s="142">
        <f>EXP(-LN(2)/35)*HG44+(1-EXP(-LN(2)/35))/(LN(2)/35)*HC45*HD45*VLOOKUP('Données projet'!$B$18,'Paramètres'!$A$1:$I$89,3,0)*0.475*44/12</f>
        <v>2.535164995</v>
      </c>
      <c r="HH45" s="142">
        <f>EXP(-LN(2)/25)*HH44+(1-EXP(-LN(2)/25))/(LN(2)/25)*Calculateur!HC45*Calculateur!HE45*VLOOKUP('Données projet'!$B$18,'Paramètres'!$A$1:$I$89,3,0)*0.475*44/12</f>
        <v>0</v>
      </c>
      <c r="HI45" s="142">
        <f>EXP(-LN(2)/2)*HI44+(1-EXP(-LN(2)/2))/(LN(2)/2)*HC45*HF45*VLOOKUP('Données projet'!$B$18,'Paramètres'!$A$1:$I$89,3,0)*0.475*44/12</f>
        <v>0</v>
      </c>
      <c r="HJ45" s="143">
        <f t="shared" si="31"/>
        <v>2.535164995</v>
      </c>
    </row>
    <row r="46" ht="15.75" customHeight="1">
      <c r="A46" s="125">
        <f t="shared" si="32"/>
        <v>43</v>
      </c>
      <c r="B46" s="126">
        <f>'Scénario référence'!$B$16*5+'Scénario référence'!$B$17*0+'Scénario référence'!$B$18*5</f>
        <v>0</v>
      </c>
      <c r="C46" s="140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23.478</v>
      </c>
      <c r="D46" s="127">
        <f t="shared" si="33"/>
        <v>7.493215302</v>
      </c>
      <c r="E4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7">
        <f>IF(OR('Scénario référence'!$F$8&gt;0,'Scénario référence'!$F$9&gt;0),('Scénario référence'!$F$8+'Scénario référence'!$F$9)*10,0)</f>
        <v>10</v>
      </c>
      <c r="G46" s="127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</v>
      </c>
      <c r="H46" s="128">
        <f t="shared" si="1"/>
        <v>347.2748667</v>
      </c>
      <c r="I46" s="12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1" t="str">
        <f>VLOOKUP(A46,'Données projet'!$A$35:$I$55,2,0)</f>
        <v>#N/A</v>
      </c>
      <c r="L46" s="131" t="str">
        <f>VLOOKUP(A46,'Données projet'!$A$35:$I$55,9,0)</f>
        <v>#N/A</v>
      </c>
      <c r="M46" s="131">
        <f t="array" ref="M46">INDEX(L:L,MIN(IF(ISNUMBER(L46:L242),ROW(L46:L242),"")))</f>
        <v>11.6</v>
      </c>
      <c r="N46" s="130">
        <f>IF('Données projet'!$A$36&gt;35,N45+M46-V45,IF(A46&lt;'Données projet'!$A$36,$K$205^A46,IF(A46='Données projet'!$A$36,'Données projet'!$B$36,N45+M46-V45)))</f>
        <v>204.8</v>
      </c>
      <c r="O46" s="130">
        <f>N46*VLOOKUP('Données projet'!$B$9,'Paramètres'!$A$1:$I$89,3,0)*VLOOKUP('Données projet'!$B$9,'Paramètres'!$A$1:$I$89,5,0)</f>
        <v>117.1456</v>
      </c>
      <c r="P46" s="130">
        <f t="shared" si="34"/>
        <v>31.00832746</v>
      </c>
      <c r="Q46" s="141">
        <f t="shared" si="2"/>
        <v>258.034757</v>
      </c>
      <c r="R46" s="133">
        <f t="shared" si="3"/>
        <v>551.3680903</v>
      </c>
      <c r="S46" s="133">
        <f>AVERAGE(OFFSET($R$3,0,0,'Données projet'!$E$9+1,1))-AVERAGE(OFFSET($H$3,0,0,'Données projet'!$E$9+1,1))</f>
        <v>126.9946492</v>
      </c>
      <c r="T46" s="133">
        <f t="shared" si="35"/>
        <v>140.039049</v>
      </c>
      <c r="U46" s="134">
        <f>IF(ISNA(VLOOKUP(A46,'Données projet'!$A$35:$I$55,3,0)),0,VLOOKUP(A46,'Données projet'!$A$35:$I$55,3,0))</f>
        <v>0</v>
      </c>
      <c r="V46" s="134">
        <f>IF(ISNA(VLOOKUP(A46,'Données projet'!$A$35:$I$55,4,0)),0,VLOOKUP(A46,'Données projet'!$A$35:$I$55,4,0))</f>
        <v>0</v>
      </c>
      <c r="W46" s="135">
        <f>IF(ISNA(VLOOKUP(A46,'Données projet'!$A$35:$I$55,5,0)),0%,VLOOKUP(A46,'Données projet'!$A$35:$I$55,5,0)*VLOOKUP('Données projet'!$B$9,'Paramètres'!$A$1:$I$89,7,0))</f>
        <v>0</v>
      </c>
      <c r="X46" s="135">
        <f>IF(ISNA(VLOOKUP(A46,'Données projet'!$A$35:$I$55,6,0)),0%,VLOOKUP(A46,'Données projet'!$A$35:$I$55,6,0)*VLOOKUP('Données projet'!$B$9,'Paramètres'!$A$1:$I$89,7,0))</f>
        <v>0</v>
      </c>
      <c r="Y46" s="135">
        <f>IF(ISNA(VLOOKUP(A46,'Données projet'!$A$35:$I$55,7,0)),0%,VLOOKUP(A46,'Données projet'!$A$35:$I$55,7,0))</f>
        <v>0</v>
      </c>
      <c r="Z46" s="142">
        <f>EXP(-LN(2)/35)*Z45+(1-EXP(-LN(2)/35))/(LN(2)/35)*V46*W46*VLOOKUP('Données projet'!$B$9,'Paramètres'!$A$1:$I$89,3,0)*0.475*44/12</f>
        <v>7.608246547</v>
      </c>
      <c r="AA46" s="142">
        <f>EXP(-LN(2)/25)*AA45+(1-EXP(-LN(2)/25))/(LN(2)/25)*Calculateur!V46*Calculateur!X46*VLOOKUP('Données projet'!$B$9,'Paramètres'!$A$1:$I$89,3,0)*0.475*44/12</f>
        <v>11.14000368</v>
      </c>
      <c r="AB46" s="142">
        <f>EXP(-LN(2)/2)*AB45+(1-EXP(-LN(2)/2))/(LN(2)/2)*V46*Y46*VLOOKUP('Données projet'!$B$9,'Paramètres'!$A$1:$I$89,3,0)*0.475*44/12</f>
        <v>2.700173656</v>
      </c>
      <c r="AC46" s="143">
        <f t="shared" si="4"/>
        <v>21.44842389</v>
      </c>
      <c r="AD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1" t="str">
        <f>VLOOKUP(A46,'Données projet'!$A$61:$I$81,2,0)</f>
        <v>#N/A</v>
      </c>
      <c r="AG46" s="131" t="str">
        <f>VLOOKUP(A46,'Données projet'!$A$61:$I$81,9,0)</f>
        <v>#N/A</v>
      </c>
      <c r="AH46" s="131">
        <f t="array" ref="AH46">INDEX(AG:AG,MIN(IF(ISNUMBER(AG46:AG242),ROW(AG46:AG242),"")))</f>
        <v>19</v>
      </c>
      <c r="AI46" s="130">
        <f>IF('Données projet'!$A$62&gt;35,AI45+AH46-AQ45,IF(A46&lt;'Données projet'!$A$62,$AF$205^A46,IF(A46='Données projet'!$A$62,'Données projet'!$B$62,AI45+AH46-AQ45)))</f>
        <v>280</v>
      </c>
      <c r="AJ46" s="130">
        <f>AI46*VLOOKUP('Données projet'!$B$10,'Paramètres'!$A$1:$I$89,3,0)*VLOOKUP('Données projet'!$B$10,'Paramètres'!$A$1:$I$89,5,0)</f>
        <v>167.44</v>
      </c>
      <c r="AK46" s="130">
        <f t="shared" si="36"/>
        <v>42.51616341</v>
      </c>
      <c r="AL46" s="141">
        <f t="shared" si="5"/>
        <v>365.6736513</v>
      </c>
      <c r="AM46" s="133">
        <f t="shared" si="6"/>
        <v>659.0069846</v>
      </c>
      <c r="AN46" s="133">
        <f>AVERAGE(OFFSET($AM$3,0,0,'Données projet'!$E$10+1,1))-AVERAGE(OFFSET($H$3,0,0,'Données projet'!$E$10+1,1))</f>
        <v>196.874484</v>
      </c>
      <c r="AO46" s="133">
        <f t="shared" si="37"/>
        <v>217.5750859</v>
      </c>
      <c r="AP46" s="134">
        <f>IF(ISNA(VLOOKUP(A46,'Données projet'!$A$61:$I$81,3,0)),0,VLOOKUP(A46,'Données projet'!$A$61:$I$81,3,0))</f>
        <v>0</v>
      </c>
      <c r="AQ46" s="134">
        <f>IF(ISNA(VLOOKUP(A46,'Données projet'!$A$61:$I$81,4,0)),0,VLOOKUP(A46,'Données projet'!$A$61:$I$81,4,0))</f>
        <v>0</v>
      </c>
      <c r="AR46" s="135">
        <f>IF(ISNA(VLOOKUP(A46,'Données projet'!$A$61:$I$81,5,0)),0%,VLOOKUP(A46,'Données projet'!$A$61:$I$81,5,0)*VLOOKUP('Données projet'!$B$10,'Paramètres'!$A$1:$I$89,7,0))</f>
        <v>0</v>
      </c>
      <c r="AS46" s="135">
        <f>IF(ISNA(VLOOKUP(A46,'Données projet'!$A$61:$I$81,6,0)),0%,VLOOKUP(A46,'Données projet'!$A$61:$I$81,6,0)*VLOOKUP('Données projet'!$B$10,'Paramètres'!$A$1:$I$89,7,0))</f>
        <v>0</v>
      </c>
      <c r="AT46" s="135">
        <f>IF(ISNA(VLOOKUP(A46,'Données projet'!$A$61:$I$81,7,0)),0%,VLOOKUP(A46,'Données projet'!$A$61:$I$81,7,0))</f>
        <v>0</v>
      </c>
      <c r="AU46" s="142">
        <f>EXP(-LN(2)/35)*AU45+(1-EXP(-LN(2)/35))/(LN(2)/35)*AQ46*AR46*VLOOKUP('Données projet'!$B$10,'Paramètres'!$A$1:$I$89,3,0)*0.475*44/12</f>
        <v>9.891538243</v>
      </c>
      <c r="AV46" s="142">
        <f>EXP(-LN(2)/25)*AV45+(1-EXP(-LN(2)/25))/(LN(2)/25)*Calculateur!AQ46*Calculateur!AS46*VLOOKUP('Données projet'!$B$10,'Paramètres'!$A$1:$I$89,3,0)*0.475*44/12</f>
        <v>17.35122615</v>
      </c>
      <c r="AW46" s="142">
        <f>EXP(-LN(2)/2)*AW45+(1-EXP(-LN(2)/2))/(LN(2)/2)*AQ46*AT46*VLOOKUP('Données projet'!$B$10,'Paramètres'!$A$1:$I$89,3,0)*0.475*44/12</f>
        <v>3.304505827</v>
      </c>
      <c r="AX46" s="142">
        <f t="shared" si="7"/>
        <v>30.54727022</v>
      </c>
      <c r="AY46" s="13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1" t="str">
        <f>VLOOKUP(A46,'Données projet'!$A$87:$I$107,2,0)</f>
        <v>#N/A</v>
      </c>
      <c r="BB46" s="131" t="str">
        <f>VLOOKUP(A46,'Données projet'!$A$87:$I$107,9,0)</f>
        <v>#N/A</v>
      </c>
      <c r="BC46" s="130">
        <f t="array" ref="BC46">INDEX(BB:BB,MIN(IF(ISNUMBER(BB46:BB242),ROW(BB46:BB242),"")))</f>
        <v>14</v>
      </c>
      <c r="BD46" s="130">
        <f>IF('Données projet'!$A$88&gt;35,BD45+BC46-BL45,IF(A46&lt;'Données projet'!$A$88,$BA$205^A46,IF(A46='Données projet'!$A$88,'Données projet'!$B$88,BD45+BC46-BL45)))</f>
        <v>202</v>
      </c>
      <c r="BE46" s="130">
        <f>BD46*VLOOKUP('Données projet'!$B$11,'Paramètres'!$A$1:$I$89,3,0)*VLOOKUP('Données projet'!$B$11,'Paramètres'!$A$1:$I$89,5,0)</f>
        <v>94.536</v>
      </c>
      <c r="BF46" s="130">
        <f t="shared" si="38"/>
        <v>25.65604866</v>
      </c>
      <c r="BG46" s="141">
        <f t="shared" si="8"/>
        <v>209.3344848</v>
      </c>
      <c r="BH46" s="133">
        <f t="shared" si="9"/>
        <v>502.6678181</v>
      </c>
      <c r="BI46" s="133">
        <f>AVERAGE(OFFSET($BH$3,0,0,'Données projet'!$E$11+1,1))-AVERAGE(OFFSET($H$3,0,0,'Données projet'!$E$11+1,1))</f>
        <v>134.0948534</v>
      </c>
      <c r="BJ46" s="133">
        <f t="shared" si="39"/>
        <v>108.4102536</v>
      </c>
      <c r="BK46" s="134">
        <f>IF(ISNA(VLOOKUP(A46,'Données projet'!$A$87:$I$107,3,0)),0,VLOOKUP(A46,'Données projet'!$A$87:$I$107,3,0))</f>
        <v>0</v>
      </c>
      <c r="BL46" s="134">
        <f>IF(ISNA(VLOOKUP(A46,'Données projet'!$A$87:$I$107,4,0)),0,VLOOKUP(A46,'Données projet'!$A$87:$I$107,4,0))</f>
        <v>0</v>
      </c>
      <c r="BM46" s="135">
        <f>IF(ISNA(VLOOKUP(A46,'Données projet'!$A$87:$I$107,5,0)),0%,VLOOKUP(A46,'Données projet'!$A$87:$I$107,5,0)*VLOOKUP('Données projet'!$B$11,'Paramètres'!$A$1:$I$89,7,0))</f>
        <v>0</v>
      </c>
      <c r="BN46" s="135">
        <f>IF(ISNA(VLOOKUP(A46,'Données projet'!$A$87:$I$107,6,0)),0%,VLOOKUP(A46,'Données projet'!$A$87:$I$107,6,0)*VLOOKUP('Données projet'!$B$11,'Paramètres'!$A$1:$I$89,7,0))</f>
        <v>0</v>
      </c>
      <c r="BO46" s="135">
        <f>IF(ISNA(VLOOKUP(A46,'Données projet'!$A$87:$I$107,7,0)),0%,VLOOKUP(A46,'Données projet'!$A$87:$I$107,7,0))</f>
        <v>0</v>
      </c>
      <c r="BP46" s="142">
        <f>EXP(-LN(2)/35)*BP45+(1-EXP(-LN(2)/35))/(LN(2)/35)*BL46*BM46*VLOOKUP('Données projet'!$B$11,'Paramètres'!$A$1:$I$89,3,0)*0.475*44/12</f>
        <v>8.546853599</v>
      </c>
      <c r="BQ46" s="142">
        <f>EXP(-LN(2)/25)*BQ45+(1-EXP(-LN(2)/25))/(LN(2)/25)*Calculateur!BL46*Calculateur!BN46*VLOOKUP('Données projet'!$B$11,'Paramètres'!$A$1:$I$89,3,0)*0.475*44/12</f>
        <v>9.508224759</v>
      </c>
      <c r="BR46" s="142">
        <f>EXP(-LN(2)/2)*BR45+(1-EXP(-LN(2)/2))/(LN(2)/2)*BL46*BO46*VLOOKUP('Données projet'!$B$11,'Paramètres'!$A$1:$I$89,3,0)*0.475*44/12</f>
        <v>2.555352214</v>
      </c>
      <c r="BS46" s="143">
        <f t="shared" si="10"/>
        <v>20.61043057</v>
      </c>
      <c r="BT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1" t="str">
        <f>VLOOKUP(A46,'Données projet'!$A$113:$I$133,2,0)</f>
        <v>#N/A</v>
      </c>
      <c r="BW46" s="131" t="str">
        <f>VLOOKUP(A46,'Données projet'!$A$113:$I$133,9,0)</f>
        <v>#N/A</v>
      </c>
      <c r="BX46" s="130">
        <f t="array" ref="BX46">INDEX(BW:BW,MIN(IF(ISNUMBER(BW46:BW242),ROW(BW46:BW242),"")))</f>
        <v>24.2</v>
      </c>
      <c r="BY46" s="130">
        <f>IF('Données projet'!$A$114&gt;35,BY45+BX46-CG45,IF(A46&lt;'Données projet'!$A$114,$BV$205^A46,IF(A46='Données projet'!$A$114,'Données projet'!$B$114,BY45+BX46-CG45)))</f>
        <v>445.6</v>
      </c>
      <c r="BZ46" s="130">
        <f>BY46*VLOOKUP('Données projet'!$B$12,'Paramètres'!$A$1:$I$89,3,0)*VLOOKUP('Données projet'!$B$12,'Paramètres'!$A$1:$I$89,5,0)</f>
        <v>220.1264</v>
      </c>
      <c r="CA46" s="130">
        <f t="shared" si="40"/>
        <v>54.14235722</v>
      </c>
      <c r="CB46" s="141">
        <f t="shared" si="11"/>
        <v>477.6847522</v>
      </c>
      <c r="CC46" s="133">
        <f t="shared" si="12"/>
        <v>771.0180855</v>
      </c>
      <c r="CD46" s="133">
        <f>AVERAGE(OFFSET($CC$3,0,0,'Données projet'!$E$12+1,1))-AVERAGE(OFFSET($H$3,0,0,'Données projet'!$E$12+1,1))</f>
        <v>258.1672054</v>
      </c>
      <c r="CE46" s="133">
        <f t="shared" si="41"/>
        <v>296.0724261</v>
      </c>
      <c r="CF46" s="134">
        <f>IF(ISNA(VLOOKUP(A46,'Données projet'!$A$113:$I$133,3,0)),0,VLOOKUP(A46,'Données projet'!$A$113:$I$133,3,0))</f>
        <v>0</v>
      </c>
      <c r="CG46" s="134">
        <f>IF(ISNA(VLOOKUP(A46,'Données projet'!$A$113:$I$133,4,0)),0,VLOOKUP(A46,'Données projet'!$A$113:$I$133,4,0))</f>
        <v>0</v>
      </c>
      <c r="CH46" s="135">
        <f>IF(ISNA(VLOOKUP(A46,'Données projet'!$A$113:$I$133,5,0)),0%,VLOOKUP(A46,'Données projet'!$A$113:$I$133,5,0)*VLOOKUP('Données projet'!$B$12,'Paramètres'!$A$1:$I$89,7,0))</f>
        <v>0</v>
      </c>
      <c r="CI46" s="135">
        <f>IF(ISNA(VLOOKUP(A46,'Données projet'!$A$113:$I$133,6,0)),0%,VLOOKUP(A46,'Données projet'!$A$113:$I$133,6,0)*VLOOKUP('Données projet'!$B$12,'Paramètres'!$A$1:$I$89,7,0))</f>
        <v>0</v>
      </c>
      <c r="CJ46" s="135">
        <f>IF(ISNA(VLOOKUP(A46,'Données projet'!$A$113:$I$133,7,0)),0%,VLOOKUP(A46,'Données projet'!$A$113:$I$133,7,0))</f>
        <v>0</v>
      </c>
      <c r="CK46" s="142">
        <f>EXP(-LN(2)/35)*CK45+(1-EXP(-LN(2)/35))/(LN(2)/35)*CG46*CH46*VLOOKUP('Données projet'!$B$12,'Paramètres'!$A$1:$I$89,3,0)*0.475*44/12</f>
        <v>23.00099627</v>
      </c>
      <c r="CL46" s="142">
        <f>EXP(-LN(2)/25)*CL45+(1-EXP(-LN(2)/25))/(LN(2)/25)*Calculateur!CG46*Calculateur!CI46*VLOOKUP('Données projet'!$B$12,'Paramètres'!$A$1:$I$89,3,0)*0.475*44/12</f>
        <v>26.7004266</v>
      </c>
      <c r="CM46" s="142">
        <f>EXP(-LN(2)/2)*CM45+(1-EXP(-LN(2)/2))/(LN(2)/2)*CG46*CJ46*VLOOKUP('Données projet'!$B$12,'Paramètres'!$A$1:$I$89,3,0)*0.475*44/12</f>
        <v>3.972364505</v>
      </c>
      <c r="CN46" s="143">
        <f t="shared" si="13"/>
        <v>53.67378738</v>
      </c>
      <c r="CO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1" t="str">
        <f>VLOOKUP(A46,'Données projet'!$A$139:$I$159,2,0)</f>
        <v>#N/A</v>
      </c>
      <c r="CR46" s="131" t="str">
        <f>VLOOKUP(A46,'Données projet'!$A$139:$I$159,9,0)</f>
        <v>#N/A</v>
      </c>
      <c r="CS46" s="130">
        <f t="array" ref="CS46">INDEX(CR:CR,MIN(IF(ISNUMBER(CR46:CR242),ROW(CR46:CR242),"")))</f>
        <v>5.6</v>
      </c>
      <c r="CT46" s="138">
        <f>IF('Données projet'!$A$140&gt;35,CT45+CS46-DB45,IF(A46&lt;'Données projet'!$A$140,$CQ$205^A46,IF(A46='Données projet'!$A$140,'Données projet'!$B$140,CT45+CS46-DB45)))</f>
        <v>95.8</v>
      </c>
      <c r="CU46" s="138">
        <f>CT46*VLOOKUP('Données projet'!$B$13,'Paramètres'!$A$1:$I$89,3,0)*VLOOKUP('Données projet'!$B$13,'Paramètres'!$A$1:$I$89,5,0)</f>
        <v>97.1412</v>
      </c>
      <c r="CV46" s="130">
        <f t="shared" si="42"/>
        <v>26.27978245</v>
      </c>
      <c r="CW46" s="141">
        <f t="shared" si="14"/>
        <v>214.9582111</v>
      </c>
      <c r="CX46" s="133">
        <f t="shared" si="15"/>
        <v>508.2915444</v>
      </c>
      <c r="CY46" s="133">
        <f>AVERAGE(OFFSET($CX$3,0,0,'Données projet'!$E$13+1,1))-AVERAGE(OFFSET($H$3,0,0,'Données projet'!$E$13+1,1))</f>
        <v>223.783507</v>
      </c>
      <c r="CZ46" s="133">
        <f t="shared" si="43"/>
        <v>84.92349117</v>
      </c>
      <c r="DA46" s="134">
        <f>IF(ISNA(VLOOKUP(A46,'Données projet'!$A$139:$I$159,3,0)),0,VLOOKUP(A46,'Données projet'!$A$139:$I$159,3,0))</f>
        <v>0</v>
      </c>
      <c r="DB46" s="134">
        <f>IF(ISNA(VLOOKUP(A46,'Données projet'!$A$139:$I$159,4,0)),0,VLOOKUP(A46,'Données projet'!$A$139:$I$159,4,0))</f>
        <v>0</v>
      </c>
      <c r="DC46" s="135">
        <f>IF(ISNA(VLOOKUP(A46,'Données projet'!$A$139:$I$159,5,0)),0%,VLOOKUP(A46,'Données projet'!$A$139:$I$159,5,0)*VLOOKUP('Données projet'!$B$13,'Paramètres'!$A$1:$I$89,7,0))</f>
        <v>0</v>
      </c>
      <c r="DD46" s="135">
        <f>IF(ISNA(VLOOKUP(A46,'Données projet'!$A$139:$I$159,6,0)),0%,VLOOKUP(A46,'Données projet'!$A$139:$I$159,6,0)*VLOOKUP('Données projet'!$B$13,'Paramètres'!$A$1:$I$89,7,0))</f>
        <v>0</v>
      </c>
      <c r="DE46" s="135">
        <f>IF(ISNA(VLOOKUP(A46,'Données projet'!$A$139:$I$159,7,0)),0%,VLOOKUP(A46,'Données projet'!$A$139:$I$159,7,0))</f>
        <v>0</v>
      </c>
      <c r="DF46" s="142">
        <f>EXP(-LN(2)/35)*DF45+(1-EXP(-LN(2)/35))/(LN(2)/35)*DB46*DC46*VLOOKUP('Données projet'!$B$13,'Paramètres'!$A$1:$I$89,3,0)*0.475*44/12</f>
        <v>0</v>
      </c>
      <c r="DG46" s="142">
        <f>EXP(-LN(2)/25)*DG45+(1-EXP(-LN(2)/25))/(LN(2)/25)*Calculateur!DB46*Calculateur!DD46*VLOOKUP('Données projet'!$B$13,'Paramètres'!$A$1:$I$89,3,0)*0.475*44/12</f>
        <v>0</v>
      </c>
      <c r="DH46" s="142">
        <f>EXP(-LN(2)/2)*DH45+(1-EXP(-LN(2)/2))/(LN(2)/2)*DB46*DE46*VLOOKUP('Données projet'!$B$13,'Paramètres'!$A$1:$I$89,3,0)*0.475*44/12</f>
        <v>0</v>
      </c>
      <c r="DI46" s="143">
        <f t="shared" si="16"/>
        <v>0</v>
      </c>
      <c r="DJ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1" t="str">
        <f>VLOOKUP(A46,'Données projet'!$A$165:$I$185,2,0)</f>
        <v>#N/A</v>
      </c>
      <c r="DM46" s="131" t="str">
        <f>VLOOKUP(A46,'Données projet'!$A$165:$I$185,9,0)</f>
        <v>#N/A</v>
      </c>
      <c r="DN46" s="131">
        <f t="array" ref="DN46">INDEX(DM:DM,MIN(IF(ISNUMBER(DM46:DM242),ROW(DM46:DM242),"")))</f>
        <v>8.4</v>
      </c>
      <c r="DO46" s="138">
        <f>IF('Données projet'!$A$166&gt;35,DO45+DN46-DW45,IF(A46&lt;'Données projet'!$A$166,$DL$205^A46,IF(A46='Données projet'!$A$166,'Données projet'!$B$166,DO45+DN46-DW45)))</f>
        <v>141.2</v>
      </c>
      <c r="DP46" s="138">
        <f>DO46*VLOOKUP('Données projet'!$B$14,'Paramètres'!$A$1:$I$89,3,0)*VLOOKUP('Données projet'!$B$14,'Paramètres'!$A$1:$I$89,5,0)</f>
        <v>127.75776</v>
      </c>
      <c r="DQ46" s="130">
        <f t="shared" si="44"/>
        <v>33.47772003</v>
      </c>
      <c r="DR46" s="141">
        <f t="shared" si="17"/>
        <v>280.8184611</v>
      </c>
      <c r="DS46" s="133">
        <f t="shared" si="18"/>
        <v>574.1517944</v>
      </c>
      <c r="DT46" s="133">
        <f>AVERAGE(OFFSET($DS$3,0,0,'Données projet'!$E$14+1,1))-AVERAGE(OFFSET($H$3,0,0,'Données projet'!$E$14+1,1))</f>
        <v>287.9334714</v>
      </c>
      <c r="DU46" s="133">
        <f t="shared" si="45"/>
        <v>156.6796502</v>
      </c>
      <c r="DV46" s="134">
        <f>IF(ISNA(VLOOKUP(A46,'Données projet'!$A$165:$I$185,3,0)),0,VLOOKUP(A46,'Données projet'!$A$165:$I$185,3,0))</f>
        <v>0</v>
      </c>
      <c r="DW46" s="134">
        <f>IF(ISNA(VLOOKUP(A46,'Données projet'!$A$165:$I$185,4,0)),0,VLOOKUP(A46,'Données projet'!$A$165:$I$185,4,0))</f>
        <v>0</v>
      </c>
      <c r="DX46" s="135">
        <f>IF(ISNA(VLOOKUP(A46,'Données projet'!$A$165:$I$185,5,0)),0%,VLOOKUP(A46,'Données projet'!$A$165:$I$185,5,0)*VLOOKUP('Données projet'!$B$14,'Paramètres'!$A$1:$I$89,7,0))</f>
        <v>0</v>
      </c>
      <c r="DY46" s="135">
        <f>IF(ISNA(VLOOKUP(A46,'Données projet'!$A$165:$I$185,6,0)),0%,VLOOKUP(A46,'Données projet'!$A$165:$I$185,6,0)*VLOOKUP('Données projet'!$B$14,'Paramètres'!$A$1:$I$89,7,0))</f>
        <v>0</v>
      </c>
      <c r="DZ46" s="135">
        <f>IF(ISNA(VLOOKUP(A46,'Données projet'!$A$165:$I$185,7,0)),0%,VLOOKUP(A46,'Données projet'!$A$165:$I$185,7,0))</f>
        <v>0</v>
      </c>
      <c r="EA46" s="142">
        <f>EXP(-LN(2)/35)*EA45+(1-EXP(-LN(2)/35))/(LN(2)/35)*DW46*DX46*VLOOKUP('Données projet'!$B$14,'Paramètres'!$A$1:$I$89,3,0)*0.475*44/12</f>
        <v>1.702216819</v>
      </c>
      <c r="EB46" s="142">
        <f>EXP(-LN(2)/25)*EB45+(1-EXP(-LN(2)/25))/(LN(2)/25)*Calculateur!DW46*Calculateur!DY46*VLOOKUP('Données projet'!$B$14,'Paramètres'!$A$1:$I$89,3,0)*0.475*44/12</f>
        <v>0</v>
      </c>
      <c r="EC46" s="142">
        <f>EXP(-LN(2)/2)*EC45+(1-EXP(-LN(2)/2))/(LN(2)/2)*DW46*DZ46*VLOOKUP('Données projet'!$B$14,'Paramètres'!$A$1:$I$89,3,0)*0.475*44/12</f>
        <v>0</v>
      </c>
      <c r="ED46" s="143">
        <f t="shared" si="19"/>
        <v>1.702216819</v>
      </c>
      <c r="EE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1" t="str">
        <f>VLOOKUP(A46,'Données projet'!$A$191:$I$211,2,0)</f>
        <v>#N/A</v>
      </c>
      <c r="EH46" s="131" t="str">
        <f>VLOOKUP(A46,'Données projet'!$A$191:$I$211,9,0)</f>
        <v>#N/A</v>
      </c>
      <c r="EI46" s="131">
        <f t="array" ref="EI46">INDEX(EH:EH,MIN(IF(ISNUMBER(EH46:EH242),ROW(EH46:EH242),"")))</f>
        <v>8</v>
      </c>
      <c r="EJ46" s="138">
        <f>IF('Données projet'!$A$192&gt;35,EJ45+EI46-ER45,IF(A46&lt;'Données projet'!$A$192,$EG$205^A46,IF(A46='Données projet'!$A$192,'Données projet'!$B$192,EJ45+EI46-ER45)))</f>
        <v>118</v>
      </c>
      <c r="EK46" s="138">
        <f>EJ46*VLOOKUP('Données projet'!$B$15,'Paramètres'!$A$1:$I$89,3,0)*VLOOKUP('Données projet'!$B$15,'Paramètres'!$A$1:$I$89,5,0)</f>
        <v>86.5176</v>
      </c>
      <c r="EL46" s="130">
        <f t="shared" si="46"/>
        <v>23.72343482</v>
      </c>
      <c r="EM46" s="141">
        <f t="shared" si="20"/>
        <v>192.0031356</v>
      </c>
      <c r="EN46" s="133">
        <f t="shared" si="21"/>
        <v>485.336469</v>
      </c>
      <c r="EO46" s="133">
        <f>AVERAGE(OFFSET($EN$3,0,0,'Données projet'!$E$15+1,1))-AVERAGE(OFFSET($H$3,0,0,'Données projet'!$E$15+1,1))</f>
        <v>130.3193339</v>
      </c>
      <c r="EP46" s="133">
        <f t="shared" si="47"/>
        <v>82.22784365</v>
      </c>
      <c r="EQ46" s="134">
        <f>IF(ISNA(VLOOKUP(A46,'Données projet'!$A$191:$I$211,3,0)),0,VLOOKUP(A46,'Données projet'!$A$191:$I$211,3,0))</f>
        <v>0</v>
      </c>
      <c r="ER46" s="134">
        <f>IF(ISNA(VLOOKUP(A46,'Données projet'!$A$191:$I$211,4,0)),0,VLOOKUP(A46,'Données projet'!$A$191:$I$211,4,0))</f>
        <v>0</v>
      </c>
      <c r="ES46" s="135">
        <f>IF(ISNA(VLOOKUP(A46,'Données projet'!$A$191:$I$211,5,0)),0%,VLOOKUP(A46,'Données projet'!$A$191:$I$211,5,0)*VLOOKUP('Données projet'!$B$15,'Paramètres'!$A$1:$I$89,7,0))</f>
        <v>0</v>
      </c>
      <c r="ET46" s="135">
        <f>IF(ISNA(VLOOKUP(A46,'Données projet'!$A$191:$I$211,6,0)),0%,VLOOKUP(A46,'Données projet'!$A$191:$I$211,6,0)*VLOOKUP('Données projet'!$B$15,'Paramètres'!$A$1:$I$89,7,0))</f>
        <v>0</v>
      </c>
      <c r="EU46" s="135">
        <f>IF(ISNA(VLOOKUP(A46,'Données projet'!$A$191:$I$211,7,0)),0%,VLOOKUP(A46,'Données projet'!$A$191:$I$211,7,0))</f>
        <v>0</v>
      </c>
      <c r="EV46" s="142">
        <f>EXP(-LN(2)/35)*EV45+(1-EXP(-LN(2)/35))/(LN(2)/35)*ER46*ES46*VLOOKUP('Données projet'!$B$15,'Paramètres'!$A$1:$I$89,3,0)*0.475*44/12</f>
        <v>3.275325659</v>
      </c>
      <c r="EW46" s="142">
        <f>EXP(-LN(2)/25)*EW45+(1-EXP(-LN(2)/25))/(LN(2)/25)*Calculateur!ER46*Calculateur!ET46*VLOOKUP('Données projet'!$B$15,'Paramètres'!$A$1:$I$89,3,0)*0.475*44/12</f>
        <v>0</v>
      </c>
      <c r="EX46" s="142">
        <f>EXP(-LN(2)/2)*EX45+(1-EXP(-LN(2)/2))/(LN(2)/2)*ER46*EU46*VLOOKUP('Données projet'!$B$15,'Paramètres'!$A$1:$I$89,3,0)*0.475*44/12</f>
        <v>0</v>
      </c>
      <c r="EY46" s="143">
        <f t="shared" si="22"/>
        <v>3.275325659</v>
      </c>
      <c r="EZ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1" t="str">
        <f>VLOOKUP(A46,'Données projet'!$A$217:$I$237,2,0)</f>
        <v>#N/A</v>
      </c>
      <c r="FC46" s="131" t="str">
        <f>VLOOKUP(A46,'Données projet'!$A$217:$I$237,9,0)</f>
        <v>#N/A</v>
      </c>
      <c r="FD46" s="130">
        <f t="array" ref="FD46">INDEX(FC:FC,MIN(IF(ISNUMBER(FC46:FC242),ROW(FC46:FC242),"")))</f>
        <v>6</v>
      </c>
      <c r="FE46" s="130">
        <f>IF('Données projet'!$A$218&gt;35,FE45+FD46-FM45,IF(A46&lt;'Données projet'!$A$218,$FB$205^A46,IF(A46='Données projet'!$A$218,'Données projet'!$B$218,FE45+FD46-FM45)))</f>
        <v>231</v>
      </c>
      <c r="FF46" s="138">
        <f>FE46*VLOOKUP('Données projet'!$B$16,'Paramètres'!$A$1:$I$89,3,0)*VLOOKUP('Données projet'!$B$16,'Paramètres'!$A$1:$I$89,5,0)</f>
        <v>209.0088</v>
      </c>
      <c r="FG46" s="130">
        <f t="shared" si="48"/>
        <v>51.71892395</v>
      </c>
      <c r="FH46" s="141">
        <f t="shared" si="23"/>
        <v>454.1007859</v>
      </c>
      <c r="FI46" s="133">
        <f t="shared" si="24"/>
        <v>747.4341192</v>
      </c>
      <c r="FJ46" s="133">
        <f>AVERAGE(OFFSET($FI$3,0,0,'Données projet'!$E$16+1,1))-AVERAGE(OFFSET($H$3,0,0,'Données projet'!$E$16+1,1))</f>
        <v>305.6252353</v>
      </c>
      <c r="FK46" s="133">
        <f t="shared" si="49"/>
        <v>331.397916</v>
      </c>
      <c r="FL46" s="134">
        <f>IF(ISNA(VLOOKUP(A46,'Données projet'!$A$217:$I$237,3,0)),0,VLOOKUP(A46,'Données projet'!$A$217:$I$237,3,0))</f>
        <v>0</v>
      </c>
      <c r="FM46" s="134">
        <f>IF(ISNA(VLOOKUP(A46,'Données projet'!$A$217:$I$237,4,0)),0,VLOOKUP(A46,'Données projet'!$A$217:$I$237,4,0))</f>
        <v>0</v>
      </c>
      <c r="FN46" s="135">
        <f>IF(ISNA(VLOOKUP(A46,'Données projet'!$A$217:$I$237,5,0)),0%,VLOOKUP(A46,'Données projet'!$A$217:$I$237,5,0)*VLOOKUP('Données projet'!$B$16,'Paramètres'!$A$1:$I$89,7,0))</f>
        <v>0</v>
      </c>
      <c r="FO46" s="135">
        <f>IF(ISNA(VLOOKUP(A46,'Données projet'!$A$217:$I$237,6,0)),0%,VLOOKUP(A46,'Données projet'!$A$217:$I$237,6,0)*VLOOKUP('Données projet'!$B$16,'Paramètres'!$A$1:$I$89,7,0))</f>
        <v>0</v>
      </c>
      <c r="FP46" s="135">
        <f>IF(ISNA(VLOOKUP(A46,'Données projet'!$A$217:$I$237,7,0)),0%,VLOOKUP(A46,'Données projet'!$A$217:$I$237,7,0))</f>
        <v>0</v>
      </c>
      <c r="FQ46" s="142">
        <f>EXP(-LN(2)/35)*FQ45+(1-EXP(-LN(2)/35))/(LN(2)/35)*FM46*FN46*VLOOKUP('Données projet'!$B$16,'Paramètres'!$A$1:$I$89,3,0)*0.475*44/12</f>
        <v>1.611257287</v>
      </c>
      <c r="FR46" s="142">
        <f>EXP(-LN(2)/25)*FR45+(1-EXP(-LN(2)/25))/(LN(2)/25)*Calculateur!FM46*Calculateur!FO46*VLOOKUP('Données projet'!$B$16,'Paramètres'!$A$1:$I$89,3,0)*0.475*44/12</f>
        <v>0</v>
      </c>
      <c r="FS46" s="142">
        <f>EXP(-LN(2)/2)*FS45+(1-EXP(-LN(2)/2))/(LN(2)/2)*FM46*FP46*VLOOKUP('Données projet'!$B$16,'Paramètres'!$A$1:$I$89,3,0)*0.475*44/12</f>
        <v>0</v>
      </c>
      <c r="FT46" s="143">
        <f t="shared" si="25"/>
        <v>1.611257287</v>
      </c>
      <c r="FU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1" t="str">
        <f>VLOOKUP(A46,'Données projet'!$A$243:$I$263,2,0)</f>
        <v>#N/A</v>
      </c>
      <c r="FX46" s="131" t="str">
        <f>VLOOKUP(A46,'Données projet'!$A$243:$I$263,9,0)</f>
        <v>#N/A</v>
      </c>
      <c r="FY46" s="130">
        <f t="array" ref="FY46">INDEX(FX:FX,MIN(IF(ISNUMBER(FX46:FX242),ROW(FX46:FX242),"")))</f>
        <v>11</v>
      </c>
      <c r="FZ46" s="138">
        <f>IF('Données projet'!$A$244&gt;35,FZ45+FY46-GH45,IF(A46&lt;'Données projet'!$A$244,$FW$205^A46,IF(A46='Données projet'!$A$244,'Données projet'!$B$244,FZ45+FY46-GH45)))</f>
        <v>168</v>
      </c>
      <c r="GA46" s="138">
        <f>FZ46*VLOOKUP('Données projet'!$B$17,'Paramètres'!$A$1:$I$89,3,0)*VLOOKUP('Données projet'!$B$17,'Paramètres'!$A$1:$I$89,5,0)</f>
        <v>112.6944</v>
      </c>
      <c r="GB46" s="130">
        <f t="shared" si="50"/>
        <v>29.96490938</v>
      </c>
      <c r="GC46" s="141">
        <f t="shared" si="26"/>
        <v>248.4649638</v>
      </c>
      <c r="GD46" s="133">
        <f t="shared" si="27"/>
        <v>541.7982972</v>
      </c>
      <c r="GE46" s="133">
        <f>AVERAGE(OFFSET($GD$3,0,0,'Données projet'!$E$17+1,1))-AVERAGE(OFFSET($H$3,0,0,'Données projet'!$E$17+1,1))</f>
        <v>118.7368745</v>
      </c>
      <c r="GF46" s="133">
        <f t="shared" si="51"/>
        <v>135.1233677</v>
      </c>
      <c r="GG46" s="134">
        <f>IF(ISNA(VLOOKUP(A46,'Données projet'!$A$243:$I$263,3,0)),0,VLOOKUP(A46,'Données projet'!$A$243:$I$263,3,0))</f>
        <v>0</v>
      </c>
      <c r="GH46" s="134">
        <f>IF(ISNA(VLOOKUP(A46,'Données projet'!$A$243:$I$263,4,0)),0,VLOOKUP(A46,'Données projet'!$A$243:$I$263,4,0))</f>
        <v>0</v>
      </c>
      <c r="GI46" s="135">
        <f>IF(ISNA(VLOOKUP(A46,'Données projet'!$A$243:$I$263,5,0)),0%,VLOOKUP(A46,'Données projet'!$A$243:$I$263,5,0)*VLOOKUP('Données projet'!$B$17,'Paramètres'!$A$1:$I$89,7,0))</f>
        <v>0</v>
      </c>
      <c r="GJ46" s="135">
        <f>IF(ISNA(VLOOKUP(A46,'Données projet'!$A$243:$I$263,6,0)),0%,VLOOKUP(A46,'Données projet'!$A$243:$I$263,6,0)*VLOOKUP('Données projet'!$B$17,'Paramètres'!$A$1:$I$89,7,0))</f>
        <v>0</v>
      </c>
      <c r="GK46" s="135">
        <f>IF(ISNA(VLOOKUP(A46,'Données projet'!$A$243:$I$263,7,0)),0%,VLOOKUP(A46,'Données projet'!$A$243:$I$263,7,0))</f>
        <v>0</v>
      </c>
      <c r="GL46" s="142">
        <f>EXP(-LN(2)/35)*GL45+(1-EXP(-LN(2)/35))/(LN(2)/35)*GH46*GI46*VLOOKUP('Données projet'!$B$17,'Paramètres'!$A$1:$I$89,3,0)*0.475*44/12</f>
        <v>6.026370107</v>
      </c>
      <c r="GM46" s="142">
        <f>EXP(-LN(2)/25)*GM45+(1-EXP(-LN(2)/25))/(LN(2)/25)*Calculateur!GH46*Calculateur!GJ46*VLOOKUP('Données projet'!$B$17,'Paramètres'!$A$1:$I$89,3,0)*0.475*44/12</f>
        <v>0</v>
      </c>
      <c r="GN46" s="142">
        <f>EXP(-LN(2)/2)*GN45+(1-EXP(-LN(2)/2))/(LN(2)/2)*GH46*GK46*VLOOKUP('Données projet'!$B$17,'Paramètres'!$A$1:$I$89,3,0)*0.475*44/12</f>
        <v>0</v>
      </c>
      <c r="GO46" s="142">
        <f t="shared" si="28"/>
        <v>6.026370107</v>
      </c>
      <c r="GP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1" t="str">
        <f>VLOOKUP(A46,'Données projet'!$A$269:$I$289,2,0)</f>
        <v>#N/A</v>
      </c>
      <c r="GS46" s="131" t="str">
        <f>VLOOKUP(A46,'Données projet'!$A$269:$I$289,9,0)</f>
        <v>#N/A</v>
      </c>
      <c r="GT46" s="130">
        <f t="array" ref="GT46">INDEX(GS:GS,MIN(IF(ISNUMBER(GS46:GS242),ROW(GS46:GS242),"")))</f>
        <v>5.6</v>
      </c>
      <c r="GU46" s="138">
        <f>IF('Données projet'!$A$270&gt;35,GU45+GT46-HC45,IF(A46&lt;'Données projet'!$A$270,$GR$205^A46,IF(A46='Données projet'!$A$270,'Données projet'!$B$270,GU45+GT46-HC45)))</f>
        <v>95.8</v>
      </c>
      <c r="GV46" s="138">
        <f>GU46*VLOOKUP('Données projet'!$B$18,'Paramètres'!$A$1:$I$89,3,0)*VLOOKUP('Données projet'!$B$18,'Paramètres'!$A$1:$I$89,5,0)</f>
        <v>103.11912</v>
      </c>
      <c r="GW46" s="130">
        <f t="shared" si="52"/>
        <v>27.70375133</v>
      </c>
      <c r="GX46" s="141">
        <f t="shared" si="29"/>
        <v>227.8498342</v>
      </c>
      <c r="GY46" s="133">
        <f t="shared" si="30"/>
        <v>521.1831676</v>
      </c>
      <c r="GZ46" s="133">
        <f>AVERAGE(OFFSET($GY$3,0,0,'Données projet'!$E$18+1,1))-AVERAGE(OFFSET($H$3,0,0,'Données projet'!$E$18+1,1))</f>
        <v>100.5427875</v>
      </c>
      <c r="HA46" s="133">
        <f t="shared" si="53"/>
        <v>92.28663609</v>
      </c>
      <c r="HB46" s="134">
        <f>IF(ISNA(VLOOKUP(A46,'Données projet'!$A$269:$I$289,3,0)),0,VLOOKUP(A46,'Données projet'!$A$269:$I$289,3,0))</f>
        <v>0</v>
      </c>
      <c r="HC46" s="134">
        <f>IF(ISNA(VLOOKUP(A46,'Données projet'!$A$269:$I$289,4,0)),0,VLOOKUP(A46,'Données projet'!$A$269:$I$289,4,0))</f>
        <v>0</v>
      </c>
      <c r="HD46" s="135">
        <f>IF(ISNA(VLOOKUP(A46,'Données projet'!$A$269:$I$289,5,0)),0%,VLOOKUP(A46,'Données projet'!$A$269:$I$289,5,0)*VLOOKUP('Données projet'!$B$18,'Paramètres'!$A$1:$I$89,7,0))</f>
        <v>0</v>
      </c>
      <c r="HE46" s="135">
        <f>IF(ISNA(VLOOKUP(A46,'Données projet'!$A$269:$I$289,6,0)),0%,VLOOKUP(A46,'Données projet'!$A$269:$I$289,6,0)*VLOOKUP('Données projet'!$B$18,'Paramètres'!$A$1:$I$89,7,0))</f>
        <v>0</v>
      </c>
      <c r="HF46" s="135">
        <f>IF(ISNA(VLOOKUP(A46,'Données projet'!$A$269:$I$289,7,0)),0%,VLOOKUP(A46,'Données projet'!$A$269:$I$289,7,0))</f>
        <v>0</v>
      </c>
      <c r="HG46" s="142">
        <f>EXP(-LN(2)/35)*HG45+(1-EXP(-LN(2)/35))/(LN(2)/35)*HC46*HD46*VLOOKUP('Données projet'!$B$18,'Paramètres'!$A$1:$I$89,3,0)*0.475*44/12</f>
        <v>2.485451955</v>
      </c>
      <c r="HH46" s="142">
        <f>EXP(-LN(2)/25)*HH45+(1-EXP(-LN(2)/25))/(LN(2)/25)*Calculateur!HC46*Calculateur!HE46*VLOOKUP('Données projet'!$B$18,'Paramètres'!$A$1:$I$89,3,0)*0.475*44/12</f>
        <v>0</v>
      </c>
      <c r="HI46" s="142">
        <f>EXP(-LN(2)/2)*HI45+(1-EXP(-LN(2)/2))/(LN(2)/2)*HC46*HF46*VLOOKUP('Données projet'!$B$18,'Paramètres'!$A$1:$I$89,3,0)*0.475*44/12</f>
        <v>0</v>
      </c>
      <c r="HJ46" s="143">
        <f t="shared" si="31"/>
        <v>2.485451955</v>
      </c>
    </row>
    <row r="47" ht="15.75" customHeight="1">
      <c r="A47" s="125">
        <f t="shared" si="32"/>
        <v>44</v>
      </c>
      <c r="B47" s="126">
        <f>'Scénario référence'!$B$16*5+'Scénario référence'!$B$17*0+'Scénario référence'!$B$18*5</f>
        <v>0</v>
      </c>
      <c r="C47" s="140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24.024</v>
      </c>
      <c r="D47" s="127">
        <f t="shared" si="33"/>
        <v>7.646985539</v>
      </c>
      <c r="E4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7">
        <f>IF(OR('Scénario référence'!$F$8&gt;0,'Scénario référence'!$F$9&gt;0),('Scénario référence'!$F$8+'Scénario référence'!$F$9)*10,0)</f>
        <v>10</v>
      </c>
      <c r="G47" s="127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</v>
      </c>
      <c r="H47" s="128">
        <f t="shared" si="1"/>
        <v>348.4936331</v>
      </c>
      <c r="I47" s="12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1" t="str">
        <f>VLOOKUP(A47,'Données projet'!$A$35:$I$55,2,0)</f>
        <v>#N/A</v>
      </c>
      <c r="L47" s="131" t="str">
        <f>VLOOKUP(A47,'Données projet'!$A$35:$I$55,9,0)</f>
        <v>#N/A</v>
      </c>
      <c r="M47" s="131">
        <f t="array" ref="M47">INDEX(L:L,MIN(IF(ISNUMBER(L47:L243),ROW(L47:L243),"")))</f>
        <v>11.6</v>
      </c>
      <c r="N47" s="130">
        <f>IF('Données projet'!$A$36&gt;35,N46+M47-V46,IF(A47&lt;'Données projet'!$A$36,$K$205^A47,IF(A47='Données projet'!$A$36,'Données projet'!$B$36,N46+M47-V46)))</f>
        <v>216.4</v>
      </c>
      <c r="O47" s="130">
        <f>N47*VLOOKUP('Données projet'!$B$9,'Paramètres'!$A$1:$I$89,3,0)*VLOOKUP('Données projet'!$B$9,'Paramètres'!$A$1:$I$89,5,0)</f>
        <v>123.7808</v>
      </c>
      <c r="P47" s="130">
        <f t="shared" si="34"/>
        <v>32.55521049</v>
      </c>
      <c r="Q47" s="141">
        <f t="shared" si="2"/>
        <v>272.2852183</v>
      </c>
      <c r="R47" s="133">
        <f t="shared" si="3"/>
        <v>565.6185516</v>
      </c>
      <c r="S47" s="133">
        <f>AVERAGE(OFFSET($R$3,0,0,'Données projet'!$E$9+1,1))-AVERAGE(OFFSET($H$3,0,0,'Données projet'!$E$9+1,1))</f>
        <v>126.9946492</v>
      </c>
      <c r="T47" s="133">
        <f t="shared" si="35"/>
        <v>140.039049</v>
      </c>
      <c r="U47" s="134">
        <f>IF(ISNA(VLOOKUP(A47,'Données projet'!$A$35:$I$55,3,0)),0,VLOOKUP(A47,'Données projet'!$A$35:$I$55,3,0))</f>
        <v>0</v>
      </c>
      <c r="V47" s="134">
        <f>IF(ISNA(VLOOKUP(A47,'Données projet'!$A$35:$I$55,4,0)),0,VLOOKUP(A47,'Données projet'!$A$35:$I$55,4,0))</f>
        <v>0</v>
      </c>
      <c r="W47" s="135">
        <f>IF(ISNA(VLOOKUP(A47,'Données projet'!$A$35:$I$55,5,0)),0%,VLOOKUP(A47,'Données projet'!$A$35:$I$55,5,0)*VLOOKUP('Données projet'!$B$9,'Paramètres'!$A$1:$I$89,7,0))</f>
        <v>0</v>
      </c>
      <c r="X47" s="135">
        <f>IF(ISNA(VLOOKUP(A47,'Données projet'!$A$35:$I$55,6,0)),0%,VLOOKUP(A47,'Données projet'!$A$35:$I$55,6,0)*VLOOKUP('Données projet'!$B$9,'Paramètres'!$A$1:$I$89,7,0))</f>
        <v>0</v>
      </c>
      <c r="Y47" s="135">
        <f>IF(ISNA(VLOOKUP(A47,'Données projet'!$A$35:$I$55,7,0)),0%,VLOOKUP(A47,'Données projet'!$A$35:$I$55,7,0))</f>
        <v>0</v>
      </c>
      <c r="Z47" s="142">
        <f>EXP(-LN(2)/35)*Z46+(1-EXP(-LN(2)/35))/(LN(2)/35)*V47*W47*VLOOKUP('Données projet'!$B$9,'Paramètres'!$A$1:$I$89,3,0)*0.475*44/12</f>
        <v>7.459053473</v>
      </c>
      <c r="AA47" s="142">
        <f>EXP(-LN(2)/25)*AA46+(1-EXP(-LN(2)/25))/(LN(2)/25)*Calculateur!V47*Calculateur!X47*VLOOKUP('Données projet'!$B$9,'Paramètres'!$A$1:$I$89,3,0)*0.475*44/12</f>
        <v>10.8353797</v>
      </c>
      <c r="AB47" s="142">
        <f>EXP(-LN(2)/2)*AB46+(1-EXP(-LN(2)/2))/(LN(2)/2)*V47*Y47*VLOOKUP('Données projet'!$B$9,'Paramètres'!$A$1:$I$89,3,0)*0.475*44/12</f>
        <v>1.909311102</v>
      </c>
      <c r="AC47" s="143">
        <f t="shared" si="4"/>
        <v>20.20374427</v>
      </c>
      <c r="AD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1" t="str">
        <f>VLOOKUP(A47,'Données projet'!$A$61:$I$81,2,0)</f>
        <v>#N/A</v>
      </c>
      <c r="AG47" s="131" t="str">
        <f>VLOOKUP(A47,'Données projet'!$A$61:$I$81,9,0)</f>
        <v>#N/A</v>
      </c>
      <c r="AH47" s="131">
        <f t="array" ref="AH47">INDEX(AG:AG,MIN(IF(ISNUMBER(AG47:AG243),ROW(AG47:AG243),"")))</f>
        <v>19</v>
      </c>
      <c r="AI47" s="130">
        <f>IF('Données projet'!$A$62&gt;35,AI46+AH47-AQ46,IF(A47&lt;'Données projet'!$A$62,$AF$205^A47,IF(A47='Données projet'!$A$62,'Données projet'!$B$62,AI46+AH47-AQ46)))</f>
        <v>299</v>
      </c>
      <c r="AJ47" s="130">
        <f>AI47*VLOOKUP('Données projet'!$B$10,'Paramètres'!$A$1:$I$89,3,0)*VLOOKUP('Données projet'!$B$10,'Paramètres'!$A$1:$I$89,5,0)</f>
        <v>178.802</v>
      </c>
      <c r="AK47" s="130">
        <f t="shared" si="36"/>
        <v>45.05554974</v>
      </c>
      <c r="AL47" s="141">
        <f t="shared" si="5"/>
        <v>389.8852325</v>
      </c>
      <c r="AM47" s="133">
        <f t="shared" si="6"/>
        <v>683.2185658</v>
      </c>
      <c r="AN47" s="133">
        <f>AVERAGE(OFFSET($AM$3,0,0,'Données projet'!$E$10+1,1))-AVERAGE(OFFSET($H$3,0,0,'Données projet'!$E$10+1,1))</f>
        <v>196.874484</v>
      </c>
      <c r="AO47" s="133">
        <f t="shared" si="37"/>
        <v>217.5750859</v>
      </c>
      <c r="AP47" s="134">
        <f>IF(ISNA(VLOOKUP(A47,'Données projet'!$A$61:$I$81,3,0)),0,VLOOKUP(A47,'Données projet'!$A$61:$I$81,3,0))</f>
        <v>0</v>
      </c>
      <c r="AQ47" s="134">
        <f>IF(ISNA(VLOOKUP(A47,'Données projet'!$A$61:$I$81,4,0)),0,VLOOKUP(A47,'Données projet'!$A$61:$I$81,4,0))</f>
        <v>0</v>
      </c>
      <c r="AR47" s="135">
        <f>IF(ISNA(VLOOKUP(A47,'Données projet'!$A$61:$I$81,5,0)),0%,VLOOKUP(A47,'Données projet'!$A$61:$I$81,5,0)*VLOOKUP('Données projet'!$B$10,'Paramètres'!$A$1:$I$89,7,0))</f>
        <v>0</v>
      </c>
      <c r="AS47" s="135">
        <f>IF(ISNA(VLOOKUP(A47,'Données projet'!$A$61:$I$81,6,0)),0%,VLOOKUP(A47,'Données projet'!$A$61:$I$81,6,0)*VLOOKUP('Données projet'!$B$10,'Paramètres'!$A$1:$I$89,7,0))</f>
        <v>0</v>
      </c>
      <c r="AT47" s="135">
        <f>IF(ISNA(VLOOKUP(A47,'Données projet'!$A$61:$I$81,7,0)),0%,VLOOKUP(A47,'Données projet'!$A$61:$I$81,7,0))</f>
        <v>0</v>
      </c>
      <c r="AU47" s="142">
        <f>EXP(-LN(2)/35)*AU46+(1-EXP(-LN(2)/35))/(LN(2)/35)*AQ47*AR47*VLOOKUP('Données projet'!$B$10,'Paramètres'!$A$1:$I$89,3,0)*0.475*44/12</f>
        <v>9.697571212</v>
      </c>
      <c r="AV47" s="142">
        <f>EXP(-LN(2)/25)*AV46+(1-EXP(-LN(2)/25))/(LN(2)/25)*Calculateur!AQ47*Calculateur!AS47*VLOOKUP('Données projet'!$B$10,'Paramètres'!$A$1:$I$89,3,0)*0.475*44/12</f>
        <v>16.87675596</v>
      </c>
      <c r="AW47" s="142">
        <f>EXP(-LN(2)/2)*AW46+(1-EXP(-LN(2)/2))/(LN(2)/2)*AQ47*AT47*VLOOKUP('Données projet'!$B$10,'Paramètres'!$A$1:$I$89,3,0)*0.475*44/12</f>
        <v>2.336638478</v>
      </c>
      <c r="AX47" s="142">
        <f t="shared" si="7"/>
        <v>28.91096565</v>
      </c>
      <c r="AY47" s="13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1" t="str">
        <f>VLOOKUP(A47,'Données projet'!$A$87:$I$107,2,0)</f>
        <v>#N/A</v>
      </c>
      <c r="BB47" s="131" t="str">
        <f>VLOOKUP(A47,'Données projet'!$A$87:$I$107,9,0)</f>
        <v>#N/A</v>
      </c>
      <c r="BC47" s="130">
        <f t="array" ref="BC47">INDEX(BB:BB,MIN(IF(ISNUMBER(BB47:BB243),ROW(BB47:BB243),"")))</f>
        <v>14</v>
      </c>
      <c r="BD47" s="130">
        <f>IF('Données projet'!$A$88&gt;35,BD46+BC47-BL46,IF(A47&lt;'Données projet'!$A$88,$BA$205^A47,IF(A47='Données projet'!$A$88,'Données projet'!$B$88,BD46+BC47-BL46)))</f>
        <v>216</v>
      </c>
      <c r="BE47" s="130">
        <f>BD47*VLOOKUP('Données projet'!$B$11,'Paramètres'!$A$1:$I$89,3,0)*VLOOKUP('Données projet'!$B$11,'Paramètres'!$A$1:$I$89,5,0)</f>
        <v>101.088</v>
      </c>
      <c r="BF47" s="130">
        <f t="shared" si="38"/>
        <v>27.22103508</v>
      </c>
      <c r="BG47" s="141">
        <f t="shared" si="8"/>
        <v>223.4715694</v>
      </c>
      <c r="BH47" s="133">
        <f t="shared" si="9"/>
        <v>516.8049028</v>
      </c>
      <c r="BI47" s="133">
        <f>AVERAGE(OFFSET($BH$3,0,0,'Données projet'!$E$11+1,1))-AVERAGE(OFFSET($H$3,0,0,'Données projet'!$E$11+1,1))</f>
        <v>134.0948534</v>
      </c>
      <c r="BJ47" s="133">
        <f t="shared" si="39"/>
        <v>108.4102536</v>
      </c>
      <c r="BK47" s="134">
        <f>IF(ISNA(VLOOKUP(A47,'Données projet'!$A$87:$I$107,3,0)),0,VLOOKUP(A47,'Données projet'!$A$87:$I$107,3,0))</f>
        <v>0</v>
      </c>
      <c r="BL47" s="134">
        <f>IF(ISNA(VLOOKUP(A47,'Données projet'!$A$87:$I$107,4,0)),0,VLOOKUP(A47,'Données projet'!$A$87:$I$107,4,0))</f>
        <v>0</v>
      </c>
      <c r="BM47" s="135">
        <f>IF(ISNA(VLOOKUP(A47,'Données projet'!$A$87:$I$107,5,0)),0%,VLOOKUP(A47,'Données projet'!$A$87:$I$107,5,0)*VLOOKUP('Données projet'!$B$11,'Paramètres'!$A$1:$I$89,7,0))</f>
        <v>0</v>
      </c>
      <c r="BN47" s="135">
        <f>IF(ISNA(VLOOKUP(A47,'Données projet'!$A$87:$I$107,6,0)),0%,VLOOKUP(A47,'Données projet'!$A$87:$I$107,6,0)*VLOOKUP('Données projet'!$B$11,'Paramètres'!$A$1:$I$89,7,0))</f>
        <v>0</v>
      </c>
      <c r="BO47" s="135">
        <f>IF(ISNA(VLOOKUP(A47,'Données projet'!$A$87:$I$107,7,0)),0%,VLOOKUP(A47,'Données projet'!$A$87:$I$107,7,0))</f>
        <v>0</v>
      </c>
      <c r="BP47" s="142">
        <f>EXP(-LN(2)/35)*BP46+(1-EXP(-LN(2)/35))/(LN(2)/35)*BL47*BM47*VLOOKUP('Données projet'!$B$11,'Paramètres'!$A$1:$I$89,3,0)*0.475*44/12</f>
        <v>8.379255013</v>
      </c>
      <c r="BQ47" s="142">
        <f>EXP(-LN(2)/25)*BQ46+(1-EXP(-LN(2)/25))/(LN(2)/25)*Calculateur!BL47*Calculateur!BN47*VLOOKUP('Données projet'!$B$11,'Paramètres'!$A$1:$I$89,3,0)*0.475*44/12</f>
        <v>9.248221853</v>
      </c>
      <c r="BR47" s="142">
        <f>EXP(-LN(2)/2)*BR46+(1-EXP(-LN(2)/2))/(LN(2)/2)*BL47*BO47*VLOOKUP('Données projet'!$B$11,'Paramètres'!$A$1:$I$89,3,0)*0.475*44/12</f>
        <v>1.806906879</v>
      </c>
      <c r="BS47" s="143">
        <f t="shared" si="10"/>
        <v>19.43438375</v>
      </c>
      <c r="BT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1" t="str">
        <f>VLOOKUP(A47,'Données projet'!$A$113:$I$133,2,0)</f>
        <v>#N/A</v>
      </c>
      <c r="BW47" s="131" t="str">
        <f>VLOOKUP(A47,'Données projet'!$A$113:$I$133,9,0)</f>
        <v>#N/A</v>
      </c>
      <c r="BX47" s="130">
        <f t="array" ref="BX47">INDEX(BW:BW,MIN(IF(ISNUMBER(BW47:BW243),ROW(BW47:BW243),"")))</f>
        <v>24.2</v>
      </c>
      <c r="BY47" s="130">
        <f>IF('Données projet'!$A$114&gt;35,BY46+BX47-CG46,IF(A47&lt;'Données projet'!$A$114,$BV$205^A47,IF(A47='Données projet'!$A$114,'Données projet'!$B$114,BY46+BX47-CG46)))</f>
        <v>469.8</v>
      </c>
      <c r="BZ47" s="130">
        <f>BY47*VLOOKUP('Données projet'!$B$12,'Paramètres'!$A$1:$I$89,3,0)*VLOOKUP('Données projet'!$B$12,'Paramètres'!$A$1:$I$89,5,0)</f>
        <v>232.0812</v>
      </c>
      <c r="CA47" s="130">
        <f t="shared" si="40"/>
        <v>56.73244944</v>
      </c>
      <c r="CB47" s="141">
        <f t="shared" si="11"/>
        <v>503.0171061</v>
      </c>
      <c r="CC47" s="133">
        <f t="shared" si="12"/>
        <v>796.3504394</v>
      </c>
      <c r="CD47" s="133">
        <f>AVERAGE(OFFSET($CC$3,0,0,'Données projet'!$E$12+1,1))-AVERAGE(OFFSET($H$3,0,0,'Données projet'!$E$12+1,1))</f>
        <v>258.1672054</v>
      </c>
      <c r="CE47" s="133">
        <f t="shared" si="41"/>
        <v>296.0724261</v>
      </c>
      <c r="CF47" s="134">
        <f>IF(ISNA(VLOOKUP(A47,'Données projet'!$A$113:$I$133,3,0)),0,VLOOKUP(A47,'Données projet'!$A$113:$I$133,3,0))</f>
        <v>0</v>
      </c>
      <c r="CG47" s="134">
        <f>IF(ISNA(VLOOKUP(A47,'Données projet'!$A$113:$I$133,4,0)),0,VLOOKUP(A47,'Données projet'!$A$113:$I$133,4,0))</f>
        <v>0</v>
      </c>
      <c r="CH47" s="135">
        <f>IF(ISNA(VLOOKUP(A47,'Données projet'!$A$113:$I$133,5,0)),0%,VLOOKUP(A47,'Données projet'!$A$113:$I$133,5,0)*VLOOKUP('Données projet'!$B$12,'Paramètres'!$A$1:$I$89,7,0))</f>
        <v>0</v>
      </c>
      <c r="CI47" s="135">
        <f>IF(ISNA(VLOOKUP(A47,'Données projet'!$A$113:$I$133,6,0)),0%,VLOOKUP(A47,'Données projet'!$A$113:$I$133,6,0)*VLOOKUP('Données projet'!$B$12,'Paramètres'!$A$1:$I$89,7,0))</f>
        <v>0</v>
      </c>
      <c r="CJ47" s="135">
        <f>IF(ISNA(VLOOKUP(A47,'Données projet'!$A$113:$I$133,7,0)),0%,VLOOKUP(A47,'Données projet'!$A$113:$I$133,7,0))</f>
        <v>0</v>
      </c>
      <c r="CK47" s="142">
        <f>EXP(-LN(2)/35)*CK46+(1-EXP(-LN(2)/35))/(LN(2)/35)*CG47*CH47*VLOOKUP('Données projet'!$B$12,'Paramètres'!$A$1:$I$89,3,0)*0.475*44/12</f>
        <v>22.54996076</v>
      </c>
      <c r="CL47" s="142">
        <f>EXP(-LN(2)/25)*CL46+(1-EXP(-LN(2)/25))/(LN(2)/25)*Calculateur!CG47*Calculateur!CI47*VLOOKUP('Données projet'!$B$12,'Paramètres'!$A$1:$I$89,3,0)*0.475*44/12</f>
        <v>25.97030203</v>
      </c>
      <c r="CM47" s="142">
        <f>EXP(-LN(2)/2)*CM46+(1-EXP(-LN(2)/2))/(LN(2)/2)*CG47*CJ47*VLOOKUP('Données projet'!$B$12,'Paramètres'!$A$1:$I$89,3,0)*0.475*44/12</f>
        <v>2.808885879</v>
      </c>
      <c r="CN47" s="143">
        <f t="shared" si="13"/>
        <v>51.32914867</v>
      </c>
      <c r="CO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1" t="str">
        <f>VLOOKUP(A47,'Données projet'!$A$139:$I$159,2,0)</f>
        <v>#N/A</v>
      </c>
      <c r="CR47" s="131" t="str">
        <f>VLOOKUP(A47,'Données projet'!$A$139:$I$159,9,0)</f>
        <v>#N/A</v>
      </c>
      <c r="CS47" s="130">
        <f t="array" ref="CS47">INDEX(CR:CR,MIN(IF(ISNUMBER(CR47:CR243),ROW(CR47:CR243),"")))</f>
        <v>5.6</v>
      </c>
      <c r="CT47" s="138">
        <f>IF('Données projet'!$A$140&gt;35,CT46+CS47-DB46,IF(A47&lt;'Données projet'!$A$140,$CQ$205^A47,IF(A47='Données projet'!$A$140,'Données projet'!$B$140,CT46+CS47-DB46)))</f>
        <v>101.4</v>
      </c>
      <c r="CU47" s="138">
        <f>CT47*VLOOKUP('Données projet'!$B$13,'Paramètres'!$A$1:$I$89,3,0)*VLOOKUP('Données projet'!$B$13,'Paramètres'!$A$1:$I$89,5,0)</f>
        <v>102.8196</v>
      </c>
      <c r="CV47" s="130">
        <f t="shared" si="42"/>
        <v>27.63263745</v>
      </c>
      <c r="CW47" s="141">
        <f t="shared" si="14"/>
        <v>227.2043136</v>
      </c>
      <c r="CX47" s="133">
        <f t="shared" si="15"/>
        <v>520.5376469</v>
      </c>
      <c r="CY47" s="133">
        <f>AVERAGE(OFFSET($CX$3,0,0,'Données projet'!$E$13+1,1))-AVERAGE(OFFSET($H$3,0,0,'Données projet'!$E$13+1,1))</f>
        <v>223.783507</v>
      </c>
      <c r="CZ47" s="133">
        <f t="shared" si="43"/>
        <v>84.92349117</v>
      </c>
      <c r="DA47" s="134">
        <f>IF(ISNA(VLOOKUP(A47,'Données projet'!$A$139:$I$159,3,0)),0,VLOOKUP(A47,'Données projet'!$A$139:$I$159,3,0))</f>
        <v>0</v>
      </c>
      <c r="DB47" s="134">
        <f>IF(ISNA(VLOOKUP(A47,'Données projet'!$A$139:$I$159,4,0)),0,VLOOKUP(A47,'Données projet'!$A$139:$I$159,4,0))</f>
        <v>0</v>
      </c>
      <c r="DC47" s="135">
        <f>IF(ISNA(VLOOKUP(A47,'Données projet'!$A$139:$I$159,5,0)),0%,VLOOKUP(A47,'Données projet'!$A$139:$I$159,5,0)*VLOOKUP('Données projet'!$B$13,'Paramètres'!$A$1:$I$89,7,0))</f>
        <v>0</v>
      </c>
      <c r="DD47" s="135">
        <f>IF(ISNA(VLOOKUP(A47,'Données projet'!$A$139:$I$159,6,0)),0%,VLOOKUP(A47,'Données projet'!$A$139:$I$159,6,0)*VLOOKUP('Données projet'!$B$13,'Paramètres'!$A$1:$I$89,7,0))</f>
        <v>0</v>
      </c>
      <c r="DE47" s="135">
        <f>IF(ISNA(VLOOKUP(A47,'Données projet'!$A$139:$I$159,7,0)),0%,VLOOKUP(A47,'Données projet'!$A$139:$I$159,7,0))</f>
        <v>0</v>
      </c>
      <c r="DF47" s="142">
        <f>EXP(-LN(2)/35)*DF46+(1-EXP(-LN(2)/35))/(LN(2)/35)*DB47*DC47*VLOOKUP('Données projet'!$B$13,'Paramètres'!$A$1:$I$89,3,0)*0.475*44/12</f>
        <v>0</v>
      </c>
      <c r="DG47" s="142">
        <f>EXP(-LN(2)/25)*DG46+(1-EXP(-LN(2)/25))/(LN(2)/25)*Calculateur!DB47*Calculateur!DD47*VLOOKUP('Données projet'!$B$13,'Paramètres'!$A$1:$I$89,3,0)*0.475*44/12</f>
        <v>0</v>
      </c>
      <c r="DH47" s="142">
        <f>EXP(-LN(2)/2)*DH46+(1-EXP(-LN(2)/2))/(LN(2)/2)*DB47*DE47*VLOOKUP('Données projet'!$B$13,'Paramètres'!$A$1:$I$89,3,0)*0.475*44/12</f>
        <v>0</v>
      </c>
      <c r="DI47" s="143">
        <f t="shared" si="16"/>
        <v>0</v>
      </c>
      <c r="DJ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1" t="str">
        <f>VLOOKUP(A47,'Données projet'!$A$165:$I$185,2,0)</f>
        <v>#N/A</v>
      </c>
      <c r="DM47" s="131" t="str">
        <f>VLOOKUP(A47,'Données projet'!$A$165:$I$185,9,0)</f>
        <v>#N/A</v>
      </c>
      <c r="DN47" s="131">
        <f t="array" ref="DN47">INDEX(DM:DM,MIN(IF(ISNUMBER(DM47:DM243),ROW(DM47:DM243),"")))</f>
        <v>8.4</v>
      </c>
      <c r="DO47" s="138">
        <f>IF('Données projet'!$A$166&gt;35,DO46+DN47-DW46,IF(A47&lt;'Données projet'!$A$166,$DL$205^A47,IF(A47='Données projet'!$A$166,'Données projet'!$B$166,DO46+DN47-DW46)))</f>
        <v>149.6</v>
      </c>
      <c r="DP47" s="138">
        <f>DO47*VLOOKUP('Données projet'!$B$14,'Paramètres'!$A$1:$I$89,3,0)*VLOOKUP('Données projet'!$B$14,'Paramètres'!$A$1:$I$89,5,0)</f>
        <v>135.35808</v>
      </c>
      <c r="DQ47" s="130">
        <f t="shared" si="44"/>
        <v>35.23152898</v>
      </c>
      <c r="DR47" s="141">
        <f t="shared" si="17"/>
        <v>297.1102356</v>
      </c>
      <c r="DS47" s="133">
        <f t="shared" si="18"/>
        <v>590.443569</v>
      </c>
      <c r="DT47" s="133">
        <f>AVERAGE(OFFSET($DS$3,0,0,'Données projet'!$E$14+1,1))-AVERAGE(OFFSET($H$3,0,0,'Données projet'!$E$14+1,1))</f>
        <v>287.9334714</v>
      </c>
      <c r="DU47" s="133">
        <f t="shared" si="45"/>
        <v>156.6796502</v>
      </c>
      <c r="DV47" s="134">
        <f>IF(ISNA(VLOOKUP(A47,'Données projet'!$A$165:$I$185,3,0)),0,VLOOKUP(A47,'Données projet'!$A$165:$I$185,3,0))</f>
        <v>0</v>
      </c>
      <c r="DW47" s="134">
        <f>IF(ISNA(VLOOKUP(A47,'Données projet'!$A$165:$I$185,4,0)),0,VLOOKUP(A47,'Données projet'!$A$165:$I$185,4,0))</f>
        <v>0</v>
      </c>
      <c r="DX47" s="135">
        <f>IF(ISNA(VLOOKUP(A47,'Données projet'!$A$165:$I$185,5,0)),0%,VLOOKUP(A47,'Données projet'!$A$165:$I$185,5,0)*VLOOKUP('Données projet'!$B$14,'Paramètres'!$A$1:$I$89,7,0))</f>
        <v>0</v>
      </c>
      <c r="DY47" s="135">
        <f>IF(ISNA(VLOOKUP(A47,'Données projet'!$A$165:$I$185,6,0)),0%,VLOOKUP(A47,'Données projet'!$A$165:$I$185,6,0)*VLOOKUP('Données projet'!$B$14,'Paramètres'!$A$1:$I$89,7,0))</f>
        <v>0</v>
      </c>
      <c r="DZ47" s="135">
        <f>IF(ISNA(VLOOKUP(A47,'Données projet'!$A$165:$I$185,7,0)),0%,VLOOKUP(A47,'Données projet'!$A$165:$I$185,7,0))</f>
        <v>0</v>
      </c>
      <c r="EA47" s="142">
        <f>EXP(-LN(2)/35)*EA46+(1-EXP(-LN(2)/35))/(LN(2)/35)*DW47*DX47*VLOOKUP('Données projet'!$B$14,'Paramètres'!$A$1:$I$89,3,0)*0.475*44/12</f>
        <v>1.668837385</v>
      </c>
      <c r="EB47" s="142">
        <f>EXP(-LN(2)/25)*EB46+(1-EXP(-LN(2)/25))/(LN(2)/25)*Calculateur!DW47*Calculateur!DY47*VLOOKUP('Données projet'!$B$14,'Paramètres'!$A$1:$I$89,3,0)*0.475*44/12</f>
        <v>0</v>
      </c>
      <c r="EC47" s="142">
        <f>EXP(-LN(2)/2)*EC46+(1-EXP(-LN(2)/2))/(LN(2)/2)*DW47*DZ47*VLOOKUP('Données projet'!$B$14,'Paramètres'!$A$1:$I$89,3,0)*0.475*44/12</f>
        <v>0</v>
      </c>
      <c r="ED47" s="143">
        <f t="shared" si="19"/>
        <v>1.668837385</v>
      </c>
      <c r="EE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1" t="str">
        <f>VLOOKUP(A47,'Données projet'!$A$191:$I$211,2,0)</f>
        <v>#N/A</v>
      </c>
      <c r="EH47" s="131" t="str">
        <f>VLOOKUP(A47,'Données projet'!$A$191:$I$211,9,0)</f>
        <v>#N/A</v>
      </c>
      <c r="EI47" s="131">
        <f t="array" ref="EI47">INDEX(EH:EH,MIN(IF(ISNUMBER(EH47:EH243),ROW(EH47:EH243),"")))</f>
        <v>8</v>
      </c>
      <c r="EJ47" s="138">
        <f>IF('Données projet'!$A$192&gt;35,EJ46+EI47-ER46,IF(A47&lt;'Données projet'!$A$192,$EG$205^A47,IF(A47='Données projet'!$A$192,'Données projet'!$B$192,EJ46+EI47-ER46)))</f>
        <v>126</v>
      </c>
      <c r="EK47" s="138">
        <f>EJ47*VLOOKUP('Données projet'!$B$15,'Paramètres'!$A$1:$I$89,3,0)*VLOOKUP('Données projet'!$B$15,'Paramètres'!$A$1:$I$89,5,0)</f>
        <v>92.3832</v>
      </c>
      <c r="EL47" s="130">
        <f t="shared" si="46"/>
        <v>25.13911826</v>
      </c>
      <c r="EM47" s="141">
        <f t="shared" si="20"/>
        <v>204.6847043</v>
      </c>
      <c r="EN47" s="133">
        <f t="shared" si="21"/>
        <v>498.0180376</v>
      </c>
      <c r="EO47" s="133">
        <f>AVERAGE(OFFSET($EN$3,0,0,'Données projet'!$E$15+1,1))-AVERAGE(OFFSET($H$3,0,0,'Données projet'!$E$15+1,1))</f>
        <v>130.3193339</v>
      </c>
      <c r="EP47" s="133">
        <f t="shared" si="47"/>
        <v>82.22784365</v>
      </c>
      <c r="EQ47" s="134">
        <f>IF(ISNA(VLOOKUP(A47,'Données projet'!$A$191:$I$211,3,0)),0,VLOOKUP(A47,'Données projet'!$A$191:$I$211,3,0))</f>
        <v>0</v>
      </c>
      <c r="ER47" s="134">
        <f>IF(ISNA(VLOOKUP(A47,'Données projet'!$A$191:$I$211,4,0)),0,VLOOKUP(A47,'Données projet'!$A$191:$I$211,4,0))</f>
        <v>0</v>
      </c>
      <c r="ES47" s="135">
        <f>IF(ISNA(VLOOKUP(A47,'Données projet'!$A$191:$I$211,5,0)),0%,VLOOKUP(A47,'Données projet'!$A$191:$I$211,5,0)*VLOOKUP('Données projet'!$B$15,'Paramètres'!$A$1:$I$89,7,0))</f>
        <v>0</v>
      </c>
      <c r="ET47" s="135">
        <f>IF(ISNA(VLOOKUP(A47,'Données projet'!$A$191:$I$211,6,0)),0%,VLOOKUP(A47,'Données projet'!$A$191:$I$211,6,0)*VLOOKUP('Données projet'!$B$15,'Paramètres'!$A$1:$I$89,7,0))</f>
        <v>0</v>
      </c>
      <c r="EU47" s="135">
        <f>IF(ISNA(VLOOKUP(A47,'Données projet'!$A$191:$I$211,7,0)),0%,VLOOKUP(A47,'Données projet'!$A$191:$I$211,7,0))</f>
        <v>0</v>
      </c>
      <c r="EV47" s="142">
        <f>EXP(-LN(2)/35)*EV46+(1-EXP(-LN(2)/35))/(LN(2)/35)*ER47*ES47*VLOOKUP('Données projet'!$B$15,'Paramètres'!$A$1:$I$89,3,0)*0.475*44/12</f>
        <v>3.211098521</v>
      </c>
      <c r="EW47" s="142">
        <f>EXP(-LN(2)/25)*EW46+(1-EXP(-LN(2)/25))/(LN(2)/25)*Calculateur!ER47*Calculateur!ET47*VLOOKUP('Données projet'!$B$15,'Paramètres'!$A$1:$I$89,3,0)*0.475*44/12</f>
        <v>0</v>
      </c>
      <c r="EX47" s="142">
        <f>EXP(-LN(2)/2)*EX46+(1-EXP(-LN(2)/2))/(LN(2)/2)*ER47*EU47*VLOOKUP('Données projet'!$B$15,'Paramètres'!$A$1:$I$89,3,0)*0.475*44/12</f>
        <v>0</v>
      </c>
      <c r="EY47" s="143">
        <f t="shared" si="22"/>
        <v>3.211098521</v>
      </c>
      <c r="EZ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1" t="str">
        <f>VLOOKUP(A47,'Données projet'!$A$217:$I$237,2,0)</f>
        <v>#N/A</v>
      </c>
      <c r="FC47" s="131" t="str">
        <f>VLOOKUP(A47,'Données projet'!$A$217:$I$237,9,0)</f>
        <v>#N/A</v>
      </c>
      <c r="FD47" s="130">
        <f t="array" ref="FD47">INDEX(FC:FC,MIN(IF(ISNUMBER(FC47:FC243),ROW(FC47:FC243),"")))</f>
        <v>6</v>
      </c>
      <c r="FE47" s="130">
        <f>IF('Données projet'!$A$218&gt;35,FE46+FD47-FM46,IF(A47&lt;'Données projet'!$A$218,$FB$205^A47,IF(A47='Données projet'!$A$218,'Données projet'!$B$218,FE46+FD47-FM46)))</f>
        <v>237</v>
      </c>
      <c r="FF47" s="138">
        <f>FE47*VLOOKUP('Données projet'!$B$16,'Paramètres'!$A$1:$I$89,3,0)*VLOOKUP('Données projet'!$B$16,'Paramètres'!$A$1:$I$89,5,0)</f>
        <v>214.4376</v>
      </c>
      <c r="FG47" s="130">
        <f t="shared" si="48"/>
        <v>52.9041296</v>
      </c>
      <c r="FH47" s="141">
        <f t="shared" si="23"/>
        <v>465.6201791</v>
      </c>
      <c r="FI47" s="133">
        <f t="shared" si="24"/>
        <v>758.9535124</v>
      </c>
      <c r="FJ47" s="133">
        <f>AVERAGE(OFFSET($FI$3,0,0,'Données projet'!$E$16+1,1))-AVERAGE(OFFSET($H$3,0,0,'Données projet'!$E$16+1,1))</f>
        <v>305.6252353</v>
      </c>
      <c r="FK47" s="133">
        <f t="shared" si="49"/>
        <v>331.397916</v>
      </c>
      <c r="FL47" s="134">
        <f>IF(ISNA(VLOOKUP(A47,'Données projet'!$A$217:$I$237,3,0)),0,VLOOKUP(A47,'Données projet'!$A$217:$I$237,3,0))</f>
        <v>0</v>
      </c>
      <c r="FM47" s="134">
        <f>IF(ISNA(VLOOKUP(A47,'Données projet'!$A$217:$I$237,4,0)),0,VLOOKUP(A47,'Données projet'!$A$217:$I$237,4,0))</f>
        <v>0</v>
      </c>
      <c r="FN47" s="135">
        <f>IF(ISNA(VLOOKUP(A47,'Données projet'!$A$217:$I$237,5,0)),0%,VLOOKUP(A47,'Données projet'!$A$217:$I$237,5,0)*VLOOKUP('Données projet'!$B$16,'Paramètres'!$A$1:$I$89,7,0))</f>
        <v>0</v>
      </c>
      <c r="FO47" s="135">
        <f>IF(ISNA(VLOOKUP(A47,'Données projet'!$A$217:$I$237,6,0)),0%,VLOOKUP(A47,'Données projet'!$A$217:$I$237,6,0)*VLOOKUP('Données projet'!$B$16,'Paramètres'!$A$1:$I$89,7,0))</f>
        <v>0</v>
      </c>
      <c r="FP47" s="135">
        <f>IF(ISNA(VLOOKUP(A47,'Données projet'!$A$217:$I$237,7,0)),0%,VLOOKUP(A47,'Données projet'!$A$217:$I$237,7,0))</f>
        <v>0</v>
      </c>
      <c r="FQ47" s="142">
        <f>EXP(-LN(2)/35)*FQ46+(1-EXP(-LN(2)/35))/(LN(2)/35)*FM47*FN47*VLOOKUP('Données projet'!$B$16,'Paramètres'!$A$1:$I$89,3,0)*0.475*44/12</f>
        <v>1.579661514</v>
      </c>
      <c r="FR47" s="142">
        <f>EXP(-LN(2)/25)*FR46+(1-EXP(-LN(2)/25))/(LN(2)/25)*Calculateur!FM47*Calculateur!FO47*VLOOKUP('Données projet'!$B$16,'Paramètres'!$A$1:$I$89,3,0)*0.475*44/12</f>
        <v>0</v>
      </c>
      <c r="FS47" s="142">
        <f>EXP(-LN(2)/2)*FS46+(1-EXP(-LN(2)/2))/(LN(2)/2)*FM47*FP47*VLOOKUP('Données projet'!$B$16,'Paramètres'!$A$1:$I$89,3,0)*0.475*44/12</f>
        <v>0</v>
      </c>
      <c r="FT47" s="143">
        <f t="shared" si="25"/>
        <v>1.579661514</v>
      </c>
      <c r="FU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1" t="str">
        <f>VLOOKUP(A47,'Données projet'!$A$243:$I$263,2,0)</f>
        <v>#N/A</v>
      </c>
      <c r="FX47" s="131" t="str">
        <f>VLOOKUP(A47,'Données projet'!$A$243:$I$263,9,0)</f>
        <v>#N/A</v>
      </c>
      <c r="FY47" s="130">
        <f t="array" ref="FY47">INDEX(FX:FX,MIN(IF(ISNUMBER(FX47:FX243),ROW(FX47:FX243),"")))</f>
        <v>11</v>
      </c>
      <c r="FZ47" s="138">
        <f>IF('Données projet'!$A$244&gt;35,FZ46+FY47-GH46,IF(A47&lt;'Données projet'!$A$244,$FW$205^A47,IF(A47='Données projet'!$A$244,'Données projet'!$B$244,FZ46+FY47-GH46)))</f>
        <v>179</v>
      </c>
      <c r="GA47" s="138">
        <f>FZ47*VLOOKUP('Données projet'!$B$17,'Paramètres'!$A$1:$I$89,3,0)*VLOOKUP('Données projet'!$B$17,'Paramètres'!$A$1:$I$89,5,0)</f>
        <v>120.0732</v>
      </c>
      <c r="GB47" s="130">
        <f t="shared" si="50"/>
        <v>31.69207139</v>
      </c>
      <c r="GC47" s="141">
        <f t="shared" si="26"/>
        <v>264.3245143</v>
      </c>
      <c r="GD47" s="133">
        <f t="shared" si="27"/>
        <v>557.6578477</v>
      </c>
      <c r="GE47" s="133">
        <f>AVERAGE(OFFSET($GD$3,0,0,'Données projet'!$E$17+1,1))-AVERAGE(OFFSET($H$3,0,0,'Données projet'!$E$17+1,1))</f>
        <v>118.7368745</v>
      </c>
      <c r="GF47" s="133">
        <f t="shared" si="51"/>
        <v>135.1233677</v>
      </c>
      <c r="GG47" s="134">
        <f>IF(ISNA(VLOOKUP(A47,'Données projet'!$A$243:$I$263,3,0)),0,VLOOKUP(A47,'Données projet'!$A$243:$I$263,3,0))</f>
        <v>0</v>
      </c>
      <c r="GH47" s="134">
        <f>IF(ISNA(VLOOKUP(A47,'Données projet'!$A$243:$I$263,4,0)),0,VLOOKUP(A47,'Données projet'!$A$243:$I$263,4,0))</f>
        <v>0</v>
      </c>
      <c r="GI47" s="135">
        <f>IF(ISNA(VLOOKUP(A47,'Données projet'!$A$243:$I$263,5,0)),0%,VLOOKUP(A47,'Données projet'!$A$243:$I$263,5,0)*VLOOKUP('Données projet'!$B$17,'Paramètres'!$A$1:$I$89,7,0))</f>
        <v>0</v>
      </c>
      <c r="GJ47" s="135">
        <f>IF(ISNA(VLOOKUP(A47,'Données projet'!$A$243:$I$263,6,0)),0%,VLOOKUP(A47,'Données projet'!$A$243:$I$263,6,0)*VLOOKUP('Données projet'!$B$17,'Paramètres'!$A$1:$I$89,7,0))</f>
        <v>0</v>
      </c>
      <c r="GK47" s="135">
        <f>IF(ISNA(VLOOKUP(A47,'Données projet'!$A$243:$I$263,7,0)),0%,VLOOKUP(A47,'Données projet'!$A$243:$I$263,7,0))</f>
        <v>0</v>
      </c>
      <c r="GL47" s="142">
        <f>EXP(-LN(2)/35)*GL46+(1-EXP(-LN(2)/35))/(LN(2)/35)*GH47*GI47*VLOOKUP('Données projet'!$B$17,'Paramètres'!$A$1:$I$89,3,0)*0.475*44/12</f>
        <v>5.908196665</v>
      </c>
      <c r="GM47" s="142">
        <f>EXP(-LN(2)/25)*GM46+(1-EXP(-LN(2)/25))/(LN(2)/25)*Calculateur!GH47*Calculateur!GJ47*VLOOKUP('Données projet'!$B$17,'Paramètres'!$A$1:$I$89,3,0)*0.475*44/12</f>
        <v>0</v>
      </c>
      <c r="GN47" s="142">
        <f>EXP(-LN(2)/2)*GN46+(1-EXP(-LN(2)/2))/(LN(2)/2)*GH47*GK47*VLOOKUP('Données projet'!$B$17,'Paramètres'!$A$1:$I$89,3,0)*0.475*44/12</f>
        <v>0</v>
      </c>
      <c r="GO47" s="142">
        <f t="shared" si="28"/>
        <v>5.908196665</v>
      </c>
      <c r="GP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1" t="str">
        <f>VLOOKUP(A47,'Données projet'!$A$269:$I$289,2,0)</f>
        <v>#N/A</v>
      </c>
      <c r="GS47" s="131" t="str">
        <f>VLOOKUP(A47,'Données projet'!$A$269:$I$289,9,0)</f>
        <v>#N/A</v>
      </c>
      <c r="GT47" s="130">
        <f t="array" ref="GT47">INDEX(GS:GS,MIN(IF(ISNUMBER(GS47:GS243),ROW(GS47:GS243),"")))</f>
        <v>5.6</v>
      </c>
      <c r="GU47" s="138">
        <f>IF('Données projet'!$A$270&gt;35,GU46+GT47-HC46,IF(A47&lt;'Données projet'!$A$270,$GR$205^A47,IF(A47='Données projet'!$A$270,'Données projet'!$B$270,GU46+GT47-HC46)))</f>
        <v>101.4</v>
      </c>
      <c r="GV47" s="138">
        <f>GU47*VLOOKUP('Données projet'!$B$18,'Paramètres'!$A$1:$I$89,3,0)*VLOOKUP('Données projet'!$B$18,'Paramètres'!$A$1:$I$89,5,0)</f>
        <v>109.14696</v>
      </c>
      <c r="GW47" s="130">
        <f t="shared" si="52"/>
        <v>29.12991072</v>
      </c>
      <c r="GX47" s="141">
        <f t="shared" si="29"/>
        <v>240.8322165</v>
      </c>
      <c r="GY47" s="133">
        <f t="shared" si="30"/>
        <v>534.1655498</v>
      </c>
      <c r="GZ47" s="133">
        <f>AVERAGE(OFFSET($GY$3,0,0,'Données projet'!$E$18+1,1))-AVERAGE(OFFSET($H$3,0,0,'Données projet'!$E$18+1,1))</f>
        <v>100.5427875</v>
      </c>
      <c r="HA47" s="133">
        <f t="shared" si="53"/>
        <v>92.28663609</v>
      </c>
      <c r="HB47" s="134">
        <f>IF(ISNA(VLOOKUP(A47,'Données projet'!$A$269:$I$289,3,0)),0,VLOOKUP(A47,'Données projet'!$A$269:$I$289,3,0))</f>
        <v>0</v>
      </c>
      <c r="HC47" s="134">
        <f>IF(ISNA(VLOOKUP(A47,'Données projet'!$A$269:$I$289,4,0)),0,VLOOKUP(A47,'Données projet'!$A$269:$I$289,4,0))</f>
        <v>0</v>
      </c>
      <c r="HD47" s="135">
        <f>IF(ISNA(VLOOKUP(A47,'Données projet'!$A$269:$I$289,5,0)),0%,VLOOKUP(A47,'Données projet'!$A$269:$I$289,5,0)*VLOOKUP('Données projet'!$B$18,'Paramètres'!$A$1:$I$89,7,0))</f>
        <v>0</v>
      </c>
      <c r="HE47" s="135">
        <f>IF(ISNA(VLOOKUP(A47,'Données projet'!$A$269:$I$289,6,0)),0%,VLOOKUP(A47,'Données projet'!$A$269:$I$289,6,0)*VLOOKUP('Données projet'!$B$18,'Paramètres'!$A$1:$I$89,7,0))</f>
        <v>0</v>
      </c>
      <c r="HF47" s="135">
        <f>IF(ISNA(VLOOKUP(A47,'Données projet'!$A$269:$I$289,7,0)),0%,VLOOKUP(A47,'Données projet'!$A$269:$I$289,7,0))</f>
        <v>0</v>
      </c>
      <c r="HG47" s="142">
        <f>EXP(-LN(2)/35)*HG46+(1-EXP(-LN(2)/35))/(LN(2)/35)*HC47*HD47*VLOOKUP('Données projet'!$B$18,'Paramètres'!$A$1:$I$89,3,0)*0.475*44/12</f>
        <v>2.436713758</v>
      </c>
      <c r="HH47" s="142">
        <f>EXP(-LN(2)/25)*HH46+(1-EXP(-LN(2)/25))/(LN(2)/25)*Calculateur!HC47*Calculateur!HE47*VLOOKUP('Données projet'!$B$18,'Paramètres'!$A$1:$I$89,3,0)*0.475*44/12</f>
        <v>0</v>
      </c>
      <c r="HI47" s="142">
        <f>EXP(-LN(2)/2)*HI46+(1-EXP(-LN(2)/2))/(LN(2)/2)*HC47*HF47*VLOOKUP('Données projet'!$B$18,'Paramètres'!$A$1:$I$89,3,0)*0.475*44/12</f>
        <v>0</v>
      </c>
      <c r="HJ47" s="143">
        <f t="shared" si="31"/>
        <v>2.436713758</v>
      </c>
    </row>
    <row r="48" ht="15.75" customHeight="1">
      <c r="A48" s="125">
        <f t="shared" si="32"/>
        <v>45</v>
      </c>
      <c r="B48" s="126">
        <f>'Scénario référence'!$B$16*5+'Scénario référence'!$B$17*0+'Scénario référence'!$B$18*5</f>
        <v>0</v>
      </c>
      <c r="C48" s="140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24.57</v>
      </c>
      <c r="D48" s="127">
        <f t="shared" si="33"/>
        <v>7.800349485</v>
      </c>
      <c r="E4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7">
        <f>IF(OR('Scénario référence'!$F$8&gt;0,'Scénario référence'!$F$9&gt;0),('Scénario référence'!$F$8+'Scénario référence'!$F$9)*10,0)</f>
        <v>10</v>
      </c>
      <c r="G48" s="127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249.876382</v>
      </c>
      <c r="H48" s="128">
        <f t="shared" si="1"/>
        <v>349.711692</v>
      </c>
      <c r="I48" s="12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1" t="str">
        <f>VLOOKUP(A48,'Données projet'!$A$35:$I$55,2,0)</f>
        <v>#N/A</v>
      </c>
      <c r="L48" s="131" t="str">
        <f>VLOOKUP(A48,'Données projet'!$A$35:$I$55,9,0)</f>
        <v>#N/A</v>
      </c>
      <c r="M48" s="131">
        <f t="array" ref="M48">INDEX(L:L,MIN(IF(ISNUMBER(L48:L244),ROW(L48:L244),"")))</f>
        <v>11.6</v>
      </c>
      <c r="N48" s="130">
        <f>IF('Données projet'!$A$36&gt;35,N47+M48-V47,IF(A48&lt;'Données projet'!$A$36,$K$205^A48,IF(A48='Données projet'!$A$36,'Données projet'!$B$36,N47+M48-V47)))</f>
        <v>228</v>
      </c>
      <c r="O48" s="130">
        <f>N48*VLOOKUP('Données projet'!$B$9,'Paramètres'!$A$1:$I$89,3,0)*VLOOKUP('Données projet'!$B$9,'Paramètres'!$A$1:$I$89,5,0)</f>
        <v>130.416</v>
      </c>
      <c r="P48" s="130">
        <f t="shared" si="34"/>
        <v>34.09246684</v>
      </c>
      <c r="Q48" s="141">
        <f t="shared" si="2"/>
        <v>286.5189131</v>
      </c>
      <c r="R48" s="133">
        <f t="shared" si="3"/>
        <v>579.8522464</v>
      </c>
      <c r="S48" s="133">
        <f>AVERAGE(OFFSET($R$3,0,0,'Données projet'!$E$9+1,1))-AVERAGE(OFFSET($H$3,0,0,'Données projet'!$E$9+1,1))</f>
        <v>126.9946492</v>
      </c>
      <c r="T48" s="133">
        <f t="shared" si="35"/>
        <v>140.039049</v>
      </c>
      <c r="U48" s="134">
        <f>IF(ISNA(VLOOKUP(A48,'Données projet'!$A$35:$I$55,3,0)),0,VLOOKUP(A48,'Données projet'!$A$35:$I$55,3,0))</f>
        <v>0</v>
      </c>
      <c r="V48" s="134">
        <f>IF(ISNA(VLOOKUP(A48,'Données projet'!$A$35:$I$55,4,0)),0,VLOOKUP(A48,'Données projet'!$A$35:$I$55,4,0))</f>
        <v>0</v>
      </c>
      <c r="W48" s="135">
        <f>IF(ISNA(VLOOKUP(A48,'Données projet'!$A$35:$I$55,5,0)),0%,VLOOKUP(A48,'Données projet'!$A$35:$I$55,5,0)*VLOOKUP('Données projet'!$B$9,'Paramètres'!$A$1:$I$89,7,0))</f>
        <v>0</v>
      </c>
      <c r="X48" s="135">
        <f>IF(ISNA(VLOOKUP(A48,'Données projet'!$A$35:$I$55,6,0)),0%,VLOOKUP(A48,'Données projet'!$A$35:$I$55,6,0)*VLOOKUP('Données projet'!$B$9,'Paramètres'!$A$1:$I$89,7,0))</f>
        <v>0</v>
      </c>
      <c r="Y48" s="135">
        <f>IF(ISNA(VLOOKUP(A48,'Données projet'!$A$35:$I$55,7,0)),0%,VLOOKUP(A48,'Données projet'!$A$35:$I$55,7,0))</f>
        <v>0</v>
      </c>
      <c r="Z48" s="142">
        <f>EXP(-LN(2)/35)*Z47+(1-EXP(-LN(2)/35))/(LN(2)/35)*V48*W48*VLOOKUP('Données projet'!$B$9,'Paramètres'!$A$1:$I$89,3,0)*0.475*44/12</f>
        <v>7.312785984</v>
      </c>
      <c r="AA48" s="142">
        <f>EXP(-LN(2)/25)*AA47+(1-EXP(-LN(2)/25))/(LN(2)/25)*Calculateur!V48*Calculateur!X48*VLOOKUP('Données projet'!$B$9,'Paramètres'!$A$1:$I$89,3,0)*0.475*44/12</f>
        <v>10.53908567</v>
      </c>
      <c r="AB48" s="142">
        <f>EXP(-LN(2)/2)*AB47+(1-EXP(-LN(2)/2))/(LN(2)/2)*V48*Y48*VLOOKUP('Données projet'!$B$9,'Paramètres'!$A$1:$I$89,3,0)*0.475*44/12</f>
        <v>1.350086828</v>
      </c>
      <c r="AC48" s="143">
        <f t="shared" si="4"/>
        <v>19.20195848</v>
      </c>
      <c r="AD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1">
        <f>VLOOKUP(A48,'Données projet'!$A$61:$I$81,2,0)</f>
        <v>318</v>
      </c>
      <c r="AG48" s="131">
        <f>VLOOKUP(A48,'Données projet'!$A$61:$I$81,9,0)</f>
        <v>19</v>
      </c>
      <c r="AH48" s="131">
        <f t="array" ref="AH48">INDEX(AG:AG,MIN(IF(ISNUMBER(AG48:AG244),ROW(AG48:AG244),"")))</f>
        <v>19</v>
      </c>
      <c r="AI48" s="130">
        <f>IF('Données projet'!$A$62&gt;35,AI47+AH48-AQ47,IF(A48&lt;'Données projet'!$A$62,$AF$205^A48,IF(A48='Données projet'!$A$62,'Données projet'!$B$62,AI47+AH48-AQ47)))</f>
        <v>318</v>
      </c>
      <c r="AJ48" s="130">
        <f>AI48*VLOOKUP('Données projet'!$B$10,'Paramètres'!$A$1:$I$89,3,0)*VLOOKUP('Données projet'!$B$10,'Paramètres'!$A$1:$I$89,5,0)</f>
        <v>190.164</v>
      </c>
      <c r="AK48" s="130">
        <f t="shared" si="36"/>
        <v>47.5762091</v>
      </c>
      <c r="AL48" s="141">
        <f t="shared" si="5"/>
        <v>414.0641975</v>
      </c>
      <c r="AM48" s="133">
        <f t="shared" si="6"/>
        <v>707.3975309</v>
      </c>
      <c r="AN48" s="133">
        <f>AVERAGE(OFFSET($AM$3,0,0,'Données projet'!$E$10+1,1))-AVERAGE(OFFSET($H$3,0,0,'Données projet'!$E$10+1,1))</f>
        <v>196.874484</v>
      </c>
      <c r="AO48" s="133">
        <f t="shared" si="37"/>
        <v>217.5750859</v>
      </c>
      <c r="AP48" s="134">
        <f>IF(ISNA(VLOOKUP(A48,'Données projet'!$A$61:$I$81,3,0)),0,VLOOKUP(A48,'Données projet'!$A$61:$I$81,3,0))</f>
        <v>6</v>
      </c>
      <c r="AQ48" s="145">
        <f>IF(ISNA(VLOOKUP(A48,'Données projet'!$A$61:$I$81,4,0)),0,VLOOKUP(A48,'Données projet'!$A$61:$I$81,4,0))</f>
        <v>53</v>
      </c>
      <c r="AR48" s="135">
        <f>IF(ISNA(VLOOKUP(A48,'Données projet'!$A$61:$I$81,5,0)),0%,VLOOKUP(A48,'Données projet'!$A$61:$I$81,5,0)*VLOOKUP('Données projet'!$B$10,'Paramètres'!$A$1:$I$89,7,0))</f>
        <v>0.18</v>
      </c>
      <c r="AS48" s="135">
        <f>IF(ISNA(VLOOKUP(A48,'Données projet'!$A$61:$I$81,6,0)),0%,VLOOKUP(A48,'Données projet'!$A$61:$I$81,6,0)*VLOOKUP('Données projet'!$B$10,'Paramètres'!$A$1:$I$89,7,0))</f>
        <v>0.1512</v>
      </c>
      <c r="AT48" s="135">
        <f>IF(ISNA(VLOOKUP(A48,'Données projet'!$A$61:$I$81,7,0)),0%,VLOOKUP(A48,'Données projet'!$A$61:$I$81,7,0))</f>
        <v>0.264</v>
      </c>
      <c r="AU48" s="142">
        <f>EXP(-LN(2)/35)*AU47+(1-EXP(-LN(2)/35))/(LN(2)/35)*AQ48*AR48*VLOOKUP('Données projet'!$B$10,'Paramètres'!$A$1:$I$89,3,0)*0.475*44/12</f>
        <v>17.07535185</v>
      </c>
      <c r="AV48" s="142">
        <f>EXP(-LN(2)/25)*AV47+(1-EXP(-LN(2)/25))/(LN(2)/25)*Calculateur!AQ48*Calculateur!AS48*VLOOKUP('Données projet'!$B$10,'Paramètres'!$A$1:$I$89,3,0)*0.475*44/12</f>
        <v>22.747303</v>
      </c>
      <c r="AW48" s="142">
        <f>EXP(-LN(2)/2)*AW47+(1-EXP(-LN(2)/2))/(LN(2)/2)*AQ48*AT48*VLOOKUP('Données projet'!$B$10,'Paramètres'!$A$1:$I$89,3,0)*0.475*44/12</f>
        <v>11.12588511</v>
      </c>
      <c r="AX48" s="142">
        <f t="shared" si="7"/>
        <v>50.94853996</v>
      </c>
      <c r="AY48" s="13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1" t="str">
        <f>VLOOKUP(A48,'Données projet'!$A$87:$I$107,2,0)</f>
        <v>#N/A</v>
      </c>
      <c r="BB48" s="131" t="str">
        <f>VLOOKUP(A48,'Données projet'!$A$87:$I$107,9,0)</f>
        <v>#N/A</v>
      </c>
      <c r="BC48" s="130">
        <f t="array" ref="BC48">INDEX(BB:BB,MIN(IF(ISNUMBER(BB48:BB244),ROW(BB48:BB244),"")))</f>
        <v>14</v>
      </c>
      <c r="BD48" s="130">
        <f>IF('Données projet'!$A$88&gt;35,BD47+BC48-BL47,IF(A48&lt;'Données projet'!$A$88,$BA$205^A48,IF(A48='Données projet'!$A$88,'Données projet'!$B$88,BD47+BC48-BL47)))</f>
        <v>230</v>
      </c>
      <c r="BE48" s="130">
        <f>BD48*VLOOKUP('Données projet'!$B$11,'Paramètres'!$A$1:$I$89,3,0)*VLOOKUP('Données projet'!$B$11,'Paramètres'!$A$1:$I$89,5,0)</f>
        <v>107.64</v>
      </c>
      <c r="BF48" s="130">
        <f t="shared" si="38"/>
        <v>28.77425026</v>
      </c>
      <c r="BG48" s="141">
        <f t="shared" si="8"/>
        <v>237.5881525</v>
      </c>
      <c r="BH48" s="133">
        <f t="shared" si="9"/>
        <v>530.9214859</v>
      </c>
      <c r="BI48" s="133">
        <f>AVERAGE(OFFSET($BH$3,0,0,'Données projet'!$E$11+1,1))-AVERAGE(OFFSET($H$3,0,0,'Données projet'!$E$11+1,1))</f>
        <v>134.0948534</v>
      </c>
      <c r="BJ48" s="133">
        <f t="shared" si="39"/>
        <v>108.4102536</v>
      </c>
      <c r="BK48" s="134">
        <f>IF(ISNA(VLOOKUP(A48,'Données projet'!$A$87:$I$107,3,0)),0,VLOOKUP(A48,'Données projet'!$A$87:$I$107,3,0))</f>
        <v>0</v>
      </c>
      <c r="BL48" s="134">
        <f>IF(ISNA(VLOOKUP(A48,'Données projet'!$A$87:$I$107,4,0)),0,VLOOKUP(A48,'Données projet'!$A$87:$I$107,4,0))</f>
        <v>0</v>
      </c>
      <c r="BM48" s="135">
        <f>IF(ISNA(VLOOKUP(A48,'Données projet'!$A$87:$I$107,5,0)),0%,VLOOKUP(A48,'Données projet'!$A$87:$I$107,5,0)*VLOOKUP('Données projet'!$B$11,'Paramètres'!$A$1:$I$89,7,0))</f>
        <v>0</v>
      </c>
      <c r="BN48" s="135">
        <f>IF(ISNA(VLOOKUP(A48,'Données projet'!$A$87:$I$107,6,0)),0%,VLOOKUP(A48,'Données projet'!$A$87:$I$107,6,0)*VLOOKUP('Données projet'!$B$11,'Paramètres'!$A$1:$I$89,7,0))</f>
        <v>0</v>
      </c>
      <c r="BO48" s="135">
        <f>IF(ISNA(VLOOKUP(A48,'Données projet'!$A$87:$I$107,7,0)),0%,VLOOKUP(A48,'Données projet'!$A$87:$I$107,7,0))</f>
        <v>0</v>
      </c>
      <c r="BP48" s="142">
        <f>EXP(-LN(2)/35)*BP47+(1-EXP(-LN(2)/35))/(LN(2)/35)*BL48*BM48*VLOOKUP('Données projet'!$B$11,'Paramètres'!$A$1:$I$89,3,0)*0.475*44/12</f>
        <v>8.214942933</v>
      </c>
      <c r="BQ48" s="142">
        <f>EXP(-LN(2)/25)*BQ47+(1-EXP(-LN(2)/25))/(LN(2)/25)*Calculateur!BL48*Calculateur!BN48*VLOOKUP('Données projet'!$B$11,'Paramètres'!$A$1:$I$89,3,0)*0.475*44/12</f>
        <v>8.995328741</v>
      </c>
      <c r="BR48" s="142">
        <f>EXP(-LN(2)/2)*BR47+(1-EXP(-LN(2)/2))/(LN(2)/2)*BL48*BO48*VLOOKUP('Données projet'!$B$11,'Paramètres'!$A$1:$I$89,3,0)*0.475*44/12</f>
        <v>1.277676107</v>
      </c>
      <c r="BS48" s="143">
        <f t="shared" si="10"/>
        <v>18.48794778</v>
      </c>
      <c r="BT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1">
        <f>VLOOKUP(A48,'Données projet'!$A$113:$I$133,2,0)</f>
        <v>494</v>
      </c>
      <c r="BW48" s="130">
        <f>VLOOKUP(A48,'Données projet'!$A$113:$I$133,9,0)</f>
        <v>24.2</v>
      </c>
      <c r="BX48" s="130">
        <f t="array" ref="BX48">INDEX(BW:BW,MIN(IF(ISNUMBER(BW48:BW244),ROW(BW48:BW244),"")))</f>
        <v>24.2</v>
      </c>
      <c r="BY48" s="130">
        <f>IF('Données projet'!$A$114&gt;35,BY47+BX48-CG47,IF(A48&lt;'Données projet'!$A$114,$BV$205^A48,IF(A48='Données projet'!$A$114,'Données projet'!$B$114,BY47+BX48-CG47)))</f>
        <v>494</v>
      </c>
      <c r="BZ48" s="130">
        <f>BY48*VLOOKUP('Données projet'!$B$12,'Paramètres'!$A$1:$I$89,3,0)*VLOOKUP('Données projet'!$B$12,'Paramètres'!$A$1:$I$89,5,0)</f>
        <v>244.036</v>
      </c>
      <c r="CA48" s="130">
        <f t="shared" si="40"/>
        <v>59.30705092</v>
      </c>
      <c r="CB48" s="141">
        <f t="shared" si="11"/>
        <v>528.3224804</v>
      </c>
      <c r="CC48" s="133">
        <f t="shared" si="12"/>
        <v>821.6558137</v>
      </c>
      <c r="CD48" s="133">
        <f>AVERAGE(OFFSET($CC$3,0,0,'Données projet'!$E$12+1,1))-AVERAGE(OFFSET($H$3,0,0,'Données projet'!$E$12+1,1))</f>
        <v>258.1672054</v>
      </c>
      <c r="CE48" s="133">
        <f t="shared" si="41"/>
        <v>296.0724261</v>
      </c>
      <c r="CF48" s="134">
        <f>IF(ISNA(VLOOKUP(A48,'Données projet'!$A$113:$I$133,3,0)),0,VLOOKUP(A48,'Données projet'!$A$113:$I$133,3,0))</f>
        <v>7</v>
      </c>
      <c r="CG48" s="134">
        <f>IF(ISNA(VLOOKUP(A48,'Données projet'!$A$113:$I$133,4,0)),0,VLOOKUP(A48,'Données projet'!$A$113:$I$133,4,0))</f>
        <v>63</v>
      </c>
      <c r="CH48" s="135">
        <f>IF(ISNA(VLOOKUP(A48,'Données projet'!$A$113:$I$133,5,0)),0%,VLOOKUP(A48,'Données projet'!$A$113:$I$133,5,0)*VLOOKUP('Données projet'!$B$12,'Paramètres'!$A$1:$I$89,7,0))</f>
        <v>0.33</v>
      </c>
      <c r="CI48" s="135">
        <f>IF(ISNA(VLOOKUP(A48,'Données projet'!$A$113:$I$133,6,0)),0%,VLOOKUP(A48,'Données projet'!$A$113:$I$133,6,0)*VLOOKUP('Données projet'!$B$12,'Paramètres'!$A$1:$I$89,7,0))</f>
        <v>0.1232</v>
      </c>
      <c r="CJ48" s="135">
        <f>IF(ISNA(VLOOKUP(A48,'Données projet'!$A$113:$I$133,7,0)),0%,VLOOKUP(A48,'Données projet'!$A$113:$I$133,7,0))</f>
        <v>0.18</v>
      </c>
      <c r="CK48" s="142">
        <f>EXP(-LN(2)/35)*CK47+(1-EXP(-LN(2)/35))/(LN(2)/35)*CG48*CH48*VLOOKUP('Données projet'!$B$12,'Paramètres'!$A$1:$I$89,3,0)*0.475*44/12</f>
        <v>35.73193165</v>
      </c>
      <c r="CL48" s="142">
        <f>EXP(-LN(2)/25)*CL47+(1-EXP(-LN(2)/25))/(LN(2)/25)*Calculateur!CG48*Calculateur!CI48*VLOOKUP('Données projet'!$B$12,'Paramètres'!$A$1:$I$89,3,0)*0.475*44/12</f>
        <v>30.32646961</v>
      </c>
      <c r="CM48" s="142">
        <f>EXP(-LN(2)/2)*CM47+(1-EXP(-LN(2)/2))/(LN(2)/2)*CG48*CJ48*VLOOKUP('Données projet'!$B$12,'Paramètres'!$A$1:$I$89,3,0)*0.475*44/12</f>
        <v>8.328902294</v>
      </c>
      <c r="CN48" s="143">
        <f t="shared" si="13"/>
        <v>74.38730355</v>
      </c>
      <c r="CO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8">
        <f>VLOOKUP(A48,'Données projet'!$A$139:$I$159,2,0)</f>
        <v>107</v>
      </c>
      <c r="CR48" s="130">
        <f>VLOOKUP(A48,'Données projet'!$A$139:$I$159,9,0)</f>
        <v>5.6</v>
      </c>
      <c r="CS48" s="130">
        <f t="array" ref="CS48">INDEX(CR:CR,MIN(IF(ISNUMBER(CR48:CR244),ROW(CR48:CR244),"")))</f>
        <v>5.6</v>
      </c>
      <c r="CT48" s="138">
        <f>IF('Données projet'!$A$140&gt;35,CT47+CS48-DB47,IF(A48&lt;'Données projet'!$A$140,$CQ$205^A48,IF(A48='Données projet'!$A$140,'Données projet'!$B$140,CT47+CS48-DB47)))</f>
        <v>107</v>
      </c>
      <c r="CU48" s="138">
        <f>CT48*VLOOKUP('Données projet'!$B$13,'Paramètres'!$A$1:$I$89,3,0)*VLOOKUP('Données projet'!$B$13,'Paramètres'!$A$1:$I$89,5,0)</f>
        <v>108.498</v>
      </c>
      <c r="CV48" s="130">
        <f t="shared" si="42"/>
        <v>28.97681899</v>
      </c>
      <c r="CW48" s="141">
        <f t="shared" si="14"/>
        <v>239.4353097</v>
      </c>
      <c r="CX48" s="133">
        <f t="shared" si="15"/>
        <v>532.7686431</v>
      </c>
      <c r="CY48" s="133">
        <f>AVERAGE(OFFSET($CX$3,0,0,'Données projet'!$E$13+1,1))-AVERAGE(OFFSET($H$3,0,0,'Données projet'!$E$13+1,1))</f>
        <v>223.783507</v>
      </c>
      <c r="CZ48" s="133">
        <f t="shared" si="43"/>
        <v>84.92349117</v>
      </c>
      <c r="DA48" s="134">
        <f>IF(ISNA(VLOOKUP(A48,'Données projet'!$A$139:$I$159,3,0)),0,VLOOKUP(A48,'Données projet'!$A$139:$I$159,3,0))</f>
        <v>5</v>
      </c>
      <c r="DB48" s="144">
        <f>IF(ISNA(VLOOKUP(A48,'Données projet'!$A$139:$I$159,4,0)),0,VLOOKUP(A48,'Données projet'!$A$139:$I$159,4,0))</f>
        <v>14</v>
      </c>
      <c r="DC48" s="135">
        <f>IF(ISNA(VLOOKUP(A48,'Données projet'!$A$139:$I$159,5,0)),0%,VLOOKUP(A48,'Données projet'!$A$139:$I$159,5,0)*VLOOKUP('Données projet'!$B$13,'Paramètres'!$A$1:$I$89,7,0))</f>
        <v>0.086</v>
      </c>
      <c r="DD48" s="135">
        <f>IF(ISNA(VLOOKUP(A48,'Données projet'!$A$139:$I$159,6,0)),0%,VLOOKUP(A48,'Données projet'!$A$139:$I$159,6,0)*VLOOKUP('Données projet'!$B$13,'Paramètres'!$A$1:$I$89,7,0))</f>
        <v>0</v>
      </c>
      <c r="DE48" s="135" t="str">
        <f>IF(ISNA(VLOOKUP(A48,'Données projet'!$A$139:$I$159,7,0)),0%,VLOOKUP(A48,'Données projet'!$A$139:$I$159,7,0))</f>
        <v/>
      </c>
      <c r="DF48" s="142">
        <f>EXP(-LN(2)/35)*DF47+(1-EXP(-LN(2)/35))/(LN(2)/35)*DB48*DC48*VLOOKUP('Données projet'!$B$13,'Paramètres'!$A$1:$I$89,3,0)*0.475*44/12</f>
        <v>1.349620146</v>
      </c>
      <c r="DG48" s="142">
        <f>EXP(-LN(2)/25)*DG47+(1-EXP(-LN(2)/25))/(LN(2)/25)*Calculateur!DB48*Calculateur!DD48*VLOOKUP('Données projet'!$B$13,'Paramètres'!$A$1:$I$89,3,0)*0.475*44/12</f>
        <v>0</v>
      </c>
      <c r="DH48" s="142">
        <f>EXP(-LN(2)/2)*DH47+(1-EXP(-LN(2)/2))/(LN(2)/2)*DB48*DE48*VLOOKUP('Données projet'!$B$13,'Paramètres'!$A$1:$I$89,3,0)*0.475*44/12</f>
        <v>0</v>
      </c>
      <c r="DI48" s="143">
        <f t="shared" si="16"/>
        <v>1.349620146</v>
      </c>
      <c r="DJ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8">
        <f>VLOOKUP(A48,'Données projet'!$A$165:$I$185,2,0)</f>
        <v>158</v>
      </c>
      <c r="DM48" s="131">
        <f>VLOOKUP(A48,'Données projet'!$A$165:$I$185,9,0)</f>
        <v>8.4</v>
      </c>
      <c r="DN48" s="131">
        <f t="array" ref="DN48">INDEX(DM:DM,MIN(IF(ISNUMBER(DM48:DM244),ROW(DM48:DM244),"")))</f>
        <v>8.4</v>
      </c>
      <c r="DO48" s="138">
        <f>IF('Données projet'!$A$166&gt;35,DO47+DN48-DW47,IF(A48&lt;'Données projet'!$A$166,$DL$205^A48,IF(A48='Données projet'!$A$166,'Données projet'!$B$166,DO47+DN48-DW47)))</f>
        <v>158</v>
      </c>
      <c r="DP48" s="138">
        <f>DO48*VLOOKUP('Données projet'!$B$14,'Paramètres'!$A$1:$I$89,3,0)*VLOOKUP('Données projet'!$B$14,'Paramètres'!$A$1:$I$89,5,0)</f>
        <v>142.9584</v>
      </c>
      <c r="DQ48" s="130">
        <f t="shared" si="44"/>
        <v>36.97390637</v>
      </c>
      <c r="DR48" s="141">
        <f t="shared" si="17"/>
        <v>313.3821003</v>
      </c>
      <c r="DS48" s="133">
        <f t="shared" si="18"/>
        <v>606.7154336</v>
      </c>
      <c r="DT48" s="133">
        <f>AVERAGE(OFFSET($DS$3,0,0,'Données projet'!$E$14+1,1))-AVERAGE(OFFSET($H$3,0,0,'Données projet'!$E$14+1,1))</f>
        <v>287.9334714</v>
      </c>
      <c r="DU48" s="133">
        <f t="shared" si="45"/>
        <v>156.6796502</v>
      </c>
      <c r="DV48" s="134">
        <f>IF(ISNA(VLOOKUP(A48,'Données projet'!$A$165:$I$185,3,0)),0,VLOOKUP(A48,'Données projet'!$A$165:$I$185,3,0))</f>
        <v>6</v>
      </c>
      <c r="DW48" s="144">
        <f>IF(ISNA(VLOOKUP(A48,'Données projet'!$A$165:$I$185,4,0)),0,VLOOKUP(A48,'Données projet'!$A$165:$I$185,4,0))</f>
        <v>21</v>
      </c>
      <c r="DX48" s="135">
        <f>IF(ISNA(VLOOKUP(A48,'Données projet'!$A$165:$I$185,5,0)),0%,VLOOKUP(A48,'Données projet'!$A$165:$I$185,5,0)*VLOOKUP('Données projet'!$B$14,'Paramètres'!$A$1:$I$89,7,0))</f>
        <v>0.086</v>
      </c>
      <c r="DY48" s="135">
        <f>IF(ISNA(VLOOKUP(A48,'Données projet'!$A$165:$I$185,6,0)),0%,VLOOKUP(A48,'Données projet'!$A$165:$I$185,6,0)*VLOOKUP('Données projet'!$B$14,'Paramètres'!$A$1:$I$89,7,0))</f>
        <v>0</v>
      </c>
      <c r="DZ48" s="135" t="str">
        <f>IF(ISNA(VLOOKUP(A48,'Données projet'!$A$165:$I$185,7,0)),0%,VLOOKUP(A48,'Données projet'!$A$165:$I$185,7,0))</f>
        <v/>
      </c>
      <c r="EA48" s="142">
        <f>EXP(-LN(2)/35)*EA47+(1-EXP(-LN(2)/35))/(LN(2)/35)*DW48*DX48*VLOOKUP('Données projet'!$B$14,'Paramètres'!$A$1:$I$89,3,0)*0.475*44/12</f>
        <v>3.442527158</v>
      </c>
      <c r="EB48" s="142">
        <f>EXP(-LN(2)/25)*EB47+(1-EXP(-LN(2)/25))/(LN(2)/25)*Calculateur!DW48*Calculateur!DY48*VLOOKUP('Données projet'!$B$14,'Paramètres'!$A$1:$I$89,3,0)*0.475*44/12</f>
        <v>0</v>
      </c>
      <c r="EC48" s="142">
        <f>EXP(-LN(2)/2)*EC47+(1-EXP(-LN(2)/2))/(LN(2)/2)*DW48*DZ48*VLOOKUP('Données projet'!$B$14,'Paramètres'!$A$1:$I$89,3,0)*0.475*44/12</f>
        <v>0</v>
      </c>
      <c r="ED48" s="143">
        <f t="shared" si="19"/>
        <v>3.442527158</v>
      </c>
      <c r="EE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8">
        <f>VLOOKUP(A48,'Données projet'!$A$191:$I$211,2,0)</f>
        <v>134</v>
      </c>
      <c r="EH48" s="131">
        <f>VLOOKUP(A48,'Données projet'!$A$191:$I$211,9,0)</f>
        <v>8</v>
      </c>
      <c r="EI48" s="131">
        <f t="array" ref="EI48">INDEX(EH:EH,MIN(IF(ISNUMBER(EH48:EH244),ROW(EH48:EH244),"")))</f>
        <v>8</v>
      </c>
      <c r="EJ48" s="138">
        <f>IF('Données projet'!$A$192&gt;35,EJ47+EI48-ER47,IF(A48&lt;'Données projet'!$A$192,$EG$205^A48,IF(A48='Données projet'!$A$192,'Données projet'!$B$192,EJ47+EI48-ER47)))</f>
        <v>134</v>
      </c>
      <c r="EK48" s="138">
        <f>EJ48*VLOOKUP('Données projet'!$B$15,'Paramètres'!$A$1:$I$89,3,0)*VLOOKUP('Données projet'!$B$15,'Paramètres'!$A$1:$I$89,5,0)</f>
        <v>98.2488</v>
      </c>
      <c r="EL48" s="130">
        <f t="shared" si="46"/>
        <v>26.54437029</v>
      </c>
      <c r="EM48" s="141">
        <f t="shared" si="20"/>
        <v>217.3481049</v>
      </c>
      <c r="EN48" s="133">
        <f t="shared" si="21"/>
        <v>510.6814383</v>
      </c>
      <c r="EO48" s="133">
        <f>AVERAGE(OFFSET($EN$3,0,0,'Données projet'!$E$15+1,1))-AVERAGE(OFFSET($H$3,0,0,'Données projet'!$E$15+1,1))</f>
        <v>130.3193339</v>
      </c>
      <c r="EP48" s="133">
        <f t="shared" si="47"/>
        <v>82.22784365</v>
      </c>
      <c r="EQ48" s="134">
        <f>IF(ISNA(VLOOKUP(A48,'Données projet'!$A$191:$I$211,3,0)),0,VLOOKUP(A48,'Données projet'!$A$191:$I$211,3,0))</f>
        <v>5</v>
      </c>
      <c r="ER48" s="144">
        <f>IF(ISNA(VLOOKUP(A48,'Données projet'!$A$191:$I$211,4,0)),0,VLOOKUP(A48,'Données projet'!$A$191:$I$211,4,0))</f>
        <v>21</v>
      </c>
      <c r="ES48" s="135">
        <f>IF(ISNA(VLOOKUP(A48,'Données projet'!$A$191:$I$211,5,0)),0%,VLOOKUP(A48,'Données projet'!$A$191:$I$211,5,0)*VLOOKUP('Données projet'!$B$15,'Paramètres'!$A$1:$I$89,7,0))</f>
        <v>0.172</v>
      </c>
      <c r="ET48" s="135">
        <f>IF(ISNA(VLOOKUP(A48,'Données projet'!$A$191:$I$211,6,0)),0%,VLOOKUP(A48,'Données projet'!$A$191:$I$211,6,0)*VLOOKUP('Données projet'!$B$15,'Paramètres'!$A$1:$I$89,7,0))</f>
        <v>0</v>
      </c>
      <c r="EU48" s="135" t="str">
        <f>IF(ISNA(VLOOKUP(A48,'Données projet'!$A$191:$I$211,7,0)),0%,VLOOKUP(A48,'Données projet'!$A$191:$I$211,7,0))</f>
        <v/>
      </c>
      <c r="EV48" s="142">
        <f>EXP(-LN(2)/35)*EV47+(1-EXP(-LN(2)/35))/(LN(2)/35)*ER48*ES48*VLOOKUP('Données projet'!$B$15,'Paramètres'!$A$1:$I$89,3,0)*0.475*44/12</f>
        <v>6.075768384</v>
      </c>
      <c r="EW48" s="142">
        <f>EXP(-LN(2)/25)*EW47+(1-EXP(-LN(2)/25))/(LN(2)/25)*Calculateur!ER48*Calculateur!ET48*VLOOKUP('Données projet'!$B$15,'Paramètres'!$A$1:$I$89,3,0)*0.475*44/12</f>
        <v>0</v>
      </c>
      <c r="EX48" s="142">
        <f>EXP(-LN(2)/2)*EX47+(1-EXP(-LN(2)/2))/(LN(2)/2)*ER48*EU48*VLOOKUP('Données projet'!$B$15,'Paramètres'!$A$1:$I$89,3,0)*0.475*44/12</f>
        <v>0</v>
      </c>
      <c r="EY48" s="143">
        <f t="shared" si="22"/>
        <v>6.075768384</v>
      </c>
      <c r="EZ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1">
        <f>VLOOKUP(A48,'Données projet'!$A$217:$I$237,2,0)</f>
        <v>243</v>
      </c>
      <c r="FC48" s="130">
        <f>VLOOKUP(A48,'Données projet'!$A$217:$I$237,9,0)</f>
        <v>6</v>
      </c>
      <c r="FD48" s="130">
        <f t="array" ref="FD48">INDEX(FC:FC,MIN(IF(ISNUMBER(FC48:FC244),ROW(FC48:FC244),"")))</f>
        <v>6</v>
      </c>
      <c r="FE48" s="130">
        <f>IF('Données projet'!$A$218&gt;35,FE47+FD48-FM47,IF(A48&lt;'Données projet'!$A$218,$FB$205^A48,IF(A48='Données projet'!$A$218,'Données projet'!$B$218,FE47+FD48-FM47)))</f>
        <v>243</v>
      </c>
      <c r="FF48" s="138">
        <f>FE48*VLOOKUP('Données projet'!$B$16,'Paramètres'!$A$1:$I$89,3,0)*VLOOKUP('Données projet'!$B$16,'Paramètres'!$A$1:$I$89,5,0)</f>
        <v>219.8664</v>
      </c>
      <c r="FG48" s="130">
        <f t="shared" si="48"/>
        <v>54.08584739</v>
      </c>
      <c r="FH48" s="141">
        <f t="shared" si="23"/>
        <v>477.1334975</v>
      </c>
      <c r="FI48" s="133">
        <f t="shared" si="24"/>
        <v>770.4668309</v>
      </c>
      <c r="FJ48" s="133">
        <f>AVERAGE(OFFSET($FI$3,0,0,'Données projet'!$E$16+1,1))-AVERAGE(OFFSET($H$3,0,0,'Données projet'!$E$16+1,1))</f>
        <v>305.6252353</v>
      </c>
      <c r="FK48" s="133">
        <f t="shared" si="49"/>
        <v>331.397916</v>
      </c>
      <c r="FL48" s="134">
        <f>IF(ISNA(VLOOKUP(A48,'Données projet'!$A$217:$I$237,3,0)),0,VLOOKUP(A48,'Données projet'!$A$217:$I$237,3,0))</f>
        <v>7</v>
      </c>
      <c r="FM48" s="134">
        <f>IF(ISNA(VLOOKUP(A48,'Données projet'!$A$217:$I$237,4,0)),0,VLOOKUP(A48,'Données projet'!$A$217:$I$237,4,0))</f>
        <v>13</v>
      </c>
      <c r="FN48" s="135">
        <f>IF(ISNA(VLOOKUP(A48,'Données projet'!$A$217:$I$237,5,0)),0%,VLOOKUP(A48,'Données projet'!$A$217:$I$237,5,0)*VLOOKUP('Données projet'!$B$16,'Paramètres'!$A$1:$I$89,7,0))</f>
        <v>0.12</v>
      </c>
      <c r="FO48" s="135">
        <f>IF(ISNA(VLOOKUP(A48,'Données projet'!$A$217:$I$237,6,0)),0%,VLOOKUP(A48,'Données projet'!$A$217:$I$237,6,0)*VLOOKUP('Données projet'!$B$16,'Paramètres'!$A$1:$I$89,7,0))</f>
        <v>0</v>
      </c>
      <c r="FP48" s="135" t="str">
        <f>IF(ISNA(VLOOKUP(A48,'Données projet'!$A$217:$I$237,7,0)),0%,VLOOKUP(A48,'Données projet'!$A$217:$I$237,7,0))</f>
        <v/>
      </c>
      <c r="FQ48" s="142">
        <f>EXP(-LN(2)/35)*FQ47+(1-EXP(-LN(2)/35))/(LN(2)/35)*FM48*FN48*VLOOKUP('Données projet'!$B$16,'Paramètres'!$A$1:$I$89,3,0)*0.475*44/12</f>
        <v>3.10904349</v>
      </c>
      <c r="FR48" s="142">
        <f>EXP(-LN(2)/25)*FR47+(1-EXP(-LN(2)/25))/(LN(2)/25)*Calculateur!FM48*Calculateur!FO48*VLOOKUP('Données projet'!$B$16,'Paramètres'!$A$1:$I$89,3,0)*0.475*44/12</f>
        <v>0</v>
      </c>
      <c r="FS48" s="142">
        <f>EXP(-LN(2)/2)*FS47+(1-EXP(-LN(2)/2))/(LN(2)/2)*FM48*FP48*VLOOKUP('Données projet'!$B$16,'Paramètres'!$A$1:$I$89,3,0)*0.475*44/12</f>
        <v>0</v>
      </c>
      <c r="FT48" s="143">
        <f t="shared" si="25"/>
        <v>3.10904349</v>
      </c>
      <c r="FU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8">
        <f>VLOOKUP(A48,'Données projet'!$A$243:$I$263,2,0)</f>
        <v>190</v>
      </c>
      <c r="FX48" s="130">
        <f>VLOOKUP(A48,'Données projet'!$A$243:$I$263,9,0)</f>
        <v>11</v>
      </c>
      <c r="FY48" s="130">
        <f t="array" ref="FY48">INDEX(FX:FX,MIN(IF(ISNUMBER(FX48:FX244),ROW(FX48:FX244),"")))</f>
        <v>11</v>
      </c>
      <c r="FZ48" s="138">
        <f>IF('Données projet'!$A$244&gt;35,FZ47+FY48-GH47,IF(A48&lt;'Données projet'!$A$244,$FW$205^A48,IF(A48='Données projet'!$A$244,'Données projet'!$B$244,FZ47+FY48-GH47)))</f>
        <v>190</v>
      </c>
      <c r="GA48" s="138">
        <f>FZ48*VLOOKUP('Données projet'!$B$17,'Paramètres'!$A$1:$I$89,3,0)*VLOOKUP('Données projet'!$B$17,'Paramètres'!$A$1:$I$89,5,0)</f>
        <v>127.452</v>
      </c>
      <c r="GB48" s="130">
        <f t="shared" si="50"/>
        <v>33.40691477</v>
      </c>
      <c r="GC48" s="141">
        <f t="shared" si="26"/>
        <v>280.1626099</v>
      </c>
      <c r="GD48" s="133">
        <f t="shared" si="27"/>
        <v>573.4959432</v>
      </c>
      <c r="GE48" s="133">
        <f>AVERAGE(OFFSET($GD$3,0,0,'Données projet'!$E$17+1,1))-AVERAGE(OFFSET($H$3,0,0,'Données projet'!$E$17+1,1))</f>
        <v>118.7368745</v>
      </c>
      <c r="GF48" s="133">
        <f t="shared" si="51"/>
        <v>135.1233677</v>
      </c>
      <c r="GG48" s="134">
        <f>IF(ISNA(VLOOKUP(A48,'Données projet'!$A$243:$I$263,3,0)),0,VLOOKUP(A48,'Données projet'!$A$243:$I$263,3,0))</f>
        <v>6</v>
      </c>
      <c r="GH48" s="144">
        <f>IF(ISNA(VLOOKUP(A48,'Données projet'!$A$243:$I$263,4,0)),0,VLOOKUP(A48,'Données projet'!$A$243:$I$263,4,0))</f>
        <v>28</v>
      </c>
      <c r="GI48" s="135">
        <f>IF(ISNA(VLOOKUP(A48,'Données projet'!$A$243:$I$263,5,0)),0%,VLOOKUP(A48,'Données projet'!$A$243:$I$263,5,0)*VLOOKUP('Données projet'!$B$17,'Paramètres'!$A$1:$I$89,7,0))</f>
        <v>0.212</v>
      </c>
      <c r="GJ48" s="135">
        <f>IF(ISNA(VLOOKUP(A48,'Données projet'!$A$243:$I$263,6,0)),0%,VLOOKUP(A48,'Données projet'!$A$243:$I$263,6,0)*VLOOKUP('Données projet'!$B$17,'Paramètres'!$A$1:$I$89,7,0))</f>
        <v>0</v>
      </c>
      <c r="GK48" s="135" t="str">
        <f>IF(ISNA(VLOOKUP(A48,'Données projet'!$A$243:$I$263,7,0)),0%,VLOOKUP(A48,'Données projet'!$A$243:$I$263,7,0))</f>
        <v/>
      </c>
      <c r="GL48" s="142">
        <f>EXP(-LN(2)/35)*GL47+(1-EXP(-LN(2)/35))/(LN(2)/35)*GH48*GI48*VLOOKUP('Données projet'!$B$17,'Paramètres'!$A$1:$I$89,3,0)*0.475*44/12</f>
        <v>10.19417855</v>
      </c>
      <c r="GM48" s="142">
        <f>EXP(-LN(2)/25)*GM47+(1-EXP(-LN(2)/25))/(LN(2)/25)*Calculateur!GH48*Calculateur!GJ48*VLOOKUP('Données projet'!$B$17,'Paramètres'!$A$1:$I$89,3,0)*0.475*44/12</f>
        <v>0</v>
      </c>
      <c r="GN48" s="142">
        <f>EXP(-LN(2)/2)*GN47+(1-EXP(-LN(2)/2))/(LN(2)/2)*GH48*GK48*VLOOKUP('Données projet'!$B$17,'Paramètres'!$A$1:$I$89,3,0)*0.475*44/12</f>
        <v>0</v>
      </c>
      <c r="GO48" s="142">
        <f t="shared" si="28"/>
        <v>10.19417855</v>
      </c>
      <c r="GP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8">
        <f>VLOOKUP(A48,'Données projet'!$A$269:$I$289,2,0)</f>
        <v>107</v>
      </c>
      <c r="GS48" s="130">
        <f>VLOOKUP(A48,'Données projet'!$A$269:$I$289,9,0)</f>
        <v>5.6</v>
      </c>
      <c r="GT48" s="130">
        <f t="array" ref="GT48">INDEX(GS:GS,MIN(IF(ISNUMBER(GS48:GS244),ROW(GS48:GS244),"")))</f>
        <v>5.6</v>
      </c>
      <c r="GU48" s="138">
        <f>IF('Données projet'!$A$270&gt;35,GU47+GT48-HC47,IF(A48&lt;'Données projet'!$A$270,$GR$205^A48,IF(A48='Données projet'!$A$270,'Données projet'!$B$270,GU47+GT48-HC47)))</f>
        <v>107</v>
      </c>
      <c r="GV48" s="138">
        <f>GU48*VLOOKUP('Données projet'!$B$18,'Paramètres'!$A$1:$I$89,3,0)*VLOOKUP('Données projet'!$B$18,'Paramètres'!$A$1:$I$89,5,0)</f>
        <v>115.1748</v>
      </c>
      <c r="GW48" s="130">
        <f t="shared" si="52"/>
        <v>30.54692668</v>
      </c>
      <c r="GX48" s="141">
        <f t="shared" si="29"/>
        <v>253.798674</v>
      </c>
      <c r="GY48" s="133">
        <f t="shared" si="30"/>
        <v>547.1320073</v>
      </c>
      <c r="GZ48" s="133">
        <f>AVERAGE(OFFSET($GY$3,0,0,'Données projet'!$E$18+1,1))-AVERAGE(OFFSET($H$3,0,0,'Données projet'!$E$18+1,1))</f>
        <v>100.5427875</v>
      </c>
      <c r="HA48" s="133">
        <f t="shared" si="53"/>
        <v>92.28663609</v>
      </c>
      <c r="HB48" s="134">
        <f>IF(ISNA(VLOOKUP(A48,'Données projet'!$A$269:$I$289,3,0)),0,VLOOKUP(A48,'Données projet'!$A$269:$I$289,3,0))</f>
        <v>5</v>
      </c>
      <c r="HC48" s="144">
        <f>IF(ISNA(VLOOKUP(A48,'Données projet'!$A$269:$I$289,4,0)),0,VLOOKUP(A48,'Données projet'!$A$269:$I$289,4,0))</f>
        <v>14</v>
      </c>
      <c r="HD48" s="135">
        <f>IF(ISNA(VLOOKUP(A48,'Données projet'!$A$269:$I$289,5,0)),0%,VLOOKUP(A48,'Données projet'!$A$269:$I$289,5,0)*VLOOKUP('Données projet'!$B$18,'Paramètres'!$A$1:$I$89,7,0))</f>
        <v>0.172</v>
      </c>
      <c r="HE48" s="135">
        <f>IF(ISNA(VLOOKUP(A48,'Données projet'!$A$269:$I$289,6,0)),0%,VLOOKUP(A48,'Données projet'!$A$269:$I$289,6,0)*VLOOKUP('Données projet'!$B$18,'Paramètres'!$A$1:$I$89,7,0))</f>
        <v>0</v>
      </c>
      <c r="HF48" s="135" t="str">
        <f>IF(ISNA(VLOOKUP(A48,'Données projet'!$A$269:$I$289,7,0)),0%,VLOOKUP(A48,'Données projet'!$A$269:$I$289,7,0))</f>
        <v/>
      </c>
      <c r="HG48" s="142">
        <f>EXP(-LN(2)/35)*HG47+(1-EXP(-LN(2)/35))/(LN(2)/35)*HC48*HD48*VLOOKUP('Données projet'!$B$18,'Paramètres'!$A$1:$I$89,3,0)*0.475*44/12</f>
        <v>5.254278674</v>
      </c>
      <c r="HH48" s="142">
        <f>EXP(-LN(2)/25)*HH47+(1-EXP(-LN(2)/25))/(LN(2)/25)*Calculateur!HC48*Calculateur!HE48*VLOOKUP('Données projet'!$B$18,'Paramètres'!$A$1:$I$89,3,0)*0.475*44/12</f>
        <v>0</v>
      </c>
      <c r="HI48" s="142">
        <f>EXP(-LN(2)/2)*HI47+(1-EXP(-LN(2)/2))/(LN(2)/2)*HC48*HF48*VLOOKUP('Données projet'!$B$18,'Paramètres'!$A$1:$I$89,3,0)*0.475*44/12</f>
        <v>0</v>
      </c>
      <c r="HJ48" s="143">
        <f t="shared" si="31"/>
        <v>5.254278674</v>
      </c>
    </row>
    <row r="49" ht="15.75" customHeight="1">
      <c r="A49" s="125">
        <f t="shared" si="32"/>
        <v>46</v>
      </c>
      <c r="B49" s="126">
        <f>'Scénario référence'!$B$16*5+'Scénario référence'!$B$17*0+'Scénario référence'!$B$18*5</f>
        <v>0</v>
      </c>
      <c r="C49" s="140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9" s="127">
        <f t="shared" si="33"/>
        <v>7.953317207</v>
      </c>
      <c r="E4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7">
        <f>IF(OR('Scénario référence'!$F$8&gt;0,'Scénario référence'!$F$9&gt;0),('Scénario référence'!$F$8+'Scénario référence'!$F$9)*10,0)</f>
        <v>10</v>
      </c>
      <c r="G49" s="127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</v>
      </c>
      <c r="H49" s="128">
        <f t="shared" si="1"/>
        <v>350.9290608</v>
      </c>
      <c r="I49" s="12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1" t="str">
        <f>VLOOKUP(A49,'Données projet'!$A$35:$I$55,2,0)</f>
        <v>#N/A</v>
      </c>
      <c r="L49" s="131" t="str">
        <f>VLOOKUP(A49,'Données projet'!$A$35:$I$55,9,0)</f>
        <v>#N/A</v>
      </c>
      <c r="M49" s="131">
        <f t="array" ref="M49">INDEX(L:L,MIN(IF(ISNUMBER(L49:L245),ROW(L49:L245),"")))</f>
        <v>11.6</v>
      </c>
      <c r="N49" s="130">
        <f>IF('Données projet'!$A$36&gt;35,N48+M49-V48,IF(A49&lt;'Données projet'!$A$36,$K$205^A49,IF(A49='Données projet'!$A$36,'Données projet'!$B$36,N48+M49-V48)))</f>
        <v>239.6</v>
      </c>
      <c r="O49" s="130">
        <f>N49*VLOOKUP('Données projet'!$B$9,'Paramètres'!$A$1:$I$89,3,0)*VLOOKUP('Données projet'!$B$9,'Paramètres'!$A$1:$I$89,5,0)</f>
        <v>137.0512</v>
      </c>
      <c r="P49" s="130">
        <f t="shared" si="34"/>
        <v>35.62064216</v>
      </c>
      <c r="Q49" s="141">
        <f t="shared" si="2"/>
        <v>300.7367918</v>
      </c>
      <c r="R49" s="133">
        <f t="shared" si="3"/>
        <v>594.0701251</v>
      </c>
      <c r="S49" s="133">
        <f>AVERAGE(OFFSET($R$3,0,0,'Données projet'!$E$9+1,1))-AVERAGE(OFFSET($H$3,0,0,'Données projet'!$E$9+1,1))</f>
        <v>126.9946492</v>
      </c>
      <c r="T49" s="133">
        <f t="shared" si="35"/>
        <v>140.039049</v>
      </c>
      <c r="U49" s="134">
        <f>IF(ISNA(VLOOKUP(A49,'Données projet'!$A$35:$I$55,3,0)),0,VLOOKUP(A49,'Données projet'!$A$35:$I$55,3,0))</f>
        <v>0</v>
      </c>
      <c r="V49" s="134">
        <f>IF(ISNA(VLOOKUP(A49,'Données projet'!$A$35:$I$55,4,0)),0,VLOOKUP(A49,'Données projet'!$A$35:$I$55,4,0))</f>
        <v>0</v>
      </c>
      <c r="W49" s="135">
        <f>IF(ISNA(VLOOKUP(A49,'Données projet'!$A$35:$I$55,5,0)),0%,VLOOKUP(A49,'Données projet'!$A$35:$I$55,5,0)*VLOOKUP('Données projet'!$B$9,'Paramètres'!$A$1:$I$89,7,0))</f>
        <v>0</v>
      </c>
      <c r="X49" s="135">
        <f>IF(ISNA(VLOOKUP(A49,'Données projet'!$A$35:$I$55,6,0)),0%,VLOOKUP(A49,'Données projet'!$A$35:$I$55,6,0)*VLOOKUP('Données projet'!$B$9,'Paramètres'!$A$1:$I$89,7,0))</f>
        <v>0</v>
      </c>
      <c r="Y49" s="135">
        <f>IF(ISNA(VLOOKUP(A49,'Données projet'!$A$35:$I$55,7,0)),0%,VLOOKUP(A49,'Données projet'!$A$35:$I$55,7,0))</f>
        <v>0</v>
      </c>
      <c r="Z49" s="142">
        <f>EXP(-LN(2)/35)*Z48+(1-EXP(-LN(2)/35))/(LN(2)/35)*V49*W49*VLOOKUP('Données projet'!$B$9,'Paramètres'!$A$1:$I$89,3,0)*0.475*44/12</f>
        <v>7.169386711</v>
      </c>
      <c r="AA49" s="142">
        <f>EXP(-LN(2)/25)*AA48+(1-EXP(-LN(2)/25))/(LN(2)/25)*Calculateur!V49*Calculateur!X49*VLOOKUP('Données projet'!$B$9,'Paramètres'!$A$1:$I$89,3,0)*0.475*44/12</f>
        <v>10.25089382</v>
      </c>
      <c r="AB49" s="142">
        <f>EXP(-LN(2)/2)*AB48+(1-EXP(-LN(2)/2))/(LN(2)/2)*V49*Y49*VLOOKUP('Données projet'!$B$9,'Paramètres'!$A$1:$I$89,3,0)*0.475*44/12</f>
        <v>0.9546555511</v>
      </c>
      <c r="AC49" s="143">
        <f t="shared" si="4"/>
        <v>18.37493608</v>
      </c>
      <c r="AD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1" t="str">
        <f>VLOOKUP(A49,'Données projet'!$A$61:$I$81,2,0)</f>
        <v>#N/A</v>
      </c>
      <c r="AG49" s="131" t="str">
        <f>VLOOKUP(A49,'Données projet'!$A$61:$I$81,9,0)</f>
        <v>#N/A</v>
      </c>
      <c r="AH49" s="131">
        <f t="array" ref="AH49">INDEX(AG:AG,MIN(IF(ISNUMBER(AG49:AG245),ROW(AG49:AG245),"")))</f>
        <v>17.4</v>
      </c>
      <c r="AI49" s="130">
        <f>IF('Données projet'!$A$62&gt;35,AI48+AH49-AQ48,IF(A49&lt;'Données projet'!$A$62,$AF$205^A49,IF(A49='Données projet'!$A$62,'Données projet'!$B$62,AI48+AH49-AQ48)))</f>
        <v>282.4</v>
      </c>
      <c r="AJ49" s="130">
        <f>AI49*VLOOKUP('Données projet'!$B$10,'Paramètres'!$A$1:$I$89,3,0)*VLOOKUP('Données projet'!$B$10,'Paramètres'!$A$1:$I$89,5,0)</f>
        <v>168.8752</v>
      </c>
      <c r="AK49" s="130">
        <f t="shared" si="36"/>
        <v>42.83800855</v>
      </c>
      <c r="AL49" s="141">
        <f t="shared" si="5"/>
        <v>368.7338382</v>
      </c>
      <c r="AM49" s="133">
        <f t="shared" si="6"/>
        <v>662.0671716</v>
      </c>
      <c r="AN49" s="133">
        <f>AVERAGE(OFFSET($AM$3,0,0,'Données projet'!$E$10+1,1))-AVERAGE(OFFSET($H$3,0,0,'Données projet'!$E$10+1,1))</f>
        <v>196.874484</v>
      </c>
      <c r="AO49" s="133">
        <f t="shared" si="37"/>
        <v>217.5750859</v>
      </c>
      <c r="AP49" s="134">
        <f>IF(ISNA(VLOOKUP(A49,'Données projet'!$A$61:$I$81,3,0)),0,VLOOKUP(A49,'Données projet'!$A$61:$I$81,3,0))</f>
        <v>0</v>
      </c>
      <c r="AQ49" s="134">
        <f>IF(ISNA(VLOOKUP(A49,'Données projet'!$A$61:$I$81,4,0)),0,VLOOKUP(A49,'Données projet'!$A$61:$I$81,4,0))</f>
        <v>0</v>
      </c>
      <c r="AR49" s="135">
        <f>IF(ISNA(VLOOKUP(A49,'Données projet'!$A$61:$I$81,5,0)),0%,VLOOKUP(A49,'Données projet'!$A$61:$I$81,5,0)*VLOOKUP('Données projet'!$B$10,'Paramètres'!$A$1:$I$89,7,0))</f>
        <v>0</v>
      </c>
      <c r="AS49" s="135">
        <f>IF(ISNA(VLOOKUP(A49,'Données projet'!$A$61:$I$81,6,0)),0%,VLOOKUP(A49,'Données projet'!$A$61:$I$81,6,0)*VLOOKUP('Données projet'!$B$10,'Paramètres'!$A$1:$I$89,7,0))</f>
        <v>0</v>
      </c>
      <c r="AT49" s="135">
        <f>IF(ISNA(VLOOKUP(A49,'Données projet'!$A$61:$I$81,7,0)),0%,VLOOKUP(A49,'Données projet'!$A$61:$I$81,7,0))</f>
        <v>0</v>
      </c>
      <c r="AU49" s="142">
        <f>EXP(-LN(2)/35)*AU48+(1-EXP(-LN(2)/35))/(LN(2)/35)*AQ49*AR49*VLOOKUP('Données projet'!$B$10,'Paramètres'!$A$1:$I$89,3,0)*0.475*44/12</f>
        <v>16.74051461</v>
      </c>
      <c r="AV49" s="142">
        <f>EXP(-LN(2)/25)*AV48+(1-EXP(-LN(2)/25))/(LN(2)/25)*Calculateur!AQ49*Calculateur!AS49*VLOOKUP('Données projet'!$B$10,'Paramètres'!$A$1:$I$89,3,0)*0.475*44/12</f>
        <v>22.1252768</v>
      </c>
      <c r="AW49" s="142">
        <f>EXP(-LN(2)/2)*AW48+(1-EXP(-LN(2)/2))/(LN(2)/2)*AQ49*AT49*VLOOKUP('Données projet'!$B$10,'Paramètres'!$A$1:$I$89,3,0)*0.475*44/12</f>
        <v>7.867188807</v>
      </c>
      <c r="AX49" s="142">
        <f t="shared" si="7"/>
        <v>46.73298022</v>
      </c>
      <c r="AY49" s="13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1" t="str">
        <f>VLOOKUP(A49,'Données projet'!$A$87:$I$107,2,0)</f>
        <v>#N/A</v>
      </c>
      <c r="BB49" s="131" t="str">
        <f>VLOOKUP(A49,'Données projet'!$A$87:$I$107,9,0)</f>
        <v>#N/A</v>
      </c>
      <c r="BC49" s="130">
        <f t="array" ref="BC49">INDEX(BB:BB,MIN(IF(ISNUMBER(BB49:BB245),ROW(BB49:BB245),"")))</f>
        <v>14</v>
      </c>
      <c r="BD49" s="130">
        <f>IF('Données projet'!$A$88&gt;35,BD48+BC49-BL48,IF(A49&lt;'Données projet'!$A$88,$BA$205^A49,IF(A49='Données projet'!$A$88,'Données projet'!$B$88,BD48+BC49-BL48)))</f>
        <v>244</v>
      </c>
      <c r="BE49" s="130">
        <f>BD49*VLOOKUP('Données projet'!$B$11,'Paramètres'!$A$1:$I$89,3,0)*VLOOKUP('Données projet'!$B$11,'Paramètres'!$A$1:$I$89,5,0)</f>
        <v>114.192</v>
      </c>
      <c r="BF49" s="130">
        <f t="shared" si="38"/>
        <v>30.31649233</v>
      </c>
      <c r="BG49" s="141">
        <f t="shared" si="8"/>
        <v>251.6856241</v>
      </c>
      <c r="BH49" s="133">
        <f t="shared" si="9"/>
        <v>545.0189575</v>
      </c>
      <c r="BI49" s="133">
        <f>AVERAGE(OFFSET($BH$3,0,0,'Données projet'!$E$11+1,1))-AVERAGE(OFFSET($H$3,0,0,'Données projet'!$E$11+1,1))</f>
        <v>134.0948534</v>
      </c>
      <c r="BJ49" s="133">
        <f t="shared" si="39"/>
        <v>108.4102536</v>
      </c>
      <c r="BK49" s="134">
        <f>IF(ISNA(VLOOKUP(A49,'Données projet'!$A$87:$I$107,3,0)),0,VLOOKUP(A49,'Données projet'!$A$87:$I$107,3,0))</f>
        <v>0</v>
      </c>
      <c r="BL49" s="134">
        <f>IF(ISNA(VLOOKUP(A49,'Données projet'!$A$87:$I$107,4,0)),0,VLOOKUP(A49,'Données projet'!$A$87:$I$107,4,0))</f>
        <v>0</v>
      </c>
      <c r="BM49" s="135">
        <f>IF(ISNA(VLOOKUP(A49,'Données projet'!$A$87:$I$107,5,0)),0%,VLOOKUP(A49,'Données projet'!$A$87:$I$107,5,0)*VLOOKUP('Données projet'!$B$11,'Paramètres'!$A$1:$I$89,7,0))</f>
        <v>0</v>
      </c>
      <c r="BN49" s="135">
        <f>IF(ISNA(VLOOKUP(A49,'Données projet'!$A$87:$I$107,6,0)),0%,VLOOKUP(A49,'Données projet'!$A$87:$I$107,6,0)*VLOOKUP('Données projet'!$B$11,'Paramètres'!$A$1:$I$89,7,0))</f>
        <v>0</v>
      </c>
      <c r="BO49" s="135">
        <f>IF(ISNA(VLOOKUP(A49,'Données projet'!$A$87:$I$107,7,0)),0%,VLOOKUP(A49,'Données projet'!$A$87:$I$107,7,0))</f>
        <v>0</v>
      </c>
      <c r="BP49" s="142">
        <f>EXP(-LN(2)/35)*BP48+(1-EXP(-LN(2)/35))/(LN(2)/35)*BL49*BM49*VLOOKUP('Données projet'!$B$11,'Paramètres'!$A$1:$I$89,3,0)*0.475*44/12</f>
        <v>8.053852913</v>
      </c>
      <c r="BQ49" s="142">
        <f>EXP(-LN(2)/25)*BQ48+(1-EXP(-LN(2)/25))/(LN(2)/25)*Calculateur!BL49*Calculateur!BN49*VLOOKUP('Données projet'!$B$11,'Paramètres'!$A$1:$I$89,3,0)*0.475*44/12</f>
        <v>8.749351003</v>
      </c>
      <c r="BR49" s="142">
        <f>EXP(-LN(2)/2)*BR48+(1-EXP(-LN(2)/2))/(LN(2)/2)*BL49*BO49*VLOOKUP('Données projet'!$B$11,'Paramètres'!$A$1:$I$89,3,0)*0.475*44/12</f>
        <v>0.9034534395</v>
      </c>
      <c r="BS49" s="143">
        <f t="shared" si="10"/>
        <v>17.70665736</v>
      </c>
      <c r="BT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1" t="str">
        <f>VLOOKUP(A49,'Données projet'!$A$113:$I$133,2,0)</f>
        <v>#N/A</v>
      </c>
      <c r="BW49" s="131" t="str">
        <f>VLOOKUP(A49,'Données projet'!$A$113:$I$133,9,0)</f>
        <v>#N/A</v>
      </c>
      <c r="BX49" s="130">
        <f t="array" ref="BX49">INDEX(BW:BW,MIN(IF(ISNUMBER(BW49:BW245),ROW(BW49:BW245),"")))</f>
        <v>22.8</v>
      </c>
      <c r="BY49" s="130">
        <f>IF('Données projet'!$A$114&gt;35,BY48+BX49-CG48,IF(A49&lt;'Données projet'!$A$114,$BV$205^A49,IF(A49='Données projet'!$A$114,'Données projet'!$B$114,BY48+BX49-CG48)))</f>
        <v>453.8</v>
      </c>
      <c r="BZ49" s="130">
        <f>BY49*VLOOKUP('Données projet'!$B$12,'Paramètres'!$A$1:$I$89,3,0)*VLOOKUP('Données projet'!$B$12,'Paramètres'!$A$1:$I$89,5,0)</f>
        <v>224.1772</v>
      </c>
      <c r="CA49" s="130">
        <f t="shared" si="40"/>
        <v>55.02178324</v>
      </c>
      <c r="CB49" s="141">
        <f t="shared" si="11"/>
        <v>486.2715625</v>
      </c>
      <c r="CC49" s="133">
        <f t="shared" si="12"/>
        <v>779.6048958</v>
      </c>
      <c r="CD49" s="133">
        <f>AVERAGE(OFFSET($CC$3,0,0,'Données projet'!$E$12+1,1))-AVERAGE(OFFSET($H$3,0,0,'Données projet'!$E$12+1,1))</f>
        <v>258.1672054</v>
      </c>
      <c r="CE49" s="133">
        <f t="shared" si="41"/>
        <v>296.0724261</v>
      </c>
      <c r="CF49" s="134">
        <f>IF(ISNA(VLOOKUP(A49,'Données projet'!$A$113:$I$133,3,0)),0,VLOOKUP(A49,'Données projet'!$A$113:$I$133,3,0))</f>
        <v>0</v>
      </c>
      <c r="CG49" s="134">
        <f>IF(ISNA(VLOOKUP(A49,'Données projet'!$A$113:$I$133,4,0)),0,VLOOKUP(A49,'Données projet'!$A$113:$I$133,4,0))</f>
        <v>0</v>
      </c>
      <c r="CH49" s="135">
        <f>IF(ISNA(VLOOKUP(A49,'Données projet'!$A$113:$I$133,5,0)),0%,VLOOKUP(A49,'Données projet'!$A$113:$I$133,5,0)*VLOOKUP('Données projet'!$B$12,'Paramètres'!$A$1:$I$89,7,0))</f>
        <v>0</v>
      </c>
      <c r="CI49" s="135">
        <f>IF(ISNA(VLOOKUP(A49,'Données projet'!$A$113:$I$133,6,0)),0%,VLOOKUP(A49,'Données projet'!$A$113:$I$133,6,0)*VLOOKUP('Données projet'!$B$12,'Paramètres'!$A$1:$I$89,7,0))</f>
        <v>0</v>
      </c>
      <c r="CJ49" s="135">
        <f>IF(ISNA(VLOOKUP(A49,'Données projet'!$A$113:$I$133,7,0)),0%,VLOOKUP(A49,'Données projet'!$A$113:$I$133,7,0))</f>
        <v>0</v>
      </c>
      <c r="CK49" s="142">
        <f>EXP(-LN(2)/35)*CK48+(1-EXP(-LN(2)/35))/(LN(2)/35)*CG49*CH49*VLOOKUP('Données projet'!$B$12,'Paramètres'!$A$1:$I$89,3,0)*0.475*44/12</f>
        <v>35.03125027</v>
      </c>
      <c r="CL49" s="142">
        <f>EXP(-LN(2)/25)*CL48+(1-EXP(-LN(2)/25))/(LN(2)/25)*Calculateur!CG49*Calculateur!CI49*VLOOKUP('Données projet'!$B$12,'Paramètres'!$A$1:$I$89,3,0)*0.475*44/12</f>
        <v>29.4971907</v>
      </c>
      <c r="CM49" s="142">
        <f>EXP(-LN(2)/2)*CM48+(1-EXP(-LN(2)/2))/(LN(2)/2)*CG49*CJ49*VLOOKUP('Données projet'!$B$12,'Paramètres'!$A$1:$I$89,3,0)*0.475*44/12</f>
        <v>5.889423292</v>
      </c>
      <c r="CN49" s="143">
        <f t="shared" si="13"/>
        <v>70.41786426</v>
      </c>
      <c r="CO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1" t="str">
        <f>VLOOKUP(A49,'Données projet'!$A$139:$I$159,2,0)</f>
        <v>#N/A</v>
      </c>
      <c r="CR49" s="131" t="str">
        <f>VLOOKUP(A49,'Données projet'!$A$139:$I$159,9,0)</f>
        <v>#N/A</v>
      </c>
      <c r="CS49" s="130">
        <f t="array" ref="CS49">INDEX(CR:CR,MIN(IF(ISNUMBER(CR49:CR245),ROW(CR49:CR245),"")))</f>
        <v>5.6</v>
      </c>
      <c r="CT49" s="138">
        <f>IF('Données projet'!$A$140&gt;35,CT48+CS49-DB48,IF(A49&lt;'Données projet'!$A$140,$CQ$205^A49,IF(A49='Données projet'!$A$140,'Données projet'!$B$140,CT48+CS49-DB48)))</f>
        <v>98.6</v>
      </c>
      <c r="CU49" s="138">
        <f>CT49*VLOOKUP('Données projet'!$B$13,'Paramètres'!$A$1:$I$89,3,0)*VLOOKUP('Données projet'!$B$13,'Paramètres'!$A$1:$I$89,5,0)</f>
        <v>99.9804</v>
      </c>
      <c r="CV49" s="130">
        <f t="shared" si="42"/>
        <v>26.95732807</v>
      </c>
      <c r="CW49" s="141">
        <f t="shared" si="14"/>
        <v>221.0832097</v>
      </c>
      <c r="CX49" s="133">
        <f t="shared" si="15"/>
        <v>514.416543</v>
      </c>
      <c r="CY49" s="133">
        <f>AVERAGE(OFFSET($CX$3,0,0,'Données projet'!$E$13+1,1))-AVERAGE(OFFSET($H$3,0,0,'Données projet'!$E$13+1,1))</f>
        <v>223.783507</v>
      </c>
      <c r="CZ49" s="133">
        <f t="shared" si="43"/>
        <v>84.92349117</v>
      </c>
      <c r="DA49" s="134">
        <f>IF(ISNA(VLOOKUP(A49,'Données projet'!$A$139:$I$159,3,0)),0,VLOOKUP(A49,'Données projet'!$A$139:$I$159,3,0))</f>
        <v>0</v>
      </c>
      <c r="DB49" s="134">
        <f>IF(ISNA(VLOOKUP(A49,'Données projet'!$A$139:$I$159,4,0)),0,VLOOKUP(A49,'Données projet'!$A$139:$I$159,4,0))</f>
        <v>0</v>
      </c>
      <c r="DC49" s="135">
        <f>IF(ISNA(VLOOKUP(A49,'Données projet'!$A$139:$I$159,5,0)),0%,VLOOKUP(A49,'Données projet'!$A$139:$I$159,5,0)*VLOOKUP('Données projet'!$B$13,'Paramètres'!$A$1:$I$89,7,0))</f>
        <v>0</v>
      </c>
      <c r="DD49" s="135">
        <f>IF(ISNA(VLOOKUP(A49,'Données projet'!$A$139:$I$159,6,0)),0%,VLOOKUP(A49,'Données projet'!$A$139:$I$159,6,0)*VLOOKUP('Données projet'!$B$13,'Paramètres'!$A$1:$I$89,7,0))</f>
        <v>0</v>
      </c>
      <c r="DE49" s="135">
        <f>IF(ISNA(VLOOKUP(A49,'Données projet'!$A$139:$I$159,7,0)),0%,VLOOKUP(A49,'Données projet'!$A$139:$I$159,7,0))</f>
        <v>0</v>
      </c>
      <c r="DF49" s="142">
        <f>EXP(-LN(2)/35)*DF48+(1-EXP(-LN(2)/35))/(LN(2)/35)*DB49*DC49*VLOOKUP('Données projet'!$B$13,'Paramètres'!$A$1:$I$89,3,0)*0.475*44/12</f>
        <v>1.323154918</v>
      </c>
      <c r="DG49" s="142">
        <f>EXP(-LN(2)/25)*DG48+(1-EXP(-LN(2)/25))/(LN(2)/25)*Calculateur!DB49*Calculateur!DD49*VLOOKUP('Données projet'!$B$13,'Paramètres'!$A$1:$I$89,3,0)*0.475*44/12</f>
        <v>0</v>
      </c>
      <c r="DH49" s="142">
        <f>EXP(-LN(2)/2)*DH48+(1-EXP(-LN(2)/2))/(LN(2)/2)*DB49*DE49*VLOOKUP('Données projet'!$B$13,'Paramètres'!$A$1:$I$89,3,0)*0.475*44/12</f>
        <v>0</v>
      </c>
      <c r="DI49" s="143">
        <f t="shared" si="16"/>
        <v>1.323154918</v>
      </c>
      <c r="DJ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1" t="str">
        <f>VLOOKUP(A49,'Données projet'!$A$165:$I$185,2,0)</f>
        <v>#N/A</v>
      </c>
      <c r="DM49" s="131" t="str">
        <f>VLOOKUP(A49,'Données projet'!$A$165:$I$185,9,0)</f>
        <v>#N/A</v>
      </c>
      <c r="DN49" s="131">
        <f t="array" ref="DN49">INDEX(DM:DM,MIN(IF(ISNUMBER(DM49:DM245),ROW(DM49:DM245),"")))</f>
        <v>8.2</v>
      </c>
      <c r="DO49" s="138">
        <f>IF('Données projet'!$A$166&gt;35,DO48+DN49-DW48,IF(A49&lt;'Données projet'!$A$166,$DL$205^A49,IF(A49='Données projet'!$A$166,'Données projet'!$B$166,DO48+DN49-DW48)))</f>
        <v>145.2</v>
      </c>
      <c r="DP49" s="138">
        <f>DO49*VLOOKUP('Données projet'!$B$14,'Paramètres'!$A$1:$I$89,3,0)*VLOOKUP('Données projet'!$B$14,'Paramètres'!$A$1:$I$89,5,0)</f>
        <v>131.37696</v>
      </c>
      <c r="DQ49" s="130">
        <f t="shared" si="44"/>
        <v>34.31433899</v>
      </c>
      <c r="DR49" s="141">
        <f t="shared" si="17"/>
        <v>288.5790124</v>
      </c>
      <c r="DS49" s="133">
        <f t="shared" si="18"/>
        <v>581.9123457</v>
      </c>
      <c r="DT49" s="133">
        <f>AVERAGE(OFFSET($DS$3,0,0,'Données projet'!$E$14+1,1))-AVERAGE(OFFSET($H$3,0,0,'Données projet'!$E$14+1,1))</f>
        <v>287.9334714</v>
      </c>
      <c r="DU49" s="133">
        <f t="shared" si="45"/>
        <v>156.6796502</v>
      </c>
      <c r="DV49" s="134">
        <f>IF(ISNA(VLOOKUP(A49,'Données projet'!$A$165:$I$185,3,0)),0,VLOOKUP(A49,'Données projet'!$A$165:$I$185,3,0))</f>
        <v>0</v>
      </c>
      <c r="DW49" s="134">
        <f>IF(ISNA(VLOOKUP(A49,'Données projet'!$A$165:$I$185,4,0)),0,VLOOKUP(A49,'Données projet'!$A$165:$I$185,4,0))</f>
        <v>0</v>
      </c>
      <c r="DX49" s="135">
        <f>IF(ISNA(VLOOKUP(A49,'Données projet'!$A$165:$I$185,5,0)),0%,VLOOKUP(A49,'Données projet'!$A$165:$I$185,5,0)*VLOOKUP('Données projet'!$B$14,'Paramètres'!$A$1:$I$89,7,0))</f>
        <v>0</v>
      </c>
      <c r="DY49" s="135">
        <f>IF(ISNA(VLOOKUP(A49,'Données projet'!$A$165:$I$185,6,0)),0%,VLOOKUP(A49,'Données projet'!$A$165:$I$185,6,0)*VLOOKUP('Données projet'!$B$14,'Paramètres'!$A$1:$I$89,7,0))</f>
        <v>0</v>
      </c>
      <c r="DZ49" s="135">
        <f>IF(ISNA(VLOOKUP(A49,'Données projet'!$A$165:$I$185,7,0)),0%,VLOOKUP(A49,'Données projet'!$A$165:$I$185,7,0))</f>
        <v>0</v>
      </c>
      <c r="EA49" s="142">
        <f>EXP(-LN(2)/35)*EA48+(1-EXP(-LN(2)/35))/(LN(2)/35)*DW49*DX49*VLOOKUP('Données projet'!$B$14,'Paramètres'!$A$1:$I$89,3,0)*0.475*44/12</f>
        <v>3.375021301</v>
      </c>
      <c r="EB49" s="142">
        <f>EXP(-LN(2)/25)*EB48+(1-EXP(-LN(2)/25))/(LN(2)/25)*Calculateur!DW49*Calculateur!DY49*VLOOKUP('Données projet'!$B$14,'Paramètres'!$A$1:$I$89,3,0)*0.475*44/12</f>
        <v>0</v>
      </c>
      <c r="EC49" s="142">
        <f>EXP(-LN(2)/2)*EC48+(1-EXP(-LN(2)/2))/(LN(2)/2)*DW49*DZ49*VLOOKUP('Données projet'!$B$14,'Paramètres'!$A$1:$I$89,3,0)*0.475*44/12</f>
        <v>0</v>
      </c>
      <c r="ED49" s="143">
        <f t="shared" si="19"/>
        <v>3.375021301</v>
      </c>
      <c r="EE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1" t="str">
        <f>VLOOKUP(A49,'Données projet'!$A$191:$I$211,2,0)</f>
        <v>#N/A</v>
      </c>
      <c r="EH49" s="131" t="str">
        <f>VLOOKUP(A49,'Données projet'!$A$191:$I$211,9,0)</f>
        <v>#N/A</v>
      </c>
      <c r="EI49" s="131">
        <f t="array" ref="EI49">INDEX(EH:EH,MIN(IF(ISNUMBER(EH49:EH245),ROW(EH49:EH245),"")))</f>
        <v>8.2</v>
      </c>
      <c r="EJ49" s="138">
        <f>IF('Données projet'!$A$192&gt;35,EJ48+EI49-ER48,IF(A49&lt;'Données projet'!$A$192,$EG$205^A49,IF(A49='Données projet'!$A$192,'Données projet'!$B$192,EJ48+EI49-ER48)))</f>
        <v>121.2</v>
      </c>
      <c r="EK49" s="138">
        <f>EJ49*VLOOKUP('Données projet'!$B$15,'Paramètres'!$A$1:$I$89,3,0)*VLOOKUP('Données projet'!$B$15,'Paramètres'!$A$1:$I$89,5,0)</f>
        <v>88.86384</v>
      </c>
      <c r="EL49" s="130">
        <f t="shared" si="46"/>
        <v>24.29100829</v>
      </c>
      <c r="EM49" s="141">
        <f t="shared" si="20"/>
        <v>197.0780274</v>
      </c>
      <c r="EN49" s="133">
        <f t="shared" si="21"/>
        <v>490.4113608</v>
      </c>
      <c r="EO49" s="133">
        <f>AVERAGE(OFFSET($EN$3,0,0,'Données projet'!$E$15+1,1))-AVERAGE(OFFSET($H$3,0,0,'Données projet'!$E$15+1,1))</f>
        <v>130.3193339</v>
      </c>
      <c r="EP49" s="133">
        <f t="shared" si="47"/>
        <v>82.22784365</v>
      </c>
      <c r="EQ49" s="134">
        <f>IF(ISNA(VLOOKUP(A49,'Données projet'!$A$191:$I$211,3,0)),0,VLOOKUP(A49,'Données projet'!$A$191:$I$211,3,0))</f>
        <v>0</v>
      </c>
      <c r="ER49" s="134">
        <f>IF(ISNA(VLOOKUP(A49,'Données projet'!$A$191:$I$211,4,0)),0,VLOOKUP(A49,'Données projet'!$A$191:$I$211,4,0))</f>
        <v>0</v>
      </c>
      <c r="ES49" s="135">
        <f>IF(ISNA(VLOOKUP(A49,'Données projet'!$A$191:$I$211,5,0)),0%,VLOOKUP(A49,'Données projet'!$A$191:$I$211,5,0)*VLOOKUP('Données projet'!$B$15,'Paramètres'!$A$1:$I$89,7,0))</f>
        <v>0</v>
      </c>
      <c r="ET49" s="135">
        <f>IF(ISNA(VLOOKUP(A49,'Données projet'!$A$191:$I$211,6,0)),0%,VLOOKUP(A49,'Données projet'!$A$191:$I$211,6,0)*VLOOKUP('Données projet'!$B$15,'Paramètres'!$A$1:$I$89,7,0))</f>
        <v>0</v>
      </c>
      <c r="EU49" s="135">
        <f>IF(ISNA(VLOOKUP(A49,'Données projet'!$A$191:$I$211,7,0)),0%,VLOOKUP(A49,'Données projet'!$A$191:$I$211,7,0))</f>
        <v>0</v>
      </c>
      <c r="EV49" s="142">
        <f>EXP(-LN(2)/35)*EV48+(1-EXP(-LN(2)/35))/(LN(2)/35)*ER49*ES49*VLOOKUP('Données projet'!$B$15,'Paramètres'!$A$1:$I$89,3,0)*0.475*44/12</f>
        <v>5.956626272</v>
      </c>
      <c r="EW49" s="142">
        <f>EXP(-LN(2)/25)*EW48+(1-EXP(-LN(2)/25))/(LN(2)/25)*Calculateur!ER49*Calculateur!ET49*VLOOKUP('Données projet'!$B$15,'Paramètres'!$A$1:$I$89,3,0)*0.475*44/12</f>
        <v>0</v>
      </c>
      <c r="EX49" s="142">
        <f>EXP(-LN(2)/2)*EX48+(1-EXP(-LN(2)/2))/(LN(2)/2)*ER49*EU49*VLOOKUP('Données projet'!$B$15,'Paramètres'!$A$1:$I$89,3,0)*0.475*44/12</f>
        <v>0</v>
      </c>
      <c r="EY49" s="143">
        <f t="shared" si="22"/>
        <v>5.956626272</v>
      </c>
      <c r="EZ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1" t="str">
        <f>VLOOKUP(A49,'Données projet'!$A$217:$I$237,2,0)</f>
        <v>#N/A</v>
      </c>
      <c r="FC49" s="131" t="str">
        <f>VLOOKUP(A49,'Données projet'!$A$217:$I$237,9,0)</f>
        <v>#N/A</v>
      </c>
      <c r="FD49" s="130">
        <f t="array" ref="FD49">INDEX(FC:FC,MIN(IF(ISNUMBER(FC49:FC245),ROW(FC49:FC245),"")))</f>
        <v>5.8</v>
      </c>
      <c r="FE49" s="130">
        <f>IF('Données projet'!$A$218&gt;35,FE48+FD49-FM48,IF(A49&lt;'Données projet'!$A$218,$FB$205^A49,IF(A49='Données projet'!$A$218,'Données projet'!$B$218,FE48+FD49-FM48)))</f>
        <v>235.8</v>
      </c>
      <c r="FF49" s="138">
        <f>FE49*VLOOKUP('Données projet'!$B$16,'Paramètres'!$A$1:$I$89,3,0)*VLOOKUP('Données projet'!$B$16,'Paramètres'!$A$1:$I$89,5,0)</f>
        <v>213.35184</v>
      </c>
      <c r="FG49" s="130">
        <f t="shared" si="48"/>
        <v>52.66737067</v>
      </c>
      <c r="FH49" s="141">
        <f t="shared" si="23"/>
        <v>463.3167919</v>
      </c>
      <c r="FI49" s="133">
        <f t="shared" si="24"/>
        <v>756.6501252</v>
      </c>
      <c r="FJ49" s="133">
        <f>AVERAGE(OFFSET($FI$3,0,0,'Données projet'!$E$16+1,1))-AVERAGE(OFFSET($H$3,0,0,'Données projet'!$E$16+1,1))</f>
        <v>305.6252353</v>
      </c>
      <c r="FK49" s="133">
        <f t="shared" si="49"/>
        <v>331.397916</v>
      </c>
      <c r="FL49" s="134">
        <f>IF(ISNA(VLOOKUP(A49,'Données projet'!$A$217:$I$237,3,0)),0,VLOOKUP(A49,'Données projet'!$A$217:$I$237,3,0))</f>
        <v>0</v>
      </c>
      <c r="FM49" s="134">
        <f>IF(ISNA(VLOOKUP(A49,'Données projet'!$A$217:$I$237,4,0)),0,VLOOKUP(A49,'Données projet'!$A$217:$I$237,4,0))</f>
        <v>0</v>
      </c>
      <c r="FN49" s="135">
        <f>IF(ISNA(VLOOKUP(A49,'Données projet'!$A$217:$I$237,5,0)),0%,VLOOKUP(A49,'Données projet'!$A$217:$I$237,5,0)*VLOOKUP('Données projet'!$B$16,'Paramètres'!$A$1:$I$89,7,0))</f>
        <v>0</v>
      </c>
      <c r="FO49" s="135">
        <f>IF(ISNA(VLOOKUP(A49,'Données projet'!$A$217:$I$237,6,0)),0%,VLOOKUP(A49,'Données projet'!$A$217:$I$237,6,0)*VLOOKUP('Données projet'!$B$16,'Paramètres'!$A$1:$I$89,7,0))</f>
        <v>0</v>
      </c>
      <c r="FP49" s="135">
        <f>IF(ISNA(VLOOKUP(A49,'Données projet'!$A$217:$I$237,7,0)),0%,VLOOKUP(A49,'Données projet'!$A$217:$I$237,7,0))</f>
        <v>0</v>
      </c>
      <c r="FQ49" s="142">
        <f>EXP(-LN(2)/35)*FQ48+(1-EXP(-LN(2)/35))/(LN(2)/35)*FM49*FN49*VLOOKUP('Données projet'!$B$16,'Paramètres'!$A$1:$I$89,3,0)*0.475*44/12</f>
        <v>3.048077044</v>
      </c>
      <c r="FR49" s="142">
        <f>EXP(-LN(2)/25)*FR48+(1-EXP(-LN(2)/25))/(LN(2)/25)*Calculateur!FM49*Calculateur!FO49*VLOOKUP('Données projet'!$B$16,'Paramètres'!$A$1:$I$89,3,0)*0.475*44/12</f>
        <v>0</v>
      </c>
      <c r="FS49" s="142">
        <f>EXP(-LN(2)/2)*FS48+(1-EXP(-LN(2)/2))/(LN(2)/2)*FM49*FP49*VLOOKUP('Données projet'!$B$16,'Paramètres'!$A$1:$I$89,3,0)*0.475*44/12</f>
        <v>0</v>
      </c>
      <c r="FT49" s="143">
        <f t="shared" si="25"/>
        <v>3.048077044</v>
      </c>
      <c r="FU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1" t="str">
        <f>VLOOKUP(A49,'Données projet'!$A$243:$I$263,2,0)</f>
        <v>#N/A</v>
      </c>
      <c r="FX49" s="131" t="str">
        <f>VLOOKUP(A49,'Données projet'!$A$243:$I$263,9,0)</f>
        <v>#N/A</v>
      </c>
      <c r="FY49" s="130">
        <f t="array" ref="FY49">INDEX(FX:FX,MIN(IF(ISNUMBER(FX49:FX245),ROW(FX49:FX245),"")))</f>
        <v>11</v>
      </c>
      <c r="FZ49" s="138">
        <f>IF('Données projet'!$A$244&gt;35,FZ48+FY49-GH48,IF(A49&lt;'Données projet'!$A$244,$FW$205^A49,IF(A49='Données projet'!$A$244,'Données projet'!$B$244,FZ48+FY49-GH48)))</f>
        <v>173</v>
      </c>
      <c r="GA49" s="138">
        <f>FZ49*VLOOKUP('Données projet'!$B$17,'Paramètres'!$A$1:$I$89,3,0)*VLOOKUP('Données projet'!$B$17,'Paramètres'!$A$1:$I$89,5,0)</f>
        <v>116.0484</v>
      </c>
      <c r="GB49" s="130">
        <f t="shared" si="50"/>
        <v>30.7515651</v>
      </c>
      <c r="GC49" s="141">
        <f t="shared" si="26"/>
        <v>255.6766059</v>
      </c>
      <c r="GD49" s="133">
        <f t="shared" si="27"/>
        <v>549.0099392</v>
      </c>
      <c r="GE49" s="133">
        <f>AVERAGE(OFFSET($GD$3,0,0,'Données projet'!$E$17+1,1))-AVERAGE(OFFSET($H$3,0,0,'Données projet'!$E$17+1,1))</f>
        <v>118.7368745</v>
      </c>
      <c r="GF49" s="133">
        <f t="shared" si="51"/>
        <v>135.1233677</v>
      </c>
      <c r="GG49" s="134">
        <f>IF(ISNA(VLOOKUP(A49,'Données projet'!$A$243:$I$263,3,0)),0,VLOOKUP(A49,'Données projet'!$A$243:$I$263,3,0))</f>
        <v>0</v>
      </c>
      <c r="GH49" s="134">
        <f>IF(ISNA(VLOOKUP(A49,'Données projet'!$A$243:$I$263,4,0)),0,VLOOKUP(A49,'Données projet'!$A$243:$I$263,4,0))</f>
        <v>0</v>
      </c>
      <c r="GI49" s="135">
        <f>IF(ISNA(VLOOKUP(A49,'Données projet'!$A$243:$I$263,5,0)),0%,VLOOKUP(A49,'Données projet'!$A$243:$I$263,5,0)*VLOOKUP('Données projet'!$B$17,'Paramètres'!$A$1:$I$89,7,0))</f>
        <v>0</v>
      </c>
      <c r="GJ49" s="135">
        <f>IF(ISNA(VLOOKUP(A49,'Données projet'!$A$243:$I$263,6,0)),0%,VLOOKUP(A49,'Données projet'!$A$243:$I$263,6,0)*VLOOKUP('Données projet'!$B$17,'Paramètres'!$A$1:$I$89,7,0))</f>
        <v>0</v>
      </c>
      <c r="GK49" s="135">
        <f>IF(ISNA(VLOOKUP(A49,'Données projet'!$A$243:$I$263,7,0)),0%,VLOOKUP(A49,'Données projet'!$A$243:$I$263,7,0))</f>
        <v>0</v>
      </c>
      <c r="GL49" s="142">
        <f>EXP(-LN(2)/35)*GL48+(1-EXP(-LN(2)/35))/(LN(2)/35)*GH49*GI49*VLOOKUP('Données projet'!$B$17,'Paramètres'!$A$1:$I$89,3,0)*0.475*44/12</f>
        <v>9.994276922</v>
      </c>
      <c r="GM49" s="142">
        <f>EXP(-LN(2)/25)*GM48+(1-EXP(-LN(2)/25))/(LN(2)/25)*Calculateur!GH49*Calculateur!GJ49*VLOOKUP('Données projet'!$B$17,'Paramètres'!$A$1:$I$89,3,0)*0.475*44/12</f>
        <v>0</v>
      </c>
      <c r="GN49" s="142">
        <f>EXP(-LN(2)/2)*GN48+(1-EXP(-LN(2)/2))/(LN(2)/2)*GH49*GK49*VLOOKUP('Données projet'!$B$17,'Paramètres'!$A$1:$I$89,3,0)*0.475*44/12</f>
        <v>0</v>
      </c>
      <c r="GO49" s="142">
        <f t="shared" si="28"/>
        <v>9.994276922</v>
      </c>
      <c r="GP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1" t="str">
        <f>VLOOKUP(A49,'Données projet'!$A$269:$I$289,2,0)</f>
        <v>#N/A</v>
      </c>
      <c r="GS49" s="131" t="str">
        <f>VLOOKUP(A49,'Données projet'!$A$269:$I$289,9,0)</f>
        <v>#N/A</v>
      </c>
      <c r="GT49" s="130">
        <f t="array" ref="GT49">INDEX(GS:GS,MIN(IF(ISNUMBER(GS49:GS245),ROW(GS49:GS245),"")))</f>
        <v>5.6</v>
      </c>
      <c r="GU49" s="138">
        <f>IF('Données projet'!$A$270&gt;35,GU48+GT49-HC48,IF(A49&lt;'Données projet'!$A$270,$GR$205^A49,IF(A49='Données projet'!$A$270,'Données projet'!$B$270,GU48+GT49-HC48)))</f>
        <v>98.6</v>
      </c>
      <c r="GV49" s="138">
        <f>GU49*VLOOKUP('Données projet'!$B$18,'Paramètres'!$A$1:$I$89,3,0)*VLOOKUP('Données projet'!$B$18,'Paramètres'!$A$1:$I$89,5,0)</f>
        <v>106.13304</v>
      </c>
      <c r="GW49" s="130">
        <f t="shared" si="52"/>
        <v>28.41800973</v>
      </c>
      <c r="GX49" s="141">
        <f t="shared" si="29"/>
        <v>234.3430783</v>
      </c>
      <c r="GY49" s="133">
        <f t="shared" si="30"/>
        <v>527.6764116</v>
      </c>
      <c r="GZ49" s="133">
        <f>AVERAGE(OFFSET($GY$3,0,0,'Données projet'!$E$18+1,1))-AVERAGE(OFFSET($H$3,0,0,'Données projet'!$E$18+1,1))</f>
        <v>100.5427875</v>
      </c>
      <c r="HA49" s="133">
        <f t="shared" si="53"/>
        <v>92.28663609</v>
      </c>
      <c r="HB49" s="134">
        <f>IF(ISNA(VLOOKUP(A49,'Données projet'!$A$269:$I$289,3,0)),0,VLOOKUP(A49,'Données projet'!$A$269:$I$289,3,0))</f>
        <v>0</v>
      </c>
      <c r="HC49" s="134">
        <f>IF(ISNA(VLOOKUP(A49,'Données projet'!$A$269:$I$289,4,0)),0,VLOOKUP(A49,'Données projet'!$A$269:$I$289,4,0))</f>
        <v>0</v>
      </c>
      <c r="HD49" s="135">
        <f>IF(ISNA(VLOOKUP(A49,'Données projet'!$A$269:$I$289,5,0)),0%,VLOOKUP(A49,'Données projet'!$A$269:$I$289,5,0)*VLOOKUP('Données projet'!$B$18,'Paramètres'!$A$1:$I$89,7,0))</f>
        <v>0</v>
      </c>
      <c r="HE49" s="135">
        <f>IF(ISNA(VLOOKUP(A49,'Données projet'!$A$269:$I$289,6,0)),0%,VLOOKUP(A49,'Données projet'!$A$269:$I$289,6,0)*VLOOKUP('Données projet'!$B$18,'Paramètres'!$A$1:$I$89,7,0))</f>
        <v>0</v>
      </c>
      <c r="HF49" s="135">
        <f>IF(ISNA(VLOOKUP(A49,'Données projet'!$A$269:$I$289,7,0)),0%,VLOOKUP(A49,'Données projet'!$A$269:$I$289,7,0))</f>
        <v>0</v>
      </c>
      <c r="HG49" s="142">
        <f>EXP(-LN(2)/35)*HG48+(1-EXP(-LN(2)/35))/(LN(2)/35)*HC49*HD49*VLOOKUP('Données projet'!$B$18,'Paramètres'!$A$1:$I$89,3,0)*0.475*44/12</f>
        <v>5.151245474</v>
      </c>
      <c r="HH49" s="142">
        <f>EXP(-LN(2)/25)*HH48+(1-EXP(-LN(2)/25))/(LN(2)/25)*Calculateur!HC49*Calculateur!HE49*VLOOKUP('Données projet'!$B$18,'Paramètres'!$A$1:$I$89,3,0)*0.475*44/12</f>
        <v>0</v>
      </c>
      <c r="HI49" s="142">
        <f>EXP(-LN(2)/2)*HI48+(1-EXP(-LN(2)/2))/(LN(2)/2)*HC49*HF49*VLOOKUP('Données projet'!$B$18,'Paramètres'!$A$1:$I$89,3,0)*0.475*44/12</f>
        <v>0</v>
      </c>
      <c r="HJ49" s="143">
        <f t="shared" si="31"/>
        <v>5.151245474</v>
      </c>
    </row>
    <row r="50" ht="15.75" customHeight="1">
      <c r="A50" s="125">
        <f t="shared" si="32"/>
        <v>47</v>
      </c>
      <c r="B50" s="126">
        <f>'Scénario référence'!$B$16*5+'Scénario référence'!$B$17*0+'Scénario référence'!$B$18*5</f>
        <v>0</v>
      </c>
      <c r="C50" s="140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25.662</v>
      </c>
      <c r="D50" s="127">
        <f t="shared" si="33"/>
        <v>8.105898312</v>
      </c>
      <c r="E5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7">
        <f>IF(OR('Scénario référence'!$F$8&gt;0,'Scénario référence'!$F$9&gt;0),('Scénario référence'!$F$8+'Scénario référence'!$F$9)*10,0)</f>
        <v>10</v>
      </c>
      <c r="G50" s="127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260.6644782</v>
      </c>
      <c r="H50" s="128">
        <f t="shared" si="1"/>
        <v>352.1457562</v>
      </c>
      <c r="I50" s="12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1" t="str">
        <f>VLOOKUP(A50,'Données projet'!$A$35:$I$55,2,0)</f>
        <v>#N/A</v>
      </c>
      <c r="L50" s="131" t="str">
        <f>VLOOKUP(A50,'Données projet'!$A$35:$I$55,9,0)</f>
        <v>#N/A</v>
      </c>
      <c r="M50" s="131">
        <f t="array" ref="M50">INDEX(L:L,MIN(IF(ISNUMBER(L50:L246),ROW(L50:L246),"")))</f>
        <v>11.6</v>
      </c>
      <c r="N50" s="130">
        <f>IF('Données projet'!$A$36&gt;35,N49+M50-V49,IF(A50&lt;'Données projet'!$A$36,$K$205^A50,IF(A50='Données projet'!$A$36,'Données projet'!$B$36,N49+M50-V49)))</f>
        <v>251.2</v>
      </c>
      <c r="O50" s="130">
        <f>N50*VLOOKUP('Données projet'!$B$9,'Paramètres'!$A$1:$I$89,3,0)*VLOOKUP('Données projet'!$B$9,'Paramètres'!$A$1:$I$89,5,0)</f>
        <v>143.6864</v>
      </c>
      <c r="P50" s="130">
        <f t="shared" si="34"/>
        <v>37.14022629</v>
      </c>
      <c r="Q50" s="141">
        <f t="shared" si="2"/>
        <v>314.9397074</v>
      </c>
      <c r="R50" s="133">
        <f t="shared" si="3"/>
        <v>608.2730408</v>
      </c>
      <c r="S50" s="133">
        <f>AVERAGE(OFFSET($R$3,0,0,'Données projet'!$E$9+1,1))-AVERAGE(OFFSET($H$3,0,0,'Données projet'!$E$9+1,1))</f>
        <v>126.9946492</v>
      </c>
      <c r="T50" s="133">
        <f t="shared" si="35"/>
        <v>140.039049</v>
      </c>
      <c r="U50" s="134">
        <f>IF(ISNA(VLOOKUP(A50,'Données projet'!$A$35:$I$55,3,0)),0,VLOOKUP(A50,'Données projet'!$A$35:$I$55,3,0))</f>
        <v>0</v>
      </c>
      <c r="V50" s="134">
        <f>IF(ISNA(VLOOKUP(A50,'Données projet'!$A$35:$I$55,4,0)),0,VLOOKUP(A50,'Données projet'!$A$35:$I$55,4,0))</f>
        <v>0</v>
      </c>
      <c r="W50" s="135">
        <f>IF(ISNA(VLOOKUP(A50,'Données projet'!$A$35:$I$55,5,0)),0%,VLOOKUP(A50,'Données projet'!$A$35:$I$55,5,0)*VLOOKUP('Données projet'!$B$9,'Paramètres'!$A$1:$I$89,7,0))</f>
        <v>0</v>
      </c>
      <c r="X50" s="135">
        <f>IF(ISNA(VLOOKUP(A50,'Données projet'!$A$35:$I$55,6,0)),0%,VLOOKUP(A50,'Données projet'!$A$35:$I$55,6,0)*VLOOKUP('Données projet'!$B$9,'Paramètres'!$A$1:$I$89,7,0))</f>
        <v>0</v>
      </c>
      <c r="Y50" s="135">
        <f>IF(ISNA(VLOOKUP(A50,'Données projet'!$A$35:$I$55,7,0)),0%,VLOOKUP(A50,'Données projet'!$A$35:$I$55,7,0))</f>
        <v>0</v>
      </c>
      <c r="Z50" s="142">
        <f>EXP(-LN(2)/35)*Z49+(1-EXP(-LN(2)/35))/(LN(2)/35)*V50*W50*VLOOKUP('Données projet'!$B$9,'Paramètres'!$A$1:$I$89,3,0)*0.475*44/12</f>
        <v>7.028799411</v>
      </c>
      <c r="AA50" s="142">
        <f>EXP(-LN(2)/25)*AA49+(1-EXP(-LN(2)/25))/(LN(2)/25)*Calculateur!V50*Calculateur!X50*VLOOKUP('Données projet'!$B$9,'Paramètres'!$A$1:$I$89,3,0)*0.475*44/12</f>
        <v>9.970582587</v>
      </c>
      <c r="AB50" s="142">
        <f>EXP(-LN(2)/2)*AB49+(1-EXP(-LN(2)/2))/(LN(2)/2)*V50*Y50*VLOOKUP('Données projet'!$B$9,'Paramètres'!$A$1:$I$89,3,0)*0.475*44/12</f>
        <v>0.6750434139</v>
      </c>
      <c r="AC50" s="143">
        <f t="shared" si="4"/>
        <v>17.67442541</v>
      </c>
      <c r="AD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1" t="str">
        <f>VLOOKUP(A50,'Données projet'!$A$61:$I$81,2,0)</f>
        <v>#N/A</v>
      </c>
      <c r="AG50" s="131" t="str">
        <f>VLOOKUP(A50,'Données projet'!$A$61:$I$81,9,0)</f>
        <v>#N/A</v>
      </c>
      <c r="AH50" s="131">
        <f t="array" ref="AH50">INDEX(AG:AG,MIN(IF(ISNUMBER(AG50:AG246),ROW(AG50:AG246),"")))</f>
        <v>17.4</v>
      </c>
      <c r="AI50" s="130">
        <f>IF('Données projet'!$A$62&gt;35,AI49+AH50-AQ49,IF(A50&lt;'Données projet'!$A$62,$AF$205^A50,IF(A50='Données projet'!$A$62,'Données projet'!$B$62,AI49+AH50-AQ49)))</f>
        <v>299.8</v>
      </c>
      <c r="AJ50" s="130">
        <f>AI50*VLOOKUP('Données projet'!$B$10,'Paramètres'!$A$1:$I$89,3,0)*VLOOKUP('Données projet'!$B$10,'Paramètres'!$A$1:$I$89,5,0)</f>
        <v>179.2804</v>
      </c>
      <c r="AK50" s="130">
        <f t="shared" si="36"/>
        <v>45.16205112</v>
      </c>
      <c r="AL50" s="141">
        <f t="shared" si="5"/>
        <v>390.9039357</v>
      </c>
      <c r="AM50" s="133">
        <f t="shared" si="6"/>
        <v>684.237269</v>
      </c>
      <c r="AN50" s="133">
        <f>AVERAGE(OFFSET($AM$3,0,0,'Données projet'!$E$10+1,1))-AVERAGE(OFFSET($H$3,0,0,'Données projet'!$E$10+1,1))</f>
        <v>196.874484</v>
      </c>
      <c r="AO50" s="133">
        <f t="shared" si="37"/>
        <v>217.5750859</v>
      </c>
      <c r="AP50" s="134">
        <f>IF(ISNA(VLOOKUP(A50,'Données projet'!$A$61:$I$81,3,0)),0,VLOOKUP(A50,'Données projet'!$A$61:$I$81,3,0))</f>
        <v>0</v>
      </c>
      <c r="AQ50" s="134">
        <f>IF(ISNA(VLOOKUP(A50,'Données projet'!$A$61:$I$81,4,0)),0,VLOOKUP(A50,'Données projet'!$A$61:$I$81,4,0))</f>
        <v>0</v>
      </c>
      <c r="AR50" s="135">
        <f>IF(ISNA(VLOOKUP(A50,'Données projet'!$A$61:$I$81,5,0)),0%,VLOOKUP(A50,'Données projet'!$A$61:$I$81,5,0)*VLOOKUP('Données projet'!$B$10,'Paramètres'!$A$1:$I$89,7,0))</f>
        <v>0</v>
      </c>
      <c r="AS50" s="135">
        <f>IF(ISNA(VLOOKUP(A50,'Données projet'!$A$61:$I$81,6,0)),0%,VLOOKUP(A50,'Données projet'!$A$61:$I$81,6,0)*VLOOKUP('Données projet'!$B$10,'Paramètres'!$A$1:$I$89,7,0))</f>
        <v>0</v>
      </c>
      <c r="AT50" s="135">
        <f>IF(ISNA(VLOOKUP(A50,'Données projet'!$A$61:$I$81,7,0)),0%,VLOOKUP(A50,'Données projet'!$A$61:$I$81,7,0))</f>
        <v>0</v>
      </c>
      <c r="AU50" s="142">
        <f>EXP(-LN(2)/35)*AU49+(1-EXP(-LN(2)/35))/(LN(2)/35)*AQ50*AR50*VLOOKUP('Données projet'!$B$10,'Paramètres'!$A$1:$I$89,3,0)*0.475*44/12</f>
        <v>16.41224333</v>
      </c>
      <c r="AV50" s="142">
        <f>EXP(-LN(2)/25)*AV49+(1-EXP(-LN(2)/25))/(LN(2)/25)*Calculateur!AQ50*Calculateur!AS50*VLOOKUP('Données projet'!$B$10,'Paramètres'!$A$1:$I$89,3,0)*0.475*44/12</f>
        <v>21.52025995</v>
      </c>
      <c r="AW50" s="142">
        <f>EXP(-LN(2)/2)*AW49+(1-EXP(-LN(2)/2))/(LN(2)/2)*AQ50*AT50*VLOOKUP('Données projet'!$B$10,'Paramètres'!$A$1:$I$89,3,0)*0.475*44/12</f>
        <v>5.562942554</v>
      </c>
      <c r="AX50" s="142">
        <f t="shared" si="7"/>
        <v>43.49544583</v>
      </c>
      <c r="AY50" s="13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1" t="str">
        <f>VLOOKUP(A50,'Données projet'!$A$87:$I$107,2,0)</f>
        <v>#N/A</v>
      </c>
      <c r="BB50" s="131" t="str">
        <f>VLOOKUP(A50,'Données projet'!$A$87:$I$107,9,0)</f>
        <v>#N/A</v>
      </c>
      <c r="BC50" s="130">
        <f t="array" ref="BC50">INDEX(BB:BB,MIN(IF(ISNUMBER(BB50:BB246),ROW(BB50:BB246),"")))</f>
        <v>14</v>
      </c>
      <c r="BD50" s="130">
        <f>IF('Données projet'!$A$88&gt;35,BD49+BC50-BL49,IF(A50&lt;'Données projet'!$A$88,$BA$205^A50,IF(A50='Données projet'!$A$88,'Données projet'!$B$88,BD49+BC50-BL49)))</f>
        <v>258</v>
      </c>
      <c r="BE50" s="130">
        <f>BD50*VLOOKUP('Données projet'!$B$11,'Paramètres'!$A$1:$I$89,3,0)*VLOOKUP('Données projet'!$B$11,'Paramètres'!$A$1:$I$89,5,0)</f>
        <v>120.744</v>
      </c>
      <c r="BF50" s="130">
        <f t="shared" si="38"/>
        <v>31.84846261</v>
      </c>
      <c r="BG50" s="141">
        <f t="shared" si="8"/>
        <v>265.7652057</v>
      </c>
      <c r="BH50" s="133">
        <f t="shared" si="9"/>
        <v>559.098539</v>
      </c>
      <c r="BI50" s="133">
        <f>AVERAGE(OFFSET($BH$3,0,0,'Données projet'!$E$11+1,1))-AVERAGE(OFFSET($H$3,0,0,'Données projet'!$E$11+1,1))</f>
        <v>134.0948534</v>
      </c>
      <c r="BJ50" s="133">
        <f t="shared" si="39"/>
        <v>108.4102536</v>
      </c>
      <c r="BK50" s="134">
        <f>IF(ISNA(VLOOKUP(A50,'Données projet'!$A$87:$I$107,3,0)),0,VLOOKUP(A50,'Données projet'!$A$87:$I$107,3,0))</f>
        <v>0</v>
      </c>
      <c r="BL50" s="134">
        <f>IF(ISNA(VLOOKUP(A50,'Données projet'!$A$87:$I$107,4,0)),0,VLOOKUP(A50,'Données projet'!$A$87:$I$107,4,0))</f>
        <v>0</v>
      </c>
      <c r="BM50" s="135">
        <f>IF(ISNA(VLOOKUP(A50,'Données projet'!$A$87:$I$107,5,0)),0%,VLOOKUP(A50,'Données projet'!$A$87:$I$107,5,0)*VLOOKUP('Données projet'!$B$11,'Paramètres'!$A$1:$I$89,7,0))</f>
        <v>0</v>
      </c>
      <c r="BN50" s="135">
        <f>IF(ISNA(VLOOKUP(A50,'Données projet'!$A$87:$I$107,6,0)),0%,VLOOKUP(A50,'Données projet'!$A$87:$I$107,6,0)*VLOOKUP('Données projet'!$B$11,'Paramètres'!$A$1:$I$89,7,0))</f>
        <v>0</v>
      </c>
      <c r="BO50" s="135">
        <f>IF(ISNA(VLOOKUP(A50,'Données projet'!$A$87:$I$107,7,0)),0%,VLOOKUP(A50,'Données projet'!$A$87:$I$107,7,0))</f>
        <v>0</v>
      </c>
      <c r="BP50" s="142">
        <f>EXP(-LN(2)/35)*BP49+(1-EXP(-LN(2)/35))/(LN(2)/35)*BL50*BM50*VLOOKUP('Données projet'!$B$11,'Paramètres'!$A$1:$I$89,3,0)*0.475*44/12</f>
        <v>7.895921769</v>
      </c>
      <c r="BQ50" s="142">
        <f>EXP(-LN(2)/25)*BQ49+(1-EXP(-LN(2)/25))/(LN(2)/25)*Calculateur!BL50*Calculateur!BN50*VLOOKUP('Données projet'!$B$11,'Paramètres'!$A$1:$I$89,3,0)*0.475*44/12</f>
        <v>8.51009954</v>
      </c>
      <c r="BR50" s="142">
        <f>EXP(-LN(2)/2)*BR49+(1-EXP(-LN(2)/2))/(LN(2)/2)*BL50*BO50*VLOOKUP('Données projet'!$B$11,'Paramètres'!$A$1:$I$89,3,0)*0.475*44/12</f>
        <v>0.6388380535</v>
      </c>
      <c r="BS50" s="143">
        <f t="shared" si="10"/>
        <v>17.04485936</v>
      </c>
      <c r="BT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1" t="str">
        <f>VLOOKUP(A50,'Données projet'!$A$113:$I$133,2,0)</f>
        <v>#N/A</v>
      </c>
      <c r="BW50" s="131" t="str">
        <f>VLOOKUP(A50,'Données projet'!$A$113:$I$133,9,0)</f>
        <v>#N/A</v>
      </c>
      <c r="BX50" s="130">
        <f t="array" ref="BX50">INDEX(BW:BW,MIN(IF(ISNUMBER(BW50:BW246),ROW(BW50:BW246),"")))</f>
        <v>22.8</v>
      </c>
      <c r="BY50" s="130">
        <f>IF('Données projet'!$A$114&gt;35,BY49+BX50-CG49,IF(A50&lt;'Données projet'!$A$114,$BV$205^A50,IF(A50='Données projet'!$A$114,'Données projet'!$B$114,BY49+BX50-CG49)))</f>
        <v>476.6</v>
      </c>
      <c r="BZ50" s="130">
        <f>BY50*VLOOKUP('Données projet'!$B$12,'Paramètres'!$A$1:$I$89,3,0)*VLOOKUP('Données projet'!$B$12,'Paramètres'!$A$1:$I$89,5,0)</f>
        <v>235.4404</v>
      </c>
      <c r="CA50" s="130">
        <f t="shared" si="40"/>
        <v>57.45741787</v>
      </c>
      <c r="CB50" s="141">
        <f t="shared" si="11"/>
        <v>510.1303661</v>
      </c>
      <c r="CC50" s="133">
        <f t="shared" si="12"/>
        <v>803.4636995</v>
      </c>
      <c r="CD50" s="133">
        <f>AVERAGE(OFFSET($CC$3,0,0,'Données projet'!$E$12+1,1))-AVERAGE(OFFSET($H$3,0,0,'Données projet'!$E$12+1,1))</f>
        <v>258.1672054</v>
      </c>
      <c r="CE50" s="133">
        <f t="shared" si="41"/>
        <v>296.0724261</v>
      </c>
      <c r="CF50" s="134">
        <f>IF(ISNA(VLOOKUP(A50,'Données projet'!$A$113:$I$133,3,0)),0,VLOOKUP(A50,'Données projet'!$A$113:$I$133,3,0))</f>
        <v>0</v>
      </c>
      <c r="CG50" s="134">
        <f>IF(ISNA(VLOOKUP(A50,'Données projet'!$A$113:$I$133,4,0)),0,VLOOKUP(A50,'Données projet'!$A$113:$I$133,4,0))</f>
        <v>0</v>
      </c>
      <c r="CH50" s="135">
        <f>IF(ISNA(VLOOKUP(A50,'Données projet'!$A$113:$I$133,5,0)),0%,VLOOKUP(A50,'Données projet'!$A$113:$I$133,5,0)*VLOOKUP('Données projet'!$B$12,'Paramètres'!$A$1:$I$89,7,0))</f>
        <v>0</v>
      </c>
      <c r="CI50" s="135">
        <f>IF(ISNA(VLOOKUP(A50,'Données projet'!$A$113:$I$133,6,0)),0%,VLOOKUP(A50,'Données projet'!$A$113:$I$133,6,0)*VLOOKUP('Données projet'!$B$12,'Paramètres'!$A$1:$I$89,7,0))</f>
        <v>0</v>
      </c>
      <c r="CJ50" s="135">
        <f>IF(ISNA(VLOOKUP(A50,'Données projet'!$A$113:$I$133,7,0)),0%,VLOOKUP(A50,'Données projet'!$A$113:$I$133,7,0))</f>
        <v>0</v>
      </c>
      <c r="CK50" s="142">
        <f>EXP(-LN(2)/35)*CK49+(1-EXP(-LN(2)/35))/(LN(2)/35)*CG50*CH50*VLOOKUP('Données projet'!$B$12,'Paramètres'!$A$1:$I$89,3,0)*0.475*44/12</f>
        <v>34.34430881</v>
      </c>
      <c r="CL50" s="142">
        <f>EXP(-LN(2)/25)*CL49+(1-EXP(-LN(2)/25))/(LN(2)/25)*Calculateur!CG50*Calculateur!CI50*VLOOKUP('Données projet'!$B$12,'Paramètres'!$A$1:$I$89,3,0)*0.475*44/12</f>
        <v>28.69058847</v>
      </c>
      <c r="CM50" s="142">
        <f>EXP(-LN(2)/2)*CM49+(1-EXP(-LN(2)/2))/(LN(2)/2)*CG50*CJ50*VLOOKUP('Données projet'!$B$12,'Paramètres'!$A$1:$I$89,3,0)*0.475*44/12</f>
        <v>4.164451147</v>
      </c>
      <c r="CN50" s="143">
        <f t="shared" si="13"/>
        <v>67.19934843</v>
      </c>
      <c r="CO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1" t="str">
        <f>VLOOKUP(A50,'Données projet'!$A$139:$I$159,2,0)</f>
        <v>#N/A</v>
      </c>
      <c r="CR50" s="131" t="str">
        <f>VLOOKUP(A50,'Données projet'!$A$139:$I$159,9,0)</f>
        <v>#N/A</v>
      </c>
      <c r="CS50" s="130">
        <f t="array" ref="CS50">INDEX(CR:CR,MIN(IF(ISNUMBER(CR50:CR246),ROW(CR50:CR246),"")))</f>
        <v>5.6</v>
      </c>
      <c r="CT50" s="138">
        <f>IF('Données projet'!$A$140&gt;35,CT49+CS50-DB49,IF(A50&lt;'Données projet'!$A$140,$CQ$205^A50,IF(A50='Données projet'!$A$140,'Données projet'!$B$140,CT49+CS50-DB49)))</f>
        <v>104.2</v>
      </c>
      <c r="CU50" s="138">
        <f>CT50*VLOOKUP('Données projet'!$B$13,'Paramètres'!$A$1:$I$89,3,0)*VLOOKUP('Données projet'!$B$13,'Paramètres'!$A$1:$I$89,5,0)</f>
        <v>105.6588</v>
      </c>
      <c r="CV50" s="130">
        <f t="shared" si="42"/>
        <v>28.30577945</v>
      </c>
      <c r="CW50" s="141">
        <f t="shared" si="14"/>
        <v>233.3216425</v>
      </c>
      <c r="CX50" s="133">
        <f t="shared" si="15"/>
        <v>526.6549759</v>
      </c>
      <c r="CY50" s="133">
        <f>AVERAGE(OFFSET($CX$3,0,0,'Données projet'!$E$13+1,1))-AVERAGE(OFFSET($H$3,0,0,'Données projet'!$E$13+1,1))</f>
        <v>223.783507</v>
      </c>
      <c r="CZ50" s="133">
        <f t="shared" si="43"/>
        <v>84.92349117</v>
      </c>
      <c r="DA50" s="134">
        <f>IF(ISNA(VLOOKUP(A50,'Données projet'!$A$139:$I$159,3,0)),0,VLOOKUP(A50,'Données projet'!$A$139:$I$159,3,0))</f>
        <v>0</v>
      </c>
      <c r="DB50" s="134">
        <f>IF(ISNA(VLOOKUP(A50,'Données projet'!$A$139:$I$159,4,0)),0,VLOOKUP(A50,'Données projet'!$A$139:$I$159,4,0))</f>
        <v>0</v>
      </c>
      <c r="DC50" s="135">
        <f>IF(ISNA(VLOOKUP(A50,'Données projet'!$A$139:$I$159,5,0)),0%,VLOOKUP(A50,'Données projet'!$A$139:$I$159,5,0)*VLOOKUP('Données projet'!$B$13,'Paramètres'!$A$1:$I$89,7,0))</f>
        <v>0</v>
      </c>
      <c r="DD50" s="135">
        <f>IF(ISNA(VLOOKUP(A50,'Données projet'!$A$139:$I$159,6,0)),0%,VLOOKUP(A50,'Données projet'!$A$139:$I$159,6,0)*VLOOKUP('Données projet'!$B$13,'Paramètres'!$A$1:$I$89,7,0))</f>
        <v>0</v>
      </c>
      <c r="DE50" s="135">
        <f>IF(ISNA(VLOOKUP(A50,'Données projet'!$A$139:$I$159,7,0)),0%,VLOOKUP(A50,'Données projet'!$A$139:$I$159,7,0))</f>
        <v>0</v>
      </c>
      <c r="DF50" s="142">
        <f>EXP(-LN(2)/35)*DF49+(1-EXP(-LN(2)/35))/(LN(2)/35)*DB50*DC50*VLOOKUP('Données projet'!$B$13,'Paramètres'!$A$1:$I$89,3,0)*0.475*44/12</f>
        <v>1.297208657</v>
      </c>
      <c r="DG50" s="142">
        <f>EXP(-LN(2)/25)*DG49+(1-EXP(-LN(2)/25))/(LN(2)/25)*Calculateur!DB50*Calculateur!DD50*VLOOKUP('Données projet'!$B$13,'Paramètres'!$A$1:$I$89,3,0)*0.475*44/12</f>
        <v>0</v>
      </c>
      <c r="DH50" s="142">
        <f>EXP(-LN(2)/2)*DH49+(1-EXP(-LN(2)/2))/(LN(2)/2)*DB50*DE50*VLOOKUP('Données projet'!$B$13,'Paramètres'!$A$1:$I$89,3,0)*0.475*44/12</f>
        <v>0</v>
      </c>
      <c r="DI50" s="143">
        <f t="shared" si="16"/>
        <v>1.297208657</v>
      </c>
      <c r="DJ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1" t="str">
        <f>VLOOKUP(A50,'Données projet'!$A$165:$I$185,2,0)</f>
        <v>#N/A</v>
      </c>
      <c r="DM50" s="131" t="str">
        <f>VLOOKUP(A50,'Données projet'!$A$165:$I$185,9,0)</f>
        <v>#N/A</v>
      </c>
      <c r="DN50" s="131">
        <f t="array" ref="DN50">INDEX(DM:DM,MIN(IF(ISNUMBER(DM50:DM246),ROW(DM50:DM246),"")))</f>
        <v>8.2</v>
      </c>
      <c r="DO50" s="138">
        <f>IF('Données projet'!$A$166&gt;35,DO49+DN50-DW49,IF(A50&lt;'Données projet'!$A$166,$DL$205^A50,IF(A50='Données projet'!$A$166,'Données projet'!$B$166,DO49+DN50-DW49)))</f>
        <v>153.4</v>
      </c>
      <c r="DP50" s="138">
        <f>DO50*VLOOKUP('Données projet'!$B$14,'Paramètres'!$A$1:$I$89,3,0)*VLOOKUP('Données projet'!$B$14,'Paramètres'!$A$1:$I$89,5,0)</f>
        <v>138.79632</v>
      </c>
      <c r="DQ50" s="130">
        <f t="shared" si="44"/>
        <v>36.02112089</v>
      </c>
      <c r="DR50" s="141">
        <f t="shared" si="17"/>
        <v>304.4737095</v>
      </c>
      <c r="DS50" s="133">
        <f t="shared" si="18"/>
        <v>597.8070429</v>
      </c>
      <c r="DT50" s="133">
        <f>AVERAGE(OFFSET($DS$3,0,0,'Données projet'!$E$14+1,1))-AVERAGE(OFFSET($H$3,0,0,'Données projet'!$E$14+1,1))</f>
        <v>287.9334714</v>
      </c>
      <c r="DU50" s="133">
        <f t="shared" si="45"/>
        <v>156.6796502</v>
      </c>
      <c r="DV50" s="134">
        <f>IF(ISNA(VLOOKUP(A50,'Données projet'!$A$165:$I$185,3,0)),0,VLOOKUP(A50,'Données projet'!$A$165:$I$185,3,0))</f>
        <v>0</v>
      </c>
      <c r="DW50" s="134">
        <f>IF(ISNA(VLOOKUP(A50,'Données projet'!$A$165:$I$185,4,0)),0,VLOOKUP(A50,'Données projet'!$A$165:$I$185,4,0))</f>
        <v>0</v>
      </c>
      <c r="DX50" s="135">
        <f>IF(ISNA(VLOOKUP(A50,'Données projet'!$A$165:$I$185,5,0)),0%,VLOOKUP(A50,'Données projet'!$A$165:$I$185,5,0)*VLOOKUP('Données projet'!$B$14,'Paramètres'!$A$1:$I$89,7,0))</f>
        <v>0</v>
      </c>
      <c r="DY50" s="135">
        <f>IF(ISNA(VLOOKUP(A50,'Données projet'!$A$165:$I$185,6,0)),0%,VLOOKUP(A50,'Données projet'!$A$165:$I$185,6,0)*VLOOKUP('Données projet'!$B$14,'Paramètres'!$A$1:$I$89,7,0))</f>
        <v>0</v>
      </c>
      <c r="DZ50" s="135">
        <f>IF(ISNA(VLOOKUP(A50,'Données projet'!$A$165:$I$185,7,0)),0%,VLOOKUP(A50,'Données projet'!$A$165:$I$185,7,0))</f>
        <v>0</v>
      </c>
      <c r="EA50" s="142">
        <f>EXP(-LN(2)/35)*EA49+(1-EXP(-LN(2)/35))/(LN(2)/35)*DW50*DX50*VLOOKUP('Données projet'!$B$14,'Paramètres'!$A$1:$I$89,3,0)*0.475*44/12</f>
        <v>3.308839191</v>
      </c>
      <c r="EB50" s="142">
        <f>EXP(-LN(2)/25)*EB49+(1-EXP(-LN(2)/25))/(LN(2)/25)*Calculateur!DW50*Calculateur!DY50*VLOOKUP('Données projet'!$B$14,'Paramètres'!$A$1:$I$89,3,0)*0.475*44/12</f>
        <v>0</v>
      </c>
      <c r="EC50" s="142">
        <f>EXP(-LN(2)/2)*EC49+(1-EXP(-LN(2)/2))/(LN(2)/2)*DW50*DZ50*VLOOKUP('Données projet'!$B$14,'Paramètres'!$A$1:$I$89,3,0)*0.475*44/12</f>
        <v>0</v>
      </c>
      <c r="ED50" s="143">
        <f t="shared" si="19"/>
        <v>3.308839191</v>
      </c>
      <c r="EE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1" t="str">
        <f>VLOOKUP(A50,'Données projet'!$A$191:$I$211,2,0)</f>
        <v>#N/A</v>
      </c>
      <c r="EH50" s="131" t="str">
        <f>VLOOKUP(A50,'Données projet'!$A$191:$I$211,9,0)</f>
        <v>#N/A</v>
      </c>
      <c r="EI50" s="131">
        <f t="array" ref="EI50">INDEX(EH:EH,MIN(IF(ISNUMBER(EH50:EH246),ROW(EH50:EH246),"")))</f>
        <v>8.2</v>
      </c>
      <c r="EJ50" s="138">
        <f>IF('Données projet'!$A$192&gt;35,EJ49+EI50-ER49,IF(A50&lt;'Données projet'!$A$192,$EG$205^A50,IF(A50='Données projet'!$A$192,'Données projet'!$B$192,EJ49+EI50-ER49)))</f>
        <v>129.4</v>
      </c>
      <c r="EK50" s="138">
        <f>EJ50*VLOOKUP('Données projet'!$B$15,'Paramètres'!$A$1:$I$89,3,0)*VLOOKUP('Données projet'!$B$15,'Paramètres'!$A$1:$I$89,5,0)</f>
        <v>94.87608</v>
      </c>
      <c r="EL50" s="130">
        <f t="shared" si="46"/>
        <v>25.73758262</v>
      </c>
      <c r="EM50" s="141">
        <f t="shared" si="20"/>
        <v>210.0687957</v>
      </c>
      <c r="EN50" s="133">
        <f t="shared" si="21"/>
        <v>503.4021291</v>
      </c>
      <c r="EO50" s="133">
        <f>AVERAGE(OFFSET($EN$3,0,0,'Données projet'!$E$15+1,1))-AVERAGE(OFFSET($H$3,0,0,'Données projet'!$E$15+1,1))</f>
        <v>130.3193339</v>
      </c>
      <c r="EP50" s="133">
        <f t="shared" si="47"/>
        <v>82.22784365</v>
      </c>
      <c r="EQ50" s="134">
        <f>IF(ISNA(VLOOKUP(A50,'Données projet'!$A$191:$I$211,3,0)),0,VLOOKUP(A50,'Données projet'!$A$191:$I$211,3,0))</f>
        <v>0</v>
      </c>
      <c r="ER50" s="134">
        <f>IF(ISNA(VLOOKUP(A50,'Données projet'!$A$191:$I$211,4,0)),0,VLOOKUP(A50,'Données projet'!$A$191:$I$211,4,0))</f>
        <v>0</v>
      </c>
      <c r="ES50" s="135">
        <f>IF(ISNA(VLOOKUP(A50,'Données projet'!$A$191:$I$211,5,0)),0%,VLOOKUP(A50,'Données projet'!$A$191:$I$211,5,0)*VLOOKUP('Données projet'!$B$15,'Paramètres'!$A$1:$I$89,7,0))</f>
        <v>0</v>
      </c>
      <c r="ET50" s="135">
        <f>IF(ISNA(VLOOKUP(A50,'Données projet'!$A$191:$I$211,6,0)),0%,VLOOKUP(A50,'Données projet'!$A$191:$I$211,6,0)*VLOOKUP('Données projet'!$B$15,'Paramètres'!$A$1:$I$89,7,0))</f>
        <v>0</v>
      </c>
      <c r="EU50" s="135">
        <f>IF(ISNA(VLOOKUP(A50,'Données projet'!$A$191:$I$211,7,0)),0%,VLOOKUP(A50,'Données projet'!$A$191:$I$211,7,0))</f>
        <v>0</v>
      </c>
      <c r="EV50" s="142">
        <f>EXP(-LN(2)/35)*EV49+(1-EXP(-LN(2)/35))/(LN(2)/35)*ER50*ES50*VLOOKUP('Données projet'!$B$15,'Paramètres'!$A$1:$I$89,3,0)*0.475*44/12</f>
        <v>5.839820464</v>
      </c>
      <c r="EW50" s="142">
        <f>EXP(-LN(2)/25)*EW49+(1-EXP(-LN(2)/25))/(LN(2)/25)*Calculateur!ER50*Calculateur!ET50*VLOOKUP('Données projet'!$B$15,'Paramètres'!$A$1:$I$89,3,0)*0.475*44/12</f>
        <v>0</v>
      </c>
      <c r="EX50" s="142">
        <f>EXP(-LN(2)/2)*EX49+(1-EXP(-LN(2)/2))/(LN(2)/2)*ER50*EU50*VLOOKUP('Données projet'!$B$15,'Paramètres'!$A$1:$I$89,3,0)*0.475*44/12</f>
        <v>0</v>
      </c>
      <c r="EY50" s="143">
        <f t="shared" si="22"/>
        <v>5.839820464</v>
      </c>
      <c r="EZ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1" t="str">
        <f>VLOOKUP(A50,'Données projet'!$A$217:$I$237,2,0)</f>
        <v>#N/A</v>
      </c>
      <c r="FC50" s="131" t="str">
        <f>VLOOKUP(A50,'Données projet'!$A$217:$I$237,9,0)</f>
        <v>#N/A</v>
      </c>
      <c r="FD50" s="130">
        <f t="array" ref="FD50">INDEX(FC:FC,MIN(IF(ISNUMBER(FC50:FC246),ROW(FC50:FC246),"")))</f>
        <v>5.8</v>
      </c>
      <c r="FE50" s="130">
        <f>IF('Données projet'!$A$218&gt;35,FE49+FD50-FM49,IF(A50&lt;'Données projet'!$A$218,$FB$205^A50,IF(A50='Données projet'!$A$218,'Données projet'!$B$218,FE49+FD50-FM49)))</f>
        <v>241.6</v>
      </c>
      <c r="FF50" s="138">
        <f>FE50*VLOOKUP('Données projet'!$B$16,'Paramètres'!$A$1:$I$89,3,0)*VLOOKUP('Données projet'!$B$16,'Paramètres'!$A$1:$I$89,5,0)</f>
        <v>218.59968</v>
      </c>
      <c r="FG50" s="130">
        <f t="shared" si="48"/>
        <v>53.81042007</v>
      </c>
      <c r="FH50" s="141">
        <f t="shared" si="23"/>
        <v>474.447591</v>
      </c>
      <c r="FI50" s="133">
        <f t="shared" si="24"/>
        <v>767.7809243</v>
      </c>
      <c r="FJ50" s="133">
        <f>AVERAGE(OFFSET($FI$3,0,0,'Données projet'!$E$16+1,1))-AVERAGE(OFFSET($H$3,0,0,'Données projet'!$E$16+1,1))</f>
        <v>305.6252353</v>
      </c>
      <c r="FK50" s="133">
        <f t="shared" si="49"/>
        <v>331.397916</v>
      </c>
      <c r="FL50" s="134">
        <f>IF(ISNA(VLOOKUP(A50,'Données projet'!$A$217:$I$237,3,0)),0,VLOOKUP(A50,'Données projet'!$A$217:$I$237,3,0))</f>
        <v>0</v>
      </c>
      <c r="FM50" s="134">
        <f>IF(ISNA(VLOOKUP(A50,'Données projet'!$A$217:$I$237,4,0)),0,VLOOKUP(A50,'Données projet'!$A$217:$I$237,4,0))</f>
        <v>0</v>
      </c>
      <c r="FN50" s="135">
        <f>IF(ISNA(VLOOKUP(A50,'Données projet'!$A$217:$I$237,5,0)),0%,VLOOKUP(A50,'Données projet'!$A$217:$I$237,5,0)*VLOOKUP('Données projet'!$B$16,'Paramètres'!$A$1:$I$89,7,0))</f>
        <v>0</v>
      </c>
      <c r="FO50" s="135">
        <f>IF(ISNA(VLOOKUP(A50,'Données projet'!$A$217:$I$237,6,0)),0%,VLOOKUP(A50,'Données projet'!$A$217:$I$237,6,0)*VLOOKUP('Données projet'!$B$16,'Paramètres'!$A$1:$I$89,7,0))</f>
        <v>0</v>
      </c>
      <c r="FP50" s="135">
        <f>IF(ISNA(VLOOKUP(A50,'Données projet'!$A$217:$I$237,7,0)),0%,VLOOKUP(A50,'Données projet'!$A$217:$I$237,7,0))</f>
        <v>0</v>
      </c>
      <c r="FQ50" s="142">
        <f>EXP(-LN(2)/35)*FQ49+(1-EXP(-LN(2)/35))/(LN(2)/35)*FM50*FN50*VLOOKUP('Données projet'!$B$16,'Paramètres'!$A$1:$I$89,3,0)*0.475*44/12</f>
        <v>2.988306112</v>
      </c>
      <c r="FR50" s="142">
        <f>EXP(-LN(2)/25)*FR49+(1-EXP(-LN(2)/25))/(LN(2)/25)*Calculateur!FM50*Calculateur!FO50*VLOOKUP('Données projet'!$B$16,'Paramètres'!$A$1:$I$89,3,0)*0.475*44/12</f>
        <v>0</v>
      </c>
      <c r="FS50" s="142">
        <f>EXP(-LN(2)/2)*FS49+(1-EXP(-LN(2)/2))/(LN(2)/2)*FM50*FP50*VLOOKUP('Données projet'!$B$16,'Paramètres'!$A$1:$I$89,3,0)*0.475*44/12</f>
        <v>0</v>
      </c>
      <c r="FT50" s="143">
        <f t="shared" si="25"/>
        <v>2.988306112</v>
      </c>
      <c r="FU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1" t="str">
        <f>VLOOKUP(A50,'Données projet'!$A$243:$I$263,2,0)</f>
        <v>#N/A</v>
      </c>
      <c r="FX50" s="131" t="str">
        <f>VLOOKUP(A50,'Données projet'!$A$243:$I$263,9,0)</f>
        <v>#N/A</v>
      </c>
      <c r="FY50" s="130">
        <f t="array" ref="FY50">INDEX(FX:FX,MIN(IF(ISNUMBER(FX50:FX246),ROW(FX50:FX246),"")))</f>
        <v>11</v>
      </c>
      <c r="FZ50" s="138">
        <f>IF('Données projet'!$A$244&gt;35,FZ49+FY50-GH49,IF(A50&lt;'Données projet'!$A$244,$FW$205^A50,IF(A50='Données projet'!$A$244,'Données projet'!$B$244,FZ49+FY50-GH49)))</f>
        <v>184</v>
      </c>
      <c r="GA50" s="138">
        <f>FZ50*VLOOKUP('Données projet'!$B$17,'Paramètres'!$A$1:$I$89,3,0)*VLOOKUP('Données projet'!$B$17,'Paramètres'!$A$1:$I$89,5,0)</f>
        <v>123.4272</v>
      </c>
      <c r="GB50" s="130">
        <f t="shared" si="50"/>
        <v>32.47302267</v>
      </c>
      <c r="GC50" s="141">
        <f t="shared" si="26"/>
        <v>271.5262212</v>
      </c>
      <c r="GD50" s="133">
        <f t="shared" si="27"/>
        <v>564.8595545</v>
      </c>
      <c r="GE50" s="133">
        <f>AVERAGE(OFFSET($GD$3,0,0,'Données projet'!$E$17+1,1))-AVERAGE(OFFSET($H$3,0,0,'Données projet'!$E$17+1,1))</f>
        <v>118.7368745</v>
      </c>
      <c r="GF50" s="133">
        <f t="shared" si="51"/>
        <v>135.1233677</v>
      </c>
      <c r="GG50" s="134">
        <f>IF(ISNA(VLOOKUP(A50,'Données projet'!$A$243:$I$263,3,0)),0,VLOOKUP(A50,'Données projet'!$A$243:$I$263,3,0))</f>
        <v>0</v>
      </c>
      <c r="GH50" s="134">
        <f>IF(ISNA(VLOOKUP(A50,'Données projet'!$A$243:$I$263,4,0)),0,VLOOKUP(A50,'Données projet'!$A$243:$I$263,4,0))</f>
        <v>0</v>
      </c>
      <c r="GI50" s="135">
        <f>IF(ISNA(VLOOKUP(A50,'Données projet'!$A$243:$I$263,5,0)),0%,VLOOKUP(A50,'Données projet'!$A$243:$I$263,5,0)*VLOOKUP('Données projet'!$B$17,'Paramètres'!$A$1:$I$89,7,0))</f>
        <v>0</v>
      </c>
      <c r="GJ50" s="135">
        <f>IF(ISNA(VLOOKUP(A50,'Données projet'!$A$243:$I$263,6,0)),0%,VLOOKUP(A50,'Données projet'!$A$243:$I$263,6,0)*VLOOKUP('Données projet'!$B$17,'Paramètres'!$A$1:$I$89,7,0))</f>
        <v>0</v>
      </c>
      <c r="GK50" s="135">
        <f>IF(ISNA(VLOOKUP(A50,'Données projet'!$A$243:$I$263,7,0)),0%,VLOOKUP(A50,'Données projet'!$A$243:$I$263,7,0))</f>
        <v>0</v>
      </c>
      <c r="GL50" s="142">
        <f>EXP(-LN(2)/35)*GL49+(1-EXP(-LN(2)/35))/(LN(2)/35)*GH50*GI50*VLOOKUP('Données projet'!$B$17,'Paramètres'!$A$1:$I$89,3,0)*0.475*44/12</f>
        <v>9.798295248</v>
      </c>
      <c r="GM50" s="142">
        <f>EXP(-LN(2)/25)*GM49+(1-EXP(-LN(2)/25))/(LN(2)/25)*Calculateur!GH50*Calculateur!GJ50*VLOOKUP('Données projet'!$B$17,'Paramètres'!$A$1:$I$89,3,0)*0.475*44/12</f>
        <v>0</v>
      </c>
      <c r="GN50" s="142">
        <f>EXP(-LN(2)/2)*GN49+(1-EXP(-LN(2)/2))/(LN(2)/2)*GH50*GK50*VLOOKUP('Données projet'!$B$17,'Paramètres'!$A$1:$I$89,3,0)*0.475*44/12</f>
        <v>0</v>
      </c>
      <c r="GO50" s="142">
        <f t="shared" si="28"/>
        <v>9.798295248</v>
      </c>
      <c r="GP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1" t="str">
        <f>VLOOKUP(A50,'Données projet'!$A$269:$I$289,2,0)</f>
        <v>#N/A</v>
      </c>
      <c r="GS50" s="131" t="str">
        <f>VLOOKUP(A50,'Données projet'!$A$269:$I$289,9,0)</f>
        <v>#N/A</v>
      </c>
      <c r="GT50" s="130">
        <f t="array" ref="GT50">INDEX(GS:GS,MIN(IF(ISNUMBER(GS50:GS246),ROW(GS50:GS246),"")))</f>
        <v>5.6</v>
      </c>
      <c r="GU50" s="138">
        <f>IF('Données projet'!$A$270&gt;35,GU49+GT50-HC49,IF(A50&lt;'Données projet'!$A$270,$GR$205^A50,IF(A50='Données projet'!$A$270,'Données projet'!$B$270,GU49+GT50-HC49)))</f>
        <v>104.2</v>
      </c>
      <c r="GV50" s="138">
        <f>GU50*VLOOKUP('Données projet'!$B$18,'Paramètres'!$A$1:$I$89,3,0)*VLOOKUP('Données projet'!$B$18,'Paramètres'!$A$1:$I$89,5,0)</f>
        <v>112.16088</v>
      </c>
      <c r="GW50" s="130">
        <f t="shared" si="52"/>
        <v>29.83952689</v>
      </c>
      <c r="GX50" s="141">
        <f t="shared" si="29"/>
        <v>247.3173753</v>
      </c>
      <c r="GY50" s="133">
        <f t="shared" si="30"/>
        <v>540.6507087</v>
      </c>
      <c r="GZ50" s="133">
        <f>AVERAGE(OFFSET($GY$3,0,0,'Données projet'!$E$18+1,1))-AVERAGE(OFFSET($H$3,0,0,'Données projet'!$E$18+1,1))</f>
        <v>100.5427875</v>
      </c>
      <c r="HA50" s="133">
        <f t="shared" si="53"/>
        <v>92.28663609</v>
      </c>
      <c r="HB50" s="134">
        <f>IF(ISNA(VLOOKUP(A50,'Données projet'!$A$269:$I$289,3,0)),0,VLOOKUP(A50,'Données projet'!$A$269:$I$289,3,0))</f>
        <v>0</v>
      </c>
      <c r="HC50" s="134">
        <f>IF(ISNA(VLOOKUP(A50,'Données projet'!$A$269:$I$289,4,0)),0,VLOOKUP(A50,'Données projet'!$A$269:$I$289,4,0))</f>
        <v>0</v>
      </c>
      <c r="HD50" s="135">
        <f>IF(ISNA(VLOOKUP(A50,'Données projet'!$A$269:$I$289,5,0)),0%,VLOOKUP(A50,'Données projet'!$A$269:$I$289,5,0)*VLOOKUP('Données projet'!$B$18,'Paramètres'!$A$1:$I$89,7,0))</f>
        <v>0</v>
      </c>
      <c r="HE50" s="135">
        <f>IF(ISNA(VLOOKUP(A50,'Données projet'!$A$269:$I$289,6,0)),0%,VLOOKUP(A50,'Données projet'!$A$269:$I$289,6,0)*VLOOKUP('Données projet'!$B$18,'Paramètres'!$A$1:$I$89,7,0))</f>
        <v>0</v>
      </c>
      <c r="HF50" s="135">
        <f>IF(ISNA(VLOOKUP(A50,'Données projet'!$A$269:$I$289,7,0)),0%,VLOOKUP(A50,'Données projet'!$A$269:$I$289,7,0))</f>
        <v>0</v>
      </c>
      <c r="HG50" s="142">
        <f>EXP(-LN(2)/35)*HG49+(1-EXP(-LN(2)/35))/(LN(2)/35)*HC50*HD50*VLOOKUP('Données projet'!$B$18,'Paramètres'!$A$1:$I$89,3,0)*0.475*44/12</f>
        <v>5.050232692</v>
      </c>
      <c r="HH50" s="142">
        <f>EXP(-LN(2)/25)*HH49+(1-EXP(-LN(2)/25))/(LN(2)/25)*Calculateur!HC50*Calculateur!HE50*VLOOKUP('Données projet'!$B$18,'Paramètres'!$A$1:$I$89,3,0)*0.475*44/12</f>
        <v>0</v>
      </c>
      <c r="HI50" s="142">
        <f>EXP(-LN(2)/2)*HI49+(1-EXP(-LN(2)/2))/(LN(2)/2)*HC50*HF50*VLOOKUP('Données projet'!$B$18,'Paramètres'!$A$1:$I$89,3,0)*0.475*44/12</f>
        <v>0</v>
      </c>
      <c r="HJ50" s="143">
        <f t="shared" si="31"/>
        <v>5.050232692</v>
      </c>
    </row>
    <row r="51" ht="15.75" customHeight="1">
      <c r="A51" s="125">
        <f t="shared" si="32"/>
        <v>48</v>
      </c>
      <c r="B51" s="126">
        <f>'Scénario référence'!$B$16*5+'Scénario référence'!$B$17*0+'Scénario référence'!$B$18*5</f>
        <v>0</v>
      </c>
      <c r="C51" s="140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26.208</v>
      </c>
      <c r="D51" s="127">
        <f t="shared" si="33"/>
        <v>8.258101972</v>
      </c>
      <c r="E5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7">
        <f>IF(OR('Scénario référence'!$F$8&gt;0,'Scénario référence'!$F$9&gt;0),('Scénario référence'!$F$8+'Scénario référence'!$F$9)*10,0)</f>
        <v>10</v>
      </c>
      <c r="G51" s="127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266.0541205</v>
      </c>
      <c r="H51" s="128">
        <f t="shared" si="1"/>
        <v>353.3617943</v>
      </c>
      <c r="I51" s="12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1" t="str">
        <f>VLOOKUP(A51,'Données projet'!$A$35:$I$55,2,0)</f>
        <v>#N/A</v>
      </c>
      <c r="L51" s="131" t="str">
        <f>VLOOKUP(A51,'Données projet'!$A$35:$I$55,9,0)</f>
        <v>#N/A</v>
      </c>
      <c r="M51" s="131">
        <f t="array" ref="M51">INDEX(L:L,MIN(IF(ISNUMBER(L51:L247),ROW(L51:L247),"")))</f>
        <v>11.6</v>
      </c>
      <c r="N51" s="130">
        <f>IF('Données projet'!$A$36&gt;35,N50+M51-V50,IF(A51&lt;'Données projet'!$A$36,$K$205^A51,IF(A51='Données projet'!$A$36,'Données projet'!$B$36,N50+M51-V50)))</f>
        <v>262.8</v>
      </c>
      <c r="O51" s="130">
        <f>N51*VLOOKUP('Données projet'!$B$9,'Paramètres'!$A$1:$I$89,3,0)*VLOOKUP('Données projet'!$B$9,'Paramètres'!$A$1:$I$89,5,0)</f>
        <v>150.3216</v>
      </c>
      <c r="P51" s="130">
        <f t="shared" si="34"/>
        <v>38.65166126</v>
      </c>
      <c r="Q51" s="141">
        <f t="shared" si="2"/>
        <v>329.12843</v>
      </c>
      <c r="R51" s="133">
        <f t="shared" si="3"/>
        <v>622.4617634</v>
      </c>
      <c r="S51" s="133">
        <f>AVERAGE(OFFSET($R$3,0,0,'Données projet'!$E$9+1,1))-AVERAGE(OFFSET($H$3,0,0,'Données projet'!$E$9+1,1))</f>
        <v>126.9946492</v>
      </c>
      <c r="T51" s="133">
        <f t="shared" si="35"/>
        <v>140.039049</v>
      </c>
      <c r="U51" s="134">
        <f>IF(ISNA(VLOOKUP(A51,'Données projet'!$A$35:$I$55,3,0)),0,VLOOKUP(A51,'Données projet'!$A$35:$I$55,3,0))</f>
        <v>0</v>
      </c>
      <c r="V51" s="134">
        <f>IF(ISNA(VLOOKUP(A51,'Données projet'!$A$35:$I$55,4,0)),0,VLOOKUP(A51,'Données projet'!$A$35:$I$55,4,0))</f>
        <v>0</v>
      </c>
      <c r="W51" s="135">
        <f>IF(ISNA(VLOOKUP(A51,'Données projet'!$A$35:$I$55,5,0)),0%,VLOOKUP(A51,'Données projet'!$A$35:$I$55,5,0)*VLOOKUP('Données projet'!$B$9,'Paramètres'!$A$1:$I$89,7,0))</f>
        <v>0</v>
      </c>
      <c r="X51" s="135">
        <f>IF(ISNA(VLOOKUP(A51,'Données projet'!$A$35:$I$55,6,0)),0%,VLOOKUP(A51,'Données projet'!$A$35:$I$55,6,0)*VLOOKUP('Données projet'!$B$9,'Paramètres'!$A$1:$I$89,7,0))</f>
        <v>0</v>
      </c>
      <c r="Y51" s="135">
        <f>IF(ISNA(VLOOKUP(A51,'Données projet'!$A$35:$I$55,7,0)),0%,VLOOKUP(A51,'Données projet'!$A$35:$I$55,7,0))</f>
        <v>0</v>
      </c>
      <c r="Z51" s="142">
        <f>EXP(-LN(2)/35)*Z50+(1-EXP(-LN(2)/35))/(LN(2)/35)*V51*W51*VLOOKUP('Données projet'!$B$9,'Paramètres'!$A$1:$I$89,3,0)*0.475*44/12</f>
        <v>6.890968941</v>
      </c>
      <c r="AA51" s="142">
        <f>EXP(-LN(2)/25)*AA50+(1-EXP(-LN(2)/25))/(LN(2)/25)*Calculateur!V51*Calculateur!X51*VLOOKUP('Données projet'!$B$9,'Paramètres'!$A$1:$I$89,3,0)*0.475*44/12</f>
        <v>9.697936482</v>
      </c>
      <c r="AB51" s="142">
        <f>EXP(-LN(2)/2)*AB50+(1-EXP(-LN(2)/2))/(LN(2)/2)*V51*Y51*VLOOKUP('Données projet'!$B$9,'Paramètres'!$A$1:$I$89,3,0)*0.475*44/12</f>
        <v>0.4773277756</v>
      </c>
      <c r="AC51" s="143">
        <f t="shared" si="4"/>
        <v>17.0662332</v>
      </c>
      <c r="AD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1" t="str">
        <f>VLOOKUP(A51,'Données projet'!$A$61:$I$81,2,0)</f>
        <v>#N/A</v>
      </c>
      <c r="AG51" s="131" t="str">
        <f>VLOOKUP(A51,'Données projet'!$A$61:$I$81,9,0)</f>
        <v>#N/A</v>
      </c>
      <c r="AH51" s="131">
        <f t="array" ref="AH51">INDEX(AG:AG,MIN(IF(ISNUMBER(AG51:AG247),ROW(AG51:AG247),"")))</f>
        <v>17.4</v>
      </c>
      <c r="AI51" s="130">
        <f>IF('Données projet'!$A$62&gt;35,AI50+AH51-AQ50,IF(A51&lt;'Données projet'!$A$62,$AF$205^A51,IF(A51='Données projet'!$A$62,'Données projet'!$B$62,AI50+AH51-AQ50)))</f>
        <v>317.2</v>
      </c>
      <c r="AJ51" s="130">
        <f>AI51*VLOOKUP('Données projet'!$B$10,'Paramètres'!$A$1:$I$89,3,0)*VLOOKUP('Données projet'!$B$10,'Paramètres'!$A$1:$I$89,5,0)</f>
        <v>189.6856</v>
      </c>
      <c r="AK51" s="130">
        <f t="shared" si="36"/>
        <v>47.47043678</v>
      </c>
      <c r="AL51" s="141">
        <f t="shared" si="5"/>
        <v>413.0467641</v>
      </c>
      <c r="AM51" s="133">
        <f t="shared" si="6"/>
        <v>706.3800974</v>
      </c>
      <c r="AN51" s="133">
        <f>AVERAGE(OFFSET($AM$3,0,0,'Données projet'!$E$10+1,1))-AVERAGE(OFFSET($H$3,0,0,'Données projet'!$E$10+1,1))</f>
        <v>196.874484</v>
      </c>
      <c r="AO51" s="133">
        <f t="shared" si="37"/>
        <v>217.5750859</v>
      </c>
      <c r="AP51" s="134">
        <f>IF(ISNA(VLOOKUP(A51,'Données projet'!$A$61:$I$81,3,0)),0,VLOOKUP(A51,'Données projet'!$A$61:$I$81,3,0))</f>
        <v>0</v>
      </c>
      <c r="AQ51" s="134">
        <f>IF(ISNA(VLOOKUP(A51,'Données projet'!$A$61:$I$81,4,0)),0,VLOOKUP(A51,'Données projet'!$A$61:$I$81,4,0))</f>
        <v>0</v>
      </c>
      <c r="AR51" s="135">
        <f>IF(ISNA(VLOOKUP(A51,'Données projet'!$A$61:$I$81,5,0)),0%,VLOOKUP(A51,'Données projet'!$A$61:$I$81,5,0)*VLOOKUP('Données projet'!$B$10,'Paramètres'!$A$1:$I$89,7,0))</f>
        <v>0</v>
      </c>
      <c r="AS51" s="135">
        <f>IF(ISNA(VLOOKUP(A51,'Données projet'!$A$61:$I$81,6,0)),0%,VLOOKUP(A51,'Données projet'!$A$61:$I$81,6,0)*VLOOKUP('Données projet'!$B$10,'Paramètres'!$A$1:$I$89,7,0))</f>
        <v>0</v>
      </c>
      <c r="AT51" s="135">
        <f>IF(ISNA(VLOOKUP(A51,'Données projet'!$A$61:$I$81,7,0)),0%,VLOOKUP(A51,'Données projet'!$A$61:$I$81,7,0))</f>
        <v>0</v>
      </c>
      <c r="AU51" s="142">
        <f>EXP(-LN(2)/35)*AU50+(1-EXP(-LN(2)/35))/(LN(2)/35)*AQ51*AR51*VLOOKUP('Données projet'!$B$10,'Paramètres'!$A$1:$I$89,3,0)*0.475*44/12</f>
        <v>16.09040925</v>
      </c>
      <c r="AV51" s="142">
        <f>EXP(-LN(2)/25)*AV50+(1-EXP(-LN(2)/25))/(LN(2)/25)*Calculateur!AQ51*Calculateur!AS51*VLOOKUP('Données projet'!$B$10,'Paramètres'!$A$1:$I$89,3,0)*0.475*44/12</f>
        <v>20.93178731</v>
      </c>
      <c r="AW51" s="142">
        <f>EXP(-LN(2)/2)*AW50+(1-EXP(-LN(2)/2))/(LN(2)/2)*AQ51*AT51*VLOOKUP('Données projet'!$B$10,'Paramètres'!$A$1:$I$89,3,0)*0.475*44/12</f>
        <v>3.933594404</v>
      </c>
      <c r="AX51" s="142">
        <f t="shared" si="7"/>
        <v>40.95579096</v>
      </c>
      <c r="AY51" s="13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1" t="str">
        <f>VLOOKUP(A51,'Données projet'!$A$87:$I$107,2,0)</f>
        <v>#N/A</v>
      </c>
      <c r="BB51" s="131" t="str">
        <f>VLOOKUP(A51,'Données projet'!$A$87:$I$107,9,0)</f>
        <v>#N/A</v>
      </c>
      <c r="BC51" s="130">
        <f t="array" ref="BC51">INDEX(BB:BB,MIN(IF(ISNUMBER(BB51:BB247),ROW(BB51:BB247),"")))</f>
        <v>14</v>
      </c>
      <c r="BD51" s="130">
        <f>IF('Données projet'!$A$88&gt;35,BD50+BC51-BL50,IF(A51&lt;'Données projet'!$A$88,$BA$205^A51,IF(A51='Données projet'!$A$88,'Données projet'!$B$88,BD50+BC51-BL50)))</f>
        <v>272</v>
      </c>
      <c r="BE51" s="130">
        <f>BD51*VLOOKUP('Données projet'!$B$11,'Paramètres'!$A$1:$I$89,3,0)*VLOOKUP('Données projet'!$B$11,'Paramètres'!$A$1:$I$89,5,0)</f>
        <v>127.296</v>
      </c>
      <c r="BF51" s="130">
        <f t="shared" si="38"/>
        <v>33.37078203</v>
      </c>
      <c r="BG51" s="141">
        <f t="shared" si="8"/>
        <v>279.8279787</v>
      </c>
      <c r="BH51" s="133">
        <f t="shared" si="9"/>
        <v>573.161312</v>
      </c>
      <c r="BI51" s="133">
        <f>AVERAGE(OFFSET($BH$3,0,0,'Données projet'!$E$11+1,1))-AVERAGE(OFFSET($H$3,0,0,'Données projet'!$E$11+1,1))</f>
        <v>134.0948534</v>
      </c>
      <c r="BJ51" s="133">
        <f t="shared" si="39"/>
        <v>108.4102536</v>
      </c>
      <c r="BK51" s="134">
        <f>IF(ISNA(VLOOKUP(A51,'Données projet'!$A$87:$I$107,3,0)),0,VLOOKUP(A51,'Données projet'!$A$87:$I$107,3,0))</f>
        <v>0</v>
      </c>
      <c r="BL51" s="134">
        <f>IF(ISNA(VLOOKUP(A51,'Données projet'!$A$87:$I$107,4,0)),0,VLOOKUP(A51,'Données projet'!$A$87:$I$107,4,0))</f>
        <v>0</v>
      </c>
      <c r="BM51" s="135">
        <f>IF(ISNA(VLOOKUP(A51,'Données projet'!$A$87:$I$107,5,0)),0%,VLOOKUP(A51,'Données projet'!$A$87:$I$107,5,0)*VLOOKUP('Données projet'!$B$11,'Paramètres'!$A$1:$I$89,7,0))</f>
        <v>0</v>
      </c>
      <c r="BN51" s="135">
        <f>IF(ISNA(VLOOKUP(A51,'Données projet'!$A$87:$I$107,6,0)),0%,VLOOKUP(A51,'Données projet'!$A$87:$I$107,6,0)*VLOOKUP('Données projet'!$B$11,'Paramètres'!$A$1:$I$89,7,0))</f>
        <v>0</v>
      </c>
      <c r="BO51" s="135">
        <f>IF(ISNA(VLOOKUP(A51,'Données projet'!$A$87:$I$107,7,0)),0%,VLOOKUP(A51,'Données projet'!$A$87:$I$107,7,0))</f>
        <v>0</v>
      </c>
      <c r="BP51" s="142">
        <f>EXP(-LN(2)/35)*BP50+(1-EXP(-LN(2)/35))/(LN(2)/35)*BL51*BM51*VLOOKUP('Données projet'!$B$11,'Paramètres'!$A$1:$I$89,3,0)*0.475*44/12</f>
        <v>7.741087559</v>
      </c>
      <c r="BQ51" s="142">
        <f>EXP(-LN(2)/25)*BQ50+(1-EXP(-LN(2)/25))/(LN(2)/25)*Calculateur!BL51*Calculateur!BN51*VLOOKUP('Données projet'!$B$11,'Paramètres'!$A$1:$I$89,3,0)*0.475*44/12</f>
        <v>8.27739042</v>
      </c>
      <c r="BR51" s="142">
        <f>EXP(-LN(2)/2)*BR50+(1-EXP(-LN(2)/2))/(LN(2)/2)*BL51*BO51*VLOOKUP('Données projet'!$B$11,'Paramètres'!$A$1:$I$89,3,0)*0.475*44/12</f>
        <v>0.4517267197</v>
      </c>
      <c r="BS51" s="143">
        <f t="shared" si="10"/>
        <v>16.4702047</v>
      </c>
      <c r="BT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1" t="str">
        <f>VLOOKUP(A51,'Données projet'!$A$113:$I$133,2,0)</f>
        <v>#N/A</v>
      </c>
      <c r="BW51" s="131" t="str">
        <f>VLOOKUP(A51,'Données projet'!$A$113:$I$133,9,0)</f>
        <v>#N/A</v>
      </c>
      <c r="BX51" s="130">
        <f t="array" ref="BX51">INDEX(BW:BW,MIN(IF(ISNUMBER(BW51:BW247),ROW(BW51:BW247),"")))</f>
        <v>22.8</v>
      </c>
      <c r="BY51" s="130">
        <f>IF('Données projet'!$A$114&gt;35,BY50+BX51-CG50,IF(A51&lt;'Données projet'!$A$114,$BV$205^A51,IF(A51='Données projet'!$A$114,'Données projet'!$B$114,BY50+BX51-CG50)))</f>
        <v>499.4</v>
      </c>
      <c r="BZ51" s="130">
        <f>BY51*VLOOKUP('Données projet'!$B$12,'Paramètres'!$A$1:$I$89,3,0)*VLOOKUP('Données projet'!$B$12,'Paramètres'!$A$1:$I$89,5,0)</f>
        <v>246.7036</v>
      </c>
      <c r="CA51" s="130">
        <f t="shared" si="40"/>
        <v>59.87952204</v>
      </c>
      <c r="CB51" s="141">
        <f t="shared" si="11"/>
        <v>533.9656042</v>
      </c>
      <c r="CC51" s="133">
        <f t="shared" si="12"/>
        <v>827.2989376</v>
      </c>
      <c r="CD51" s="133">
        <f>AVERAGE(OFFSET($CC$3,0,0,'Données projet'!$E$12+1,1))-AVERAGE(OFFSET($H$3,0,0,'Données projet'!$E$12+1,1))</f>
        <v>258.1672054</v>
      </c>
      <c r="CE51" s="133">
        <f t="shared" si="41"/>
        <v>296.0724261</v>
      </c>
      <c r="CF51" s="134">
        <f>IF(ISNA(VLOOKUP(A51,'Données projet'!$A$113:$I$133,3,0)),0,VLOOKUP(A51,'Données projet'!$A$113:$I$133,3,0))</f>
        <v>0</v>
      </c>
      <c r="CG51" s="134">
        <f>IF(ISNA(VLOOKUP(A51,'Données projet'!$A$113:$I$133,4,0)),0,VLOOKUP(A51,'Données projet'!$A$113:$I$133,4,0))</f>
        <v>0</v>
      </c>
      <c r="CH51" s="135">
        <f>IF(ISNA(VLOOKUP(A51,'Données projet'!$A$113:$I$133,5,0)),0%,VLOOKUP(A51,'Données projet'!$A$113:$I$133,5,0)*VLOOKUP('Données projet'!$B$12,'Paramètres'!$A$1:$I$89,7,0))</f>
        <v>0</v>
      </c>
      <c r="CI51" s="135">
        <f>IF(ISNA(VLOOKUP(A51,'Données projet'!$A$113:$I$133,6,0)),0%,VLOOKUP(A51,'Données projet'!$A$113:$I$133,6,0)*VLOOKUP('Données projet'!$B$12,'Paramètres'!$A$1:$I$89,7,0))</f>
        <v>0</v>
      </c>
      <c r="CJ51" s="135">
        <f>IF(ISNA(VLOOKUP(A51,'Données projet'!$A$113:$I$133,7,0)),0%,VLOOKUP(A51,'Données projet'!$A$113:$I$133,7,0))</f>
        <v>0</v>
      </c>
      <c r="CK51" s="142">
        <f>EXP(-LN(2)/35)*CK50+(1-EXP(-LN(2)/35))/(LN(2)/35)*CG51*CH51*VLOOKUP('Données projet'!$B$12,'Paramètres'!$A$1:$I$89,3,0)*0.475*44/12</f>
        <v>33.67083787</v>
      </c>
      <c r="CL51" s="142">
        <f>EXP(-LN(2)/25)*CL50+(1-EXP(-LN(2)/25))/(LN(2)/25)*Calculateur!CG51*Calculateur!CI51*VLOOKUP('Données projet'!$B$12,'Paramètres'!$A$1:$I$89,3,0)*0.475*44/12</f>
        <v>27.90604282</v>
      </c>
      <c r="CM51" s="142">
        <f>EXP(-LN(2)/2)*CM50+(1-EXP(-LN(2)/2))/(LN(2)/2)*CG51*CJ51*VLOOKUP('Données projet'!$B$12,'Paramètres'!$A$1:$I$89,3,0)*0.475*44/12</f>
        <v>2.944711646</v>
      </c>
      <c r="CN51" s="143">
        <f t="shared" si="13"/>
        <v>64.52159233</v>
      </c>
      <c r="CO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1" t="str">
        <f>VLOOKUP(A51,'Données projet'!$A$139:$I$159,2,0)</f>
        <v>#N/A</v>
      </c>
      <c r="CR51" s="131" t="str">
        <f>VLOOKUP(A51,'Données projet'!$A$139:$I$159,9,0)</f>
        <v>#N/A</v>
      </c>
      <c r="CS51" s="130">
        <f t="array" ref="CS51">INDEX(CR:CR,MIN(IF(ISNUMBER(CR51:CR247),ROW(CR51:CR247),"")))</f>
        <v>5.6</v>
      </c>
      <c r="CT51" s="138">
        <f>IF('Données projet'!$A$140&gt;35,CT50+CS51-DB50,IF(A51&lt;'Données projet'!$A$140,$CQ$205^A51,IF(A51='Données projet'!$A$140,'Données projet'!$B$140,CT50+CS51-DB50)))</f>
        <v>109.8</v>
      </c>
      <c r="CU51" s="138">
        <f>CT51*VLOOKUP('Données projet'!$B$13,'Paramètres'!$A$1:$I$89,3,0)*VLOOKUP('Données projet'!$B$13,'Paramètres'!$A$1:$I$89,5,0)</f>
        <v>111.3372</v>
      </c>
      <c r="CV51" s="130">
        <f t="shared" si="42"/>
        <v>29.64581742</v>
      </c>
      <c r="CW51" s="141">
        <f t="shared" si="14"/>
        <v>245.545422</v>
      </c>
      <c r="CX51" s="133">
        <f t="shared" si="15"/>
        <v>538.8787553</v>
      </c>
      <c r="CY51" s="133">
        <f>AVERAGE(OFFSET($CX$3,0,0,'Données projet'!$E$13+1,1))-AVERAGE(OFFSET($H$3,0,0,'Données projet'!$E$13+1,1))</f>
        <v>223.783507</v>
      </c>
      <c r="CZ51" s="133">
        <f t="shared" si="43"/>
        <v>84.92349117</v>
      </c>
      <c r="DA51" s="134">
        <f>IF(ISNA(VLOOKUP(A51,'Données projet'!$A$139:$I$159,3,0)),0,VLOOKUP(A51,'Données projet'!$A$139:$I$159,3,0))</f>
        <v>0</v>
      </c>
      <c r="DB51" s="134">
        <f>IF(ISNA(VLOOKUP(A51,'Données projet'!$A$139:$I$159,4,0)),0,VLOOKUP(A51,'Données projet'!$A$139:$I$159,4,0))</f>
        <v>0</v>
      </c>
      <c r="DC51" s="135">
        <f>IF(ISNA(VLOOKUP(A51,'Données projet'!$A$139:$I$159,5,0)),0%,VLOOKUP(A51,'Données projet'!$A$139:$I$159,5,0)*VLOOKUP('Données projet'!$B$13,'Paramètres'!$A$1:$I$89,7,0))</f>
        <v>0</v>
      </c>
      <c r="DD51" s="135">
        <f>IF(ISNA(VLOOKUP(A51,'Données projet'!$A$139:$I$159,6,0)),0%,VLOOKUP(A51,'Données projet'!$A$139:$I$159,6,0)*VLOOKUP('Données projet'!$B$13,'Paramètres'!$A$1:$I$89,7,0))</f>
        <v>0</v>
      </c>
      <c r="DE51" s="135">
        <f>IF(ISNA(VLOOKUP(A51,'Données projet'!$A$139:$I$159,7,0)),0%,VLOOKUP(A51,'Données projet'!$A$139:$I$159,7,0))</f>
        <v>0</v>
      </c>
      <c r="DF51" s="142">
        <f>EXP(-LN(2)/35)*DF50+(1-EXP(-LN(2)/35))/(LN(2)/35)*DB51*DC51*VLOOKUP('Données projet'!$B$13,'Paramètres'!$A$1:$I$89,3,0)*0.475*44/12</f>
        <v>1.271771186</v>
      </c>
      <c r="DG51" s="142">
        <f>EXP(-LN(2)/25)*DG50+(1-EXP(-LN(2)/25))/(LN(2)/25)*Calculateur!DB51*Calculateur!DD51*VLOOKUP('Données projet'!$B$13,'Paramètres'!$A$1:$I$89,3,0)*0.475*44/12</f>
        <v>0</v>
      </c>
      <c r="DH51" s="142">
        <f>EXP(-LN(2)/2)*DH50+(1-EXP(-LN(2)/2))/(LN(2)/2)*DB51*DE51*VLOOKUP('Données projet'!$B$13,'Paramètres'!$A$1:$I$89,3,0)*0.475*44/12</f>
        <v>0</v>
      </c>
      <c r="DI51" s="143">
        <f t="shared" si="16"/>
        <v>1.271771186</v>
      </c>
      <c r="DJ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1" t="str">
        <f>VLOOKUP(A51,'Données projet'!$A$165:$I$185,2,0)</f>
        <v>#N/A</v>
      </c>
      <c r="DM51" s="131" t="str">
        <f>VLOOKUP(A51,'Données projet'!$A$165:$I$185,9,0)</f>
        <v>#N/A</v>
      </c>
      <c r="DN51" s="131">
        <f t="array" ref="DN51">INDEX(DM:DM,MIN(IF(ISNUMBER(DM51:DM247),ROW(DM51:DM247),"")))</f>
        <v>8.2</v>
      </c>
      <c r="DO51" s="138">
        <f>IF('Données projet'!$A$166&gt;35,DO50+DN51-DW50,IF(A51&lt;'Données projet'!$A$166,$DL$205^A51,IF(A51='Données projet'!$A$166,'Données projet'!$B$166,DO50+DN51-DW50)))</f>
        <v>161.6</v>
      </c>
      <c r="DP51" s="138">
        <f>DO51*VLOOKUP('Données projet'!$B$14,'Paramètres'!$A$1:$I$89,3,0)*VLOOKUP('Données projet'!$B$14,'Paramètres'!$A$1:$I$89,5,0)</f>
        <v>146.21568</v>
      </c>
      <c r="DQ51" s="130">
        <f t="shared" si="44"/>
        <v>37.71731055</v>
      </c>
      <c r="DR51" s="141">
        <f t="shared" si="17"/>
        <v>320.3499585</v>
      </c>
      <c r="DS51" s="133">
        <f t="shared" si="18"/>
        <v>613.6832919</v>
      </c>
      <c r="DT51" s="133">
        <f>AVERAGE(OFFSET($DS$3,0,0,'Données projet'!$E$14+1,1))-AVERAGE(OFFSET($H$3,0,0,'Données projet'!$E$14+1,1))</f>
        <v>287.9334714</v>
      </c>
      <c r="DU51" s="133">
        <f t="shared" si="45"/>
        <v>156.6796502</v>
      </c>
      <c r="DV51" s="134">
        <f>IF(ISNA(VLOOKUP(A51,'Données projet'!$A$165:$I$185,3,0)),0,VLOOKUP(A51,'Données projet'!$A$165:$I$185,3,0))</f>
        <v>0</v>
      </c>
      <c r="DW51" s="134">
        <f>IF(ISNA(VLOOKUP(A51,'Données projet'!$A$165:$I$185,4,0)),0,VLOOKUP(A51,'Données projet'!$A$165:$I$185,4,0))</f>
        <v>0</v>
      </c>
      <c r="DX51" s="135">
        <f>IF(ISNA(VLOOKUP(A51,'Données projet'!$A$165:$I$185,5,0)),0%,VLOOKUP(A51,'Données projet'!$A$165:$I$185,5,0)*VLOOKUP('Données projet'!$B$14,'Paramètres'!$A$1:$I$89,7,0))</f>
        <v>0</v>
      </c>
      <c r="DY51" s="135">
        <f>IF(ISNA(VLOOKUP(A51,'Données projet'!$A$165:$I$185,6,0)),0%,VLOOKUP(A51,'Données projet'!$A$165:$I$185,6,0)*VLOOKUP('Données projet'!$B$14,'Paramètres'!$A$1:$I$89,7,0))</f>
        <v>0</v>
      </c>
      <c r="DZ51" s="135">
        <f>IF(ISNA(VLOOKUP(A51,'Données projet'!$A$165:$I$185,7,0)),0%,VLOOKUP(A51,'Données projet'!$A$165:$I$185,7,0))</f>
        <v>0</v>
      </c>
      <c r="EA51" s="142">
        <f>EXP(-LN(2)/35)*EA50+(1-EXP(-LN(2)/35))/(LN(2)/35)*DW51*DX51*VLOOKUP('Données projet'!$B$14,'Paramètres'!$A$1:$I$89,3,0)*0.475*44/12</f>
        <v>3.243954873</v>
      </c>
      <c r="EB51" s="142">
        <f>EXP(-LN(2)/25)*EB50+(1-EXP(-LN(2)/25))/(LN(2)/25)*Calculateur!DW51*Calculateur!DY51*VLOOKUP('Données projet'!$B$14,'Paramètres'!$A$1:$I$89,3,0)*0.475*44/12</f>
        <v>0</v>
      </c>
      <c r="EC51" s="142">
        <f>EXP(-LN(2)/2)*EC50+(1-EXP(-LN(2)/2))/(LN(2)/2)*DW51*DZ51*VLOOKUP('Données projet'!$B$14,'Paramètres'!$A$1:$I$89,3,0)*0.475*44/12</f>
        <v>0</v>
      </c>
      <c r="ED51" s="143">
        <f t="shared" si="19"/>
        <v>3.243954873</v>
      </c>
      <c r="EE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1" t="str">
        <f>VLOOKUP(A51,'Données projet'!$A$191:$I$211,2,0)</f>
        <v>#N/A</v>
      </c>
      <c r="EH51" s="131" t="str">
        <f>VLOOKUP(A51,'Données projet'!$A$191:$I$211,9,0)</f>
        <v>#N/A</v>
      </c>
      <c r="EI51" s="131">
        <f t="array" ref="EI51">INDEX(EH:EH,MIN(IF(ISNUMBER(EH51:EH247),ROW(EH51:EH247),"")))</f>
        <v>8.2</v>
      </c>
      <c r="EJ51" s="138">
        <f>IF('Données projet'!$A$192&gt;35,EJ50+EI51-ER50,IF(A51&lt;'Données projet'!$A$192,$EG$205^A51,IF(A51='Données projet'!$A$192,'Données projet'!$B$192,EJ50+EI51-ER50)))</f>
        <v>137.6</v>
      </c>
      <c r="EK51" s="138">
        <f>EJ51*VLOOKUP('Données projet'!$B$15,'Paramètres'!$A$1:$I$89,3,0)*VLOOKUP('Données projet'!$B$15,'Paramètres'!$A$1:$I$89,5,0)</f>
        <v>100.88832</v>
      </c>
      <c r="EL51" s="130">
        <f t="shared" si="46"/>
        <v>27.17351849</v>
      </c>
      <c r="EM51" s="141">
        <f t="shared" si="20"/>
        <v>223.0410354</v>
      </c>
      <c r="EN51" s="133">
        <f t="shared" si="21"/>
        <v>516.3743687</v>
      </c>
      <c r="EO51" s="133">
        <f>AVERAGE(OFFSET($EN$3,0,0,'Données projet'!$E$15+1,1))-AVERAGE(OFFSET($H$3,0,0,'Données projet'!$E$15+1,1))</f>
        <v>130.3193339</v>
      </c>
      <c r="EP51" s="133">
        <f t="shared" si="47"/>
        <v>82.22784365</v>
      </c>
      <c r="EQ51" s="134">
        <f>IF(ISNA(VLOOKUP(A51,'Données projet'!$A$191:$I$211,3,0)),0,VLOOKUP(A51,'Données projet'!$A$191:$I$211,3,0))</f>
        <v>0</v>
      </c>
      <c r="ER51" s="134">
        <f>IF(ISNA(VLOOKUP(A51,'Données projet'!$A$191:$I$211,4,0)),0,VLOOKUP(A51,'Données projet'!$A$191:$I$211,4,0))</f>
        <v>0</v>
      </c>
      <c r="ES51" s="135">
        <f>IF(ISNA(VLOOKUP(A51,'Données projet'!$A$191:$I$211,5,0)),0%,VLOOKUP(A51,'Données projet'!$A$191:$I$211,5,0)*VLOOKUP('Données projet'!$B$15,'Paramètres'!$A$1:$I$89,7,0))</f>
        <v>0</v>
      </c>
      <c r="ET51" s="135">
        <f>IF(ISNA(VLOOKUP(A51,'Données projet'!$A$191:$I$211,6,0)),0%,VLOOKUP(A51,'Données projet'!$A$191:$I$211,6,0)*VLOOKUP('Données projet'!$B$15,'Paramètres'!$A$1:$I$89,7,0))</f>
        <v>0</v>
      </c>
      <c r="EU51" s="135">
        <f>IF(ISNA(VLOOKUP(A51,'Données projet'!$A$191:$I$211,7,0)),0%,VLOOKUP(A51,'Données projet'!$A$191:$I$211,7,0))</f>
        <v>0</v>
      </c>
      <c r="EV51" s="142">
        <f>EXP(-LN(2)/35)*EV50+(1-EXP(-LN(2)/35))/(LN(2)/35)*ER51*ES51*VLOOKUP('Données projet'!$B$15,'Paramètres'!$A$1:$I$89,3,0)*0.475*44/12</f>
        <v>5.725305146</v>
      </c>
      <c r="EW51" s="142">
        <f>EXP(-LN(2)/25)*EW50+(1-EXP(-LN(2)/25))/(LN(2)/25)*Calculateur!ER51*Calculateur!ET51*VLOOKUP('Données projet'!$B$15,'Paramètres'!$A$1:$I$89,3,0)*0.475*44/12</f>
        <v>0</v>
      </c>
      <c r="EX51" s="142">
        <f>EXP(-LN(2)/2)*EX50+(1-EXP(-LN(2)/2))/(LN(2)/2)*ER51*EU51*VLOOKUP('Données projet'!$B$15,'Paramètres'!$A$1:$I$89,3,0)*0.475*44/12</f>
        <v>0</v>
      </c>
      <c r="EY51" s="143">
        <f t="shared" si="22"/>
        <v>5.725305146</v>
      </c>
      <c r="EZ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1" t="str">
        <f>VLOOKUP(A51,'Données projet'!$A$217:$I$237,2,0)</f>
        <v>#N/A</v>
      </c>
      <c r="FC51" s="131" t="str">
        <f>VLOOKUP(A51,'Données projet'!$A$217:$I$237,9,0)</f>
        <v>#N/A</v>
      </c>
      <c r="FD51" s="130">
        <f t="array" ref="FD51">INDEX(FC:FC,MIN(IF(ISNUMBER(FC51:FC247),ROW(FC51:FC247),"")))</f>
        <v>5.8</v>
      </c>
      <c r="FE51" s="130">
        <f>IF('Données projet'!$A$218&gt;35,FE50+FD51-FM50,IF(A51&lt;'Données projet'!$A$218,$FB$205^A51,IF(A51='Données projet'!$A$218,'Données projet'!$B$218,FE50+FD51-FM50)))</f>
        <v>247.4</v>
      </c>
      <c r="FF51" s="138">
        <f>FE51*VLOOKUP('Données projet'!$B$16,'Paramètres'!$A$1:$I$89,3,0)*VLOOKUP('Données projet'!$B$16,'Paramètres'!$A$1:$I$89,5,0)</f>
        <v>223.84752</v>
      </c>
      <c r="FG51" s="130">
        <f t="shared" si="48"/>
        <v>54.95027951</v>
      </c>
      <c r="FH51" s="141">
        <f t="shared" si="23"/>
        <v>485.5728341</v>
      </c>
      <c r="FI51" s="133">
        <f t="shared" si="24"/>
        <v>778.9061675</v>
      </c>
      <c r="FJ51" s="133">
        <f>AVERAGE(OFFSET($FI$3,0,0,'Données projet'!$E$16+1,1))-AVERAGE(OFFSET($H$3,0,0,'Données projet'!$E$16+1,1))</f>
        <v>305.6252353</v>
      </c>
      <c r="FK51" s="133">
        <f t="shared" si="49"/>
        <v>331.397916</v>
      </c>
      <c r="FL51" s="134">
        <f>IF(ISNA(VLOOKUP(A51,'Données projet'!$A$217:$I$237,3,0)),0,VLOOKUP(A51,'Données projet'!$A$217:$I$237,3,0))</f>
        <v>0</v>
      </c>
      <c r="FM51" s="134">
        <f>IF(ISNA(VLOOKUP(A51,'Données projet'!$A$217:$I$237,4,0)),0,VLOOKUP(A51,'Données projet'!$A$217:$I$237,4,0))</f>
        <v>0</v>
      </c>
      <c r="FN51" s="135">
        <f>IF(ISNA(VLOOKUP(A51,'Données projet'!$A$217:$I$237,5,0)),0%,VLOOKUP(A51,'Données projet'!$A$217:$I$237,5,0)*VLOOKUP('Données projet'!$B$16,'Paramètres'!$A$1:$I$89,7,0))</f>
        <v>0</v>
      </c>
      <c r="FO51" s="135">
        <f>IF(ISNA(VLOOKUP(A51,'Données projet'!$A$217:$I$237,6,0)),0%,VLOOKUP(A51,'Données projet'!$A$217:$I$237,6,0)*VLOOKUP('Données projet'!$B$16,'Paramètres'!$A$1:$I$89,7,0))</f>
        <v>0</v>
      </c>
      <c r="FP51" s="135">
        <f>IF(ISNA(VLOOKUP(A51,'Données projet'!$A$217:$I$237,7,0)),0%,VLOOKUP(A51,'Données projet'!$A$217:$I$237,7,0))</f>
        <v>0</v>
      </c>
      <c r="FQ51" s="142">
        <f>EXP(-LN(2)/35)*FQ50+(1-EXP(-LN(2)/35))/(LN(2)/35)*FM51*FN51*VLOOKUP('Données projet'!$B$16,'Paramètres'!$A$1:$I$89,3,0)*0.475*44/12</f>
        <v>2.929707252</v>
      </c>
      <c r="FR51" s="142">
        <f>EXP(-LN(2)/25)*FR50+(1-EXP(-LN(2)/25))/(LN(2)/25)*Calculateur!FM51*Calculateur!FO51*VLOOKUP('Données projet'!$B$16,'Paramètres'!$A$1:$I$89,3,0)*0.475*44/12</f>
        <v>0</v>
      </c>
      <c r="FS51" s="142">
        <f>EXP(-LN(2)/2)*FS50+(1-EXP(-LN(2)/2))/(LN(2)/2)*FM51*FP51*VLOOKUP('Données projet'!$B$16,'Paramètres'!$A$1:$I$89,3,0)*0.475*44/12</f>
        <v>0</v>
      </c>
      <c r="FT51" s="143">
        <f t="shared" si="25"/>
        <v>2.929707252</v>
      </c>
      <c r="FU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1" t="str">
        <f>VLOOKUP(A51,'Données projet'!$A$243:$I$263,2,0)</f>
        <v>#N/A</v>
      </c>
      <c r="FX51" s="131" t="str">
        <f>VLOOKUP(A51,'Données projet'!$A$243:$I$263,9,0)</f>
        <v>#N/A</v>
      </c>
      <c r="FY51" s="130">
        <f t="array" ref="FY51">INDEX(FX:FX,MIN(IF(ISNUMBER(FX51:FX247),ROW(FX51:FX247),"")))</f>
        <v>11</v>
      </c>
      <c r="FZ51" s="138">
        <f>IF('Données projet'!$A$244&gt;35,FZ50+FY51-GH50,IF(A51&lt;'Données projet'!$A$244,$FW$205^A51,IF(A51='Données projet'!$A$244,'Données projet'!$B$244,FZ50+FY51-GH50)))</f>
        <v>195</v>
      </c>
      <c r="GA51" s="138">
        <f>FZ51*VLOOKUP('Données projet'!$B$17,'Paramètres'!$A$1:$I$89,3,0)*VLOOKUP('Données projet'!$B$17,'Paramètres'!$A$1:$I$89,5,0)</f>
        <v>130.806</v>
      </c>
      <c r="GB51" s="130">
        <f t="shared" si="50"/>
        <v>34.18253522</v>
      </c>
      <c r="GC51" s="141">
        <f t="shared" si="26"/>
        <v>287.3550322</v>
      </c>
      <c r="GD51" s="133">
        <f t="shared" si="27"/>
        <v>580.6883655</v>
      </c>
      <c r="GE51" s="133">
        <f>AVERAGE(OFFSET($GD$3,0,0,'Données projet'!$E$17+1,1))-AVERAGE(OFFSET($H$3,0,0,'Données projet'!$E$17+1,1))</f>
        <v>118.7368745</v>
      </c>
      <c r="GF51" s="133">
        <f t="shared" si="51"/>
        <v>135.1233677</v>
      </c>
      <c r="GG51" s="134">
        <f>IF(ISNA(VLOOKUP(A51,'Données projet'!$A$243:$I$263,3,0)),0,VLOOKUP(A51,'Données projet'!$A$243:$I$263,3,0))</f>
        <v>0</v>
      </c>
      <c r="GH51" s="134">
        <f>IF(ISNA(VLOOKUP(A51,'Données projet'!$A$243:$I$263,4,0)),0,VLOOKUP(A51,'Données projet'!$A$243:$I$263,4,0))</f>
        <v>0</v>
      </c>
      <c r="GI51" s="135">
        <f>IF(ISNA(VLOOKUP(A51,'Données projet'!$A$243:$I$263,5,0)),0%,VLOOKUP(A51,'Données projet'!$A$243:$I$263,5,0)*VLOOKUP('Données projet'!$B$17,'Paramètres'!$A$1:$I$89,7,0))</f>
        <v>0</v>
      </c>
      <c r="GJ51" s="135">
        <f>IF(ISNA(VLOOKUP(A51,'Données projet'!$A$243:$I$263,6,0)),0%,VLOOKUP(A51,'Données projet'!$A$243:$I$263,6,0)*VLOOKUP('Données projet'!$B$17,'Paramètres'!$A$1:$I$89,7,0))</f>
        <v>0</v>
      </c>
      <c r="GK51" s="135">
        <f>IF(ISNA(VLOOKUP(A51,'Données projet'!$A$243:$I$263,7,0)),0%,VLOOKUP(A51,'Données projet'!$A$243:$I$263,7,0))</f>
        <v>0</v>
      </c>
      <c r="GL51" s="142">
        <f>EXP(-LN(2)/35)*GL50+(1-EXP(-LN(2)/35))/(LN(2)/35)*GH51*GI51*VLOOKUP('Données projet'!$B$17,'Paramètres'!$A$1:$I$89,3,0)*0.475*44/12</f>
        <v>9.606156654</v>
      </c>
      <c r="GM51" s="142">
        <f>EXP(-LN(2)/25)*GM50+(1-EXP(-LN(2)/25))/(LN(2)/25)*Calculateur!GH51*Calculateur!GJ51*VLOOKUP('Données projet'!$B$17,'Paramètres'!$A$1:$I$89,3,0)*0.475*44/12</f>
        <v>0</v>
      </c>
      <c r="GN51" s="142">
        <f>EXP(-LN(2)/2)*GN50+(1-EXP(-LN(2)/2))/(LN(2)/2)*GH51*GK51*VLOOKUP('Données projet'!$B$17,'Paramètres'!$A$1:$I$89,3,0)*0.475*44/12</f>
        <v>0</v>
      </c>
      <c r="GO51" s="142">
        <f t="shared" si="28"/>
        <v>9.606156654</v>
      </c>
      <c r="GP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1" t="str">
        <f>VLOOKUP(A51,'Données projet'!$A$269:$I$289,2,0)</f>
        <v>#N/A</v>
      </c>
      <c r="GS51" s="131" t="str">
        <f>VLOOKUP(A51,'Données projet'!$A$269:$I$289,9,0)</f>
        <v>#N/A</v>
      </c>
      <c r="GT51" s="130">
        <f t="array" ref="GT51">INDEX(GS:GS,MIN(IF(ISNUMBER(GS51:GS247),ROW(GS51:GS247),"")))</f>
        <v>5.6</v>
      </c>
      <c r="GU51" s="138">
        <f>IF('Données projet'!$A$270&gt;35,GU50+GT51-HC50,IF(A51&lt;'Données projet'!$A$270,$GR$205^A51,IF(A51='Données projet'!$A$270,'Données projet'!$B$270,GU50+GT51-HC50)))</f>
        <v>109.8</v>
      </c>
      <c r="GV51" s="138">
        <f>GU51*VLOOKUP('Données projet'!$B$18,'Paramètres'!$A$1:$I$89,3,0)*VLOOKUP('Données projet'!$B$18,'Paramètres'!$A$1:$I$89,5,0)</f>
        <v>118.18872</v>
      </c>
      <c r="GW51" s="130">
        <f t="shared" si="52"/>
        <v>31.25217477</v>
      </c>
      <c r="GX51" s="141">
        <f t="shared" si="29"/>
        <v>260.2762251</v>
      </c>
      <c r="GY51" s="133">
        <f t="shared" si="30"/>
        <v>553.6095584</v>
      </c>
      <c r="GZ51" s="133">
        <f>AVERAGE(OFFSET($GY$3,0,0,'Données projet'!$E$18+1,1))-AVERAGE(OFFSET($H$3,0,0,'Données projet'!$E$18+1,1))</f>
        <v>100.5427875</v>
      </c>
      <c r="HA51" s="133">
        <f t="shared" si="53"/>
        <v>92.28663609</v>
      </c>
      <c r="HB51" s="134">
        <f>IF(ISNA(VLOOKUP(A51,'Données projet'!$A$269:$I$289,3,0)),0,VLOOKUP(A51,'Données projet'!$A$269:$I$289,3,0))</f>
        <v>0</v>
      </c>
      <c r="HC51" s="134">
        <f>IF(ISNA(VLOOKUP(A51,'Données projet'!$A$269:$I$289,4,0)),0,VLOOKUP(A51,'Données projet'!$A$269:$I$289,4,0))</f>
        <v>0</v>
      </c>
      <c r="HD51" s="135">
        <f>IF(ISNA(VLOOKUP(A51,'Données projet'!$A$269:$I$289,5,0)),0%,VLOOKUP(A51,'Données projet'!$A$269:$I$289,5,0)*VLOOKUP('Données projet'!$B$18,'Paramètres'!$A$1:$I$89,7,0))</f>
        <v>0</v>
      </c>
      <c r="HE51" s="135">
        <f>IF(ISNA(VLOOKUP(A51,'Données projet'!$A$269:$I$289,6,0)),0%,VLOOKUP(A51,'Données projet'!$A$269:$I$289,6,0)*VLOOKUP('Données projet'!$B$18,'Paramètres'!$A$1:$I$89,7,0))</f>
        <v>0</v>
      </c>
      <c r="HF51" s="135">
        <f>IF(ISNA(VLOOKUP(A51,'Données projet'!$A$269:$I$289,7,0)),0%,VLOOKUP(A51,'Données projet'!$A$269:$I$289,7,0))</f>
        <v>0</v>
      </c>
      <c r="HG51" s="142">
        <f>EXP(-LN(2)/35)*HG50+(1-EXP(-LN(2)/35))/(LN(2)/35)*HC51*HD51*VLOOKUP('Données projet'!$B$18,'Paramètres'!$A$1:$I$89,3,0)*0.475*44/12</f>
        <v>4.95120071</v>
      </c>
      <c r="HH51" s="142">
        <f>EXP(-LN(2)/25)*HH50+(1-EXP(-LN(2)/25))/(LN(2)/25)*Calculateur!HC51*Calculateur!HE51*VLOOKUP('Données projet'!$B$18,'Paramètres'!$A$1:$I$89,3,0)*0.475*44/12</f>
        <v>0</v>
      </c>
      <c r="HI51" s="142">
        <f>EXP(-LN(2)/2)*HI50+(1-EXP(-LN(2)/2))/(LN(2)/2)*HC51*HF51*VLOOKUP('Données projet'!$B$18,'Paramètres'!$A$1:$I$89,3,0)*0.475*44/12</f>
        <v>0</v>
      </c>
      <c r="HJ51" s="143">
        <f t="shared" si="31"/>
        <v>4.95120071</v>
      </c>
    </row>
    <row r="52" ht="15.75" customHeight="1">
      <c r="A52" s="125">
        <f t="shared" si="32"/>
        <v>49</v>
      </c>
      <c r="B52" s="126">
        <f>'Scénario référence'!$B$16*5+'Scénario référence'!$B$17*0+'Scénario référence'!$B$18*5</f>
        <v>0</v>
      </c>
      <c r="C52" s="140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26.754</v>
      </c>
      <c r="D52" s="127">
        <f t="shared" si="33"/>
        <v>8.409936958</v>
      </c>
      <c r="E5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7">
        <f>IF(OR('Scénario référence'!$F$8&gt;0,'Scénario référence'!$F$9&gt;0),('Scénario référence'!$F$8+'Scénario référence'!$F$9)*10,0)</f>
        <v>10</v>
      </c>
      <c r="G52" s="127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271.4409169</v>
      </c>
      <c r="H52" s="128">
        <f t="shared" si="1"/>
        <v>354.5771902</v>
      </c>
      <c r="I52" s="12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1" t="str">
        <f>VLOOKUP(A52,'Données projet'!$A$35:$I$55,2,0)</f>
        <v>#N/A</v>
      </c>
      <c r="L52" s="131" t="str">
        <f>VLOOKUP(A52,'Données projet'!$A$35:$I$55,9,0)</f>
        <v>#N/A</v>
      </c>
      <c r="M52" s="131">
        <f t="array" ref="M52">INDEX(L:L,MIN(IF(ISNUMBER(L52:L248),ROW(L52:L248),"")))</f>
        <v>11.6</v>
      </c>
      <c r="N52" s="130">
        <f>IF('Données projet'!$A$36&gt;35,N51+M52-V51,IF(A52&lt;'Données projet'!$A$36,$K$205^A52,IF(A52='Données projet'!$A$36,'Données projet'!$B$36,N51+M52-V51)))</f>
        <v>274.4</v>
      </c>
      <c r="O52" s="130">
        <f>N52*VLOOKUP('Données projet'!$B$9,'Paramètres'!$A$1:$I$89,3,0)*VLOOKUP('Données projet'!$B$9,'Paramètres'!$A$1:$I$89,5,0)</f>
        <v>156.9568</v>
      </c>
      <c r="P52" s="130">
        <f t="shared" si="34"/>
        <v>40.1553479</v>
      </c>
      <c r="Q52" s="141">
        <f t="shared" si="2"/>
        <v>343.3036576</v>
      </c>
      <c r="R52" s="133">
        <f t="shared" si="3"/>
        <v>636.6369909</v>
      </c>
      <c r="S52" s="133">
        <f>AVERAGE(OFFSET($R$3,0,0,'Données projet'!$E$9+1,1))-AVERAGE(OFFSET($H$3,0,0,'Données projet'!$E$9+1,1))</f>
        <v>126.9946492</v>
      </c>
      <c r="T52" s="133">
        <f t="shared" si="35"/>
        <v>140.039049</v>
      </c>
      <c r="U52" s="134">
        <f>IF(ISNA(VLOOKUP(A52,'Données projet'!$A$35:$I$55,3,0)),0,VLOOKUP(A52,'Données projet'!$A$35:$I$55,3,0))</f>
        <v>0</v>
      </c>
      <c r="V52" s="134">
        <f>IF(ISNA(VLOOKUP(A52,'Données projet'!$A$35:$I$55,4,0)),0,VLOOKUP(A52,'Données projet'!$A$35:$I$55,4,0))</f>
        <v>0</v>
      </c>
      <c r="W52" s="135">
        <f>IF(ISNA(VLOOKUP(A52,'Données projet'!$A$35:$I$55,5,0)),0%,VLOOKUP(A52,'Données projet'!$A$35:$I$55,5,0)*VLOOKUP('Données projet'!$B$9,'Paramètres'!$A$1:$I$89,7,0))</f>
        <v>0</v>
      </c>
      <c r="X52" s="135">
        <f>IF(ISNA(VLOOKUP(A52,'Données projet'!$A$35:$I$55,6,0)),0%,VLOOKUP(A52,'Données projet'!$A$35:$I$55,6,0)*VLOOKUP('Données projet'!$B$9,'Paramètres'!$A$1:$I$89,7,0))</f>
        <v>0</v>
      </c>
      <c r="Y52" s="135">
        <f>IF(ISNA(VLOOKUP(A52,'Données projet'!$A$35:$I$55,7,0)),0%,VLOOKUP(A52,'Données projet'!$A$35:$I$55,7,0))</f>
        <v>0</v>
      </c>
      <c r="Z52" s="142">
        <f>EXP(-LN(2)/35)*Z51+(1-EXP(-LN(2)/35))/(LN(2)/35)*V52*W52*VLOOKUP('Données projet'!$B$9,'Paramètres'!$A$1:$I$89,3,0)*0.475*44/12</f>
        <v>6.755841244</v>
      </c>
      <c r="AA52" s="142">
        <f>EXP(-LN(2)/25)*AA51+(1-EXP(-LN(2)/25))/(LN(2)/25)*Calculateur!V52*Calculateur!X52*VLOOKUP('Données projet'!$B$9,'Paramètres'!$A$1:$I$89,3,0)*0.475*44/12</f>
        <v>9.432745898</v>
      </c>
      <c r="AB52" s="142">
        <f>EXP(-LN(2)/2)*AB51+(1-EXP(-LN(2)/2))/(LN(2)/2)*V52*Y52*VLOOKUP('Données projet'!$B$9,'Paramètres'!$A$1:$I$89,3,0)*0.475*44/12</f>
        <v>0.337521707</v>
      </c>
      <c r="AC52" s="143">
        <f t="shared" si="4"/>
        <v>16.52610885</v>
      </c>
      <c r="AD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1" t="str">
        <f>VLOOKUP(A52,'Données projet'!$A$61:$I$81,2,0)</f>
        <v>#N/A</v>
      </c>
      <c r="AG52" s="131" t="str">
        <f>VLOOKUP(A52,'Données projet'!$A$61:$I$81,9,0)</f>
        <v>#N/A</v>
      </c>
      <c r="AH52" s="131">
        <f t="array" ref="AH52">INDEX(AG:AG,MIN(IF(ISNUMBER(AG52:AG248),ROW(AG52:AG248),"")))</f>
        <v>17.4</v>
      </c>
      <c r="AI52" s="130">
        <f>IF('Données projet'!$A$62&gt;35,AI51+AH52-AQ51,IF(A52&lt;'Données projet'!$A$62,$AF$205^A52,IF(A52='Données projet'!$A$62,'Données projet'!$B$62,AI51+AH52-AQ51)))</f>
        <v>334.6</v>
      </c>
      <c r="AJ52" s="130">
        <f>AI52*VLOOKUP('Données projet'!$B$10,'Paramètres'!$A$1:$I$89,3,0)*VLOOKUP('Données projet'!$B$10,'Paramètres'!$A$1:$I$89,5,0)</f>
        <v>200.0908</v>
      </c>
      <c r="AK52" s="130">
        <f t="shared" si="36"/>
        <v>49.76412229</v>
      </c>
      <c r="AL52" s="141">
        <f t="shared" si="5"/>
        <v>435.1639897</v>
      </c>
      <c r="AM52" s="133">
        <f t="shared" si="6"/>
        <v>728.497323</v>
      </c>
      <c r="AN52" s="133">
        <f>AVERAGE(OFFSET($AM$3,0,0,'Données projet'!$E$10+1,1))-AVERAGE(OFFSET($H$3,0,0,'Données projet'!$E$10+1,1))</f>
        <v>196.874484</v>
      </c>
      <c r="AO52" s="133">
        <f t="shared" si="37"/>
        <v>217.5750859</v>
      </c>
      <c r="AP52" s="134">
        <f>IF(ISNA(VLOOKUP(A52,'Données projet'!$A$61:$I$81,3,0)),0,VLOOKUP(A52,'Données projet'!$A$61:$I$81,3,0))</f>
        <v>0</v>
      </c>
      <c r="AQ52" s="134">
        <f>IF(ISNA(VLOOKUP(A52,'Données projet'!$A$61:$I$81,4,0)),0,VLOOKUP(A52,'Données projet'!$A$61:$I$81,4,0))</f>
        <v>0</v>
      </c>
      <c r="AR52" s="135">
        <f>IF(ISNA(VLOOKUP(A52,'Données projet'!$A$61:$I$81,5,0)),0%,VLOOKUP(A52,'Données projet'!$A$61:$I$81,5,0)*VLOOKUP('Données projet'!$B$10,'Paramètres'!$A$1:$I$89,7,0))</f>
        <v>0</v>
      </c>
      <c r="AS52" s="135">
        <f>IF(ISNA(VLOOKUP(A52,'Données projet'!$A$61:$I$81,6,0)),0%,VLOOKUP(A52,'Données projet'!$A$61:$I$81,6,0)*VLOOKUP('Données projet'!$B$10,'Paramètres'!$A$1:$I$89,7,0))</f>
        <v>0</v>
      </c>
      <c r="AT52" s="135">
        <f>IF(ISNA(VLOOKUP(A52,'Données projet'!$A$61:$I$81,7,0)),0%,VLOOKUP(A52,'Données projet'!$A$61:$I$81,7,0))</f>
        <v>0</v>
      </c>
      <c r="AU52" s="142">
        <f>EXP(-LN(2)/35)*AU51+(1-EXP(-LN(2)/35))/(LN(2)/35)*AQ52*AR52*VLOOKUP('Données projet'!$B$10,'Paramètres'!$A$1:$I$89,3,0)*0.475*44/12</f>
        <v>15.77488614</v>
      </c>
      <c r="AV52" s="142">
        <f>EXP(-LN(2)/25)*AV51+(1-EXP(-LN(2)/25))/(LN(2)/25)*Calculateur!AQ52*Calculateur!AS52*VLOOKUP('Données projet'!$B$10,'Paramètres'!$A$1:$I$89,3,0)*0.475*44/12</f>
        <v>20.35940648</v>
      </c>
      <c r="AW52" s="142">
        <f>EXP(-LN(2)/2)*AW51+(1-EXP(-LN(2)/2))/(LN(2)/2)*AQ52*AT52*VLOOKUP('Données projet'!$B$10,'Paramètres'!$A$1:$I$89,3,0)*0.475*44/12</f>
        <v>2.781471277</v>
      </c>
      <c r="AX52" s="142">
        <f t="shared" si="7"/>
        <v>38.9157639</v>
      </c>
      <c r="AY52" s="13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1" t="str">
        <f>VLOOKUP(A52,'Données projet'!$A$87:$I$107,2,0)</f>
        <v>#N/A</v>
      </c>
      <c r="BB52" s="131" t="str">
        <f>VLOOKUP(A52,'Données projet'!$A$87:$I$107,9,0)</f>
        <v>#N/A</v>
      </c>
      <c r="BC52" s="130">
        <f t="array" ref="BC52">INDEX(BB:BB,MIN(IF(ISNUMBER(BB52:BB248),ROW(BB52:BB248),"")))</f>
        <v>14</v>
      </c>
      <c r="BD52" s="130">
        <f>IF('Données projet'!$A$88&gt;35,BD51+BC52-BL51,IF(A52&lt;'Données projet'!$A$88,$BA$205^A52,IF(A52='Données projet'!$A$88,'Données projet'!$B$88,BD51+BC52-BL51)))</f>
        <v>286</v>
      </c>
      <c r="BE52" s="130">
        <f>BD52*VLOOKUP('Données projet'!$B$11,'Paramètres'!$A$1:$I$89,3,0)*VLOOKUP('Données projet'!$B$11,'Paramètres'!$A$1:$I$89,5,0)</f>
        <v>133.848</v>
      </c>
      <c r="BF52" s="130">
        <f t="shared" si="38"/>
        <v>34.88400399</v>
      </c>
      <c r="BG52" s="141">
        <f t="shared" si="8"/>
        <v>293.874907</v>
      </c>
      <c r="BH52" s="133">
        <f t="shared" si="9"/>
        <v>587.2082403</v>
      </c>
      <c r="BI52" s="133">
        <f>AVERAGE(OFFSET($BH$3,0,0,'Données projet'!$E$11+1,1))-AVERAGE(OFFSET($H$3,0,0,'Données projet'!$E$11+1,1))</f>
        <v>134.0948534</v>
      </c>
      <c r="BJ52" s="133">
        <f t="shared" si="39"/>
        <v>108.4102536</v>
      </c>
      <c r="BK52" s="134">
        <f>IF(ISNA(VLOOKUP(A52,'Données projet'!$A$87:$I$107,3,0)),0,VLOOKUP(A52,'Données projet'!$A$87:$I$107,3,0))</f>
        <v>0</v>
      </c>
      <c r="BL52" s="134">
        <f>IF(ISNA(VLOOKUP(A52,'Données projet'!$A$87:$I$107,4,0)),0,VLOOKUP(A52,'Données projet'!$A$87:$I$107,4,0))</f>
        <v>0</v>
      </c>
      <c r="BM52" s="135">
        <f>IF(ISNA(VLOOKUP(A52,'Données projet'!$A$87:$I$107,5,0)),0%,VLOOKUP(A52,'Données projet'!$A$87:$I$107,5,0)*VLOOKUP('Données projet'!$B$11,'Paramètres'!$A$1:$I$89,7,0))</f>
        <v>0</v>
      </c>
      <c r="BN52" s="135">
        <f>IF(ISNA(VLOOKUP(A52,'Données projet'!$A$87:$I$107,6,0)),0%,VLOOKUP(A52,'Données projet'!$A$87:$I$107,6,0)*VLOOKUP('Données projet'!$B$11,'Paramètres'!$A$1:$I$89,7,0))</f>
        <v>0</v>
      </c>
      <c r="BO52" s="135">
        <f>IF(ISNA(VLOOKUP(A52,'Données projet'!$A$87:$I$107,7,0)),0%,VLOOKUP(A52,'Données projet'!$A$87:$I$107,7,0))</f>
        <v>0</v>
      </c>
      <c r="BP52" s="142">
        <f>EXP(-LN(2)/35)*BP51+(1-EXP(-LN(2)/35))/(LN(2)/35)*BL52*BM52*VLOOKUP('Données projet'!$B$11,'Paramètres'!$A$1:$I$89,3,0)*0.475*44/12</f>
        <v>7.589289554</v>
      </c>
      <c r="BQ52" s="142">
        <f>EXP(-LN(2)/25)*BQ51+(1-EXP(-LN(2)/25))/(LN(2)/25)*Calculateur!BL52*Calculateur!BN52*VLOOKUP('Données projet'!$B$11,'Paramètres'!$A$1:$I$89,3,0)*0.475*44/12</f>
        <v>8.051044744</v>
      </c>
      <c r="BR52" s="142">
        <f>EXP(-LN(2)/2)*BR51+(1-EXP(-LN(2)/2))/(LN(2)/2)*BL52*BO52*VLOOKUP('Données projet'!$B$11,'Paramètres'!$A$1:$I$89,3,0)*0.475*44/12</f>
        <v>0.3194190268</v>
      </c>
      <c r="BS52" s="143">
        <f t="shared" si="10"/>
        <v>15.95975332</v>
      </c>
      <c r="BT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1" t="str">
        <f>VLOOKUP(A52,'Données projet'!$A$113:$I$133,2,0)</f>
        <v>#N/A</v>
      </c>
      <c r="BW52" s="131" t="str">
        <f>VLOOKUP(A52,'Données projet'!$A$113:$I$133,9,0)</f>
        <v>#N/A</v>
      </c>
      <c r="BX52" s="130">
        <f t="array" ref="BX52">INDEX(BW:BW,MIN(IF(ISNUMBER(BW52:BW248),ROW(BW52:BW248),"")))</f>
        <v>22.8</v>
      </c>
      <c r="BY52" s="130">
        <f>IF('Données projet'!$A$114&gt;35,BY51+BX52-CG51,IF(A52&lt;'Données projet'!$A$114,$BV$205^A52,IF(A52='Données projet'!$A$114,'Données projet'!$B$114,BY51+BX52-CG51)))</f>
        <v>522.2</v>
      </c>
      <c r="BZ52" s="130">
        <f>BY52*VLOOKUP('Données projet'!$B$12,'Paramètres'!$A$1:$I$89,3,0)*VLOOKUP('Données projet'!$B$12,'Paramètres'!$A$1:$I$89,5,0)</f>
        <v>257.9668</v>
      </c>
      <c r="CA52" s="130">
        <f t="shared" si="40"/>
        <v>62.28878405</v>
      </c>
      <c r="CB52" s="141">
        <f t="shared" si="11"/>
        <v>557.7784756</v>
      </c>
      <c r="CC52" s="133">
        <f t="shared" si="12"/>
        <v>851.1118089</v>
      </c>
      <c r="CD52" s="133">
        <f>AVERAGE(OFFSET($CC$3,0,0,'Données projet'!$E$12+1,1))-AVERAGE(OFFSET($H$3,0,0,'Données projet'!$E$12+1,1))</f>
        <v>258.1672054</v>
      </c>
      <c r="CE52" s="133">
        <f t="shared" si="41"/>
        <v>296.0724261</v>
      </c>
      <c r="CF52" s="134">
        <f>IF(ISNA(VLOOKUP(A52,'Données projet'!$A$113:$I$133,3,0)),0,VLOOKUP(A52,'Données projet'!$A$113:$I$133,3,0))</f>
        <v>0</v>
      </c>
      <c r="CG52" s="134">
        <f>IF(ISNA(VLOOKUP(A52,'Données projet'!$A$113:$I$133,4,0)),0,VLOOKUP(A52,'Données projet'!$A$113:$I$133,4,0))</f>
        <v>0</v>
      </c>
      <c r="CH52" s="135">
        <f>IF(ISNA(VLOOKUP(A52,'Données projet'!$A$113:$I$133,5,0)),0%,VLOOKUP(A52,'Données projet'!$A$113:$I$133,5,0)*VLOOKUP('Données projet'!$B$12,'Paramètres'!$A$1:$I$89,7,0))</f>
        <v>0</v>
      </c>
      <c r="CI52" s="135">
        <f>IF(ISNA(VLOOKUP(A52,'Données projet'!$A$113:$I$133,6,0)),0%,VLOOKUP(A52,'Données projet'!$A$113:$I$133,6,0)*VLOOKUP('Données projet'!$B$12,'Paramètres'!$A$1:$I$89,7,0))</f>
        <v>0</v>
      </c>
      <c r="CJ52" s="135">
        <f>IF(ISNA(VLOOKUP(A52,'Données projet'!$A$113:$I$133,7,0)),0%,VLOOKUP(A52,'Données projet'!$A$113:$I$133,7,0))</f>
        <v>0</v>
      </c>
      <c r="CK52" s="142">
        <f>EXP(-LN(2)/35)*CK51+(1-EXP(-LN(2)/35))/(LN(2)/35)*CG52*CH52*VLOOKUP('Données projet'!$B$12,'Paramètres'!$A$1:$I$89,3,0)*0.475*44/12</f>
        <v>33.01057327</v>
      </c>
      <c r="CL52" s="142">
        <f>EXP(-LN(2)/25)*CL51+(1-EXP(-LN(2)/25))/(LN(2)/25)*Calculateur!CG52*Calculateur!CI52*VLOOKUP('Données projet'!$B$12,'Paramètres'!$A$1:$I$89,3,0)*0.475*44/12</f>
        <v>27.14295061</v>
      </c>
      <c r="CM52" s="142">
        <f>EXP(-LN(2)/2)*CM51+(1-EXP(-LN(2)/2))/(LN(2)/2)*CG52*CJ52*VLOOKUP('Données projet'!$B$12,'Paramètres'!$A$1:$I$89,3,0)*0.475*44/12</f>
        <v>2.082225573</v>
      </c>
      <c r="CN52" s="143">
        <f t="shared" si="13"/>
        <v>62.23574946</v>
      </c>
      <c r="CO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1" t="str">
        <f>VLOOKUP(A52,'Données projet'!$A$139:$I$159,2,0)</f>
        <v>#N/A</v>
      </c>
      <c r="CR52" s="131" t="str">
        <f>VLOOKUP(A52,'Données projet'!$A$139:$I$159,9,0)</f>
        <v>#N/A</v>
      </c>
      <c r="CS52" s="130">
        <f t="array" ref="CS52">INDEX(CR:CR,MIN(IF(ISNUMBER(CR52:CR248),ROW(CR52:CR248),"")))</f>
        <v>5.6</v>
      </c>
      <c r="CT52" s="138">
        <f>IF('Données projet'!$A$140&gt;35,CT51+CS52-DB51,IF(A52&lt;'Données projet'!$A$140,$CQ$205^A52,IF(A52='Données projet'!$A$140,'Données projet'!$B$140,CT51+CS52-DB51)))</f>
        <v>115.4</v>
      </c>
      <c r="CU52" s="138">
        <f>CT52*VLOOKUP('Données projet'!$B$13,'Paramètres'!$A$1:$I$89,3,0)*VLOOKUP('Données projet'!$B$13,'Paramètres'!$A$1:$I$89,5,0)</f>
        <v>117.0156</v>
      </c>
      <c r="CV52" s="130">
        <f t="shared" si="42"/>
        <v>30.97792005</v>
      </c>
      <c r="CW52" s="141">
        <f t="shared" si="14"/>
        <v>257.7553808</v>
      </c>
      <c r="CX52" s="133">
        <f t="shared" si="15"/>
        <v>551.0887141</v>
      </c>
      <c r="CY52" s="133">
        <f>AVERAGE(OFFSET($CX$3,0,0,'Données projet'!$E$13+1,1))-AVERAGE(OFFSET($H$3,0,0,'Données projet'!$E$13+1,1))</f>
        <v>223.783507</v>
      </c>
      <c r="CZ52" s="133">
        <f t="shared" si="43"/>
        <v>84.92349117</v>
      </c>
      <c r="DA52" s="134">
        <f>IF(ISNA(VLOOKUP(A52,'Données projet'!$A$139:$I$159,3,0)),0,VLOOKUP(A52,'Données projet'!$A$139:$I$159,3,0))</f>
        <v>0</v>
      </c>
      <c r="DB52" s="134">
        <f>IF(ISNA(VLOOKUP(A52,'Données projet'!$A$139:$I$159,4,0)),0,VLOOKUP(A52,'Données projet'!$A$139:$I$159,4,0))</f>
        <v>0</v>
      </c>
      <c r="DC52" s="135">
        <f>IF(ISNA(VLOOKUP(A52,'Données projet'!$A$139:$I$159,5,0)),0%,VLOOKUP(A52,'Données projet'!$A$139:$I$159,5,0)*VLOOKUP('Données projet'!$B$13,'Paramètres'!$A$1:$I$89,7,0))</f>
        <v>0</v>
      </c>
      <c r="DD52" s="135">
        <f>IF(ISNA(VLOOKUP(A52,'Données projet'!$A$139:$I$159,6,0)),0%,VLOOKUP(A52,'Données projet'!$A$139:$I$159,6,0)*VLOOKUP('Données projet'!$B$13,'Paramètres'!$A$1:$I$89,7,0))</f>
        <v>0</v>
      </c>
      <c r="DE52" s="135">
        <f>IF(ISNA(VLOOKUP(A52,'Données projet'!$A$139:$I$159,7,0)),0%,VLOOKUP(A52,'Données projet'!$A$139:$I$159,7,0))</f>
        <v>0</v>
      </c>
      <c r="DF52" s="142">
        <f>EXP(-LN(2)/35)*DF51+(1-EXP(-LN(2)/35))/(LN(2)/35)*DB52*DC52*VLOOKUP('Données projet'!$B$13,'Paramètres'!$A$1:$I$89,3,0)*0.475*44/12</f>
        <v>1.246832529</v>
      </c>
      <c r="DG52" s="142">
        <f>EXP(-LN(2)/25)*DG51+(1-EXP(-LN(2)/25))/(LN(2)/25)*Calculateur!DB52*Calculateur!DD52*VLOOKUP('Données projet'!$B$13,'Paramètres'!$A$1:$I$89,3,0)*0.475*44/12</f>
        <v>0</v>
      </c>
      <c r="DH52" s="142">
        <f>EXP(-LN(2)/2)*DH51+(1-EXP(-LN(2)/2))/(LN(2)/2)*DB52*DE52*VLOOKUP('Données projet'!$B$13,'Paramètres'!$A$1:$I$89,3,0)*0.475*44/12</f>
        <v>0</v>
      </c>
      <c r="DI52" s="143">
        <f t="shared" si="16"/>
        <v>1.246832529</v>
      </c>
      <c r="DJ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1" t="str">
        <f>VLOOKUP(A52,'Données projet'!$A$165:$I$185,2,0)</f>
        <v>#N/A</v>
      </c>
      <c r="DM52" s="131" t="str">
        <f>VLOOKUP(A52,'Données projet'!$A$165:$I$185,9,0)</f>
        <v>#N/A</v>
      </c>
      <c r="DN52" s="131">
        <f t="array" ref="DN52">INDEX(DM:DM,MIN(IF(ISNUMBER(DM52:DM248),ROW(DM52:DM248),"")))</f>
        <v>8.2</v>
      </c>
      <c r="DO52" s="138">
        <f>IF('Données projet'!$A$166&gt;35,DO51+DN52-DW51,IF(A52&lt;'Données projet'!$A$166,$DL$205^A52,IF(A52='Données projet'!$A$166,'Données projet'!$B$166,DO51+DN52-DW51)))</f>
        <v>169.8</v>
      </c>
      <c r="DP52" s="138">
        <f>DO52*VLOOKUP('Données projet'!$B$14,'Paramètres'!$A$1:$I$89,3,0)*VLOOKUP('Données projet'!$B$14,'Paramètres'!$A$1:$I$89,5,0)</f>
        <v>153.63504</v>
      </c>
      <c r="DQ52" s="130">
        <f t="shared" si="44"/>
        <v>39.40350679</v>
      </c>
      <c r="DR52" s="141">
        <f t="shared" si="17"/>
        <v>336.2088023</v>
      </c>
      <c r="DS52" s="133">
        <f t="shared" si="18"/>
        <v>629.5421357</v>
      </c>
      <c r="DT52" s="133">
        <f>AVERAGE(OFFSET($DS$3,0,0,'Données projet'!$E$14+1,1))-AVERAGE(OFFSET($H$3,0,0,'Données projet'!$E$14+1,1))</f>
        <v>287.9334714</v>
      </c>
      <c r="DU52" s="133">
        <f t="shared" si="45"/>
        <v>156.6796502</v>
      </c>
      <c r="DV52" s="134">
        <f>IF(ISNA(VLOOKUP(A52,'Données projet'!$A$165:$I$185,3,0)),0,VLOOKUP(A52,'Données projet'!$A$165:$I$185,3,0))</f>
        <v>0</v>
      </c>
      <c r="DW52" s="134">
        <f>IF(ISNA(VLOOKUP(A52,'Données projet'!$A$165:$I$185,4,0)),0,VLOOKUP(A52,'Données projet'!$A$165:$I$185,4,0))</f>
        <v>0</v>
      </c>
      <c r="DX52" s="135">
        <f>IF(ISNA(VLOOKUP(A52,'Données projet'!$A$165:$I$185,5,0)),0%,VLOOKUP(A52,'Données projet'!$A$165:$I$185,5,0)*VLOOKUP('Données projet'!$B$14,'Paramètres'!$A$1:$I$89,7,0))</f>
        <v>0</v>
      </c>
      <c r="DY52" s="135">
        <f>IF(ISNA(VLOOKUP(A52,'Données projet'!$A$165:$I$185,6,0)),0%,VLOOKUP(A52,'Données projet'!$A$165:$I$185,6,0)*VLOOKUP('Données projet'!$B$14,'Paramètres'!$A$1:$I$89,7,0))</f>
        <v>0</v>
      </c>
      <c r="DZ52" s="135">
        <f>IF(ISNA(VLOOKUP(A52,'Données projet'!$A$165:$I$185,7,0)),0%,VLOOKUP(A52,'Données projet'!$A$165:$I$185,7,0))</f>
        <v>0</v>
      </c>
      <c r="EA52" s="142">
        <f>EXP(-LN(2)/35)*EA51+(1-EXP(-LN(2)/35))/(LN(2)/35)*DW52*DX52*VLOOKUP('Données projet'!$B$14,'Paramètres'!$A$1:$I$89,3,0)*0.475*44/12</f>
        <v>3.180342897</v>
      </c>
      <c r="EB52" s="142">
        <f>EXP(-LN(2)/25)*EB51+(1-EXP(-LN(2)/25))/(LN(2)/25)*Calculateur!DW52*Calculateur!DY52*VLOOKUP('Données projet'!$B$14,'Paramètres'!$A$1:$I$89,3,0)*0.475*44/12</f>
        <v>0</v>
      </c>
      <c r="EC52" s="142">
        <f>EXP(-LN(2)/2)*EC51+(1-EXP(-LN(2)/2))/(LN(2)/2)*DW52*DZ52*VLOOKUP('Données projet'!$B$14,'Paramètres'!$A$1:$I$89,3,0)*0.475*44/12</f>
        <v>0</v>
      </c>
      <c r="ED52" s="143">
        <f t="shared" si="19"/>
        <v>3.180342897</v>
      </c>
      <c r="EE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1" t="str">
        <f>VLOOKUP(A52,'Données projet'!$A$191:$I$211,2,0)</f>
        <v>#N/A</v>
      </c>
      <c r="EH52" s="131" t="str">
        <f>VLOOKUP(A52,'Données projet'!$A$191:$I$211,9,0)</f>
        <v>#N/A</v>
      </c>
      <c r="EI52" s="131">
        <f t="array" ref="EI52">INDEX(EH:EH,MIN(IF(ISNUMBER(EH52:EH248),ROW(EH52:EH248),"")))</f>
        <v>8.2</v>
      </c>
      <c r="EJ52" s="138">
        <f>IF('Données projet'!$A$192&gt;35,EJ51+EI52-ER51,IF(A52&lt;'Données projet'!$A$192,$EG$205^A52,IF(A52='Données projet'!$A$192,'Données projet'!$B$192,EJ51+EI52-ER51)))</f>
        <v>145.8</v>
      </c>
      <c r="EK52" s="138">
        <f>EJ52*VLOOKUP('Données projet'!$B$15,'Paramètres'!$A$1:$I$89,3,0)*VLOOKUP('Données projet'!$B$15,'Paramètres'!$A$1:$I$89,5,0)</f>
        <v>106.90056</v>
      </c>
      <c r="EL52" s="130">
        <f t="shared" si="46"/>
        <v>28.59952206</v>
      </c>
      <c r="EM52" s="141">
        <f t="shared" si="20"/>
        <v>235.9959762</v>
      </c>
      <c r="EN52" s="133">
        <f t="shared" si="21"/>
        <v>529.3293096</v>
      </c>
      <c r="EO52" s="133">
        <f>AVERAGE(OFFSET($EN$3,0,0,'Données projet'!$E$15+1,1))-AVERAGE(OFFSET($H$3,0,0,'Données projet'!$E$15+1,1))</f>
        <v>130.3193339</v>
      </c>
      <c r="EP52" s="133">
        <f t="shared" si="47"/>
        <v>82.22784365</v>
      </c>
      <c r="EQ52" s="134">
        <f>IF(ISNA(VLOOKUP(A52,'Données projet'!$A$191:$I$211,3,0)),0,VLOOKUP(A52,'Données projet'!$A$191:$I$211,3,0))</f>
        <v>0</v>
      </c>
      <c r="ER52" s="134">
        <f>IF(ISNA(VLOOKUP(A52,'Données projet'!$A$191:$I$211,4,0)),0,VLOOKUP(A52,'Données projet'!$A$191:$I$211,4,0))</f>
        <v>0</v>
      </c>
      <c r="ES52" s="135">
        <f>IF(ISNA(VLOOKUP(A52,'Données projet'!$A$191:$I$211,5,0)),0%,VLOOKUP(A52,'Données projet'!$A$191:$I$211,5,0)*VLOOKUP('Données projet'!$B$15,'Paramètres'!$A$1:$I$89,7,0))</f>
        <v>0</v>
      </c>
      <c r="ET52" s="135">
        <f>IF(ISNA(VLOOKUP(A52,'Données projet'!$A$191:$I$211,6,0)),0%,VLOOKUP(A52,'Données projet'!$A$191:$I$211,6,0)*VLOOKUP('Données projet'!$B$15,'Paramètres'!$A$1:$I$89,7,0))</f>
        <v>0</v>
      </c>
      <c r="EU52" s="135">
        <f>IF(ISNA(VLOOKUP(A52,'Données projet'!$A$191:$I$211,7,0)),0%,VLOOKUP(A52,'Données projet'!$A$191:$I$211,7,0))</f>
        <v>0</v>
      </c>
      <c r="EV52" s="142">
        <f>EXP(-LN(2)/35)*EV51+(1-EXP(-LN(2)/35))/(LN(2)/35)*ER52*ES52*VLOOKUP('Données projet'!$B$15,'Paramètres'!$A$1:$I$89,3,0)*0.475*44/12</f>
        <v>5.613035405</v>
      </c>
      <c r="EW52" s="142">
        <f>EXP(-LN(2)/25)*EW51+(1-EXP(-LN(2)/25))/(LN(2)/25)*Calculateur!ER52*Calculateur!ET52*VLOOKUP('Données projet'!$B$15,'Paramètres'!$A$1:$I$89,3,0)*0.475*44/12</f>
        <v>0</v>
      </c>
      <c r="EX52" s="142">
        <f>EXP(-LN(2)/2)*EX51+(1-EXP(-LN(2)/2))/(LN(2)/2)*ER52*EU52*VLOOKUP('Données projet'!$B$15,'Paramètres'!$A$1:$I$89,3,0)*0.475*44/12</f>
        <v>0</v>
      </c>
      <c r="EY52" s="143">
        <f t="shared" si="22"/>
        <v>5.613035405</v>
      </c>
      <c r="EZ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1" t="str">
        <f>VLOOKUP(A52,'Données projet'!$A$217:$I$237,2,0)</f>
        <v>#N/A</v>
      </c>
      <c r="FC52" s="131" t="str">
        <f>VLOOKUP(A52,'Données projet'!$A$217:$I$237,9,0)</f>
        <v>#N/A</v>
      </c>
      <c r="FD52" s="130">
        <f t="array" ref="FD52">INDEX(FC:FC,MIN(IF(ISNUMBER(FC52:FC248),ROW(FC52:FC248),"")))</f>
        <v>5.8</v>
      </c>
      <c r="FE52" s="130">
        <f>IF('Données projet'!$A$218&gt;35,FE51+FD52-FM51,IF(A52&lt;'Données projet'!$A$218,$FB$205^A52,IF(A52='Données projet'!$A$218,'Données projet'!$B$218,FE51+FD52-FM51)))</f>
        <v>253.2</v>
      </c>
      <c r="FF52" s="138">
        <f>FE52*VLOOKUP('Données projet'!$B$16,'Paramètres'!$A$1:$I$89,3,0)*VLOOKUP('Données projet'!$B$16,'Paramètres'!$A$1:$I$89,5,0)</f>
        <v>229.09536</v>
      </c>
      <c r="FG52" s="130">
        <f t="shared" si="48"/>
        <v>56.08703237</v>
      </c>
      <c r="FH52" s="141">
        <f t="shared" si="23"/>
        <v>496.6926667</v>
      </c>
      <c r="FI52" s="133">
        <f t="shared" si="24"/>
        <v>790.026</v>
      </c>
      <c r="FJ52" s="133">
        <f>AVERAGE(OFFSET($FI$3,0,0,'Données projet'!$E$16+1,1))-AVERAGE(OFFSET($H$3,0,0,'Données projet'!$E$16+1,1))</f>
        <v>305.6252353</v>
      </c>
      <c r="FK52" s="133">
        <f t="shared" si="49"/>
        <v>331.397916</v>
      </c>
      <c r="FL52" s="134">
        <f>IF(ISNA(VLOOKUP(A52,'Données projet'!$A$217:$I$237,3,0)),0,VLOOKUP(A52,'Données projet'!$A$217:$I$237,3,0))</f>
        <v>0</v>
      </c>
      <c r="FM52" s="134">
        <f>IF(ISNA(VLOOKUP(A52,'Données projet'!$A$217:$I$237,4,0)),0,VLOOKUP(A52,'Données projet'!$A$217:$I$237,4,0))</f>
        <v>0</v>
      </c>
      <c r="FN52" s="135">
        <f>IF(ISNA(VLOOKUP(A52,'Données projet'!$A$217:$I$237,5,0)),0%,VLOOKUP(A52,'Données projet'!$A$217:$I$237,5,0)*VLOOKUP('Données projet'!$B$16,'Paramètres'!$A$1:$I$89,7,0))</f>
        <v>0</v>
      </c>
      <c r="FO52" s="135">
        <f>IF(ISNA(VLOOKUP(A52,'Données projet'!$A$217:$I$237,6,0)),0%,VLOOKUP(A52,'Données projet'!$A$217:$I$237,6,0)*VLOOKUP('Données projet'!$B$16,'Paramètres'!$A$1:$I$89,7,0))</f>
        <v>0</v>
      </c>
      <c r="FP52" s="135">
        <f>IF(ISNA(VLOOKUP(A52,'Données projet'!$A$217:$I$237,7,0)),0%,VLOOKUP(A52,'Données projet'!$A$217:$I$237,7,0))</f>
        <v>0</v>
      </c>
      <c r="FQ52" s="142">
        <f>EXP(-LN(2)/35)*FQ51+(1-EXP(-LN(2)/35))/(LN(2)/35)*FM52*FN52*VLOOKUP('Données projet'!$B$16,'Paramètres'!$A$1:$I$89,3,0)*0.475*44/12</f>
        <v>2.87225748</v>
      </c>
      <c r="FR52" s="142">
        <f>EXP(-LN(2)/25)*FR51+(1-EXP(-LN(2)/25))/(LN(2)/25)*Calculateur!FM52*Calculateur!FO52*VLOOKUP('Données projet'!$B$16,'Paramètres'!$A$1:$I$89,3,0)*0.475*44/12</f>
        <v>0</v>
      </c>
      <c r="FS52" s="142">
        <f>EXP(-LN(2)/2)*FS51+(1-EXP(-LN(2)/2))/(LN(2)/2)*FM52*FP52*VLOOKUP('Données projet'!$B$16,'Paramètres'!$A$1:$I$89,3,0)*0.475*44/12</f>
        <v>0</v>
      </c>
      <c r="FT52" s="143">
        <f t="shared" si="25"/>
        <v>2.87225748</v>
      </c>
      <c r="FU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1" t="str">
        <f>VLOOKUP(A52,'Données projet'!$A$243:$I$263,2,0)</f>
        <v>#N/A</v>
      </c>
      <c r="FX52" s="131" t="str">
        <f>VLOOKUP(A52,'Données projet'!$A$243:$I$263,9,0)</f>
        <v>#N/A</v>
      </c>
      <c r="FY52" s="130">
        <f t="array" ref="FY52">INDEX(FX:FX,MIN(IF(ISNUMBER(FX52:FX248),ROW(FX52:FX248),"")))</f>
        <v>11</v>
      </c>
      <c r="FZ52" s="138">
        <f>IF('Données projet'!$A$244&gt;35,FZ51+FY52-GH51,IF(A52&lt;'Données projet'!$A$244,$FW$205^A52,IF(A52='Données projet'!$A$244,'Données projet'!$B$244,FZ51+FY52-GH51)))</f>
        <v>206</v>
      </c>
      <c r="GA52" s="138">
        <f>FZ52*VLOOKUP('Données projet'!$B$17,'Paramètres'!$A$1:$I$89,3,0)*VLOOKUP('Données projet'!$B$17,'Paramètres'!$A$1:$I$89,5,0)</f>
        <v>138.1848</v>
      </c>
      <c r="GB52" s="130">
        <f t="shared" si="50"/>
        <v>35.88085335</v>
      </c>
      <c r="GC52" s="141">
        <f t="shared" si="26"/>
        <v>303.1643462</v>
      </c>
      <c r="GD52" s="133">
        <f t="shared" si="27"/>
        <v>596.4976796</v>
      </c>
      <c r="GE52" s="133">
        <f>AVERAGE(OFFSET($GD$3,0,0,'Données projet'!$E$17+1,1))-AVERAGE(OFFSET($H$3,0,0,'Données projet'!$E$17+1,1))</f>
        <v>118.7368745</v>
      </c>
      <c r="GF52" s="133">
        <f t="shared" si="51"/>
        <v>135.1233677</v>
      </c>
      <c r="GG52" s="134">
        <f>IF(ISNA(VLOOKUP(A52,'Données projet'!$A$243:$I$263,3,0)),0,VLOOKUP(A52,'Données projet'!$A$243:$I$263,3,0))</f>
        <v>0</v>
      </c>
      <c r="GH52" s="134">
        <f>IF(ISNA(VLOOKUP(A52,'Données projet'!$A$243:$I$263,4,0)),0,VLOOKUP(A52,'Données projet'!$A$243:$I$263,4,0))</f>
        <v>0</v>
      </c>
      <c r="GI52" s="135">
        <f>IF(ISNA(VLOOKUP(A52,'Données projet'!$A$243:$I$263,5,0)),0%,VLOOKUP(A52,'Données projet'!$A$243:$I$263,5,0)*VLOOKUP('Données projet'!$B$17,'Paramètres'!$A$1:$I$89,7,0))</f>
        <v>0</v>
      </c>
      <c r="GJ52" s="135">
        <f>IF(ISNA(VLOOKUP(A52,'Données projet'!$A$243:$I$263,6,0)),0%,VLOOKUP(A52,'Données projet'!$A$243:$I$263,6,0)*VLOOKUP('Données projet'!$B$17,'Paramètres'!$A$1:$I$89,7,0))</f>
        <v>0</v>
      </c>
      <c r="GK52" s="135">
        <f>IF(ISNA(VLOOKUP(A52,'Données projet'!$A$243:$I$263,7,0)),0%,VLOOKUP(A52,'Données projet'!$A$243:$I$263,7,0))</f>
        <v>0</v>
      </c>
      <c r="GL52" s="142">
        <f>EXP(-LN(2)/35)*GL51+(1-EXP(-LN(2)/35))/(LN(2)/35)*GH52*GI52*VLOOKUP('Données projet'!$B$17,'Paramètres'!$A$1:$I$89,3,0)*0.475*44/12</f>
        <v>9.417785781</v>
      </c>
      <c r="GM52" s="142">
        <f>EXP(-LN(2)/25)*GM51+(1-EXP(-LN(2)/25))/(LN(2)/25)*Calculateur!GH52*Calculateur!GJ52*VLOOKUP('Données projet'!$B$17,'Paramètres'!$A$1:$I$89,3,0)*0.475*44/12</f>
        <v>0</v>
      </c>
      <c r="GN52" s="142">
        <f>EXP(-LN(2)/2)*GN51+(1-EXP(-LN(2)/2))/(LN(2)/2)*GH52*GK52*VLOOKUP('Données projet'!$B$17,'Paramètres'!$A$1:$I$89,3,0)*0.475*44/12</f>
        <v>0</v>
      </c>
      <c r="GO52" s="142">
        <f t="shared" si="28"/>
        <v>9.417785781</v>
      </c>
      <c r="GP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1" t="str">
        <f>VLOOKUP(A52,'Données projet'!$A$269:$I$289,2,0)</f>
        <v>#N/A</v>
      </c>
      <c r="GS52" s="131" t="str">
        <f>VLOOKUP(A52,'Données projet'!$A$269:$I$289,9,0)</f>
        <v>#N/A</v>
      </c>
      <c r="GT52" s="130">
        <f t="array" ref="GT52">INDEX(GS:GS,MIN(IF(ISNUMBER(GS52:GS248),ROW(GS52:GS248),"")))</f>
        <v>5.6</v>
      </c>
      <c r="GU52" s="138">
        <f>IF('Données projet'!$A$270&gt;35,GU51+GT52-HC51,IF(A52&lt;'Données projet'!$A$270,$GR$205^A52,IF(A52='Données projet'!$A$270,'Données projet'!$B$270,GU51+GT52-HC51)))</f>
        <v>115.4</v>
      </c>
      <c r="GV52" s="138">
        <f>GU52*VLOOKUP('Données projet'!$B$18,'Paramètres'!$A$1:$I$89,3,0)*VLOOKUP('Données projet'!$B$18,'Paramètres'!$A$1:$I$89,5,0)</f>
        <v>124.21656</v>
      </c>
      <c r="GW52" s="130">
        <f t="shared" si="52"/>
        <v>32.65645732</v>
      </c>
      <c r="GX52" s="141">
        <f t="shared" si="29"/>
        <v>273.2205052</v>
      </c>
      <c r="GY52" s="133">
        <f t="shared" si="30"/>
        <v>566.5538385</v>
      </c>
      <c r="GZ52" s="133">
        <f>AVERAGE(OFFSET($GY$3,0,0,'Données projet'!$E$18+1,1))-AVERAGE(OFFSET($H$3,0,0,'Données projet'!$E$18+1,1))</f>
        <v>100.5427875</v>
      </c>
      <c r="HA52" s="133">
        <f t="shared" si="53"/>
        <v>92.28663609</v>
      </c>
      <c r="HB52" s="134">
        <f>IF(ISNA(VLOOKUP(A52,'Données projet'!$A$269:$I$289,3,0)),0,VLOOKUP(A52,'Données projet'!$A$269:$I$289,3,0))</f>
        <v>0</v>
      </c>
      <c r="HC52" s="134">
        <f>IF(ISNA(VLOOKUP(A52,'Données projet'!$A$269:$I$289,4,0)),0,VLOOKUP(A52,'Données projet'!$A$269:$I$289,4,0))</f>
        <v>0</v>
      </c>
      <c r="HD52" s="135">
        <f>IF(ISNA(VLOOKUP(A52,'Données projet'!$A$269:$I$289,5,0)),0%,VLOOKUP(A52,'Données projet'!$A$269:$I$289,5,0)*VLOOKUP('Données projet'!$B$18,'Paramètres'!$A$1:$I$89,7,0))</f>
        <v>0</v>
      </c>
      <c r="HE52" s="135">
        <f>IF(ISNA(VLOOKUP(A52,'Données projet'!$A$269:$I$289,6,0)),0%,VLOOKUP(A52,'Données projet'!$A$269:$I$289,6,0)*VLOOKUP('Données projet'!$B$18,'Paramètres'!$A$1:$I$89,7,0))</f>
        <v>0</v>
      </c>
      <c r="HF52" s="135">
        <f>IF(ISNA(VLOOKUP(A52,'Données projet'!$A$269:$I$289,7,0)),0%,VLOOKUP(A52,'Données projet'!$A$269:$I$289,7,0))</f>
        <v>0</v>
      </c>
      <c r="HG52" s="142">
        <f>EXP(-LN(2)/35)*HG51+(1-EXP(-LN(2)/35))/(LN(2)/35)*HC52*HD52*VLOOKUP('Données projet'!$B$18,'Paramètres'!$A$1:$I$89,3,0)*0.475*44/12</f>
        <v>4.854110684</v>
      </c>
      <c r="HH52" s="142">
        <f>EXP(-LN(2)/25)*HH51+(1-EXP(-LN(2)/25))/(LN(2)/25)*Calculateur!HC52*Calculateur!HE52*VLOOKUP('Données projet'!$B$18,'Paramètres'!$A$1:$I$89,3,0)*0.475*44/12</f>
        <v>0</v>
      </c>
      <c r="HI52" s="142">
        <f>EXP(-LN(2)/2)*HI51+(1-EXP(-LN(2)/2))/(LN(2)/2)*HC52*HF52*VLOOKUP('Données projet'!$B$18,'Paramètres'!$A$1:$I$89,3,0)*0.475*44/12</f>
        <v>0</v>
      </c>
      <c r="HJ52" s="143">
        <f t="shared" si="31"/>
        <v>4.854110684</v>
      </c>
    </row>
    <row r="53" ht="15.75" customHeight="1">
      <c r="A53" s="125">
        <f t="shared" si="32"/>
        <v>50</v>
      </c>
      <c r="B53" s="126">
        <f>'Scénario référence'!$B$16*5+'Scénario référence'!$B$17*0+'Scénario référence'!$B$18*5</f>
        <v>0</v>
      </c>
      <c r="C53" s="140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27.3</v>
      </c>
      <c r="D53" s="127">
        <f t="shared" si="33"/>
        <v>8.56141166</v>
      </c>
      <c r="E5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7">
        <f>IF(OR('Scénario référence'!$F$8&gt;0,'Scénario référence'!$F$9&gt;0),('Scénario référence'!$F$8+'Scénario référence'!$F$9)*10,0)</f>
        <v>10</v>
      </c>
      <c r="G53" s="127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</v>
      </c>
      <c r="H53" s="128">
        <f t="shared" si="1"/>
        <v>355.7919586</v>
      </c>
      <c r="I53" s="12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8">
        <f>VLOOKUP(A53,'Données projet'!$A$35:$I$55,2,0)</f>
        <v>286</v>
      </c>
      <c r="L53" s="131">
        <f>VLOOKUP(A53,'Données projet'!$A$35:$I$55,9,0)</f>
        <v>11.6</v>
      </c>
      <c r="M53" s="131">
        <f t="array" ref="M53">INDEX(L:L,MIN(IF(ISNUMBER(L53:L249),ROW(L53:L249),"")))</f>
        <v>11.6</v>
      </c>
      <c r="N53" s="130">
        <f>IF('Données projet'!$A$36&gt;35,N52+M53-V52,IF(A53&lt;'Données projet'!$A$36,$K$205^A53,IF(A53='Données projet'!$A$36,'Données projet'!$B$36,N52+M53-V52)))</f>
        <v>286</v>
      </c>
      <c r="O53" s="130">
        <f>N53*VLOOKUP('Données projet'!$B$9,'Paramètres'!$A$1:$I$89,3,0)*VLOOKUP('Données projet'!$B$9,'Paramètres'!$A$1:$I$89,5,0)</f>
        <v>163.592</v>
      </c>
      <c r="P53" s="130">
        <f t="shared" si="34"/>
        <v>41.65165119</v>
      </c>
      <c r="Q53" s="141">
        <f t="shared" si="2"/>
        <v>357.4660258</v>
      </c>
      <c r="R53" s="133">
        <f t="shared" si="3"/>
        <v>650.7993592</v>
      </c>
      <c r="S53" s="133">
        <f>AVERAGE(OFFSET($R$3,0,0,'Données projet'!$E$9+1,1))-AVERAGE(OFFSET($H$3,0,0,'Données projet'!$E$9+1,1))</f>
        <v>126.9946492</v>
      </c>
      <c r="T53" s="133">
        <f t="shared" si="35"/>
        <v>140.039049</v>
      </c>
      <c r="U53" s="134">
        <f>IF(ISNA(VLOOKUP(A53,'Données projet'!$A$35:$I$55,3,0)),0,VLOOKUP(A53,'Données projet'!$A$35:$I$55,3,0))</f>
        <v>5</v>
      </c>
      <c r="V53" s="144">
        <f>IF(ISNA(VLOOKUP(A53,'Données projet'!$A$35:$I$55,4,0)),0,VLOOKUP(A53,'Données projet'!$A$35:$I$55,4,0))</f>
        <v>65</v>
      </c>
      <c r="W53" s="135">
        <f>IF(ISNA(VLOOKUP(A53,'Données projet'!$A$35:$I$55,5,0)),0%,VLOOKUP(A53,'Données projet'!$A$35:$I$55,5,0)*VLOOKUP('Données projet'!$B$9,'Paramètres'!$A$1:$I$89,7,0))</f>
        <v>0.27</v>
      </c>
      <c r="X53" s="135">
        <f>IF(ISNA(VLOOKUP(A53,'Données projet'!$A$35:$I$55,6,0)),0%,VLOOKUP(A53,'Données projet'!$A$35:$I$55,6,0)*VLOOKUP('Données projet'!$B$9,'Paramètres'!$A$1:$I$89,7,0))</f>
        <v>0.1008</v>
      </c>
      <c r="Y53" s="135">
        <f>IF(ISNA(VLOOKUP(A53,'Données projet'!$A$35:$I$55,7,0)),0%,VLOOKUP(A53,'Données projet'!$A$35:$I$55,7,0))</f>
        <v>0.176</v>
      </c>
      <c r="Z53" s="142">
        <f>EXP(-LN(2)/35)*Z52+(1-EXP(-LN(2)/35))/(LN(2)/35)*V53*W53*VLOOKUP('Données projet'!$B$9,'Paramètres'!$A$1:$I$89,3,0)*0.475*44/12</f>
        <v>19.94021326</v>
      </c>
      <c r="AA53" s="142">
        <f>EXP(-LN(2)/25)*AA52+(1-EXP(-LN(2)/25))/(LN(2)/25)*Calculateur!V53*Calculateur!X53*VLOOKUP('Données projet'!$B$9,'Paramètres'!$A$1:$I$89,3,0)*0.475*44/12</f>
        <v>14.12685577</v>
      </c>
      <c r="AB53" s="142">
        <f>EXP(-LN(2)/2)*AB52+(1-EXP(-LN(2)/2))/(LN(2)/2)*V53*Y53*VLOOKUP('Données projet'!$B$9,'Paramètres'!$A$1:$I$89,3,0)*0.475*44/12</f>
        <v>7.647629728</v>
      </c>
      <c r="AC53" s="143">
        <f t="shared" si="4"/>
        <v>41.71469875</v>
      </c>
      <c r="AD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1">
        <f>VLOOKUP(A53,'Données projet'!$A$61:$I$81,2,0)</f>
        <v>352</v>
      </c>
      <c r="AG53" s="131">
        <f>VLOOKUP(A53,'Données projet'!$A$61:$I$81,9,0)</f>
        <v>17.4</v>
      </c>
      <c r="AH53" s="131">
        <f t="array" ref="AH53">INDEX(AG:AG,MIN(IF(ISNUMBER(AG53:AG249),ROW(AG53:AG249),"")))</f>
        <v>17.4</v>
      </c>
      <c r="AI53" s="130">
        <f>IF('Données projet'!$A$62&gt;35,AI52+AH53-AQ52,IF(A53&lt;'Données projet'!$A$62,$AF$205^A53,IF(A53='Données projet'!$A$62,'Données projet'!$B$62,AI52+AH53-AQ52)))</f>
        <v>352</v>
      </c>
      <c r="AJ53" s="130">
        <f>AI53*VLOOKUP('Données projet'!$B$10,'Paramètres'!$A$1:$I$89,3,0)*VLOOKUP('Données projet'!$B$10,'Paramètres'!$A$1:$I$89,5,0)</f>
        <v>210.496</v>
      </c>
      <c r="AK53" s="130">
        <f t="shared" si="36"/>
        <v>52.04395929</v>
      </c>
      <c r="AL53" s="141">
        <f t="shared" si="5"/>
        <v>457.2570958</v>
      </c>
      <c r="AM53" s="133">
        <f t="shared" si="6"/>
        <v>750.5904291</v>
      </c>
      <c r="AN53" s="133">
        <f>AVERAGE(OFFSET($AM$3,0,0,'Données projet'!$E$10+1,1))-AVERAGE(OFFSET($H$3,0,0,'Données projet'!$E$10+1,1))</f>
        <v>196.874484</v>
      </c>
      <c r="AO53" s="133">
        <f t="shared" si="37"/>
        <v>217.5750859</v>
      </c>
      <c r="AP53" s="134">
        <f>IF(ISNA(VLOOKUP(A53,'Données projet'!$A$61:$I$81,3,0)),0,VLOOKUP(A53,'Données projet'!$A$61:$I$81,3,0))</f>
        <v>7</v>
      </c>
      <c r="AQ53" s="145">
        <f>IF(ISNA(VLOOKUP(A53,'Données projet'!$A$61:$I$81,4,0)),0,VLOOKUP(A53,'Données projet'!$A$61:$I$81,4,0))</f>
        <v>53</v>
      </c>
      <c r="AR53" s="135">
        <f>IF(ISNA(VLOOKUP(A53,'Données projet'!$A$61:$I$81,5,0)),0%,VLOOKUP(A53,'Données projet'!$A$61:$I$81,5,0)*VLOOKUP('Données projet'!$B$10,'Paramètres'!$A$1:$I$89,7,0))</f>
        <v>0.27</v>
      </c>
      <c r="AS53" s="135">
        <f>IF(ISNA(VLOOKUP(A53,'Données projet'!$A$61:$I$81,6,0)),0%,VLOOKUP(A53,'Données projet'!$A$61:$I$81,6,0)*VLOOKUP('Données projet'!$B$10,'Paramètres'!$A$1:$I$89,7,0))</f>
        <v>0.1008</v>
      </c>
      <c r="AT53" s="135">
        <f>IF(ISNA(VLOOKUP(A53,'Données projet'!$A$61:$I$81,7,0)),0%,VLOOKUP(A53,'Données projet'!$A$61:$I$81,7,0))</f>
        <v>0.176</v>
      </c>
      <c r="AU53" s="142">
        <f>EXP(-LN(2)/35)*AU52+(1-EXP(-LN(2)/35))/(LN(2)/35)*AQ53*AR53*VLOOKUP('Données projet'!$B$10,'Paramètres'!$A$1:$I$89,3,0)*0.475*44/12</f>
        <v>26.81746638</v>
      </c>
      <c r="AV53" s="142">
        <f>EXP(-LN(2)/25)*AV52+(1-EXP(-LN(2)/25))/(LN(2)/25)*Calculateur!AQ53*Calculateur!AS53*VLOOKUP('Données projet'!$B$10,'Paramètres'!$A$1:$I$89,3,0)*0.475*44/12</f>
        <v>24.02403932</v>
      </c>
      <c r="AW53" s="142">
        <f>EXP(-LN(2)/2)*AW52+(1-EXP(-LN(2)/2))/(LN(2)/2)*AQ53*AT53*VLOOKUP('Données projet'!$B$10,'Paramètres'!$A$1:$I$89,3,0)*0.475*44/12</f>
        <v>8.282551999</v>
      </c>
      <c r="AX53" s="142">
        <f t="shared" si="7"/>
        <v>59.1240577</v>
      </c>
      <c r="AY53" s="13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1">
        <f>VLOOKUP(A53,'Données projet'!$A$87:$I$107,2,0)</f>
        <v>300</v>
      </c>
      <c r="BB53" s="130">
        <f>VLOOKUP(A53,'Données projet'!$A$87:$I$107,9,0)</f>
        <v>14</v>
      </c>
      <c r="BC53" s="130">
        <f t="array" ref="BC53">INDEX(BB:BB,MIN(IF(ISNUMBER(BB53:BB249),ROW(BB53:BB249),"")))</f>
        <v>14</v>
      </c>
      <c r="BD53" s="130">
        <f>IF('Données projet'!$A$88&gt;35,BD52+BC53-BL52,IF(A53&lt;'Données projet'!$A$88,$BA$205^A53,IF(A53='Données projet'!$A$88,'Données projet'!$B$88,BD52+BC53-BL52)))</f>
        <v>300</v>
      </c>
      <c r="BE53" s="130">
        <f>BD53*VLOOKUP('Données projet'!$B$11,'Paramètres'!$A$1:$I$89,3,0)*VLOOKUP('Données projet'!$B$11,'Paramètres'!$A$1:$I$89,5,0)</f>
        <v>140.4</v>
      </c>
      <c r="BF53" s="130">
        <f t="shared" si="38"/>
        <v>36.38862466</v>
      </c>
      <c r="BG53" s="141">
        <f t="shared" si="8"/>
        <v>307.9068546</v>
      </c>
      <c r="BH53" s="133">
        <f t="shared" si="9"/>
        <v>601.2401879</v>
      </c>
      <c r="BI53" s="133">
        <f>AVERAGE(OFFSET($BH$3,0,0,'Données projet'!$E$11+1,1))-AVERAGE(OFFSET($H$3,0,0,'Données projet'!$E$11+1,1))</f>
        <v>134.0948534</v>
      </c>
      <c r="BJ53" s="133">
        <f t="shared" si="39"/>
        <v>108.4102536</v>
      </c>
      <c r="BK53" s="134">
        <f>IF(ISNA(VLOOKUP(A53,'Données projet'!$A$87:$I$107,3,0)),0,VLOOKUP(A53,'Données projet'!$A$87:$I$107,3,0))</f>
        <v>3</v>
      </c>
      <c r="BL53" s="146">
        <f>IF(ISNA(VLOOKUP(A53,'Données projet'!$A$87:$I$107,4,0)),0,VLOOKUP(A53,'Données projet'!$A$87:$I$107,4,0))</f>
        <v>50</v>
      </c>
      <c r="BM53" s="135">
        <f>IF(ISNA(VLOOKUP(A53,'Données projet'!$A$87:$I$107,5,0)),0%,VLOOKUP(A53,'Données projet'!$A$87:$I$107,5,0)*VLOOKUP('Données projet'!$B$11,'Paramètres'!$A$1:$I$89,7,0))</f>
        <v>0.33</v>
      </c>
      <c r="BN53" s="135">
        <f>IF(ISNA(VLOOKUP(A53,'Données projet'!$A$87:$I$107,6,0)),0%,VLOOKUP(A53,'Données projet'!$A$87:$I$107,6,0)*VLOOKUP('Données projet'!$B$11,'Paramètres'!$A$1:$I$89,7,0))</f>
        <v>0.1232</v>
      </c>
      <c r="BO53" s="135">
        <f>IF(ISNA(VLOOKUP(A53,'Données projet'!$A$87:$I$107,7,0)),0%,VLOOKUP(A53,'Données projet'!$A$87:$I$107,7,0))</f>
        <v>0.176</v>
      </c>
      <c r="BP53" s="142">
        <f>EXP(-LN(2)/35)*BP52+(1-EXP(-LN(2)/35))/(LN(2)/35)*BL53*BM53*VLOOKUP('Données projet'!$B$11,'Paramètres'!$A$1:$I$89,3,0)*0.475*44/12</f>
        <v>17.68419894</v>
      </c>
      <c r="BQ53" s="142">
        <f>EXP(-LN(2)/25)*BQ52+(1-EXP(-LN(2)/25))/(LN(2)/25)*Calculateur!BL53*Calculateur!BN53*VLOOKUP('Données projet'!$B$11,'Paramètres'!$A$1:$I$89,3,0)*0.475*44/12</f>
        <v>11.64015681</v>
      </c>
      <c r="BR53" s="142">
        <f>EXP(-LN(2)/2)*BR52+(1-EXP(-LN(2)/2))/(LN(2)/2)*BL53*BO53*VLOOKUP('Données projet'!$B$11,'Paramètres'!$A$1:$I$89,3,0)*0.475*44/12</f>
        <v>4.888848854</v>
      </c>
      <c r="BS53" s="143">
        <f t="shared" si="10"/>
        <v>34.2132046</v>
      </c>
      <c r="BT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1">
        <f>VLOOKUP(A53,'Données projet'!$A$113:$I$133,2,0)</f>
        <v>545</v>
      </c>
      <c r="BW53" s="130">
        <f>VLOOKUP(A53,'Données projet'!$A$113:$I$133,9,0)</f>
        <v>22.8</v>
      </c>
      <c r="BX53" s="130">
        <f t="array" ref="BX53">INDEX(BW:BW,MIN(IF(ISNUMBER(BW53:BW249),ROW(BW53:BW249),"")))</f>
        <v>22.8</v>
      </c>
      <c r="BY53" s="130">
        <f>IF('Données projet'!$A$114&gt;35,BY52+BX53-CG52,IF(A53&lt;'Données projet'!$A$114,$BV$205^A53,IF(A53='Données projet'!$A$114,'Données projet'!$B$114,BY52+BX53-CG52)))</f>
        <v>545</v>
      </c>
      <c r="BZ53" s="130">
        <f>BY53*VLOOKUP('Données projet'!$B$12,'Paramètres'!$A$1:$I$89,3,0)*VLOOKUP('Données projet'!$B$12,'Paramètres'!$A$1:$I$89,5,0)</f>
        <v>269.23</v>
      </c>
      <c r="CA53" s="130">
        <f t="shared" si="40"/>
        <v>64.6858287</v>
      </c>
      <c r="CB53" s="141">
        <f t="shared" si="11"/>
        <v>581.5700683</v>
      </c>
      <c r="CC53" s="133">
        <f t="shared" si="12"/>
        <v>874.9034017</v>
      </c>
      <c r="CD53" s="133">
        <f>AVERAGE(OFFSET($CC$3,0,0,'Données projet'!$E$12+1,1))-AVERAGE(OFFSET($H$3,0,0,'Données projet'!$E$12+1,1))</f>
        <v>258.1672054</v>
      </c>
      <c r="CE53" s="133">
        <f t="shared" si="41"/>
        <v>296.0724261</v>
      </c>
      <c r="CF53" s="134">
        <f>IF(ISNA(VLOOKUP(A53,'Données projet'!$A$113:$I$133,3,0)),0,VLOOKUP(A53,'Données projet'!$A$113:$I$133,3,0))</f>
        <v>8</v>
      </c>
      <c r="CG53" s="134">
        <f>IF(ISNA(VLOOKUP(A53,'Données projet'!$A$113:$I$133,4,0)),0,VLOOKUP(A53,'Données projet'!$A$113:$I$133,4,0))</f>
        <v>63</v>
      </c>
      <c r="CH53" s="135">
        <f>IF(ISNA(VLOOKUP(A53,'Données projet'!$A$113:$I$133,5,0)),0%,VLOOKUP(A53,'Données projet'!$A$113:$I$133,5,0)*VLOOKUP('Données projet'!$B$12,'Paramètres'!$A$1:$I$89,7,0))</f>
        <v>0.33</v>
      </c>
      <c r="CI53" s="135">
        <f>IF(ISNA(VLOOKUP(A53,'Données projet'!$A$113:$I$133,6,0)),0%,VLOOKUP(A53,'Données projet'!$A$113:$I$133,6,0)*VLOOKUP('Données projet'!$B$12,'Paramètres'!$A$1:$I$89,7,0))</f>
        <v>0.121</v>
      </c>
      <c r="CJ53" s="135">
        <f>IF(ISNA(VLOOKUP(A53,'Données projet'!$A$113:$I$133,7,0)),0%,VLOOKUP(A53,'Données projet'!$A$113:$I$133,7,0))</f>
        <v>0.18</v>
      </c>
      <c r="CK53" s="142">
        <f>EXP(-LN(2)/35)*CK52+(1-EXP(-LN(2)/35))/(LN(2)/35)*CG53*CH53*VLOOKUP('Données projet'!$B$12,'Paramètres'!$A$1:$I$89,3,0)*0.475*44/12</f>
        <v>45.98741793</v>
      </c>
      <c r="CL53" s="142">
        <f>EXP(-LN(2)/25)*CL52+(1-EXP(-LN(2)/25))/(LN(2)/25)*Calculateur!CG53*Calculateur!CI53*VLOOKUP('Données projet'!$B$12,'Paramètres'!$A$1:$I$89,3,0)*0.475*44/12</f>
        <v>31.37658193</v>
      </c>
      <c r="CM53" s="142">
        <f>EXP(-LN(2)/2)*CM52+(1-EXP(-LN(2)/2))/(LN(2)/2)*CG53*CJ53*VLOOKUP('Données projet'!$B$12,'Paramètres'!$A$1:$I$89,3,0)*0.475*44/12</f>
        <v>7.815075864</v>
      </c>
      <c r="CN53" s="143">
        <f t="shared" si="13"/>
        <v>85.17907572</v>
      </c>
      <c r="CO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8">
        <f>VLOOKUP(A53,'Données projet'!$A$139:$I$159,2,0)</f>
        <v>121</v>
      </c>
      <c r="CR53" s="130">
        <f>VLOOKUP(A53,'Données projet'!$A$139:$I$159,9,0)</f>
        <v>5.6</v>
      </c>
      <c r="CS53" s="130">
        <f t="array" ref="CS53">INDEX(CR:CR,MIN(IF(ISNUMBER(CR53:CR249),ROW(CR53:CR249),"")))</f>
        <v>5.6</v>
      </c>
      <c r="CT53" s="138">
        <f>IF('Données projet'!$A$140&gt;35,CT52+CS53-DB52,IF(A53&lt;'Données projet'!$A$140,$CQ$205^A53,IF(A53='Données projet'!$A$140,'Données projet'!$B$140,CT52+CS53-DB52)))</f>
        <v>121</v>
      </c>
      <c r="CU53" s="138">
        <f>CT53*VLOOKUP('Données projet'!$B$13,'Paramètres'!$A$1:$I$89,3,0)*VLOOKUP('Données projet'!$B$13,'Paramètres'!$A$1:$I$89,5,0)</f>
        <v>122.694</v>
      </c>
      <c r="CV53" s="130">
        <f t="shared" si="42"/>
        <v>32.30251636</v>
      </c>
      <c r="CW53" s="141">
        <f t="shared" si="14"/>
        <v>269.952266</v>
      </c>
      <c r="CX53" s="133">
        <f t="shared" si="15"/>
        <v>563.2855993</v>
      </c>
      <c r="CY53" s="133">
        <f>AVERAGE(OFFSET($CX$3,0,0,'Données projet'!$E$13+1,1))-AVERAGE(OFFSET($H$3,0,0,'Données projet'!$E$13+1,1))</f>
        <v>223.783507</v>
      </c>
      <c r="CZ53" s="133">
        <f t="shared" si="43"/>
        <v>84.92349117</v>
      </c>
      <c r="DA53" s="134">
        <f>IF(ISNA(VLOOKUP(A53,'Données projet'!$A$139:$I$159,3,0)),0,VLOOKUP(A53,'Données projet'!$A$139:$I$159,3,0))</f>
        <v>6</v>
      </c>
      <c r="DB53" s="144">
        <f>IF(ISNA(VLOOKUP(A53,'Données projet'!$A$139:$I$159,4,0)),0,VLOOKUP(A53,'Données projet'!$A$139:$I$159,4,0))</f>
        <v>14</v>
      </c>
      <c r="DC53" s="135">
        <f>IF(ISNA(VLOOKUP(A53,'Données projet'!$A$139:$I$159,5,0)),0%,VLOOKUP(A53,'Données projet'!$A$139:$I$159,5,0)*VLOOKUP('Données projet'!$B$13,'Paramètres'!$A$1:$I$89,7,0))</f>
        <v>0.086</v>
      </c>
      <c r="DD53" s="135">
        <f>IF(ISNA(VLOOKUP(A53,'Données projet'!$A$139:$I$159,6,0)),0%,VLOOKUP(A53,'Données projet'!$A$139:$I$159,6,0)*VLOOKUP('Données projet'!$B$13,'Paramètres'!$A$1:$I$89,7,0))</f>
        <v>0</v>
      </c>
      <c r="DE53" s="135" t="str">
        <f>IF(ISNA(VLOOKUP(A53,'Données projet'!$A$139:$I$159,7,0)),0%,VLOOKUP(A53,'Données projet'!$A$139:$I$159,7,0))</f>
        <v/>
      </c>
      <c r="DF53" s="142">
        <f>EXP(-LN(2)/35)*DF52+(1-EXP(-LN(2)/35))/(LN(2)/35)*DB53*DC53*VLOOKUP('Données projet'!$B$13,'Paramètres'!$A$1:$I$89,3,0)*0.475*44/12</f>
        <v>2.572003049</v>
      </c>
      <c r="DG53" s="142">
        <f>EXP(-LN(2)/25)*DG52+(1-EXP(-LN(2)/25))/(LN(2)/25)*Calculateur!DB53*Calculateur!DD53*VLOOKUP('Données projet'!$B$13,'Paramètres'!$A$1:$I$89,3,0)*0.475*44/12</f>
        <v>0</v>
      </c>
      <c r="DH53" s="142">
        <f>EXP(-LN(2)/2)*DH52+(1-EXP(-LN(2)/2))/(LN(2)/2)*DB53*DE53*VLOOKUP('Données projet'!$B$13,'Paramètres'!$A$1:$I$89,3,0)*0.475*44/12</f>
        <v>0</v>
      </c>
      <c r="DI53" s="143">
        <f t="shared" si="16"/>
        <v>2.572003049</v>
      </c>
      <c r="DJ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8">
        <f>VLOOKUP(A53,'Données projet'!$A$165:$I$185,2,0)</f>
        <v>178</v>
      </c>
      <c r="DM53" s="131">
        <f>VLOOKUP(A53,'Données projet'!$A$165:$I$185,9,0)</f>
        <v>8.2</v>
      </c>
      <c r="DN53" s="131">
        <f t="array" ref="DN53">INDEX(DM:DM,MIN(IF(ISNUMBER(DM53:DM249),ROW(DM53:DM249),"")))</f>
        <v>8.2</v>
      </c>
      <c r="DO53" s="138">
        <f>IF('Données projet'!$A$166&gt;35,DO52+DN53-DW52,IF(A53&lt;'Données projet'!$A$166,$DL$205^A53,IF(A53='Données projet'!$A$166,'Données projet'!$B$166,DO52+DN53-DW52)))</f>
        <v>178</v>
      </c>
      <c r="DP53" s="138">
        <f>DO53*VLOOKUP('Données projet'!$B$14,'Paramètres'!$A$1:$I$89,3,0)*VLOOKUP('Données projet'!$B$14,'Paramètres'!$A$1:$I$89,5,0)</f>
        <v>161.0544</v>
      </c>
      <c r="DQ53" s="130">
        <f t="shared" si="44"/>
        <v>41.08024728</v>
      </c>
      <c r="DR53" s="141">
        <f t="shared" si="17"/>
        <v>352.0511773</v>
      </c>
      <c r="DS53" s="133">
        <f t="shared" si="18"/>
        <v>645.3845107</v>
      </c>
      <c r="DT53" s="133">
        <f>AVERAGE(OFFSET($DS$3,0,0,'Données projet'!$E$14+1,1))-AVERAGE(OFFSET($H$3,0,0,'Données projet'!$E$14+1,1))</f>
        <v>287.9334714</v>
      </c>
      <c r="DU53" s="133">
        <f t="shared" si="45"/>
        <v>156.6796502</v>
      </c>
      <c r="DV53" s="134">
        <f>IF(ISNA(VLOOKUP(A53,'Données projet'!$A$165:$I$185,3,0)),0,VLOOKUP(A53,'Données projet'!$A$165:$I$185,3,0))</f>
        <v>7</v>
      </c>
      <c r="DW53" s="144">
        <f>IF(ISNA(VLOOKUP(A53,'Données projet'!$A$165:$I$185,4,0)),0,VLOOKUP(A53,'Données projet'!$A$165:$I$185,4,0))</f>
        <v>21</v>
      </c>
      <c r="DX53" s="135">
        <f>IF(ISNA(VLOOKUP(A53,'Données projet'!$A$165:$I$185,5,0)),0%,VLOOKUP(A53,'Données projet'!$A$165:$I$185,5,0)*VLOOKUP('Données projet'!$B$14,'Paramètres'!$A$1:$I$89,7,0))</f>
        <v>0.129</v>
      </c>
      <c r="DY53" s="135">
        <f>IF(ISNA(VLOOKUP(A53,'Données projet'!$A$165:$I$185,6,0)),0%,VLOOKUP(A53,'Données projet'!$A$165:$I$185,6,0)*VLOOKUP('Données projet'!$B$14,'Paramètres'!$A$1:$I$89,7,0))</f>
        <v>0</v>
      </c>
      <c r="DZ53" s="135" t="str">
        <f>IF(ISNA(VLOOKUP(A53,'Données projet'!$A$165:$I$185,7,0)),0%,VLOOKUP(A53,'Données projet'!$A$165:$I$185,7,0))</f>
        <v/>
      </c>
      <c r="EA53" s="142">
        <f>EXP(-LN(2)/35)*EA52+(1-EXP(-LN(2)/35))/(LN(2)/35)*DW53*DX53*VLOOKUP('Données projet'!$B$14,'Paramètres'!$A$1:$I$89,3,0)*0.475*44/12</f>
        <v>5.827600297</v>
      </c>
      <c r="EB53" s="142">
        <f>EXP(-LN(2)/25)*EB52+(1-EXP(-LN(2)/25))/(LN(2)/25)*Calculateur!DW53*Calculateur!DY53*VLOOKUP('Données projet'!$B$14,'Paramètres'!$A$1:$I$89,3,0)*0.475*44/12</f>
        <v>0</v>
      </c>
      <c r="EC53" s="142">
        <f>EXP(-LN(2)/2)*EC52+(1-EXP(-LN(2)/2))/(LN(2)/2)*DW53*DZ53*VLOOKUP('Données projet'!$B$14,'Paramètres'!$A$1:$I$89,3,0)*0.475*44/12</f>
        <v>0</v>
      </c>
      <c r="ED53" s="143">
        <f t="shared" si="19"/>
        <v>5.827600297</v>
      </c>
      <c r="EE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8">
        <f>VLOOKUP(A53,'Données projet'!$A$191:$I$211,2,0)</f>
        <v>154</v>
      </c>
      <c r="EH53" s="131">
        <f>VLOOKUP(A53,'Données projet'!$A$191:$I$211,9,0)</f>
        <v>8.2</v>
      </c>
      <c r="EI53" s="131">
        <f t="array" ref="EI53">INDEX(EH:EH,MIN(IF(ISNUMBER(EH53:EH249),ROW(EH53:EH249),"")))</f>
        <v>8.2</v>
      </c>
      <c r="EJ53" s="138">
        <f>IF('Données projet'!$A$192&gt;35,EJ52+EI53-ER52,IF(A53&lt;'Données projet'!$A$192,$EG$205^A53,IF(A53='Données projet'!$A$192,'Données projet'!$B$192,EJ52+EI53-ER52)))</f>
        <v>154</v>
      </c>
      <c r="EK53" s="138">
        <f>EJ53*VLOOKUP('Données projet'!$B$15,'Paramètres'!$A$1:$I$89,3,0)*VLOOKUP('Données projet'!$B$15,'Paramètres'!$A$1:$I$89,5,0)</f>
        <v>112.9128</v>
      </c>
      <c r="EL53" s="130">
        <f t="shared" si="46"/>
        <v>30.0162156</v>
      </c>
      <c r="EM53" s="141">
        <f t="shared" si="20"/>
        <v>248.9347022</v>
      </c>
      <c r="EN53" s="133">
        <f t="shared" si="21"/>
        <v>542.2680355</v>
      </c>
      <c r="EO53" s="133">
        <f>AVERAGE(OFFSET($EN$3,0,0,'Données projet'!$E$15+1,1))-AVERAGE(OFFSET($H$3,0,0,'Données projet'!$E$15+1,1))</f>
        <v>130.3193339</v>
      </c>
      <c r="EP53" s="133">
        <f t="shared" si="47"/>
        <v>82.22784365</v>
      </c>
      <c r="EQ53" s="134">
        <f>IF(ISNA(VLOOKUP(A53,'Données projet'!$A$191:$I$211,3,0)),0,VLOOKUP(A53,'Données projet'!$A$191:$I$211,3,0))</f>
        <v>6</v>
      </c>
      <c r="ER53" s="144">
        <f>IF(ISNA(VLOOKUP(A53,'Données projet'!$A$191:$I$211,4,0)),0,VLOOKUP(A53,'Données projet'!$A$191:$I$211,4,0))</f>
        <v>21</v>
      </c>
      <c r="ES53" s="135">
        <f>IF(ISNA(VLOOKUP(A53,'Données projet'!$A$191:$I$211,5,0)),0%,VLOOKUP(A53,'Données projet'!$A$191:$I$211,5,0)*VLOOKUP('Données projet'!$B$15,'Paramètres'!$A$1:$I$89,7,0))</f>
        <v>0.172</v>
      </c>
      <c r="ET53" s="135">
        <f>IF(ISNA(VLOOKUP(A53,'Données projet'!$A$191:$I$211,6,0)),0%,VLOOKUP(A53,'Données projet'!$A$191:$I$211,6,0)*VLOOKUP('Données projet'!$B$15,'Paramètres'!$A$1:$I$89,7,0))</f>
        <v>0</v>
      </c>
      <c r="EU53" s="135" t="str">
        <f>IF(ISNA(VLOOKUP(A53,'Données projet'!$A$191:$I$211,7,0)),0%,VLOOKUP(A53,'Données projet'!$A$191:$I$211,7,0))</f>
        <v/>
      </c>
      <c r="EV53" s="142">
        <f>EXP(-LN(2)/35)*EV52+(1-EXP(-LN(2)/35))/(LN(2)/35)*ER53*ES53*VLOOKUP('Données projet'!$B$15,'Paramètres'!$A$1:$I$89,3,0)*0.475*44/12</f>
        <v>8.430604751</v>
      </c>
      <c r="EW53" s="142">
        <f>EXP(-LN(2)/25)*EW52+(1-EXP(-LN(2)/25))/(LN(2)/25)*Calculateur!ER53*Calculateur!ET53*VLOOKUP('Données projet'!$B$15,'Paramètres'!$A$1:$I$89,3,0)*0.475*44/12</f>
        <v>0</v>
      </c>
      <c r="EX53" s="142">
        <f>EXP(-LN(2)/2)*EX52+(1-EXP(-LN(2)/2))/(LN(2)/2)*ER53*EU53*VLOOKUP('Données projet'!$B$15,'Paramètres'!$A$1:$I$89,3,0)*0.475*44/12</f>
        <v>0</v>
      </c>
      <c r="EY53" s="143">
        <f t="shared" si="22"/>
        <v>8.430604751</v>
      </c>
      <c r="EZ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1">
        <f>VLOOKUP(A53,'Données projet'!$A$217:$I$237,2,0)</f>
        <v>259</v>
      </c>
      <c r="FC53" s="130">
        <f>VLOOKUP(A53,'Données projet'!$A$217:$I$237,9,0)</f>
        <v>5.8</v>
      </c>
      <c r="FD53" s="130">
        <f t="array" ref="FD53">INDEX(FC:FC,MIN(IF(ISNUMBER(FC53:FC249),ROW(FC53:FC249),"")))</f>
        <v>5.8</v>
      </c>
      <c r="FE53" s="130">
        <f>IF('Données projet'!$A$218&gt;35,FE52+FD53-FM52,IF(A53&lt;'Données projet'!$A$218,$FB$205^A53,IF(A53='Données projet'!$A$218,'Données projet'!$B$218,FE52+FD53-FM52)))</f>
        <v>259</v>
      </c>
      <c r="FF53" s="138">
        <f>FE53*VLOOKUP('Données projet'!$B$16,'Paramètres'!$A$1:$I$89,3,0)*VLOOKUP('Données projet'!$B$16,'Paramètres'!$A$1:$I$89,5,0)</f>
        <v>234.3432</v>
      </c>
      <c r="FG53" s="130">
        <f t="shared" si="48"/>
        <v>57.22075801</v>
      </c>
      <c r="FH53" s="141">
        <f t="shared" si="23"/>
        <v>507.8072269</v>
      </c>
      <c r="FI53" s="133">
        <f t="shared" si="24"/>
        <v>801.1405602</v>
      </c>
      <c r="FJ53" s="133">
        <f>AVERAGE(OFFSET($FI$3,0,0,'Données projet'!$E$16+1,1))-AVERAGE(OFFSET($H$3,0,0,'Données projet'!$E$16+1,1))</f>
        <v>305.6252353</v>
      </c>
      <c r="FK53" s="133">
        <f t="shared" si="49"/>
        <v>331.397916</v>
      </c>
      <c r="FL53" s="134">
        <f>IF(ISNA(VLOOKUP(A53,'Données projet'!$A$217:$I$237,3,0)),0,VLOOKUP(A53,'Données projet'!$A$217:$I$237,3,0))</f>
        <v>8</v>
      </c>
      <c r="FM53" s="134">
        <f>IF(ISNA(VLOOKUP(A53,'Données projet'!$A$217:$I$237,4,0)),0,VLOOKUP(A53,'Données projet'!$A$217:$I$237,4,0))</f>
        <v>11</v>
      </c>
      <c r="FN53" s="135">
        <f>IF(ISNA(VLOOKUP(A53,'Données projet'!$A$217:$I$237,5,0)),0%,VLOOKUP(A53,'Données projet'!$A$217:$I$237,5,0)*VLOOKUP('Données projet'!$B$16,'Paramètres'!$A$1:$I$89,7,0))</f>
        <v>0.12</v>
      </c>
      <c r="FO53" s="135">
        <f>IF(ISNA(VLOOKUP(A53,'Données projet'!$A$217:$I$237,6,0)),0%,VLOOKUP(A53,'Données projet'!$A$217:$I$237,6,0)*VLOOKUP('Données projet'!$B$16,'Paramètres'!$A$1:$I$89,7,0))</f>
        <v>0</v>
      </c>
      <c r="FP53" s="135" t="str">
        <f>IF(ISNA(VLOOKUP(A53,'Données projet'!$A$217:$I$237,7,0)),0%,VLOOKUP(A53,'Données projet'!$A$217:$I$237,7,0))</f>
        <v/>
      </c>
      <c r="FQ53" s="142">
        <f>EXP(-LN(2)/35)*FQ52+(1-EXP(-LN(2)/35))/(LN(2)/35)*FM53*FN53*VLOOKUP('Données projet'!$B$16,'Paramètres'!$A$1:$I$89,3,0)*0.475*44/12</f>
        <v>4.136237334</v>
      </c>
      <c r="FR53" s="142">
        <f>EXP(-LN(2)/25)*FR52+(1-EXP(-LN(2)/25))/(LN(2)/25)*Calculateur!FM53*Calculateur!FO53*VLOOKUP('Données projet'!$B$16,'Paramètres'!$A$1:$I$89,3,0)*0.475*44/12</f>
        <v>0</v>
      </c>
      <c r="FS53" s="142">
        <f>EXP(-LN(2)/2)*FS52+(1-EXP(-LN(2)/2))/(LN(2)/2)*FM53*FP53*VLOOKUP('Données projet'!$B$16,'Paramètres'!$A$1:$I$89,3,0)*0.475*44/12</f>
        <v>0</v>
      </c>
      <c r="FT53" s="143">
        <f t="shared" si="25"/>
        <v>4.136237334</v>
      </c>
      <c r="FU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8">
        <f>VLOOKUP(A53,'Données projet'!$A$243:$I$263,2,0)</f>
        <v>217</v>
      </c>
      <c r="FX53" s="130">
        <f>VLOOKUP(A53,'Données projet'!$A$243:$I$263,9,0)</f>
        <v>11</v>
      </c>
      <c r="FY53" s="130">
        <f t="array" ref="FY53">INDEX(FX:FX,MIN(IF(ISNUMBER(FX53:FX249),ROW(FX53:FX249),"")))</f>
        <v>11</v>
      </c>
      <c r="FZ53" s="138">
        <f>IF('Données projet'!$A$244&gt;35,FZ52+FY53-GH52,IF(A53&lt;'Données projet'!$A$244,$FW$205^A53,IF(A53='Données projet'!$A$244,'Données projet'!$B$244,FZ52+FY53-GH52)))</f>
        <v>217</v>
      </c>
      <c r="GA53" s="138">
        <f>FZ53*VLOOKUP('Données projet'!$B$17,'Paramètres'!$A$1:$I$89,3,0)*VLOOKUP('Données projet'!$B$17,'Paramètres'!$A$1:$I$89,5,0)</f>
        <v>145.5636</v>
      </c>
      <c r="GB53" s="130">
        <f t="shared" si="50"/>
        <v>37.56864298</v>
      </c>
      <c r="GC53" s="141">
        <f t="shared" si="26"/>
        <v>318.9553232</v>
      </c>
      <c r="GD53" s="133">
        <f t="shared" si="27"/>
        <v>612.2886565</v>
      </c>
      <c r="GE53" s="133">
        <f>AVERAGE(OFFSET($GD$3,0,0,'Données projet'!$E$17+1,1))-AVERAGE(OFFSET($H$3,0,0,'Données projet'!$E$17+1,1))</f>
        <v>118.7368745</v>
      </c>
      <c r="GF53" s="133">
        <f t="shared" si="51"/>
        <v>135.1233677</v>
      </c>
      <c r="GG53" s="134">
        <f>IF(ISNA(VLOOKUP(A53,'Données projet'!$A$243:$I$263,3,0)),0,VLOOKUP(A53,'Données projet'!$A$243:$I$263,3,0))</f>
        <v>7</v>
      </c>
      <c r="GH53" s="144">
        <f>IF(ISNA(VLOOKUP(A53,'Données projet'!$A$243:$I$263,4,0)),0,VLOOKUP(A53,'Données projet'!$A$243:$I$263,4,0))</f>
        <v>28</v>
      </c>
      <c r="GI53" s="135">
        <f>IF(ISNA(VLOOKUP(A53,'Données projet'!$A$243:$I$263,5,0)),0%,VLOOKUP(A53,'Données projet'!$A$243:$I$263,5,0)*VLOOKUP('Données projet'!$B$17,'Paramètres'!$A$1:$I$89,7,0))</f>
        <v>0.318</v>
      </c>
      <c r="GJ53" s="135">
        <f>IF(ISNA(VLOOKUP(A53,'Données projet'!$A$243:$I$263,6,0)),0%,VLOOKUP(A53,'Données projet'!$A$243:$I$263,6,0)*VLOOKUP('Données projet'!$B$17,'Paramètres'!$A$1:$I$89,7,0))</f>
        <v>0</v>
      </c>
      <c r="GK53" s="135" t="str">
        <f>IF(ISNA(VLOOKUP(A53,'Données projet'!$A$243:$I$263,7,0)),0%,VLOOKUP(A53,'Données projet'!$A$243:$I$263,7,0))</f>
        <v/>
      </c>
      <c r="GL53" s="142">
        <f>EXP(-LN(2)/35)*GL52+(1-EXP(-LN(2)/35))/(LN(2)/35)*GH53*GI53*VLOOKUP('Données projet'!$B$17,'Paramètres'!$A$1:$I$89,3,0)*0.475*44/12</f>
        <v>15.83586577</v>
      </c>
      <c r="GM53" s="142">
        <f>EXP(-LN(2)/25)*GM52+(1-EXP(-LN(2)/25))/(LN(2)/25)*Calculateur!GH53*Calculateur!GJ53*VLOOKUP('Données projet'!$B$17,'Paramètres'!$A$1:$I$89,3,0)*0.475*44/12</f>
        <v>0</v>
      </c>
      <c r="GN53" s="142">
        <f>EXP(-LN(2)/2)*GN52+(1-EXP(-LN(2)/2))/(LN(2)/2)*GH53*GK53*VLOOKUP('Données projet'!$B$17,'Paramètres'!$A$1:$I$89,3,0)*0.475*44/12</f>
        <v>0</v>
      </c>
      <c r="GO53" s="142">
        <f t="shared" si="28"/>
        <v>15.83586577</v>
      </c>
      <c r="GP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8">
        <f>VLOOKUP(A53,'Données projet'!$A$269:$I$289,2,0)</f>
        <v>121</v>
      </c>
      <c r="GS53" s="130">
        <f>VLOOKUP(A53,'Données projet'!$A$269:$I$289,9,0)</f>
        <v>5.6</v>
      </c>
      <c r="GT53" s="130">
        <f t="array" ref="GT53">INDEX(GS:GS,MIN(IF(ISNUMBER(GS53:GS249),ROW(GS53:GS249),"")))</f>
        <v>5.6</v>
      </c>
      <c r="GU53" s="138">
        <f>IF('Données projet'!$A$270&gt;35,GU52+GT53-HC52,IF(A53&lt;'Données projet'!$A$270,$GR$205^A53,IF(A53='Données projet'!$A$270,'Données projet'!$B$270,GU52+GT53-HC52)))</f>
        <v>121</v>
      </c>
      <c r="GV53" s="138">
        <f>GU53*VLOOKUP('Données projet'!$B$18,'Paramètres'!$A$1:$I$89,3,0)*VLOOKUP('Données projet'!$B$18,'Paramètres'!$A$1:$I$89,5,0)</f>
        <v>130.2444</v>
      </c>
      <c r="GW53" s="130">
        <f t="shared" si="52"/>
        <v>34.05282682</v>
      </c>
      <c r="GX53" s="141">
        <f t="shared" si="29"/>
        <v>286.1510034</v>
      </c>
      <c r="GY53" s="133">
        <f t="shared" si="30"/>
        <v>579.4843367</v>
      </c>
      <c r="GZ53" s="133">
        <f>AVERAGE(OFFSET($GY$3,0,0,'Données projet'!$E$18+1,1))-AVERAGE(OFFSET($H$3,0,0,'Données projet'!$E$18+1,1))</f>
        <v>100.5427875</v>
      </c>
      <c r="HA53" s="133">
        <f t="shared" si="53"/>
        <v>92.28663609</v>
      </c>
      <c r="HB53" s="134">
        <f>IF(ISNA(VLOOKUP(A53,'Données projet'!$A$269:$I$289,3,0)),0,VLOOKUP(A53,'Données projet'!$A$269:$I$289,3,0))</f>
        <v>6</v>
      </c>
      <c r="HC53" s="144">
        <f>IF(ISNA(VLOOKUP(A53,'Données projet'!$A$269:$I$289,4,0)),0,VLOOKUP(A53,'Données projet'!$A$269:$I$289,4,0))</f>
        <v>14</v>
      </c>
      <c r="HD53" s="135">
        <f>IF(ISNA(VLOOKUP(A53,'Données projet'!$A$269:$I$289,5,0)),0%,VLOOKUP(A53,'Données projet'!$A$269:$I$289,5,0)*VLOOKUP('Données projet'!$B$18,'Paramètres'!$A$1:$I$89,7,0))</f>
        <v>0.172</v>
      </c>
      <c r="HE53" s="135">
        <f>IF(ISNA(VLOOKUP(A53,'Données projet'!$A$269:$I$289,6,0)),0%,VLOOKUP(A53,'Données projet'!$A$269:$I$289,6,0)*VLOOKUP('Données projet'!$B$18,'Paramètres'!$A$1:$I$89,7,0))</f>
        <v>0</v>
      </c>
      <c r="HF53" s="135" t="str">
        <f>IF(ISNA(VLOOKUP(A53,'Données projet'!$A$269:$I$289,7,0)),0%,VLOOKUP(A53,'Données projet'!$A$269:$I$289,7,0))</f>
        <v/>
      </c>
      <c r="HG53" s="142">
        <f>EXP(-LN(2)/35)*HG52+(1-EXP(-LN(2)/35))/(LN(2)/35)*HC53*HD53*VLOOKUP('Données projet'!$B$18,'Paramètres'!$A$1:$I$89,3,0)*0.475*44/12</f>
        <v>7.62427192</v>
      </c>
      <c r="HH53" s="142">
        <f>EXP(-LN(2)/25)*HH52+(1-EXP(-LN(2)/25))/(LN(2)/25)*Calculateur!HC53*Calculateur!HE53*VLOOKUP('Données projet'!$B$18,'Paramètres'!$A$1:$I$89,3,0)*0.475*44/12</f>
        <v>0</v>
      </c>
      <c r="HI53" s="142">
        <f>EXP(-LN(2)/2)*HI52+(1-EXP(-LN(2)/2))/(LN(2)/2)*HC53*HF53*VLOOKUP('Données projet'!$B$18,'Paramètres'!$A$1:$I$89,3,0)*0.475*44/12</f>
        <v>0</v>
      </c>
      <c r="HJ53" s="143">
        <f t="shared" si="31"/>
        <v>7.62427192</v>
      </c>
    </row>
    <row r="54" ht="15.75" customHeight="1">
      <c r="A54" s="125">
        <f t="shared" si="32"/>
        <v>51</v>
      </c>
      <c r="B54" s="126">
        <f>'Scénario référence'!$B$16*5+'Scénario référence'!$B$17*0+'Scénario référence'!$B$18*5</f>
        <v>0</v>
      </c>
      <c r="C54" s="140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27.846</v>
      </c>
      <c r="D54" s="127">
        <f t="shared" si="33"/>
        <v>8.712534113</v>
      </c>
      <c r="E5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7">
        <f>IF(OR('Scénario référence'!$F$8&gt;0,'Scénario référence'!$F$9&gt;0),('Scénario référence'!$F$8+'Scénario référence'!$F$9)*10,0)</f>
        <v>10</v>
      </c>
      <c r="G54" s="127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</v>
      </c>
      <c r="H54" s="128">
        <f t="shared" si="1"/>
        <v>357.0061136</v>
      </c>
      <c r="I54" s="12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1" t="str">
        <f>VLOOKUP(A54,'Données projet'!$A$35:$I$55,2,0)</f>
        <v>#N/A</v>
      </c>
      <c r="L54" s="131" t="str">
        <f>VLOOKUP(A54,'Données projet'!$A$35:$I$55,9,0)</f>
        <v>#N/A</v>
      </c>
      <c r="M54" s="130">
        <f t="array" ref="M54">INDEX(L:L,MIN(IF(ISNUMBER(L54:L250),ROW(L54:L250),"")))</f>
        <v>10.8</v>
      </c>
      <c r="N54" s="130">
        <f>IF('Données projet'!$A$36&gt;35,N53+M54-V53,IF(A54&lt;'Données projet'!$A$36,$K$205^A54,IF(A54='Données projet'!$A$36,'Données projet'!$B$36,N53+M54-V53)))</f>
        <v>231.8</v>
      </c>
      <c r="O54" s="130">
        <f>N54*VLOOKUP('Données projet'!$B$9,'Paramètres'!$A$1:$I$89,3,0)*VLOOKUP('Données projet'!$B$9,'Paramètres'!$A$1:$I$89,5,0)</f>
        <v>132.5896</v>
      </c>
      <c r="P54" s="130">
        <f t="shared" si="34"/>
        <v>34.59405122</v>
      </c>
      <c r="Q54" s="141">
        <f t="shared" si="2"/>
        <v>291.1781925</v>
      </c>
      <c r="R54" s="133">
        <f t="shared" si="3"/>
        <v>584.5115259</v>
      </c>
      <c r="S54" s="133">
        <f>AVERAGE(OFFSET($R$3,0,0,'Données projet'!$E$9+1,1))-AVERAGE(OFFSET($H$3,0,0,'Données projet'!$E$9+1,1))</f>
        <v>126.9946492</v>
      </c>
      <c r="T54" s="133">
        <f t="shared" si="35"/>
        <v>140.039049</v>
      </c>
      <c r="U54" s="134">
        <f>IF(ISNA(VLOOKUP(A54,'Données projet'!$A$35:$I$55,3,0)),0,VLOOKUP(A54,'Données projet'!$A$35:$I$55,3,0))</f>
        <v>0</v>
      </c>
      <c r="V54" s="134">
        <f>IF(ISNA(VLOOKUP(A54,'Données projet'!$A$35:$I$55,4,0)),0,VLOOKUP(A54,'Données projet'!$A$35:$I$55,4,0))</f>
        <v>0</v>
      </c>
      <c r="W54" s="135">
        <f>IF(ISNA(VLOOKUP(A54,'Données projet'!$A$35:$I$55,5,0)),0%,VLOOKUP(A54,'Données projet'!$A$35:$I$55,5,0)*VLOOKUP('Données projet'!$B$9,'Paramètres'!$A$1:$I$89,7,0))</f>
        <v>0</v>
      </c>
      <c r="X54" s="135">
        <f>IF(ISNA(VLOOKUP(A54,'Données projet'!$A$35:$I$55,6,0)),0%,VLOOKUP(A54,'Données projet'!$A$35:$I$55,6,0)*VLOOKUP('Données projet'!$B$9,'Paramètres'!$A$1:$I$89,7,0))</f>
        <v>0</v>
      </c>
      <c r="Y54" s="135">
        <f>IF(ISNA(VLOOKUP(A54,'Données projet'!$A$35:$I$55,7,0)),0%,VLOOKUP(A54,'Données projet'!$A$35:$I$55,7,0))</f>
        <v>0</v>
      </c>
      <c r="Z54" s="142">
        <f>EXP(-LN(2)/35)*Z53+(1-EXP(-LN(2)/35))/(LN(2)/35)*V54*W54*VLOOKUP('Données projet'!$B$9,'Paramètres'!$A$1:$I$89,3,0)*0.475*44/12</f>
        <v>19.54919784</v>
      </c>
      <c r="AA54" s="142">
        <f>EXP(-LN(2)/25)*AA53+(1-EXP(-LN(2)/25))/(LN(2)/25)*Calculateur!V54*Calculateur!X54*VLOOKUP('Données projet'!$B$9,'Paramètres'!$A$1:$I$89,3,0)*0.475*44/12</f>
        <v>13.74055615</v>
      </c>
      <c r="AB54" s="142">
        <f>EXP(-LN(2)/2)*AB53+(1-EXP(-LN(2)/2))/(LN(2)/2)*V54*Y54*VLOOKUP('Données projet'!$B$9,'Paramètres'!$A$1:$I$89,3,0)*0.475*44/12</f>
        <v>5.407690841</v>
      </c>
      <c r="AC54" s="143">
        <f t="shared" si="4"/>
        <v>38.69744483</v>
      </c>
      <c r="AD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1" t="str">
        <f>VLOOKUP(A54,'Données projet'!$A$61:$I$81,2,0)</f>
        <v>#N/A</v>
      </c>
      <c r="AG54" s="131" t="str">
        <f>VLOOKUP(A54,'Données projet'!$A$61:$I$81,9,0)</f>
        <v>#N/A</v>
      </c>
      <c r="AH54" s="131">
        <f t="array" ref="AH54">INDEX(AG:AG,MIN(IF(ISNUMBER(AG54:AG250),ROW(AG54:AG250),"")))</f>
        <v>17.625</v>
      </c>
      <c r="AI54" s="130">
        <f>IF('Données projet'!$A$62&gt;35,AI53+AH54-AQ53,IF(A54&lt;'Données projet'!$A$62,$AF$205^A54,IF(A54='Données projet'!$A$62,'Données projet'!$B$62,AI53+AH54-AQ53)))</f>
        <v>316.625</v>
      </c>
      <c r="AJ54" s="130">
        <f>AI54*VLOOKUP('Données projet'!$B$10,'Paramètres'!$A$1:$I$89,3,0)*VLOOKUP('Données projet'!$B$10,'Paramètres'!$A$1:$I$89,5,0)</f>
        <v>189.34175</v>
      </c>
      <c r="AK54" s="130">
        <f t="shared" si="36"/>
        <v>47.39439374</v>
      </c>
      <c r="AL54" s="141">
        <f t="shared" si="5"/>
        <v>412.3154503</v>
      </c>
      <c r="AM54" s="133">
        <f t="shared" si="6"/>
        <v>705.6487837</v>
      </c>
      <c r="AN54" s="133">
        <f>AVERAGE(OFFSET($AM$3,0,0,'Données projet'!$E$10+1,1))-AVERAGE(OFFSET($H$3,0,0,'Données projet'!$E$10+1,1))</f>
        <v>196.874484</v>
      </c>
      <c r="AO54" s="133">
        <f t="shared" si="37"/>
        <v>217.5750859</v>
      </c>
      <c r="AP54" s="134">
        <f>IF(ISNA(VLOOKUP(A54,'Données projet'!$A$61:$I$81,3,0)),0,VLOOKUP(A54,'Données projet'!$A$61:$I$81,3,0))</f>
        <v>0</v>
      </c>
      <c r="AQ54" s="134">
        <f>IF(ISNA(VLOOKUP(A54,'Données projet'!$A$61:$I$81,4,0)),0,VLOOKUP(A54,'Données projet'!$A$61:$I$81,4,0))</f>
        <v>0</v>
      </c>
      <c r="AR54" s="135">
        <f>IF(ISNA(VLOOKUP(A54,'Données projet'!$A$61:$I$81,5,0)),0%,VLOOKUP(A54,'Données projet'!$A$61:$I$81,5,0)*VLOOKUP('Données projet'!$B$10,'Paramètres'!$A$1:$I$89,7,0))</f>
        <v>0</v>
      </c>
      <c r="AS54" s="135">
        <f>IF(ISNA(VLOOKUP(A54,'Données projet'!$A$61:$I$81,6,0)),0%,VLOOKUP(A54,'Données projet'!$A$61:$I$81,6,0)*VLOOKUP('Données projet'!$B$10,'Paramètres'!$A$1:$I$89,7,0))</f>
        <v>0</v>
      </c>
      <c r="AT54" s="135">
        <f>IF(ISNA(VLOOKUP(A54,'Données projet'!$A$61:$I$81,7,0)),0%,VLOOKUP(A54,'Données projet'!$A$61:$I$81,7,0))</f>
        <v>0</v>
      </c>
      <c r="AU54" s="142">
        <f>EXP(-LN(2)/35)*AU53+(1-EXP(-LN(2)/35))/(LN(2)/35)*AQ54*AR54*VLOOKUP('Données projet'!$B$10,'Paramètres'!$A$1:$I$89,3,0)*0.475*44/12</f>
        <v>26.29159223</v>
      </c>
      <c r="AV54" s="142">
        <f>EXP(-LN(2)/25)*AV53+(1-EXP(-LN(2)/25))/(LN(2)/25)*Calculateur!AQ54*Calculateur!AS54*VLOOKUP('Données projet'!$B$10,'Paramètres'!$A$1:$I$89,3,0)*0.475*44/12</f>
        <v>23.3671007</v>
      </c>
      <c r="AW54" s="142">
        <f>EXP(-LN(2)/2)*AW53+(1-EXP(-LN(2)/2))/(LN(2)/2)*AQ54*AT54*VLOOKUP('Données projet'!$B$10,'Paramètres'!$A$1:$I$89,3,0)*0.475*44/12</f>
        <v>5.856648684</v>
      </c>
      <c r="AX54" s="142">
        <f t="shared" si="7"/>
        <v>55.51534161</v>
      </c>
      <c r="AY54" s="13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1" t="str">
        <f>VLOOKUP(A54,'Données projet'!$A$87:$I$107,2,0)</f>
        <v>#N/A</v>
      </c>
      <c r="BB54" s="131" t="str">
        <f>VLOOKUP(A54,'Données projet'!$A$87:$I$107,9,0)</f>
        <v>#N/A</v>
      </c>
      <c r="BC54" s="130">
        <f t="array" ref="BC54">INDEX(BB:BB,MIN(IF(ISNUMBER(BB54:BB250),ROW(BB54:BB250),"")))</f>
        <v>14</v>
      </c>
      <c r="BD54" s="130">
        <f>IF('Données projet'!$A$88&gt;35,BD53+BC54-BL53,IF(A54&lt;'Données projet'!$A$88,$BA$205^A54,IF(A54='Données projet'!$A$88,'Données projet'!$B$88,BD53+BC54-BL53)))</f>
        <v>264</v>
      </c>
      <c r="BE54" s="130">
        <f>BD54*VLOOKUP('Données projet'!$B$11,'Paramètres'!$A$1:$I$89,3,0)*VLOOKUP('Données projet'!$B$11,'Paramètres'!$A$1:$I$89,5,0)</f>
        <v>123.552</v>
      </c>
      <c r="BF54" s="130">
        <f t="shared" si="38"/>
        <v>32.50203326</v>
      </c>
      <c r="BG54" s="141">
        <f t="shared" si="8"/>
        <v>271.7941079</v>
      </c>
      <c r="BH54" s="133">
        <f t="shared" si="9"/>
        <v>565.1274413</v>
      </c>
      <c r="BI54" s="133">
        <f>AVERAGE(OFFSET($BH$3,0,0,'Données projet'!$E$11+1,1))-AVERAGE(OFFSET($H$3,0,0,'Données projet'!$E$11+1,1))</f>
        <v>134.0948534</v>
      </c>
      <c r="BJ54" s="133">
        <f t="shared" si="39"/>
        <v>108.4102536</v>
      </c>
      <c r="BK54" s="134">
        <f>IF(ISNA(VLOOKUP(A54,'Données projet'!$A$87:$I$107,3,0)),0,VLOOKUP(A54,'Données projet'!$A$87:$I$107,3,0))</f>
        <v>0</v>
      </c>
      <c r="BL54" s="134">
        <f>IF(ISNA(VLOOKUP(A54,'Données projet'!$A$87:$I$107,4,0)),0,VLOOKUP(A54,'Données projet'!$A$87:$I$107,4,0))</f>
        <v>0</v>
      </c>
      <c r="BM54" s="135">
        <f>IF(ISNA(VLOOKUP(A54,'Données projet'!$A$87:$I$107,5,0)),0%,VLOOKUP(A54,'Données projet'!$A$87:$I$107,5,0)*VLOOKUP('Données projet'!$B$11,'Paramètres'!$A$1:$I$89,7,0))</f>
        <v>0</v>
      </c>
      <c r="BN54" s="135">
        <f>IF(ISNA(VLOOKUP(A54,'Données projet'!$A$87:$I$107,6,0)),0%,VLOOKUP(A54,'Données projet'!$A$87:$I$107,6,0)*VLOOKUP('Données projet'!$B$11,'Paramètres'!$A$1:$I$89,7,0))</f>
        <v>0</v>
      </c>
      <c r="BO54" s="135">
        <f>IF(ISNA(VLOOKUP(A54,'Données projet'!$A$87:$I$107,7,0)),0%,VLOOKUP(A54,'Données projet'!$A$87:$I$107,7,0))</f>
        <v>0</v>
      </c>
      <c r="BP54" s="142">
        <f>EXP(-LN(2)/35)*BP53+(1-EXP(-LN(2)/35))/(LN(2)/35)*BL54*BM54*VLOOKUP('Données projet'!$B$11,'Paramètres'!$A$1:$I$89,3,0)*0.475*44/12</f>
        <v>17.33742258</v>
      </c>
      <c r="BQ54" s="142">
        <f>EXP(-LN(2)/25)*BQ53+(1-EXP(-LN(2)/25))/(LN(2)/25)*Calculateur!BL54*Calculateur!BN54*VLOOKUP('Données projet'!$B$11,'Paramètres'!$A$1:$I$89,3,0)*0.475*44/12</f>
        <v>11.32185611</v>
      </c>
      <c r="BR54" s="142">
        <f>EXP(-LN(2)/2)*BR53+(1-EXP(-LN(2)/2))/(LN(2)/2)*BL54*BO54*VLOOKUP('Données projet'!$B$11,'Paramètres'!$A$1:$I$89,3,0)*0.475*44/12</f>
        <v>3.456938177</v>
      </c>
      <c r="BS54" s="143">
        <f t="shared" si="10"/>
        <v>32.11621687</v>
      </c>
      <c r="BT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1" t="str">
        <f>VLOOKUP(A54,'Données projet'!$A$113:$I$133,2,0)</f>
        <v>#N/A</v>
      </c>
      <c r="BW54" s="131" t="str">
        <f>VLOOKUP(A54,'Données projet'!$A$113:$I$133,9,0)</f>
        <v>#N/A</v>
      </c>
      <c r="BX54" s="130">
        <f t="array" ref="BX54">INDEX(BW:BW,MIN(IF(ISNUMBER(BW54:BW250),ROW(BW54:BW250),"")))</f>
        <v>21.6</v>
      </c>
      <c r="BY54" s="130">
        <f>IF('Données projet'!$A$114&gt;35,BY53+BX54-CG53,IF(A54&lt;'Données projet'!$A$114,$BV$205^A54,IF(A54='Données projet'!$A$114,'Données projet'!$B$114,BY53+BX54-CG53)))</f>
        <v>503.6</v>
      </c>
      <c r="BZ54" s="130">
        <f>BY54*VLOOKUP('Données projet'!$B$12,'Paramètres'!$A$1:$I$89,3,0)*VLOOKUP('Données projet'!$B$12,'Paramètres'!$A$1:$I$89,5,0)</f>
        <v>248.7784</v>
      </c>
      <c r="CA54" s="130">
        <f t="shared" si="40"/>
        <v>60.32427907</v>
      </c>
      <c r="CB54" s="141">
        <f t="shared" si="11"/>
        <v>538.3538327</v>
      </c>
      <c r="CC54" s="133">
        <f t="shared" si="12"/>
        <v>831.687166</v>
      </c>
      <c r="CD54" s="133">
        <f>AVERAGE(OFFSET($CC$3,0,0,'Données projet'!$E$12+1,1))-AVERAGE(OFFSET($H$3,0,0,'Données projet'!$E$12+1,1))</f>
        <v>258.1672054</v>
      </c>
      <c r="CE54" s="133">
        <f t="shared" si="41"/>
        <v>296.0724261</v>
      </c>
      <c r="CF54" s="134">
        <f>IF(ISNA(VLOOKUP(A54,'Données projet'!$A$113:$I$133,3,0)),0,VLOOKUP(A54,'Données projet'!$A$113:$I$133,3,0))</f>
        <v>0</v>
      </c>
      <c r="CG54" s="134">
        <f>IF(ISNA(VLOOKUP(A54,'Données projet'!$A$113:$I$133,4,0)),0,VLOOKUP(A54,'Données projet'!$A$113:$I$133,4,0))</f>
        <v>0</v>
      </c>
      <c r="CH54" s="135">
        <f>IF(ISNA(VLOOKUP(A54,'Données projet'!$A$113:$I$133,5,0)),0%,VLOOKUP(A54,'Données projet'!$A$113:$I$133,5,0)*VLOOKUP('Données projet'!$B$12,'Paramètres'!$A$1:$I$89,7,0))</f>
        <v>0</v>
      </c>
      <c r="CI54" s="135">
        <f>IF(ISNA(VLOOKUP(A54,'Données projet'!$A$113:$I$133,6,0)),0%,VLOOKUP(A54,'Données projet'!$A$113:$I$133,6,0)*VLOOKUP('Données projet'!$B$12,'Paramètres'!$A$1:$I$89,7,0))</f>
        <v>0</v>
      </c>
      <c r="CJ54" s="135">
        <f>IF(ISNA(VLOOKUP(A54,'Données projet'!$A$113:$I$133,7,0)),0%,VLOOKUP(A54,'Données projet'!$A$113:$I$133,7,0))</f>
        <v>0</v>
      </c>
      <c r="CK54" s="142">
        <f>EXP(-LN(2)/35)*CK53+(1-EXP(-LN(2)/35))/(LN(2)/35)*CG54*CH54*VLOOKUP('Données projet'!$B$12,'Paramètres'!$A$1:$I$89,3,0)*0.475*44/12</f>
        <v>45.08563271</v>
      </c>
      <c r="CL54" s="142">
        <f>EXP(-LN(2)/25)*CL53+(1-EXP(-LN(2)/25))/(LN(2)/25)*Calculateur!CG54*Calculateur!CI54*VLOOKUP('Données projet'!$B$12,'Paramètres'!$A$1:$I$89,3,0)*0.475*44/12</f>
        <v>30.51858764</v>
      </c>
      <c r="CM54" s="142">
        <f>EXP(-LN(2)/2)*CM53+(1-EXP(-LN(2)/2))/(LN(2)/2)*CG54*CJ54*VLOOKUP('Données projet'!$B$12,'Paramètres'!$A$1:$I$89,3,0)*0.475*44/12</f>
        <v>5.526093139</v>
      </c>
      <c r="CN54" s="143">
        <f t="shared" si="13"/>
        <v>81.1303135</v>
      </c>
      <c r="CO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1" t="str">
        <f>VLOOKUP(A54,'Données projet'!$A$139:$I$159,2,0)</f>
        <v>#N/A</v>
      </c>
      <c r="CR54" s="131" t="str">
        <f>VLOOKUP(A54,'Données projet'!$A$139:$I$159,9,0)</f>
        <v>#N/A</v>
      </c>
      <c r="CS54" s="130">
        <f t="array" ref="CS54">INDEX(CR:CR,MIN(IF(ISNUMBER(CR54:CR250),ROW(CR54:CR250),"")))</f>
        <v>5.6</v>
      </c>
      <c r="CT54" s="138">
        <f>IF('Données projet'!$A$140&gt;35,CT53+CS54-DB53,IF(A54&lt;'Données projet'!$A$140,$CQ$205^A54,IF(A54='Données projet'!$A$140,'Données projet'!$B$140,CT53+CS54-DB53)))</f>
        <v>112.6</v>
      </c>
      <c r="CU54" s="138">
        <f>CT54*VLOOKUP('Données projet'!$B$13,'Paramètres'!$A$1:$I$89,3,0)*VLOOKUP('Données projet'!$B$13,'Paramètres'!$A$1:$I$89,5,0)</f>
        <v>114.1764</v>
      </c>
      <c r="CV54" s="130">
        <f t="shared" si="42"/>
        <v>30.31283278</v>
      </c>
      <c r="CW54" s="141">
        <f t="shared" si="14"/>
        <v>251.6520804</v>
      </c>
      <c r="CX54" s="133">
        <f t="shared" si="15"/>
        <v>544.9854138</v>
      </c>
      <c r="CY54" s="133">
        <f>AVERAGE(OFFSET($CX$3,0,0,'Données projet'!$E$13+1,1))-AVERAGE(OFFSET($H$3,0,0,'Données projet'!$E$13+1,1))</f>
        <v>223.783507</v>
      </c>
      <c r="CZ54" s="133">
        <f t="shared" si="43"/>
        <v>84.92349117</v>
      </c>
      <c r="DA54" s="134">
        <f>IF(ISNA(VLOOKUP(A54,'Données projet'!$A$139:$I$159,3,0)),0,VLOOKUP(A54,'Données projet'!$A$139:$I$159,3,0))</f>
        <v>0</v>
      </c>
      <c r="DB54" s="134">
        <f>IF(ISNA(VLOOKUP(A54,'Données projet'!$A$139:$I$159,4,0)),0,VLOOKUP(A54,'Données projet'!$A$139:$I$159,4,0))</f>
        <v>0</v>
      </c>
      <c r="DC54" s="135">
        <f>IF(ISNA(VLOOKUP(A54,'Données projet'!$A$139:$I$159,5,0)),0%,VLOOKUP(A54,'Données projet'!$A$139:$I$159,5,0)*VLOOKUP('Données projet'!$B$13,'Paramètres'!$A$1:$I$89,7,0))</f>
        <v>0</v>
      </c>
      <c r="DD54" s="135">
        <f>IF(ISNA(VLOOKUP(A54,'Données projet'!$A$139:$I$159,6,0)),0%,VLOOKUP(A54,'Données projet'!$A$139:$I$159,6,0)*VLOOKUP('Données projet'!$B$13,'Paramètres'!$A$1:$I$89,7,0))</f>
        <v>0</v>
      </c>
      <c r="DE54" s="135">
        <f>IF(ISNA(VLOOKUP(A54,'Données projet'!$A$139:$I$159,7,0)),0%,VLOOKUP(A54,'Données projet'!$A$139:$I$159,7,0))</f>
        <v>0</v>
      </c>
      <c r="DF54" s="142">
        <f>EXP(-LN(2)/35)*DF53+(1-EXP(-LN(2)/35))/(LN(2)/35)*DB54*DC54*VLOOKUP('Données projet'!$B$13,'Paramètres'!$A$1:$I$89,3,0)*0.475*44/12</f>
        <v>2.521567638</v>
      </c>
      <c r="DG54" s="142">
        <f>EXP(-LN(2)/25)*DG53+(1-EXP(-LN(2)/25))/(LN(2)/25)*Calculateur!DB54*Calculateur!DD54*VLOOKUP('Données projet'!$B$13,'Paramètres'!$A$1:$I$89,3,0)*0.475*44/12</f>
        <v>0</v>
      </c>
      <c r="DH54" s="142">
        <f>EXP(-LN(2)/2)*DH53+(1-EXP(-LN(2)/2))/(LN(2)/2)*DB54*DE54*VLOOKUP('Données projet'!$B$13,'Paramètres'!$A$1:$I$89,3,0)*0.475*44/12</f>
        <v>0</v>
      </c>
      <c r="DI54" s="143">
        <f t="shared" si="16"/>
        <v>2.521567638</v>
      </c>
      <c r="DJ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1" t="str">
        <f>VLOOKUP(A54,'Données projet'!$A$165:$I$185,2,0)</f>
        <v>#N/A</v>
      </c>
      <c r="DM54" s="131" t="str">
        <f>VLOOKUP(A54,'Données projet'!$A$165:$I$185,9,0)</f>
        <v>#N/A</v>
      </c>
      <c r="DN54" s="131">
        <f t="array" ref="DN54">INDEX(DM:DM,MIN(IF(ISNUMBER(DM54:DM250),ROW(DM54:DM250),"")))</f>
        <v>8</v>
      </c>
      <c r="DO54" s="138">
        <f>IF('Données projet'!$A$166&gt;35,DO53+DN54-DW53,IF(A54&lt;'Données projet'!$A$166,$DL$205^A54,IF(A54='Données projet'!$A$166,'Données projet'!$B$166,DO53+DN54-DW53)))</f>
        <v>165</v>
      </c>
      <c r="DP54" s="138">
        <f>DO54*VLOOKUP('Données projet'!$B$14,'Paramètres'!$A$1:$I$89,3,0)*VLOOKUP('Données projet'!$B$14,'Paramètres'!$A$1:$I$89,5,0)</f>
        <v>149.292</v>
      </c>
      <c r="DQ54" s="130">
        <f t="shared" si="44"/>
        <v>38.4176458</v>
      </c>
      <c r="DR54" s="141">
        <f t="shared" si="17"/>
        <v>326.9276331</v>
      </c>
      <c r="DS54" s="133">
        <f t="shared" si="18"/>
        <v>620.2609664</v>
      </c>
      <c r="DT54" s="133">
        <f>AVERAGE(OFFSET($DS$3,0,0,'Données projet'!$E$14+1,1))-AVERAGE(OFFSET($H$3,0,0,'Données projet'!$E$14+1,1))</f>
        <v>287.9334714</v>
      </c>
      <c r="DU54" s="133">
        <f t="shared" si="45"/>
        <v>156.6796502</v>
      </c>
      <c r="DV54" s="134">
        <f>IF(ISNA(VLOOKUP(A54,'Données projet'!$A$165:$I$185,3,0)),0,VLOOKUP(A54,'Données projet'!$A$165:$I$185,3,0))</f>
        <v>0</v>
      </c>
      <c r="DW54" s="134">
        <f>IF(ISNA(VLOOKUP(A54,'Données projet'!$A$165:$I$185,4,0)),0,VLOOKUP(A54,'Données projet'!$A$165:$I$185,4,0))</f>
        <v>0</v>
      </c>
      <c r="DX54" s="135">
        <f>IF(ISNA(VLOOKUP(A54,'Données projet'!$A$165:$I$185,5,0)),0%,VLOOKUP(A54,'Données projet'!$A$165:$I$185,5,0)*VLOOKUP('Données projet'!$B$14,'Paramètres'!$A$1:$I$89,7,0))</f>
        <v>0</v>
      </c>
      <c r="DY54" s="135">
        <f>IF(ISNA(VLOOKUP(A54,'Données projet'!$A$165:$I$185,6,0)),0%,VLOOKUP(A54,'Données projet'!$A$165:$I$185,6,0)*VLOOKUP('Données projet'!$B$14,'Paramètres'!$A$1:$I$89,7,0))</f>
        <v>0</v>
      </c>
      <c r="DZ54" s="135">
        <f>IF(ISNA(VLOOKUP(A54,'Données projet'!$A$165:$I$185,7,0)),0%,VLOOKUP(A54,'Données projet'!$A$165:$I$185,7,0))</f>
        <v>0</v>
      </c>
      <c r="EA54" s="142">
        <f>EXP(-LN(2)/35)*EA53+(1-EXP(-LN(2)/35))/(LN(2)/35)*DW54*DX54*VLOOKUP('Données projet'!$B$14,'Paramètres'!$A$1:$I$89,3,0)*0.475*44/12</f>
        <v>5.71332461</v>
      </c>
      <c r="EB54" s="142">
        <f>EXP(-LN(2)/25)*EB53+(1-EXP(-LN(2)/25))/(LN(2)/25)*Calculateur!DW54*Calculateur!DY54*VLOOKUP('Données projet'!$B$14,'Paramètres'!$A$1:$I$89,3,0)*0.475*44/12</f>
        <v>0</v>
      </c>
      <c r="EC54" s="142">
        <f>EXP(-LN(2)/2)*EC53+(1-EXP(-LN(2)/2))/(LN(2)/2)*DW54*DZ54*VLOOKUP('Données projet'!$B$14,'Paramètres'!$A$1:$I$89,3,0)*0.475*44/12</f>
        <v>0</v>
      </c>
      <c r="ED54" s="143">
        <f t="shared" si="19"/>
        <v>5.71332461</v>
      </c>
      <c r="EE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1" t="str">
        <f>VLOOKUP(A54,'Données projet'!$A$191:$I$211,2,0)</f>
        <v>#N/A</v>
      </c>
      <c r="EH54" s="131" t="str">
        <f>VLOOKUP(A54,'Données projet'!$A$191:$I$211,9,0)</f>
        <v>#N/A</v>
      </c>
      <c r="EI54" s="131">
        <f t="array" ref="EI54">INDEX(EH:EH,MIN(IF(ISNUMBER(EH54:EH250),ROW(EH54:EH250),"")))</f>
        <v>8.6</v>
      </c>
      <c r="EJ54" s="138">
        <f>IF('Données projet'!$A$192&gt;35,EJ53+EI54-ER53,IF(A54&lt;'Données projet'!$A$192,$EG$205^A54,IF(A54='Données projet'!$A$192,'Données projet'!$B$192,EJ53+EI54-ER53)))</f>
        <v>141.6</v>
      </c>
      <c r="EK54" s="138">
        <f>EJ54*VLOOKUP('Données projet'!$B$15,'Paramètres'!$A$1:$I$89,3,0)*VLOOKUP('Données projet'!$B$15,'Paramètres'!$A$1:$I$89,5,0)</f>
        <v>103.82112</v>
      </c>
      <c r="EL54" s="130">
        <f t="shared" si="46"/>
        <v>27.87033044</v>
      </c>
      <c r="EM54" s="141">
        <f t="shared" si="20"/>
        <v>229.3626095</v>
      </c>
      <c r="EN54" s="133">
        <f t="shared" si="21"/>
        <v>522.6959429</v>
      </c>
      <c r="EO54" s="133">
        <f>AVERAGE(OFFSET($EN$3,0,0,'Données projet'!$E$15+1,1))-AVERAGE(OFFSET($H$3,0,0,'Données projet'!$E$15+1,1))</f>
        <v>130.3193339</v>
      </c>
      <c r="EP54" s="133">
        <f t="shared" si="47"/>
        <v>82.22784365</v>
      </c>
      <c r="EQ54" s="134">
        <f>IF(ISNA(VLOOKUP(A54,'Données projet'!$A$191:$I$211,3,0)),0,VLOOKUP(A54,'Données projet'!$A$191:$I$211,3,0))</f>
        <v>0</v>
      </c>
      <c r="ER54" s="134">
        <f>IF(ISNA(VLOOKUP(A54,'Données projet'!$A$191:$I$211,4,0)),0,VLOOKUP(A54,'Données projet'!$A$191:$I$211,4,0))</f>
        <v>0</v>
      </c>
      <c r="ES54" s="135">
        <f>IF(ISNA(VLOOKUP(A54,'Données projet'!$A$191:$I$211,5,0)),0%,VLOOKUP(A54,'Données projet'!$A$191:$I$211,5,0)*VLOOKUP('Données projet'!$B$15,'Paramètres'!$A$1:$I$89,7,0))</f>
        <v>0</v>
      </c>
      <c r="ET54" s="135">
        <f>IF(ISNA(VLOOKUP(A54,'Données projet'!$A$191:$I$211,6,0)),0%,VLOOKUP(A54,'Données projet'!$A$191:$I$211,6,0)*VLOOKUP('Données projet'!$B$15,'Paramètres'!$A$1:$I$89,7,0))</f>
        <v>0</v>
      </c>
      <c r="EU54" s="135">
        <f>IF(ISNA(VLOOKUP(A54,'Données projet'!$A$191:$I$211,7,0)),0%,VLOOKUP(A54,'Données projet'!$A$191:$I$211,7,0))</f>
        <v>0</v>
      </c>
      <c r="EV54" s="142">
        <f>EXP(-LN(2)/35)*EV53+(1-EXP(-LN(2)/35))/(LN(2)/35)*ER54*ES54*VLOOKUP('Données projet'!$B$15,'Paramètres'!$A$1:$I$89,3,0)*0.475*44/12</f>
        <v>8.265285734</v>
      </c>
      <c r="EW54" s="142">
        <f>EXP(-LN(2)/25)*EW53+(1-EXP(-LN(2)/25))/(LN(2)/25)*Calculateur!ER54*Calculateur!ET54*VLOOKUP('Données projet'!$B$15,'Paramètres'!$A$1:$I$89,3,0)*0.475*44/12</f>
        <v>0</v>
      </c>
      <c r="EX54" s="142">
        <f>EXP(-LN(2)/2)*EX53+(1-EXP(-LN(2)/2))/(LN(2)/2)*ER54*EU54*VLOOKUP('Données projet'!$B$15,'Paramètres'!$A$1:$I$89,3,0)*0.475*44/12</f>
        <v>0</v>
      </c>
      <c r="EY54" s="143">
        <f t="shared" si="22"/>
        <v>8.265285734</v>
      </c>
      <c r="EZ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1" t="str">
        <f>VLOOKUP(A54,'Données projet'!$A$217:$I$237,2,0)</f>
        <v>#N/A</v>
      </c>
      <c r="FC54" s="131" t="str">
        <f>VLOOKUP(A54,'Données projet'!$A$217:$I$237,9,0)</f>
        <v>#N/A</v>
      </c>
      <c r="FD54" s="130">
        <f t="array" ref="FD54">INDEX(FC:FC,MIN(IF(ISNUMBER(FC54:FC250),ROW(FC54:FC250),"")))</f>
        <v>4.8</v>
      </c>
      <c r="FE54" s="130">
        <f>IF('Données projet'!$A$218&gt;35,FE53+FD54-FM53,IF(A54&lt;'Données projet'!$A$218,$FB$205^A54,IF(A54='Données projet'!$A$218,'Données projet'!$B$218,FE53+FD54-FM53)))</f>
        <v>252.8</v>
      </c>
      <c r="FF54" s="138">
        <f>FE54*VLOOKUP('Données projet'!$B$16,'Paramètres'!$A$1:$I$89,3,0)*VLOOKUP('Données projet'!$B$16,'Paramètres'!$A$1:$I$89,5,0)</f>
        <v>228.73344</v>
      </c>
      <c r="FG54" s="130">
        <f t="shared" si="48"/>
        <v>56.0087337</v>
      </c>
      <c r="FH54" s="141">
        <f t="shared" si="23"/>
        <v>495.9259525</v>
      </c>
      <c r="FI54" s="133">
        <f t="shared" si="24"/>
        <v>789.2592859</v>
      </c>
      <c r="FJ54" s="133">
        <f>AVERAGE(OFFSET($FI$3,0,0,'Données projet'!$E$16+1,1))-AVERAGE(OFFSET($H$3,0,0,'Données projet'!$E$16+1,1))</f>
        <v>305.6252353</v>
      </c>
      <c r="FK54" s="133">
        <f t="shared" si="49"/>
        <v>331.397916</v>
      </c>
      <c r="FL54" s="134">
        <f>IF(ISNA(VLOOKUP(A54,'Données projet'!$A$217:$I$237,3,0)),0,VLOOKUP(A54,'Données projet'!$A$217:$I$237,3,0))</f>
        <v>0</v>
      </c>
      <c r="FM54" s="134">
        <f>IF(ISNA(VLOOKUP(A54,'Données projet'!$A$217:$I$237,4,0)),0,VLOOKUP(A54,'Données projet'!$A$217:$I$237,4,0))</f>
        <v>0</v>
      </c>
      <c r="FN54" s="135">
        <f>IF(ISNA(VLOOKUP(A54,'Données projet'!$A$217:$I$237,5,0)),0%,VLOOKUP(A54,'Données projet'!$A$217:$I$237,5,0)*VLOOKUP('Données projet'!$B$16,'Paramètres'!$A$1:$I$89,7,0))</f>
        <v>0</v>
      </c>
      <c r="FO54" s="135">
        <f>IF(ISNA(VLOOKUP(A54,'Données projet'!$A$217:$I$237,6,0)),0%,VLOOKUP(A54,'Données projet'!$A$217:$I$237,6,0)*VLOOKUP('Données projet'!$B$16,'Paramètres'!$A$1:$I$89,7,0))</f>
        <v>0</v>
      </c>
      <c r="FP54" s="135">
        <f>IF(ISNA(VLOOKUP(A54,'Données projet'!$A$217:$I$237,7,0)),0%,VLOOKUP(A54,'Données projet'!$A$217:$I$237,7,0))</f>
        <v>0</v>
      </c>
      <c r="FQ54" s="142">
        <f>EXP(-LN(2)/35)*FQ53+(1-EXP(-LN(2)/35))/(LN(2)/35)*FM54*FN54*VLOOKUP('Données projet'!$B$16,'Paramètres'!$A$1:$I$89,3,0)*0.475*44/12</f>
        <v>4.055128242</v>
      </c>
      <c r="FR54" s="142">
        <f>EXP(-LN(2)/25)*FR53+(1-EXP(-LN(2)/25))/(LN(2)/25)*Calculateur!FM54*Calculateur!FO54*VLOOKUP('Données projet'!$B$16,'Paramètres'!$A$1:$I$89,3,0)*0.475*44/12</f>
        <v>0</v>
      </c>
      <c r="FS54" s="142">
        <f>EXP(-LN(2)/2)*FS53+(1-EXP(-LN(2)/2))/(LN(2)/2)*FM54*FP54*VLOOKUP('Données projet'!$B$16,'Paramètres'!$A$1:$I$89,3,0)*0.475*44/12</f>
        <v>0</v>
      </c>
      <c r="FT54" s="143">
        <f t="shared" si="25"/>
        <v>4.055128242</v>
      </c>
      <c r="FU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1" t="str">
        <f>VLOOKUP(A54,'Données projet'!$A$243:$I$263,2,0)</f>
        <v>#N/A</v>
      </c>
      <c r="FX54" s="131" t="str">
        <f>VLOOKUP(A54,'Données projet'!$A$243:$I$263,9,0)</f>
        <v>#N/A</v>
      </c>
      <c r="FY54" s="130">
        <f t="array" ref="FY54">INDEX(FX:FX,MIN(IF(ISNUMBER(FX54:FX250),ROW(FX54:FX250),"")))</f>
        <v>11</v>
      </c>
      <c r="FZ54" s="138">
        <f>IF('Données projet'!$A$244&gt;35,FZ53+FY54-GH53,IF(A54&lt;'Données projet'!$A$244,$FW$205^A54,IF(A54='Données projet'!$A$244,'Données projet'!$B$244,FZ53+FY54-GH53)))</f>
        <v>200</v>
      </c>
      <c r="GA54" s="138">
        <f>FZ54*VLOOKUP('Données projet'!$B$17,'Paramètres'!$A$1:$I$89,3,0)*VLOOKUP('Données projet'!$B$17,'Paramètres'!$A$1:$I$89,5,0)</f>
        <v>134.16</v>
      </c>
      <c r="GB54" s="130">
        <f t="shared" si="50"/>
        <v>34.95584392</v>
      </c>
      <c r="GC54" s="141">
        <f t="shared" si="26"/>
        <v>294.5434282</v>
      </c>
      <c r="GD54" s="133">
        <f t="shared" si="27"/>
        <v>587.8767615</v>
      </c>
      <c r="GE54" s="133">
        <f>AVERAGE(OFFSET($GD$3,0,0,'Données projet'!$E$17+1,1))-AVERAGE(OFFSET($H$3,0,0,'Données projet'!$E$17+1,1))</f>
        <v>118.7368745</v>
      </c>
      <c r="GF54" s="133">
        <f t="shared" si="51"/>
        <v>135.1233677</v>
      </c>
      <c r="GG54" s="134">
        <f>IF(ISNA(VLOOKUP(A54,'Données projet'!$A$243:$I$263,3,0)),0,VLOOKUP(A54,'Données projet'!$A$243:$I$263,3,0))</f>
        <v>0</v>
      </c>
      <c r="GH54" s="134">
        <f>IF(ISNA(VLOOKUP(A54,'Données projet'!$A$243:$I$263,4,0)),0,VLOOKUP(A54,'Données projet'!$A$243:$I$263,4,0))</f>
        <v>0</v>
      </c>
      <c r="GI54" s="135">
        <f>IF(ISNA(VLOOKUP(A54,'Données projet'!$A$243:$I$263,5,0)),0%,VLOOKUP(A54,'Données projet'!$A$243:$I$263,5,0)*VLOOKUP('Données projet'!$B$17,'Paramètres'!$A$1:$I$89,7,0))</f>
        <v>0</v>
      </c>
      <c r="GJ54" s="135">
        <f>IF(ISNA(VLOOKUP(A54,'Données projet'!$A$243:$I$263,6,0)),0%,VLOOKUP(A54,'Données projet'!$A$243:$I$263,6,0)*VLOOKUP('Données projet'!$B$17,'Paramètres'!$A$1:$I$89,7,0))</f>
        <v>0</v>
      </c>
      <c r="GK54" s="135">
        <f>IF(ISNA(VLOOKUP(A54,'Données projet'!$A$243:$I$263,7,0)),0%,VLOOKUP(A54,'Données projet'!$A$243:$I$263,7,0))</f>
        <v>0</v>
      </c>
      <c r="GL54" s="142">
        <f>EXP(-LN(2)/35)*GL53+(1-EXP(-LN(2)/35))/(LN(2)/35)*GH54*GI54*VLOOKUP('Données projet'!$B$17,'Paramètres'!$A$1:$I$89,3,0)*0.475*44/12</f>
        <v>15.5253341</v>
      </c>
      <c r="GM54" s="142">
        <f>EXP(-LN(2)/25)*GM53+(1-EXP(-LN(2)/25))/(LN(2)/25)*Calculateur!GH54*Calculateur!GJ54*VLOOKUP('Données projet'!$B$17,'Paramètres'!$A$1:$I$89,3,0)*0.475*44/12</f>
        <v>0</v>
      </c>
      <c r="GN54" s="142">
        <f>EXP(-LN(2)/2)*GN53+(1-EXP(-LN(2)/2))/(LN(2)/2)*GH54*GK54*VLOOKUP('Données projet'!$B$17,'Paramètres'!$A$1:$I$89,3,0)*0.475*44/12</f>
        <v>0</v>
      </c>
      <c r="GO54" s="142">
        <f t="shared" si="28"/>
        <v>15.5253341</v>
      </c>
      <c r="GP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1" t="str">
        <f>VLOOKUP(A54,'Données projet'!$A$269:$I$289,2,0)</f>
        <v>#N/A</v>
      </c>
      <c r="GS54" s="131" t="str">
        <f>VLOOKUP(A54,'Données projet'!$A$269:$I$289,9,0)</f>
        <v>#N/A</v>
      </c>
      <c r="GT54" s="130">
        <f t="array" ref="GT54">INDEX(GS:GS,MIN(IF(ISNUMBER(GS54:GS250),ROW(GS54:GS250),"")))</f>
        <v>5.6</v>
      </c>
      <c r="GU54" s="138">
        <f>IF('Données projet'!$A$270&gt;35,GU53+GT54-HC53,IF(A54&lt;'Données projet'!$A$270,$GR$205^A54,IF(A54='Données projet'!$A$270,'Données projet'!$B$270,GU53+GT54-HC53)))</f>
        <v>112.6</v>
      </c>
      <c r="GV54" s="138">
        <f>GU54*VLOOKUP('Données projet'!$B$18,'Paramètres'!$A$1:$I$89,3,0)*VLOOKUP('Données projet'!$B$18,'Paramètres'!$A$1:$I$89,5,0)</f>
        <v>121.20264</v>
      </c>
      <c r="GW54" s="130">
        <f t="shared" si="52"/>
        <v>31.95533232</v>
      </c>
      <c r="GX54" s="141">
        <f t="shared" si="29"/>
        <v>266.7501351</v>
      </c>
      <c r="GY54" s="133">
        <f t="shared" si="30"/>
        <v>560.0834685</v>
      </c>
      <c r="GZ54" s="133">
        <f>AVERAGE(OFFSET($GY$3,0,0,'Données projet'!$E$18+1,1))-AVERAGE(OFFSET($H$3,0,0,'Données projet'!$E$18+1,1))</f>
        <v>100.5427875</v>
      </c>
      <c r="HA54" s="133">
        <f t="shared" si="53"/>
        <v>92.28663609</v>
      </c>
      <c r="HB54" s="134">
        <f>IF(ISNA(VLOOKUP(A54,'Données projet'!$A$269:$I$289,3,0)),0,VLOOKUP(A54,'Données projet'!$A$269:$I$289,3,0))</f>
        <v>0</v>
      </c>
      <c r="HC54" s="134">
        <f>IF(ISNA(VLOOKUP(A54,'Données projet'!$A$269:$I$289,4,0)),0,VLOOKUP(A54,'Données projet'!$A$269:$I$289,4,0))</f>
        <v>0</v>
      </c>
      <c r="HD54" s="135">
        <f>IF(ISNA(VLOOKUP(A54,'Données projet'!$A$269:$I$289,5,0)),0%,VLOOKUP(A54,'Données projet'!$A$269:$I$289,5,0)*VLOOKUP('Données projet'!$B$18,'Paramètres'!$A$1:$I$89,7,0))</f>
        <v>0</v>
      </c>
      <c r="HE54" s="135">
        <f>IF(ISNA(VLOOKUP(A54,'Données projet'!$A$269:$I$289,6,0)),0%,VLOOKUP(A54,'Données projet'!$A$269:$I$289,6,0)*VLOOKUP('Données projet'!$B$18,'Paramètres'!$A$1:$I$89,7,0))</f>
        <v>0</v>
      </c>
      <c r="HF54" s="135">
        <f>IF(ISNA(VLOOKUP(A54,'Données projet'!$A$269:$I$289,7,0)),0%,VLOOKUP(A54,'Données projet'!$A$269:$I$289,7,0))</f>
        <v>0</v>
      </c>
      <c r="HG54" s="142">
        <f>EXP(-LN(2)/35)*HG53+(1-EXP(-LN(2)/35))/(LN(2)/35)*HC54*HD54*VLOOKUP('Données projet'!$B$18,'Paramètres'!$A$1:$I$89,3,0)*0.475*44/12</f>
        <v>7.474764598</v>
      </c>
      <c r="HH54" s="142">
        <f>EXP(-LN(2)/25)*HH53+(1-EXP(-LN(2)/25))/(LN(2)/25)*Calculateur!HC54*Calculateur!HE54*VLOOKUP('Données projet'!$B$18,'Paramètres'!$A$1:$I$89,3,0)*0.475*44/12</f>
        <v>0</v>
      </c>
      <c r="HI54" s="142">
        <f>EXP(-LN(2)/2)*HI53+(1-EXP(-LN(2)/2))/(LN(2)/2)*HC54*HF54*VLOOKUP('Données projet'!$B$18,'Paramètres'!$A$1:$I$89,3,0)*0.475*44/12</f>
        <v>0</v>
      </c>
      <c r="HJ54" s="143">
        <f t="shared" si="31"/>
        <v>7.474764598</v>
      </c>
    </row>
    <row r="55" ht="15.75" customHeight="1">
      <c r="A55" s="125">
        <f t="shared" si="32"/>
        <v>52</v>
      </c>
      <c r="B55" s="126">
        <f>'Scénario référence'!$B$16*5+'Scénario référence'!$B$17*0+'Scénario référence'!$B$18*5</f>
        <v>0</v>
      </c>
      <c r="C55" s="140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28.392</v>
      </c>
      <c r="D55" s="127">
        <f t="shared" si="33"/>
        <v>8.863312022</v>
      </c>
      <c r="E5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7">
        <f>IF(OR('Scénario référence'!$F$8&gt;0,'Scénario référence'!$F$9&gt;0),('Scénario référence'!$F$8+'Scénario référence'!$F$9)*10,0)</f>
        <v>10</v>
      </c>
      <c r="G55" s="127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</v>
      </c>
      <c r="H55" s="128">
        <f t="shared" si="1"/>
        <v>358.2196684</v>
      </c>
      <c r="I55" s="12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1" t="str">
        <f>VLOOKUP(A55,'Données projet'!$A$35:$I$55,2,0)</f>
        <v>#N/A</v>
      </c>
      <c r="L55" s="131" t="str">
        <f>VLOOKUP(A55,'Données projet'!$A$35:$I$55,9,0)</f>
        <v>#N/A</v>
      </c>
      <c r="M55" s="130">
        <f t="array" ref="M55">INDEX(L:L,MIN(IF(ISNUMBER(L55:L251),ROW(L55:L251),"")))</f>
        <v>10.8</v>
      </c>
      <c r="N55" s="130">
        <f>IF('Données projet'!$A$36&gt;35,N54+M55-V54,IF(A55&lt;'Données projet'!$A$36,$K$205^A55,IF(A55='Données projet'!$A$36,'Données projet'!$B$36,N54+M55-V54)))</f>
        <v>242.6</v>
      </c>
      <c r="O55" s="130">
        <f>N55*VLOOKUP('Données projet'!$B$9,'Paramètres'!$A$1:$I$89,3,0)*VLOOKUP('Données projet'!$B$9,'Paramètres'!$A$1:$I$89,5,0)</f>
        <v>138.7672</v>
      </c>
      <c r="P55" s="130">
        <f t="shared" si="34"/>
        <v>36.01444311</v>
      </c>
      <c r="Q55" s="141">
        <f t="shared" si="2"/>
        <v>304.4113618</v>
      </c>
      <c r="R55" s="133">
        <f t="shared" si="3"/>
        <v>597.7446951</v>
      </c>
      <c r="S55" s="133">
        <f>AVERAGE(OFFSET($R$3,0,0,'Données projet'!$E$9+1,1))-AVERAGE(OFFSET($H$3,0,0,'Données projet'!$E$9+1,1))</f>
        <v>126.9946492</v>
      </c>
      <c r="T55" s="133">
        <f t="shared" si="35"/>
        <v>140.039049</v>
      </c>
      <c r="U55" s="134">
        <f>IF(ISNA(VLOOKUP(A55,'Données projet'!$A$35:$I$55,3,0)),0,VLOOKUP(A55,'Données projet'!$A$35:$I$55,3,0))</f>
        <v>0</v>
      </c>
      <c r="V55" s="134">
        <f>IF(ISNA(VLOOKUP(A55,'Données projet'!$A$35:$I$55,4,0)),0,VLOOKUP(A55,'Données projet'!$A$35:$I$55,4,0))</f>
        <v>0</v>
      </c>
      <c r="W55" s="135">
        <f>IF(ISNA(VLOOKUP(A55,'Données projet'!$A$35:$I$55,5,0)),0%,VLOOKUP(A55,'Données projet'!$A$35:$I$55,5,0)*VLOOKUP('Données projet'!$B$9,'Paramètres'!$A$1:$I$89,7,0))</f>
        <v>0</v>
      </c>
      <c r="X55" s="135">
        <f>IF(ISNA(VLOOKUP(A55,'Données projet'!$A$35:$I$55,6,0)),0%,VLOOKUP(A55,'Données projet'!$A$35:$I$55,6,0)*VLOOKUP('Données projet'!$B$9,'Paramètres'!$A$1:$I$89,7,0))</f>
        <v>0</v>
      </c>
      <c r="Y55" s="135">
        <f>IF(ISNA(VLOOKUP(A55,'Données projet'!$A$35:$I$55,7,0)),0%,VLOOKUP(A55,'Données projet'!$A$35:$I$55,7,0))</f>
        <v>0</v>
      </c>
      <c r="Z55" s="142">
        <f>EXP(-LN(2)/35)*Z54+(1-EXP(-LN(2)/35))/(LN(2)/35)*V55*W55*VLOOKUP('Données projet'!$B$9,'Paramètres'!$A$1:$I$89,3,0)*0.475*44/12</f>
        <v>19.16584999</v>
      </c>
      <c r="AA55" s="142">
        <f>EXP(-LN(2)/25)*AA54+(1-EXP(-LN(2)/25))/(LN(2)/25)*Calculateur!V55*Calculateur!X55*VLOOKUP('Données projet'!$B$9,'Paramètres'!$A$1:$I$89,3,0)*0.475*44/12</f>
        <v>13.36481992</v>
      </c>
      <c r="AB55" s="142">
        <f>EXP(-LN(2)/2)*AB54+(1-EXP(-LN(2)/2))/(LN(2)/2)*V55*Y55*VLOOKUP('Données projet'!$B$9,'Paramètres'!$A$1:$I$89,3,0)*0.475*44/12</f>
        <v>3.823814864</v>
      </c>
      <c r="AC55" s="143">
        <f t="shared" si="4"/>
        <v>36.35448478</v>
      </c>
      <c r="AD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1" t="str">
        <f>VLOOKUP(A55,'Données projet'!$A$61:$I$81,2,0)</f>
        <v>#N/A</v>
      </c>
      <c r="AG55" s="131" t="str">
        <f>VLOOKUP(A55,'Données projet'!$A$61:$I$81,9,0)</f>
        <v>#N/A</v>
      </c>
      <c r="AH55" s="131">
        <f t="array" ref="AH55">INDEX(AG:AG,MIN(IF(ISNUMBER(AG55:AG251),ROW(AG55:AG251),"")))</f>
        <v>17.625</v>
      </c>
      <c r="AI55" s="130">
        <f>IF('Données projet'!$A$62&gt;35,AI54+AH55-AQ54,IF(A55&lt;'Données projet'!$A$62,$AF$205^A55,IF(A55='Données projet'!$A$62,'Données projet'!$B$62,AI54+AH55-AQ54)))</f>
        <v>334.25</v>
      </c>
      <c r="AJ55" s="130">
        <f>AI55*VLOOKUP('Données projet'!$B$10,'Paramètres'!$A$1:$I$89,3,0)*VLOOKUP('Données projet'!$B$10,'Paramètres'!$A$1:$I$89,5,0)</f>
        <v>199.8815</v>
      </c>
      <c r="AK55" s="130">
        <f t="shared" si="36"/>
        <v>49.71812411</v>
      </c>
      <c r="AL55" s="141">
        <f t="shared" si="5"/>
        <v>434.7193453</v>
      </c>
      <c r="AM55" s="133">
        <f t="shared" si="6"/>
        <v>728.0526787</v>
      </c>
      <c r="AN55" s="133">
        <f>AVERAGE(OFFSET($AM$3,0,0,'Données projet'!$E$10+1,1))-AVERAGE(OFFSET($H$3,0,0,'Données projet'!$E$10+1,1))</f>
        <v>196.874484</v>
      </c>
      <c r="AO55" s="133">
        <f t="shared" si="37"/>
        <v>217.5750859</v>
      </c>
      <c r="AP55" s="134">
        <f>IF(ISNA(VLOOKUP(A55,'Données projet'!$A$61:$I$81,3,0)),0,VLOOKUP(A55,'Données projet'!$A$61:$I$81,3,0))</f>
        <v>0</v>
      </c>
      <c r="AQ55" s="134">
        <f>IF(ISNA(VLOOKUP(A55,'Données projet'!$A$61:$I$81,4,0)),0,VLOOKUP(A55,'Données projet'!$A$61:$I$81,4,0))</f>
        <v>0</v>
      </c>
      <c r="AR55" s="135">
        <f>IF(ISNA(VLOOKUP(A55,'Données projet'!$A$61:$I$81,5,0)),0%,VLOOKUP(A55,'Données projet'!$A$61:$I$81,5,0)*VLOOKUP('Données projet'!$B$10,'Paramètres'!$A$1:$I$89,7,0))</f>
        <v>0</v>
      </c>
      <c r="AS55" s="135">
        <f>IF(ISNA(VLOOKUP(A55,'Données projet'!$A$61:$I$81,6,0)),0%,VLOOKUP(A55,'Données projet'!$A$61:$I$81,6,0)*VLOOKUP('Données projet'!$B$10,'Paramètres'!$A$1:$I$89,7,0))</f>
        <v>0</v>
      </c>
      <c r="AT55" s="135">
        <f>IF(ISNA(VLOOKUP(A55,'Données projet'!$A$61:$I$81,7,0)),0%,VLOOKUP(A55,'Données projet'!$A$61:$I$81,7,0))</f>
        <v>0</v>
      </c>
      <c r="AU55" s="142">
        <f>EXP(-LN(2)/35)*AU54+(1-EXP(-LN(2)/35))/(LN(2)/35)*AQ55*AR55*VLOOKUP('Données projet'!$B$10,'Paramètres'!$A$1:$I$89,3,0)*0.475*44/12</f>
        <v>25.77603014</v>
      </c>
      <c r="AV55" s="142">
        <f>EXP(-LN(2)/25)*AV54+(1-EXP(-LN(2)/25))/(LN(2)/25)*Calculateur!AQ55*Calculateur!AS55*VLOOKUP('Données projet'!$B$10,'Paramètres'!$A$1:$I$89,3,0)*0.475*44/12</f>
        <v>22.7281261</v>
      </c>
      <c r="AW55" s="142">
        <f>EXP(-LN(2)/2)*AW54+(1-EXP(-LN(2)/2))/(LN(2)/2)*AQ55*AT55*VLOOKUP('Données projet'!$B$10,'Paramètres'!$A$1:$I$89,3,0)*0.475*44/12</f>
        <v>4.141275999</v>
      </c>
      <c r="AX55" s="142">
        <f t="shared" si="7"/>
        <v>52.64543224</v>
      </c>
      <c r="AY55" s="13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1" t="str">
        <f>VLOOKUP(A55,'Données projet'!$A$87:$I$107,2,0)</f>
        <v>#N/A</v>
      </c>
      <c r="BB55" s="131" t="str">
        <f>VLOOKUP(A55,'Données projet'!$A$87:$I$107,9,0)</f>
        <v>#N/A</v>
      </c>
      <c r="BC55" s="130">
        <f t="array" ref="BC55">INDEX(BB:BB,MIN(IF(ISNUMBER(BB55:BB251),ROW(BB55:BB251),"")))</f>
        <v>14</v>
      </c>
      <c r="BD55" s="130">
        <f>IF('Données projet'!$A$88&gt;35,BD54+BC55-BL54,IF(A55&lt;'Données projet'!$A$88,$BA$205^A55,IF(A55='Données projet'!$A$88,'Données projet'!$B$88,BD54+BC55-BL54)))</f>
        <v>278</v>
      </c>
      <c r="BE55" s="130">
        <f>BD55*VLOOKUP('Données projet'!$B$11,'Paramètres'!$A$1:$I$89,3,0)*VLOOKUP('Données projet'!$B$11,'Paramètres'!$A$1:$I$89,5,0)</f>
        <v>130.104</v>
      </c>
      <c r="BF55" s="130">
        <f t="shared" si="38"/>
        <v>34.02038956</v>
      </c>
      <c r="BG55" s="141">
        <f t="shared" si="8"/>
        <v>285.8499785</v>
      </c>
      <c r="BH55" s="133">
        <f t="shared" si="9"/>
        <v>579.1833118</v>
      </c>
      <c r="BI55" s="133">
        <f>AVERAGE(OFFSET($BH$3,0,0,'Données projet'!$E$11+1,1))-AVERAGE(OFFSET($H$3,0,0,'Données projet'!$E$11+1,1))</f>
        <v>134.0948534</v>
      </c>
      <c r="BJ55" s="133">
        <f t="shared" si="39"/>
        <v>108.4102536</v>
      </c>
      <c r="BK55" s="134">
        <f>IF(ISNA(VLOOKUP(A55,'Données projet'!$A$87:$I$107,3,0)),0,VLOOKUP(A55,'Données projet'!$A$87:$I$107,3,0))</f>
        <v>0</v>
      </c>
      <c r="BL55" s="134">
        <f>IF(ISNA(VLOOKUP(A55,'Données projet'!$A$87:$I$107,4,0)),0,VLOOKUP(A55,'Données projet'!$A$87:$I$107,4,0))</f>
        <v>0</v>
      </c>
      <c r="BM55" s="135">
        <f>IF(ISNA(VLOOKUP(A55,'Données projet'!$A$87:$I$107,5,0)),0%,VLOOKUP(A55,'Données projet'!$A$87:$I$107,5,0)*VLOOKUP('Données projet'!$B$11,'Paramètres'!$A$1:$I$89,7,0))</f>
        <v>0</v>
      </c>
      <c r="BN55" s="135">
        <f>IF(ISNA(VLOOKUP(A55,'Données projet'!$A$87:$I$107,6,0)),0%,VLOOKUP(A55,'Données projet'!$A$87:$I$107,6,0)*VLOOKUP('Données projet'!$B$11,'Paramètres'!$A$1:$I$89,7,0))</f>
        <v>0</v>
      </c>
      <c r="BO55" s="135">
        <f>IF(ISNA(VLOOKUP(A55,'Données projet'!$A$87:$I$107,7,0)),0%,VLOOKUP(A55,'Données projet'!$A$87:$I$107,7,0))</f>
        <v>0</v>
      </c>
      <c r="BP55" s="142">
        <f>EXP(-LN(2)/35)*BP54+(1-EXP(-LN(2)/35))/(LN(2)/35)*BL55*BM55*VLOOKUP('Données projet'!$B$11,'Paramètres'!$A$1:$I$89,3,0)*0.475*44/12</f>
        <v>16.9974463</v>
      </c>
      <c r="BQ55" s="142">
        <f>EXP(-LN(2)/25)*BQ54+(1-EXP(-LN(2)/25))/(LN(2)/25)*Calculateur!BL55*Calculateur!BN55*VLOOKUP('Données projet'!$B$11,'Paramètres'!$A$1:$I$89,3,0)*0.475*44/12</f>
        <v>11.01225936</v>
      </c>
      <c r="BR55" s="142">
        <f>EXP(-LN(2)/2)*BR54+(1-EXP(-LN(2)/2))/(LN(2)/2)*BL55*BO55*VLOOKUP('Données projet'!$B$11,'Paramètres'!$A$1:$I$89,3,0)*0.475*44/12</f>
        <v>2.444424427</v>
      </c>
      <c r="BS55" s="143">
        <f t="shared" si="10"/>
        <v>30.45413009</v>
      </c>
      <c r="BT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1" t="str">
        <f>VLOOKUP(A55,'Données projet'!$A$113:$I$133,2,0)</f>
        <v>#N/A</v>
      </c>
      <c r="BW55" s="131" t="str">
        <f>VLOOKUP(A55,'Données projet'!$A$113:$I$133,9,0)</f>
        <v>#N/A</v>
      </c>
      <c r="BX55" s="130">
        <f t="array" ref="BX55">INDEX(BW:BW,MIN(IF(ISNUMBER(BW55:BW251),ROW(BW55:BW251),"")))</f>
        <v>21.6</v>
      </c>
      <c r="BY55" s="130">
        <f>IF('Données projet'!$A$114&gt;35,BY54+BX55-CG54,IF(A55&lt;'Données projet'!$A$114,$BV$205^A55,IF(A55='Données projet'!$A$114,'Données projet'!$B$114,BY54+BX55-CG54)))</f>
        <v>525.2</v>
      </c>
      <c r="BZ55" s="130">
        <f>BY55*VLOOKUP('Données projet'!$B$12,'Paramètres'!$A$1:$I$89,3,0)*VLOOKUP('Données projet'!$B$12,'Paramètres'!$A$1:$I$89,5,0)</f>
        <v>259.4488</v>
      </c>
      <c r="CA55" s="130">
        <f t="shared" si="40"/>
        <v>62.60486988</v>
      </c>
      <c r="CB55" s="141">
        <f t="shared" si="11"/>
        <v>560.9101417</v>
      </c>
      <c r="CC55" s="133">
        <f t="shared" si="12"/>
        <v>854.243475</v>
      </c>
      <c r="CD55" s="133">
        <f>AVERAGE(OFFSET($CC$3,0,0,'Données projet'!$E$12+1,1))-AVERAGE(OFFSET($H$3,0,0,'Données projet'!$E$12+1,1))</f>
        <v>258.1672054</v>
      </c>
      <c r="CE55" s="133">
        <f t="shared" si="41"/>
        <v>296.0724261</v>
      </c>
      <c r="CF55" s="134">
        <f>IF(ISNA(VLOOKUP(A55,'Données projet'!$A$113:$I$133,3,0)),0,VLOOKUP(A55,'Données projet'!$A$113:$I$133,3,0))</f>
        <v>0</v>
      </c>
      <c r="CG55" s="134">
        <f>IF(ISNA(VLOOKUP(A55,'Données projet'!$A$113:$I$133,4,0)),0,VLOOKUP(A55,'Données projet'!$A$113:$I$133,4,0))</f>
        <v>0</v>
      </c>
      <c r="CH55" s="135">
        <f>IF(ISNA(VLOOKUP(A55,'Données projet'!$A$113:$I$133,5,0)),0%,VLOOKUP(A55,'Données projet'!$A$113:$I$133,5,0)*VLOOKUP('Données projet'!$B$12,'Paramètres'!$A$1:$I$89,7,0))</f>
        <v>0</v>
      </c>
      <c r="CI55" s="135">
        <f>IF(ISNA(VLOOKUP(A55,'Données projet'!$A$113:$I$133,6,0)),0%,VLOOKUP(A55,'Données projet'!$A$113:$I$133,6,0)*VLOOKUP('Données projet'!$B$12,'Paramètres'!$A$1:$I$89,7,0))</f>
        <v>0</v>
      </c>
      <c r="CJ55" s="135">
        <f>IF(ISNA(VLOOKUP(A55,'Données projet'!$A$113:$I$133,7,0)),0%,VLOOKUP(A55,'Données projet'!$A$113:$I$133,7,0))</f>
        <v>0</v>
      </c>
      <c r="CK55" s="142">
        <f>EXP(-LN(2)/35)*CK54+(1-EXP(-LN(2)/35))/(LN(2)/35)*CG55*CH55*VLOOKUP('Données projet'!$B$12,'Paramètres'!$A$1:$I$89,3,0)*0.475*44/12</f>
        <v>44.20153096</v>
      </c>
      <c r="CL55" s="142">
        <f>EXP(-LN(2)/25)*CL54+(1-EXP(-LN(2)/25))/(LN(2)/25)*Calculateur!CG55*Calculateur!CI55*VLOOKUP('Données projet'!$B$12,'Paramètres'!$A$1:$I$89,3,0)*0.475*44/12</f>
        <v>29.68405526</v>
      </c>
      <c r="CM55" s="142">
        <f>EXP(-LN(2)/2)*CM54+(1-EXP(-LN(2)/2))/(LN(2)/2)*CG55*CJ55*VLOOKUP('Données projet'!$B$12,'Paramètres'!$A$1:$I$89,3,0)*0.475*44/12</f>
        <v>3.907537932</v>
      </c>
      <c r="CN55" s="143">
        <f t="shared" si="13"/>
        <v>77.79312415</v>
      </c>
      <c r="CO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1" t="str">
        <f>VLOOKUP(A55,'Données projet'!$A$139:$I$159,2,0)</f>
        <v>#N/A</v>
      </c>
      <c r="CR55" s="131" t="str">
        <f>VLOOKUP(A55,'Données projet'!$A$139:$I$159,9,0)</f>
        <v>#N/A</v>
      </c>
      <c r="CS55" s="130">
        <f t="array" ref="CS55">INDEX(CR:CR,MIN(IF(ISNUMBER(CR55:CR251),ROW(CR55:CR251),"")))</f>
        <v>5.6</v>
      </c>
      <c r="CT55" s="138">
        <f>IF('Données projet'!$A$140&gt;35,CT54+CS55-DB54,IF(A55&lt;'Données projet'!$A$140,$CQ$205^A55,IF(A55='Données projet'!$A$140,'Données projet'!$B$140,CT54+CS55-DB54)))</f>
        <v>118.2</v>
      </c>
      <c r="CU55" s="138">
        <f>CT55*VLOOKUP('Données projet'!$B$13,'Paramètres'!$A$1:$I$89,3,0)*VLOOKUP('Données projet'!$B$13,'Paramètres'!$A$1:$I$89,5,0)</f>
        <v>119.8548</v>
      </c>
      <c r="CV55" s="130">
        <f t="shared" si="42"/>
        <v>31.64113139</v>
      </c>
      <c r="CW55" s="141">
        <f t="shared" si="14"/>
        <v>263.8554138</v>
      </c>
      <c r="CX55" s="133">
        <f t="shared" si="15"/>
        <v>557.1887472</v>
      </c>
      <c r="CY55" s="133">
        <f>AVERAGE(OFFSET($CX$3,0,0,'Données projet'!$E$13+1,1))-AVERAGE(OFFSET($H$3,0,0,'Données projet'!$E$13+1,1))</f>
        <v>223.783507</v>
      </c>
      <c r="CZ55" s="133">
        <f t="shared" si="43"/>
        <v>84.92349117</v>
      </c>
      <c r="DA55" s="134">
        <f>IF(ISNA(VLOOKUP(A55,'Données projet'!$A$139:$I$159,3,0)),0,VLOOKUP(A55,'Données projet'!$A$139:$I$159,3,0))</f>
        <v>0</v>
      </c>
      <c r="DB55" s="134">
        <f>IF(ISNA(VLOOKUP(A55,'Données projet'!$A$139:$I$159,4,0)),0,VLOOKUP(A55,'Données projet'!$A$139:$I$159,4,0))</f>
        <v>0</v>
      </c>
      <c r="DC55" s="135">
        <f>IF(ISNA(VLOOKUP(A55,'Données projet'!$A$139:$I$159,5,0)),0%,VLOOKUP(A55,'Données projet'!$A$139:$I$159,5,0)*VLOOKUP('Données projet'!$B$13,'Paramètres'!$A$1:$I$89,7,0))</f>
        <v>0</v>
      </c>
      <c r="DD55" s="135">
        <f>IF(ISNA(VLOOKUP(A55,'Données projet'!$A$139:$I$159,6,0)),0%,VLOOKUP(A55,'Données projet'!$A$139:$I$159,6,0)*VLOOKUP('Données projet'!$B$13,'Paramètres'!$A$1:$I$89,7,0))</f>
        <v>0</v>
      </c>
      <c r="DE55" s="135">
        <f>IF(ISNA(VLOOKUP(A55,'Données projet'!$A$139:$I$159,7,0)),0%,VLOOKUP(A55,'Données projet'!$A$139:$I$159,7,0))</f>
        <v>0</v>
      </c>
      <c r="DF55" s="142">
        <f>EXP(-LN(2)/35)*DF54+(1-EXP(-LN(2)/35))/(LN(2)/35)*DB55*DC55*VLOOKUP('Données projet'!$B$13,'Paramètres'!$A$1:$I$89,3,0)*0.475*44/12</f>
        <v>2.472121235</v>
      </c>
      <c r="DG55" s="142">
        <f>EXP(-LN(2)/25)*DG54+(1-EXP(-LN(2)/25))/(LN(2)/25)*Calculateur!DB55*Calculateur!DD55*VLOOKUP('Données projet'!$B$13,'Paramètres'!$A$1:$I$89,3,0)*0.475*44/12</f>
        <v>0</v>
      </c>
      <c r="DH55" s="142">
        <f>EXP(-LN(2)/2)*DH54+(1-EXP(-LN(2)/2))/(LN(2)/2)*DB55*DE55*VLOOKUP('Données projet'!$B$13,'Paramètres'!$A$1:$I$89,3,0)*0.475*44/12</f>
        <v>0</v>
      </c>
      <c r="DI55" s="143">
        <f t="shared" si="16"/>
        <v>2.472121235</v>
      </c>
      <c r="DJ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1" t="str">
        <f>VLOOKUP(A55,'Données projet'!$A$165:$I$185,2,0)</f>
        <v>#N/A</v>
      </c>
      <c r="DM55" s="131" t="str">
        <f>VLOOKUP(A55,'Données projet'!$A$165:$I$185,9,0)</f>
        <v>#N/A</v>
      </c>
      <c r="DN55" s="131">
        <f t="array" ref="DN55">INDEX(DM:DM,MIN(IF(ISNUMBER(DM55:DM251),ROW(DM55:DM251),"")))</f>
        <v>8</v>
      </c>
      <c r="DO55" s="138">
        <f>IF('Données projet'!$A$166&gt;35,DO54+DN55-DW54,IF(A55&lt;'Données projet'!$A$166,$DL$205^A55,IF(A55='Données projet'!$A$166,'Données projet'!$B$166,DO54+DN55-DW54)))</f>
        <v>173</v>
      </c>
      <c r="DP55" s="138">
        <f>DO55*VLOOKUP('Données projet'!$B$14,'Paramètres'!$A$1:$I$89,3,0)*VLOOKUP('Données projet'!$B$14,'Paramètres'!$A$1:$I$89,5,0)</f>
        <v>156.5304</v>
      </c>
      <c r="DQ55" s="130">
        <f t="shared" si="44"/>
        <v>40.05894171</v>
      </c>
      <c r="DR55" s="141">
        <f t="shared" si="17"/>
        <v>342.3931035</v>
      </c>
      <c r="DS55" s="133">
        <f t="shared" si="18"/>
        <v>635.7264368</v>
      </c>
      <c r="DT55" s="133">
        <f>AVERAGE(OFFSET($DS$3,0,0,'Données projet'!$E$14+1,1))-AVERAGE(OFFSET($H$3,0,0,'Données projet'!$E$14+1,1))</f>
        <v>287.9334714</v>
      </c>
      <c r="DU55" s="133">
        <f t="shared" si="45"/>
        <v>156.6796502</v>
      </c>
      <c r="DV55" s="134">
        <f>IF(ISNA(VLOOKUP(A55,'Données projet'!$A$165:$I$185,3,0)),0,VLOOKUP(A55,'Données projet'!$A$165:$I$185,3,0))</f>
        <v>0</v>
      </c>
      <c r="DW55" s="134">
        <f>IF(ISNA(VLOOKUP(A55,'Données projet'!$A$165:$I$185,4,0)),0,VLOOKUP(A55,'Données projet'!$A$165:$I$185,4,0))</f>
        <v>0</v>
      </c>
      <c r="DX55" s="135">
        <f>IF(ISNA(VLOOKUP(A55,'Données projet'!$A$165:$I$185,5,0)),0%,VLOOKUP(A55,'Données projet'!$A$165:$I$185,5,0)*VLOOKUP('Données projet'!$B$14,'Paramètres'!$A$1:$I$89,7,0))</f>
        <v>0</v>
      </c>
      <c r="DY55" s="135">
        <f>IF(ISNA(VLOOKUP(A55,'Données projet'!$A$165:$I$185,6,0)),0%,VLOOKUP(A55,'Données projet'!$A$165:$I$185,6,0)*VLOOKUP('Données projet'!$B$14,'Paramètres'!$A$1:$I$89,7,0))</f>
        <v>0</v>
      </c>
      <c r="DZ55" s="135">
        <f>IF(ISNA(VLOOKUP(A55,'Données projet'!$A$165:$I$185,7,0)),0%,VLOOKUP(A55,'Données projet'!$A$165:$I$185,7,0))</f>
        <v>0</v>
      </c>
      <c r="EA55" s="142">
        <f>EXP(-LN(2)/35)*EA54+(1-EXP(-LN(2)/35))/(LN(2)/35)*DW55*DX55*VLOOKUP('Données projet'!$B$14,'Paramètres'!$A$1:$I$89,3,0)*0.475*44/12</f>
        <v>5.601289799</v>
      </c>
      <c r="EB55" s="142">
        <f>EXP(-LN(2)/25)*EB54+(1-EXP(-LN(2)/25))/(LN(2)/25)*Calculateur!DW55*Calculateur!DY55*VLOOKUP('Données projet'!$B$14,'Paramètres'!$A$1:$I$89,3,0)*0.475*44/12</f>
        <v>0</v>
      </c>
      <c r="EC55" s="142">
        <f>EXP(-LN(2)/2)*EC54+(1-EXP(-LN(2)/2))/(LN(2)/2)*DW55*DZ55*VLOOKUP('Données projet'!$B$14,'Paramètres'!$A$1:$I$89,3,0)*0.475*44/12</f>
        <v>0</v>
      </c>
      <c r="ED55" s="143">
        <f t="shared" si="19"/>
        <v>5.601289799</v>
      </c>
      <c r="EE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1" t="str">
        <f>VLOOKUP(A55,'Données projet'!$A$191:$I$211,2,0)</f>
        <v>#N/A</v>
      </c>
      <c r="EH55" s="131" t="str">
        <f>VLOOKUP(A55,'Données projet'!$A$191:$I$211,9,0)</f>
        <v>#N/A</v>
      </c>
      <c r="EI55" s="131">
        <f t="array" ref="EI55">INDEX(EH:EH,MIN(IF(ISNUMBER(EH55:EH251),ROW(EH55:EH251),"")))</f>
        <v>8.6</v>
      </c>
      <c r="EJ55" s="138">
        <f>IF('Données projet'!$A$192&gt;35,EJ54+EI55-ER54,IF(A55&lt;'Données projet'!$A$192,$EG$205^A55,IF(A55='Données projet'!$A$192,'Données projet'!$B$192,EJ54+EI55-ER54)))</f>
        <v>150.2</v>
      </c>
      <c r="EK55" s="138">
        <f>EJ55*VLOOKUP('Données projet'!$B$15,'Paramètres'!$A$1:$I$89,3,0)*VLOOKUP('Données projet'!$B$15,'Paramètres'!$A$1:$I$89,5,0)</f>
        <v>110.12664</v>
      </c>
      <c r="EL55" s="130">
        <f t="shared" si="46"/>
        <v>29.36081995</v>
      </c>
      <c r="EM55" s="141">
        <f t="shared" si="20"/>
        <v>242.9406594</v>
      </c>
      <c r="EN55" s="133">
        <f t="shared" si="21"/>
        <v>536.2739927</v>
      </c>
      <c r="EO55" s="133">
        <f>AVERAGE(OFFSET($EN$3,0,0,'Données projet'!$E$15+1,1))-AVERAGE(OFFSET($H$3,0,0,'Données projet'!$E$15+1,1))</f>
        <v>130.3193339</v>
      </c>
      <c r="EP55" s="133">
        <f t="shared" si="47"/>
        <v>82.22784365</v>
      </c>
      <c r="EQ55" s="134">
        <f>IF(ISNA(VLOOKUP(A55,'Données projet'!$A$191:$I$211,3,0)),0,VLOOKUP(A55,'Données projet'!$A$191:$I$211,3,0))</f>
        <v>0</v>
      </c>
      <c r="ER55" s="134">
        <f>IF(ISNA(VLOOKUP(A55,'Données projet'!$A$191:$I$211,4,0)),0,VLOOKUP(A55,'Données projet'!$A$191:$I$211,4,0))</f>
        <v>0</v>
      </c>
      <c r="ES55" s="135">
        <f>IF(ISNA(VLOOKUP(A55,'Données projet'!$A$191:$I$211,5,0)),0%,VLOOKUP(A55,'Données projet'!$A$191:$I$211,5,0)*VLOOKUP('Données projet'!$B$15,'Paramètres'!$A$1:$I$89,7,0))</f>
        <v>0</v>
      </c>
      <c r="ET55" s="135">
        <f>IF(ISNA(VLOOKUP(A55,'Données projet'!$A$191:$I$211,6,0)),0%,VLOOKUP(A55,'Données projet'!$A$191:$I$211,6,0)*VLOOKUP('Données projet'!$B$15,'Paramètres'!$A$1:$I$89,7,0))</f>
        <v>0</v>
      </c>
      <c r="EU55" s="135">
        <f>IF(ISNA(VLOOKUP(A55,'Données projet'!$A$191:$I$211,7,0)),0%,VLOOKUP(A55,'Données projet'!$A$191:$I$211,7,0))</f>
        <v>0</v>
      </c>
      <c r="EV55" s="142">
        <f>EXP(-LN(2)/35)*EV54+(1-EXP(-LN(2)/35))/(LN(2)/35)*ER55*ES55*VLOOKUP('Données projet'!$B$15,'Paramètres'!$A$1:$I$89,3,0)*0.475*44/12</f>
        <v>8.103208522</v>
      </c>
      <c r="EW55" s="142">
        <f>EXP(-LN(2)/25)*EW54+(1-EXP(-LN(2)/25))/(LN(2)/25)*Calculateur!ER55*Calculateur!ET55*VLOOKUP('Données projet'!$B$15,'Paramètres'!$A$1:$I$89,3,0)*0.475*44/12</f>
        <v>0</v>
      </c>
      <c r="EX55" s="142">
        <f>EXP(-LN(2)/2)*EX54+(1-EXP(-LN(2)/2))/(LN(2)/2)*ER55*EU55*VLOOKUP('Données projet'!$B$15,'Paramètres'!$A$1:$I$89,3,0)*0.475*44/12</f>
        <v>0</v>
      </c>
      <c r="EY55" s="143">
        <f t="shared" si="22"/>
        <v>8.103208522</v>
      </c>
      <c r="EZ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1" t="str">
        <f>VLOOKUP(A55,'Données projet'!$A$217:$I$237,2,0)</f>
        <v>#N/A</v>
      </c>
      <c r="FC55" s="131" t="str">
        <f>VLOOKUP(A55,'Données projet'!$A$217:$I$237,9,0)</f>
        <v>#N/A</v>
      </c>
      <c r="FD55" s="130">
        <f t="array" ref="FD55">INDEX(FC:FC,MIN(IF(ISNUMBER(FC55:FC251),ROW(FC55:FC251),"")))</f>
        <v>4.8</v>
      </c>
      <c r="FE55" s="130">
        <f>IF('Données projet'!$A$218&gt;35,FE54+FD55-FM54,IF(A55&lt;'Données projet'!$A$218,$FB$205^A55,IF(A55='Données projet'!$A$218,'Données projet'!$B$218,FE54+FD55-FM54)))</f>
        <v>257.6</v>
      </c>
      <c r="FF55" s="138">
        <f>FE55*VLOOKUP('Données projet'!$B$16,'Paramètres'!$A$1:$I$89,3,0)*VLOOKUP('Données projet'!$B$16,'Paramètres'!$A$1:$I$89,5,0)</f>
        <v>233.07648</v>
      </c>
      <c r="FG55" s="130">
        <f t="shared" si="48"/>
        <v>56.94737314</v>
      </c>
      <c r="FH55" s="141">
        <f t="shared" si="23"/>
        <v>505.1248776</v>
      </c>
      <c r="FI55" s="133">
        <f t="shared" si="24"/>
        <v>798.4582109</v>
      </c>
      <c r="FJ55" s="133">
        <f>AVERAGE(OFFSET($FI$3,0,0,'Données projet'!$E$16+1,1))-AVERAGE(OFFSET($H$3,0,0,'Données projet'!$E$16+1,1))</f>
        <v>305.6252353</v>
      </c>
      <c r="FK55" s="133">
        <f t="shared" si="49"/>
        <v>331.397916</v>
      </c>
      <c r="FL55" s="134">
        <f>IF(ISNA(VLOOKUP(A55,'Données projet'!$A$217:$I$237,3,0)),0,VLOOKUP(A55,'Données projet'!$A$217:$I$237,3,0))</f>
        <v>0</v>
      </c>
      <c r="FM55" s="134">
        <f>IF(ISNA(VLOOKUP(A55,'Données projet'!$A$217:$I$237,4,0)),0,VLOOKUP(A55,'Données projet'!$A$217:$I$237,4,0))</f>
        <v>0</v>
      </c>
      <c r="FN55" s="135">
        <f>IF(ISNA(VLOOKUP(A55,'Données projet'!$A$217:$I$237,5,0)),0%,VLOOKUP(A55,'Données projet'!$A$217:$I$237,5,0)*VLOOKUP('Données projet'!$B$16,'Paramètres'!$A$1:$I$89,7,0))</f>
        <v>0</v>
      </c>
      <c r="FO55" s="135">
        <f>IF(ISNA(VLOOKUP(A55,'Données projet'!$A$217:$I$237,6,0)),0%,VLOOKUP(A55,'Données projet'!$A$217:$I$237,6,0)*VLOOKUP('Données projet'!$B$16,'Paramètres'!$A$1:$I$89,7,0))</f>
        <v>0</v>
      </c>
      <c r="FP55" s="135">
        <f>IF(ISNA(VLOOKUP(A55,'Données projet'!$A$217:$I$237,7,0)),0%,VLOOKUP(A55,'Données projet'!$A$217:$I$237,7,0))</f>
        <v>0</v>
      </c>
      <c r="FQ55" s="142">
        <f>EXP(-LN(2)/35)*FQ54+(1-EXP(-LN(2)/35))/(LN(2)/35)*FM55*FN55*VLOOKUP('Données projet'!$B$16,'Paramètres'!$A$1:$I$89,3,0)*0.475*44/12</f>
        <v>3.975609651</v>
      </c>
      <c r="FR55" s="142">
        <f>EXP(-LN(2)/25)*FR54+(1-EXP(-LN(2)/25))/(LN(2)/25)*Calculateur!FM55*Calculateur!FO55*VLOOKUP('Données projet'!$B$16,'Paramètres'!$A$1:$I$89,3,0)*0.475*44/12</f>
        <v>0</v>
      </c>
      <c r="FS55" s="142">
        <f>EXP(-LN(2)/2)*FS54+(1-EXP(-LN(2)/2))/(LN(2)/2)*FM55*FP55*VLOOKUP('Données projet'!$B$16,'Paramètres'!$A$1:$I$89,3,0)*0.475*44/12</f>
        <v>0</v>
      </c>
      <c r="FT55" s="143">
        <f t="shared" si="25"/>
        <v>3.975609651</v>
      </c>
      <c r="FU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1" t="str">
        <f>VLOOKUP(A55,'Données projet'!$A$243:$I$263,2,0)</f>
        <v>#N/A</v>
      </c>
      <c r="FX55" s="131" t="str">
        <f>VLOOKUP(A55,'Données projet'!$A$243:$I$263,9,0)</f>
        <v>#N/A</v>
      </c>
      <c r="FY55" s="130">
        <f t="array" ref="FY55">INDEX(FX:FX,MIN(IF(ISNUMBER(FX55:FX251),ROW(FX55:FX251),"")))</f>
        <v>11</v>
      </c>
      <c r="FZ55" s="138">
        <f>IF('Données projet'!$A$244&gt;35,FZ54+FY55-GH54,IF(A55&lt;'Données projet'!$A$244,$FW$205^A55,IF(A55='Données projet'!$A$244,'Données projet'!$B$244,FZ54+FY55-GH54)))</f>
        <v>211</v>
      </c>
      <c r="GA55" s="138">
        <f>FZ55*VLOOKUP('Données projet'!$B$17,'Paramètres'!$A$1:$I$89,3,0)*VLOOKUP('Données projet'!$B$17,'Paramètres'!$A$1:$I$89,5,0)</f>
        <v>141.5388</v>
      </c>
      <c r="GB55" s="130">
        <f t="shared" si="50"/>
        <v>36.64929838</v>
      </c>
      <c r="GC55" s="141">
        <f t="shared" si="26"/>
        <v>310.3442713</v>
      </c>
      <c r="GD55" s="133">
        <f t="shared" si="27"/>
        <v>603.6776047</v>
      </c>
      <c r="GE55" s="133">
        <f>AVERAGE(OFFSET($GD$3,0,0,'Données projet'!$E$17+1,1))-AVERAGE(OFFSET($H$3,0,0,'Données projet'!$E$17+1,1))</f>
        <v>118.7368745</v>
      </c>
      <c r="GF55" s="133">
        <f t="shared" si="51"/>
        <v>135.1233677</v>
      </c>
      <c r="GG55" s="134">
        <f>IF(ISNA(VLOOKUP(A55,'Données projet'!$A$243:$I$263,3,0)),0,VLOOKUP(A55,'Données projet'!$A$243:$I$263,3,0))</f>
        <v>0</v>
      </c>
      <c r="GH55" s="134">
        <f>IF(ISNA(VLOOKUP(A55,'Données projet'!$A$243:$I$263,4,0)),0,VLOOKUP(A55,'Données projet'!$A$243:$I$263,4,0))</f>
        <v>0</v>
      </c>
      <c r="GI55" s="135">
        <f>IF(ISNA(VLOOKUP(A55,'Données projet'!$A$243:$I$263,5,0)),0%,VLOOKUP(A55,'Données projet'!$A$243:$I$263,5,0)*VLOOKUP('Données projet'!$B$17,'Paramètres'!$A$1:$I$89,7,0))</f>
        <v>0</v>
      </c>
      <c r="GJ55" s="135">
        <f>IF(ISNA(VLOOKUP(A55,'Données projet'!$A$243:$I$263,6,0)),0%,VLOOKUP(A55,'Données projet'!$A$243:$I$263,6,0)*VLOOKUP('Données projet'!$B$17,'Paramètres'!$A$1:$I$89,7,0))</f>
        <v>0</v>
      </c>
      <c r="GK55" s="135">
        <f>IF(ISNA(VLOOKUP(A55,'Données projet'!$A$243:$I$263,7,0)),0%,VLOOKUP(A55,'Données projet'!$A$243:$I$263,7,0))</f>
        <v>0</v>
      </c>
      <c r="GL55" s="142">
        <f>EXP(-LN(2)/35)*GL54+(1-EXP(-LN(2)/35))/(LN(2)/35)*GH55*GI55*VLOOKUP('Données projet'!$B$17,'Paramètres'!$A$1:$I$89,3,0)*0.475*44/12</f>
        <v>15.22089177</v>
      </c>
      <c r="GM55" s="142">
        <f>EXP(-LN(2)/25)*GM54+(1-EXP(-LN(2)/25))/(LN(2)/25)*Calculateur!GH55*Calculateur!GJ55*VLOOKUP('Données projet'!$B$17,'Paramètres'!$A$1:$I$89,3,0)*0.475*44/12</f>
        <v>0</v>
      </c>
      <c r="GN55" s="142">
        <f>EXP(-LN(2)/2)*GN54+(1-EXP(-LN(2)/2))/(LN(2)/2)*GH55*GK55*VLOOKUP('Données projet'!$B$17,'Paramètres'!$A$1:$I$89,3,0)*0.475*44/12</f>
        <v>0</v>
      </c>
      <c r="GO55" s="142">
        <f t="shared" si="28"/>
        <v>15.22089177</v>
      </c>
      <c r="GP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1" t="str">
        <f>VLOOKUP(A55,'Données projet'!$A$269:$I$289,2,0)</f>
        <v>#N/A</v>
      </c>
      <c r="GS55" s="131" t="str">
        <f>VLOOKUP(A55,'Données projet'!$A$269:$I$289,9,0)</f>
        <v>#N/A</v>
      </c>
      <c r="GT55" s="130">
        <f t="array" ref="GT55">INDEX(GS:GS,MIN(IF(ISNUMBER(GS55:GS251),ROW(GS55:GS251),"")))</f>
        <v>5.6</v>
      </c>
      <c r="GU55" s="138">
        <f>IF('Données projet'!$A$270&gt;35,GU54+GT55-HC54,IF(A55&lt;'Données projet'!$A$270,$GR$205^A55,IF(A55='Données projet'!$A$270,'Données projet'!$B$270,GU54+GT55-HC54)))</f>
        <v>118.2</v>
      </c>
      <c r="GV55" s="138">
        <f>GU55*VLOOKUP('Données projet'!$B$18,'Paramètres'!$A$1:$I$89,3,0)*VLOOKUP('Données projet'!$B$18,'Paramètres'!$A$1:$I$89,5,0)</f>
        <v>127.23048</v>
      </c>
      <c r="GW55" s="130">
        <f t="shared" si="52"/>
        <v>33.35560474</v>
      </c>
      <c r="GX55" s="141">
        <f t="shared" si="29"/>
        <v>279.6874309</v>
      </c>
      <c r="GY55" s="133">
        <f t="shared" si="30"/>
        <v>573.0207643</v>
      </c>
      <c r="GZ55" s="133">
        <f>AVERAGE(OFFSET($GY$3,0,0,'Données projet'!$E$18+1,1))-AVERAGE(OFFSET($H$3,0,0,'Données projet'!$E$18+1,1))</f>
        <v>100.5427875</v>
      </c>
      <c r="HA55" s="133">
        <f t="shared" si="53"/>
        <v>92.28663609</v>
      </c>
      <c r="HB55" s="134">
        <f>IF(ISNA(VLOOKUP(A55,'Données projet'!$A$269:$I$289,3,0)),0,VLOOKUP(A55,'Données projet'!$A$269:$I$289,3,0))</f>
        <v>0</v>
      </c>
      <c r="HC55" s="134">
        <f>IF(ISNA(VLOOKUP(A55,'Données projet'!$A$269:$I$289,4,0)),0,VLOOKUP(A55,'Données projet'!$A$269:$I$289,4,0))</f>
        <v>0</v>
      </c>
      <c r="HD55" s="135">
        <f>IF(ISNA(VLOOKUP(A55,'Données projet'!$A$269:$I$289,5,0)),0%,VLOOKUP(A55,'Données projet'!$A$269:$I$289,5,0)*VLOOKUP('Données projet'!$B$18,'Paramètres'!$A$1:$I$89,7,0))</f>
        <v>0</v>
      </c>
      <c r="HE55" s="135">
        <f>IF(ISNA(VLOOKUP(A55,'Données projet'!$A$269:$I$289,6,0)),0%,VLOOKUP(A55,'Données projet'!$A$269:$I$289,6,0)*VLOOKUP('Données projet'!$B$18,'Paramètres'!$A$1:$I$89,7,0))</f>
        <v>0</v>
      </c>
      <c r="HF55" s="135">
        <f>IF(ISNA(VLOOKUP(A55,'Données projet'!$A$269:$I$289,7,0)),0%,VLOOKUP(A55,'Données projet'!$A$269:$I$289,7,0))</f>
        <v>0</v>
      </c>
      <c r="HG55" s="142">
        <f>EXP(-LN(2)/35)*HG54+(1-EXP(-LN(2)/35))/(LN(2)/35)*HC55*HD55*VLOOKUP('Données projet'!$B$18,'Paramètres'!$A$1:$I$89,3,0)*0.475*44/12</f>
        <v>7.328189023</v>
      </c>
      <c r="HH55" s="142">
        <f>EXP(-LN(2)/25)*HH54+(1-EXP(-LN(2)/25))/(LN(2)/25)*Calculateur!HC55*Calculateur!HE55*VLOOKUP('Données projet'!$B$18,'Paramètres'!$A$1:$I$89,3,0)*0.475*44/12</f>
        <v>0</v>
      </c>
      <c r="HI55" s="142">
        <f>EXP(-LN(2)/2)*HI54+(1-EXP(-LN(2)/2))/(LN(2)/2)*HC55*HF55*VLOOKUP('Données projet'!$B$18,'Paramètres'!$A$1:$I$89,3,0)*0.475*44/12</f>
        <v>0</v>
      </c>
      <c r="HJ55" s="143">
        <f t="shared" si="31"/>
        <v>7.328189023</v>
      </c>
    </row>
    <row r="56" ht="15.75" customHeight="1">
      <c r="A56" s="125">
        <f t="shared" si="32"/>
        <v>53</v>
      </c>
      <c r="B56" s="126">
        <f>'Scénario référence'!$B$16*5+'Scénario référence'!$B$17*0+'Scénario référence'!$B$18*5</f>
        <v>0</v>
      </c>
      <c r="C56" s="140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28.938</v>
      </c>
      <c r="D56" s="127">
        <f t="shared" si="33"/>
        <v>9.013752776</v>
      </c>
      <c r="E5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7">
        <f>IF(OR('Scénario référence'!$F$8&gt;0,'Scénario référence'!$F$9&gt;0),('Scénario référence'!$F$8+'Scénario référence'!$F$9)*10,0)</f>
        <v>10</v>
      </c>
      <c r="G56" s="127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</v>
      </c>
      <c r="H56" s="128">
        <f t="shared" si="1"/>
        <v>359.4326361</v>
      </c>
      <c r="I56" s="12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1" t="str">
        <f>VLOOKUP(A56,'Données projet'!$A$35:$I$55,2,0)</f>
        <v>#N/A</v>
      </c>
      <c r="L56" s="131" t="str">
        <f>VLOOKUP(A56,'Données projet'!$A$35:$I$55,9,0)</f>
        <v>#N/A</v>
      </c>
      <c r="M56" s="130">
        <f t="array" ref="M56">INDEX(L:L,MIN(IF(ISNUMBER(L56:L252),ROW(L56:L252),"")))</f>
        <v>10.8</v>
      </c>
      <c r="N56" s="130">
        <f>IF('Données projet'!$A$36&gt;35,N55+M56-V55,IF(A56&lt;'Données projet'!$A$36,$K$205^A56,IF(A56='Données projet'!$A$36,'Données projet'!$B$36,N55+M56-V55)))</f>
        <v>253.4</v>
      </c>
      <c r="O56" s="130">
        <f>N56*VLOOKUP('Données projet'!$B$9,'Paramètres'!$A$1:$I$89,3,0)*VLOOKUP('Données projet'!$B$9,'Paramètres'!$A$1:$I$89,5,0)</f>
        <v>144.9448</v>
      </c>
      <c r="P56" s="130">
        <f t="shared" si="34"/>
        <v>37.42749121</v>
      </c>
      <c r="Q56" s="141">
        <f t="shared" si="2"/>
        <v>317.6317405</v>
      </c>
      <c r="R56" s="133">
        <f t="shared" si="3"/>
        <v>610.9650739</v>
      </c>
      <c r="S56" s="133">
        <f>AVERAGE(OFFSET($R$3,0,0,'Données projet'!$E$9+1,1))-AVERAGE(OFFSET($H$3,0,0,'Données projet'!$E$9+1,1))</f>
        <v>126.9946492</v>
      </c>
      <c r="T56" s="133">
        <f t="shared" si="35"/>
        <v>140.039049</v>
      </c>
      <c r="U56" s="134">
        <f>IF(ISNA(VLOOKUP(A56,'Données projet'!$A$35:$I$55,3,0)),0,VLOOKUP(A56,'Données projet'!$A$35:$I$55,3,0))</f>
        <v>0</v>
      </c>
      <c r="V56" s="134">
        <f>IF(ISNA(VLOOKUP(A56,'Données projet'!$A$35:$I$55,4,0)),0,VLOOKUP(A56,'Données projet'!$A$35:$I$55,4,0))</f>
        <v>0</v>
      </c>
      <c r="W56" s="135">
        <f>IF(ISNA(VLOOKUP(A56,'Données projet'!$A$35:$I$55,5,0)),0%,VLOOKUP(A56,'Données projet'!$A$35:$I$55,5,0)*VLOOKUP('Données projet'!$B$9,'Paramètres'!$A$1:$I$89,7,0))</f>
        <v>0</v>
      </c>
      <c r="X56" s="135">
        <f>IF(ISNA(VLOOKUP(A56,'Données projet'!$A$35:$I$55,6,0)),0%,VLOOKUP(A56,'Données projet'!$A$35:$I$55,6,0)*VLOOKUP('Données projet'!$B$9,'Paramètres'!$A$1:$I$89,7,0))</f>
        <v>0</v>
      </c>
      <c r="Y56" s="135">
        <f>IF(ISNA(VLOOKUP(A56,'Données projet'!$A$35:$I$55,7,0)),0%,VLOOKUP(A56,'Données projet'!$A$35:$I$55,7,0))</f>
        <v>0</v>
      </c>
      <c r="Z56" s="142">
        <f>EXP(-LN(2)/35)*Z55+(1-EXP(-LN(2)/35))/(LN(2)/35)*V56*W56*VLOOKUP('Données projet'!$B$9,'Paramètres'!$A$1:$I$89,3,0)*0.475*44/12</f>
        <v>18.79001937</v>
      </c>
      <c r="AA56" s="142">
        <f>EXP(-LN(2)/25)*AA55+(1-EXP(-LN(2)/25))/(LN(2)/25)*Calculateur!V56*Calculateur!X56*VLOOKUP('Données projet'!$B$9,'Paramètres'!$A$1:$I$89,3,0)*0.475*44/12</f>
        <v>12.99935822</v>
      </c>
      <c r="AB56" s="142">
        <f>EXP(-LN(2)/2)*AB55+(1-EXP(-LN(2)/2))/(LN(2)/2)*V56*Y56*VLOOKUP('Données projet'!$B$9,'Paramètres'!$A$1:$I$89,3,0)*0.475*44/12</f>
        <v>2.703845421</v>
      </c>
      <c r="AC56" s="143">
        <f t="shared" si="4"/>
        <v>34.493223</v>
      </c>
      <c r="AD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1" t="str">
        <f>VLOOKUP(A56,'Données projet'!$A$61:$I$81,2,0)</f>
        <v>#N/A</v>
      </c>
      <c r="AG56" s="131" t="str">
        <f>VLOOKUP(A56,'Données projet'!$A$61:$I$81,9,0)</f>
        <v>#N/A</v>
      </c>
      <c r="AH56" s="131">
        <f t="array" ref="AH56">INDEX(AG:AG,MIN(IF(ISNUMBER(AG56:AG252),ROW(AG56:AG252),"")))</f>
        <v>17.625</v>
      </c>
      <c r="AI56" s="130">
        <f>IF('Données projet'!$A$62&gt;35,AI55+AH56-AQ55,IF(A56&lt;'Données projet'!$A$62,$AF$205^A56,IF(A56='Données projet'!$A$62,'Données projet'!$B$62,AI55+AH56-AQ55)))</f>
        <v>351.875</v>
      </c>
      <c r="AJ56" s="130">
        <f>AI56*VLOOKUP('Données projet'!$B$10,'Paramètres'!$A$1:$I$89,3,0)*VLOOKUP('Données projet'!$B$10,'Paramètres'!$A$1:$I$89,5,0)</f>
        <v>210.42125</v>
      </c>
      <c r="AK56" s="130">
        <f t="shared" si="36"/>
        <v>52.02762868</v>
      </c>
      <c r="AL56" s="141">
        <f t="shared" si="5"/>
        <v>457.0984637</v>
      </c>
      <c r="AM56" s="133">
        <f t="shared" si="6"/>
        <v>750.431797</v>
      </c>
      <c r="AN56" s="133">
        <f>AVERAGE(OFFSET($AM$3,0,0,'Données projet'!$E$10+1,1))-AVERAGE(OFFSET($H$3,0,0,'Données projet'!$E$10+1,1))</f>
        <v>196.874484</v>
      </c>
      <c r="AO56" s="133">
        <f t="shared" si="37"/>
        <v>217.5750859</v>
      </c>
      <c r="AP56" s="134">
        <f>IF(ISNA(VLOOKUP(A56,'Données projet'!$A$61:$I$81,3,0)),0,VLOOKUP(A56,'Données projet'!$A$61:$I$81,3,0))</f>
        <v>0</v>
      </c>
      <c r="AQ56" s="134">
        <f>IF(ISNA(VLOOKUP(A56,'Données projet'!$A$61:$I$81,4,0)),0,VLOOKUP(A56,'Données projet'!$A$61:$I$81,4,0))</f>
        <v>0</v>
      </c>
      <c r="AR56" s="135">
        <f>IF(ISNA(VLOOKUP(A56,'Données projet'!$A$61:$I$81,5,0)),0%,VLOOKUP(A56,'Données projet'!$A$61:$I$81,5,0)*VLOOKUP('Données projet'!$B$10,'Paramètres'!$A$1:$I$89,7,0))</f>
        <v>0</v>
      </c>
      <c r="AS56" s="135">
        <f>IF(ISNA(VLOOKUP(A56,'Données projet'!$A$61:$I$81,6,0)),0%,VLOOKUP(A56,'Données projet'!$A$61:$I$81,6,0)*VLOOKUP('Données projet'!$B$10,'Paramètres'!$A$1:$I$89,7,0))</f>
        <v>0</v>
      </c>
      <c r="AT56" s="135">
        <f>IF(ISNA(VLOOKUP(A56,'Données projet'!$A$61:$I$81,7,0)),0%,VLOOKUP(A56,'Données projet'!$A$61:$I$81,7,0))</f>
        <v>0</v>
      </c>
      <c r="AU56" s="142">
        <f>EXP(-LN(2)/35)*AU55+(1-EXP(-LN(2)/35))/(LN(2)/35)*AQ56*AR56*VLOOKUP('Données projet'!$B$10,'Paramètres'!$A$1:$I$89,3,0)*0.475*44/12</f>
        <v>25.27057791</v>
      </c>
      <c r="AV56" s="142">
        <f>EXP(-LN(2)/25)*AV55+(1-EXP(-LN(2)/25))/(LN(2)/25)*Calculateur!AQ56*Calculateur!AS56*VLOOKUP('Données projet'!$B$10,'Paramètres'!$A$1:$I$89,3,0)*0.475*44/12</f>
        <v>22.1066243</v>
      </c>
      <c r="AW56" s="142">
        <f>EXP(-LN(2)/2)*AW55+(1-EXP(-LN(2)/2))/(LN(2)/2)*AQ56*AT56*VLOOKUP('Données projet'!$B$10,'Paramètres'!$A$1:$I$89,3,0)*0.475*44/12</f>
        <v>2.928324342</v>
      </c>
      <c r="AX56" s="142">
        <f t="shared" si="7"/>
        <v>50.30552655</v>
      </c>
      <c r="AY56" s="13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1" t="str">
        <f>VLOOKUP(A56,'Données projet'!$A$87:$I$107,2,0)</f>
        <v>#N/A</v>
      </c>
      <c r="BB56" s="131" t="str">
        <f>VLOOKUP(A56,'Données projet'!$A$87:$I$107,9,0)</f>
        <v>#N/A</v>
      </c>
      <c r="BC56" s="130">
        <f t="array" ref="BC56">INDEX(BB:BB,MIN(IF(ISNUMBER(BB56:BB252),ROW(BB56:BB252),"")))</f>
        <v>14</v>
      </c>
      <c r="BD56" s="130">
        <f>IF('Données projet'!$A$88&gt;35,BD55+BC56-BL55,IF(A56&lt;'Données projet'!$A$88,$BA$205^A56,IF(A56='Données projet'!$A$88,'Données projet'!$B$88,BD55+BC56-BL55)))</f>
        <v>292</v>
      </c>
      <c r="BE56" s="130">
        <f>BD56*VLOOKUP('Données projet'!$B$11,'Paramètres'!$A$1:$I$89,3,0)*VLOOKUP('Données projet'!$B$11,'Paramètres'!$A$1:$I$89,5,0)</f>
        <v>136.656</v>
      </c>
      <c r="BF56" s="130">
        <f t="shared" si="38"/>
        <v>35.52986752</v>
      </c>
      <c r="BG56" s="141">
        <f t="shared" si="8"/>
        <v>299.8903859</v>
      </c>
      <c r="BH56" s="133">
        <f t="shared" si="9"/>
        <v>593.2237193</v>
      </c>
      <c r="BI56" s="133">
        <f>AVERAGE(OFFSET($BH$3,0,0,'Données projet'!$E$11+1,1))-AVERAGE(OFFSET($H$3,0,0,'Données projet'!$E$11+1,1))</f>
        <v>134.0948534</v>
      </c>
      <c r="BJ56" s="133">
        <f t="shared" si="39"/>
        <v>108.4102536</v>
      </c>
      <c r="BK56" s="134">
        <f>IF(ISNA(VLOOKUP(A56,'Données projet'!$A$87:$I$107,3,0)),0,VLOOKUP(A56,'Données projet'!$A$87:$I$107,3,0))</f>
        <v>0</v>
      </c>
      <c r="BL56" s="134">
        <f>IF(ISNA(VLOOKUP(A56,'Données projet'!$A$87:$I$107,4,0)),0,VLOOKUP(A56,'Données projet'!$A$87:$I$107,4,0))</f>
        <v>0</v>
      </c>
      <c r="BM56" s="135">
        <f>IF(ISNA(VLOOKUP(A56,'Données projet'!$A$87:$I$107,5,0)),0%,VLOOKUP(A56,'Données projet'!$A$87:$I$107,5,0)*VLOOKUP('Données projet'!$B$11,'Paramètres'!$A$1:$I$89,7,0))</f>
        <v>0</v>
      </c>
      <c r="BN56" s="135">
        <f>IF(ISNA(VLOOKUP(A56,'Données projet'!$A$87:$I$107,6,0)),0%,VLOOKUP(A56,'Données projet'!$A$87:$I$107,6,0)*VLOOKUP('Données projet'!$B$11,'Paramètres'!$A$1:$I$89,7,0))</f>
        <v>0</v>
      </c>
      <c r="BO56" s="135">
        <f>IF(ISNA(VLOOKUP(A56,'Données projet'!$A$87:$I$107,7,0)),0%,VLOOKUP(A56,'Données projet'!$A$87:$I$107,7,0))</f>
        <v>0</v>
      </c>
      <c r="BP56" s="142">
        <f>EXP(-LN(2)/35)*BP55+(1-EXP(-LN(2)/35))/(LN(2)/35)*BL56*BM56*VLOOKUP('Données projet'!$B$11,'Paramètres'!$A$1:$I$89,3,0)*0.475*44/12</f>
        <v>16.66413675</v>
      </c>
      <c r="BQ56" s="142">
        <f>EXP(-LN(2)/25)*BQ55+(1-EXP(-LN(2)/25))/(LN(2)/25)*Calculateur!BL56*Calculateur!BN56*VLOOKUP('Données projet'!$B$11,'Paramètres'!$A$1:$I$89,3,0)*0.475*44/12</f>
        <v>10.71112855</v>
      </c>
      <c r="BR56" s="142">
        <f>EXP(-LN(2)/2)*BR55+(1-EXP(-LN(2)/2))/(LN(2)/2)*BL56*BO56*VLOOKUP('Données projet'!$B$11,'Paramètres'!$A$1:$I$89,3,0)*0.475*44/12</f>
        <v>1.728469088</v>
      </c>
      <c r="BS56" s="143">
        <f t="shared" si="10"/>
        <v>29.10373438</v>
      </c>
      <c r="BT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1" t="str">
        <f>VLOOKUP(A56,'Données projet'!$A$113:$I$133,2,0)</f>
        <v>#N/A</v>
      </c>
      <c r="BW56" s="131" t="str">
        <f>VLOOKUP(A56,'Données projet'!$A$113:$I$133,9,0)</f>
        <v>#N/A</v>
      </c>
      <c r="BX56" s="130">
        <f t="array" ref="BX56">INDEX(BW:BW,MIN(IF(ISNUMBER(BW56:BW252),ROW(BW56:BW252),"")))</f>
        <v>21.6</v>
      </c>
      <c r="BY56" s="130">
        <f>IF('Données projet'!$A$114&gt;35,BY55+BX56-CG55,IF(A56&lt;'Données projet'!$A$114,$BV$205^A56,IF(A56='Données projet'!$A$114,'Données projet'!$B$114,BY55+BX56-CG55)))</f>
        <v>546.8</v>
      </c>
      <c r="BZ56" s="130">
        <f>BY56*VLOOKUP('Données projet'!$B$12,'Paramètres'!$A$1:$I$89,3,0)*VLOOKUP('Données projet'!$B$12,'Paramètres'!$A$1:$I$89,5,0)</f>
        <v>270.1192</v>
      </c>
      <c r="CA56" s="130">
        <f t="shared" si="40"/>
        <v>64.87456589</v>
      </c>
      <c r="CB56" s="141">
        <f t="shared" si="11"/>
        <v>583.4474756</v>
      </c>
      <c r="CC56" s="133">
        <f t="shared" si="12"/>
        <v>876.7808089</v>
      </c>
      <c r="CD56" s="133">
        <f>AVERAGE(OFFSET($CC$3,0,0,'Données projet'!$E$12+1,1))-AVERAGE(OFFSET($H$3,0,0,'Données projet'!$E$12+1,1))</f>
        <v>258.1672054</v>
      </c>
      <c r="CE56" s="133">
        <f t="shared" si="41"/>
        <v>296.0724261</v>
      </c>
      <c r="CF56" s="134">
        <f>IF(ISNA(VLOOKUP(A56,'Données projet'!$A$113:$I$133,3,0)),0,VLOOKUP(A56,'Données projet'!$A$113:$I$133,3,0))</f>
        <v>0</v>
      </c>
      <c r="CG56" s="134">
        <f>IF(ISNA(VLOOKUP(A56,'Données projet'!$A$113:$I$133,4,0)),0,VLOOKUP(A56,'Données projet'!$A$113:$I$133,4,0))</f>
        <v>0</v>
      </c>
      <c r="CH56" s="135">
        <f>IF(ISNA(VLOOKUP(A56,'Données projet'!$A$113:$I$133,5,0)),0%,VLOOKUP(A56,'Données projet'!$A$113:$I$133,5,0)*VLOOKUP('Données projet'!$B$12,'Paramètres'!$A$1:$I$89,7,0))</f>
        <v>0</v>
      </c>
      <c r="CI56" s="135">
        <f>IF(ISNA(VLOOKUP(A56,'Données projet'!$A$113:$I$133,6,0)),0%,VLOOKUP(A56,'Données projet'!$A$113:$I$133,6,0)*VLOOKUP('Données projet'!$B$12,'Paramètres'!$A$1:$I$89,7,0))</f>
        <v>0</v>
      </c>
      <c r="CJ56" s="135">
        <f>IF(ISNA(VLOOKUP(A56,'Données projet'!$A$113:$I$133,7,0)),0%,VLOOKUP(A56,'Données projet'!$A$113:$I$133,7,0))</f>
        <v>0</v>
      </c>
      <c r="CK56" s="142">
        <f>EXP(-LN(2)/35)*CK55+(1-EXP(-LN(2)/35))/(LN(2)/35)*CG56*CH56*VLOOKUP('Données projet'!$B$12,'Paramètres'!$A$1:$I$89,3,0)*0.475*44/12</f>
        <v>43.33476589</v>
      </c>
      <c r="CL56" s="142">
        <f>EXP(-LN(2)/25)*CL55+(1-EXP(-LN(2)/25))/(LN(2)/25)*Calculateur!CG56*Calculateur!CI56*VLOOKUP('Données projet'!$B$12,'Paramètres'!$A$1:$I$89,3,0)*0.475*44/12</f>
        <v>28.87234321</v>
      </c>
      <c r="CM56" s="142">
        <f>EXP(-LN(2)/2)*CM55+(1-EXP(-LN(2)/2))/(LN(2)/2)*CG56*CJ56*VLOOKUP('Données projet'!$B$12,'Paramètres'!$A$1:$I$89,3,0)*0.475*44/12</f>
        <v>2.76304657</v>
      </c>
      <c r="CN56" s="143">
        <f t="shared" si="13"/>
        <v>74.97015567</v>
      </c>
      <c r="CO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1" t="str">
        <f>VLOOKUP(A56,'Données projet'!$A$139:$I$159,2,0)</f>
        <v>#N/A</v>
      </c>
      <c r="CR56" s="131" t="str">
        <f>VLOOKUP(A56,'Données projet'!$A$139:$I$159,9,0)</f>
        <v>#N/A</v>
      </c>
      <c r="CS56" s="130">
        <f t="array" ref="CS56">INDEX(CR:CR,MIN(IF(ISNUMBER(CR56:CR252),ROW(CR56:CR252),"")))</f>
        <v>5.6</v>
      </c>
      <c r="CT56" s="138">
        <f>IF('Données projet'!$A$140&gt;35,CT55+CS56-DB55,IF(A56&lt;'Données projet'!$A$140,$CQ$205^A56,IF(A56='Données projet'!$A$140,'Données projet'!$B$140,CT55+CS56-DB55)))</f>
        <v>123.8</v>
      </c>
      <c r="CU56" s="138">
        <f>CT56*VLOOKUP('Données projet'!$B$13,'Paramètres'!$A$1:$I$89,3,0)*VLOOKUP('Données projet'!$B$13,'Paramètres'!$A$1:$I$89,5,0)</f>
        <v>125.5332</v>
      </c>
      <c r="CV56" s="130">
        <f t="shared" si="42"/>
        <v>32.96212208</v>
      </c>
      <c r="CW56" s="141">
        <f t="shared" si="14"/>
        <v>276.0460193</v>
      </c>
      <c r="CX56" s="133">
        <f t="shared" si="15"/>
        <v>569.3793526</v>
      </c>
      <c r="CY56" s="133">
        <f>AVERAGE(OFFSET($CX$3,0,0,'Données projet'!$E$13+1,1))-AVERAGE(OFFSET($H$3,0,0,'Données projet'!$E$13+1,1))</f>
        <v>223.783507</v>
      </c>
      <c r="CZ56" s="133">
        <f t="shared" si="43"/>
        <v>84.92349117</v>
      </c>
      <c r="DA56" s="134">
        <f>IF(ISNA(VLOOKUP(A56,'Données projet'!$A$139:$I$159,3,0)),0,VLOOKUP(A56,'Données projet'!$A$139:$I$159,3,0))</f>
        <v>0</v>
      </c>
      <c r="DB56" s="134">
        <f>IF(ISNA(VLOOKUP(A56,'Données projet'!$A$139:$I$159,4,0)),0,VLOOKUP(A56,'Données projet'!$A$139:$I$159,4,0))</f>
        <v>0</v>
      </c>
      <c r="DC56" s="135">
        <f>IF(ISNA(VLOOKUP(A56,'Données projet'!$A$139:$I$159,5,0)),0%,VLOOKUP(A56,'Données projet'!$A$139:$I$159,5,0)*VLOOKUP('Données projet'!$B$13,'Paramètres'!$A$1:$I$89,7,0))</f>
        <v>0</v>
      </c>
      <c r="DD56" s="135">
        <f>IF(ISNA(VLOOKUP(A56,'Données projet'!$A$139:$I$159,6,0)),0%,VLOOKUP(A56,'Données projet'!$A$139:$I$159,6,0)*VLOOKUP('Données projet'!$B$13,'Paramètres'!$A$1:$I$89,7,0))</f>
        <v>0</v>
      </c>
      <c r="DE56" s="135">
        <f>IF(ISNA(VLOOKUP(A56,'Données projet'!$A$139:$I$159,7,0)),0%,VLOOKUP(A56,'Données projet'!$A$139:$I$159,7,0))</f>
        <v>0</v>
      </c>
      <c r="DF56" s="142">
        <f>EXP(-LN(2)/35)*DF55+(1-EXP(-LN(2)/35))/(LN(2)/35)*DB56*DC56*VLOOKUP('Données projet'!$B$13,'Paramètres'!$A$1:$I$89,3,0)*0.475*44/12</f>
        <v>2.423644445</v>
      </c>
      <c r="DG56" s="142">
        <f>EXP(-LN(2)/25)*DG55+(1-EXP(-LN(2)/25))/(LN(2)/25)*Calculateur!DB56*Calculateur!DD56*VLOOKUP('Données projet'!$B$13,'Paramètres'!$A$1:$I$89,3,0)*0.475*44/12</f>
        <v>0</v>
      </c>
      <c r="DH56" s="142">
        <f>EXP(-LN(2)/2)*DH55+(1-EXP(-LN(2)/2))/(LN(2)/2)*DB56*DE56*VLOOKUP('Données projet'!$B$13,'Paramètres'!$A$1:$I$89,3,0)*0.475*44/12</f>
        <v>0</v>
      </c>
      <c r="DI56" s="143">
        <f t="shared" si="16"/>
        <v>2.423644445</v>
      </c>
      <c r="DJ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1" t="str">
        <f>VLOOKUP(A56,'Données projet'!$A$165:$I$185,2,0)</f>
        <v>#N/A</v>
      </c>
      <c r="DM56" s="131" t="str">
        <f>VLOOKUP(A56,'Données projet'!$A$165:$I$185,9,0)</f>
        <v>#N/A</v>
      </c>
      <c r="DN56" s="131">
        <f t="array" ref="DN56">INDEX(DM:DM,MIN(IF(ISNUMBER(DM56:DM252),ROW(DM56:DM252),"")))</f>
        <v>8</v>
      </c>
      <c r="DO56" s="138">
        <f>IF('Données projet'!$A$166&gt;35,DO55+DN56-DW55,IF(A56&lt;'Données projet'!$A$166,$DL$205^A56,IF(A56='Données projet'!$A$166,'Données projet'!$B$166,DO55+DN56-DW55)))</f>
        <v>181</v>
      </c>
      <c r="DP56" s="138">
        <f>DO56*VLOOKUP('Données projet'!$B$14,'Paramètres'!$A$1:$I$89,3,0)*VLOOKUP('Données projet'!$B$14,'Paramètres'!$A$1:$I$89,5,0)</f>
        <v>163.7688</v>
      </c>
      <c r="DQ56" s="130">
        <f t="shared" si="44"/>
        <v>41.6914235</v>
      </c>
      <c r="DR56" s="141">
        <f t="shared" si="17"/>
        <v>357.8432226</v>
      </c>
      <c r="DS56" s="133">
        <f t="shared" si="18"/>
        <v>651.1765559</v>
      </c>
      <c r="DT56" s="133">
        <f>AVERAGE(OFFSET($DS$3,0,0,'Données projet'!$E$14+1,1))-AVERAGE(OFFSET($H$3,0,0,'Données projet'!$E$14+1,1))</f>
        <v>287.9334714</v>
      </c>
      <c r="DU56" s="133">
        <f t="shared" si="45"/>
        <v>156.6796502</v>
      </c>
      <c r="DV56" s="134">
        <f>IF(ISNA(VLOOKUP(A56,'Données projet'!$A$165:$I$185,3,0)),0,VLOOKUP(A56,'Données projet'!$A$165:$I$185,3,0))</f>
        <v>0</v>
      </c>
      <c r="DW56" s="134">
        <f>IF(ISNA(VLOOKUP(A56,'Données projet'!$A$165:$I$185,4,0)),0,VLOOKUP(A56,'Données projet'!$A$165:$I$185,4,0))</f>
        <v>0</v>
      </c>
      <c r="DX56" s="135">
        <f>IF(ISNA(VLOOKUP(A56,'Données projet'!$A$165:$I$185,5,0)),0%,VLOOKUP(A56,'Données projet'!$A$165:$I$185,5,0)*VLOOKUP('Données projet'!$B$14,'Paramètres'!$A$1:$I$89,7,0))</f>
        <v>0</v>
      </c>
      <c r="DY56" s="135">
        <f>IF(ISNA(VLOOKUP(A56,'Données projet'!$A$165:$I$185,6,0)),0%,VLOOKUP(A56,'Données projet'!$A$165:$I$185,6,0)*VLOOKUP('Données projet'!$B$14,'Paramètres'!$A$1:$I$89,7,0))</f>
        <v>0</v>
      </c>
      <c r="DZ56" s="135">
        <f>IF(ISNA(VLOOKUP(A56,'Données projet'!$A$165:$I$185,7,0)),0%,VLOOKUP(A56,'Données projet'!$A$165:$I$185,7,0))</f>
        <v>0</v>
      </c>
      <c r="EA56" s="142">
        <f>EXP(-LN(2)/35)*EA55+(1-EXP(-LN(2)/35))/(LN(2)/35)*DW56*DX56*VLOOKUP('Données projet'!$B$14,'Paramètres'!$A$1:$I$89,3,0)*0.475*44/12</f>
        <v>5.491451922</v>
      </c>
      <c r="EB56" s="142">
        <f>EXP(-LN(2)/25)*EB55+(1-EXP(-LN(2)/25))/(LN(2)/25)*Calculateur!DW56*Calculateur!DY56*VLOOKUP('Données projet'!$B$14,'Paramètres'!$A$1:$I$89,3,0)*0.475*44/12</f>
        <v>0</v>
      </c>
      <c r="EC56" s="142">
        <f>EXP(-LN(2)/2)*EC55+(1-EXP(-LN(2)/2))/(LN(2)/2)*DW56*DZ56*VLOOKUP('Données projet'!$B$14,'Paramètres'!$A$1:$I$89,3,0)*0.475*44/12</f>
        <v>0</v>
      </c>
      <c r="ED56" s="143">
        <f t="shared" si="19"/>
        <v>5.491451922</v>
      </c>
      <c r="EE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1" t="str">
        <f>VLOOKUP(A56,'Données projet'!$A$191:$I$211,2,0)</f>
        <v>#N/A</v>
      </c>
      <c r="EH56" s="131" t="str">
        <f>VLOOKUP(A56,'Données projet'!$A$191:$I$211,9,0)</f>
        <v>#N/A</v>
      </c>
      <c r="EI56" s="131">
        <f t="array" ref="EI56">INDEX(EH:EH,MIN(IF(ISNUMBER(EH56:EH252),ROW(EH56:EH252),"")))</f>
        <v>8.6</v>
      </c>
      <c r="EJ56" s="138">
        <f>IF('Données projet'!$A$192&gt;35,EJ55+EI56-ER55,IF(A56&lt;'Données projet'!$A$192,$EG$205^A56,IF(A56='Données projet'!$A$192,'Données projet'!$B$192,EJ55+EI56-ER55)))</f>
        <v>158.8</v>
      </c>
      <c r="EK56" s="138">
        <f>EJ56*VLOOKUP('Données projet'!$B$15,'Paramètres'!$A$1:$I$89,3,0)*VLOOKUP('Données projet'!$B$15,'Paramètres'!$A$1:$I$89,5,0)</f>
        <v>116.43216</v>
      </c>
      <c r="EL56" s="130">
        <f t="shared" si="46"/>
        <v>30.84140308</v>
      </c>
      <c r="EM56" s="141">
        <f t="shared" si="20"/>
        <v>256.5014557</v>
      </c>
      <c r="EN56" s="133">
        <f t="shared" si="21"/>
        <v>549.834789</v>
      </c>
      <c r="EO56" s="133">
        <f>AVERAGE(OFFSET($EN$3,0,0,'Données projet'!$E$15+1,1))-AVERAGE(OFFSET($H$3,0,0,'Données projet'!$E$15+1,1))</f>
        <v>130.3193339</v>
      </c>
      <c r="EP56" s="133">
        <f t="shared" si="47"/>
        <v>82.22784365</v>
      </c>
      <c r="EQ56" s="134">
        <f>IF(ISNA(VLOOKUP(A56,'Données projet'!$A$191:$I$211,3,0)),0,VLOOKUP(A56,'Données projet'!$A$191:$I$211,3,0))</f>
        <v>0</v>
      </c>
      <c r="ER56" s="134">
        <f>IF(ISNA(VLOOKUP(A56,'Données projet'!$A$191:$I$211,4,0)),0,VLOOKUP(A56,'Données projet'!$A$191:$I$211,4,0))</f>
        <v>0</v>
      </c>
      <c r="ES56" s="135">
        <f>IF(ISNA(VLOOKUP(A56,'Données projet'!$A$191:$I$211,5,0)),0%,VLOOKUP(A56,'Données projet'!$A$191:$I$211,5,0)*VLOOKUP('Données projet'!$B$15,'Paramètres'!$A$1:$I$89,7,0))</f>
        <v>0</v>
      </c>
      <c r="ET56" s="135">
        <f>IF(ISNA(VLOOKUP(A56,'Données projet'!$A$191:$I$211,6,0)),0%,VLOOKUP(A56,'Données projet'!$A$191:$I$211,6,0)*VLOOKUP('Données projet'!$B$15,'Paramètres'!$A$1:$I$89,7,0))</f>
        <v>0</v>
      </c>
      <c r="EU56" s="135">
        <f>IF(ISNA(VLOOKUP(A56,'Données projet'!$A$191:$I$211,7,0)),0%,VLOOKUP(A56,'Données projet'!$A$191:$I$211,7,0))</f>
        <v>0</v>
      </c>
      <c r="EV56" s="142">
        <f>EXP(-LN(2)/35)*EV55+(1-EXP(-LN(2)/35))/(LN(2)/35)*ER56*ES56*VLOOKUP('Données projet'!$B$15,'Paramètres'!$A$1:$I$89,3,0)*0.475*44/12</f>
        <v>7.944309545</v>
      </c>
      <c r="EW56" s="142">
        <f>EXP(-LN(2)/25)*EW55+(1-EXP(-LN(2)/25))/(LN(2)/25)*Calculateur!ER56*Calculateur!ET56*VLOOKUP('Données projet'!$B$15,'Paramètres'!$A$1:$I$89,3,0)*0.475*44/12</f>
        <v>0</v>
      </c>
      <c r="EX56" s="142">
        <f>EXP(-LN(2)/2)*EX55+(1-EXP(-LN(2)/2))/(LN(2)/2)*ER56*EU56*VLOOKUP('Données projet'!$B$15,'Paramètres'!$A$1:$I$89,3,0)*0.475*44/12</f>
        <v>0</v>
      </c>
      <c r="EY56" s="143">
        <f t="shared" si="22"/>
        <v>7.944309545</v>
      </c>
      <c r="EZ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1" t="str">
        <f>VLOOKUP(A56,'Données projet'!$A$217:$I$237,2,0)</f>
        <v>#N/A</v>
      </c>
      <c r="FC56" s="131" t="str">
        <f>VLOOKUP(A56,'Données projet'!$A$217:$I$237,9,0)</f>
        <v>#N/A</v>
      </c>
      <c r="FD56" s="130">
        <f t="array" ref="FD56">INDEX(FC:FC,MIN(IF(ISNUMBER(FC56:FC252),ROW(FC56:FC252),"")))</f>
        <v>4.8</v>
      </c>
      <c r="FE56" s="130">
        <f>IF('Données projet'!$A$218&gt;35,FE55+FD56-FM55,IF(A56&lt;'Données projet'!$A$218,$FB$205^A56,IF(A56='Données projet'!$A$218,'Données projet'!$B$218,FE55+FD56-FM55)))</f>
        <v>262.4</v>
      </c>
      <c r="FF56" s="138">
        <f>FE56*VLOOKUP('Données projet'!$B$16,'Paramètres'!$A$1:$I$89,3,0)*VLOOKUP('Données projet'!$B$16,'Paramètres'!$A$1:$I$89,5,0)</f>
        <v>237.41952</v>
      </c>
      <c r="FG56" s="130">
        <f t="shared" si="48"/>
        <v>57.88397881</v>
      </c>
      <c r="FH56" s="141">
        <f t="shared" si="23"/>
        <v>514.3202604</v>
      </c>
      <c r="FI56" s="133">
        <f t="shared" si="24"/>
        <v>807.6535938</v>
      </c>
      <c r="FJ56" s="133">
        <f>AVERAGE(OFFSET($FI$3,0,0,'Données projet'!$E$16+1,1))-AVERAGE(OFFSET($H$3,0,0,'Données projet'!$E$16+1,1))</f>
        <v>305.6252353</v>
      </c>
      <c r="FK56" s="133">
        <f t="shared" si="49"/>
        <v>331.397916</v>
      </c>
      <c r="FL56" s="134">
        <f>IF(ISNA(VLOOKUP(A56,'Données projet'!$A$217:$I$237,3,0)),0,VLOOKUP(A56,'Données projet'!$A$217:$I$237,3,0))</f>
        <v>0</v>
      </c>
      <c r="FM56" s="134">
        <f>IF(ISNA(VLOOKUP(A56,'Données projet'!$A$217:$I$237,4,0)),0,VLOOKUP(A56,'Données projet'!$A$217:$I$237,4,0))</f>
        <v>0</v>
      </c>
      <c r="FN56" s="135">
        <f>IF(ISNA(VLOOKUP(A56,'Données projet'!$A$217:$I$237,5,0)),0%,VLOOKUP(A56,'Données projet'!$A$217:$I$237,5,0)*VLOOKUP('Données projet'!$B$16,'Paramètres'!$A$1:$I$89,7,0))</f>
        <v>0</v>
      </c>
      <c r="FO56" s="135">
        <f>IF(ISNA(VLOOKUP(A56,'Données projet'!$A$217:$I$237,6,0)),0%,VLOOKUP(A56,'Données projet'!$A$217:$I$237,6,0)*VLOOKUP('Données projet'!$B$16,'Paramètres'!$A$1:$I$89,7,0))</f>
        <v>0</v>
      </c>
      <c r="FP56" s="135">
        <f>IF(ISNA(VLOOKUP(A56,'Données projet'!$A$217:$I$237,7,0)),0%,VLOOKUP(A56,'Données projet'!$A$217:$I$237,7,0))</f>
        <v>0</v>
      </c>
      <c r="FQ56" s="142">
        <f>EXP(-LN(2)/35)*FQ55+(1-EXP(-LN(2)/35))/(LN(2)/35)*FM56*FN56*VLOOKUP('Données projet'!$B$16,'Paramètres'!$A$1:$I$89,3,0)*0.475*44/12</f>
        <v>3.897650371</v>
      </c>
      <c r="FR56" s="142">
        <f>EXP(-LN(2)/25)*FR55+(1-EXP(-LN(2)/25))/(LN(2)/25)*Calculateur!FM56*Calculateur!FO56*VLOOKUP('Données projet'!$B$16,'Paramètres'!$A$1:$I$89,3,0)*0.475*44/12</f>
        <v>0</v>
      </c>
      <c r="FS56" s="142">
        <f>EXP(-LN(2)/2)*FS55+(1-EXP(-LN(2)/2))/(LN(2)/2)*FM56*FP56*VLOOKUP('Données projet'!$B$16,'Paramètres'!$A$1:$I$89,3,0)*0.475*44/12</f>
        <v>0</v>
      </c>
      <c r="FT56" s="143">
        <f t="shared" si="25"/>
        <v>3.897650371</v>
      </c>
      <c r="FU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1" t="str">
        <f>VLOOKUP(A56,'Données projet'!$A$243:$I$263,2,0)</f>
        <v>#N/A</v>
      </c>
      <c r="FX56" s="131" t="str">
        <f>VLOOKUP(A56,'Données projet'!$A$243:$I$263,9,0)</f>
        <v>#N/A</v>
      </c>
      <c r="FY56" s="130">
        <f t="array" ref="FY56">INDEX(FX:FX,MIN(IF(ISNUMBER(FX56:FX252),ROW(FX56:FX252),"")))</f>
        <v>11</v>
      </c>
      <c r="FZ56" s="138">
        <f>IF('Données projet'!$A$244&gt;35,FZ55+FY56-GH55,IF(A56&lt;'Données projet'!$A$244,$FW$205^A56,IF(A56='Données projet'!$A$244,'Données projet'!$B$244,FZ55+FY56-GH55)))</f>
        <v>222</v>
      </c>
      <c r="GA56" s="138">
        <f>FZ56*VLOOKUP('Données projet'!$B$17,'Paramètres'!$A$1:$I$89,3,0)*VLOOKUP('Données projet'!$B$17,'Paramètres'!$A$1:$I$89,5,0)</f>
        <v>148.9176</v>
      </c>
      <c r="GB56" s="130">
        <f t="shared" si="50"/>
        <v>38.33250275</v>
      </c>
      <c r="GC56" s="141">
        <f t="shared" si="26"/>
        <v>326.1272623</v>
      </c>
      <c r="GD56" s="133">
        <f t="shared" si="27"/>
        <v>619.4605956</v>
      </c>
      <c r="GE56" s="133">
        <f>AVERAGE(OFFSET($GD$3,0,0,'Données projet'!$E$17+1,1))-AVERAGE(OFFSET($H$3,0,0,'Données projet'!$E$17+1,1))</f>
        <v>118.7368745</v>
      </c>
      <c r="GF56" s="133">
        <f t="shared" si="51"/>
        <v>135.1233677</v>
      </c>
      <c r="GG56" s="134">
        <f>IF(ISNA(VLOOKUP(A56,'Données projet'!$A$243:$I$263,3,0)),0,VLOOKUP(A56,'Données projet'!$A$243:$I$263,3,0))</f>
        <v>0</v>
      </c>
      <c r="GH56" s="134">
        <f>IF(ISNA(VLOOKUP(A56,'Données projet'!$A$243:$I$263,4,0)),0,VLOOKUP(A56,'Données projet'!$A$243:$I$263,4,0))</f>
        <v>0</v>
      </c>
      <c r="GI56" s="135">
        <f>IF(ISNA(VLOOKUP(A56,'Données projet'!$A$243:$I$263,5,0)),0%,VLOOKUP(A56,'Données projet'!$A$243:$I$263,5,0)*VLOOKUP('Données projet'!$B$17,'Paramètres'!$A$1:$I$89,7,0))</f>
        <v>0</v>
      </c>
      <c r="GJ56" s="135">
        <f>IF(ISNA(VLOOKUP(A56,'Données projet'!$A$243:$I$263,6,0)),0%,VLOOKUP(A56,'Données projet'!$A$243:$I$263,6,0)*VLOOKUP('Données projet'!$B$17,'Paramètres'!$A$1:$I$89,7,0))</f>
        <v>0</v>
      </c>
      <c r="GK56" s="135">
        <f>IF(ISNA(VLOOKUP(A56,'Données projet'!$A$243:$I$263,7,0)),0%,VLOOKUP(A56,'Données projet'!$A$243:$I$263,7,0))</f>
        <v>0</v>
      </c>
      <c r="GL56" s="142">
        <f>EXP(-LN(2)/35)*GL55+(1-EXP(-LN(2)/35))/(LN(2)/35)*GH56*GI56*VLOOKUP('Données projet'!$B$17,'Paramètres'!$A$1:$I$89,3,0)*0.475*44/12</f>
        <v>14.92241936</v>
      </c>
      <c r="GM56" s="142">
        <f>EXP(-LN(2)/25)*GM55+(1-EXP(-LN(2)/25))/(LN(2)/25)*Calculateur!GH56*Calculateur!GJ56*VLOOKUP('Données projet'!$B$17,'Paramètres'!$A$1:$I$89,3,0)*0.475*44/12</f>
        <v>0</v>
      </c>
      <c r="GN56" s="142">
        <f>EXP(-LN(2)/2)*GN55+(1-EXP(-LN(2)/2))/(LN(2)/2)*GH56*GK56*VLOOKUP('Données projet'!$B$17,'Paramètres'!$A$1:$I$89,3,0)*0.475*44/12</f>
        <v>0</v>
      </c>
      <c r="GO56" s="142">
        <f t="shared" si="28"/>
        <v>14.92241936</v>
      </c>
      <c r="GP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1" t="str">
        <f>VLOOKUP(A56,'Données projet'!$A$269:$I$289,2,0)</f>
        <v>#N/A</v>
      </c>
      <c r="GS56" s="131" t="str">
        <f>VLOOKUP(A56,'Données projet'!$A$269:$I$289,9,0)</f>
        <v>#N/A</v>
      </c>
      <c r="GT56" s="130">
        <f t="array" ref="GT56">INDEX(GS:GS,MIN(IF(ISNUMBER(GS56:GS252),ROW(GS56:GS252),"")))</f>
        <v>5.6</v>
      </c>
      <c r="GU56" s="138">
        <f>IF('Données projet'!$A$270&gt;35,GU55+GT56-HC55,IF(A56&lt;'Données projet'!$A$270,$GR$205^A56,IF(A56='Données projet'!$A$270,'Données projet'!$B$270,GU55+GT56-HC55)))</f>
        <v>123.8</v>
      </c>
      <c r="GV56" s="138">
        <f>GU56*VLOOKUP('Données projet'!$B$18,'Paramètres'!$A$1:$I$89,3,0)*VLOOKUP('Données projet'!$B$18,'Paramètres'!$A$1:$I$89,5,0)</f>
        <v>133.25832</v>
      </c>
      <c r="GW56" s="130">
        <f t="shared" si="52"/>
        <v>34.74817325</v>
      </c>
      <c r="GX56" s="141">
        <f t="shared" si="29"/>
        <v>292.6113091</v>
      </c>
      <c r="GY56" s="133">
        <f t="shared" si="30"/>
        <v>585.9446424</v>
      </c>
      <c r="GZ56" s="133">
        <f>AVERAGE(OFFSET($GY$3,0,0,'Données projet'!$E$18+1,1))-AVERAGE(OFFSET($H$3,0,0,'Données projet'!$E$18+1,1))</f>
        <v>100.5427875</v>
      </c>
      <c r="HA56" s="133">
        <f t="shared" si="53"/>
        <v>92.28663609</v>
      </c>
      <c r="HB56" s="134">
        <f>IF(ISNA(VLOOKUP(A56,'Données projet'!$A$269:$I$289,3,0)),0,VLOOKUP(A56,'Données projet'!$A$269:$I$289,3,0))</f>
        <v>0</v>
      </c>
      <c r="HC56" s="134">
        <f>IF(ISNA(VLOOKUP(A56,'Données projet'!$A$269:$I$289,4,0)),0,VLOOKUP(A56,'Données projet'!$A$269:$I$289,4,0))</f>
        <v>0</v>
      </c>
      <c r="HD56" s="135">
        <f>IF(ISNA(VLOOKUP(A56,'Données projet'!$A$269:$I$289,5,0)),0%,VLOOKUP(A56,'Données projet'!$A$269:$I$289,5,0)*VLOOKUP('Données projet'!$B$18,'Paramètres'!$A$1:$I$89,7,0))</f>
        <v>0</v>
      </c>
      <c r="HE56" s="135">
        <f>IF(ISNA(VLOOKUP(A56,'Données projet'!$A$269:$I$289,6,0)),0%,VLOOKUP(A56,'Données projet'!$A$269:$I$289,6,0)*VLOOKUP('Données projet'!$B$18,'Paramètres'!$A$1:$I$89,7,0))</f>
        <v>0</v>
      </c>
      <c r="HF56" s="135">
        <f>IF(ISNA(VLOOKUP(A56,'Données projet'!$A$269:$I$289,7,0)),0%,VLOOKUP(A56,'Données projet'!$A$269:$I$289,7,0))</f>
        <v>0</v>
      </c>
      <c r="HG56" s="142">
        <f>EXP(-LN(2)/35)*HG55+(1-EXP(-LN(2)/35))/(LN(2)/35)*HC56*HD56*VLOOKUP('Données projet'!$B$18,'Paramètres'!$A$1:$I$89,3,0)*0.475*44/12</f>
        <v>7.184487706</v>
      </c>
      <c r="HH56" s="142">
        <f>EXP(-LN(2)/25)*HH55+(1-EXP(-LN(2)/25))/(LN(2)/25)*Calculateur!HC56*Calculateur!HE56*VLOOKUP('Données projet'!$B$18,'Paramètres'!$A$1:$I$89,3,0)*0.475*44/12</f>
        <v>0</v>
      </c>
      <c r="HI56" s="142">
        <f>EXP(-LN(2)/2)*HI55+(1-EXP(-LN(2)/2))/(LN(2)/2)*HC56*HF56*VLOOKUP('Données projet'!$B$18,'Paramètres'!$A$1:$I$89,3,0)*0.475*44/12</f>
        <v>0</v>
      </c>
      <c r="HJ56" s="143">
        <f t="shared" si="31"/>
        <v>7.184487706</v>
      </c>
    </row>
    <row r="57" ht="15.75" customHeight="1">
      <c r="A57" s="125">
        <f t="shared" si="32"/>
        <v>54</v>
      </c>
      <c r="B57" s="126">
        <f>'Scénario référence'!$B$16*5+'Scénario référence'!$B$17*0+'Scénario référence'!$B$18*5</f>
        <v>0</v>
      </c>
      <c r="C57" s="140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57" s="127">
        <f t="shared" si="33"/>
        <v>9.16386347</v>
      </c>
      <c r="E5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7">
        <f>IF(OR('Scénario référence'!$F$8&gt;0,'Scénario référence'!$F$9&gt;0),('Scénario référence'!$F$8+'Scénario référence'!$F$9)*10,0)</f>
        <v>10</v>
      </c>
      <c r="G57" s="127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298.3343847</v>
      </c>
      <c r="H57" s="128">
        <f t="shared" si="1"/>
        <v>360.6450289</v>
      </c>
      <c r="I57" s="12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1" t="str">
        <f>VLOOKUP(A57,'Données projet'!$A$35:$I$55,2,0)</f>
        <v>#N/A</v>
      </c>
      <c r="L57" s="131" t="str">
        <f>VLOOKUP(A57,'Données projet'!$A$35:$I$55,9,0)</f>
        <v>#N/A</v>
      </c>
      <c r="M57" s="130">
        <f t="array" ref="M57">INDEX(L:L,MIN(IF(ISNUMBER(L57:L253),ROW(L57:L253),"")))</f>
        <v>10.8</v>
      </c>
      <c r="N57" s="130">
        <f>IF('Données projet'!$A$36&gt;35,N56+M57-V56,IF(A57&lt;'Données projet'!$A$36,$K$205^A57,IF(A57='Données projet'!$A$36,'Données projet'!$B$36,N56+M57-V56)))</f>
        <v>264.2</v>
      </c>
      <c r="O57" s="130">
        <f>N57*VLOOKUP('Données projet'!$B$9,'Paramètres'!$A$1:$I$89,3,0)*VLOOKUP('Données projet'!$B$9,'Paramètres'!$A$1:$I$89,5,0)</f>
        <v>151.1224</v>
      </c>
      <c r="P57" s="130">
        <f t="shared" si="34"/>
        <v>38.83354428</v>
      </c>
      <c r="Q57" s="141">
        <f t="shared" si="2"/>
        <v>330.8399363</v>
      </c>
      <c r="R57" s="133">
        <f t="shared" si="3"/>
        <v>624.1732696</v>
      </c>
      <c r="S57" s="133">
        <f>AVERAGE(OFFSET($R$3,0,0,'Données projet'!$E$9+1,1))-AVERAGE(OFFSET($H$3,0,0,'Données projet'!$E$9+1,1))</f>
        <v>126.9946492</v>
      </c>
      <c r="T57" s="133">
        <f t="shared" si="35"/>
        <v>140.039049</v>
      </c>
      <c r="U57" s="134">
        <f>IF(ISNA(VLOOKUP(A57,'Données projet'!$A$35:$I$55,3,0)),0,VLOOKUP(A57,'Données projet'!$A$35:$I$55,3,0))</f>
        <v>0</v>
      </c>
      <c r="V57" s="134">
        <f>IF(ISNA(VLOOKUP(A57,'Données projet'!$A$35:$I$55,4,0)),0,VLOOKUP(A57,'Données projet'!$A$35:$I$55,4,0))</f>
        <v>0</v>
      </c>
      <c r="W57" s="135">
        <f>IF(ISNA(VLOOKUP(A57,'Données projet'!$A$35:$I$55,5,0)),0%,VLOOKUP(A57,'Données projet'!$A$35:$I$55,5,0)*VLOOKUP('Données projet'!$B$9,'Paramètres'!$A$1:$I$89,7,0))</f>
        <v>0</v>
      </c>
      <c r="X57" s="135">
        <f>IF(ISNA(VLOOKUP(A57,'Données projet'!$A$35:$I$55,6,0)),0%,VLOOKUP(A57,'Données projet'!$A$35:$I$55,6,0)*VLOOKUP('Données projet'!$B$9,'Paramètres'!$A$1:$I$89,7,0))</f>
        <v>0</v>
      </c>
      <c r="Y57" s="135">
        <f>IF(ISNA(VLOOKUP(A57,'Données projet'!$A$35:$I$55,7,0)),0%,VLOOKUP(A57,'Données projet'!$A$35:$I$55,7,0))</f>
        <v>0</v>
      </c>
      <c r="Z57" s="142">
        <f>EXP(-LN(2)/35)*Z56+(1-EXP(-LN(2)/35))/(LN(2)/35)*V57*W57*VLOOKUP('Données projet'!$B$9,'Paramètres'!$A$1:$I$89,3,0)*0.475*44/12</f>
        <v>18.42155855</v>
      </c>
      <c r="AA57" s="142">
        <f>EXP(-LN(2)/25)*AA56+(1-EXP(-LN(2)/25))/(LN(2)/25)*Calculateur!V57*Calculateur!X57*VLOOKUP('Données projet'!$B$9,'Paramètres'!$A$1:$I$89,3,0)*0.475*44/12</f>
        <v>12.64389008</v>
      </c>
      <c r="AB57" s="142">
        <f>EXP(-LN(2)/2)*AB56+(1-EXP(-LN(2)/2))/(LN(2)/2)*V57*Y57*VLOOKUP('Données projet'!$B$9,'Paramètres'!$A$1:$I$89,3,0)*0.475*44/12</f>
        <v>1.911907432</v>
      </c>
      <c r="AC57" s="143">
        <f t="shared" si="4"/>
        <v>32.97735606</v>
      </c>
      <c r="AD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1" t="str">
        <f>VLOOKUP(A57,'Données projet'!$A$61:$I$81,2,0)</f>
        <v>#N/A</v>
      </c>
      <c r="AG57" s="131" t="str">
        <f>VLOOKUP(A57,'Données projet'!$A$61:$I$81,9,0)</f>
        <v>#N/A</v>
      </c>
      <c r="AH57" s="131">
        <f t="array" ref="AH57">INDEX(AG:AG,MIN(IF(ISNUMBER(AG57:AG253),ROW(AG57:AG253),"")))</f>
        <v>17.625</v>
      </c>
      <c r="AI57" s="130">
        <f>IF('Données projet'!$A$62&gt;35,AI56+AH57-AQ56,IF(A57&lt;'Données projet'!$A$62,$AF$205^A57,IF(A57='Données projet'!$A$62,'Données projet'!$B$62,AI56+AH57-AQ56)))</f>
        <v>369.5</v>
      </c>
      <c r="AJ57" s="130">
        <f>AI57*VLOOKUP('Données projet'!$B$10,'Paramètres'!$A$1:$I$89,3,0)*VLOOKUP('Données projet'!$B$10,'Paramètres'!$A$1:$I$89,5,0)</f>
        <v>220.961</v>
      </c>
      <c r="AK57" s="130">
        <f t="shared" si="36"/>
        <v>54.32370131</v>
      </c>
      <c r="AL57" s="141">
        <f t="shared" si="5"/>
        <v>479.4541881</v>
      </c>
      <c r="AM57" s="133">
        <f t="shared" si="6"/>
        <v>772.7875214</v>
      </c>
      <c r="AN57" s="133">
        <f>AVERAGE(OFFSET($AM$3,0,0,'Données projet'!$E$10+1,1))-AVERAGE(OFFSET($H$3,0,0,'Données projet'!$E$10+1,1))</f>
        <v>196.874484</v>
      </c>
      <c r="AO57" s="133">
        <f t="shared" si="37"/>
        <v>217.5750859</v>
      </c>
      <c r="AP57" s="134">
        <f>IF(ISNA(VLOOKUP(A57,'Données projet'!$A$61:$I$81,3,0)),0,VLOOKUP(A57,'Données projet'!$A$61:$I$81,3,0))</f>
        <v>0</v>
      </c>
      <c r="AQ57" s="134">
        <f>IF(ISNA(VLOOKUP(A57,'Données projet'!$A$61:$I$81,4,0)),0,VLOOKUP(A57,'Données projet'!$A$61:$I$81,4,0))</f>
        <v>0</v>
      </c>
      <c r="AR57" s="135">
        <f>IF(ISNA(VLOOKUP(A57,'Données projet'!$A$61:$I$81,5,0)),0%,VLOOKUP(A57,'Données projet'!$A$61:$I$81,5,0)*VLOOKUP('Données projet'!$B$10,'Paramètres'!$A$1:$I$89,7,0))</f>
        <v>0</v>
      </c>
      <c r="AS57" s="135">
        <f>IF(ISNA(VLOOKUP(A57,'Données projet'!$A$61:$I$81,6,0)),0%,VLOOKUP(A57,'Données projet'!$A$61:$I$81,6,0)*VLOOKUP('Données projet'!$B$10,'Paramètres'!$A$1:$I$89,7,0))</f>
        <v>0</v>
      </c>
      <c r="AT57" s="135">
        <f>IF(ISNA(VLOOKUP(A57,'Données projet'!$A$61:$I$81,7,0)),0%,VLOOKUP(A57,'Données projet'!$A$61:$I$81,7,0))</f>
        <v>0</v>
      </c>
      <c r="AU57" s="142">
        <f>EXP(-LN(2)/35)*AU56+(1-EXP(-LN(2)/35))/(LN(2)/35)*AQ57*AR57*VLOOKUP('Données projet'!$B$10,'Paramètres'!$A$1:$I$89,3,0)*0.475*44/12</f>
        <v>24.77503729</v>
      </c>
      <c r="AV57" s="142">
        <f>EXP(-LN(2)/25)*AV56+(1-EXP(-LN(2)/25))/(LN(2)/25)*Calculateur!AQ57*Calculateur!AS57*VLOOKUP('Données projet'!$B$10,'Paramètres'!$A$1:$I$89,3,0)*0.475*44/12</f>
        <v>21.5021175</v>
      </c>
      <c r="AW57" s="142">
        <f>EXP(-LN(2)/2)*AW56+(1-EXP(-LN(2)/2))/(LN(2)/2)*AQ57*AT57*VLOOKUP('Données projet'!$B$10,'Paramètres'!$A$1:$I$89,3,0)*0.475*44/12</f>
        <v>2.070638</v>
      </c>
      <c r="AX57" s="142">
        <f t="shared" si="7"/>
        <v>48.34779279</v>
      </c>
      <c r="AY57" s="13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1" t="str">
        <f>VLOOKUP(A57,'Données projet'!$A$87:$I$107,2,0)</f>
        <v>#N/A</v>
      </c>
      <c r="BB57" s="131" t="str">
        <f>VLOOKUP(A57,'Données projet'!$A$87:$I$107,9,0)</f>
        <v>#N/A</v>
      </c>
      <c r="BC57" s="130">
        <f t="array" ref="BC57">INDEX(BB:BB,MIN(IF(ISNUMBER(BB57:BB253),ROW(BB57:BB253),"")))</f>
        <v>14</v>
      </c>
      <c r="BD57" s="130">
        <f>IF('Données projet'!$A$88&gt;35,BD56+BC57-BL56,IF(A57&lt;'Données projet'!$A$88,$BA$205^A57,IF(A57='Données projet'!$A$88,'Données projet'!$B$88,BD56+BC57-BL56)))</f>
        <v>306</v>
      </c>
      <c r="BE57" s="130">
        <f>BD57*VLOOKUP('Données projet'!$B$11,'Paramètres'!$A$1:$I$89,3,0)*VLOOKUP('Données projet'!$B$11,'Paramètres'!$A$1:$I$89,5,0)</f>
        <v>143.208</v>
      </c>
      <c r="BF57" s="130">
        <f t="shared" si="38"/>
        <v>37.03094142</v>
      </c>
      <c r="BG57" s="141">
        <f t="shared" si="8"/>
        <v>313.9161563</v>
      </c>
      <c r="BH57" s="133">
        <f t="shared" si="9"/>
        <v>607.2494896</v>
      </c>
      <c r="BI57" s="133">
        <f>AVERAGE(OFFSET($BH$3,0,0,'Données projet'!$E$11+1,1))-AVERAGE(OFFSET($H$3,0,0,'Données projet'!$E$11+1,1))</f>
        <v>134.0948534</v>
      </c>
      <c r="BJ57" s="133">
        <f t="shared" si="39"/>
        <v>108.4102536</v>
      </c>
      <c r="BK57" s="134">
        <f>IF(ISNA(VLOOKUP(A57,'Données projet'!$A$87:$I$107,3,0)),0,VLOOKUP(A57,'Données projet'!$A$87:$I$107,3,0))</f>
        <v>0</v>
      </c>
      <c r="BL57" s="134">
        <f>IF(ISNA(VLOOKUP(A57,'Données projet'!$A$87:$I$107,4,0)),0,VLOOKUP(A57,'Données projet'!$A$87:$I$107,4,0))</f>
        <v>0</v>
      </c>
      <c r="BM57" s="135">
        <f>IF(ISNA(VLOOKUP(A57,'Données projet'!$A$87:$I$107,5,0)),0%,VLOOKUP(A57,'Données projet'!$A$87:$I$107,5,0)*VLOOKUP('Données projet'!$B$11,'Paramètres'!$A$1:$I$89,7,0))</f>
        <v>0</v>
      </c>
      <c r="BN57" s="135">
        <f>IF(ISNA(VLOOKUP(A57,'Données projet'!$A$87:$I$107,6,0)),0%,VLOOKUP(A57,'Données projet'!$A$87:$I$107,6,0)*VLOOKUP('Données projet'!$B$11,'Paramètres'!$A$1:$I$89,7,0))</f>
        <v>0</v>
      </c>
      <c r="BO57" s="135">
        <f>IF(ISNA(VLOOKUP(A57,'Données projet'!$A$87:$I$107,7,0)),0%,VLOOKUP(A57,'Données projet'!$A$87:$I$107,7,0))</f>
        <v>0</v>
      </c>
      <c r="BP57" s="142">
        <f>EXP(-LN(2)/35)*BP56+(1-EXP(-LN(2)/35))/(LN(2)/35)*BL57*BM57*VLOOKUP('Données projet'!$B$11,'Paramètres'!$A$1:$I$89,3,0)*0.475*44/12</f>
        <v>16.33736319</v>
      </c>
      <c r="BQ57" s="142">
        <f>EXP(-LN(2)/25)*BQ56+(1-EXP(-LN(2)/25))/(LN(2)/25)*Calculateur!BL57*Calculateur!BN57*VLOOKUP('Données projet'!$B$11,'Paramètres'!$A$1:$I$89,3,0)*0.475*44/12</f>
        <v>10.41823217</v>
      </c>
      <c r="BR57" s="142">
        <f>EXP(-LN(2)/2)*BR56+(1-EXP(-LN(2)/2))/(LN(2)/2)*BL57*BO57*VLOOKUP('Données projet'!$B$11,'Paramètres'!$A$1:$I$89,3,0)*0.475*44/12</f>
        <v>1.222212214</v>
      </c>
      <c r="BS57" s="143">
        <f t="shared" si="10"/>
        <v>27.97780758</v>
      </c>
      <c r="BT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1" t="str">
        <f>VLOOKUP(A57,'Données projet'!$A$113:$I$133,2,0)</f>
        <v>#N/A</v>
      </c>
      <c r="BW57" s="131" t="str">
        <f>VLOOKUP(A57,'Données projet'!$A$113:$I$133,9,0)</f>
        <v>#N/A</v>
      </c>
      <c r="BX57" s="130">
        <f t="array" ref="BX57">INDEX(BW:BW,MIN(IF(ISNUMBER(BW57:BW253),ROW(BW57:BW253),"")))</f>
        <v>21.6</v>
      </c>
      <c r="BY57" s="130">
        <f>IF('Données projet'!$A$114&gt;35,BY56+BX57-CG56,IF(A57&lt;'Données projet'!$A$114,$BV$205^A57,IF(A57='Données projet'!$A$114,'Données projet'!$B$114,BY56+BX57-CG56)))</f>
        <v>568.4</v>
      </c>
      <c r="BZ57" s="130">
        <f>BY57*VLOOKUP('Données projet'!$B$12,'Paramètres'!$A$1:$I$89,3,0)*VLOOKUP('Données projet'!$B$12,'Paramètres'!$A$1:$I$89,5,0)</f>
        <v>280.7896</v>
      </c>
      <c r="CA57" s="130">
        <f t="shared" si="40"/>
        <v>67.1338467</v>
      </c>
      <c r="CB57" s="141">
        <f t="shared" si="11"/>
        <v>605.9666697</v>
      </c>
      <c r="CC57" s="133">
        <f t="shared" si="12"/>
        <v>899.300003</v>
      </c>
      <c r="CD57" s="133">
        <f>AVERAGE(OFFSET($CC$3,0,0,'Données projet'!$E$12+1,1))-AVERAGE(OFFSET($H$3,0,0,'Données projet'!$E$12+1,1))</f>
        <v>258.1672054</v>
      </c>
      <c r="CE57" s="133">
        <f t="shared" si="41"/>
        <v>296.0724261</v>
      </c>
      <c r="CF57" s="134">
        <f>IF(ISNA(VLOOKUP(A57,'Données projet'!$A$113:$I$133,3,0)),0,VLOOKUP(A57,'Données projet'!$A$113:$I$133,3,0))</f>
        <v>0</v>
      </c>
      <c r="CG57" s="134">
        <f>IF(ISNA(VLOOKUP(A57,'Données projet'!$A$113:$I$133,4,0)),0,VLOOKUP(A57,'Données projet'!$A$113:$I$133,4,0))</f>
        <v>0</v>
      </c>
      <c r="CH57" s="135">
        <f>IF(ISNA(VLOOKUP(A57,'Données projet'!$A$113:$I$133,5,0)),0%,VLOOKUP(A57,'Données projet'!$A$113:$I$133,5,0)*VLOOKUP('Données projet'!$B$12,'Paramètres'!$A$1:$I$89,7,0))</f>
        <v>0</v>
      </c>
      <c r="CI57" s="135">
        <f>IF(ISNA(VLOOKUP(A57,'Données projet'!$A$113:$I$133,6,0)),0%,VLOOKUP(A57,'Données projet'!$A$113:$I$133,6,0)*VLOOKUP('Données projet'!$B$12,'Paramètres'!$A$1:$I$89,7,0))</f>
        <v>0</v>
      </c>
      <c r="CJ57" s="135">
        <f>IF(ISNA(VLOOKUP(A57,'Données projet'!$A$113:$I$133,7,0)),0%,VLOOKUP(A57,'Données projet'!$A$113:$I$133,7,0))</f>
        <v>0</v>
      </c>
      <c r="CK57" s="142">
        <f>EXP(-LN(2)/35)*CK56+(1-EXP(-LN(2)/35))/(LN(2)/35)*CG57*CH57*VLOOKUP('Données projet'!$B$12,'Paramètres'!$A$1:$I$89,3,0)*0.475*44/12</f>
        <v>42.48499757</v>
      </c>
      <c r="CL57" s="142">
        <f>EXP(-LN(2)/25)*CL56+(1-EXP(-LN(2)/25))/(LN(2)/25)*Calculateur!CG57*Calculateur!CI57*VLOOKUP('Données projet'!$B$12,'Paramètres'!$A$1:$I$89,3,0)*0.475*44/12</f>
        <v>28.08282746</v>
      </c>
      <c r="CM57" s="142">
        <f>EXP(-LN(2)/2)*CM56+(1-EXP(-LN(2)/2))/(LN(2)/2)*CG57*CJ57*VLOOKUP('Données projet'!$B$12,'Paramètres'!$A$1:$I$89,3,0)*0.475*44/12</f>
        <v>1.953768966</v>
      </c>
      <c r="CN57" s="143">
        <f t="shared" si="13"/>
        <v>72.521594</v>
      </c>
      <c r="CO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1" t="str">
        <f>VLOOKUP(A57,'Données projet'!$A$139:$I$159,2,0)</f>
        <v>#N/A</v>
      </c>
      <c r="CR57" s="131" t="str">
        <f>VLOOKUP(A57,'Données projet'!$A$139:$I$159,9,0)</f>
        <v>#N/A</v>
      </c>
      <c r="CS57" s="130">
        <f t="array" ref="CS57">INDEX(CR:CR,MIN(IF(ISNUMBER(CR57:CR253),ROW(CR57:CR253),"")))</f>
        <v>5.6</v>
      </c>
      <c r="CT57" s="138">
        <f>IF('Données projet'!$A$140&gt;35,CT56+CS57-DB56,IF(A57&lt;'Données projet'!$A$140,$CQ$205^A57,IF(A57='Données projet'!$A$140,'Données projet'!$B$140,CT56+CS57-DB56)))</f>
        <v>129.4</v>
      </c>
      <c r="CU57" s="138">
        <f>CT57*VLOOKUP('Données projet'!$B$13,'Paramètres'!$A$1:$I$89,3,0)*VLOOKUP('Données projet'!$B$13,'Paramètres'!$A$1:$I$89,5,0)</f>
        <v>131.2116</v>
      </c>
      <c r="CV57" s="130">
        <f t="shared" si="42"/>
        <v>34.27617318</v>
      </c>
      <c r="CW57" s="141">
        <f t="shared" si="14"/>
        <v>288.2245383</v>
      </c>
      <c r="CX57" s="133">
        <f t="shared" si="15"/>
        <v>581.5578716</v>
      </c>
      <c r="CY57" s="133">
        <f>AVERAGE(OFFSET($CX$3,0,0,'Données projet'!$E$13+1,1))-AVERAGE(OFFSET($H$3,0,0,'Données projet'!$E$13+1,1))</f>
        <v>223.783507</v>
      </c>
      <c r="CZ57" s="133">
        <f t="shared" si="43"/>
        <v>84.92349117</v>
      </c>
      <c r="DA57" s="134">
        <f>IF(ISNA(VLOOKUP(A57,'Données projet'!$A$139:$I$159,3,0)),0,VLOOKUP(A57,'Données projet'!$A$139:$I$159,3,0))</f>
        <v>0</v>
      </c>
      <c r="DB57" s="134">
        <f>IF(ISNA(VLOOKUP(A57,'Données projet'!$A$139:$I$159,4,0)),0,VLOOKUP(A57,'Données projet'!$A$139:$I$159,4,0))</f>
        <v>0</v>
      </c>
      <c r="DC57" s="135">
        <f>IF(ISNA(VLOOKUP(A57,'Données projet'!$A$139:$I$159,5,0)),0%,VLOOKUP(A57,'Données projet'!$A$139:$I$159,5,0)*VLOOKUP('Données projet'!$B$13,'Paramètres'!$A$1:$I$89,7,0))</f>
        <v>0</v>
      </c>
      <c r="DD57" s="135">
        <f>IF(ISNA(VLOOKUP(A57,'Données projet'!$A$139:$I$159,6,0)),0%,VLOOKUP(A57,'Données projet'!$A$139:$I$159,6,0)*VLOOKUP('Données projet'!$B$13,'Paramètres'!$A$1:$I$89,7,0))</f>
        <v>0</v>
      </c>
      <c r="DE57" s="135">
        <f>IF(ISNA(VLOOKUP(A57,'Données projet'!$A$139:$I$159,7,0)),0%,VLOOKUP(A57,'Données projet'!$A$139:$I$159,7,0))</f>
        <v>0</v>
      </c>
      <c r="DF57" s="142">
        <f>EXP(-LN(2)/35)*DF56+(1-EXP(-LN(2)/35))/(LN(2)/35)*DB57*DC57*VLOOKUP('Données projet'!$B$13,'Paramètres'!$A$1:$I$89,3,0)*0.475*44/12</f>
        <v>2.376118256</v>
      </c>
      <c r="DG57" s="142">
        <f>EXP(-LN(2)/25)*DG56+(1-EXP(-LN(2)/25))/(LN(2)/25)*Calculateur!DB57*Calculateur!DD57*VLOOKUP('Données projet'!$B$13,'Paramètres'!$A$1:$I$89,3,0)*0.475*44/12</f>
        <v>0</v>
      </c>
      <c r="DH57" s="142">
        <f>EXP(-LN(2)/2)*DH56+(1-EXP(-LN(2)/2))/(LN(2)/2)*DB57*DE57*VLOOKUP('Données projet'!$B$13,'Paramètres'!$A$1:$I$89,3,0)*0.475*44/12</f>
        <v>0</v>
      </c>
      <c r="DI57" s="143">
        <f t="shared" si="16"/>
        <v>2.376118256</v>
      </c>
      <c r="DJ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1" t="str">
        <f>VLOOKUP(A57,'Données projet'!$A$165:$I$185,2,0)</f>
        <v>#N/A</v>
      </c>
      <c r="DM57" s="131" t="str">
        <f>VLOOKUP(A57,'Données projet'!$A$165:$I$185,9,0)</f>
        <v>#N/A</v>
      </c>
      <c r="DN57" s="131">
        <f t="array" ref="DN57">INDEX(DM:DM,MIN(IF(ISNUMBER(DM57:DM253),ROW(DM57:DM253),"")))</f>
        <v>8</v>
      </c>
      <c r="DO57" s="138">
        <f>IF('Données projet'!$A$166&gt;35,DO56+DN57-DW56,IF(A57&lt;'Données projet'!$A$166,$DL$205^A57,IF(A57='Données projet'!$A$166,'Données projet'!$B$166,DO56+DN57-DW56)))</f>
        <v>189</v>
      </c>
      <c r="DP57" s="138">
        <f>DO57*VLOOKUP('Données projet'!$B$14,'Paramètres'!$A$1:$I$89,3,0)*VLOOKUP('Données projet'!$B$14,'Paramètres'!$A$1:$I$89,5,0)</f>
        <v>171.0072</v>
      </c>
      <c r="DQ57" s="130">
        <f t="shared" si="44"/>
        <v>43.31552527</v>
      </c>
      <c r="DR57" s="141">
        <f t="shared" si="17"/>
        <v>373.2787465</v>
      </c>
      <c r="DS57" s="133">
        <f t="shared" si="18"/>
        <v>666.6120798</v>
      </c>
      <c r="DT57" s="133">
        <f>AVERAGE(OFFSET($DS$3,0,0,'Données projet'!$E$14+1,1))-AVERAGE(OFFSET($H$3,0,0,'Données projet'!$E$14+1,1))</f>
        <v>287.9334714</v>
      </c>
      <c r="DU57" s="133">
        <f t="shared" si="45"/>
        <v>156.6796502</v>
      </c>
      <c r="DV57" s="134">
        <f>IF(ISNA(VLOOKUP(A57,'Données projet'!$A$165:$I$185,3,0)),0,VLOOKUP(A57,'Données projet'!$A$165:$I$185,3,0))</f>
        <v>0</v>
      </c>
      <c r="DW57" s="134">
        <f>IF(ISNA(VLOOKUP(A57,'Données projet'!$A$165:$I$185,4,0)),0,VLOOKUP(A57,'Données projet'!$A$165:$I$185,4,0))</f>
        <v>0</v>
      </c>
      <c r="DX57" s="135">
        <f>IF(ISNA(VLOOKUP(A57,'Données projet'!$A$165:$I$185,5,0)),0%,VLOOKUP(A57,'Données projet'!$A$165:$I$185,5,0)*VLOOKUP('Données projet'!$B$14,'Paramètres'!$A$1:$I$89,7,0))</f>
        <v>0</v>
      </c>
      <c r="DY57" s="135">
        <f>IF(ISNA(VLOOKUP(A57,'Données projet'!$A$165:$I$185,6,0)),0%,VLOOKUP(A57,'Données projet'!$A$165:$I$185,6,0)*VLOOKUP('Données projet'!$B$14,'Paramètres'!$A$1:$I$89,7,0))</f>
        <v>0</v>
      </c>
      <c r="DZ57" s="135">
        <f>IF(ISNA(VLOOKUP(A57,'Données projet'!$A$165:$I$185,7,0)),0%,VLOOKUP(A57,'Données projet'!$A$165:$I$185,7,0))</f>
        <v>0</v>
      </c>
      <c r="EA57" s="142">
        <f>EXP(-LN(2)/35)*EA56+(1-EXP(-LN(2)/35))/(LN(2)/35)*DW57*DX57*VLOOKUP('Données projet'!$B$14,'Paramètres'!$A$1:$I$89,3,0)*0.475*44/12</f>
        <v>5.3837679</v>
      </c>
      <c r="EB57" s="142">
        <f>EXP(-LN(2)/25)*EB56+(1-EXP(-LN(2)/25))/(LN(2)/25)*Calculateur!DW57*Calculateur!DY57*VLOOKUP('Données projet'!$B$14,'Paramètres'!$A$1:$I$89,3,0)*0.475*44/12</f>
        <v>0</v>
      </c>
      <c r="EC57" s="142">
        <f>EXP(-LN(2)/2)*EC56+(1-EXP(-LN(2)/2))/(LN(2)/2)*DW57*DZ57*VLOOKUP('Données projet'!$B$14,'Paramètres'!$A$1:$I$89,3,0)*0.475*44/12</f>
        <v>0</v>
      </c>
      <c r="ED57" s="143">
        <f t="shared" si="19"/>
        <v>5.3837679</v>
      </c>
      <c r="EE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1" t="str">
        <f>VLOOKUP(A57,'Données projet'!$A$191:$I$211,2,0)</f>
        <v>#N/A</v>
      </c>
      <c r="EH57" s="131" t="str">
        <f>VLOOKUP(A57,'Données projet'!$A$191:$I$211,9,0)</f>
        <v>#N/A</v>
      </c>
      <c r="EI57" s="131">
        <f t="array" ref="EI57">INDEX(EH:EH,MIN(IF(ISNUMBER(EH57:EH253),ROW(EH57:EH253),"")))</f>
        <v>8.6</v>
      </c>
      <c r="EJ57" s="138">
        <f>IF('Données projet'!$A$192&gt;35,EJ56+EI57-ER56,IF(A57&lt;'Données projet'!$A$192,$EG$205^A57,IF(A57='Données projet'!$A$192,'Données projet'!$B$192,EJ56+EI57-ER56)))</f>
        <v>167.4</v>
      </c>
      <c r="EK57" s="138">
        <f>EJ57*VLOOKUP('Données projet'!$B$15,'Paramètres'!$A$1:$I$89,3,0)*VLOOKUP('Données projet'!$B$15,'Paramètres'!$A$1:$I$89,5,0)</f>
        <v>122.73768</v>
      </c>
      <c r="EL57" s="130">
        <f t="shared" si="46"/>
        <v>32.3126775</v>
      </c>
      <c r="EM57" s="141">
        <f t="shared" si="20"/>
        <v>270.0460393</v>
      </c>
      <c r="EN57" s="133">
        <f t="shared" si="21"/>
        <v>563.3793726</v>
      </c>
      <c r="EO57" s="133">
        <f>AVERAGE(OFFSET($EN$3,0,0,'Données projet'!$E$15+1,1))-AVERAGE(OFFSET($H$3,0,0,'Données projet'!$E$15+1,1))</f>
        <v>130.3193339</v>
      </c>
      <c r="EP57" s="133">
        <f t="shared" si="47"/>
        <v>82.22784365</v>
      </c>
      <c r="EQ57" s="134">
        <f>IF(ISNA(VLOOKUP(A57,'Données projet'!$A$191:$I$211,3,0)),0,VLOOKUP(A57,'Données projet'!$A$191:$I$211,3,0))</f>
        <v>0</v>
      </c>
      <c r="ER57" s="134">
        <f>IF(ISNA(VLOOKUP(A57,'Données projet'!$A$191:$I$211,4,0)),0,VLOOKUP(A57,'Données projet'!$A$191:$I$211,4,0))</f>
        <v>0</v>
      </c>
      <c r="ES57" s="135">
        <f>IF(ISNA(VLOOKUP(A57,'Données projet'!$A$191:$I$211,5,0)),0%,VLOOKUP(A57,'Données projet'!$A$191:$I$211,5,0)*VLOOKUP('Données projet'!$B$15,'Paramètres'!$A$1:$I$89,7,0))</f>
        <v>0</v>
      </c>
      <c r="ET57" s="135">
        <f>IF(ISNA(VLOOKUP(A57,'Données projet'!$A$191:$I$211,6,0)),0%,VLOOKUP(A57,'Données projet'!$A$191:$I$211,6,0)*VLOOKUP('Données projet'!$B$15,'Paramètres'!$A$1:$I$89,7,0))</f>
        <v>0</v>
      </c>
      <c r="EU57" s="135">
        <f>IF(ISNA(VLOOKUP(A57,'Données projet'!$A$191:$I$211,7,0)),0%,VLOOKUP(A57,'Données projet'!$A$191:$I$211,7,0))</f>
        <v>0</v>
      </c>
      <c r="EV57" s="142">
        <f>EXP(-LN(2)/35)*EV56+(1-EXP(-LN(2)/35))/(LN(2)/35)*ER57*ES57*VLOOKUP('Données projet'!$B$15,'Paramètres'!$A$1:$I$89,3,0)*0.475*44/12</f>
        <v>7.78852648</v>
      </c>
      <c r="EW57" s="142">
        <f>EXP(-LN(2)/25)*EW56+(1-EXP(-LN(2)/25))/(LN(2)/25)*Calculateur!ER57*Calculateur!ET57*VLOOKUP('Données projet'!$B$15,'Paramètres'!$A$1:$I$89,3,0)*0.475*44/12</f>
        <v>0</v>
      </c>
      <c r="EX57" s="142">
        <f>EXP(-LN(2)/2)*EX56+(1-EXP(-LN(2)/2))/(LN(2)/2)*ER57*EU57*VLOOKUP('Données projet'!$B$15,'Paramètres'!$A$1:$I$89,3,0)*0.475*44/12</f>
        <v>0</v>
      </c>
      <c r="EY57" s="143">
        <f t="shared" si="22"/>
        <v>7.78852648</v>
      </c>
      <c r="EZ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1" t="str">
        <f>VLOOKUP(A57,'Données projet'!$A$217:$I$237,2,0)</f>
        <v>#N/A</v>
      </c>
      <c r="FC57" s="131" t="str">
        <f>VLOOKUP(A57,'Données projet'!$A$217:$I$237,9,0)</f>
        <v>#N/A</v>
      </c>
      <c r="FD57" s="130">
        <f t="array" ref="FD57">INDEX(FC:FC,MIN(IF(ISNUMBER(FC57:FC253),ROW(FC57:FC253),"")))</f>
        <v>4.8</v>
      </c>
      <c r="FE57" s="130">
        <f>IF('Données projet'!$A$218&gt;35,FE56+FD57-FM56,IF(A57&lt;'Données projet'!$A$218,$FB$205^A57,IF(A57='Données projet'!$A$218,'Données projet'!$B$218,FE56+FD57-FM56)))</f>
        <v>267.2</v>
      </c>
      <c r="FF57" s="138">
        <f>FE57*VLOOKUP('Données projet'!$B$16,'Paramètres'!$A$1:$I$89,3,0)*VLOOKUP('Données projet'!$B$16,'Paramètres'!$A$1:$I$89,5,0)</f>
        <v>241.76256</v>
      </c>
      <c r="FG57" s="130">
        <f t="shared" si="48"/>
        <v>58.81859221</v>
      </c>
      <c r="FH57" s="141">
        <f t="shared" si="23"/>
        <v>523.5121734</v>
      </c>
      <c r="FI57" s="133">
        <f t="shared" si="24"/>
        <v>816.8455068</v>
      </c>
      <c r="FJ57" s="133">
        <f>AVERAGE(OFFSET($FI$3,0,0,'Données projet'!$E$16+1,1))-AVERAGE(OFFSET($H$3,0,0,'Données projet'!$E$16+1,1))</f>
        <v>305.6252353</v>
      </c>
      <c r="FK57" s="133">
        <f t="shared" si="49"/>
        <v>331.397916</v>
      </c>
      <c r="FL57" s="134">
        <f>IF(ISNA(VLOOKUP(A57,'Données projet'!$A$217:$I$237,3,0)),0,VLOOKUP(A57,'Données projet'!$A$217:$I$237,3,0))</f>
        <v>0</v>
      </c>
      <c r="FM57" s="134">
        <f>IF(ISNA(VLOOKUP(A57,'Données projet'!$A$217:$I$237,4,0)),0,VLOOKUP(A57,'Données projet'!$A$217:$I$237,4,0))</f>
        <v>0</v>
      </c>
      <c r="FN57" s="135">
        <f>IF(ISNA(VLOOKUP(A57,'Données projet'!$A$217:$I$237,5,0)),0%,VLOOKUP(A57,'Données projet'!$A$217:$I$237,5,0)*VLOOKUP('Données projet'!$B$16,'Paramètres'!$A$1:$I$89,7,0))</f>
        <v>0</v>
      </c>
      <c r="FO57" s="135">
        <f>IF(ISNA(VLOOKUP(A57,'Données projet'!$A$217:$I$237,6,0)),0%,VLOOKUP(A57,'Données projet'!$A$217:$I$237,6,0)*VLOOKUP('Données projet'!$B$16,'Paramètres'!$A$1:$I$89,7,0))</f>
        <v>0</v>
      </c>
      <c r="FP57" s="135">
        <f>IF(ISNA(VLOOKUP(A57,'Données projet'!$A$217:$I$237,7,0)),0%,VLOOKUP(A57,'Données projet'!$A$217:$I$237,7,0))</f>
        <v>0</v>
      </c>
      <c r="FQ57" s="142">
        <f>EXP(-LN(2)/35)*FQ56+(1-EXP(-LN(2)/35))/(LN(2)/35)*FM57*FN57*VLOOKUP('Données projet'!$B$16,'Paramètres'!$A$1:$I$89,3,0)*0.475*44/12</f>
        <v>3.821219824</v>
      </c>
      <c r="FR57" s="142">
        <f>EXP(-LN(2)/25)*FR56+(1-EXP(-LN(2)/25))/(LN(2)/25)*Calculateur!FM57*Calculateur!FO57*VLOOKUP('Données projet'!$B$16,'Paramètres'!$A$1:$I$89,3,0)*0.475*44/12</f>
        <v>0</v>
      </c>
      <c r="FS57" s="142">
        <f>EXP(-LN(2)/2)*FS56+(1-EXP(-LN(2)/2))/(LN(2)/2)*FM57*FP57*VLOOKUP('Données projet'!$B$16,'Paramètres'!$A$1:$I$89,3,0)*0.475*44/12</f>
        <v>0</v>
      </c>
      <c r="FT57" s="143">
        <f t="shared" si="25"/>
        <v>3.821219824</v>
      </c>
      <c r="FU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1" t="str">
        <f>VLOOKUP(A57,'Données projet'!$A$243:$I$263,2,0)</f>
        <v>#N/A</v>
      </c>
      <c r="FX57" s="131" t="str">
        <f>VLOOKUP(A57,'Données projet'!$A$243:$I$263,9,0)</f>
        <v>#N/A</v>
      </c>
      <c r="FY57" s="130">
        <f t="array" ref="FY57">INDEX(FX:FX,MIN(IF(ISNUMBER(FX57:FX253),ROW(FX57:FX253),"")))</f>
        <v>11</v>
      </c>
      <c r="FZ57" s="138">
        <f>IF('Données projet'!$A$244&gt;35,FZ56+FY57-GH56,IF(A57&lt;'Données projet'!$A$244,$FW$205^A57,IF(A57='Données projet'!$A$244,'Données projet'!$B$244,FZ56+FY57-GH56)))</f>
        <v>233</v>
      </c>
      <c r="GA57" s="138">
        <f>FZ57*VLOOKUP('Données projet'!$B$17,'Paramètres'!$A$1:$I$89,3,0)*VLOOKUP('Données projet'!$B$17,'Paramètres'!$A$1:$I$89,5,0)</f>
        <v>156.2964</v>
      </c>
      <c r="GB57" s="130">
        <f t="shared" si="50"/>
        <v>40.00602289</v>
      </c>
      <c r="GC57" s="141">
        <f t="shared" si="26"/>
        <v>341.8933865</v>
      </c>
      <c r="GD57" s="133">
        <f t="shared" si="27"/>
        <v>635.2267199</v>
      </c>
      <c r="GE57" s="133">
        <f>AVERAGE(OFFSET($GD$3,0,0,'Données projet'!$E$17+1,1))-AVERAGE(OFFSET($H$3,0,0,'Données projet'!$E$17+1,1))</f>
        <v>118.7368745</v>
      </c>
      <c r="GF57" s="133">
        <f t="shared" si="51"/>
        <v>135.1233677</v>
      </c>
      <c r="GG57" s="134">
        <f>IF(ISNA(VLOOKUP(A57,'Données projet'!$A$243:$I$263,3,0)),0,VLOOKUP(A57,'Données projet'!$A$243:$I$263,3,0))</f>
        <v>0</v>
      </c>
      <c r="GH57" s="134">
        <f>IF(ISNA(VLOOKUP(A57,'Données projet'!$A$243:$I$263,4,0)),0,VLOOKUP(A57,'Données projet'!$A$243:$I$263,4,0))</f>
        <v>0</v>
      </c>
      <c r="GI57" s="135">
        <f>IF(ISNA(VLOOKUP(A57,'Données projet'!$A$243:$I$263,5,0)),0%,VLOOKUP(A57,'Données projet'!$A$243:$I$263,5,0)*VLOOKUP('Données projet'!$B$17,'Paramètres'!$A$1:$I$89,7,0))</f>
        <v>0</v>
      </c>
      <c r="GJ57" s="135">
        <f>IF(ISNA(VLOOKUP(A57,'Données projet'!$A$243:$I$263,6,0)),0%,VLOOKUP(A57,'Données projet'!$A$243:$I$263,6,0)*VLOOKUP('Données projet'!$B$17,'Paramètres'!$A$1:$I$89,7,0))</f>
        <v>0</v>
      </c>
      <c r="GK57" s="135">
        <f>IF(ISNA(VLOOKUP(A57,'Données projet'!$A$243:$I$263,7,0)),0%,VLOOKUP(A57,'Données projet'!$A$243:$I$263,7,0))</f>
        <v>0</v>
      </c>
      <c r="GL57" s="142">
        <f>EXP(-LN(2)/35)*GL56+(1-EXP(-LN(2)/35))/(LN(2)/35)*GH57*GI57*VLOOKUP('Données projet'!$B$17,'Paramètres'!$A$1:$I$89,3,0)*0.475*44/12</f>
        <v>14.62979982</v>
      </c>
      <c r="GM57" s="142">
        <f>EXP(-LN(2)/25)*GM56+(1-EXP(-LN(2)/25))/(LN(2)/25)*Calculateur!GH57*Calculateur!GJ57*VLOOKUP('Données projet'!$B$17,'Paramètres'!$A$1:$I$89,3,0)*0.475*44/12</f>
        <v>0</v>
      </c>
      <c r="GN57" s="142">
        <f>EXP(-LN(2)/2)*GN56+(1-EXP(-LN(2)/2))/(LN(2)/2)*GH57*GK57*VLOOKUP('Données projet'!$B$17,'Paramètres'!$A$1:$I$89,3,0)*0.475*44/12</f>
        <v>0</v>
      </c>
      <c r="GO57" s="142">
        <f t="shared" si="28"/>
        <v>14.62979982</v>
      </c>
      <c r="GP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1" t="str">
        <f>VLOOKUP(A57,'Données projet'!$A$269:$I$289,2,0)</f>
        <v>#N/A</v>
      </c>
      <c r="GS57" s="131" t="str">
        <f>VLOOKUP(A57,'Données projet'!$A$269:$I$289,9,0)</f>
        <v>#N/A</v>
      </c>
      <c r="GT57" s="130">
        <f t="array" ref="GT57">INDEX(GS:GS,MIN(IF(ISNUMBER(GS57:GS253),ROW(GS57:GS253),"")))</f>
        <v>5.6</v>
      </c>
      <c r="GU57" s="138">
        <f>IF('Données projet'!$A$270&gt;35,GU56+GT57-HC56,IF(A57&lt;'Données projet'!$A$270,$GR$205^A57,IF(A57='Données projet'!$A$270,'Données projet'!$B$270,GU56+GT57-HC56)))</f>
        <v>129.4</v>
      </c>
      <c r="GV57" s="138">
        <f>GU57*VLOOKUP('Données projet'!$B$18,'Paramètres'!$A$1:$I$89,3,0)*VLOOKUP('Données projet'!$B$18,'Paramètres'!$A$1:$I$89,5,0)</f>
        <v>139.28616</v>
      </c>
      <c r="GW57" s="130">
        <f t="shared" si="52"/>
        <v>36.13342615</v>
      </c>
      <c r="GX57" s="141">
        <f t="shared" si="29"/>
        <v>305.5224459</v>
      </c>
      <c r="GY57" s="133">
        <f t="shared" si="30"/>
        <v>598.8557792</v>
      </c>
      <c r="GZ57" s="133">
        <f>AVERAGE(OFFSET($GY$3,0,0,'Données projet'!$E$18+1,1))-AVERAGE(OFFSET($H$3,0,0,'Données projet'!$E$18+1,1))</f>
        <v>100.5427875</v>
      </c>
      <c r="HA57" s="133">
        <f t="shared" si="53"/>
        <v>92.28663609</v>
      </c>
      <c r="HB57" s="134">
        <f>IF(ISNA(VLOOKUP(A57,'Données projet'!$A$269:$I$289,3,0)),0,VLOOKUP(A57,'Données projet'!$A$269:$I$289,3,0))</f>
        <v>0</v>
      </c>
      <c r="HC57" s="134">
        <f>IF(ISNA(VLOOKUP(A57,'Données projet'!$A$269:$I$289,4,0)),0,VLOOKUP(A57,'Données projet'!$A$269:$I$289,4,0))</f>
        <v>0</v>
      </c>
      <c r="HD57" s="135">
        <f>IF(ISNA(VLOOKUP(A57,'Données projet'!$A$269:$I$289,5,0)),0%,VLOOKUP(A57,'Données projet'!$A$269:$I$289,5,0)*VLOOKUP('Données projet'!$B$18,'Paramètres'!$A$1:$I$89,7,0))</f>
        <v>0</v>
      </c>
      <c r="HE57" s="135">
        <f>IF(ISNA(VLOOKUP(A57,'Données projet'!$A$269:$I$289,6,0)),0%,VLOOKUP(A57,'Données projet'!$A$269:$I$289,6,0)*VLOOKUP('Données projet'!$B$18,'Paramètres'!$A$1:$I$89,7,0))</f>
        <v>0</v>
      </c>
      <c r="HF57" s="135">
        <f>IF(ISNA(VLOOKUP(A57,'Données projet'!$A$269:$I$289,7,0)),0%,VLOOKUP(A57,'Données projet'!$A$269:$I$289,7,0))</f>
        <v>0</v>
      </c>
      <c r="HG57" s="142">
        <f>EXP(-LN(2)/35)*HG56+(1-EXP(-LN(2)/35))/(LN(2)/35)*HC57*HD57*VLOOKUP('Données projet'!$B$18,'Paramètres'!$A$1:$I$89,3,0)*0.475*44/12</f>
        <v>7.043604285</v>
      </c>
      <c r="HH57" s="142">
        <f>EXP(-LN(2)/25)*HH56+(1-EXP(-LN(2)/25))/(LN(2)/25)*Calculateur!HC57*Calculateur!HE57*VLOOKUP('Données projet'!$B$18,'Paramètres'!$A$1:$I$89,3,0)*0.475*44/12</f>
        <v>0</v>
      </c>
      <c r="HI57" s="142">
        <f>EXP(-LN(2)/2)*HI56+(1-EXP(-LN(2)/2))/(LN(2)/2)*HC57*HF57*VLOOKUP('Données projet'!$B$18,'Paramètres'!$A$1:$I$89,3,0)*0.475*44/12</f>
        <v>0</v>
      </c>
      <c r="HJ57" s="143">
        <f t="shared" si="31"/>
        <v>7.043604285</v>
      </c>
    </row>
    <row r="58" ht="15.75" customHeight="1">
      <c r="A58" s="125">
        <f t="shared" si="32"/>
        <v>55</v>
      </c>
      <c r="B58" s="126">
        <f>'Scénario référence'!$B$16*5+'Scénario référence'!$B$17*0+'Scénario référence'!$B$18*5</f>
        <v>0</v>
      </c>
      <c r="C58" s="140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30.03</v>
      </c>
      <c r="D58" s="127">
        <f t="shared" si="33"/>
        <v>9.313650921</v>
      </c>
      <c r="E5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7">
        <f>IF(OR('Scénario référence'!$F$8&gt;0,'Scénario référence'!$F$9&gt;0),('Scénario référence'!$F$8+'Scénario référence'!$F$9)*10,0)</f>
        <v>10</v>
      </c>
      <c r="G58" s="127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</v>
      </c>
      <c r="H58" s="128">
        <f t="shared" si="1"/>
        <v>361.8568587</v>
      </c>
      <c r="I58" s="12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1" t="str">
        <f>VLOOKUP(A58,'Données projet'!$A$35:$I$55,2,0)</f>
        <v>#N/A</v>
      </c>
      <c r="L58" s="131" t="str">
        <f>VLOOKUP(A58,'Données projet'!$A$35:$I$55,9,0)</f>
        <v>#N/A</v>
      </c>
      <c r="M58" s="130">
        <f t="array" ref="M58">INDEX(L:L,MIN(IF(ISNUMBER(L58:L254),ROW(L58:L254),"")))</f>
        <v>10.8</v>
      </c>
      <c r="N58" s="130">
        <f>IF('Données projet'!$A$36&gt;35,N57+M58-V57,IF(A58&lt;'Données projet'!$A$36,$K$205^A58,IF(A58='Données projet'!$A$36,'Données projet'!$B$36,N57+M58-V57)))</f>
        <v>275</v>
      </c>
      <c r="O58" s="130">
        <f>N58*VLOOKUP('Données projet'!$B$9,'Paramètres'!$A$1:$I$89,3,0)*VLOOKUP('Données projet'!$B$9,'Paramètres'!$A$1:$I$89,5,0)</f>
        <v>157.3</v>
      </c>
      <c r="P58" s="130">
        <f t="shared" si="34"/>
        <v>40.23292097</v>
      </c>
      <c r="Q58" s="141">
        <f t="shared" si="2"/>
        <v>344.036504</v>
      </c>
      <c r="R58" s="133">
        <f t="shared" si="3"/>
        <v>637.3698374</v>
      </c>
      <c r="S58" s="133">
        <f>AVERAGE(OFFSET($R$3,0,0,'Données projet'!$E$9+1,1))-AVERAGE(OFFSET($H$3,0,0,'Données projet'!$E$9+1,1))</f>
        <v>126.9946492</v>
      </c>
      <c r="T58" s="133">
        <f t="shared" si="35"/>
        <v>140.039049</v>
      </c>
      <c r="U58" s="134">
        <f>IF(ISNA(VLOOKUP(A58,'Données projet'!$A$35:$I$55,3,0)),0,VLOOKUP(A58,'Données projet'!$A$35:$I$55,3,0))</f>
        <v>0</v>
      </c>
      <c r="V58" s="134">
        <f>IF(ISNA(VLOOKUP(A58,'Données projet'!$A$35:$I$55,4,0)),0,VLOOKUP(A58,'Données projet'!$A$35:$I$55,4,0))</f>
        <v>0</v>
      </c>
      <c r="W58" s="135">
        <f>IF(ISNA(VLOOKUP(A58,'Données projet'!$A$35:$I$55,5,0)),0%,VLOOKUP(A58,'Données projet'!$A$35:$I$55,5,0)*VLOOKUP('Données projet'!$B$9,'Paramètres'!$A$1:$I$89,7,0))</f>
        <v>0</v>
      </c>
      <c r="X58" s="135">
        <f>IF(ISNA(VLOOKUP(A58,'Données projet'!$A$35:$I$55,6,0)),0%,VLOOKUP(A58,'Données projet'!$A$35:$I$55,6,0)*VLOOKUP('Données projet'!$B$9,'Paramètres'!$A$1:$I$89,7,0))</f>
        <v>0</v>
      </c>
      <c r="Y58" s="135">
        <f>IF(ISNA(VLOOKUP(A58,'Données projet'!$A$35:$I$55,7,0)),0%,VLOOKUP(A58,'Données projet'!$A$35:$I$55,7,0))</f>
        <v>0</v>
      </c>
      <c r="Z58" s="142">
        <f>EXP(-LN(2)/35)*Z57+(1-EXP(-LN(2)/35))/(LN(2)/35)*V58*W58*VLOOKUP('Données projet'!$B$9,'Paramètres'!$A$1:$I$89,3,0)*0.475*44/12</f>
        <v>18.06032302</v>
      </c>
      <c r="AA58" s="142">
        <f>EXP(-LN(2)/25)*AA57+(1-EXP(-LN(2)/25))/(LN(2)/25)*Calculateur!V58*Calculateur!X58*VLOOKUP('Données projet'!$B$9,'Paramètres'!$A$1:$I$89,3,0)*0.475*44/12</f>
        <v>12.29814225</v>
      </c>
      <c r="AB58" s="142">
        <f>EXP(-LN(2)/2)*AB57+(1-EXP(-LN(2)/2))/(LN(2)/2)*V58*Y58*VLOOKUP('Données projet'!$B$9,'Paramètres'!$A$1:$I$89,3,0)*0.475*44/12</f>
        <v>1.35192271</v>
      </c>
      <c r="AC58" s="143">
        <f t="shared" si="4"/>
        <v>31.71038798</v>
      </c>
      <c r="AD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1" t="str">
        <f>VLOOKUP(A58,'Données projet'!$A$61:$I$81,2,0)</f>
        <v>#N/A</v>
      </c>
      <c r="AG58" s="131" t="str">
        <f>VLOOKUP(A58,'Données projet'!$A$61:$I$81,9,0)</f>
        <v>#N/A</v>
      </c>
      <c r="AH58" s="131">
        <f t="array" ref="AH58">INDEX(AG:AG,MIN(IF(ISNUMBER(AG58:AG254),ROW(AG58:AG254),"")))</f>
        <v>17.625</v>
      </c>
      <c r="AI58" s="130">
        <f>IF('Données projet'!$A$62&gt;35,AI57+AH58-AQ57,IF(A58&lt;'Données projet'!$A$62,$AF$205^A58,IF(A58='Données projet'!$A$62,'Données projet'!$B$62,AI57+AH58-AQ57)))</f>
        <v>387.125</v>
      </c>
      <c r="AJ58" s="130">
        <f>AI58*VLOOKUP('Données projet'!$B$10,'Paramètres'!$A$1:$I$89,3,0)*VLOOKUP('Données projet'!$B$10,'Paramètres'!$A$1:$I$89,5,0)</f>
        <v>231.50075</v>
      </c>
      <c r="AK58" s="130">
        <f t="shared" si="36"/>
        <v>56.60705584</v>
      </c>
      <c r="AL58" s="141">
        <f t="shared" si="5"/>
        <v>501.7877618</v>
      </c>
      <c r="AM58" s="133">
        <f t="shared" si="6"/>
        <v>795.1210952</v>
      </c>
      <c r="AN58" s="133">
        <f>AVERAGE(OFFSET($AM$3,0,0,'Données projet'!$E$10+1,1))-AVERAGE(OFFSET($H$3,0,0,'Données projet'!$E$10+1,1))</f>
        <v>196.874484</v>
      </c>
      <c r="AO58" s="133">
        <f t="shared" si="37"/>
        <v>217.5750859</v>
      </c>
      <c r="AP58" s="134">
        <f>IF(ISNA(VLOOKUP(A58,'Données projet'!$A$61:$I$81,3,0)),0,VLOOKUP(A58,'Données projet'!$A$61:$I$81,3,0))</f>
        <v>0</v>
      </c>
      <c r="AQ58" s="134">
        <f>IF(ISNA(VLOOKUP(A58,'Données projet'!$A$61:$I$81,4,0)),0,VLOOKUP(A58,'Données projet'!$A$61:$I$81,4,0))</f>
        <v>0</v>
      </c>
      <c r="AR58" s="135">
        <f>IF(ISNA(VLOOKUP(A58,'Données projet'!$A$61:$I$81,5,0)),0%,VLOOKUP(A58,'Données projet'!$A$61:$I$81,5,0)*VLOOKUP('Données projet'!$B$10,'Paramètres'!$A$1:$I$89,7,0))</f>
        <v>0</v>
      </c>
      <c r="AS58" s="135">
        <f>IF(ISNA(VLOOKUP(A58,'Données projet'!$A$61:$I$81,6,0)),0%,VLOOKUP(A58,'Données projet'!$A$61:$I$81,6,0)*VLOOKUP('Données projet'!$B$10,'Paramètres'!$A$1:$I$89,7,0))</f>
        <v>0</v>
      </c>
      <c r="AT58" s="135">
        <f>IF(ISNA(VLOOKUP(A58,'Données projet'!$A$61:$I$81,7,0)),0%,VLOOKUP(A58,'Données projet'!$A$61:$I$81,7,0))</f>
        <v>0</v>
      </c>
      <c r="AU58" s="142">
        <f>EXP(-LN(2)/35)*AU57+(1-EXP(-LN(2)/35))/(LN(2)/35)*AQ58*AR58*VLOOKUP('Données projet'!$B$10,'Paramètres'!$A$1:$I$89,3,0)*0.475*44/12</f>
        <v>24.28921392</v>
      </c>
      <c r="AV58" s="142">
        <f>EXP(-LN(2)/25)*AV57+(1-EXP(-LN(2)/25))/(LN(2)/25)*Calculateur!AQ58*Calculateur!AS58*VLOOKUP('Données projet'!$B$10,'Paramètres'!$A$1:$I$89,3,0)*0.475*44/12</f>
        <v>20.91414096</v>
      </c>
      <c r="AW58" s="142">
        <f>EXP(-LN(2)/2)*AW57+(1-EXP(-LN(2)/2))/(LN(2)/2)*AQ58*AT58*VLOOKUP('Données projet'!$B$10,'Paramètres'!$A$1:$I$89,3,0)*0.475*44/12</f>
        <v>1.464162171</v>
      </c>
      <c r="AX58" s="142">
        <f t="shared" si="7"/>
        <v>46.66751705</v>
      </c>
      <c r="AY58" s="13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1" t="str">
        <f>VLOOKUP(A58,'Données projet'!$A$87:$I$107,2,0)</f>
        <v>#N/A</v>
      </c>
      <c r="BB58" s="131" t="str">
        <f>VLOOKUP(A58,'Données projet'!$A$87:$I$107,9,0)</f>
        <v>#N/A</v>
      </c>
      <c r="BC58" s="130">
        <f t="array" ref="BC58">INDEX(BB:BB,MIN(IF(ISNUMBER(BB58:BB254),ROW(BB58:BB254),"")))</f>
        <v>14</v>
      </c>
      <c r="BD58" s="130">
        <f>IF('Données projet'!$A$88&gt;35,BD57+BC58-BL57,IF(A58&lt;'Données projet'!$A$88,$BA$205^A58,IF(A58='Données projet'!$A$88,'Données projet'!$B$88,BD57+BC58-BL57)))</f>
        <v>320</v>
      </c>
      <c r="BE58" s="130">
        <f>BD58*VLOOKUP('Données projet'!$B$11,'Paramètres'!$A$1:$I$89,3,0)*VLOOKUP('Données projet'!$B$11,'Paramètres'!$A$1:$I$89,5,0)</f>
        <v>149.76</v>
      </c>
      <c r="BF58" s="130">
        <f t="shared" si="38"/>
        <v>38.52403968</v>
      </c>
      <c r="BG58" s="141">
        <f t="shared" si="8"/>
        <v>327.9280358</v>
      </c>
      <c r="BH58" s="133">
        <f t="shared" si="9"/>
        <v>621.2613691</v>
      </c>
      <c r="BI58" s="133">
        <f>AVERAGE(OFFSET($BH$3,0,0,'Données projet'!$E$11+1,1))-AVERAGE(OFFSET($H$3,0,0,'Données projet'!$E$11+1,1))</f>
        <v>134.0948534</v>
      </c>
      <c r="BJ58" s="133">
        <f t="shared" si="39"/>
        <v>108.4102536</v>
      </c>
      <c r="BK58" s="134">
        <f>IF(ISNA(VLOOKUP(A58,'Données projet'!$A$87:$I$107,3,0)),0,VLOOKUP(A58,'Données projet'!$A$87:$I$107,3,0))</f>
        <v>0</v>
      </c>
      <c r="BL58" s="134">
        <f>IF(ISNA(VLOOKUP(A58,'Données projet'!$A$87:$I$107,4,0)),0,VLOOKUP(A58,'Données projet'!$A$87:$I$107,4,0))</f>
        <v>0</v>
      </c>
      <c r="BM58" s="135">
        <f>IF(ISNA(VLOOKUP(A58,'Données projet'!$A$87:$I$107,5,0)),0%,VLOOKUP(A58,'Données projet'!$A$87:$I$107,5,0)*VLOOKUP('Données projet'!$B$11,'Paramètres'!$A$1:$I$89,7,0))</f>
        <v>0</v>
      </c>
      <c r="BN58" s="135">
        <f>IF(ISNA(VLOOKUP(A58,'Données projet'!$A$87:$I$107,6,0)),0%,VLOOKUP(A58,'Données projet'!$A$87:$I$107,6,0)*VLOOKUP('Données projet'!$B$11,'Paramètres'!$A$1:$I$89,7,0))</f>
        <v>0</v>
      </c>
      <c r="BO58" s="135">
        <f>IF(ISNA(VLOOKUP(A58,'Données projet'!$A$87:$I$107,7,0)),0%,VLOOKUP(A58,'Données projet'!$A$87:$I$107,7,0))</f>
        <v>0</v>
      </c>
      <c r="BP58" s="142">
        <f>EXP(-LN(2)/35)*BP57+(1-EXP(-LN(2)/35))/(LN(2)/35)*BL58*BM58*VLOOKUP('Données projet'!$B$11,'Paramètres'!$A$1:$I$89,3,0)*0.475*44/12</f>
        <v>16.01699746</v>
      </c>
      <c r="BQ58" s="142">
        <f>EXP(-LN(2)/25)*BQ57+(1-EXP(-LN(2)/25))/(LN(2)/25)*Calculateur!BL58*Calculateur!BN58*VLOOKUP('Données projet'!$B$11,'Paramètres'!$A$1:$I$89,3,0)*0.475*44/12</f>
        <v>10.13334507</v>
      </c>
      <c r="BR58" s="142">
        <f>EXP(-LN(2)/2)*BR57+(1-EXP(-LN(2)/2))/(LN(2)/2)*BL58*BO58*VLOOKUP('Données projet'!$B$11,'Paramètres'!$A$1:$I$89,3,0)*0.475*44/12</f>
        <v>0.8642345442</v>
      </c>
      <c r="BS58" s="143">
        <f t="shared" si="10"/>
        <v>27.01457708</v>
      </c>
      <c r="BT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1">
        <f>VLOOKUP(A58,'Données projet'!$A$113:$I$133,2,0)</f>
        <v>590</v>
      </c>
      <c r="BW58" s="130">
        <f>VLOOKUP(A58,'Données projet'!$A$113:$I$133,9,0)</f>
        <v>21.6</v>
      </c>
      <c r="BX58" s="130">
        <f t="array" ref="BX58">INDEX(BW:BW,MIN(IF(ISNUMBER(BW58:BW254),ROW(BW58:BW254),"")))</f>
        <v>21.6</v>
      </c>
      <c r="BY58" s="130">
        <f>IF('Données projet'!$A$114&gt;35,BY57+BX58-CG57,IF(A58&lt;'Données projet'!$A$114,$BV$205^A58,IF(A58='Données projet'!$A$114,'Données projet'!$B$114,BY57+BX58-CG57)))</f>
        <v>590</v>
      </c>
      <c r="BZ58" s="130">
        <f>BY58*VLOOKUP('Données projet'!$B$12,'Paramètres'!$A$1:$I$89,3,0)*VLOOKUP('Données projet'!$B$12,'Paramètres'!$A$1:$I$89,5,0)</f>
        <v>291.46</v>
      </c>
      <c r="CA58" s="130">
        <f t="shared" si="40"/>
        <v>69.38315343</v>
      </c>
      <c r="CB58" s="141">
        <f t="shared" si="11"/>
        <v>628.4684922</v>
      </c>
      <c r="CC58" s="133">
        <f t="shared" si="12"/>
        <v>921.8018256</v>
      </c>
      <c r="CD58" s="133">
        <f>AVERAGE(OFFSET($CC$3,0,0,'Données projet'!$E$12+1,1))-AVERAGE(OFFSET($H$3,0,0,'Données projet'!$E$12+1,1))</f>
        <v>258.1672054</v>
      </c>
      <c r="CE58" s="133">
        <f t="shared" si="41"/>
        <v>296.0724261</v>
      </c>
      <c r="CF58" s="134">
        <f>IF(ISNA(VLOOKUP(A58,'Données projet'!$A$113:$I$133,3,0)),0,VLOOKUP(A58,'Données projet'!$A$113:$I$133,3,0))</f>
        <v>9</v>
      </c>
      <c r="CG58" s="134">
        <f>IF(ISNA(VLOOKUP(A58,'Données projet'!$A$113:$I$133,4,0)),0,VLOOKUP(A58,'Données projet'!$A$113:$I$133,4,0))</f>
        <v>63</v>
      </c>
      <c r="CH58" s="135">
        <f>IF(ISNA(VLOOKUP(A58,'Données projet'!$A$113:$I$133,5,0)),0%,VLOOKUP(A58,'Données projet'!$A$113:$I$133,5,0)*VLOOKUP('Données projet'!$B$12,'Paramètres'!$A$1:$I$89,7,0))</f>
        <v>0.44</v>
      </c>
      <c r="CI58" s="135">
        <f>IF(ISNA(VLOOKUP(A58,'Données projet'!$A$113:$I$133,6,0)),0%,VLOOKUP(A58,'Données projet'!$A$113:$I$133,6,0)*VLOOKUP('Données projet'!$B$12,'Paramètres'!$A$1:$I$89,7,0))</f>
        <v>0.0616</v>
      </c>
      <c r="CJ58" s="135">
        <f>IF(ISNA(VLOOKUP(A58,'Données projet'!$A$113:$I$133,7,0)),0%,VLOOKUP(A58,'Données projet'!$A$113:$I$133,7,0))</f>
        <v>0.09</v>
      </c>
      <c r="CK58" s="142">
        <f>EXP(-LN(2)/35)*CK57+(1-EXP(-LN(2)/35))/(LN(2)/35)*CG58*CH58*VLOOKUP('Données projet'!$B$12,'Paramètres'!$A$1:$I$89,3,0)*0.475*44/12</f>
        <v>59.81744183</v>
      </c>
      <c r="CL58" s="142">
        <f>EXP(-LN(2)/25)*CL57+(1-EXP(-LN(2)/25))/(LN(2)/25)*Calculateur!CG58*Calculateur!CI58*VLOOKUP('Données projet'!$B$12,'Paramètres'!$A$1:$I$89,3,0)*0.475*44/12</f>
        <v>29.8480645</v>
      </c>
      <c r="CM58" s="142">
        <f>EXP(-LN(2)/2)*CM57+(1-EXP(-LN(2)/2))/(LN(2)/2)*CG58*CJ58*VLOOKUP('Données projet'!$B$12,'Paramètres'!$A$1:$I$89,3,0)*0.475*44/12</f>
        <v>4.552883306</v>
      </c>
      <c r="CN58" s="143">
        <f t="shared" si="13"/>
        <v>94.21838963</v>
      </c>
      <c r="CO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8">
        <f>VLOOKUP(A58,'Données projet'!$A$139:$I$159,2,0)</f>
        <v>135</v>
      </c>
      <c r="CR58" s="130">
        <f>VLOOKUP(A58,'Données projet'!$A$139:$I$159,9,0)</f>
        <v>5.6</v>
      </c>
      <c r="CS58" s="130">
        <f t="array" ref="CS58">INDEX(CR:CR,MIN(IF(ISNUMBER(CR58:CR254),ROW(CR58:CR254),"")))</f>
        <v>5.6</v>
      </c>
      <c r="CT58" s="138">
        <f>IF('Données projet'!$A$140&gt;35,CT57+CS58-DB57,IF(A58&lt;'Données projet'!$A$140,$CQ$205^A58,IF(A58='Données projet'!$A$140,'Données projet'!$B$140,CT57+CS58-DB57)))</f>
        <v>135</v>
      </c>
      <c r="CU58" s="138">
        <f>CT58*VLOOKUP('Données projet'!$B$13,'Paramètres'!$A$1:$I$89,3,0)*VLOOKUP('Données projet'!$B$13,'Paramètres'!$A$1:$I$89,5,0)</f>
        <v>136.89</v>
      </c>
      <c r="CV58" s="130">
        <f t="shared" si="42"/>
        <v>35.58361935</v>
      </c>
      <c r="CW58" s="141">
        <f t="shared" si="14"/>
        <v>300.3915537</v>
      </c>
      <c r="CX58" s="133">
        <f t="shared" si="15"/>
        <v>593.724887</v>
      </c>
      <c r="CY58" s="133">
        <f>AVERAGE(OFFSET($CX$3,0,0,'Données projet'!$E$13+1,1))-AVERAGE(OFFSET($H$3,0,0,'Données projet'!$E$13+1,1))</f>
        <v>223.783507</v>
      </c>
      <c r="CZ58" s="133">
        <f t="shared" si="43"/>
        <v>84.92349117</v>
      </c>
      <c r="DA58" s="134">
        <f>IF(ISNA(VLOOKUP(A58,'Données projet'!$A$139:$I$159,3,0)),0,VLOOKUP(A58,'Données projet'!$A$139:$I$159,3,0))</f>
        <v>7</v>
      </c>
      <c r="DB58" s="144">
        <f>IF(ISNA(VLOOKUP(A58,'Données projet'!$A$139:$I$159,4,0)),0,VLOOKUP(A58,'Données projet'!$A$139:$I$159,4,0))</f>
        <v>14</v>
      </c>
      <c r="DC58" s="135">
        <f>IF(ISNA(VLOOKUP(A58,'Données projet'!$A$139:$I$159,5,0)),0%,VLOOKUP(A58,'Données projet'!$A$139:$I$159,5,0)*VLOOKUP('Données projet'!$B$13,'Paramètres'!$A$1:$I$89,7,0))</f>
        <v>0.129</v>
      </c>
      <c r="DD58" s="135">
        <f>IF(ISNA(VLOOKUP(A58,'Données projet'!$A$139:$I$159,6,0)),0%,VLOOKUP(A58,'Données projet'!$A$139:$I$159,6,0)*VLOOKUP('Données projet'!$B$13,'Paramètres'!$A$1:$I$89,7,0))</f>
        <v>0</v>
      </c>
      <c r="DE58" s="135" t="str">
        <f>IF(ISNA(VLOOKUP(A58,'Données projet'!$A$139:$I$159,7,0)),0%,VLOOKUP(A58,'Données projet'!$A$139:$I$159,7,0))</f>
        <v/>
      </c>
      <c r="DF58" s="142">
        <f>EXP(-LN(2)/35)*DF57+(1-EXP(-LN(2)/35))/(LN(2)/35)*DB58*DC58*VLOOKUP('Données projet'!$B$13,'Paramètres'!$A$1:$I$89,3,0)*0.475*44/12</f>
        <v>4.353954245</v>
      </c>
      <c r="DG58" s="142">
        <f>EXP(-LN(2)/25)*DG57+(1-EXP(-LN(2)/25))/(LN(2)/25)*Calculateur!DB58*Calculateur!DD58*VLOOKUP('Données projet'!$B$13,'Paramètres'!$A$1:$I$89,3,0)*0.475*44/12</f>
        <v>0</v>
      </c>
      <c r="DH58" s="142">
        <f>EXP(-LN(2)/2)*DH57+(1-EXP(-LN(2)/2))/(LN(2)/2)*DB58*DE58*VLOOKUP('Données projet'!$B$13,'Paramètres'!$A$1:$I$89,3,0)*0.475*44/12</f>
        <v>0</v>
      </c>
      <c r="DI58" s="143">
        <f t="shared" si="16"/>
        <v>4.353954245</v>
      </c>
      <c r="DJ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8">
        <f>VLOOKUP(A58,'Données projet'!$A$165:$I$185,2,0)</f>
        <v>197</v>
      </c>
      <c r="DM58" s="131">
        <f>VLOOKUP(A58,'Données projet'!$A$165:$I$185,9,0)</f>
        <v>8</v>
      </c>
      <c r="DN58" s="131">
        <f t="array" ref="DN58">INDEX(DM:DM,MIN(IF(ISNUMBER(DM58:DM254),ROW(DM58:DM254),"")))</f>
        <v>8</v>
      </c>
      <c r="DO58" s="138">
        <f>IF('Données projet'!$A$166&gt;35,DO57+DN58-DW57,IF(A58&lt;'Données projet'!$A$166,$DL$205^A58,IF(A58='Données projet'!$A$166,'Données projet'!$B$166,DO57+DN58-DW57)))</f>
        <v>197</v>
      </c>
      <c r="DP58" s="138">
        <f>DO58*VLOOKUP('Données projet'!$B$14,'Paramètres'!$A$1:$I$89,3,0)*VLOOKUP('Données projet'!$B$14,'Paramètres'!$A$1:$I$89,5,0)</f>
        <v>178.2456</v>
      </c>
      <c r="DQ58" s="130">
        <f t="shared" si="44"/>
        <v>44.93164227</v>
      </c>
      <c r="DR58" s="141">
        <f t="shared" si="17"/>
        <v>388.7003636</v>
      </c>
      <c r="DS58" s="133">
        <f t="shared" si="18"/>
        <v>682.033697</v>
      </c>
      <c r="DT58" s="133">
        <f>AVERAGE(OFFSET($DS$3,0,0,'Données projet'!$E$14+1,1))-AVERAGE(OFFSET($H$3,0,0,'Données projet'!$E$14+1,1))</f>
        <v>287.9334714</v>
      </c>
      <c r="DU58" s="133">
        <f t="shared" si="45"/>
        <v>156.6796502</v>
      </c>
      <c r="DV58" s="134">
        <f>IF(ISNA(VLOOKUP(A58,'Données projet'!$A$165:$I$185,3,0)),0,VLOOKUP(A58,'Données projet'!$A$165:$I$185,3,0))</f>
        <v>8</v>
      </c>
      <c r="DW58" s="144">
        <f>IF(ISNA(VLOOKUP(A58,'Données projet'!$A$165:$I$185,4,0)),0,VLOOKUP(A58,'Données projet'!$A$165:$I$185,4,0))</f>
        <v>21</v>
      </c>
      <c r="DX58" s="135">
        <f>IF(ISNA(VLOOKUP(A58,'Données projet'!$A$165:$I$185,5,0)),0%,VLOOKUP(A58,'Données projet'!$A$165:$I$185,5,0)*VLOOKUP('Données projet'!$B$14,'Paramètres'!$A$1:$I$89,7,0))</f>
        <v>0.129</v>
      </c>
      <c r="DY58" s="135">
        <f>IF(ISNA(VLOOKUP(A58,'Données projet'!$A$165:$I$185,6,0)),0%,VLOOKUP(A58,'Données projet'!$A$165:$I$185,6,0)*VLOOKUP('Données projet'!$B$14,'Paramètres'!$A$1:$I$89,7,0))</f>
        <v>0</v>
      </c>
      <c r="DZ58" s="135" t="str">
        <f>IF(ISNA(VLOOKUP(A58,'Données projet'!$A$165:$I$185,7,0)),0%,VLOOKUP(A58,'Données projet'!$A$165:$I$185,7,0))</f>
        <v/>
      </c>
      <c r="EA58" s="142">
        <f>EXP(-LN(2)/35)*EA57+(1-EXP(-LN(2)/35))/(LN(2)/35)*DW58*DX58*VLOOKUP('Données projet'!$B$14,'Paramètres'!$A$1:$I$89,3,0)*0.475*44/12</f>
        <v>7.98781748</v>
      </c>
      <c r="EB58" s="142">
        <f>EXP(-LN(2)/25)*EB57+(1-EXP(-LN(2)/25))/(LN(2)/25)*Calculateur!DW58*Calculateur!DY58*VLOOKUP('Données projet'!$B$14,'Paramètres'!$A$1:$I$89,3,0)*0.475*44/12</f>
        <v>0</v>
      </c>
      <c r="EC58" s="142">
        <f>EXP(-LN(2)/2)*EC57+(1-EXP(-LN(2)/2))/(LN(2)/2)*DW58*DZ58*VLOOKUP('Données projet'!$B$14,'Paramètres'!$A$1:$I$89,3,0)*0.475*44/12</f>
        <v>0</v>
      </c>
      <c r="ED58" s="143">
        <f t="shared" si="19"/>
        <v>7.98781748</v>
      </c>
      <c r="EE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8">
        <f>VLOOKUP(A58,'Données projet'!$A$191:$I$211,2,0)</f>
        <v>176</v>
      </c>
      <c r="EH58" s="131">
        <f>VLOOKUP(A58,'Données projet'!$A$191:$I$211,9,0)</f>
        <v>8.6</v>
      </c>
      <c r="EI58" s="131">
        <f t="array" ref="EI58">INDEX(EH:EH,MIN(IF(ISNUMBER(EH58:EH254),ROW(EH58:EH254),"")))</f>
        <v>8.6</v>
      </c>
      <c r="EJ58" s="138">
        <f>IF('Données projet'!$A$192&gt;35,EJ57+EI58-ER57,IF(A58&lt;'Données projet'!$A$192,$EG$205^A58,IF(A58='Données projet'!$A$192,'Données projet'!$B$192,EJ57+EI58-ER57)))</f>
        <v>176</v>
      </c>
      <c r="EK58" s="138">
        <f>EJ58*VLOOKUP('Données projet'!$B$15,'Paramètres'!$A$1:$I$89,3,0)*VLOOKUP('Données projet'!$B$15,'Paramètres'!$A$1:$I$89,5,0)</f>
        <v>129.0432</v>
      </c>
      <c r="EL58" s="130">
        <f t="shared" si="46"/>
        <v>33.77517598</v>
      </c>
      <c r="EM58" s="141">
        <f t="shared" si="20"/>
        <v>283.5753382</v>
      </c>
      <c r="EN58" s="133">
        <f t="shared" si="21"/>
        <v>576.9086715</v>
      </c>
      <c r="EO58" s="133">
        <f>AVERAGE(OFFSET($EN$3,0,0,'Données projet'!$E$15+1,1))-AVERAGE(OFFSET($H$3,0,0,'Données projet'!$E$15+1,1))</f>
        <v>130.3193339</v>
      </c>
      <c r="EP58" s="133">
        <f t="shared" si="47"/>
        <v>82.22784365</v>
      </c>
      <c r="EQ58" s="134">
        <f>IF(ISNA(VLOOKUP(A58,'Données projet'!$A$191:$I$211,3,0)),0,VLOOKUP(A58,'Données projet'!$A$191:$I$211,3,0))</f>
        <v>7</v>
      </c>
      <c r="ER58" s="144">
        <f>IF(ISNA(VLOOKUP(A58,'Données projet'!$A$191:$I$211,4,0)),0,VLOOKUP(A58,'Données projet'!$A$191:$I$211,4,0))</f>
        <v>21</v>
      </c>
      <c r="ES58" s="135">
        <f>IF(ISNA(VLOOKUP(A58,'Données projet'!$A$191:$I$211,5,0)),0%,VLOOKUP(A58,'Données projet'!$A$191:$I$211,5,0)*VLOOKUP('Données projet'!$B$15,'Paramètres'!$A$1:$I$89,7,0))</f>
        <v>0.172</v>
      </c>
      <c r="ET58" s="135">
        <f>IF(ISNA(VLOOKUP(A58,'Données projet'!$A$191:$I$211,6,0)),0%,VLOOKUP(A58,'Données projet'!$A$191:$I$211,6,0)*VLOOKUP('Données projet'!$B$15,'Paramètres'!$A$1:$I$89,7,0))</f>
        <v>0</v>
      </c>
      <c r="EU58" s="135" t="str">
        <f>IF(ISNA(VLOOKUP(A58,'Données projet'!$A$191:$I$211,7,0)),0%,VLOOKUP(A58,'Données projet'!$A$191:$I$211,7,0))</f>
        <v/>
      </c>
      <c r="EV58" s="142">
        <f>EXP(-LN(2)/35)*EV57+(1-EXP(-LN(2)/35))/(LN(2)/35)*ER58*ES58*VLOOKUP('Données projet'!$B$15,'Paramètres'!$A$1:$I$89,3,0)*0.475*44/12</f>
        <v>10.56343577</v>
      </c>
      <c r="EW58" s="142">
        <f>EXP(-LN(2)/25)*EW57+(1-EXP(-LN(2)/25))/(LN(2)/25)*Calculateur!ER58*Calculateur!ET58*VLOOKUP('Données projet'!$B$15,'Paramètres'!$A$1:$I$89,3,0)*0.475*44/12</f>
        <v>0</v>
      </c>
      <c r="EX58" s="142">
        <f>EXP(-LN(2)/2)*EX57+(1-EXP(-LN(2)/2))/(LN(2)/2)*ER58*EU58*VLOOKUP('Données projet'!$B$15,'Paramètres'!$A$1:$I$89,3,0)*0.475*44/12</f>
        <v>0</v>
      </c>
      <c r="EY58" s="143">
        <f t="shared" si="22"/>
        <v>10.56343577</v>
      </c>
      <c r="EZ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1">
        <f>VLOOKUP(A58,'Données projet'!$A$217:$I$237,2,0)</f>
        <v>272</v>
      </c>
      <c r="FC58" s="130">
        <f>VLOOKUP(A58,'Données projet'!$A$217:$I$237,9,0)</f>
        <v>4.8</v>
      </c>
      <c r="FD58" s="130">
        <f t="array" ref="FD58">INDEX(FC:FC,MIN(IF(ISNUMBER(FC58:FC254),ROW(FC58:FC254),"")))</f>
        <v>4.8</v>
      </c>
      <c r="FE58" s="130">
        <f>IF('Données projet'!$A$218&gt;35,FE57+FD58-FM57,IF(A58&lt;'Données projet'!$A$218,$FB$205^A58,IF(A58='Données projet'!$A$218,'Données projet'!$B$218,FE57+FD58-FM57)))</f>
        <v>272</v>
      </c>
      <c r="FF58" s="138">
        <f>FE58*VLOOKUP('Données projet'!$B$16,'Paramètres'!$A$1:$I$89,3,0)*VLOOKUP('Données projet'!$B$16,'Paramètres'!$A$1:$I$89,5,0)</f>
        <v>246.1056</v>
      </c>
      <c r="FG58" s="130">
        <f t="shared" si="48"/>
        <v>59.75125323</v>
      </c>
      <c r="FH58" s="141">
        <f t="shared" si="23"/>
        <v>532.700686</v>
      </c>
      <c r="FI58" s="133">
        <f t="shared" si="24"/>
        <v>826.0340194</v>
      </c>
      <c r="FJ58" s="133">
        <f>AVERAGE(OFFSET($FI$3,0,0,'Données projet'!$E$16+1,1))-AVERAGE(OFFSET($H$3,0,0,'Données projet'!$E$16+1,1))</f>
        <v>305.6252353</v>
      </c>
      <c r="FK58" s="133">
        <f t="shared" si="49"/>
        <v>331.397916</v>
      </c>
      <c r="FL58" s="134">
        <f>IF(ISNA(VLOOKUP(A58,'Données projet'!$A$217:$I$237,3,0)),0,VLOOKUP(A58,'Données projet'!$A$217:$I$237,3,0))</f>
        <v>9</v>
      </c>
      <c r="FM58" s="134">
        <f>IF(ISNA(VLOOKUP(A58,'Données projet'!$A$217:$I$237,4,0)),0,VLOOKUP(A58,'Données projet'!$A$217:$I$237,4,0))</f>
        <v>10</v>
      </c>
      <c r="FN58" s="135">
        <f>IF(ISNA(VLOOKUP(A58,'Données projet'!$A$217:$I$237,5,0)),0%,VLOOKUP(A58,'Données projet'!$A$217:$I$237,5,0)*VLOOKUP('Données projet'!$B$16,'Paramètres'!$A$1:$I$89,7,0))</f>
        <v>0.18</v>
      </c>
      <c r="FO58" s="135">
        <f>IF(ISNA(VLOOKUP(A58,'Données projet'!$A$217:$I$237,6,0)),0%,VLOOKUP(A58,'Données projet'!$A$217:$I$237,6,0)*VLOOKUP('Données projet'!$B$16,'Paramètres'!$A$1:$I$89,7,0))</f>
        <v>0</v>
      </c>
      <c r="FP58" s="135" t="str">
        <f>IF(ISNA(VLOOKUP(A58,'Données projet'!$A$217:$I$237,7,0)),0%,VLOOKUP(A58,'Données projet'!$A$217:$I$237,7,0))</f>
        <v/>
      </c>
      <c r="FQ58" s="142">
        <f>EXP(-LN(2)/35)*FQ57+(1-EXP(-LN(2)/35))/(LN(2)/35)*FM58*FN58*VLOOKUP('Données projet'!$B$16,'Paramètres'!$A$1:$I$89,3,0)*0.475*44/12</f>
        <v>5.546701313</v>
      </c>
      <c r="FR58" s="142">
        <f>EXP(-LN(2)/25)*FR57+(1-EXP(-LN(2)/25))/(LN(2)/25)*Calculateur!FM58*Calculateur!FO58*VLOOKUP('Données projet'!$B$16,'Paramètres'!$A$1:$I$89,3,0)*0.475*44/12</f>
        <v>0</v>
      </c>
      <c r="FS58" s="142">
        <f>EXP(-LN(2)/2)*FS57+(1-EXP(-LN(2)/2))/(LN(2)/2)*FM58*FP58*VLOOKUP('Données projet'!$B$16,'Paramètres'!$A$1:$I$89,3,0)*0.475*44/12</f>
        <v>0</v>
      </c>
      <c r="FT58" s="143">
        <f t="shared" si="25"/>
        <v>5.546701313</v>
      </c>
      <c r="FU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8">
        <f>VLOOKUP(A58,'Données projet'!$A$243:$I$263,2,0)</f>
        <v>244</v>
      </c>
      <c r="FX58" s="130">
        <f>VLOOKUP(A58,'Données projet'!$A$243:$I$263,9,0)</f>
        <v>11</v>
      </c>
      <c r="FY58" s="130">
        <f t="array" ref="FY58">INDEX(FX:FX,MIN(IF(ISNUMBER(FX58:FX254),ROW(FX58:FX254),"")))</f>
        <v>11</v>
      </c>
      <c r="FZ58" s="138">
        <f>IF('Données projet'!$A$244&gt;35,FZ57+FY58-GH57,IF(A58&lt;'Données projet'!$A$244,$FW$205^A58,IF(A58='Données projet'!$A$244,'Données projet'!$B$244,FZ57+FY58-GH57)))</f>
        <v>244</v>
      </c>
      <c r="GA58" s="138">
        <f>FZ58*VLOOKUP('Données projet'!$B$17,'Paramètres'!$A$1:$I$89,3,0)*VLOOKUP('Données projet'!$B$17,'Paramètres'!$A$1:$I$89,5,0)</f>
        <v>163.6752</v>
      </c>
      <c r="GB58" s="130">
        <f t="shared" si="50"/>
        <v>41.6703682</v>
      </c>
      <c r="GC58" s="141">
        <f t="shared" si="26"/>
        <v>357.6435313</v>
      </c>
      <c r="GD58" s="133">
        <f t="shared" si="27"/>
        <v>650.9768646</v>
      </c>
      <c r="GE58" s="133">
        <f>AVERAGE(OFFSET($GD$3,0,0,'Données projet'!$E$17+1,1))-AVERAGE(OFFSET($H$3,0,0,'Données projet'!$E$17+1,1))</f>
        <v>118.7368745</v>
      </c>
      <c r="GF58" s="133">
        <f t="shared" si="51"/>
        <v>135.1233677</v>
      </c>
      <c r="GG58" s="134">
        <f>IF(ISNA(VLOOKUP(A58,'Données projet'!$A$243:$I$263,3,0)),0,VLOOKUP(A58,'Données projet'!$A$243:$I$263,3,0))</f>
        <v>8</v>
      </c>
      <c r="GH58" s="144">
        <f>IF(ISNA(VLOOKUP(A58,'Données projet'!$A$243:$I$263,4,0)),0,VLOOKUP(A58,'Données projet'!$A$243:$I$263,4,0))</f>
        <v>28</v>
      </c>
      <c r="GI58" s="135">
        <f>IF(ISNA(VLOOKUP(A58,'Données projet'!$A$243:$I$263,5,0)),0%,VLOOKUP(A58,'Données projet'!$A$243:$I$263,5,0)*VLOOKUP('Données projet'!$B$17,'Paramètres'!$A$1:$I$89,7,0))</f>
        <v>0.318</v>
      </c>
      <c r="GJ58" s="135">
        <f>IF(ISNA(VLOOKUP(A58,'Données projet'!$A$243:$I$263,6,0)),0%,VLOOKUP(A58,'Données projet'!$A$243:$I$263,6,0)*VLOOKUP('Données projet'!$B$17,'Paramètres'!$A$1:$I$89,7,0))</f>
        <v>0</v>
      </c>
      <c r="GK58" s="135" t="str">
        <f>IF(ISNA(VLOOKUP(A58,'Données projet'!$A$243:$I$263,7,0)),0%,VLOOKUP(A58,'Données projet'!$A$243:$I$263,7,0))</f>
        <v/>
      </c>
      <c r="GL58" s="142">
        <f>EXP(-LN(2)/35)*GL57+(1-EXP(-LN(2)/35))/(LN(2)/35)*GH58*GI58*VLOOKUP('Données projet'!$B$17,'Paramètres'!$A$1:$I$89,3,0)*0.475*44/12</f>
        <v>20.94567539</v>
      </c>
      <c r="GM58" s="142">
        <f>EXP(-LN(2)/25)*GM57+(1-EXP(-LN(2)/25))/(LN(2)/25)*Calculateur!GH58*Calculateur!GJ58*VLOOKUP('Données projet'!$B$17,'Paramètres'!$A$1:$I$89,3,0)*0.475*44/12</f>
        <v>0</v>
      </c>
      <c r="GN58" s="142">
        <f>EXP(-LN(2)/2)*GN57+(1-EXP(-LN(2)/2))/(LN(2)/2)*GH58*GK58*VLOOKUP('Données projet'!$B$17,'Paramètres'!$A$1:$I$89,3,0)*0.475*44/12</f>
        <v>0</v>
      </c>
      <c r="GO58" s="142">
        <f t="shared" si="28"/>
        <v>20.94567539</v>
      </c>
      <c r="GP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8">
        <f>VLOOKUP(A58,'Données projet'!$A$269:$I$289,2,0)</f>
        <v>135</v>
      </c>
      <c r="GS58" s="130">
        <f>VLOOKUP(A58,'Données projet'!$A$269:$I$289,9,0)</f>
        <v>5.6</v>
      </c>
      <c r="GT58" s="130">
        <f t="array" ref="GT58">INDEX(GS:GS,MIN(IF(ISNUMBER(GS58:GS254),ROW(GS58:GS254),"")))</f>
        <v>5.6</v>
      </c>
      <c r="GU58" s="138">
        <f>IF('Données projet'!$A$270&gt;35,GU57+GT58-HC57,IF(A58&lt;'Données projet'!$A$270,$GR$205^A58,IF(A58='Données projet'!$A$270,'Données projet'!$B$270,GU57+GT58-HC57)))</f>
        <v>135</v>
      </c>
      <c r="GV58" s="138">
        <f>GU58*VLOOKUP('Données projet'!$B$18,'Paramètres'!$A$1:$I$89,3,0)*VLOOKUP('Données projet'!$B$18,'Paramètres'!$A$1:$I$89,5,0)</f>
        <v>145.314</v>
      </c>
      <c r="GW58" s="130">
        <f t="shared" si="52"/>
        <v>37.51171623</v>
      </c>
      <c r="GX58" s="141">
        <f t="shared" si="29"/>
        <v>318.4214558</v>
      </c>
      <c r="GY58" s="133">
        <f t="shared" si="30"/>
        <v>611.7547891</v>
      </c>
      <c r="GZ58" s="133">
        <f>AVERAGE(OFFSET($GY$3,0,0,'Données projet'!$E$18+1,1))-AVERAGE(OFFSET($H$3,0,0,'Données projet'!$E$18+1,1))</f>
        <v>100.5427875</v>
      </c>
      <c r="HA58" s="133">
        <f t="shared" si="53"/>
        <v>92.28663609</v>
      </c>
      <c r="HB58" s="134">
        <f>IF(ISNA(VLOOKUP(A58,'Données projet'!$A$269:$I$289,3,0)),0,VLOOKUP(A58,'Données projet'!$A$269:$I$289,3,0))</f>
        <v>7</v>
      </c>
      <c r="HC58" s="144">
        <f>IF(ISNA(VLOOKUP(A58,'Données projet'!$A$269:$I$289,4,0)),0,VLOOKUP(A58,'Données projet'!$A$269:$I$289,4,0))</f>
        <v>14</v>
      </c>
      <c r="HD58" s="135">
        <f>IF(ISNA(VLOOKUP(A58,'Données projet'!$A$269:$I$289,5,0)),0%,VLOOKUP(A58,'Données projet'!$A$269:$I$289,5,0)*VLOOKUP('Données projet'!$B$18,'Paramètres'!$A$1:$I$89,7,0))</f>
        <v>0.258</v>
      </c>
      <c r="HE58" s="135">
        <f>IF(ISNA(VLOOKUP(A58,'Données projet'!$A$269:$I$289,6,0)),0%,VLOOKUP(A58,'Données projet'!$A$269:$I$289,6,0)*VLOOKUP('Données projet'!$B$18,'Paramètres'!$A$1:$I$89,7,0))</f>
        <v>0</v>
      </c>
      <c r="HF58" s="135" t="str">
        <f>IF(ISNA(VLOOKUP(A58,'Données projet'!$A$269:$I$289,7,0)),0%,VLOOKUP(A58,'Données projet'!$A$269:$I$289,7,0))</f>
        <v/>
      </c>
      <c r="HG58" s="142">
        <f>EXP(-LN(2)/35)*HG57+(1-EXP(-LN(2)/35))/(LN(2)/35)*HC58*HD58*VLOOKUP('Données projet'!$B$18,'Paramètres'!$A$1:$I$89,3,0)*0.475*44/12</f>
        <v>11.20350458</v>
      </c>
      <c r="HH58" s="142">
        <f>EXP(-LN(2)/25)*HH57+(1-EXP(-LN(2)/25))/(LN(2)/25)*Calculateur!HC58*Calculateur!HE58*VLOOKUP('Données projet'!$B$18,'Paramètres'!$A$1:$I$89,3,0)*0.475*44/12</f>
        <v>0</v>
      </c>
      <c r="HI58" s="142">
        <f>EXP(-LN(2)/2)*HI57+(1-EXP(-LN(2)/2))/(LN(2)/2)*HC58*HF58*VLOOKUP('Données projet'!$B$18,'Paramètres'!$A$1:$I$89,3,0)*0.475*44/12</f>
        <v>0</v>
      </c>
      <c r="HJ58" s="143">
        <f t="shared" si="31"/>
        <v>11.20350458</v>
      </c>
    </row>
    <row r="59" ht="15.75" customHeight="1">
      <c r="A59" s="125">
        <f t="shared" si="32"/>
        <v>56</v>
      </c>
      <c r="B59" s="126">
        <f>'Scénario référence'!$B$16*5+'Scénario référence'!$B$17*0+'Scénario référence'!$B$18*5</f>
        <v>0</v>
      </c>
      <c r="C59" s="140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30.576</v>
      </c>
      <c r="D59" s="127">
        <f t="shared" si="33"/>
        <v>9.463121684</v>
      </c>
      <c r="E5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7">
        <f>IF(OR('Scénario référence'!$F$8&gt;0,'Scénario référence'!$F$9&gt;0),('Scénario référence'!$F$8+'Scénario référence'!$F$9)*10,0)</f>
        <v>10</v>
      </c>
      <c r="G59" s="127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309.0739218</v>
      </c>
      <c r="H59" s="128">
        <f t="shared" si="1"/>
        <v>363.0681369</v>
      </c>
      <c r="I59" s="12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1" t="str">
        <f>VLOOKUP(A59,'Données projet'!$A$35:$I$55,2,0)</f>
        <v>#N/A</v>
      </c>
      <c r="L59" s="131" t="str">
        <f>VLOOKUP(A59,'Données projet'!$A$35:$I$55,9,0)</f>
        <v>#N/A</v>
      </c>
      <c r="M59" s="130">
        <f t="array" ref="M59">INDEX(L:L,MIN(IF(ISNUMBER(L59:L255),ROW(L59:L255),"")))</f>
        <v>10.8</v>
      </c>
      <c r="N59" s="130">
        <f>IF('Données projet'!$A$36&gt;35,N58+M59-V58,IF(A59&lt;'Données projet'!$A$36,$K$205^A59,IF(A59='Données projet'!$A$36,'Données projet'!$B$36,N58+M59-V58)))</f>
        <v>285.8</v>
      </c>
      <c r="O59" s="130">
        <f>N59*VLOOKUP('Données projet'!$B$9,'Paramètres'!$A$1:$I$89,3,0)*VLOOKUP('Données projet'!$B$9,'Paramètres'!$A$1:$I$89,5,0)</f>
        <v>163.4776</v>
      </c>
      <c r="P59" s="130">
        <f t="shared" si="34"/>
        <v>41.6259135</v>
      </c>
      <c r="Q59" s="141">
        <f t="shared" si="2"/>
        <v>357.2219527</v>
      </c>
      <c r="R59" s="133">
        <f t="shared" si="3"/>
        <v>650.555286</v>
      </c>
      <c r="S59" s="133">
        <f>AVERAGE(OFFSET($R$3,0,0,'Données projet'!$E$9+1,1))-AVERAGE(OFFSET($H$3,0,0,'Données projet'!$E$9+1,1))</f>
        <v>126.9946492</v>
      </c>
      <c r="T59" s="133">
        <f t="shared" si="35"/>
        <v>140.039049</v>
      </c>
      <c r="U59" s="134">
        <f>IF(ISNA(VLOOKUP(A59,'Données projet'!$A$35:$I$55,3,0)),0,VLOOKUP(A59,'Données projet'!$A$35:$I$55,3,0))</f>
        <v>0</v>
      </c>
      <c r="V59" s="134">
        <f>IF(ISNA(VLOOKUP(A59,'Données projet'!$A$35:$I$55,4,0)),0,VLOOKUP(A59,'Données projet'!$A$35:$I$55,4,0))</f>
        <v>0</v>
      </c>
      <c r="W59" s="135">
        <f>IF(ISNA(VLOOKUP(A59,'Données projet'!$A$35:$I$55,5,0)),0%,VLOOKUP(A59,'Données projet'!$A$35:$I$55,5,0)*VLOOKUP('Données projet'!$B$9,'Paramètres'!$A$1:$I$89,7,0))</f>
        <v>0</v>
      </c>
      <c r="X59" s="135">
        <f>IF(ISNA(VLOOKUP(A59,'Données projet'!$A$35:$I$55,6,0)),0%,VLOOKUP(A59,'Données projet'!$A$35:$I$55,6,0)*VLOOKUP('Données projet'!$B$9,'Paramètres'!$A$1:$I$89,7,0))</f>
        <v>0</v>
      </c>
      <c r="Y59" s="135">
        <f>IF(ISNA(VLOOKUP(A59,'Données projet'!$A$35:$I$55,7,0)),0%,VLOOKUP(A59,'Données projet'!$A$35:$I$55,7,0))</f>
        <v>0</v>
      </c>
      <c r="Z59" s="142">
        <f>EXP(-LN(2)/35)*Z58+(1-EXP(-LN(2)/35))/(LN(2)/35)*V59*W59*VLOOKUP('Données projet'!$B$9,'Paramètres'!$A$1:$I$89,3,0)*0.475*44/12</f>
        <v>17.7061711</v>
      </c>
      <c r="AA59" s="142">
        <f>EXP(-LN(2)/25)*AA58+(1-EXP(-LN(2)/25))/(LN(2)/25)*Calculateur!V59*Calculateur!X59*VLOOKUP('Données projet'!$B$9,'Paramètres'!$A$1:$I$89,3,0)*0.475*44/12</f>
        <v>11.9618489</v>
      </c>
      <c r="AB59" s="142">
        <f>EXP(-LN(2)/2)*AB58+(1-EXP(-LN(2)/2))/(LN(2)/2)*V59*Y59*VLOOKUP('Données projet'!$B$9,'Paramètres'!$A$1:$I$89,3,0)*0.475*44/12</f>
        <v>0.9559537161</v>
      </c>
      <c r="AC59" s="143">
        <f t="shared" si="4"/>
        <v>30.62397372</v>
      </c>
      <c r="AD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1" t="str">
        <f>VLOOKUP(A59,'Données projet'!$A$61:$I$81,2,0)</f>
        <v>#N/A</v>
      </c>
      <c r="AG59" s="131" t="str">
        <f>VLOOKUP(A59,'Données projet'!$A$61:$I$81,9,0)</f>
        <v>#N/A</v>
      </c>
      <c r="AH59" s="131">
        <f t="array" ref="AH59">INDEX(AG:AG,MIN(IF(ISNUMBER(AG59:AG255),ROW(AG59:AG255),"")))</f>
        <v>17.625</v>
      </c>
      <c r="AI59" s="130">
        <f>IF('Données projet'!$A$62&gt;35,AI58+AH59-AQ58,IF(A59&lt;'Données projet'!$A$62,$AF$205^A59,IF(A59='Données projet'!$A$62,'Données projet'!$B$62,AI58+AH59-AQ58)))</f>
        <v>404.75</v>
      </c>
      <c r="AJ59" s="130">
        <f>AI59*VLOOKUP('Données projet'!$B$10,'Paramètres'!$A$1:$I$89,3,0)*VLOOKUP('Données projet'!$B$10,'Paramètres'!$A$1:$I$89,5,0)</f>
        <v>242.0405</v>
      </c>
      <c r="AK59" s="130">
        <f t="shared" si="36"/>
        <v>58.87833744</v>
      </c>
      <c r="AL59" s="141">
        <f t="shared" si="5"/>
        <v>524.1003085</v>
      </c>
      <c r="AM59" s="133">
        <f t="shared" si="6"/>
        <v>817.4336419</v>
      </c>
      <c r="AN59" s="133">
        <f>AVERAGE(OFFSET($AM$3,0,0,'Données projet'!$E$10+1,1))-AVERAGE(OFFSET($H$3,0,0,'Données projet'!$E$10+1,1))</f>
        <v>196.874484</v>
      </c>
      <c r="AO59" s="133">
        <f t="shared" si="37"/>
        <v>217.5750859</v>
      </c>
      <c r="AP59" s="134">
        <f>IF(ISNA(VLOOKUP(A59,'Données projet'!$A$61:$I$81,3,0)),0,VLOOKUP(A59,'Données projet'!$A$61:$I$81,3,0))</f>
        <v>0</v>
      </c>
      <c r="AQ59" s="134">
        <f>IF(ISNA(VLOOKUP(A59,'Données projet'!$A$61:$I$81,4,0)),0,VLOOKUP(A59,'Données projet'!$A$61:$I$81,4,0))</f>
        <v>0</v>
      </c>
      <c r="AR59" s="135">
        <f>IF(ISNA(VLOOKUP(A59,'Données projet'!$A$61:$I$81,5,0)),0%,VLOOKUP(A59,'Données projet'!$A$61:$I$81,5,0)*VLOOKUP('Données projet'!$B$10,'Paramètres'!$A$1:$I$89,7,0))</f>
        <v>0</v>
      </c>
      <c r="AS59" s="135">
        <f>IF(ISNA(VLOOKUP(A59,'Données projet'!$A$61:$I$81,6,0)),0%,VLOOKUP(A59,'Données projet'!$A$61:$I$81,6,0)*VLOOKUP('Données projet'!$B$10,'Paramètres'!$A$1:$I$89,7,0))</f>
        <v>0</v>
      </c>
      <c r="AT59" s="135">
        <f>IF(ISNA(VLOOKUP(A59,'Données projet'!$A$61:$I$81,7,0)),0%,VLOOKUP(A59,'Données projet'!$A$61:$I$81,7,0))</f>
        <v>0</v>
      </c>
      <c r="AU59" s="142">
        <f>EXP(-LN(2)/35)*AU58+(1-EXP(-LN(2)/35))/(LN(2)/35)*AQ59*AR59*VLOOKUP('Données projet'!$B$10,'Paramètres'!$A$1:$I$89,3,0)*0.475*44/12</f>
        <v>23.81291725</v>
      </c>
      <c r="AV59" s="142">
        <f>EXP(-LN(2)/25)*AV58+(1-EXP(-LN(2)/25))/(LN(2)/25)*Calculateur!AQ59*Calculateur!AS59*VLOOKUP('Données projet'!$B$10,'Paramètres'!$A$1:$I$89,3,0)*0.475*44/12</f>
        <v>20.34224268</v>
      </c>
      <c r="AW59" s="142">
        <f>EXP(-LN(2)/2)*AW58+(1-EXP(-LN(2)/2))/(LN(2)/2)*AQ59*AT59*VLOOKUP('Données projet'!$B$10,'Paramètres'!$A$1:$I$89,3,0)*0.475*44/12</f>
        <v>1.035319</v>
      </c>
      <c r="AX59" s="142">
        <f t="shared" si="7"/>
        <v>45.19047893</v>
      </c>
      <c r="AY59" s="13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1" t="str">
        <f>VLOOKUP(A59,'Données projet'!$A$87:$I$107,2,0)</f>
        <v>#N/A</v>
      </c>
      <c r="BB59" s="131" t="str">
        <f>VLOOKUP(A59,'Données projet'!$A$87:$I$107,9,0)</f>
        <v>#N/A</v>
      </c>
      <c r="BC59" s="130">
        <f t="array" ref="BC59">INDEX(BB:BB,MIN(IF(ISNUMBER(BB59:BB255),ROW(BB59:BB255),"")))</f>
        <v>14</v>
      </c>
      <c r="BD59" s="130">
        <f>IF('Données projet'!$A$88&gt;35,BD58+BC59-BL58,IF(A59&lt;'Données projet'!$A$88,$BA$205^A59,IF(A59='Données projet'!$A$88,'Données projet'!$B$88,BD58+BC59-BL58)))</f>
        <v>334</v>
      </c>
      <c r="BE59" s="130">
        <f>BD59*VLOOKUP('Données projet'!$B$11,'Paramètres'!$A$1:$I$89,3,0)*VLOOKUP('Données projet'!$B$11,'Paramètres'!$A$1:$I$89,5,0)</f>
        <v>156.312</v>
      </c>
      <c r="BF59" s="130">
        <f t="shared" si="38"/>
        <v>40.0095511</v>
      </c>
      <c r="BG59" s="141">
        <f t="shared" si="8"/>
        <v>341.9267015</v>
      </c>
      <c r="BH59" s="133">
        <f t="shared" si="9"/>
        <v>635.2600348</v>
      </c>
      <c r="BI59" s="133">
        <f>AVERAGE(OFFSET($BH$3,0,0,'Données projet'!$E$11+1,1))-AVERAGE(OFFSET($H$3,0,0,'Données projet'!$E$11+1,1))</f>
        <v>134.0948534</v>
      </c>
      <c r="BJ59" s="133">
        <f t="shared" si="39"/>
        <v>108.4102536</v>
      </c>
      <c r="BK59" s="134">
        <f>IF(ISNA(VLOOKUP(A59,'Données projet'!$A$87:$I$107,3,0)),0,VLOOKUP(A59,'Données projet'!$A$87:$I$107,3,0))</f>
        <v>0</v>
      </c>
      <c r="BL59" s="134">
        <f>IF(ISNA(VLOOKUP(A59,'Données projet'!$A$87:$I$107,4,0)),0,VLOOKUP(A59,'Données projet'!$A$87:$I$107,4,0))</f>
        <v>0</v>
      </c>
      <c r="BM59" s="135">
        <f>IF(ISNA(VLOOKUP(A59,'Données projet'!$A$87:$I$107,5,0)),0%,VLOOKUP(A59,'Données projet'!$A$87:$I$107,5,0)*VLOOKUP('Données projet'!$B$11,'Paramètres'!$A$1:$I$89,7,0))</f>
        <v>0</v>
      </c>
      <c r="BN59" s="135">
        <f>IF(ISNA(VLOOKUP(A59,'Données projet'!$A$87:$I$107,6,0)),0%,VLOOKUP(A59,'Données projet'!$A$87:$I$107,6,0)*VLOOKUP('Données projet'!$B$11,'Paramètres'!$A$1:$I$89,7,0))</f>
        <v>0</v>
      </c>
      <c r="BO59" s="135">
        <f>IF(ISNA(VLOOKUP(A59,'Données projet'!$A$87:$I$107,7,0)),0%,VLOOKUP(A59,'Données projet'!$A$87:$I$107,7,0))</f>
        <v>0</v>
      </c>
      <c r="BP59" s="142">
        <f>EXP(-LN(2)/35)*BP58+(1-EXP(-LN(2)/35))/(LN(2)/35)*BL59*BM59*VLOOKUP('Données projet'!$B$11,'Paramètres'!$A$1:$I$89,3,0)*0.475*44/12</f>
        <v>15.70291391</v>
      </c>
      <c r="BQ59" s="142">
        <f>EXP(-LN(2)/25)*BQ58+(1-EXP(-LN(2)/25))/(LN(2)/25)*Calculateur!BL59*Calculateur!BN59*VLOOKUP('Données projet'!$B$11,'Paramètres'!$A$1:$I$89,3,0)*0.475*44/12</f>
        <v>9.856248214</v>
      </c>
      <c r="BR59" s="142">
        <f>EXP(-LN(2)/2)*BR58+(1-EXP(-LN(2)/2))/(LN(2)/2)*BL59*BO59*VLOOKUP('Données projet'!$B$11,'Paramètres'!$A$1:$I$89,3,0)*0.475*44/12</f>
        <v>0.6111061068</v>
      </c>
      <c r="BS59" s="143">
        <f t="shared" si="10"/>
        <v>26.17026823</v>
      </c>
      <c r="BT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1" t="str">
        <f>VLOOKUP(A59,'Données projet'!$A$113:$I$133,2,0)</f>
        <v>#N/A</v>
      </c>
      <c r="BW59" s="131" t="str">
        <f>VLOOKUP(A59,'Données projet'!$A$113:$I$133,9,0)</f>
        <v>#N/A</v>
      </c>
      <c r="BX59" s="130">
        <f t="array" ref="BX59">INDEX(BW:BW,MIN(IF(ISNUMBER(BW59:BW255),ROW(BW59:BW255),"")))</f>
        <v>20.4</v>
      </c>
      <c r="BY59" s="130">
        <f>IF('Données projet'!$A$114&gt;35,BY58+BX59-CG58,IF(A59&lt;'Données projet'!$A$114,$BV$205^A59,IF(A59='Données projet'!$A$114,'Données projet'!$B$114,BY58+BX59-CG58)))</f>
        <v>547.4</v>
      </c>
      <c r="BZ59" s="130">
        <f>BY59*VLOOKUP('Données projet'!$B$12,'Paramètres'!$A$1:$I$89,3,0)*VLOOKUP('Données projet'!$B$12,'Paramètres'!$A$1:$I$89,5,0)</f>
        <v>270.4156</v>
      </c>
      <c r="CA59" s="130">
        <f t="shared" si="40"/>
        <v>64.9374622</v>
      </c>
      <c r="CB59" s="141">
        <f t="shared" si="11"/>
        <v>584.07325</v>
      </c>
      <c r="CC59" s="133">
        <f t="shared" si="12"/>
        <v>877.4065833</v>
      </c>
      <c r="CD59" s="133">
        <f>AVERAGE(OFFSET($CC$3,0,0,'Données projet'!$E$12+1,1))-AVERAGE(OFFSET($H$3,0,0,'Données projet'!$E$12+1,1))</f>
        <v>258.1672054</v>
      </c>
      <c r="CE59" s="133">
        <f t="shared" si="41"/>
        <v>296.0724261</v>
      </c>
      <c r="CF59" s="134">
        <f>IF(ISNA(VLOOKUP(A59,'Données projet'!$A$113:$I$133,3,0)),0,VLOOKUP(A59,'Données projet'!$A$113:$I$133,3,0))</f>
        <v>0</v>
      </c>
      <c r="CG59" s="134">
        <f>IF(ISNA(VLOOKUP(A59,'Données projet'!$A$113:$I$133,4,0)),0,VLOOKUP(A59,'Données projet'!$A$113:$I$133,4,0))</f>
        <v>0</v>
      </c>
      <c r="CH59" s="135">
        <f>IF(ISNA(VLOOKUP(A59,'Données projet'!$A$113:$I$133,5,0)),0%,VLOOKUP(A59,'Données projet'!$A$113:$I$133,5,0)*VLOOKUP('Données projet'!$B$12,'Paramètres'!$A$1:$I$89,7,0))</f>
        <v>0</v>
      </c>
      <c r="CI59" s="135">
        <f>IF(ISNA(VLOOKUP(A59,'Données projet'!$A$113:$I$133,6,0)),0%,VLOOKUP(A59,'Données projet'!$A$113:$I$133,6,0)*VLOOKUP('Données projet'!$B$12,'Paramètres'!$A$1:$I$89,7,0))</f>
        <v>0</v>
      </c>
      <c r="CJ59" s="135">
        <f>IF(ISNA(VLOOKUP(A59,'Données projet'!$A$113:$I$133,7,0)),0%,VLOOKUP(A59,'Données projet'!$A$113:$I$133,7,0))</f>
        <v>0</v>
      </c>
      <c r="CK59" s="142">
        <f>EXP(-LN(2)/35)*CK58+(1-EXP(-LN(2)/35))/(LN(2)/35)*CG59*CH59*VLOOKUP('Données projet'!$B$12,'Paramètres'!$A$1:$I$89,3,0)*0.475*44/12</f>
        <v>58.64445828</v>
      </c>
      <c r="CL59" s="142">
        <f>EXP(-LN(2)/25)*CL58+(1-EXP(-LN(2)/25))/(LN(2)/25)*Calculateur!CG59*Calculateur!CI59*VLOOKUP('Données projet'!$B$12,'Paramètres'!$A$1:$I$89,3,0)*0.475*44/12</f>
        <v>29.0318676</v>
      </c>
      <c r="CM59" s="142">
        <f>EXP(-LN(2)/2)*CM58+(1-EXP(-LN(2)/2))/(LN(2)/2)*CG59*CJ59*VLOOKUP('Données projet'!$B$12,'Paramètres'!$A$1:$I$89,3,0)*0.475*44/12</f>
        <v>3.219374659</v>
      </c>
      <c r="CN59" s="143">
        <f t="shared" si="13"/>
        <v>90.89570054</v>
      </c>
      <c r="CO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1" t="str">
        <f>VLOOKUP(A59,'Données projet'!$A$139:$I$159,2,0)</f>
        <v>#N/A</v>
      </c>
      <c r="CR59" s="131" t="str">
        <f>VLOOKUP(A59,'Données projet'!$A$139:$I$159,9,0)</f>
        <v>#N/A</v>
      </c>
      <c r="CS59" s="130">
        <f t="array" ref="CS59">INDEX(CR:CR,MIN(IF(ISNUMBER(CR59:CR255),ROW(CR59:CR255),"")))</f>
        <v>5.4</v>
      </c>
      <c r="CT59" s="138">
        <f>IF('Données projet'!$A$140&gt;35,CT58+CS59-DB58,IF(A59&lt;'Données projet'!$A$140,$CQ$205^A59,IF(A59='Données projet'!$A$140,'Données projet'!$B$140,CT58+CS59-DB58)))</f>
        <v>126.4</v>
      </c>
      <c r="CU59" s="138">
        <f>CT59*VLOOKUP('Données projet'!$B$13,'Paramètres'!$A$1:$I$89,3,0)*VLOOKUP('Données projet'!$B$13,'Paramètres'!$A$1:$I$89,5,0)</f>
        <v>128.1696</v>
      </c>
      <c r="CV59" s="130">
        <f t="shared" si="42"/>
        <v>33.57305921</v>
      </c>
      <c r="CW59" s="141">
        <f t="shared" si="14"/>
        <v>281.7017981</v>
      </c>
      <c r="CX59" s="133">
        <f t="shared" si="15"/>
        <v>575.0351315</v>
      </c>
      <c r="CY59" s="133">
        <f>AVERAGE(OFFSET($CX$3,0,0,'Données projet'!$E$13+1,1))-AVERAGE(OFFSET($H$3,0,0,'Données projet'!$E$13+1,1))</f>
        <v>223.783507</v>
      </c>
      <c r="CZ59" s="133">
        <f t="shared" si="43"/>
        <v>84.92349117</v>
      </c>
      <c r="DA59" s="134">
        <f>IF(ISNA(VLOOKUP(A59,'Données projet'!$A$139:$I$159,3,0)),0,VLOOKUP(A59,'Données projet'!$A$139:$I$159,3,0))</f>
        <v>0</v>
      </c>
      <c r="DB59" s="134">
        <f>IF(ISNA(VLOOKUP(A59,'Données projet'!$A$139:$I$159,4,0)),0,VLOOKUP(A59,'Données projet'!$A$139:$I$159,4,0))</f>
        <v>0</v>
      </c>
      <c r="DC59" s="135">
        <f>IF(ISNA(VLOOKUP(A59,'Données projet'!$A$139:$I$159,5,0)),0%,VLOOKUP(A59,'Données projet'!$A$139:$I$159,5,0)*VLOOKUP('Données projet'!$B$13,'Paramètres'!$A$1:$I$89,7,0))</f>
        <v>0</v>
      </c>
      <c r="DD59" s="135">
        <f>IF(ISNA(VLOOKUP(A59,'Données projet'!$A$139:$I$159,6,0)),0%,VLOOKUP(A59,'Données projet'!$A$139:$I$159,6,0)*VLOOKUP('Données projet'!$B$13,'Paramètres'!$A$1:$I$89,7,0))</f>
        <v>0</v>
      </c>
      <c r="DE59" s="135">
        <f>IF(ISNA(VLOOKUP(A59,'Données projet'!$A$139:$I$159,7,0)),0%,VLOOKUP(A59,'Données projet'!$A$139:$I$159,7,0))</f>
        <v>0</v>
      </c>
      <c r="DF59" s="142">
        <f>EXP(-LN(2)/35)*DF58+(1-EXP(-LN(2)/35))/(LN(2)/35)*DB59*DC59*VLOOKUP('Données projet'!$B$13,'Paramètres'!$A$1:$I$89,3,0)*0.475*44/12</f>
        <v>4.268575858</v>
      </c>
      <c r="DG59" s="142">
        <f>EXP(-LN(2)/25)*DG58+(1-EXP(-LN(2)/25))/(LN(2)/25)*Calculateur!DB59*Calculateur!DD59*VLOOKUP('Données projet'!$B$13,'Paramètres'!$A$1:$I$89,3,0)*0.475*44/12</f>
        <v>0</v>
      </c>
      <c r="DH59" s="142">
        <f>EXP(-LN(2)/2)*DH58+(1-EXP(-LN(2)/2))/(LN(2)/2)*DB59*DE59*VLOOKUP('Données projet'!$B$13,'Paramètres'!$A$1:$I$89,3,0)*0.475*44/12</f>
        <v>0</v>
      </c>
      <c r="DI59" s="143">
        <f t="shared" si="16"/>
        <v>4.268575858</v>
      </c>
      <c r="DJ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1" t="str">
        <f>VLOOKUP(A59,'Données projet'!$A$165:$I$185,2,0)</f>
        <v>#N/A</v>
      </c>
      <c r="DM59" s="131" t="str">
        <f>VLOOKUP(A59,'Données projet'!$A$165:$I$185,9,0)</f>
        <v>#N/A</v>
      </c>
      <c r="DN59" s="131">
        <f t="array" ref="DN59">INDEX(DM:DM,MIN(IF(ISNUMBER(DM59:DM255),ROW(DM59:DM255),"")))</f>
        <v>7.6</v>
      </c>
      <c r="DO59" s="138">
        <f>IF('Données projet'!$A$166&gt;35,DO58+DN59-DW58,IF(A59&lt;'Données projet'!$A$166,$DL$205^A59,IF(A59='Données projet'!$A$166,'Données projet'!$B$166,DO58+DN59-DW58)))</f>
        <v>183.6</v>
      </c>
      <c r="DP59" s="138">
        <f>DO59*VLOOKUP('Données projet'!$B$14,'Paramètres'!$A$1:$I$89,3,0)*VLOOKUP('Données projet'!$B$14,'Paramètres'!$A$1:$I$89,5,0)</f>
        <v>166.12128</v>
      </c>
      <c r="DQ59" s="130">
        <f t="shared" si="44"/>
        <v>42.22015587</v>
      </c>
      <c r="DR59" s="141">
        <f t="shared" si="17"/>
        <v>362.8613341</v>
      </c>
      <c r="DS59" s="133">
        <f t="shared" si="18"/>
        <v>656.1946675</v>
      </c>
      <c r="DT59" s="133">
        <f>AVERAGE(OFFSET($DS$3,0,0,'Données projet'!$E$14+1,1))-AVERAGE(OFFSET($H$3,0,0,'Données projet'!$E$14+1,1))</f>
        <v>287.9334714</v>
      </c>
      <c r="DU59" s="133">
        <f t="shared" si="45"/>
        <v>156.6796502</v>
      </c>
      <c r="DV59" s="134">
        <f>IF(ISNA(VLOOKUP(A59,'Données projet'!$A$165:$I$185,3,0)),0,VLOOKUP(A59,'Données projet'!$A$165:$I$185,3,0))</f>
        <v>0</v>
      </c>
      <c r="DW59" s="134">
        <f>IF(ISNA(VLOOKUP(A59,'Données projet'!$A$165:$I$185,4,0)),0,VLOOKUP(A59,'Données projet'!$A$165:$I$185,4,0))</f>
        <v>0</v>
      </c>
      <c r="DX59" s="135">
        <f>IF(ISNA(VLOOKUP(A59,'Données projet'!$A$165:$I$185,5,0)),0%,VLOOKUP(A59,'Données projet'!$A$165:$I$185,5,0)*VLOOKUP('Données projet'!$B$14,'Paramètres'!$A$1:$I$89,7,0))</f>
        <v>0</v>
      </c>
      <c r="DY59" s="135">
        <f>IF(ISNA(VLOOKUP(A59,'Données projet'!$A$165:$I$185,6,0)),0%,VLOOKUP(A59,'Données projet'!$A$165:$I$185,6,0)*VLOOKUP('Données projet'!$B$14,'Paramètres'!$A$1:$I$89,7,0))</f>
        <v>0</v>
      </c>
      <c r="DZ59" s="135">
        <f>IF(ISNA(VLOOKUP(A59,'Données projet'!$A$165:$I$185,7,0)),0%,VLOOKUP(A59,'Données projet'!$A$165:$I$185,7,0))</f>
        <v>0</v>
      </c>
      <c r="EA59" s="142">
        <f>EXP(-LN(2)/35)*EA58+(1-EXP(-LN(2)/35))/(LN(2)/35)*DW59*DX59*VLOOKUP('Données projet'!$B$14,'Paramètres'!$A$1:$I$89,3,0)*0.475*44/12</f>
        <v>7.831181251</v>
      </c>
      <c r="EB59" s="142">
        <f>EXP(-LN(2)/25)*EB58+(1-EXP(-LN(2)/25))/(LN(2)/25)*Calculateur!DW59*Calculateur!DY59*VLOOKUP('Données projet'!$B$14,'Paramètres'!$A$1:$I$89,3,0)*0.475*44/12</f>
        <v>0</v>
      </c>
      <c r="EC59" s="142">
        <f>EXP(-LN(2)/2)*EC58+(1-EXP(-LN(2)/2))/(LN(2)/2)*DW59*DZ59*VLOOKUP('Données projet'!$B$14,'Paramètres'!$A$1:$I$89,3,0)*0.475*44/12</f>
        <v>0</v>
      </c>
      <c r="ED59" s="143">
        <f t="shared" si="19"/>
        <v>7.831181251</v>
      </c>
      <c r="EE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1" t="str">
        <f>VLOOKUP(A59,'Données projet'!$A$191:$I$211,2,0)</f>
        <v>#N/A</v>
      </c>
      <c r="EH59" s="131" t="str">
        <f>VLOOKUP(A59,'Données projet'!$A$191:$I$211,9,0)</f>
        <v>#N/A</v>
      </c>
      <c r="EI59" s="131">
        <f t="array" ref="EI59">INDEX(EH:EH,MIN(IF(ISNUMBER(EH59:EH255),ROW(EH59:EH255),"")))</f>
        <v>8.4</v>
      </c>
      <c r="EJ59" s="138">
        <f>IF('Données projet'!$A$192&gt;35,EJ58+EI59-ER58,IF(A59&lt;'Données projet'!$A$192,$EG$205^A59,IF(A59='Données projet'!$A$192,'Données projet'!$B$192,EJ58+EI59-ER58)))</f>
        <v>163.4</v>
      </c>
      <c r="EK59" s="138">
        <f>EJ59*VLOOKUP('Données projet'!$B$15,'Paramètres'!$A$1:$I$89,3,0)*VLOOKUP('Données projet'!$B$15,'Paramètres'!$A$1:$I$89,5,0)</f>
        <v>119.80488</v>
      </c>
      <c r="EL59" s="130">
        <f t="shared" si="46"/>
        <v>31.62948645</v>
      </c>
      <c r="EM59" s="141">
        <f t="shared" si="20"/>
        <v>263.7481882</v>
      </c>
      <c r="EN59" s="133">
        <f t="shared" si="21"/>
        <v>557.0815216</v>
      </c>
      <c r="EO59" s="133">
        <f>AVERAGE(OFFSET($EN$3,0,0,'Données projet'!$E$15+1,1))-AVERAGE(OFFSET($H$3,0,0,'Données projet'!$E$15+1,1))</f>
        <v>130.3193339</v>
      </c>
      <c r="EP59" s="133">
        <f t="shared" si="47"/>
        <v>82.22784365</v>
      </c>
      <c r="EQ59" s="134">
        <f>IF(ISNA(VLOOKUP(A59,'Données projet'!$A$191:$I$211,3,0)),0,VLOOKUP(A59,'Données projet'!$A$191:$I$211,3,0))</f>
        <v>0</v>
      </c>
      <c r="ER59" s="134">
        <f>IF(ISNA(VLOOKUP(A59,'Données projet'!$A$191:$I$211,4,0)),0,VLOOKUP(A59,'Données projet'!$A$191:$I$211,4,0))</f>
        <v>0</v>
      </c>
      <c r="ES59" s="135">
        <f>IF(ISNA(VLOOKUP(A59,'Données projet'!$A$191:$I$211,5,0)),0%,VLOOKUP(A59,'Données projet'!$A$191:$I$211,5,0)*VLOOKUP('Données projet'!$B$15,'Paramètres'!$A$1:$I$89,7,0))</f>
        <v>0</v>
      </c>
      <c r="ET59" s="135">
        <f>IF(ISNA(VLOOKUP(A59,'Données projet'!$A$191:$I$211,6,0)),0%,VLOOKUP(A59,'Données projet'!$A$191:$I$211,6,0)*VLOOKUP('Données projet'!$B$15,'Paramètres'!$A$1:$I$89,7,0))</f>
        <v>0</v>
      </c>
      <c r="EU59" s="135">
        <f>IF(ISNA(VLOOKUP(A59,'Données projet'!$A$191:$I$211,7,0)),0%,VLOOKUP(A59,'Données projet'!$A$191:$I$211,7,0))</f>
        <v>0</v>
      </c>
      <c r="EV59" s="142">
        <f>EXP(-LN(2)/35)*EV58+(1-EXP(-LN(2)/35))/(LN(2)/35)*ER59*ES59*VLOOKUP('Données projet'!$B$15,'Paramètres'!$A$1:$I$89,3,0)*0.475*44/12</f>
        <v>10.35629324</v>
      </c>
      <c r="EW59" s="142">
        <f>EXP(-LN(2)/25)*EW58+(1-EXP(-LN(2)/25))/(LN(2)/25)*Calculateur!ER59*Calculateur!ET59*VLOOKUP('Données projet'!$B$15,'Paramètres'!$A$1:$I$89,3,0)*0.475*44/12</f>
        <v>0</v>
      </c>
      <c r="EX59" s="142">
        <f>EXP(-LN(2)/2)*EX58+(1-EXP(-LN(2)/2))/(LN(2)/2)*ER59*EU59*VLOOKUP('Données projet'!$B$15,'Paramètres'!$A$1:$I$89,3,0)*0.475*44/12</f>
        <v>0</v>
      </c>
      <c r="EY59" s="143">
        <f t="shared" si="22"/>
        <v>10.35629324</v>
      </c>
      <c r="EZ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1" t="str">
        <f>VLOOKUP(A59,'Données projet'!$A$217:$I$237,2,0)</f>
        <v>#N/A</v>
      </c>
      <c r="FC59" s="131" t="str">
        <f>VLOOKUP(A59,'Données projet'!$A$217:$I$237,9,0)</f>
        <v>#N/A</v>
      </c>
      <c r="FD59" s="130">
        <f t="array" ref="FD59">INDEX(FC:FC,MIN(IF(ISNUMBER(FC59:FC255),ROW(FC59:FC255),"")))</f>
        <v>4.4</v>
      </c>
      <c r="FE59" s="130">
        <f>IF('Données projet'!$A$218&gt;35,FE58+FD59-FM58,IF(A59&lt;'Données projet'!$A$218,$FB$205^A59,IF(A59='Données projet'!$A$218,'Données projet'!$B$218,FE58+FD59-FM58)))</f>
        <v>266.4</v>
      </c>
      <c r="FF59" s="138">
        <f>FE59*VLOOKUP('Données projet'!$B$16,'Paramètres'!$A$1:$I$89,3,0)*VLOOKUP('Données projet'!$B$16,'Paramètres'!$A$1:$I$89,5,0)</f>
        <v>241.03872</v>
      </c>
      <c r="FG59" s="130">
        <f t="shared" si="48"/>
        <v>58.66295995</v>
      </c>
      <c r="FH59" s="141">
        <f t="shared" si="23"/>
        <v>521.9804259</v>
      </c>
      <c r="FI59" s="133">
        <f t="shared" si="24"/>
        <v>815.3137592</v>
      </c>
      <c r="FJ59" s="133">
        <f>AVERAGE(OFFSET($FI$3,0,0,'Données projet'!$E$16+1,1))-AVERAGE(OFFSET($H$3,0,0,'Données projet'!$E$16+1,1))</f>
        <v>305.6252353</v>
      </c>
      <c r="FK59" s="133">
        <f t="shared" si="49"/>
        <v>331.397916</v>
      </c>
      <c r="FL59" s="134">
        <f>IF(ISNA(VLOOKUP(A59,'Données projet'!$A$217:$I$237,3,0)),0,VLOOKUP(A59,'Données projet'!$A$217:$I$237,3,0))</f>
        <v>0</v>
      </c>
      <c r="FM59" s="134">
        <f>IF(ISNA(VLOOKUP(A59,'Données projet'!$A$217:$I$237,4,0)),0,VLOOKUP(A59,'Données projet'!$A$217:$I$237,4,0))</f>
        <v>0</v>
      </c>
      <c r="FN59" s="135">
        <f>IF(ISNA(VLOOKUP(A59,'Données projet'!$A$217:$I$237,5,0)),0%,VLOOKUP(A59,'Données projet'!$A$217:$I$237,5,0)*VLOOKUP('Données projet'!$B$16,'Paramètres'!$A$1:$I$89,7,0))</f>
        <v>0</v>
      </c>
      <c r="FO59" s="135">
        <f>IF(ISNA(VLOOKUP(A59,'Données projet'!$A$217:$I$237,6,0)),0%,VLOOKUP(A59,'Données projet'!$A$217:$I$237,6,0)*VLOOKUP('Données projet'!$B$16,'Paramètres'!$A$1:$I$89,7,0))</f>
        <v>0</v>
      </c>
      <c r="FP59" s="135">
        <f>IF(ISNA(VLOOKUP(A59,'Données projet'!$A$217:$I$237,7,0)),0%,VLOOKUP(A59,'Données projet'!$A$217:$I$237,7,0))</f>
        <v>0</v>
      </c>
      <c r="FQ59" s="142">
        <f>EXP(-LN(2)/35)*FQ58+(1-EXP(-LN(2)/35))/(LN(2)/35)*FM59*FN59*VLOOKUP('Données projet'!$B$16,'Paramètres'!$A$1:$I$89,3,0)*0.475*44/12</f>
        <v>5.437933883</v>
      </c>
      <c r="FR59" s="142">
        <f>EXP(-LN(2)/25)*FR58+(1-EXP(-LN(2)/25))/(LN(2)/25)*Calculateur!FM59*Calculateur!FO59*VLOOKUP('Données projet'!$B$16,'Paramètres'!$A$1:$I$89,3,0)*0.475*44/12</f>
        <v>0</v>
      </c>
      <c r="FS59" s="142">
        <f>EXP(-LN(2)/2)*FS58+(1-EXP(-LN(2)/2))/(LN(2)/2)*FM59*FP59*VLOOKUP('Données projet'!$B$16,'Paramètres'!$A$1:$I$89,3,0)*0.475*44/12</f>
        <v>0</v>
      </c>
      <c r="FT59" s="143">
        <f t="shared" si="25"/>
        <v>5.437933883</v>
      </c>
      <c r="FU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1" t="str">
        <f>VLOOKUP(A59,'Données projet'!$A$243:$I$263,2,0)</f>
        <v>#N/A</v>
      </c>
      <c r="FX59" s="131" t="str">
        <f>VLOOKUP(A59,'Données projet'!$A$243:$I$263,9,0)</f>
        <v>#N/A</v>
      </c>
      <c r="FY59" s="130">
        <f t="array" ref="FY59">INDEX(FX:FX,MIN(IF(ISNUMBER(FX59:FX255),ROW(FX59:FX255),"")))</f>
        <v>10.8</v>
      </c>
      <c r="FZ59" s="138">
        <f>IF('Données projet'!$A$244&gt;35,FZ58+FY59-GH58,IF(A59&lt;'Données projet'!$A$244,$FW$205^A59,IF(A59='Données projet'!$A$244,'Données projet'!$B$244,FZ58+FY59-GH58)))</f>
        <v>226.8</v>
      </c>
      <c r="GA59" s="138">
        <f>FZ59*VLOOKUP('Données projet'!$B$17,'Paramètres'!$A$1:$I$89,3,0)*VLOOKUP('Données projet'!$B$17,'Paramètres'!$A$1:$I$89,5,0)</f>
        <v>152.13744</v>
      </c>
      <c r="GB59" s="130">
        <f t="shared" si="50"/>
        <v>39.06392581</v>
      </c>
      <c r="GC59" s="141">
        <f t="shared" si="26"/>
        <v>333.0090455</v>
      </c>
      <c r="GD59" s="133">
        <f t="shared" si="27"/>
        <v>626.3423788</v>
      </c>
      <c r="GE59" s="133">
        <f>AVERAGE(OFFSET($GD$3,0,0,'Données projet'!$E$17+1,1))-AVERAGE(OFFSET($H$3,0,0,'Données projet'!$E$17+1,1))</f>
        <v>118.7368745</v>
      </c>
      <c r="GF59" s="133">
        <f t="shared" si="51"/>
        <v>135.1233677</v>
      </c>
      <c r="GG59" s="134">
        <f>IF(ISNA(VLOOKUP(A59,'Données projet'!$A$243:$I$263,3,0)),0,VLOOKUP(A59,'Données projet'!$A$243:$I$263,3,0))</f>
        <v>0</v>
      </c>
      <c r="GH59" s="134">
        <f>IF(ISNA(VLOOKUP(A59,'Données projet'!$A$243:$I$263,4,0)),0,VLOOKUP(A59,'Données projet'!$A$243:$I$263,4,0))</f>
        <v>0</v>
      </c>
      <c r="GI59" s="135">
        <f>IF(ISNA(VLOOKUP(A59,'Données projet'!$A$243:$I$263,5,0)),0%,VLOOKUP(A59,'Données projet'!$A$243:$I$263,5,0)*VLOOKUP('Données projet'!$B$17,'Paramètres'!$A$1:$I$89,7,0))</f>
        <v>0</v>
      </c>
      <c r="GJ59" s="135">
        <f>IF(ISNA(VLOOKUP(A59,'Données projet'!$A$243:$I$263,6,0)),0%,VLOOKUP(A59,'Données projet'!$A$243:$I$263,6,0)*VLOOKUP('Données projet'!$B$17,'Paramètres'!$A$1:$I$89,7,0))</f>
        <v>0</v>
      </c>
      <c r="GK59" s="135">
        <f>IF(ISNA(VLOOKUP(A59,'Données projet'!$A$243:$I$263,7,0)),0%,VLOOKUP(A59,'Données projet'!$A$243:$I$263,7,0))</f>
        <v>0</v>
      </c>
      <c r="GL59" s="142">
        <f>EXP(-LN(2)/35)*GL58+(1-EXP(-LN(2)/35))/(LN(2)/35)*GH59*GI59*VLOOKUP('Données projet'!$B$17,'Paramètres'!$A$1:$I$89,3,0)*0.475*44/12</f>
        <v>20.53494347</v>
      </c>
      <c r="GM59" s="142">
        <f>EXP(-LN(2)/25)*GM58+(1-EXP(-LN(2)/25))/(LN(2)/25)*Calculateur!GH59*Calculateur!GJ59*VLOOKUP('Données projet'!$B$17,'Paramètres'!$A$1:$I$89,3,0)*0.475*44/12</f>
        <v>0</v>
      </c>
      <c r="GN59" s="142">
        <f>EXP(-LN(2)/2)*GN58+(1-EXP(-LN(2)/2))/(LN(2)/2)*GH59*GK59*VLOOKUP('Données projet'!$B$17,'Paramètres'!$A$1:$I$89,3,0)*0.475*44/12</f>
        <v>0</v>
      </c>
      <c r="GO59" s="142">
        <f t="shared" si="28"/>
        <v>20.53494347</v>
      </c>
      <c r="GP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1" t="str">
        <f>VLOOKUP(A59,'Données projet'!$A$269:$I$289,2,0)</f>
        <v>#N/A</v>
      </c>
      <c r="GS59" s="131" t="str">
        <f>VLOOKUP(A59,'Données projet'!$A$269:$I$289,9,0)</f>
        <v>#N/A</v>
      </c>
      <c r="GT59" s="130">
        <f t="array" ref="GT59">INDEX(GS:GS,MIN(IF(ISNUMBER(GS59:GS255),ROW(GS59:GS255),"")))</f>
        <v>5.4</v>
      </c>
      <c r="GU59" s="138">
        <f>IF('Données projet'!$A$270&gt;35,GU58+GT59-HC58,IF(A59&lt;'Données projet'!$A$270,$GR$205^A59,IF(A59='Données projet'!$A$270,'Données projet'!$B$270,GU58+GT59-HC58)))</f>
        <v>126.4</v>
      </c>
      <c r="GV59" s="138">
        <f>GU59*VLOOKUP('Données projet'!$B$18,'Paramètres'!$A$1:$I$89,3,0)*VLOOKUP('Données projet'!$B$18,'Paramètres'!$A$1:$I$89,5,0)</f>
        <v>136.05696</v>
      </c>
      <c r="GW59" s="130">
        <f t="shared" si="52"/>
        <v>35.39221399</v>
      </c>
      <c r="GX59" s="141">
        <f t="shared" si="29"/>
        <v>298.6073114</v>
      </c>
      <c r="GY59" s="133">
        <f t="shared" si="30"/>
        <v>591.9406447</v>
      </c>
      <c r="GZ59" s="133">
        <f>AVERAGE(OFFSET($GY$3,0,0,'Données projet'!$E$18+1,1))-AVERAGE(OFFSET($H$3,0,0,'Données projet'!$E$18+1,1))</f>
        <v>100.5427875</v>
      </c>
      <c r="HA59" s="133">
        <f t="shared" si="53"/>
        <v>92.28663609</v>
      </c>
      <c r="HB59" s="134">
        <f>IF(ISNA(VLOOKUP(A59,'Données projet'!$A$269:$I$289,3,0)),0,VLOOKUP(A59,'Données projet'!$A$269:$I$289,3,0))</f>
        <v>0</v>
      </c>
      <c r="HC59" s="134">
        <f>IF(ISNA(VLOOKUP(A59,'Données projet'!$A$269:$I$289,4,0)),0,VLOOKUP(A59,'Données projet'!$A$269:$I$289,4,0))</f>
        <v>0</v>
      </c>
      <c r="HD59" s="135">
        <f>IF(ISNA(VLOOKUP(A59,'Données projet'!$A$269:$I$289,5,0)),0%,VLOOKUP(A59,'Données projet'!$A$269:$I$289,5,0)*VLOOKUP('Données projet'!$B$18,'Paramètres'!$A$1:$I$89,7,0))</f>
        <v>0</v>
      </c>
      <c r="HE59" s="135">
        <f>IF(ISNA(VLOOKUP(A59,'Données projet'!$A$269:$I$289,6,0)),0%,VLOOKUP(A59,'Données projet'!$A$269:$I$289,6,0)*VLOOKUP('Données projet'!$B$18,'Paramètres'!$A$1:$I$89,7,0))</f>
        <v>0</v>
      </c>
      <c r="HF59" s="135">
        <f>IF(ISNA(VLOOKUP(A59,'Données projet'!$A$269:$I$289,7,0)),0%,VLOOKUP(A59,'Données projet'!$A$269:$I$289,7,0))</f>
        <v>0</v>
      </c>
      <c r="HG59" s="142">
        <f>EXP(-LN(2)/35)*HG58+(1-EXP(-LN(2)/35))/(LN(2)/35)*HC59*HD59*VLOOKUP('Données projet'!$B$18,'Paramètres'!$A$1:$I$89,3,0)*0.475*44/12</f>
        <v>10.98381069</v>
      </c>
      <c r="HH59" s="142">
        <f>EXP(-LN(2)/25)*HH58+(1-EXP(-LN(2)/25))/(LN(2)/25)*Calculateur!HC59*Calculateur!HE59*VLOOKUP('Données projet'!$B$18,'Paramètres'!$A$1:$I$89,3,0)*0.475*44/12</f>
        <v>0</v>
      </c>
      <c r="HI59" s="142">
        <f>EXP(-LN(2)/2)*HI58+(1-EXP(-LN(2)/2))/(LN(2)/2)*HC59*HF59*VLOOKUP('Données projet'!$B$18,'Paramètres'!$A$1:$I$89,3,0)*0.475*44/12</f>
        <v>0</v>
      </c>
      <c r="HJ59" s="143">
        <f t="shared" si="31"/>
        <v>10.98381069</v>
      </c>
    </row>
    <row r="60" ht="15.75" customHeight="1">
      <c r="A60" s="125">
        <f t="shared" si="32"/>
        <v>57</v>
      </c>
      <c r="B60" s="126">
        <f>'Scénario référence'!$B$16*5+'Scénario référence'!$B$17*0+'Scénario référence'!$B$18*5</f>
        <v>0</v>
      </c>
      <c r="C60" s="140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31.122</v>
      </c>
      <c r="D60" s="127">
        <f t="shared" si="33"/>
        <v>9.612282067</v>
      </c>
      <c r="E6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7">
        <f>IF(OR('Scénario référence'!$F$8&gt;0,'Scénario référence'!$F$9&gt;0),('Scénario référence'!$F$8+'Scénario référence'!$F$9)*10,0)</f>
        <v>10</v>
      </c>
      <c r="G60" s="127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314.4400721</v>
      </c>
      <c r="H60" s="128">
        <f t="shared" si="1"/>
        <v>364.2788746</v>
      </c>
      <c r="I60" s="12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1" t="str">
        <f>VLOOKUP(A60,'Données projet'!$A$35:$I$55,2,0)</f>
        <v>#N/A</v>
      </c>
      <c r="L60" s="131" t="str">
        <f>VLOOKUP(A60,'Données projet'!$A$35:$I$55,9,0)</f>
        <v>#N/A</v>
      </c>
      <c r="M60" s="130">
        <f t="array" ref="M60">INDEX(L:L,MIN(IF(ISNUMBER(L60:L256),ROW(L60:L256),"")))</f>
        <v>10.8</v>
      </c>
      <c r="N60" s="130">
        <f>IF('Données projet'!$A$36&gt;35,N59+M60-V59,IF(A60&lt;'Données projet'!$A$36,$K$205^A60,IF(A60='Données projet'!$A$36,'Données projet'!$B$36,N59+M60-V59)))</f>
        <v>296.6</v>
      </c>
      <c r="O60" s="130">
        <f>N60*VLOOKUP('Données projet'!$B$9,'Paramètres'!$A$1:$I$89,3,0)*VLOOKUP('Données projet'!$B$9,'Paramètres'!$A$1:$I$89,5,0)</f>
        <v>169.6552</v>
      </c>
      <c r="P60" s="130">
        <f t="shared" si="34"/>
        <v>43.01279073</v>
      </c>
      <c r="Q60" s="141">
        <f t="shared" si="2"/>
        <v>370.3967505</v>
      </c>
      <c r="R60" s="133">
        <f t="shared" si="3"/>
        <v>663.7300839</v>
      </c>
      <c r="S60" s="133">
        <f>AVERAGE(OFFSET($R$3,0,0,'Données projet'!$E$9+1,1))-AVERAGE(OFFSET($H$3,0,0,'Données projet'!$E$9+1,1))</f>
        <v>126.9946492</v>
      </c>
      <c r="T60" s="133">
        <f t="shared" si="35"/>
        <v>140.039049</v>
      </c>
      <c r="U60" s="134">
        <f>IF(ISNA(VLOOKUP(A60,'Données projet'!$A$35:$I$55,3,0)),0,VLOOKUP(A60,'Données projet'!$A$35:$I$55,3,0))</f>
        <v>0</v>
      </c>
      <c r="V60" s="134">
        <f>IF(ISNA(VLOOKUP(A60,'Données projet'!$A$35:$I$55,4,0)),0,VLOOKUP(A60,'Données projet'!$A$35:$I$55,4,0))</f>
        <v>0</v>
      </c>
      <c r="W60" s="135">
        <f>IF(ISNA(VLOOKUP(A60,'Données projet'!$A$35:$I$55,5,0)),0%,VLOOKUP(A60,'Données projet'!$A$35:$I$55,5,0)*VLOOKUP('Données projet'!$B$9,'Paramètres'!$A$1:$I$89,7,0))</f>
        <v>0</v>
      </c>
      <c r="X60" s="135">
        <f>IF(ISNA(VLOOKUP(A60,'Données projet'!$A$35:$I$55,6,0)),0%,VLOOKUP(A60,'Données projet'!$A$35:$I$55,6,0)*VLOOKUP('Données projet'!$B$9,'Paramètres'!$A$1:$I$89,7,0))</f>
        <v>0</v>
      </c>
      <c r="Y60" s="135">
        <f>IF(ISNA(VLOOKUP(A60,'Données projet'!$A$35:$I$55,7,0)),0%,VLOOKUP(A60,'Données projet'!$A$35:$I$55,7,0))</f>
        <v>0</v>
      </c>
      <c r="Z60" s="142">
        <f>EXP(-LN(2)/35)*Z59+(1-EXP(-LN(2)/35))/(LN(2)/35)*V60*W60*VLOOKUP('Données projet'!$B$9,'Paramètres'!$A$1:$I$89,3,0)*0.475*44/12</f>
        <v>17.35896389</v>
      </c>
      <c r="AA60" s="142">
        <f>EXP(-LN(2)/25)*AA59+(1-EXP(-LN(2)/25))/(LN(2)/25)*Calculateur!V60*Calculateur!X60*VLOOKUP('Données projet'!$B$9,'Paramètres'!$A$1:$I$89,3,0)*0.475*44/12</f>
        <v>11.63475151</v>
      </c>
      <c r="AB60" s="142">
        <f>EXP(-LN(2)/2)*AB59+(1-EXP(-LN(2)/2))/(LN(2)/2)*V60*Y60*VLOOKUP('Données projet'!$B$9,'Paramètres'!$A$1:$I$89,3,0)*0.475*44/12</f>
        <v>0.6759613551</v>
      </c>
      <c r="AC60" s="143">
        <f t="shared" si="4"/>
        <v>29.66967675</v>
      </c>
      <c r="AD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1" t="str">
        <f>VLOOKUP(A60,'Données projet'!$A$61:$I$81,2,0)</f>
        <v>#N/A</v>
      </c>
      <c r="AG60" s="131" t="str">
        <f>VLOOKUP(A60,'Données projet'!$A$61:$I$81,9,0)</f>
        <v>#N/A</v>
      </c>
      <c r="AH60" s="131">
        <f t="array" ref="AH60">INDEX(AG:AG,MIN(IF(ISNUMBER(AG60:AG256),ROW(AG60:AG256),"")))</f>
        <v>17.625</v>
      </c>
      <c r="AI60" s="130">
        <f>IF('Données projet'!$A$62&gt;35,AI59+AH60-AQ59,IF(A60&lt;'Données projet'!$A$62,$AF$205^A60,IF(A60='Données projet'!$A$62,'Données projet'!$B$62,AI59+AH60-AQ59)))</f>
        <v>422.375</v>
      </c>
      <c r="AJ60" s="130">
        <f>AI60*VLOOKUP('Données projet'!$B$10,'Paramètres'!$A$1:$I$89,3,0)*VLOOKUP('Données projet'!$B$10,'Paramètres'!$A$1:$I$89,5,0)</f>
        <v>252.58025</v>
      </c>
      <c r="AK60" s="130">
        <f t="shared" si="36"/>
        <v>61.13813193</v>
      </c>
      <c r="AL60" s="141">
        <f t="shared" si="5"/>
        <v>546.3928485</v>
      </c>
      <c r="AM60" s="133">
        <f t="shared" si="6"/>
        <v>839.7261819</v>
      </c>
      <c r="AN60" s="133">
        <f>AVERAGE(OFFSET($AM$3,0,0,'Données projet'!$E$10+1,1))-AVERAGE(OFFSET($H$3,0,0,'Données projet'!$E$10+1,1))</f>
        <v>196.874484</v>
      </c>
      <c r="AO60" s="133">
        <f t="shared" si="37"/>
        <v>217.5750859</v>
      </c>
      <c r="AP60" s="134">
        <f>IF(ISNA(VLOOKUP(A60,'Données projet'!$A$61:$I$81,3,0)),0,VLOOKUP(A60,'Données projet'!$A$61:$I$81,3,0))</f>
        <v>0</v>
      </c>
      <c r="AQ60" s="134">
        <f>IF(ISNA(VLOOKUP(A60,'Données projet'!$A$61:$I$81,4,0)),0,VLOOKUP(A60,'Données projet'!$A$61:$I$81,4,0))</f>
        <v>0</v>
      </c>
      <c r="AR60" s="135">
        <f>IF(ISNA(VLOOKUP(A60,'Données projet'!$A$61:$I$81,5,0)),0%,VLOOKUP(A60,'Données projet'!$A$61:$I$81,5,0)*VLOOKUP('Données projet'!$B$10,'Paramètres'!$A$1:$I$89,7,0))</f>
        <v>0</v>
      </c>
      <c r="AS60" s="135">
        <f>IF(ISNA(VLOOKUP(A60,'Données projet'!$A$61:$I$81,6,0)),0%,VLOOKUP(A60,'Données projet'!$A$61:$I$81,6,0)*VLOOKUP('Données projet'!$B$10,'Paramètres'!$A$1:$I$89,7,0))</f>
        <v>0</v>
      </c>
      <c r="AT60" s="135">
        <f>IF(ISNA(VLOOKUP(A60,'Données projet'!$A$61:$I$81,7,0)),0%,VLOOKUP(A60,'Données projet'!$A$61:$I$81,7,0))</f>
        <v>0</v>
      </c>
      <c r="AU60" s="142">
        <f>EXP(-LN(2)/35)*AU59+(1-EXP(-LN(2)/35))/(LN(2)/35)*AQ60*AR60*VLOOKUP('Données projet'!$B$10,'Paramètres'!$A$1:$I$89,3,0)*0.475*44/12</f>
        <v>23.34596047</v>
      </c>
      <c r="AV60" s="142">
        <f>EXP(-LN(2)/25)*AV59+(1-EXP(-LN(2)/25))/(LN(2)/25)*Calculateur!AQ60*Calculateur!AS60*VLOOKUP('Données projet'!$B$10,'Paramètres'!$A$1:$I$89,3,0)*0.475*44/12</f>
        <v>19.78598298</v>
      </c>
      <c r="AW60" s="142">
        <f>EXP(-LN(2)/2)*AW59+(1-EXP(-LN(2)/2))/(LN(2)/2)*AQ60*AT60*VLOOKUP('Données projet'!$B$10,'Paramètres'!$A$1:$I$89,3,0)*0.475*44/12</f>
        <v>0.7320810855</v>
      </c>
      <c r="AX60" s="142">
        <f t="shared" si="7"/>
        <v>43.86402453</v>
      </c>
      <c r="AY60" s="13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1" t="str">
        <f>VLOOKUP(A60,'Données projet'!$A$87:$I$107,2,0)</f>
        <v>#N/A</v>
      </c>
      <c r="BB60" s="131" t="str">
        <f>VLOOKUP(A60,'Données projet'!$A$87:$I$107,9,0)</f>
        <v>#N/A</v>
      </c>
      <c r="BC60" s="130">
        <f t="array" ref="BC60">INDEX(BB:BB,MIN(IF(ISNUMBER(BB60:BB256),ROW(BB60:BB256),"")))</f>
        <v>14</v>
      </c>
      <c r="BD60" s="130">
        <f>IF('Données projet'!$A$88&gt;35,BD59+BC60-BL59,IF(A60&lt;'Données projet'!$A$88,$BA$205^A60,IF(A60='Données projet'!$A$88,'Données projet'!$B$88,BD59+BC60-BL59)))</f>
        <v>348</v>
      </c>
      <c r="BE60" s="130">
        <f>BD60*VLOOKUP('Données projet'!$B$11,'Paramètres'!$A$1:$I$89,3,0)*VLOOKUP('Données projet'!$B$11,'Paramètres'!$A$1:$I$89,5,0)</f>
        <v>162.864</v>
      </c>
      <c r="BF60" s="130">
        <f t="shared" si="38"/>
        <v>41.48783007</v>
      </c>
      <c r="BG60" s="141">
        <f t="shared" si="8"/>
        <v>355.9127707</v>
      </c>
      <c r="BH60" s="133">
        <f t="shared" si="9"/>
        <v>649.246104</v>
      </c>
      <c r="BI60" s="133">
        <f>AVERAGE(OFFSET($BH$3,0,0,'Données projet'!$E$11+1,1))-AVERAGE(OFFSET($H$3,0,0,'Données projet'!$E$11+1,1))</f>
        <v>134.0948534</v>
      </c>
      <c r="BJ60" s="133">
        <f t="shared" si="39"/>
        <v>108.4102536</v>
      </c>
      <c r="BK60" s="134">
        <f>IF(ISNA(VLOOKUP(A60,'Données projet'!$A$87:$I$107,3,0)),0,VLOOKUP(A60,'Données projet'!$A$87:$I$107,3,0))</f>
        <v>0</v>
      </c>
      <c r="BL60" s="134">
        <f>IF(ISNA(VLOOKUP(A60,'Données projet'!$A$87:$I$107,4,0)),0,VLOOKUP(A60,'Données projet'!$A$87:$I$107,4,0))</f>
        <v>0</v>
      </c>
      <c r="BM60" s="135">
        <f>IF(ISNA(VLOOKUP(A60,'Données projet'!$A$87:$I$107,5,0)),0%,VLOOKUP(A60,'Données projet'!$A$87:$I$107,5,0)*VLOOKUP('Données projet'!$B$11,'Paramètres'!$A$1:$I$89,7,0))</f>
        <v>0</v>
      </c>
      <c r="BN60" s="135">
        <f>IF(ISNA(VLOOKUP(A60,'Données projet'!$A$87:$I$107,6,0)),0%,VLOOKUP(A60,'Données projet'!$A$87:$I$107,6,0)*VLOOKUP('Données projet'!$B$11,'Paramètres'!$A$1:$I$89,7,0))</f>
        <v>0</v>
      </c>
      <c r="BO60" s="135">
        <f>IF(ISNA(VLOOKUP(A60,'Données projet'!$A$87:$I$107,7,0)),0%,VLOOKUP(A60,'Données projet'!$A$87:$I$107,7,0))</f>
        <v>0</v>
      </c>
      <c r="BP60" s="142">
        <f>EXP(-LN(2)/35)*BP59+(1-EXP(-LN(2)/35))/(LN(2)/35)*BL60*BM60*VLOOKUP('Données projet'!$B$11,'Paramètres'!$A$1:$I$89,3,0)*0.475*44/12</f>
        <v>15.39498935</v>
      </c>
      <c r="BQ60" s="142">
        <f>EXP(-LN(2)/25)*BQ59+(1-EXP(-LN(2)/25))/(LN(2)/25)*Calculateur!BL60*Calculateur!BN60*VLOOKUP('Données projet'!$B$11,'Paramètres'!$A$1:$I$89,3,0)*0.475*44/12</f>
        <v>9.586728588</v>
      </c>
      <c r="BR60" s="142">
        <f>EXP(-LN(2)/2)*BR59+(1-EXP(-LN(2)/2))/(LN(2)/2)*BL60*BO60*VLOOKUP('Données projet'!$B$11,'Paramètres'!$A$1:$I$89,3,0)*0.475*44/12</f>
        <v>0.4321172721</v>
      </c>
      <c r="BS60" s="143">
        <f t="shared" si="10"/>
        <v>25.41383521</v>
      </c>
      <c r="BT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1" t="str">
        <f>VLOOKUP(A60,'Données projet'!$A$113:$I$133,2,0)</f>
        <v>#N/A</v>
      </c>
      <c r="BW60" s="131" t="str">
        <f>VLOOKUP(A60,'Données projet'!$A$113:$I$133,9,0)</f>
        <v>#N/A</v>
      </c>
      <c r="BX60" s="130">
        <f t="array" ref="BX60">INDEX(BW:BW,MIN(IF(ISNUMBER(BW60:BW256),ROW(BW60:BW256),"")))</f>
        <v>20.4</v>
      </c>
      <c r="BY60" s="130">
        <f>IF('Données projet'!$A$114&gt;35,BY59+BX60-CG59,IF(A60&lt;'Données projet'!$A$114,$BV$205^A60,IF(A60='Données projet'!$A$114,'Données projet'!$B$114,BY59+BX60-CG59)))</f>
        <v>567.8</v>
      </c>
      <c r="BZ60" s="130">
        <f>BY60*VLOOKUP('Données projet'!$B$12,'Paramètres'!$A$1:$I$89,3,0)*VLOOKUP('Données projet'!$B$12,'Paramètres'!$A$1:$I$89,5,0)</f>
        <v>280.4932</v>
      </c>
      <c r="CA60" s="130">
        <f t="shared" si="40"/>
        <v>67.07122554</v>
      </c>
      <c r="CB60" s="141">
        <f t="shared" si="11"/>
        <v>605.3413745</v>
      </c>
      <c r="CC60" s="133">
        <f t="shared" si="12"/>
        <v>898.6747078</v>
      </c>
      <c r="CD60" s="133">
        <f>AVERAGE(OFFSET($CC$3,0,0,'Données projet'!$E$12+1,1))-AVERAGE(OFFSET($H$3,0,0,'Données projet'!$E$12+1,1))</f>
        <v>258.1672054</v>
      </c>
      <c r="CE60" s="133">
        <f t="shared" si="41"/>
        <v>296.0724261</v>
      </c>
      <c r="CF60" s="134">
        <f>IF(ISNA(VLOOKUP(A60,'Données projet'!$A$113:$I$133,3,0)),0,VLOOKUP(A60,'Données projet'!$A$113:$I$133,3,0))</f>
        <v>0</v>
      </c>
      <c r="CG60" s="134">
        <f>IF(ISNA(VLOOKUP(A60,'Données projet'!$A$113:$I$133,4,0)),0,VLOOKUP(A60,'Données projet'!$A$113:$I$133,4,0))</f>
        <v>0</v>
      </c>
      <c r="CH60" s="135">
        <f>IF(ISNA(VLOOKUP(A60,'Données projet'!$A$113:$I$133,5,0)),0%,VLOOKUP(A60,'Données projet'!$A$113:$I$133,5,0)*VLOOKUP('Données projet'!$B$12,'Paramètres'!$A$1:$I$89,7,0))</f>
        <v>0</v>
      </c>
      <c r="CI60" s="135">
        <f>IF(ISNA(VLOOKUP(A60,'Données projet'!$A$113:$I$133,6,0)),0%,VLOOKUP(A60,'Données projet'!$A$113:$I$133,6,0)*VLOOKUP('Données projet'!$B$12,'Paramètres'!$A$1:$I$89,7,0))</f>
        <v>0</v>
      </c>
      <c r="CJ60" s="135">
        <f>IF(ISNA(VLOOKUP(A60,'Données projet'!$A$113:$I$133,7,0)),0%,VLOOKUP(A60,'Données projet'!$A$113:$I$133,7,0))</f>
        <v>0</v>
      </c>
      <c r="CK60" s="142">
        <f>EXP(-LN(2)/35)*CK59+(1-EXP(-LN(2)/35))/(LN(2)/35)*CG60*CH60*VLOOKUP('Données projet'!$B$12,'Paramètres'!$A$1:$I$89,3,0)*0.475*44/12</f>
        <v>57.49447622</v>
      </c>
      <c r="CL60" s="142">
        <f>EXP(-LN(2)/25)*CL59+(1-EXP(-LN(2)/25))/(LN(2)/25)*Calculateur!CG60*Calculateur!CI60*VLOOKUP('Données projet'!$B$12,'Paramètres'!$A$1:$I$89,3,0)*0.475*44/12</f>
        <v>28.23798966</v>
      </c>
      <c r="CM60" s="142">
        <f>EXP(-LN(2)/2)*CM59+(1-EXP(-LN(2)/2))/(LN(2)/2)*CG60*CJ60*VLOOKUP('Données projet'!$B$12,'Paramètres'!$A$1:$I$89,3,0)*0.475*44/12</f>
        <v>2.276441653</v>
      </c>
      <c r="CN60" s="143">
        <f t="shared" si="13"/>
        <v>88.00890753</v>
      </c>
      <c r="CO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1" t="str">
        <f>VLOOKUP(A60,'Données projet'!$A$139:$I$159,2,0)</f>
        <v>#N/A</v>
      </c>
      <c r="CR60" s="131" t="str">
        <f>VLOOKUP(A60,'Données projet'!$A$139:$I$159,9,0)</f>
        <v>#N/A</v>
      </c>
      <c r="CS60" s="130">
        <f t="array" ref="CS60">INDEX(CR:CR,MIN(IF(ISNUMBER(CR60:CR256),ROW(CR60:CR256),"")))</f>
        <v>5.4</v>
      </c>
      <c r="CT60" s="138">
        <f>IF('Données projet'!$A$140&gt;35,CT59+CS60-DB59,IF(A60&lt;'Données projet'!$A$140,$CQ$205^A60,IF(A60='Données projet'!$A$140,'Données projet'!$B$140,CT59+CS60-DB59)))</f>
        <v>131.8</v>
      </c>
      <c r="CU60" s="138">
        <f>CT60*VLOOKUP('Données projet'!$B$13,'Paramètres'!$A$1:$I$89,3,0)*VLOOKUP('Données projet'!$B$13,'Paramètres'!$A$1:$I$89,5,0)</f>
        <v>133.6452</v>
      </c>
      <c r="CV60" s="130">
        <f t="shared" si="42"/>
        <v>34.83729759</v>
      </c>
      <c r="CW60" s="141">
        <f t="shared" si="14"/>
        <v>293.44035</v>
      </c>
      <c r="CX60" s="133">
        <f t="shared" si="15"/>
        <v>586.7736833</v>
      </c>
      <c r="CY60" s="133">
        <f>AVERAGE(OFFSET($CX$3,0,0,'Données projet'!$E$13+1,1))-AVERAGE(OFFSET($H$3,0,0,'Données projet'!$E$13+1,1))</f>
        <v>223.783507</v>
      </c>
      <c r="CZ60" s="133">
        <f t="shared" si="43"/>
        <v>84.92349117</v>
      </c>
      <c r="DA60" s="134">
        <f>IF(ISNA(VLOOKUP(A60,'Données projet'!$A$139:$I$159,3,0)),0,VLOOKUP(A60,'Données projet'!$A$139:$I$159,3,0))</f>
        <v>0</v>
      </c>
      <c r="DB60" s="134">
        <f>IF(ISNA(VLOOKUP(A60,'Données projet'!$A$139:$I$159,4,0)),0,VLOOKUP(A60,'Données projet'!$A$139:$I$159,4,0))</f>
        <v>0</v>
      </c>
      <c r="DC60" s="135">
        <f>IF(ISNA(VLOOKUP(A60,'Données projet'!$A$139:$I$159,5,0)),0%,VLOOKUP(A60,'Données projet'!$A$139:$I$159,5,0)*VLOOKUP('Données projet'!$B$13,'Paramètres'!$A$1:$I$89,7,0))</f>
        <v>0</v>
      </c>
      <c r="DD60" s="135">
        <f>IF(ISNA(VLOOKUP(A60,'Données projet'!$A$139:$I$159,6,0)),0%,VLOOKUP(A60,'Données projet'!$A$139:$I$159,6,0)*VLOOKUP('Données projet'!$B$13,'Paramètres'!$A$1:$I$89,7,0))</f>
        <v>0</v>
      </c>
      <c r="DE60" s="135">
        <f>IF(ISNA(VLOOKUP(A60,'Données projet'!$A$139:$I$159,7,0)),0%,VLOOKUP(A60,'Données projet'!$A$139:$I$159,7,0))</f>
        <v>0</v>
      </c>
      <c r="DF60" s="142">
        <f>EXP(-LN(2)/35)*DF59+(1-EXP(-LN(2)/35))/(LN(2)/35)*DB60*DC60*VLOOKUP('Données projet'!$B$13,'Paramètres'!$A$1:$I$89,3,0)*0.475*44/12</f>
        <v>4.184871689</v>
      </c>
      <c r="DG60" s="142">
        <f>EXP(-LN(2)/25)*DG59+(1-EXP(-LN(2)/25))/(LN(2)/25)*Calculateur!DB60*Calculateur!DD60*VLOOKUP('Données projet'!$B$13,'Paramètres'!$A$1:$I$89,3,0)*0.475*44/12</f>
        <v>0</v>
      </c>
      <c r="DH60" s="142">
        <f>EXP(-LN(2)/2)*DH59+(1-EXP(-LN(2)/2))/(LN(2)/2)*DB60*DE60*VLOOKUP('Données projet'!$B$13,'Paramètres'!$A$1:$I$89,3,0)*0.475*44/12</f>
        <v>0</v>
      </c>
      <c r="DI60" s="143">
        <f t="shared" si="16"/>
        <v>4.184871689</v>
      </c>
      <c r="DJ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1" t="str">
        <f>VLOOKUP(A60,'Données projet'!$A$165:$I$185,2,0)</f>
        <v>#N/A</v>
      </c>
      <c r="DM60" s="131" t="str">
        <f>VLOOKUP(A60,'Données projet'!$A$165:$I$185,9,0)</f>
        <v>#N/A</v>
      </c>
      <c r="DN60" s="131">
        <f t="array" ref="DN60">INDEX(DM:DM,MIN(IF(ISNUMBER(DM60:DM256),ROW(DM60:DM256),"")))</f>
        <v>7.6</v>
      </c>
      <c r="DO60" s="138">
        <f>IF('Données projet'!$A$166&gt;35,DO59+DN60-DW59,IF(A60&lt;'Données projet'!$A$166,$DL$205^A60,IF(A60='Données projet'!$A$166,'Données projet'!$B$166,DO59+DN60-DW59)))</f>
        <v>191.2</v>
      </c>
      <c r="DP60" s="138">
        <f>DO60*VLOOKUP('Données projet'!$B$14,'Paramètres'!$A$1:$I$89,3,0)*VLOOKUP('Données projet'!$B$14,'Paramètres'!$A$1:$I$89,5,0)</f>
        <v>172.99776</v>
      </c>
      <c r="DQ60" s="130">
        <f t="shared" si="44"/>
        <v>43.76073753</v>
      </c>
      <c r="DR60" s="141">
        <f t="shared" si="17"/>
        <v>377.5210499</v>
      </c>
      <c r="DS60" s="133">
        <f t="shared" si="18"/>
        <v>670.8543832</v>
      </c>
      <c r="DT60" s="133">
        <f>AVERAGE(OFFSET($DS$3,0,0,'Données projet'!$E$14+1,1))-AVERAGE(OFFSET($H$3,0,0,'Données projet'!$E$14+1,1))</f>
        <v>287.9334714</v>
      </c>
      <c r="DU60" s="133">
        <f t="shared" si="45"/>
        <v>156.6796502</v>
      </c>
      <c r="DV60" s="134">
        <f>IF(ISNA(VLOOKUP(A60,'Données projet'!$A$165:$I$185,3,0)),0,VLOOKUP(A60,'Données projet'!$A$165:$I$185,3,0))</f>
        <v>0</v>
      </c>
      <c r="DW60" s="134">
        <f>IF(ISNA(VLOOKUP(A60,'Données projet'!$A$165:$I$185,4,0)),0,VLOOKUP(A60,'Données projet'!$A$165:$I$185,4,0))</f>
        <v>0</v>
      </c>
      <c r="DX60" s="135">
        <f>IF(ISNA(VLOOKUP(A60,'Données projet'!$A$165:$I$185,5,0)),0%,VLOOKUP(A60,'Données projet'!$A$165:$I$185,5,0)*VLOOKUP('Données projet'!$B$14,'Paramètres'!$A$1:$I$89,7,0))</f>
        <v>0</v>
      </c>
      <c r="DY60" s="135">
        <f>IF(ISNA(VLOOKUP(A60,'Données projet'!$A$165:$I$185,6,0)),0%,VLOOKUP(A60,'Données projet'!$A$165:$I$185,6,0)*VLOOKUP('Données projet'!$B$14,'Paramètres'!$A$1:$I$89,7,0))</f>
        <v>0</v>
      </c>
      <c r="DZ60" s="135">
        <f>IF(ISNA(VLOOKUP(A60,'Données projet'!$A$165:$I$185,7,0)),0%,VLOOKUP(A60,'Données projet'!$A$165:$I$185,7,0))</f>
        <v>0</v>
      </c>
      <c r="EA60" s="142">
        <f>EXP(-LN(2)/35)*EA59+(1-EXP(-LN(2)/35))/(LN(2)/35)*DW60*DX60*VLOOKUP('Données projet'!$B$14,'Paramètres'!$A$1:$I$89,3,0)*0.475*44/12</f>
        <v>7.677616563</v>
      </c>
      <c r="EB60" s="142">
        <f>EXP(-LN(2)/25)*EB59+(1-EXP(-LN(2)/25))/(LN(2)/25)*Calculateur!DW60*Calculateur!DY60*VLOOKUP('Données projet'!$B$14,'Paramètres'!$A$1:$I$89,3,0)*0.475*44/12</f>
        <v>0</v>
      </c>
      <c r="EC60" s="142">
        <f>EXP(-LN(2)/2)*EC59+(1-EXP(-LN(2)/2))/(LN(2)/2)*DW60*DZ60*VLOOKUP('Données projet'!$B$14,'Paramètres'!$A$1:$I$89,3,0)*0.475*44/12</f>
        <v>0</v>
      </c>
      <c r="ED60" s="143">
        <f t="shared" si="19"/>
        <v>7.677616563</v>
      </c>
      <c r="EE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1" t="str">
        <f>VLOOKUP(A60,'Données projet'!$A$191:$I$211,2,0)</f>
        <v>#N/A</v>
      </c>
      <c r="EH60" s="131" t="str">
        <f>VLOOKUP(A60,'Données projet'!$A$191:$I$211,9,0)</f>
        <v>#N/A</v>
      </c>
      <c r="EI60" s="131">
        <f t="array" ref="EI60">INDEX(EH:EH,MIN(IF(ISNUMBER(EH60:EH256),ROW(EH60:EH256),"")))</f>
        <v>8.4</v>
      </c>
      <c r="EJ60" s="138">
        <f>IF('Données projet'!$A$192&gt;35,EJ59+EI60-ER59,IF(A60&lt;'Données projet'!$A$192,$EG$205^A60,IF(A60='Données projet'!$A$192,'Données projet'!$B$192,EJ59+EI60-ER59)))</f>
        <v>171.8</v>
      </c>
      <c r="EK60" s="138">
        <f>EJ60*VLOOKUP('Données projet'!$B$15,'Paramètres'!$A$1:$I$89,3,0)*VLOOKUP('Données projet'!$B$15,'Paramètres'!$A$1:$I$89,5,0)</f>
        <v>125.96376</v>
      </c>
      <c r="EL60" s="130">
        <f t="shared" si="46"/>
        <v>33.06199767</v>
      </c>
      <c r="EM60" s="141">
        <f t="shared" si="20"/>
        <v>276.9698613</v>
      </c>
      <c r="EN60" s="133">
        <f t="shared" si="21"/>
        <v>570.3031946</v>
      </c>
      <c r="EO60" s="133">
        <f>AVERAGE(OFFSET($EN$3,0,0,'Données projet'!$E$15+1,1))-AVERAGE(OFFSET($H$3,0,0,'Données projet'!$E$15+1,1))</f>
        <v>130.3193339</v>
      </c>
      <c r="EP60" s="133">
        <f t="shared" si="47"/>
        <v>82.22784365</v>
      </c>
      <c r="EQ60" s="134">
        <f>IF(ISNA(VLOOKUP(A60,'Données projet'!$A$191:$I$211,3,0)),0,VLOOKUP(A60,'Données projet'!$A$191:$I$211,3,0))</f>
        <v>0</v>
      </c>
      <c r="ER60" s="134">
        <f>IF(ISNA(VLOOKUP(A60,'Données projet'!$A$191:$I$211,4,0)),0,VLOOKUP(A60,'Données projet'!$A$191:$I$211,4,0))</f>
        <v>0</v>
      </c>
      <c r="ES60" s="135">
        <f>IF(ISNA(VLOOKUP(A60,'Données projet'!$A$191:$I$211,5,0)),0%,VLOOKUP(A60,'Données projet'!$A$191:$I$211,5,0)*VLOOKUP('Données projet'!$B$15,'Paramètres'!$A$1:$I$89,7,0))</f>
        <v>0</v>
      </c>
      <c r="ET60" s="135">
        <f>IF(ISNA(VLOOKUP(A60,'Données projet'!$A$191:$I$211,6,0)),0%,VLOOKUP(A60,'Données projet'!$A$191:$I$211,6,0)*VLOOKUP('Données projet'!$B$15,'Paramètres'!$A$1:$I$89,7,0))</f>
        <v>0</v>
      </c>
      <c r="EU60" s="135">
        <f>IF(ISNA(VLOOKUP(A60,'Données projet'!$A$191:$I$211,7,0)),0%,VLOOKUP(A60,'Données projet'!$A$191:$I$211,7,0))</f>
        <v>0</v>
      </c>
      <c r="EV60" s="142">
        <f>EXP(-LN(2)/35)*EV59+(1-EXP(-LN(2)/35))/(LN(2)/35)*ER60*ES60*VLOOKUP('Données projet'!$B$15,'Paramètres'!$A$1:$I$89,3,0)*0.475*44/12</f>
        <v>10.15321265</v>
      </c>
      <c r="EW60" s="142">
        <f>EXP(-LN(2)/25)*EW59+(1-EXP(-LN(2)/25))/(LN(2)/25)*Calculateur!ER60*Calculateur!ET60*VLOOKUP('Données projet'!$B$15,'Paramètres'!$A$1:$I$89,3,0)*0.475*44/12</f>
        <v>0</v>
      </c>
      <c r="EX60" s="142">
        <f>EXP(-LN(2)/2)*EX59+(1-EXP(-LN(2)/2))/(LN(2)/2)*ER60*EU60*VLOOKUP('Données projet'!$B$15,'Paramètres'!$A$1:$I$89,3,0)*0.475*44/12</f>
        <v>0</v>
      </c>
      <c r="EY60" s="143">
        <f t="shared" si="22"/>
        <v>10.15321265</v>
      </c>
      <c r="EZ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1" t="str">
        <f>VLOOKUP(A60,'Données projet'!$A$217:$I$237,2,0)</f>
        <v>#N/A</v>
      </c>
      <c r="FC60" s="131" t="str">
        <f>VLOOKUP(A60,'Données projet'!$A$217:$I$237,9,0)</f>
        <v>#N/A</v>
      </c>
      <c r="FD60" s="130">
        <f t="array" ref="FD60">INDEX(FC:FC,MIN(IF(ISNUMBER(FC60:FC256),ROW(FC60:FC256),"")))</f>
        <v>4.4</v>
      </c>
      <c r="FE60" s="130">
        <f>IF('Données projet'!$A$218&gt;35,FE59+FD60-FM59,IF(A60&lt;'Données projet'!$A$218,$FB$205^A60,IF(A60='Données projet'!$A$218,'Données projet'!$B$218,FE59+FD60-FM59)))</f>
        <v>270.8</v>
      </c>
      <c r="FF60" s="138">
        <f>FE60*VLOOKUP('Données projet'!$B$16,'Paramètres'!$A$1:$I$89,3,0)*VLOOKUP('Données projet'!$B$16,'Paramètres'!$A$1:$I$89,5,0)</f>
        <v>245.01984</v>
      </c>
      <c r="FG60" s="130">
        <f t="shared" si="48"/>
        <v>59.51826888</v>
      </c>
      <c r="FH60" s="141">
        <f t="shared" si="23"/>
        <v>530.403873</v>
      </c>
      <c r="FI60" s="133">
        <f t="shared" si="24"/>
        <v>823.7372063</v>
      </c>
      <c r="FJ60" s="133">
        <f>AVERAGE(OFFSET($FI$3,0,0,'Données projet'!$E$16+1,1))-AVERAGE(OFFSET($H$3,0,0,'Données projet'!$E$16+1,1))</f>
        <v>305.6252353</v>
      </c>
      <c r="FK60" s="133">
        <f t="shared" si="49"/>
        <v>331.397916</v>
      </c>
      <c r="FL60" s="134">
        <f>IF(ISNA(VLOOKUP(A60,'Données projet'!$A$217:$I$237,3,0)),0,VLOOKUP(A60,'Données projet'!$A$217:$I$237,3,0))</f>
        <v>0</v>
      </c>
      <c r="FM60" s="134">
        <f>IF(ISNA(VLOOKUP(A60,'Données projet'!$A$217:$I$237,4,0)),0,VLOOKUP(A60,'Données projet'!$A$217:$I$237,4,0))</f>
        <v>0</v>
      </c>
      <c r="FN60" s="135">
        <f>IF(ISNA(VLOOKUP(A60,'Données projet'!$A$217:$I$237,5,0)),0%,VLOOKUP(A60,'Données projet'!$A$217:$I$237,5,0)*VLOOKUP('Données projet'!$B$16,'Paramètres'!$A$1:$I$89,7,0))</f>
        <v>0</v>
      </c>
      <c r="FO60" s="135">
        <f>IF(ISNA(VLOOKUP(A60,'Données projet'!$A$217:$I$237,6,0)),0%,VLOOKUP(A60,'Données projet'!$A$217:$I$237,6,0)*VLOOKUP('Données projet'!$B$16,'Paramètres'!$A$1:$I$89,7,0))</f>
        <v>0</v>
      </c>
      <c r="FP60" s="135">
        <f>IF(ISNA(VLOOKUP(A60,'Données projet'!$A$217:$I$237,7,0)),0%,VLOOKUP(A60,'Données projet'!$A$217:$I$237,7,0))</f>
        <v>0</v>
      </c>
      <c r="FQ60" s="142">
        <f>EXP(-LN(2)/35)*FQ59+(1-EXP(-LN(2)/35))/(LN(2)/35)*FM60*FN60*VLOOKUP('Données projet'!$B$16,'Paramètres'!$A$1:$I$89,3,0)*0.475*44/12</f>
        <v>5.331299317</v>
      </c>
      <c r="FR60" s="142">
        <f>EXP(-LN(2)/25)*FR59+(1-EXP(-LN(2)/25))/(LN(2)/25)*Calculateur!FM60*Calculateur!FO60*VLOOKUP('Données projet'!$B$16,'Paramètres'!$A$1:$I$89,3,0)*0.475*44/12</f>
        <v>0</v>
      </c>
      <c r="FS60" s="142">
        <f>EXP(-LN(2)/2)*FS59+(1-EXP(-LN(2)/2))/(LN(2)/2)*FM60*FP60*VLOOKUP('Données projet'!$B$16,'Paramètres'!$A$1:$I$89,3,0)*0.475*44/12</f>
        <v>0</v>
      </c>
      <c r="FT60" s="143">
        <f t="shared" si="25"/>
        <v>5.331299317</v>
      </c>
      <c r="FU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1" t="str">
        <f>VLOOKUP(A60,'Données projet'!$A$243:$I$263,2,0)</f>
        <v>#N/A</v>
      </c>
      <c r="FX60" s="131" t="str">
        <f>VLOOKUP(A60,'Données projet'!$A$243:$I$263,9,0)</f>
        <v>#N/A</v>
      </c>
      <c r="FY60" s="130">
        <f t="array" ref="FY60">INDEX(FX:FX,MIN(IF(ISNUMBER(FX60:FX256),ROW(FX60:FX256),"")))</f>
        <v>10.8</v>
      </c>
      <c r="FZ60" s="138">
        <f>IF('Données projet'!$A$244&gt;35,FZ59+FY60-GH59,IF(A60&lt;'Données projet'!$A$244,$FW$205^A60,IF(A60='Données projet'!$A$244,'Données projet'!$B$244,FZ59+FY60-GH59)))</f>
        <v>237.6</v>
      </c>
      <c r="GA60" s="138">
        <f>FZ60*VLOOKUP('Données projet'!$B$17,'Paramètres'!$A$1:$I$89,3,0)*VLOOKUP('Données projet'!$B$17,'Paramètres'!$A$1:$I$89,5,0)</f>
        <v>159.38208</v>
      </c>
      <c r="GB60" s="130">
        <f t="shared" si="50"/>
        <v>40.70311045</v>
      </c>
      <c r="GC60" s="141">
        <f t="shared" si="26"/>
        <v>348.4817067</v>
      </c>
      <c r="GD60" s="133">
        <f t="shared" si="27"/>
        <v>641.81504</v>
      </c>
      <c r="GE60" s="133">
        <f>AVERAGE(OFFSET($GD$3,0,0,'Données projet'!$E$17+1,1))-AVERAGE(OFFSET($H$3,0,0,'Données projet'!$E$17+1,1))</f>
        <v>118.7368745</v>
      </c>
      <c r="GF60" s="133">
        <f t="shared" si="51"/>
        <v>135.1233677</v>
      </c>
      <c r="GG60" s="134">
        <f>IF(ISNA(VLOOKUP(A60,'Données projet'!$A$243:$I$263,3,0)),0,VLOOKUP(A60,'Données projet'!$A$243:$I$263,3,0))</f>
        <v>0</v>
      </c>
      <c r="GH60" s="134">
        <f>IF(ISNA(VLOOKUP(A60,'Données projet'!$A$243:$I$263,4,0)),0,VLOOKUP(A60,'Données projet'!$A$243:$I$263,4,0))</f>
        <v>0</v>
      </c>
      <c r="GI60" s="135">
        <f>IF(ISNA(VLOOKUP(A60,'Données projet'!$A$243:$I$263,5,0)),0%,VLOOKUP(A60,'Données projet'!$A$243:$I$263,5,0)*VLOOKUP('Données projet'!$B$17,'Paramètres'!$A$1:$I$89,7,0))</f>
        <v>0</v>
      </c>
      <c r="GJ60" s="135">
        <f>IF(ISNA(VLOOKUP(A60,'Données projet'!$A$243:$I$263,6,0)),0%,VLOOKUP(A60,'Données projet'!$A$243:$I$263,6,0)*VLOOKUP('Données projet'!$B$17,'Paramètres'!$A$1:$I$89,7,0))</f>
        <v>0</v>
      </c>
      <c r="GK60" s="135">
        <f>IF(ISNA(VLOOKUP(A60,'Données projet'!$A$243:$I$263,7,0)),0%,VLOOKUP(A60,'Données projet'!$A$243:$I$263,7,0))</f>
        <v>0</v>
      </c>
      <c r="GL60" s="142">
        <f>EXP(-LN(2)/35)*GL59+(1-EXP(-LN(2)/35))/(LN(2)/35)*GH60*GI60*VLOOKUP('Données projet'!$B$17,'Paramètres'!$A$1:$I$89,3,0)*0.475*44/12</f>
        <v>20.13226575</v>
      </c>
      <c r="GM60" s="142">
        <f>EXP(-LN(2)/25)*GM59+(1-EXP(-LN(2)/25))/(LN(2)/25)*Calculateur!GH60*Calculateur!GJ60*VLOOKUP('Données projet'!$B$17,'Paramètres'!$A$1:$I$89,3,0)*0.475*44/12</f>
        <v>0</v>
      </c>
      <c r="GN60" s="142">
        <f>EXP(-LN(2)/2)*GN59+(1-EXP(-LN(2)/2))/(LN(2)/2)*GH60*GK60*VLOOKUP('Données projet'!$B$17,'Paramètres'!$A$1:$I$89,3,0)*0.475*44/12</f>
        <v>0</v>
      </c>
      <c r="GO60" s="142">
        <f t="shared" si="28"/>
        <v>20.13226575</v>
      </c>
      <c r="GP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1" t="str">
        <f>VLOOKUP(A60,'Données projet'!$A$269:$I$289,2,0)</f>
        <v>#N/A</v>
      </c>
      <c r="GS60" s="131" t="str">
        <f>VLOOKUP(A60,'Données projet'!$A$269:$I$289,9,0)</f>
        <v>#N/A</v>
      </c>
      <c r="GT60" s="130">
        <f t="array" ref="GT60">INDEX(GS:GS,MIN(IF(ISNUMBER(GS60:GS256),ROW(GS60:GS256),"")))</f>
        <v>5.4</v>
      </c>
      <c r="GU60" s="138">
        <f>IF('Données projet'!$A$270&gt;35,GU59+GT60-HC59,IF(A60&lt;'Données projet'!$A$270,$GR$205^A60,IF(A60='Données projet'!$A$270,'Données projet'!$B$270,GU59+GT60-HC59)))</f>
        <v>131.8</v>
      </c>
      <c r="GV60" s="138">
        <f>GU60*VLOOKUP('Données projet'!$B$18,'Paramètres'!$A$1:$I$89,3,0)*VLOOKUP('Données projet'!$B$18,'Paramètres'!$A$1:$I$89,5,0)</f>
        <v>141.86952</v>
      </c>
      <c r="GW60" s="130">
        <f t="shared" si="52"/>
        <v>36.72495506</v>
      </c>
      <c r="GX60" s="141">
        <f t="shared" si="29"/>
        <v>311.0520441</v>
      </c>
      <c r="GY60" s="133">
        <f t="shared" si="30"/>
        <v>604.3853774</v>
      </c>
      <c r="GZ60" s="133">
        <f>AVERAGE(OFFSET($GY$3,0,0,'Données projet'!$E$18+1,1))-AVERAGE(OFFSET($H$3,0,0,'Données projet'!$E$18+1,1))</f>
        <v>100.5427875</v>
      </c>
      <c r="HA60" s="133">
        <f t="shared" si="53"/>
        <v>92.28663609</v>
      </c>
      <c r="HB60" s="134">
        <f>IF(ISNA(VLOOKUP(A60,'Données projet'!$A$269:$I$289,3,0)),0,VLOOKUP(A60,'Données projet'!$A$269:$I$289,3,0))</f>
        <v>0</v>
      </c>
      <c r="HC60" s="134">
        <f>IF(ISNA(VLOOKUP(A60,'Données projet'!$A$269:$I$289,4,0)),0,VLOOKUP(A60,'Données projet'!$A$269:$I$289,4,0))</f>
        <v>0</v>
      </c>
      <c r="HD60" s="135">
        <f>IF(ISNA(VLOOKUP(A60,'Données projet'!$A$269:$I$289,5,0)),0%,VLOOKUP(A60,'Données projet'!$A$269:$I$289,5,0)*VLOOKUP('Données projet'!$B$18,'Paramètres'!$A$1:$I$89,7,0))</f>
        <v>0</v>
      </c>
      <c r="HE60" s="135">
        <f>IF(ISNA(VLOOKUP(A60,'Données projet'!$A$269:$I$289,6,0)),0%,VLOOKUP(A60,'Données projet'!$A$269:$I$289,6,0)*VLOOKUP('Données projet'!$B$18,'Paramètres'!$A$1:$I$89,7,0))</f>
        <v>0</v>
      </c>
      <c r="HF60" s="135">
        <f>IF(ISNA(VLOOKUP(A60,'Données projet'!$A$269:$I$289,7,0)),0%,VLOOKUP(A60,'Données projet'!$A$269:$I$289,7,0))</f>
        <v>0</v>
      </c>
      <c r="HG60" s="142">
        <f>EXP(-LN(2)/35)*HG59+(1-EXP(-LN(2)/35))/(LN(2)/35)*HC60*HD60*VLOOKUP('Données projet'!$B$18,'Paramètres'!$A$1:$I$89,3,0)*0.475*44/12</f>
        <v>10.76842486</v>
      </c>
      <c r="HH60" s="142">
        <f>EXP(-LN(2)/25)*HH59+(1-EXP(-LN(2)/25))/(LN(2)/25)*Calculateur!HC60*Calculateur!HE60*VLOOKUP('Données projet'!$B$18,'Paramètres'!$A$1:$I$89,3,0)*0.475*44/12</f>
        <v>0</v>
      </c>
      <c r="HI60" s="142">
        <f>EXP(-LN(2)/2)*HI59+(1-EXP(-LN(2)/2))/(LN(2)/2)*HC60*HF60*VLOOKUP('Données projet'!$B$18,'Paramètres'!$A$1:$I$89,3,0)*0.475*44/12</f>
        <v>0</v>
      </c>
      <c r="HJ60" s="143">
        <f t="shared" si="31"/>
        <v>10.76842486</v>
      </c>
    </row>
    <row r="61" ht="15.75" customHeight="1">
      <c r="A61" s="125">
        <f t="shared" si="32"/>
        <v>58</v>
      </c>
      <c r="B61" s="126">
        <f>'Scénario référence'!$B$16*5+'Scénario référence'!$B$17*0+'Scénario référence'!$B$18*5</f>
        <v>0</v>
      </c>
      <c r="C61" s="140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61" s="127">
        <f t="shared" si="33"/>
        <v>9.761138142</v>
      </c>
      <c r="E6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7">
        <f>IF(OR('Scénario référence'!$F$8&gt;0,'Scénario référence'!$F$9&gt;0),('Scénario référence'!$F$8+'Scénario référence'!$F$9)*10,0)</f>
        <v>10</v>
      </c>
      <c r="G61" s="127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319.8038734</v>
      </c>
      <c r="H61" s="128">
        <f t="shared" si="1"/>
        <v>365.4890823</v>
      </c>
      <c r="I61" s="12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1" t="str">
        <f>VLOOKUP(A61,'Données projet'!$A$35:$I$55,2,0)</f>
        <v>#N/A</v>
      </c>
      <c r="L61" s="131" t="str">
        <f>VLOOKUP(A61,'Données projet'!$A$35:$I$55,9,0)</f>
        <v>#N/A</v>
      </c>
      <c r="M61" s="130">
        <f t="array" ref="M61">INDEX(L:L,MIN(IF(ISNUMBER(L61:L257),ROW(L61:L257),"")))</f>
        <v>10.8</v>
      </c>
      <c r="N61" s="130">
        <f>IF('Données projet'!$A$36&gt;35,N60+M61-V60,IF(A61&lt;'Données projet'!$A$36,$K$205^A61,IF(A61='Données projet'!$A$36,'Données projet'!$B$36,N60+M61-V60)))</f>
        <v>307.4</v>
      </c>
      <c r="O61" s="130">
        <f>N61*VLOOKUP('Données projet'!$B$9,'Paramètres'!$A$1:$I$89,3,0)*VLOOKUP('Données projet'!$B$9,'Paramètres'!$A$1:$I$89,5,0)</f>
        <v>175.8328</v>
      </c>
      <c r="P61" s="130">
        <f t="shared" si="34"/>
        <v>44.39380084</v>
      </c>
      <c r="Q61" s="141">
        <f t="shared" si="2"/>
        <v>383.5613298</v>
      </c>
      <c r="R61" s="133">
        <f t="shared" si="3"/>
        <v>676.8946631</v>
      </c>
      <c r="S61" s="133">
        <f>AVERAGE(OFFSET($R$3,0,0,'Données projet'!$E$9+1,1))-AVERAGE(OFFSET($H$3,0,0,'Données projet'!$E$9+1,1))</f>
        <v>126.9946492</v>
      </c>
      <c r="T61" s="133">
        <f t="shared" si="35"/>
        <v>140.039049</v>
      </c>
      <c r="U61" s="134">
        <f>IF(ISNA(VLOOKUP(A61,'Données projet'!$A$35:$I$55,3,0)),0,VLOOKUP(A61,'Données projet'!$A$35:$I$55,3,0))</f>
        <v>0</v>
      </c>
      <c r="V61" s="134">
        <f>IF(ISNA(VLOOKUP(A61,'Données projet'!$A$35:$I$55,4,0)),0,VLOOKUP(A61,'Données projet'!$A$35:$I$55,4,0))</f>
        <v>0</v>
      </c>
      <c r="W61" s="135">
        <f>IF(ISNA(VLOOKUP(A61,'Données projet'!$A$35:$I$55,5,0)),0%,VLOOKUP(A61,'Données projet'!$A$35:$I$55,5,0)*VLOOKUP('Données projet'!$B$9,'Paramètres'!$A$1:$I$89,7,0))</f>
        <v>0</v>
      </c>
      <c r="X61" s="135">
        <f>IF(ISNA(VLOOKUP(A61,'Données projet'!$A$35:$I$55,6,0)),0%,VLOOKUP(A61,'Données projet'!$A$35:$I$55,6,0)*VLOOKUP('Données projet'!$B$9,'Paramètres'!$A$1:$I$89,7,0))</f>
        <v>0</v>
      </c>
      <c r="Y61" s="135">
        <f>IF(ISNA(VLOOKUP(A61,'Données projet'!$A$35:$I$55,7,0)),0%,VLOOKUP(A61,'Données projet'!$A$35:$I$55,7,0))</f>
        <v>0</v>
      </c>
      <c r="Z61" s="142">
        <f>EXP(-LN(2)/35)*Z60+(1-EXP(-LN(2)/35))/(LN(2)/35)*V61*W61*VLOOKUP('Données projet'!$B$9,'Paramètres'!$A$1:$I$89,3,0)*0.475*44/12</f>
        <v>17.01856519</v>
      </c>
      <c r="AA61" s="142">
        <f>EXP(-LN(2)/25)*AA60+(1-EXP(-LN(2)/25))/(LN(2)/25)*Calculateur!V61*Calculateur!X61*VLOOKUP('Données projet'!$B$9,'Paramètres'!$A$1:$I$89,3,0)*0.475*44/12</f>
        <v>11.31659862</v>
      </c>
      <c r="AB61" s="142">
        <f>EXP(-LN(2)/2)*AB60+(1-EXP(-LN(2)/2))/(LN(2)/2)*V61*Y61*VLOOKUP('Données projet'!$B$9,'Paramètres'!$A$1:$I$89,3,0)*0.475*44/12</f>
        <v>0.477976858</v>
      </c>
      <c r="AC61" s="143">
        <f t="shared" si="4"/>
        <v>28.81314067</v>
      </c>
      <c r="AD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1">
        <f>VLOOKUP(A61,'Données projet'!$A$61:$I$81,2,0)</f>
        <v>440</v>
      </c>
      <c r="AG61" s="131">
        <f>VLOOKUP(A61,'Données projet'!$A$61:$I$81,9,0)</f>
        <v>17.625</v>
      </c>
      <c r="AH61" s="131">
        <f t="array" ref="AH61">INDEX(AG:AG,MIN(IF(ISNUMBER(AG61:AG257),ROW(AG61:AG257),"")))</f>
        <v>17.625</v>
      </c>
      <c r="AI61" s="130">
        <f>IF('Données projet'!$A$62&gt;35,AI60+AH61-AQ60,IF(A61&lt;'Données projet'!$A$62,$AF$205^A61,IF(A61='Données projet'!$A$62,'Données projet'!$B$62,AI60+AH61-AQ60)))</f>
        <v>440</v>
      </c>
      <c r="AJ61" s="130">
        <f>AI61*VLOOKUP('Données projet'!$B$10,'Paramètres'!$A$1:$I$89,3,0)*VLOOKUP('Données projet'!$B$10,'Paramètres'!$A$1:$I$89,5,0)</f>
        <v>263.12</v>
      </c>
      <c r="AK61" s="130">
        <f t="shared" si="36"/>
        <v>63.38697346</v>
      </c>
      <c r="AL61" s="141">
        <f t="shared" si="5"/>
        <v>568.6663121</v>
      </c>
      <c r="AM61" s="133">
        <f t="shared" si="6"/>
        <v>861.9996454</v>
      </c>
      <c r="AN61" s="133">
        <f>AVERAGE(OFFSET($AM$3,0,0,'Données projet'!$E$10+1,1))-AVERAGE(OFFSET($H$3,0,0,'Données projet'!$E$10+1,1))</f>
        <v>196.874484</v>
      </c>
      <c r="AO61" s="133">
        <f t="shared" si="37"/>
        <v>217.5750859</v>
      </c>
      <c r="AP61" s="134">
        <f>IF(ISNA(VLOOKUP(A61,'Données projet'!$A$61:$I$81,3,0)),0,VLOOKUP(A61,'Données projet'!$A$61:$I$81,3,0))</f>
        <v>8</v>
      </c>
      <c r="AQ61" s="145" t="str">
        <f>IF(ISNA(VLOOKUP(A61,'Données projet'!$A$61:$I$81,4,0)),0,VLOOKUP(A61,'Données projet'!$A$61:$I$81,4,0))</f>
        <v/>
      </c>
      <c r="AR61" s="135">
        <f>IF(ISNA(VLOOKUP(A61,'Données projet'!$A$61:$I$81,5,0)),0%,VLOOKUP(A61,'Données projet'!$A$61:$I$81,5,0)*VLOOKUP('Données projet'!$B$10,'Paramètres'!$A$1:$I$89,7,0))</f>
        <v>0.27</v>
      </c>
      <c r="AS61" s="135">
        <f>IF(ISNA(VLOOKUP(A61,'Données projet'!$A$61:$I$81,6,0)),0%,VLOOKUP(A61,'Données projet'!$A$61:$I$81,6,0)*VLOOKUP('Données projet'!$B$10,'Paramètres'!$A$1:$I$89,7,0))</f>
        <v>0.1008</v>
      </c>
      <c r="AT61" s="135">
        <f>IF(ISNA(VLOOKUP(A61,'Données projet'!$A$61:$I$81,7,0)),0%,VLOOKUP(A61,'Données projet'!$A$61:$I$81,7,0))</f>
        <v>0.176</v>
      </c>
      <c r="AU61" s="142">
        <f>EXP(-LN(2)/35)*AU60+(1-EXP(-LN(2)/35))/(LN(2)/35)*AQ61*AR61*VLOOKUP('Données projet'!$B$10,'Paramètres'!$A$1:$I$89,3,0)*0.475*44/12</f>
        <v>22.88816042</v>
      </c>
      <c r="AV61" s="142">
        <f>EXP(-LN(2)/25)*AV60+(1-EXP(-LN(2)/25))/(LN(2)/25)*Calculateur!AQ61*Calculateur!AS61*VLOOKUP('Données projet'!$B$10,'Paramètres'!$A$1:$I$89,3,0)*0.475*44/12</f>
        <v>19.24493424</v>
      </c>
      <c r="AW61" s="142">
        <f>EXP(-LN(2)/2)*AW60+(1-EXP(-LN(2)/2))/(LN(2)/2)*AQ61*AT61*VLOOKUP('Données projet'!$B$10,'Paramètres'!$A$1:$I$89,3,0)*0.475*44/12</f>
        <v>0.5176594999</v>
      </c>
      <c r="AX61" s="142">
        <f t="shared" si="7"/>
        <v>42.65075416</v>
      </c>
      <c r="AY61" s="13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1" t="str">
        <f>VLOOKUP(A61,'Données projet'!$A$87:$I$107,2,0)</f>
        <v>#N/A</v>
      </c>
      <c r="BB61" s="131" t="str">
        <f>VLOOKUP(A61,'Données projet'!$A$87:$I$107,9,0)</f>
        <v>#N/A</v>
      </c>
      <c r="BC61" s="130">
        <f t="array" ref="BC61">INDEX(BB:BB,MIN(IF(ISNUMBER(BB61:BB257),ROW(BB61:BB257),"")))</f>
        <v>14</v>
      </c>
      <c r="BD61" s="130">
        <f>IF('Données projet'!$A$88&gt;35,BD60+BC61-BL60,IF(A61&lt;'Données projet'!$A$88,$BA$205^A61,IF(A61='Données projet'!$A$88,'Données projet'!$B$88,BD60+BC61-BL60)))</f>
        <v>362</v>
      </c>
      <c r="BE61" s="130">
        <f>BD61*VLOOKUP('Données projet'!$B$11,'Paramètres'!$A$1:$I$89,3,0)*VLOOKUP('Données projet'!$B$11,'Paramètres'!$A$1:$I$89,5,0)</f>
        <v>169.416</v>
      </c>
      <c r="BF61" s="130">
        <f t="shared" si="38"/>
        <v>42.95920083</v>
      </c>
      <c r="BG61" s="141">
        <f t="shared" si="8"/>
        <v>369.8868081</v>
      </c>
      <c r="BH61" s="133">
        <f t="shared" si="9"/>
        <v>663.2201414</v>
      </c>
      <c r="BI61" s="133">
        <f>AVERAGE(OFFSET($BH$3,0,0,'Données projet'!$E$11+1,1))-AVERAGE(OFFSET($H$3,0,0,'Données projet'!$E$11+1,1))</f>
        <v>134.0948534</v>
      </c>
      <c r="BJ61" s="133">
        <f t="shared" si="39"/>
        <v>108.4102536</v>
      </c>
      <c r="BK61" s="134">
        <f>IF(ISNA(VLOOKUP(A61,'Données projet'!$A$87:$I$107,3,0)),0,VLOOKUP(A61,'Données projet'!$A$87:$I$107,3,0))</f>
        <v>0</v>
      </c>
      <c r="BL61" s="134">
        <f>IF(ISNA(VLOOKUP(A61,'Données projet'!$A$87:$I$107,4,0)),0,VLOOKUP(A61,'Données projet'!$A$87:$I$107,4,0))</f>
        <v>0</v>
      </c>
      <c r="BM61" s="135">
        <f>IF(ISNA(VLOOKUP(A61,'Données projet'!$A$87:$I$107,5,0)),0%,VLOOKUP(A61,'Données projet'!$A$87:$I$107,5,0)*VLOOKUP('Données projet'!$B$11,'Paramètres'!$A$1:$I$89,7,0))</f>
        <v>0</v>
      </c>
      <c r="BN61" s="135">
        <f>IF(ISNA(VLOOKUP(A61,'Données projet'!$A$87:$I$107,6,0)),0%,VLOOKUP(A61,'Données projet'!$A$87:$I$107,6,0)*VLOOKUP('Données projet'!$B$11,'Paramètres'!$A$1:$I$89,7,0))</f>
        <v>0</v>
      </c>
      <c r="BO61" s="135">
        <f>IF(ISNA(VLOOKUP(A61,'Données projet'!$A$87:$I$107,7,0)),0%,VLOOKUP(A61,'Données projet'!$A$87:$I$107,7,0))</f>
        <v>0</v>
      </c>
      <c r="BP61" s="142">
        <f>EXP(-LN(2)/35)*BP60+(1-EXP(-LN(2)/35))/(LN(2)/35)*BL61*BM61*VLOOKUP('Données projet'!$B$11,'Paramètres'!$A$1:$I$89,3,0)*0.475*44/12</f>
        <v>15.093103</v>
      </c>
      <c r="BQ61" s="142">
        <f>EXP(-LN(2)/25)*BQ60+(1-EXP(-LN(2)/25))/(LN(2)/25)*Calculateur!BL61*Calculateur!BN61*VLOOKUP('Données projet'!$B$11,'Paramètres'!$A$1:$I$89,3,0)*0.475*44/12</f>
        <v>9.324578991</v>
      </c>
      <c r="BR61" s="142">
        <f>EXP(-LN(2)/2)*BR60+(1-EXP(-LN(2)/2))/(LN(2)/2)*BL61*BO61*VLOOKUP('Données projet'!$B$11,'Paramètres'!$A$1:$I$89,3,0)*0.475*44/12</f>
        <v>0.3055530534</v>
      </c>
      <c r="BS61" s="143">
        <f t="shared" si="10"/>
        <v>24.72323504</v>
      </c>
      <c r="BT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1" t="str">
        <f>VLOOKUP(A61,'Données projet'!$A$113:$I$133,2,0)</f>
        <v>#N/A</v>
      </c>
      <c r="BW61" s="131" t="str">
        <f>VLOOKUP(A61,'Données projet'!$A$113:$I$133,9,0)</f>
        <v>#N/A</v>
      </c>
      <c r="BX61" s="130">
        <f t="array" ref="BX61">INDEX(BW:BW,MIN(IF(ISNUMBER(BW61:BW257),ROW(BW61:BW257),"")))</f>
        <v>20.4</v>
      </c>
      <c r="BY61" s="130">
        <f>IF('Données projet'!$A$114&gt;35,BY60+BX61-CG60,IF(A61&lt;'Données projet'!$A$114,$BV$205^A61,IF(A61='Données projet'!$A$114,'Données projet'!$B$114,BY60+BX61-CG60)))</f>
        <v>588.2</v>
      </c>
      <c r="BZ61" s="130">
        <f>BY61*VLOOKUP('Données projet'!$B$12,'Paramètres'!$A$1:$I$89,3,0)*VLOOKUP('Données projet'!$B$12,'Paramètres'!$A$1:$I$89,5,0)</f>
        <v>290.5708</v>
      </c>
      <c r="CA61" s="130">
        <f t="shared" si="40"/>
        <v>69.19608202</v>
      </c>
      <c r="CB61" s="141">
        <f t="shared" si="11"/>
        <v>626.5939862</v>
      </c>
      <c r="CC61" s="133">
        <f t="shared" si="12"/>
        <v>919.9273195</v>
      </c>
      <c r="CD61" s="133">
        <f>AVERAGE(OFFSET($CC$3,0,0,'Données projet'!$E$12+1,1))-AVERAGE(OFFSET($H$3,0,0,'Données projet'!$E$12+1,1))</f>
        <v>258.1672054</v>
      </c>
      <c r="CE61" s="133">
        <f t="shared" si="41"/>
        <v>296.0724261</v>
      </c>
      <c r="CF61" s="134">
        <f>IF(ISNA(VLOOKUP(A61,'Données projet'!$A$113:$I$133,3,0)),0,VLOOKUP(A61,'Données projet'!$A$113:$I$133,3,0))</f>
        <v>0</v>
      </c>
      <c r="CG61" s="134">
        <f>IF(ISNA(VLOOKUP(A61,'Données projet'!$A$113:$I$133,4,0)),0,VLOOKUP(A61,'Données projet'!$A$113:$I$133,4,0))</f>
        <v>0</v>
      </c>
      <c r="CH61" s="135">
        <f>IF(ISNA(VLOOKUP(A61,'Données projet'!$A$113:$I$133,5,0)),0%,VLOOKUP(A61,'Données projet'!$A$113:$I$133,5,0)*VLOOKUP('Données projet'!$B$12,'Paramètres'!$A$1:$I$89,7,0))</f>
        <v>0</v>
      </c>
      <c r="CI61" s="135">
        <f>IF(ISNA(VLOOKUP(A61,'Données projet'!$A$113:$I$133,6,0)),0%,VLOOKUP(A61,'Données projet'!$A$113:$I$133,6,0)*VLOOKUP('Données projet'!$B$12,'Paramètres'!$A$1:$I$89,7,0))</f>
        <v>0</v>
      </c>
      <c r="CJ61" s="135">
        <f>IF(ISNA(VLOOKUP(A61,'Données projet'!$A$113:$I$133,7,0)),0%,VLOOKUP(A61,'Données projet'!$A$113:$I$133,7,0))</f>
        <v>0</v>
      </c>
      <c r="CK61" s="142">
        <f>EXP(-LN(2)/35)*CK60+(1-EXP(-LN(2)/35))/(LN(2)/35)*CG61*CH61*VLOOKUP('Données projet'!$B$12,'Paramètres'!$A$1:$I$89,3,0)*0.475*44/12</f>
        <v>56.36704461</v>
      </c>
      <c r="CL61" s="142">
        <f>EXP(-LN(2)/25)*CL60+(1-EXP(-LN(2)/25))/(LN(2)/25)*Calculateur!CG61*Calculateur!CI61*VLOOKUP('Données projet'!$B$12,'Paramètres'!$A$1:$I$89,3,0)*0.475*44/12</f>
        <v>27.46582034</v>
      </c>
      <c r="CM61" s="142">
        <f>EXP(-LN(2)/2)*CM60+(1-EXP(-LN(2)/2))/(LN(2)/2)*CG61*CJ61*VLOOKUP('Données projet'!$B$12,'Paramètres'!$A$1:$I$89,3,0)*0.475*44/12</f>
        <v>1.60968733</v>
      </c>
      <c r="CN61" s="143">
        <f t="shared" si="13"/>
        <v>85.44255229</v>
      </c>
      <c r="CO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1" t="str">
        <f>VLOOKUP(A61,'Données projet'!$A$139:$I$159,2,0)</f>
        <v>#N/A</v>
      </c>
      <c r="CR61" s="131" t="str">
        <f>VLOOKUP(A61,'Données projet'!$A$139:$I$159,9,0)</f>
        <v>#N/A</v>
      </c>
      <c r="CS61" s="130">
        <f t="array" ref="CS61">INDEX(CR:CR,MIN(IF(ISNUMBER(CR61:CR257),ROW(CR61:CR257),"")))</f>
        <v>5.4</v>
      </c>
      <c r="CT61" s="138">
        <f>IF('Données projet'!$A$140&gt;35,CT60+CS61-DB60,IF(A61&lt;'Données projet'!$A$140,$CQ$205^A61,IF(A61='Données projet'!$A$140,'Données projet'!$B$140,CT60+CS61-DB60)))</f>
        <v>137.2</v>
      </c>
      <c r="CU61" s="138">
        <f>CT61*VLOOKUP('Données projet'!$B$13,'Paramètres'!$A$1:$I$89,3,0)*VLOOKUP('Données projet'!$B$13,'Paramètres'!$A$1:$I$89,5,0)</f>
        <v>139.1208</v>
      </c>
      <c r="CV61" s="130">
        <f t="shared" si="42"/>
        <v>36.09551933</v>
      </c>
      <c r="CW61" s="141">
        <f t="shared" si="14"/>
        <v>305.1684228</v>
      </c>
      <c r="CX61" s="133">
        <f t="shared" si="15"/>
        <v>598.5017562</v>
      </c>
      <c r="CY61" s="133">
        <f>AVERAGE(OFFSET($CX$3,0,0,'Données projet'!$E$13+1,1))-AVERAGE(OFFSET($H$3,0,0,'Données projet'!$E$13+1,1))</f>
        <v>223.783507</v>
      </c>
      <c r="CZ61" s="133">
        <f t="shared" si="43"/>
        <v>84.92349117</v>
      </c>
      <c r="DA61" s="134">
        <f>IF(ISNA(VLOOKUP(A61,'Données projet'!$A$139:$I$159,3,0)),0,VLOOKUP(A61,'Données projet'!$A$139:$I$159,3,0))</f>
        <v>0</v>
      </c>
      <c r="DB61" s="134">
        <f>IF(ISNA(VLOOKUP(A61,'Données projet'!$A$139:$I$159,4,0)),0,VLOOKUP(A61,'Données projet'!$A$139:$I$159,4,0))</f>
        <v>0</v>
      </c>
      <c r="DC61" s="135">
        <f>IF(ISNA(VLOOKUP(A61,'Données projet'!$A$139:$I$159,5,0)),0%,VLOOKUP(A61,'Données projet'!$A$139:$I$159,5,0)*VLOOKUP('Données projet'!$B$13,'Paramètres'!$A$1:$I$89,7,0))</f>
        <v>0</v>
      </c>
      <c r="DD61" s="135">
        <f>IF(ISNA(VLOOKUP(A61,'Données projet'!$A$139:$I$159,6,0)),0%,VLOOKUP(A61,'Données projet'!$A$139:$I$159,6,0)*VLOOKUP('Données projet'!$B$13,'Paramètres'!$A$1:$I$89,7,0))</f>
        <v>0</v>
      </c>
      <c r="DE61" s="135">
        <f>IF(ISNA(VLOOKUP(A61,'Données projet'!$A$139:$I$159,7,0)),0%,VLOOKUP(A61,'Données projet'!$A$139:$I$159,7,0))</f>
        <v>0</v>
      </c>
      <c r="DF61" s="142">
        <f>EXP(-LN(2)/35)*DF60+(1-EXP(-LN(2)/35))/(LN(2)/35)*DB61*DC61*VLOOKUP('Données projet'!$B$13,'Paramètres'!$A$1:$I$89,3,0)*0.475*44/12</f>
        <v>4.102808908</v>
      </c>
      <c r="DG61" s="142">
        <f>EXP(-LN(2)/25)*DG60+(1-EXP(-LN(2)/25))/(LN(2)/25)*Calculateur!DB61*Calculateur!DD61*VLOOKUP('Données projet'!$B$13,'Paramètres'!$A$1:$I$89,3,0)*0.475*44/12</f>
        <v>0</v>
      </c>
      <c r="DH61" s="142">
        <f>EXP(-LN(2)/2)*DH60+(1-EXP(-LN(2)/2))/(LN(2)/2)*DB61*DE61*VLOOKUP('Données projet'!$B$13,'Paramètres'!$A$1:$I$89,3,0)*0.475*44/12</f>
        <v>0</v>
      </c>
      <c r="DI61" s="143">
        <f t="shared" si="16"/>
        <v>4.102808908</v>
      </c>
      <c r="DJ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1" t="str">
        <f>VLOOKUP(A61,'Données projet'!$A$165:$I$185,2,0)</f>
        <v>#N/A</v>
      </c>
      <c r="DM61" s="131" t="str">
        <f>VLOOKUP(A61,'Données projet'!$A$165:$I$185,9,0)</f>
        <v>#N/A</v>
      </c>
      <c r="DN61" s="131">
        <f t="array" ref="DN61">INDEX(DM:DM,MIN(IF(ISNUMBER(DM61:DM257),ROW(DM61:DM257),"")))</f>
        <v>7.6</v>
      </c>
      <c r="DO61" s="138">
        <f>IF('Données projet'!$A$166&gt;35,DO60+DN61-DW60,IF(A61&lt;'Données projet'!$A$166,$DL$205^A61,IF(A61='Données projet'!$A$166,'Données projet'!$B$166,DO60+DN61-DW60)))</f>
        <v>198.8</v>
      </c>
      <c r="DP61" s="138">
        <f>DO61*VLOOKUP('Données projet'!$B$14,'Paramètres'!$A$1:$I$89,3,0)*VLOOKUP('Données projet'!$B$14,'Paramètres'!$A$1:$I$89,5,0)</f>
        <v>179.87424</v>
      </c>
      <c r="DQ61" s="130">
        <f t="shared" si="44"/>
        <v>45.29420575</v>
      </c>
      <c r="DR61" s="141">
        <f t="shared" si="17"/>
        <v>392.1683763</v>
      </c>
      <c r="DS61" s="133">
        <f t="shared" si="18"/>
        <v>685.5017097</v>
      </c>
      <c r="DT61" s="133">
        <f>AVERAGE(OFFSET($DS$3,0,0,'Données projet'!$E$14+1,1))-AVERAGE(OFFSET($H$3,0,0,'Données projet'!$E$14+1,1))</f>
        <v>287.9334714</v>
      </c>
      <c r="DU61" s="133">
        <f t="shared" si="45"/>
        <v>156.6796502</v>
      </c>
      <c r="DV61" s="134">
        <f>IF(ISNA(VLOOKUP(A61,'Données projet'!$A$165:$I$185,3,0)),0,VLOOKUP(A61,'Données projet'!$A$165:$I$185,3,0))</f>
        <v>0</v>
      </c>
      <c r="DW61" s="134">
        <f>IF(ISNA(VLOOKUP(A61,'Données projet'!$A$165:$I$185,4,0)),0,VLOOKUP(A61,'Données projet'!$A$165:$I$185,4,0))</f>
        <v>0</v>
      </c>
      <c r="DX61" s="135">
        <f>IF(ISNA(VLOOKUP(A61,'Données projet'!$A$165:$I$185,5,0)),0%,VLOOKUP(A61,'Données projet'!$A$165:$I$185,5,0)*VLOOKUP('Données projet'!$B$14,'Paramètres'!$A$1:$I$89,7,0))</f>
        <v>0</v>
      </c>
      <c r="DY61" s="135">
        <f>IF(ISNA(VLOOKUP(A61,'Données projet'!$A$165:$I$185,6,0)),0%,VLOOKUP(A61,'Données projet'!$A$165:$I$185,6,0)*VLOOKUP('Données projet'!$B$14,'Paramètres'!$A$1:$I$89,7,0))</f>
        <v>0</v>
      </c>
      <c r="DZ61" s="135">
        <f>IF(ISNA(VLOOKUP(A61,'Données projet'!$A$165:$I$185,7,0)),0%,VLOOKUP(A61,'Données projet'!$A$165:$I$185,7,0))</f>
        <v>0</v>
      </c>
      <c r="EA61" s="142">
        <f>EXP(-LN(2)/35)*EA60+(1-EXP(-LN(2)/35))/(LN(2)/35)*DW61*DX61*VLOOKUP('Données projet'!$B$14,'Paramètres'!$A$1:$I$89,3,0)*0.475*44/12</f>
        <v>7.527063185</v>
      </c>
      <c r="EB61" s="142">
        <f>EXP(-LN(2)/25)*EB60+(1-EXP(-LN(2)/25))/(LN(2)/25)*Calculateur!DW61*Calculateur!DY61*VLOOKUP('Données projet'!$B$14,'Paramètres'!$A$1:$I$89,3,0)*0.475*44/12</f>
        <v>0</v>
      </c>
      <c r="EC61" s="142">
        <f>EXP(-LN(2)/2)*EC60+(1-EXP(-LN(2)/2))/(LN(2)/2)*DW61*DZ61*VLOOKUP('Données projet'!$B$14,'Paramètres'!$A$1:$I$89,3,0)*0.475*44/12</f>
        <v>0</v>
      </c>
      <c r="ED61" s="143">
        <f t="shared" si="19"/>
        <v>7.527063185</v>
      </c>
      <c r="EE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1" t="str">
        <f>VLOOKUP(A61,'Données projet'!$A$191:$I$211,2,0)</f>
        <v>#N/A</v>
      </c>
      <c r="EH61" s="131" t="str">
        <f>VLOOKUP(A61,'Données projet'!$A$191:$I$211,9,0)</f>
        <v>#N/A</v>
      </c>
      <c r="EI61" s="131">
        <f t="array" ref="EI61">INDEX(EH:EH,MIN(IF(ISNUMBER(EH61:EH257),ROW(EH61:EH257),"")))</f>
        <v>8.4</v>
      </c>
      <c r="EJ61" s="138">
        <f>IF('Données projet'!$A$192&gt;35,EJ60+EI61-ER60,IF(A61&lt;'Données projet'!$A$192,$EG$205^A61,IF(A61='Données projet'!$A$192,'Données projet'!$B$192,EJ60+EI61-ER60)))</f>
        <v>180.2</v>
      </c>
      <c r="EK61" s="138">
        <f>EJ61*VLOOKUP('Données projet'!$B$15,'Paramètres'!$A$1:$I$89,3,0)*VLOOKUP('Données projet'!$B$15,'Paramètres'!$A$1:$I$89,5,0)</f>
        <v>132.12264</v>
      </c>
      <c r="EL61" s="130">
        <f t="shared" si="46"/>
        <v>34.48637582</v>
      </c>
      <c r="EM61" s="141">
        <f t="shared" si="20"/>
        <v>290.1773692</v>
      </c>
      <c r="EN61" s="133">
        <f t="shared" si="21"/>
        <v>583.5107026</v>
      </c>
      <c r="EO61" s="133">
        <f>AVERAGE(OFFSET($EN$3,0,0,'Données projet'!$E$15+1,1))-AVERAGE(OFFSET($H$3,0,0,'Données projet'!$E$15+1,1))</f>
        <v>130.3193339</v>
      </c>
      <c r="EP61" s="133">
        <f t="shared" si="47"/>
        <v>82.22784365</v>
      </c>
      <c r="EQ61" s="134">
        <f>IF(ISNA(VLOOKUP(A61,'Données projet'!$A$191:$I$211,3,0)),0,VLOOKUP(A61,'Données projet'!$A$191:$I$211,3,0))</f>
        <v>0</v>
      </c>
      <c r="ER61" s="134">
        <f>IF(ISNA(VLOOKUP(A61,'Données projet'!$A$191:$I$211,4,0)),0,VLOOKUP(A61,'Données projet'!$A$191:$I$211,4,0))</f>
        <v>0</v>
      </c>
      <c r="ES61" s="135">
        <f>IF(ISNA(VLOOKUP(A61,'Données projet'!$A$191:$I$211,5,0)),0%,VLOOKUP(A61,'Données projet'!$A$191:$I$211,5,0)*VLOOKUP('Données projet'!$B$15,'Paramètres'!$A$1:$I$89,7,0))</f>
        <v>0</v>
      </c>
      <c r="ET61" s="135">
        <f>IF(ISNA(VLOOKUP(A61,'Données projet'!$A$191:$I$211,6,0)),0%,VLOOKUP(A61,'Données projet'!$A$191:$I$211,6,0)*VLOOKUP('Données projet'!$B$15,'Paramètres'!$A$1:$I$89,7,0))</f>
        <v>0</v>
      </c>
      <c r="EU61" s="135">
        <f>IF(ISNA(VLOOKUP(A61,'Données projet'!$A$191:$I$211,7,0)),0%,VLOOKUP(A61,'Données projet'!$A$191:$I$211,7,0))</f>
        <v>0</v>
      </c>
      <c r="EV61" s="142">
        <f>EXP(-LN(2)/35)*EV60+(1-EXP(-LN(2)/35))/(LN(2)/35)*ER61*ES61*VLOOKUP('Données projet'!$B$15,'Paramètres'!$A$1:$I$89,3,0)*0.475*44/12</f>
        <v>9.95411434</v>
      </c>
      <c r="EW61" s="142">
        <f>EXP(-LN(2)/25)*EW60+(1-EXP(-LN(2)/25))/(LN(2)/25)*Calculateur!ER61*Calculateur!ET61*VLOOKUP('Données projet'!$B$15,'Paramètres'!$A$1:$I$89,3,0)*0.475*44/12</f>
        <v>0</v>
      </c>
      <c r="EX61" s="142">
        <f>EXP(-LN(2)/2)*EX60+(1-EXP(-LN(2)/2))/(LN(2)/2)*ER61*EU61*VLOOKUP('Données projet'!$B$15,'Paramètres'!$A$1:$I$89,3,0)*0.475*44/12</f>
        <v>0</v>
      </c>
      <c r="EY61" s="143">
        <f t="shared" si="22"/>
        <v>9.95411434</v>
      </c>
      <c r="EZ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1" t="str">
        <f>VLOOKUP(A61,'Données projet'!$A$217:$I$237,2,0)</f>
        <v>#N/A</v>
      </c>
      <c r="FC61" s="131" t="str">
        <f>VLOOKUP(A61,'Données projet'!$A$217:$I$237,9,0)</f>
        <v>#N/A</v>
      </c>
      <c r="FD61" s="130">
        <f t="array" ref="FD61">INDEX(FC:FC,MIN(IF(ISNUMBER(FC61:FC257),ROW(FC61:FC257),"")))</f>
        <v>4.4</v>
      </c>
      <c r="FE61" s="130">
        <f>IF('Données projet'!$A$218&gt;35,FE60+FD61-FM60,IF(A61&lt;'Données projet'!$A$218,$FB$205^A61,IF(A61='Données projet'!$A$218,'Données projet'!$B$218,FE60+FD61-FM60)))</f>
        <v>275.2</v>
      </c>
      <c r="FF61" s="138">
        <f>FE61*VLOOKUP('Données projet'!$B$16,'Paramètres'!$A$1:$I$89,3,0)*VLOOKUP('Données projet'!$B$16,'Paramètres'!$A$1:$I$89,5,0)</f>
        <v>249.00096</v>
      </c>
      <c r="FG61" s="130">
        <f t="shared" si="48"/>
        <v>60.37196164</v>
      </c>
      <c r="FH61" s="141">
        <f t="shared" si="23"/>
        <v>538.8245052</v>
      </c>
      <c r="FI61" s="133">
        <f t="shared" si="24"/>
        <v>832.1578385</v>
      </c>
      <c r="FJ61" s="133">
        <f>AVERAGE(OFFSET($FI$3,0,0,'Données projet'!$E$16+1,1))-AVERAGE(OFFSET($H$3,0,0,'Données projet'!$E$16+1,1))</f>
        <v>305.6252353</v>
      </c>
      <c r="FK61" s="133">
        <f t="shared" si="49"/>
        <v>331.397916</v>
      </c>
      <c r="FL61" s="134">
        <f>IF(ISNA(VLOOKUP(A61,'Données projet'!$A$217:$I$237,3,0)),0,VLOOKUP(A61,'Données projet'!$A$217:$I$237,3,0))</f>
        <v>0</v>
      </c>
      <c r="FM61" s="134">
        <f>IF(ISNA(VLOOKUP(A61,'Données projet'!$A$217:$I$237,4,0)),0,VLOOKUP(A61,'Données projet'!$A$217:$I$237,4,0))</f>
        <v>0</v>
      </c>
      <c r="FN61" s="135">
        <f>IF(ISNA(VLOOKUP(A61,'Données projet'!$A$217:$I$237,5,0)),0%,VLOOKUP(A61,'Données projet'!$A$217:$I$237,5,0)*VLOOKUP('Données projet'!$B$16,'Paramètres'!$A$1:$I$89,7,0))</f>
        <v>0</v>
      </c>
      <c r="FO61" s="135">
        <f>IF(ISNA(VLOOKUP(A61,'Données projet'!$A$217:$I$237,6,0)),0%,VLOOKUP(A61,'Données projet'!$A$217:$I$237,6,0)*VLOOKUP('Données projet'!$B$16,'Paramètres'!$A$1:$I$89,7,0))</f>
        <v>0</v>
      </c>
      <c r="FP61" s="135">
        <f>IF(ISNA(VLOOKUP(A61,'Données projet'!$A$217:$I$237,7,0)),0%,VLOOKUP(A61,'Données projet'!$A$217:$I$237,7,0))</f>
        <v>0</v>
      </c>
      <c r="FQ61" s="142">
        <f>EXP(-LN(2)/35)*FQ60+(1-EXP(-LN(2)/35))/(LN(2)/35)*FM61*FN61*VLOOKUP('Données projet'!$B$16,'Paramètres'!$A$1:$I$89,3,0)*0.475*44/12</f>
        <v>5.226755789</v>
      </c>
      <c r="FR61" s="142">
        <f>EXP(-LN(2)/25)*FR60+(1-EXP(-LN(2)/25))/(LN(2)/25)*Calculateur!FM61*Calculateur!FO61*VLOOKUP('Données projet'!$B$16,'Paramètres'!$A$1:$I$89,3,0)*0.475*44/12</f>
        <v>0</v>
      </c>
      <c r="FS61" s="142">
        <f>EXP(-LN(2)/2)*FS60+(1-EXP(-LN(2)/2))/(LN(2)/2)*FM61*FP61*VLOOKUP('Données projet'!$B$16,'Paramètres'!$A$1:$I$89,3,0)*0.475*44/12</f>
        <v>0</v>
      </c>
      <c r="FT61" s="143">
        <f t="shared" si="25"/>
        <v>5.226755789</v>
      </c>
      <c r="FU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1" t="str">
        <f>VLOOKUP(A61,'Données projet'!$A$243:$I$263,2,0)</f>
        <v>#N/A</v>
      </c>
      <c r="FX61" s="131" t="str">
        <f>VLOOKUP(A61,'Données projet'!$A$243:$I$263,9,0)</f>
        <v>#N/A</v>
      </c>
      <c r="FY61" s="130">
        <f t="array" ref="FY61">INDEX(FX:FX,MIN(IF(ISNUMBER(FX61:FX257),ROW(FX61:FX257),"")))</f>
        <v>10.8</v>
      </c>
      <c r="FZ61" s="138">
        <f>IF('Données projet'!$A$244&gt;35,FZ60+FY61-GH60,IF(A61&lt;'Données projet'!$A$244,$FW$205^A61,IF(A61='Données projet'!$A$244,'Données projet'!$B$244,FZ60+FY61-GH60)))</f>
        <v>248.4</v>
      </c>
      <c r="GA61" s="138">
        <f>FZ61*VLOOKUP('Données projet'!$B$17,'Paramètres'!$A$1:$I$89,3,0)*VLOOKUP('Données projet'!$B$17,'Paramètres'!$A$1:$I$89,5,0)</f>
        <v>166.62672</v>
      </c>
      <c r="GB61" s="130">
        <f t="shared" si="50"/>
        <v>42.33364207</v>
      </c>
      <c r="GC61" s="141">
        <f t="shared" si="26"/>
        <v>363.9392973</v>
      </c>
      <c r="GD61" s="133">
        <f t="shared" si="27"/>
        <v>657.2726306</v>
      </c>
      <c r="GE61" s="133">
        <f>AVERAGE(OFFSET($GD$3,0,0,'Données projet'!$E$17+1,1))-AVERAGE(OFFSET($H$3,0,0,'Données projet'!$E$17+1,1))</f>
        <v>118.7368745</v>
      </c>
      <c r="GF61" s="133">
        <f t="shared" si="51"/>
        <v>135.1233677</v>
      </c>
      <c r="GG61" s="134">
        <f>IF(ISNA(VLOOKUP(A61,'Données projet'!$A$243:$I$263,3,0)),0,VLOOKUP(A61,'Données projet'!$A$243:$I$263,3,0))</f>
        <v>0</v>
      </c>
      <c r="GH61" s="134">
        <f>IF(ISNA(VLOOKUP(A61,'Données projet'!$A$243:$I$263,4,0)),0,VLOOKUP(A61,'Données projet'!$A$243:$I$263,4,0))</f>
        <v>0</v>
      </c>
      <c r="GI61" s="135">
        <f>IF(ISNA(VLOOKUP(A61,'Données projet'!$A$243:$I$263,5,0)),0%,VLOOKUP(A61,'Données projet'!$A$243:$I$263,5,0)*VLOOKUP('Données projet'!$B$17,'Paramètres'!$A$1:$I$89,7,0))</f>
        <v>0</v>
      </c>
      <c r="GJ61" s="135">
        <f>IF(ISNA(VLOOKUP(A61,'Données projet'!$A$243:$I$263,6,0)),0%,VLOOKUP(A61,'Données projet'!$A$243:$I$263,6,0)*VLOOKUP('Données projet'!$B$17,'Paramètres'!$A$1:$I$89,7,0))</f>
        <v>0</v>
      </c>
      <c r="GK61" s="135">
        <f>IF(ISNA(VLOOKUP(A61,'Données projet'!$A$243:$I$263,7,0)),0%,VLOOKUP(A61,'Données projet'!$A$243:$I$263,7,0))</f>
        <v>0</v>
      </c>
      <c r="GL61" s="142">
        <f>EXP(-LN(2)/35)*GL60+(1-EXP(-LN(2)/35))/(LN(2)/35)*GH61*GI61*VLOOKUP('Données projet'!$B$17,'Paramètres'!$A$1:$I$89,3,0)*0.475*44/12</f>
        <v>19.7374843</v>
      </c>
      <c r="GM61" s="142">
        <f>EXP(-LN(2)/25)*GM60+(1-EXP(-LN(2)/25))/(LN(2)/25)*Calculateur!GH61*Calculateur!GJ61*VLOOKUP('Données projet'!$B$17,'Paramètres'!$A$1:$I$89,3,0)*0.475*44/12</f>
        <v>0</v>
      </c>
      <c r="GN61" s="142">
        <f>EXP(-LN(2)/2)*GN60+(1-EXP(-LN(2)/2))/(LN(2)/2)*GH61*GK61*VLOOKUP('Données projet'!$B$17,'Paramètres'!$A$1:$I$89,3,0)*0.475*44/12</f>
        <v>0</v>
      </c>
      <c r="GO61" s="142">
        <f t="shared" si="28"/>
        <v>19.7374843</v>
      </c>
      <c r="GP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1" t="str">
        <f>VLOOKUP(A61,'Données projet'!$A$269:$I$289,2,0)</f>
        <v>#N/A</v>
      </c>
      <c r="GS61" s="131" t="str">
        <f>VLOOKUP(A61,'Données projet'!$A$269:$I$289,9,0)</f>
        <v>#N/A</v>
      </c>
      <c r="GT61" s="130">
        <f t="array" ref="GT61">INDEX(GS:GS,MIN(IF(ISNUMBER(GS61:GS257),ROW(GS61:GS257),"")))</f>
        <v>5.4</v>
      </c>
      <c r="GU61" s="138">
        <f>IF('Données projet'!$A$270&gt;35,GU60+GT61-HC60,IF(A61&lt;'Données projet'!$A$270,$GR$205^A61,IF(A61='Données projet'!$A$270,'Données projet'!$B$270,GU60+GT61-HC60)))</f>
        <v>137.2</v>
      </c>
      <c r="GV61" s="138">
        <f>GU61*VLOOKUP('Données projet'!$B$18,'Paramètres'!$A$1:$I$89,3,0)*VLOOKUP('Données projet'!$B$18,'Paramètres'!$A$1:$I$89,5,0)</f>
        <v>147.68208</v>
      </c>
      <c r="GW61" s="130">
        <f t="shared" si="52"/>
        <v>38.0513535</v>
      </c>
      <c r="GX61" s="141">
        <f t="shared" si="29"/>
        <v>323.48573</v>
      </c>
      <c r="GY61" s="133">
        <f t="shared" si="30"/>
        <v>616.8190633</v>
      </c>
      <c r="GZ61" s="133">
        <f>AVERAGE(OFFSET($GY$3,0,0,'Données projet'!$E$18+1,1))-AVERAGE(OFFSET($H$3,0,0,'Données projet'!$E$18+1,1))</f>
        <v>100.5427875</v>
      </c>
      <c r="HA61" s="133">
        <f t="shared" si="53"/>
        <v>92.28663609</v>
      </c>
      <c r="HB61" s="134">
        <f>IF(ISNA(VLOOKUP(A61,'Données projet'!$A$269:$I$289,3,0)),0,VLOOKUP(A61,'Données projet'!$A$269:$I$289,3,0))</f>
        <v>0</v>
      </c>
      <c r="HC61" s="134">
        <f>IF(ISNA(VLOOKUP(A61,'Données projet'!$A$269:$I$289,4,0)),0,VLOOKUP(A61,'Données projet'!$A$269:$I$289,4,0))</f>
        <v>0</v>
      </c>
      <c r="HD61" s="135">
        <f>IF(ISNA(VLOOKUP(A61,'Données projet'!$A$269:$I$289,5,0)),0%,VLOOKUP(A61,'Données projet'!$A$269:$I$289,5,0)*VLOOKUP('Données projet'!$B$18,'Paramètres'!$A$1:$I$89,7,0))</f>
        <v>0</v>
      </c>
      <c r="HE61" s="135">
        <f>IF(ISNA(VLOOKUP(A61,'Données projet'!$A$269:$I$289,6,0)),0%,VLOOKUP(A61,'Données projet'!$A$269:$I$289,6,0)*VLOOKUP('Données projet'!$B$18,'Paramètres'!$A$1:$I$89,7,0))</f>
        <v>0</v>
      </c>
      <c r="HF61" s="135">
        <f>IF(ISNA(VLOOKUP(A61,'Données projet'!$A$269:$I$289,7,0)),0%,VLOOKUP(A61,'Données projet'!$A$269:$I$289,7,0))</f>
        <v>0</v>
      </c>
      <c r="HG61" s="142">
        <f>EXP(-LN(2)/35)*HG60+(1-EXP(-LN(2)/35))/(LN(2)/35)*HC61*HD61*VLOOKUP('Données projet'!$B$18,'Paramètres'!$A$1:$I$89,3,0)*0.475*44/12</f>
        <v>10.55726262</v>
      </c>
      <c r="HH61" s="142">
        <f>EXP(-LN(2)/25)*HH60+(1-EXP(-LN(2)/25))/(LN(2)/25)*Calculateur!HC61*Calculateur!HE61*VLOOKUP('Données projet'!$B$18,'Paramètres'!$A$1:$I$89,3,0)*0.475*44/12</f>
        <v>0</v>
      </c>
      <c r="HI61" s="142">
        <f>EXP(-LN(2)/2)*HI60+(1-EXP(-LN(2)/2))/(LN(2)/2)*HC61*HF61*VLOOKUP('Données projet'!$B$18,'Paramètres'!$A$1:$I$89,3,0)*0.475*44/12</f>
        <v>0</v>
      </c>
      <c r="HJ61" s="143">
        <f t="shared" si="31"/>
        <v>10.55726262</v>
      </c>
    </row>
    <row r="62" ht="15.75" customHeight="1">
      <c r="A62" s="125">
        <f t="shared" si="32"/>
        <v>59</v>
      </c>
      <c r="B62" s="126">
        <f>'Scénario référence'!$B$16*5+'Scénario référence'!$B$17*0+'Scénario référence'!$B$18*5</f>
        <v>0</v>
      </c>
      <c r="C62" s="140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32.214</v>
      </c>
      <c r="D62" s="127">
        <f t="shared" si="33"/>
        <v>9.909695763</v>
      </c>
      <c r="E6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7">
        <f>IF(OR('Scénario référence'!$F$8&gt;0,'Scénario référence'!$F$9&gt;0),('Scénario référence'!$F$8+'Scénario référence'!$F$9)*10,0)</f>
        <v>10</v>
      </c>
      <c r="G62" s="127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</v>
      </c>
      <c r="H62" s="128">
        <f t="shared" si="1"/>
        <v>366.6987701</v>
      </c>
      <c r="I62" s="12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1" t="str">
        <f>VLOOKUP(A62,'Données projet'!$A$35:$I$55,2,0)</f>
        <v>#N/A</v>
      </c>
      <c r="L62" s="131" t="str">
        <f>VLOOKUP(A62,'Données projet'!$A$35:$I$55,9,0)</f>
        <v>#N/A</v>
      </c>
      <c r="M62" s="130">
        <f t="array" ref="M62">INDEX(L:L,MIN(IF(ISNUMBER(L62:L258),ROW(L62:L258),"")))</f>
        <v>10.8</v>
      </c>
      <c r="N62" s="130">
        <f>IF('Données projet'!$A$36&gt;35,N61+M62-V61,IF(A62&lt;'Données projet'!$A$36,$K$205^A62,IF(A62='Données projet'!$A$36,'Données projet'!$B$36,N61+M62-V61)))</f>
        <v>318.2</v>
      </c>
      <c r="O62" s="130">
        <f>N62*VLOOKUP('Données projet'!$B$9,'Paramètres'!$A$1:$I$89,3,0)*VLOOKUP('Données projet'!$B$9,'Paramètres'!$A$1:$I$89,5,0)</f>
        <v>182.0104</v>
      </c>
      <c r="P62" s="130">
        <f t="shared" si="34"/>
        <v>45.76917359</v>
      </c>
      <c r="Q62" s="141">
        <f t="shared" si="2"/>
        <v>396.7160907</v>
      </c>
      <c r="R62" s="133">
        <f t="shared" si="3"/>
        <v>690.049424</v>
      </c>
      <c r="S62" s="133">
        <f>AVERAGE(OFFSET($R$3,0,0,'Données projet'!$E$9+1,1))-AVERAGE(OFFSET($H$3,0,0,'Données projet'!$E$9+1,1))</f>
        <v>126.9946492</v>
      </c>
      <c r="T62" s="133">
        <f t="shared" si="35"/>
        <v>140.039049</v>
      </c>
      <c r="U62" s="134">
        <f>IF(ISNA(VLOOKUP(A62,'Données projet'!$A$35:$I$55,3,0)),0,VLOOKUP(A62,'Données projet'!$A$35:$I$55,3,0))</f>
        <v>0</v>
      </c>
      <c r="V62" s="134">
        <f>IF(ISNA(VLOOKUP(A62,'Données projet'!$A$35:$I$55,4,0)),0,VLOOKUP(A62,'Données projet'!$A$35:$I$55,4,0))</f>
        <v>0</v>
      </c>
      <c r="W62" s="135">
        <f>IF(ISNA(VLOOKUP(A62,'Données projet'!$A$35:$I$55,5,0)),0%,VLOOKUP(A62,'Données projet'!$A$35:$I$55,5,0)*VLOOKUP('Données projet'!$B$9,'Paramètres'!$A$1:$I$89,7,0))</f>
        <v>0</v>
      </c>
      <c r="X62" s="135">
        <f>IF(ISNA(VLOOKUP(A62,'Données projet'!$A$35:$I$55,6,0)),0%,VLOOKUP(A62,'Données projet'!$A$35:$I$55,6,0)*VLOOKUP('Données projet'!$B$9,'Paramètres'!$A$1:$I$89,7,0))</f>
        <v>0</v>
      </c>
      <c r="Y62" s="135">
        <f>IF(ISNA(VLOOKUP(A62,'Données projet'!$A$35:$I$55,7,0)),0%,VLOOKUP(A62,'Données projet'!$A$35:$I$55,7,0))</f>
        <v>0</v>
      </c>
      <c r="Z62" s="142">
        <f>EXP(-LN(2)/35)*Z61+(1-EXP(-LN(2)/35))/(LN(2)/35)*V62*W62*VLOOKUP('Données projet'!$B$9,'Paramètres'!$A$1:$I$89,3,0)*0.475*44/12</f>
        <v>16.68484151</v>
      </c>
      <c r="AA62" s="142">
        <f>EXP(-LN(2)/25)*AA61+(1-EXP(-LN(2)/25))/(LN(2)/25)*Calculateur!V62*Calculateur!X62*VLOOKUP('Données projet'!$B$9,'Paramètres'!$A$1:$I$89,3,0)*0.475*44/12</f>
        <v>11.00714564</v>
      </c>
      <c r="AB62" s="142">
        <f>EXP(-LN(2)/2)*AB61+(1-EXP(-LN(2)/2))/(LN(2)/2)*V62*Y62*VLOOKUP('Données projet'!$B$9,'Paramètres'!$A$1:$I$89,3,0)*0.475*44/12</f>
        <v>0.3379806776</v>
      </c>
      <c r="AC62" s="143">
        <f t="shared" si="4"/>
        <v>28.02996782</v>
      </c>
      <c r="AD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1" t="str">
        <f>VLOOKUP(A62,'Données projet'!$A$61:$I$81,2,0)</f>
        <v>#N/A</v>
      </c>
      <c r="AG62" s="131" t="str">
        <f>VLOOKUP(A62,'Données projet'!$A$61:$I$81,9,0)</f>
        <v>#N/A</v>
      </c>
      <c r="AH62" s="131">
        <f t="array" ref="AH62">INDEX(AG:AG,MIN(IF(ISNUMBER(AG62:AG258),ROW(AG62:AG258),"")))</f>
        <v>0</v>
      </c>
      <c r="AI62" s="130">
        <f>IF('Données projet'!$A$62&gt;35,AI61+AH62-AQ61,IF(A62&lt;'Données projet'!$A$62,$AF$205^A62,IF(A62='Données projet'!$A$62,'Données projet'!$B$62,AI61+AH62-AQ61)))</f>
        <v>440</v>
      </c>
      <c r="AJ62" s="130">
        <f>AI62*VLOOKUP('Données projet'!$B$10,'Paramètres'!$A$1:$I$89,3,0)*VLOOKUP('Données projet'!$B$10,'Paramètres'!$A$1:$I$89,5,0)</f>
        <v>263.12</v>
      </c>
      <c r="AK62" s="130">
        <f t="shared" si="36"/>
        <v>63.38697346</v>
      </c>
      <c r="AL62" s="141">
        <f t="shared" si="5"/>
        <v>568.6663121</v>
      </c>
      <c r="AM62" s="133">
        <f t="shared" si="6"/>
        <v>861.9996454</v>
      </c>
      <c r="AN62" s="133">
        <f>AVERAGE(OFFSET($AM$3,0,0,'Données projet'!$E$10+1,1))-AVERAGE(OFFSET($H$3,0,0,'Données projet'!$E$10+1,1))</f>
        <v>196.874484</v>
      </c>
      <c r="AO62" s="133">
        <f t="shared" si="37"/>
        <v>217.5750859</v>
      </c>
      <c r="AP62" s="134">
        <f>IF(ISNA(VLOOKUP(A62,'Données projet'!$A$61:$I$81,3,0)),0,VLOOKUP(A62,'Données projet'!$A$61:$I$81,3,0))</f>
        <v>0</v>
      </c>
      <c r="AQ62" s="134">
        <f>IF(ISNA(VLOOKUP(A62,'Données projet'!$A$61:$I$81,4,0)),0,VLOOKUP(A62,'Données projet'!$A$61:$I$81,4,0))</f>
        <v>0</v>
      </c>
      <c r="AR62" s="135">
        <f>IF(ISNA(VLOOKUP(A62,'Données projet'!$A$61:$I$81,5,0)),0%,VLOOKUP(A62,'Données projet'!$A$61:$I$81,5,0)*VLOOKUP('Données projet'!$B$10,'Paramètres'!$A$1:$I$89,7,0))</f>
        <v>0</v>
      </c>
      <c r="AS62" s="135">
        <f>IF(ISNA(VLOOKUP(A62,'Données projet'!$A$61:$I$81,6,0)),0%,VLOOKUP(A62,'Données projet'!$A$61:$I$81,6,0)*VLOOKUP('Données projet'!$B$10,'Paramètres'!$A$1:$I$89,7,0))</f>
        <v>0</v>
      </c>
      <c r="AT62" s="135">
        <f>IF(ISNA(VLOOKUP(A62,'Données projet'!$A$61:$I$81,7,0)),0%,VLOOKUP(A62,'Données projet'!$A$61:$I$81,7,0))</f>
        <v>0</v>
      </c>
      <c r="AU62" s="142">
        <f>EXP(-LN(2)/35)*AU61+(1-EXP(-LN(2)/35))/(LN(2)/35)*AQ62*AR62*VLOOKUP('Données projet'!$B$10,'Paramètres'!$A$1:$I$89,3,0)*0.475*44/12</f>
        <v>22.43933756</v>
      </c>
      <c r="AV62" s="142">
        <f>EXP(-LN(2)/25)*AV61+(1-EXP(-LN(2)/25))/(LN(2)/25)*Calculateur!AQ62*Calculateur!AS62*VLOOKUP('Données projet'!$B$10,'Paramètres'!$A$1:$I$89,3,0)*0.475*44/12</f>
        <v>18.7186805</v>
      </c>
      <c r="AW62" s="142">
        <f>EXP(-LN(2)/2)*AW61+(1-EXP(-LN(2)/2))/(LN(2)/2)*AQ62*AT62*VLOOKUP('Données projet'!$B$10,'Paramètres'!$A$1:$I$89,3,0)*0.475*44/12</f>
        <v>0.3660405427</v>
      </c>
      <c r="AX62" s="142">
        <f t="shared" si="7"/>
        <v>41.5240586</v>
      </c>
      <c r="AY62" s="13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1" t="str">
        <f>VLOOKUP(A62,'Données projet'!$A$87:$I$107,2,0)</f>
        <v>#N/A</v>
      </c>
      <c r="BB62" s="131" t="str">
        <f>VLOOKUP(A62,'Données projet'!$A$87:$I$107,9,0)</f>
        <v>#N/A</v>
      </c>
      <c r="BC62" s="130">
        <f t="array" ref="BC62">INDEX(BB:BB,MIN(IF(ISNUMBER(BB62:BB258),ROW(BB62:BB258),"")))</f>
        <v>14</v>
      </c>
      <c r="BD62" s="130">
        <f>IF('Données projet'!$A$88&gt;35,BD61+BC62-BL61,IF(A62&lt;'Données projet'!$A$88,$BA$205^A62,IF(A62='Données projet'!$A$88,'Données projet'!$B$88,BD61+BC62-BL61)))</f>
        <v>376</v>
      </c>
      <c r="BE62" s="130">
        <f>BD62*VLOOKUP('Données projet'!$B$11,'Paramètres'!$A$1:$I$89,3,0)*VLOOKUP('Données projet'!$B$11,'Paramètres'!$A$1:$I$89,5,0)</f>
        <v>175.968</v>
      </c>
      <c r="BF62" s="130">
        <f t="shared" si="38"/>
        <v>44.42396113</v>
      </c>
      <c r="BG62" s="141">
        <f t="shared" si="8"/>
        <v>383.8493323</v>
      </c>
      <c r="BH62" s="133">
        <f t="shared" si="9"/>
        <v>677.1826656</v>
      </c>
      <c r="BI62" s="133">
        <f>AVERAGE(OFFSET($BH$3,0,0,'Données projet'!$E$11+1,1))-AVERAGE(OFFSET($H$3,0,0,'Données projet'!$E$11+1,1))</f>
        <v>134.0948534</v>
      </c>
      <c r="BJ62" s="133">
        <f t="shared" si="39"/>
        <v>108.4102536</v>
      </c>
      <c r="BK62" s="134">
        <f>IF(ISNA(VLOOKUP(A62,'Données projet'!$A$87:$I$107,3,0)),0,VLOOKUP(A62,'Données projet'!$A$87:$I$107,3,0))</f>
        <v>0</v>
      </c>
      <c r="BL62" s="134">
        <f>IF(ISNA(VLOOKUP(A62,'Données projet'!$A$87:$I$107,4,0)),0,VLOOKUP(A62,'Données projet'!$A$87:$I$107,4,0))</f>
        <v>0</v>
      </c>
      <c r="BM62" s="135">
        <f>IF(ISNA(VLOOKUP(A62,'Données projet'!$A$87:$I$107,5,0)),0%,VLOOKUP(A62,'Données projet'!$A$87:$I$107,5,0)*VLOOKUP('Données projet'!$B$11,'Paramètres'!$A$1:$I$89,7,0))</f>
        <v>0</v>
      </c>
      <c r="BN62" s="135">
        <f>IF(ISNA(VLOOKUP(A62,'Données projet'!$A$87:$I$107,6,0)),0%,VLOOKUP(A62,'Données projet'!$A$87:$I$107,6,0)*VLOOKUP('Données projet'!$B$11,'Paramètres'!$A$1:$I$89,7,0))</f>
        <v>0</v>
      </c>
      <c r="BO62" s="135">
        <f>IF(ISNA(VLOOKUP(A62,'Données projet'!$A$87:$I$107,7,0)),0%,VLOOKUP(A62,'Données projet'!$A$87:$I$107,7,0))</f>
        <v>0</v>
      </c>
      <c r="BP62" s="142">
        <f>EXP(-LN(2)/35)*BP61+(1-EXP(-LN(2)/35))/(LN(2)/35)*BL62*BM62*VLOOKUP('Données projet'!$B$11,'Paramètres'!$A$1:$I$89,3,0)*0.475*44/12</f>
        <v>14.79713645</v>
      </c>
      <c r="BQ62" s="142">
        <f>EXP(-LN(2)/25)*BQ61+(1-EXP(-LN(2)/25))/(LN(2)/25)*Calculateur!BL62*Calculateur!BN62*VLOOKUP('Données projet'!$B$11,'Paramètres'!$A$1:$I$89,3,0)*0.475*44/12</f>
        <v>9.069597888</v>
      </c>
      <c r="BR62" s="142">
        <f>EXP(-LN(2)/2)*BR61+(1-EXP(-LN(2)/2))/(LN(2)/2)*BL62*BO62*VLOOKUP('Données projet'!$B$11,'Paramètres'!$A$1:$I$89,3,0)*0.475*44/12</f>
        <v>0.2160586361</v>
      </c>
      <c r="BS62" s="143">
        <f t="shared" si="10"/>
        <v>24.08279298</v>
      </c>
      <c r="BT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1" t="str">
        <f>VLOOKUP(A62,'Données projet'!$A$113:$I$133,2,0)</f>
        <v>#N/A</v>
      </c>
      <c r="BW62" s="131" t="str">
        <f>VLOOKUP(A62,'Données projet'!$A$113:$I$133,9,0)</f>
        <v>#N/A</v>
      </c>
      <c r="BX62" s="130">
        <f t="array" ref="BX62">INDEX(BW:BW,MIN(IF(ISNUMBER(BW62:BW258),ROW(BW62:BW258),"")))</f>
        <v>20.4</v>
      </c>
      <c r="BY62" s="130">
        <f>IF('Données projet'!$A$114&gt;35,BY61+BX62-CG61,IF(A62&lt;'Données projet'!$A$114,$BV$205^A62,IF(A62='Données projet'!$A$114,'Données projet'!$B$114,BY61+BX62-CG61)))</f>
        <v>608.6</v>
      </c>
      <c r="BZ62" s="130">
        <f>BY62*VLOOKUP('Données projet'!$B$12,'Paramètres'!$A$1:$I$89,3,0)*VLOOKUP('Données projet'!$B$12,'Paramètres'!$A$1:$I$89,5,0)</f>
        <v>300.6484</v>
      </c>
      <c r="CA62" s="130">
        <f t="shared" si="40"/>
        <v>71.31237594</v>
      </c>
      <c r="CB62" s="141">
        <f t="shared" si="11"/>
        <v>647.8316848</v>
      </c>
      <c r="CC62" s="133">
        <f t="shared" si="12"/>
        <v>941.1650181</v>
      </c>
      <c r="CD62" s="133">
        <f>AVERAGE(OFFSET($CC$3,0,0,'Données projet'!$E$12+1,1))-AVERAGE(OFFSET($H$3,0,0,'Données projet'!$E$12+1,1))</f>
        <v>258.1672054</v>
      </c>
      <c r="CE62" s="133">
        <f t="shared" si="41"/>
        <v>296.0724261</v>
      </c>
      <c r="CF62" s="134">
        <f>IF(ISNA(VLOOKUP(A62,'Données projet'!$A$113:$I$133,3,0)),0,VLOOKUP(A62,'Données projet'!$A$113:$I$133,3,0))</f>
        <v>0</v>
      </c>
      <c r="CG62" s="134">
        <f>IF(ISNA(VLOOKUP(A62,'Données projet'!$A$113:$I$133,4,0)),0,VLOOKUP(A62,'Données projet'!$A$113:$I$133,4,0))</f>
        <v>0</v>
      </c>
      <c r="CH62" s="135">
        <f>IF(ISNA(VLOOKUP(A62,'Données projet'!$A$113:$I$133,5,0)),0%,VLOOKUP(A62,'Données projet'!$A$113:$I$133,5,0)*VLOOKUP('Données projet'!$B$12,'Paramètres'!$A$1:$I$89,7,0))</f>
        <v>0</v>
      </c>
      <c r="CI62" s="135">
        <f>IF(ISNA(VLOOKUP(A62,'Données projet'!$A$113:$I$133,6,0)),0%,VLOOKUP(A62,'Données projet'!$A$113:$I$133,6,0)*VLOOKUP('Données projet'!$B$12,'Paramètres'!$A$1:$I$89,7,0))</f>
        <v>0</v>
      </c>
      <c r="CJ62" s="135">
        <f>IF(ISNA(VLOOKUP(A62,'Données projet'!$A$113:$I$133,7,0)),0%,VLOOKUP(A62,'Données projet'!$A$113:$I$133,7,0))</f>
        <v>0</v>
      </c>
      <c r="CK62" s="142">
        <f>EXP(-LN(2)/35)*CK61+(1-EXP(-LN(2)/35))/(LN(2)/35)*CG62*CH62*VLOOKUP('Données projet'!$B$12,'Paramètres'!$A$1:$I$89,3,0)*0.475*44/12</f>
        <v>55.26172125</v>
      </c>
      <c r="CL62" s="142">
        <f>EXP(-LN(2)/25)*CL61+(1-EXP(-LN(2)/25))/(LN(2)/25)*Calculateur!CG62*Calculateur!CI62*VLOOKUP('Données projet'!$B$12,'Paramètres'!$A$1:$I$89,3,0)*0.475*44/12</f>
        <v>26.71476604</v>
      </c>
      <c r="CM62" s="142">
        <f>EXP(-LN(2)/2)*CM61+(1-EXP(-LN(2)/2))/(LN(2)/2)*CG62*CJ62*VLOOKUP('Données projet'!$B$12,'Paramètres'!$A$1:$I$89,3,0)*0.475*44/12</f>
        <v>1.138220826</v>
      </c>
      <c r="CN62" s="143">
        <f t="shared" si="13"/>
        <v>83.11470812</v>
      </c>
      <c r="CO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1" t="str">
        <f>VLOOKUP(A62,'Données projet'!$A$139:$I$159,2,0)</f>
        <v>#N/A</v>
      </c>
      <c r="CR62" s="131" t="str">
        <f>VLOOKUP(A62,'Données projet'!$A$139:$I$159,9,0)</f>
        <v>#N/A</v>
      </c>
      <c r="CS62" s="130">
        <f t="array" ref="CS62">INDEX(CR:CR,MIN(IF(ISNUMBER(CR62:CR258),ROW(CR62:CR258),"")))</f>
        <v>5.4</v>
      </c>
      <c r="CT62" s="138">
        <f>IF('Données projet'!$A$140&gt;35,CT61+CS62-DB61,IF(A62&lt;'Données projet'!$A$140,$CQ$205^A62,IF(A62='Données projet'!$A$140,'Données projet'!$B$140,CT61+CS62-DB61)))</f>
        <v>142.6</v>
      </c>
      <c r="CU62" s="138">
        <f>CT62*VLOOKUP('Données projet'!$B$13,'Paramètres'!$A$1:$I$89,3,0)*VLOOKUP('Données projet'!$B$13,'Paramètres'!$A$1:$I$89,5,0)</f>
        <v>144.5964</v>
      </c>
      <c r="CV62" s="130">
        <f t="shared" si="42"/>
        <v>37.34798835</v>
      </c>
      <c r="CW62" s="141">
        <f t="shared" si="14"/>
        <v>316.8864764</v>
      </c>
      <c r="CX62" s="133">
        <f t="shared" si="15"/>
        <v>610.2198097</v>
      </c>
      <c r="CY62" s="133">
        <f>AVERAGE(OFFSET($CX$3,0,0,'Données projet'!$E$13+1,1))-AVERAGE(OFFSET($H$3,0,0,'Données projet'!$E$13+1,1))</f>
        <v>223.783507</v>
      </c>
      <c r="CZ62" s="133">
        <f t="shared" si="43"/>
        <v>84.92349117</v>
      </c>
      <c r="DA62" s="134">
        <f>IF(ISNA(VLOOKUP(A62,'Données projet'!$A$139:$I$159,3,0)),0,VLOOKUP(A62,'Données projet'!$A$139:$I$159,3,0))</f>
        <v>0</v>
      </c>
      <c r="DB62" s="134">
        <f>IF(ISNA(VLOOKUP(A62,'Données projet'!$A$139:$I$159,4,0)),0,VLOOKUP(A62,'Données projet'!$A$139:$I$159,4,0))</f>
        <v>0</v>
      </c>
      <c r="DC62" s="135">
        <f>IF(ISNA(VLOOKUP(A62,'Données projet'!$A$139:$I$159,5,0)),0%,VLOOKUP(A62,'Données projet'!$A$139:$I$159,5,0)*VLOOKUP('Données projet'!$B$13,'Paramètres'!$A$1:$I$89,7,0))</f>
        <v>0</v>
      </c>
      <c r="DD62" s="135">
        <f>IF(ISNA(VLOOKUP(A62,'Données projet'!$A$139:$I$159,6,0)),0%,VLOOKUP(A62,'Données projet'!$A$139:$I$159,6,0)*VLOOKUP('Données projet'!$B$13,'Paramètres'!$A$1:$I$89,7,0))</f>
        <v>0</v>
      </c>
      <c r="DE62" s="135">
        <f>IF(ISNA(VLOOKUP(A62,'Données projet'!$A$139:$I$159,7,0)),0%,VLOOKUP(A62,'Données projet'!$A$139:$I$159,7,0))</f>
        <v>0</v>
      </c>
      <c r="DF62" s="142">
        <f>EXP(-LN(2)/35)*DF61+(1-EXP(-LN(2)/35))/(LN(2)/35)*DB62*DC62*VLOOKUP('Données projet'!$B$13,'Paramètres'!$A$1:$I$89,3,0)*0.475*44/12</f>
        <v>4.022355327</v>
      </c>
      <c r="DG62" s="142">
        <f>EXP(-LN(2)/25)*DG61+(1-EXP(-LN(2)/25))/(LN(2)/25)*Calculateur!DB62*Calculateur!DD62*VLOOKUP('Données projet'!$B$13,'Paramètres'!$A$1:$I$89,3,0)*0.475*44/12</f>
        <v>0</v>
      </c>
      <c r="DH62" s="142">
        <f>EXP(-LN(2)/2)*DH61+(1-EXP(-LN(2)/2))/(LN(2)/2)*DB62*DE62*VLOOKUP('Données projet'!$B$13,'Paramètres'!$A$1:$I$89,3,0)*0.475*44/12</f>
        <v>0</v>
      </c>
      <c r="DI62" s="143">
        <f t="shared" si="16"/>
        <v>4.022355327</v>
      </c>
      <c r="DJ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1" t="str">
        <f>VLOOKUP(A62,'Données projet'!$A$165:$I$185,2,0)</f>
        <v>#N/A</v>
      </c>
      <c r="DM62" s="131" t="str">
        <f>VLOOKUP(A62,'Données projet'!$A$165:$I$185,9,0)</f>
        <v>#N/A</v>
      </c>
      <c r="DN62" s="131">
        <f t="array" ref="DN62">INDEX(DM:DM,MIN(IF(ISNUMBER(DM62:DM258),ROW(DM62:DM258),"")))</f>
        <v>7.6</v>
      </c>
      <c r="DO62" s="138">
        <f>IF('Données projet'!$A$166&gt;35,DO61+DN62-DW61,IF(A62&lt;'Données projet'!$A$166,$DL$205^A62,IF(A62='Données projet'!$A$166,'Données projet'!$B$166,DO61+DN62-DW61)))</f>
        <v>206.4</v>
      </c>
      <c r="DP62" s="138">
        <f>DO62*VLOOKUP('Données projet'!$B$14,'Paramètres'!$A$1:$I$89,3,0)*VLOOKUP('Données projet'!$B$14,'Paramètres'!$A$1:$I$89,5,0)</f>
        <v>186.75072</v>
      </c>
      <c r="DQ62" s="130">
        <f t="shared" si="44"/>
        <v>46.82086359</v>
      </c>
      <c r="DR62" s="141">
        <f t="shared" si="17"/>
        <v>406.8038414</v>
      </c>
      <c r="DS62" s="133">
        <f t="shared" si="18"/>
        <v>700.1371747</v>
      </c>
      <c r="DT62" s="133">
        <f>AVERAGE(OFFSET($DS$3,0,0,'Données projet'!$E$14+1,1))-AVERAGE(OFFSET($H$3,0,0,'Données projet'!$E$14+1,1))</f>
        <v>287.9334714</v>
      </c>
      <c r="DU62" s="133">
        <f t="shared" si="45"/>
        <v>156.6796502</v>
      </c>
      <c r="DV62" s="134">
        <f>IF(ISNA(VLOOKUP(A62,'Données projet'!$A$165:$I$185,3,0)),0,VLOOKUP(A62,'Données projet'!$A$165:$I$185,3,0))</f>
        <v>0</v>
      </c>
      <c r="DW62" s="134">
        <f>IF(ISNA(VLOOKUP(A62,'Données projet'!$A$165:$I$185,4,0)),0,VLOOKUP(A62,'Données projet'!$A$165:$I$185,4,0))</f>
        <v>0</v>
      </c>
      <c r="DX62" s="135">
        <f>IF(ISNA(VLOOKUP(A62,'Données projet'!$A$165:$I$185,5,0)),0%,VLOOKUP(A62,'Données projet'!$A$165:$I$185,5,0)*VLOOKUP('Données projet'!$B$14,'Paramètres'!$A$1:$I$89,7,0))</f>
        <v>0</v>
      </c>
      <c r="DY62" s="135">
        <f>IF(ISNA(VLOOKUP(A62,'Données projet'!$A$165:$I$185,6,0)),0%,VLOOKUP(A62,'Données projet'!$A$165:$I$185,6,0)*VLOOKUP('Données projet'!$B$14,'Paramètres'!$A$1:$I$89,7,0))</f>
        <v>0</v>
      </c>
      <c r="DZ62" s="135">
        <f>IF(ISNA(VLOOKUP(A62,'Données projet'!$A$165:$I$185,7,0)),0%,VLOOKUP(A62,'Données projet'!$A$165:$I$185,7,0))</f>
        <v>0</v>
      </c>
      <c r="EA62" s="142">
        <f>EXP(-LN(2)/35)*EA61+(1-EXP(-LN(2)/35))/(LN(2)/35)*DW62*DX62*VLOOKUP('Données projet'!$B$14,'Paramètres'!$A$1:$I$89,3,0)*0.475*44/12</f>
        <v>7.379462067</v>
      </c>
      <c r="EB62" s="142">
        <f>EXP(-LN(2)/25)*EB61+(1-EXP(-LN(2)/25))/(LN(2)/25)*Calculateur!DW62*Calculateur!DY62*VLOOKUP('Données projet'!$B$14,'Paramètres'!$A$1:$I$89,3,0)*0.475*44/12</f>
        <v>0</v>
      </c>
      <c r="EC62" s="142">
        <f>EXP(-LN(2)/2)*EC61+(1-EXP(-LN(2)/2))/(LN(2)/2)*DW62*DZ62*VLOOKUP('Données projet'!$B$14,'Paramètres'!$A$1:$I$89,3,0)*0.475*44/12</f>
        <v>0</v>
      </c>
      <c r="ED62" s="143">
        <f t="shared" si="19"/>
        <v>7.379462067</v>
      </c>
      <c r="EE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1" t="str">
        <f>VLOOKUP(A62,'Données projet'!$A$191:$I$211,2,0)</f>
        <v>#N/A</v>
      </c>
      <c r="EH62" s="131" t="str">
        <f>VLOOKUP(A62,'Données projet'!$A$191:$I$211,9,0)</f>
        <v>#N/A</v>
      </c>
      <c r="EI62" s="131">
        <f t="array" ref="EI62">INDEX(EH:EH,MIN(IF(ISNUMBER(EH62:EH258),ROW(EH62:EH258),"")))</f>
        <v>8.4</v>
      </c>
      <c r="EJ62" s="138">
        <f>IF('Données projet'!$A$192&gt;35,EJ61+EI62-ER61,IF(A62&lt;'Données projet'!$A$192,$EG$205^A62,IF(A62='Données projet'!$A$192,'Données projet'!$B$192,EJ61+EI62-ER61)))</f>
        <v>188.6</v>
      </c>
      <c r="EK62" s="138">
        <f>EJ62*VLOOKUP('Données projet'!$B$15,'Paramètres'!$A$1:$I$89,3,0)*VLOOKUP('Données projet'!$B$15,'Paramètres'!$A$1:$I$89,5,0)</f>
        <v>138.28152</v>
      </c>
      <c r="EL62" s="130">
        <f t="shared" si="46"/>
        <v>35.90304332</v>
      </c>
      <c r="EM62" s="141">
        <f t="shared" si="20"/>
        <v>303.3714478</v>
      </c>
      <c r="EN62" s="133">
        <f t="shared" si="21"/>
        <v>596.7047811</v>
      </c>
      <c r="EO62" s="133">
        <f>AVERAGE(OFFSET($EN$3,0,0,'Données projet'!$E$15+1,1))-AVERAGE(OFFSET($H$3,0,0,'Données projet'!$E$15+1,1))</f>
        <v>130.3193339</v>
      </c>
      <c r="EP62" s="133">
        <f t="shared" si="47"/>
        <v>82.22784365</v>
      </c>
      <c r="EQ62" s="134">
        <f>IF(ISNA(VLOOKUP(A62,'Données projet'!$A$191:$I$211,3,0)),0,VLOOKUP(A62,'Données projet'!$A$191:$I$211,3,0))</f>
        <v>0</v>
      </c>
      <c r="ER62" s="134">
        <f>IF(ISNA(VLOOKUP(A62,'Données projet'!$A$191:$I$211,4,0)),0,VLOOKUP(A62,'Données projet'!$A$191:$I$211,4,0))</f>
        <v>0</v>
      </c>
      <c r="ES62" s="135">
        <f>IF(ISNA(VLOOKUP(A62,'Données projet'!$A$191:$I$211,5,0)),0%,VLOOKUP(A62,'Données projet'!$A$191:$I$211,5,0)*VLOOKUP('Données projet'!$B$15,'Paramètres'!$A$1:$I$89,7,0))</f>
        <v>0</v>
      </c>
      <c r="ET62" s="135">
        <f>IF(ISNA(VLOOKUP(A62,'Données projet'!$A$191:$I$211,6,0)),0%,VLOOKUP(A62,'Données projet'!$A$191:$I$211,6,0)*VLOOKUP('Données projet'!$B$15,'Paramètres'!$A$1:$I$89,7,0))</f>
        <v>0</v>
      </c>
      <c r="EU62" s="135">
        <f>IF(ISNA(VLOOKUP(A62,'Données projet'!$A$191:$I$211,7,0)),0%,VLOOKUP(A62,'Données projet'!$A$191:$I$211,7,0))</f>
        <v>0</v>
      </c>
      <c r="EV62" s="142">
        <f>EXP(-LN(2)/35)*EV61+(1-EXP(-LN(2)/35))/(LN(2)/35)*ER62*ES62*VLOOKUP('Données projet'!$B$15,'Paramètres'!$A$1:$I$89,3,0)*0.475*44/12</f>
        <v>9.758920229</v>
      </c>
      <c r="EW62" s="142">
        <f>EXP(-LN(2)/25)*EW61+(1-EXP(-LN(2)/25))/(LN(2)/25)*Calculateur!ER62*Calculateur!ET62*VLOOKUP('Données projet'!$B$15,'Paramètres'!$A$1:$I$89,3,0)*0.475*44/12</f>
        <v>0</v>
      </c>
      <c r="EX62" s="142">
        <f>EXP(-LN(2)/2)*EX61+(1-EXP(-LN(2)/2))/(LN(2)/2)*ER62*EU62*VLOOKUP('Données projet'!$B$15,'Paramètres'!$A$1:$I$89,3,0)*0.475*44/12</f>
        <v>0</v>
      </c>
      <c r="EY62" s="143">
        <f t="shared" si="22"/>
        <v>9.758920229</v>
      </c>
      <c r="EZ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1" t="str">
        <f>VLOOKUP(A62,'Données projet'!$A$217:$I$237,2,0)</f>
        <v>#N/A</v>
      </c>
      <c r="FC62" s="131" t="str">
        <f>VLOOKUP(A62,'Données projet'!$A$217:$I$237,9,0)</f>
        <v>#N/A</v>
      </c>
      <c r="FD62" s="130">
        <f t="array" ref="FD62">INDEX(FC:FC,MIN(IF(ISNUMBER(FC62:FC258),ROW(FC62:FC258),"")))</f>
        <v>4.4</v>
      </c>
      <c r="FE62" s="130">
        <f>IF('Données projet'!$A$218&gt;35,FE61+FD62-FM61,IF(A62&lt;'Données projet'!$A$218,$FB$205^A62,IF(A62='Données projet'!$A$218,'Données projet'!$B$218,FE61+FD62-FM61)))</f>
        <v>279.6</v>
      </c>
      <c r="FF62" s="138">
        <f>FE62*VLOOKUP('Données projet'!$B$16,'Paramètres'!$A$1:$I$89,3,0)*VLOOKUP('Données projet'!$B$16,'Paramètres'!$A$1:$I$89,5,0)</f>
        <v>252.98208</v>
      </c>
      <c r="FG62" s="130">
        <f t="shared" si="48"/>
        <v>61.22406705</v>
      </c>
      <c r="FH62" s="141">
        <f t="shared" si="23"/>
        <v>547.2423728</v>
      </c>
      <c r="FI62" s="133">
        <f t="shared" si="24"/>
        <v>840.5757061</v>
      </c>
      <c r="FJ62" s="133">
        <f>AVERAGE(OFFSET($FI$3,0,0,'Données projet'!$E$16+1,1))-AVERAGE(OFFSET($H$3,0,0,'Données projet'!$E$16+1,1))</f>
        <v>305.6252353</v>
      </c>
      <c r="FK62" s="133">
        <f t="shared" si="49"/>
        <v>331.397916</v>
      </c>
      <c r="FL62" s="134">
        <f>IF(ISNA(VLOOKUP(A62,'Données projet'!$A$217:$I$237,3,0)),0,VLOOKUP(A62,'Données projet'!$A$217:$I$237,3,0))</f>
        <v>0</v>
      </c>
      <c r="FM62" s="134">
        <f>IF(ISNA(VLOOKUP(A62,'Données projet'!$A$217:$I$237,4,0)),0,VLOOKUP(A62,'Données projet'!$A$217:$I$237,4,0))</f>
        <v>0</v>
      </c>
      <c r="FN62" s="135">
        <f>IF(ISNA(VLOOKUP(A62,'Données projet'!$A$217:$I$237,5,0)),0%,VLOOKUP(A62,'Données projet'!$A$217:$I$237,5,0)*VLOOKUP('Données projet'!$B$16,'Paramètres'!$A$1:$I$89,7,0))</f>
        <v>0</v>
      </c>
      <c r="FO62" s="135">
        <f>IF(ISNA(VLOOKUP(A62,'Données projet'!$A$217:$I$237,6,0)),0%,VLOOKUP(A62,'Données projet'!$A$217:$I$237,6,0)*VLOOKUP('Données projet'!$B$16,'Paramètres'!$A$1:$I$89,7,0))</f>
        <v>0</v>
      </c>
      <c r="FP62" s="135">
        <f>IF(ISNA(VLOOKUP(A62,'Données projet'!$A$217:$I$237,7,0)),0%,VLOOKUP(A62,'Données projet'!$A$217:$I$237,7,0))</f>
        <v>0</v>
      </c>
      <c r="FQ62" s="142">
        <f>EXP(-LN(2)/35)*FQ61+(1-EXP(-LN(2)/35))/(LN(2)/35)*FM62*FN62*VLOOKUP('Données projet'!$B$16,'Paramètres'!$A$1:$I$89,3,0)*0.475*44/12</f>
        <v>5.124262296</v>
      </c>
      <c r="FR62" s="142">
        <f>EXP(-LN(2)/25)*FR61+(1-EXP(-LN(2)/25))/(LN(2)/25)*Calculateur!FM62*Calculateur!FO62*VLOOKUP('Données projet'!$B$16,'Paramètres'!$A$1:$I$89,3,0)*0.475*44/12</f>
        <v>0</v>
      </c>
      <c r="FS62" s="142">
        <f>EXP(-LN(2)/2)*FS61+(1-EXP(-LN(2)/2))/(LN(2)/2)*FM62*FP62*VLOOKUP('Données projet'!$B$16,'Paramètres'!$A$1:$I$89,3,0)*0.475*44/12</f>
        <v>0</v>
      </c>
      <c r="FT62" s="143">
        <f t="shared" si="25"/>
        <v>5.124262296</v>
      </c>
      <c r="FU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1" t="str">
        <f>VLOOKUP(A62,'Données projet'!$A$243:$I$263,2,0)</f>
        <v>#N/A</v>
      </c>
      <c r="FX62" s="131" t="str">
        <f>VLOOKUP(A62,'Données projet'!$A$243:$I$263,9,0)</f>
        <v>#N/A</v>
      </c>
      <c r="FY62" s="130">
        <f t="array" ref="FY62">INDEX(FX:FX,MIN(IF(ISNUMBER(FX62:FX258),ROW(FX62:FX258),"")))</f>
        <v>10.8</v>
      </c>
      <c r="FZ62" s="138">
        <f>IF('Données projet'!$A$244&gt;35,FZ61+FY62-GH61,IF(A62&lt;'Données projet'!$A$244,$FW$205^A62,IF(A62='Données projet'!$A$244,'Données projet'!$B$244,FZ61+FY62-GH61)))</f>
        <v>259.2</v>
      </c>
      <c r="GA62" s="138">
        <f>FZ62*VLOOKUP('Données projet'!$B$17,'Paramètres'!$A$1:$I$89,3,0)*VLOOKUP('Données projet'!$B$17,'Paramètres'!$A$1:$I$89,5,0)</f>
        <v>173.87136</v>
      </c>
      <c r="GB62" s="130">
        <f t="shared" si="50"/>
        <v>43.95593989</v>
      </c>
      <c r="GC62" s="141">
        <f t="shared" si="26"/>
        <v>379.3825473</v>
      </c>
      <c r="GD62" s="133">
        <f t="shared" si="27"/>
        <v>672.7158806</v>
      </c>
      <c r="GE62" s="133">
        <f>AVERAGE(OFFSET($GD$3,0,0,'Données projet'!$E$17+1,1))-AVERAGE(OFFSET($H$3,0,0,'Données projet'!$E$17+1,1))</f>
        <v>118.7368745</v>
      </c>
      <c r="GF62" s="133">
        <f t="shared" si="51"/>
        <v>135.1233677</v>
      </c>
      <c r="GG62" s="134">
        <f>IF(ISNA(VLOOKUP(A62,'Données projet'!$A$243:$I$263,3,0)),0,VLOOKUP(A62,'Données projet'!$A$243:$I$263,3,0))</f>
        <v>0</v>
      </c>
      <c r="GH62" s="134">
        <f>IF(ISNA(VLOOKUP(A62,'Données projet'!$A$243:$I$263,4,0)),0,VLOOKUP(A62,'Données projet'!$A$243:$I$263,4,0))</f>
        <v>0</v>
      </c>
      <c r="GI62" s="135">
        <f>IF(ISNA(VLOOKUP(A62,'Données projet'!$A$243:$I$263,5,0)),0%,VLOOKUP(A62,'Données projet'!$A$243:$I$263,5,0)*VLOOKUP('Données projet'!$B$17,'Paramètres'!$A$1:$I$89,7,0))</f>
        <v>0</v>
      </c>
      <c r="GJ62" s="135">
        <f>IF(ISNA(VLOOKUP(A62,'Données projet'!$A$243:$I$263,6,0)),0%,VLOOKUP(A62,'Données projet'!$A$243:$I$263,6,0)*VLOOKUP('Données projet'!$B$17,'Paramètres'!$A$1:$I$89,7,0))</f>
        <v>0</v>
      </c>
      <c r="GK62" s="135">
        <f>IF(ISNA(VLOOKUP(A62,'Données projet'!$A$243:$I$263,7,0)),0%,VLOOKUP(A62,'Données projet'!$A$243:$I$263,7,0))</f>
        <v>0</v>
      </c>
      <c r="GL62" s="142">
        <f>EXP(-LN(2)/35)*GL61+(1-EXP(-LN(2)/35))/(LN(2)/35)*GH62*GI62*VLOOKUP('Données projet'!$B$17,'Paramètres'!$A$1:$I$89,3,0)*0.475*44/12</f>
        <v>19.35044427</v>
      </c>
      <c r="GM62" s="142">
        <f>EXP(-LN(2)/25)*GM61+(1-EXP(-LN(2)/25))/(LN(2)/25)*Calculateur!GH62*Calculateur!GJ62*VLOOKUP('Données projet'!$B$17,'Paramètres'!$A$1:$I$89,3,0)*0.475*44/12</f>
        <v>0</v>
      </c>
      <c r="GN62" s="142">
        <f>EXP(-LN(2)/2)*GN61+(1-EXP(-LN(2)/2))/(LN(2)/2)*GH62*GK62*VLOOKUP('Données projet'!$B$17,'Paramètres'!$A$1:$I$89,3,0)*0.475*44/12</f>
        <v>0</v>
      </c>
      <c r="GO62" s="142">
        <f t="shared" si="28"/>
        <v>19.35044427</v>
      </c>
      <c r="GP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1" t="str">
        <f>VLOOKUP(A62,'Données projet'!$A$269:$I$289,2,0)</f>
        <v>#N/A</v>
      </c>
      <c r="GS62" s="131" t="str">
        <f>VLOOKUP(A62,'Données projet'!$A$269:$I$289,9,0)</f>
        <v>#N/A</v>
      </c>
      <c r="GT62" s="130">
        <f t="array" ref="GT62">INDEX(GS:GS,MIN(IF(ISNUMBER(GS62:GS258),ROW(GS62:GS258),"")))</f>
        <v>5.4</v>
      </c>
      <c r="GU62" s="138">
        <f>IF('Données projet'!$A$270&gt;35,GU61+GT62-HC61,IF(A62&lt;'Données projet'!$A$270,$GR$205^A62,IF(A62='Données projet'!$A$270,'Données projet'!$B$270,GU61+GT62-HC61)))</f>
        <v>142.6</v>
      </c>
      <c r="GV62" s="138">
        <f>GU62*VLOOKUP('Données projet'!$B$18,'Paramètres'!$A$1:$I$89,3,0)*VLOOKUP('Données projet'!$B$18,'Paramètres'!$A$1:$I$89,5,0)</f>
        <v>153.49464</v>
      </c>
      <c r="GW62" s="130">
        <f t="shared" si="52"/>
        <v>39.37168749</v>
      </c>
      <c r="GX62" s="141">
        <f t="shared" si="29"/>
        <v>335.9088537</v>
      </c>
      <c r="GY62" s="133">
        <f t="shared" si="30"/>
        <v>629.2421871</v>
      </c>
      <c r="GZ62" s="133">
        <f>AVERAGE(OFFSET($GY$3,0,0,'Données projet'!$E$18+1,1))-AVERAGE(OFFSET($H$3,0,0,'Données projet'!$E$18+1,1))</f>
        <v>100.5427875</v>
      </c>
      <c r="HA62" s="133">
        <f t="shared" si="53"/>
        <v>92.28663609</v>
      </c>
      <c r="HB62" s="134">
        <f>IF(ISNA(VLOOKUP(A62,'Données projet'!$A$269:$I$289,3,0)),0,VLOOKUP(A62,'Données projet'!$A$269:$I$289,3,0))</f>
        <v>0</v>
      </c>
      <c r="HC62" s="134">
        <f>IF(ISNA(VLOOKUP(A62,'Données projet'!$A$269:$I$289,4,0)),0,VLOOKUP(A62,'Données projet'!$A$269:$I$289,4,0))</f>
        <v>0</v>
      </c>
      <c r="HD62" s="135">
        <f>IF(ISNA(VLOOKUP(A62,'Données projet'!$A$269:$I$289,5,0)),0%,VLOOKUP(A62,'Données projet'!$A$269:$I$289,5,0)*VLOOKUP('Données projet'!$B$18,'Paramètres'!$A$1:$I$89,7,0))</f>
        <v>0</v>
      </c>
      <c r="HE62" s="135">
        <f>IF(ISNA(VLOOKUP(A62,'Données projet'!$A$269:$I$289,6,0)),0%,VLOOKUP(A62,'Données projet'!$A$269:$I$289,6,0)*VLOOKUP('Données projet'!$B$18,'Paramètres'!$A$1:$I$89,7,0))</f>
        <v>0</v>
      </c>
      <c r="HF62" s="135">
        <f>IF(ISNA(VLOOKUP(A62,'Données projet'!$A$269:$I$289,7,0)),0%,VLOOKUP(A62,'Données projet'!$A$269:$I$289,7,0))</f>
        <v>0</v>
      </c>
      <c r="HG62" s="142">
        <f>EXP(-LN(2)/35)*HG61+(1-EXP(-LN(2)/35))/(LN(2)/35)*HC62*HD62*VLOOKUP('Données projet'!$B$18,'Paramètres'!$A$1:$I$89,3,0)*0.475*44/12</f>
        <v>10.35024114</v>
      </c>
      <c r="HH62" s="142">
        <f>EXP(-LN(2)/25)*HH61+(1-EXP(-LN(2)/25))/(LN(2)/25)*Calculateur!HC62*Calculateur!HE62*VLOOKUP('Données projet'!$B$18,'Paramètres'!$A$1:$I$89,3,0)*0.475*44/12</f>
        <v>0</v>
      </c>
      <c r="HI62" s="142">
        <f>EXP(-LN(2)/2)*HI61+(1-EXP(-LN(2)/2))/(LN(2)/2)*HC62*HF62*VLOOKUP('Données projet'!$B$18,'Paramètres'!$A$1:$I$89,3,0)*0.475*44/12</f>
        <v>0</v>
      </c>
      <c r="HJ62" s="143">
        <f t="shared" si="31"/>
        <v>10.35024114</v>
      </c>
    </row>
    <row r="63" ht="15.75" customHeight="1">
      <c r="A63" s="125">
        <f t="shared" si="32"/>
        <v>60</v>
      </c>
      <c r="B63" s="126">
        <f>'Scénario référence'!$B$16*5+'Scénario référence'!$B$17*0+'Scénario référence'!$B$18*5</f>
        <v>0</v>
      </c>
      <c r="C63" s="140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32.76</v>
      </c>
      <c r="D63" s="127">
        <f t="shared" si="33"/>
        <v>10.05796057</v>
      </c>
      <c r="E6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7">
        <f>IF(OR('Scénario référence'!$F$8&gt;0,'Scénario référence'!$F$9&gt;0),('Scénario référence'!$F$8+'Scénario référence'!$F$9)*10,0)</f>
        <v>10</v>
      </c>
      <c r="G63" s="127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</v>
      </c>
      <c r="H63" s="128">
        <f t="shared" si="1"/>
        <v>367.907948</v>
      </c>
      <c r="I63" s="12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8">
        <f>VLOOKUP(A63,'Données projet'!$A$35:$I$55,2,0)</f>
        <v>329</v>
      </c>
      <c r="L63" s="130">
        <f>VLOOKUP(A63,'Données projet'!$A$35:$I$55,9,0)</f>
        <v>10.8</v>
      </c>
      <c r="M63" s="130">
        <f t="array" ref="M63">INDEX(L:L,MIN(IF(ISNUMBER(L63:L259),ROW(L63:L259),"")))</f>
        <v>10.8</v>
      </c>
      <c r="N63" s="130">
        <f>IF('Données projet'!$A$36&gt;35,N62+M63-V62,IF(A63&lt;'Données projet'!$A$36,$K$205^A63,IF(A63='Données projet'!$A$36,'Données projet'!$B$36,N62+M63-V62)))</f>
        <v>329</v>
      </c>
      <c r="O63" s="130">
        <f>N63*VLOOKUP('Données projet'!$B$9,'Paramètres'!$A$1:$I$89,3,0)*VLOOKUP('Données projet'!$B$9,'Paramètres'!$A$1:$I$89,5,0)</f>
        <v>188.188</v>
      </c>
      <c r="P63" s="130">
        <f t="shared" si="34"/>
        <v>47.13912223</v>
      </c>
      <c r="Q63" s="141">
        <f t="shared" si="2"/>
        <v>409.8614046</v>
      </c>
      <c r="R63" s="133">
        <f t="shared" si="3"/>
        <v>703.1947379</v>
      </c>
      <c r="S63" s="133">
        <f>AVERAGE(OFFSET($R$3,0,0,'Données projet'!$E$9+1,1))-AVERAGE(OFFSET($H$3,0,0,'Données projet'!$E$9+1,1))</f>
        <v>126.9946492</v>
      </c>
      <c r="T63" s="133">
        <f t="shared" si="35"/>
        <v>140.039049</v>
      </c>
      <c r="U63" s="134">
        <f>IF(ISNA(VLOOKUP(A63,'Données projet'!$A$35:$I$55,3,0)),0,VLOOKUP(A63,'Données projet'!$A$35:$I$55,3,0))</f>
        <v>6</v>
      </c>
      <c r="V63" s="144">
        <f>IF(ISNA(VLOOKUP(A63,'Données projet'!$A$35:$I$55,4,0)),0,VLOOKUP(A63,'Données projet'!$A$35:$I$55,4,0))</f>
        <v>329</v>
      </c>
      <c r="W63" s="135">
        <f>IF(ISNA(VLOOKUP(A63,'Données projet'!$A$35:$I$55,5,0)),0%,VLOOKUP(A63,'Données projet'!$A$35:$I$55,5,0)*VLOOKUP('Données projet'!$B$9,'Paramètres'!$A$1:$I$89,7,0))</f>
        <v>0.36</v>
      </c>
      <c r="X63" s="135">
        <f>IF(ISNA(VLOOKUP(A63,'Données projet'!$A$35:$I$55,6,0)),0%,VLOOKUP(A63,'Données projet'!$A$35:$I$55,6,0)*VLOOKUP('Données projet'!$B$9,'Paramètres'!$A$1:$I$89,7,0))</f>
        <v>0.0504</v>
      </c>
      <c r="Y63" s="135">
        <f>IF(ISNA(VLOOKUP(A63,'Données projet'!$A$35:$I$55,7,0)),0%,VLOOKUP(A63,'Données projet'!$A$35:$I$55,7,0))</f>
        <v>0.088</v>
      </c>
      <c r="Z63" s="142">
        <f>EXP(-LN(2)/35)*Z62+(1-EXP(-LN(2)/35))/(LN(2)/35)*V63*W63*VLOOKUP('Données projet'!$B$9,'Paramètres'!$A$1:$I$89,3,0)*0.475*44/12</f>
        <v>106.2293262</v>
      </c>
      <c r="AA63" s="142">
        <f>EXP(-LN(2)/25)*AA62+(1-EXP(-LN(2)/25))/(LN(2)/25)*Calculateur!V63*Calculateur!X63*VLOOKUP('Données projet'!$B$9,'Paramètres'!$A$1:$I$89,3,0)*0.475*44/12</f>
        <v>23.23864739</v>
      </c>
      <c r="AB63" s="142">
        <f>EXP(-LN(2)/2)*AB62+(1-EXP(-LN(2)/2))/(LN(2)/2)*V63*Y63*VLOOKUP('Données projet'!$B$9,'Paramètres'!$A$1:$I$89,3,0)*0.475*44/12</f>
        <v>18.98937121</v>
      </c>
      <c r="AC63" s="143">
        <f t="shared" si="4"/>
        <v>148.4573448</v>
      </c>
      <c r="AD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1">
        <f>VLOOKUP(A63,'Données projet'!$A$61:$I$81,2,0)</f>
        <v>440</v>
      </c>
      <c r="AG63" s="131">
        <f>VLOOKUP(A63,'Données projet'!$A$61:$I$81,9,0)</f>
        <v>0</v>
      </c>
      <c r="AH63" s="131">
        <f t="array" ref="AH63">INDEX(AG:AG,MIN(IF(ISNUMBER(AG63:AG259),ROW(AG63:AG259),"")))</f>
        <v>0</v>
      </c>
      <c r="AI63" s="130">
        <f>IF('Données projet'!$A$62&gt;35,AI62+AH63-AQ62,IF(A63&lt;'Données projet'!$A$62,$AF$205^A63,IF(A63='Données projet'!$A$62,'Données projet'!$B$62,AI62+AH63-AQ62)))</f>
        <v>440</v>
      </c>
      <c r="AJ63" s="130">
        <f>AI63*VLOOKUP('Données projet'!$B$10,'Paramètres'!$A$1:$I$89,3,0)*VLOOKUP('Données projet'!$B$10,'Paramètres'!$A$1:$I$89,5,0)</f>
        <v>263.12</v>
      </c>
      <c r="AK63" s="130">
        <f t="shared" si="36"/>
        <v>63.38697346</v>
      </c>
      <c r="AL63" s="141">
        <f t="shared" si="5"/>
        <v>568.6663121</v>
      </c>
      <c r="AM63" s="133">
        <f t="shared" si="6"/>
        <v>861.9996454</v>
      </c>
      <c r="AN63" s="133">
        <f>AVERAGE(OFFSET($AM$3,0,0,'Données projet'!$E$10+1,1))-AVERAGE(OFFSET($H$3,0,0,'Données projet'!$E$10+1,1))</f>
        <v>196.874484</v>
      </c>
      <c r="AO63" s="133">
        <f t="shared" si="37"/>
        <v>217.5750859</v>
      </c>
      <c r="AP63" s="134">
        <f>IF(ISNA(VLOOKUP(A63,'Données projet'!$A$61:$I$81,3,0)),0,VLOOKUP(A63,'Données projet'!$A$61:$I$81,3,0))</f>
        <v>9</v>
      </c>
      <c r="AQ63" s="145">
        <f>IF(ISNA(VLOOKUP(A63,'Données projet'!$A$61:$I$81,4,0)),0,VLOOKUP(A63,'Données projet'!$A$61:$I$81,4,0))</f>
        <v>440</v>
      </c>
      <c r="AR63" s="135">
        <f>IF(ISNA(VLOOKUP(A63,'Données projet'!$A$61:$I$81,5,0)),0%,VLOOKUP(A63,'Données projet'!$A$61:$I$81,5,0)*VLOOKUP('Données projet'!$B$10,'Paramètres'!$A$1:$I$89,7,0))</f>
        <v>0.36</v>
      </c>
      <c r="AS63" s="135">
        <f>IF(ISNA(VLOOKUP(A63,'Données projet'!$A$61:$I$81,6,0)),0%,VLOOKUP(A63,'Données projet'!$A$61:$I$81,6,0)*VLOOKUP('Données projet'!$B$10,'Paramètres'!$A$1:$I$89,7,0))</f>
        <v>0.0504</v>
      </c>
      <c r="AT63" s="135">
        <f>IF(ISNA(VLOOKUP(A63,'Données projet'!$A$61:$I$81,7,0)),0%,VLOOKUP(A63,'Données projet'!$A$61:$I$81,7,0))</f>
        <v>0.088</v>
      </c>
      <c r="AU63" s="142">
        <f>EXP(-LN(2)/35)*AU62+(1-EXP(-LN(2)/35))/(LN(2)/35)*AQ63*AR63*VLOOKUP('Données projet'!$B$10,'Paramètres'!$A$1:$I$89,3,0)*0.475*44/12</f>
        <v>147.6557461</v>
      </c>
      <c r="AV63" s="142">
        <f>EXP(-LN(2)/25)*AV62+(1-EXP(-LN(2)/25))/(LN(2)/25)*Calculateur!AQ63*Calculateur!AS63*VLOOKUP('Données projet'!$B$10,'Paramètres'!$A$1:$I$89,3,0)*0.475*44/12</f>
        <v>35.72945141</v>
      </c>
      <c r="AW63" s="142">
        <f>EXP(-LN(2)/2)*AW62+(1-EXP(-LN(2)/2))/(LN(2)/2)*AQ63*AT63*VLOOKUP('Données projet'!$B$10,'Paramètres'!$A$1:$I$89,3,0)*0.475*44/12</f>
        <v>26.47517042</v>
      </c>
      <c r="AX63" s="142">
        <f t="shared" si="7"/>
        <v>209.8603679</v>
      </c>
      <c r="AY63" s="13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1">
        <f>VLOOKUP(A63,'Données projet'!$A$87:$I$107,2,0)</f>
        <v>390</v>
      </c>
      <c r="BB63" s="130">
        <f>VLOOKUP(A63,'Données projet'!$A$87:$I$107,9,0)</f>
        <v>14</v>
      </c>
      <c r="BC63" s="130">
        <f t="array" ref="BC63">INDEX(BB:BB,MIN(IF(ISNUMBER(BB63:BB259),ROW(BB63:BB259),"")))</f>
        <v>14</v>
      </c>
      <c r="BD63" s="130">
        <f>IF('Données projet'!$A$88&gt;35,BD62+BC63-BL62,IF(A63&lt;'Données projet'!$A$88,$BA$205^A63,IF(A63='Données projet'!$A$88,'Données projet'!$B$88,BD62+BC63-BL62)))</f>
        <v>390</v>
      </c>
      <c r="BE63" s="130">
        <f>BD63*VLOOKUP('Données projet'!$B$11,'Paramètres'!$A$1:$I$89,3,0)*VLOOKUP('Données projet'!$B$11,'Paramètres'!$A$1:$I$89,5,0)</f>
        <v>182.52</v>
      </c>
      <c r="BF63" s="130">
        <f t="shared" si="38"/>
        <v>45.88238528</v>
      </c>
      <c r="BG63" s="141">
        <f t="shared" si="8"/>
        <v>397.800821</v>
      </c>
      <c r="BH63" s="133">
        <f t="shared" si="9"/>
        <v>691.1341544</v>
      </c>
      <c r="BI63" s="133">
        <f>AVERAGE(OFFSET($BH$3,0,0,'Données projet'!$E$11+1,1))-AVERAGE(OFFSET($H$3,0,0,'Données projet'!$E$11+1,1))</f>
        <v>134.0948534</v>
      </c>
      <c r="BJ63" s="133">
        <f t="shared" si="39"/>
        <v>108.4102536</v>
      </c>
      <c r="BK63" s="134">
        <f>IF(ISNA(VLOOKUP(A63,'Données projet'!$A$87:$I$107,3,0)),0,VLOOKUP(A63,'Données projet'!$A$87:$I$107,3,0))</f>
        <v>4</v>
      </c>
      <c r="BL63" s="146">
        <f>IF(ISNA(VLOOKUP(A63,'Données projet'!$A$87:$I$107,4,0)),0,VLOOKUP(A63,'Données projet'!$A$87:$I$107,4,0))</f>
        <v>50</v>
      </c>
      <c r="BM63" s="135">
        <f>IF(ISNA(VLOOKUP(A63,'Données projet'!$A$87:$I$107,5,0)),0%,VLOOKUP(A63,'Données projet'!$A$87:$I$107,5,0)*VLOOKUP('Données projet'!$B$11,'Paramètres'!$A$1:$I$89,7,0))</f>
        <v>0.44</v>
      </c>
      <c r="BN63" s="135">
        <f>IF(ISNA(VLOOKUP(A63,'Données projet'!$A$87:$I$107,6,0)),0%,VLOOKUP(A63,'Données projet'!$A$87:$I$107,6,0)*VLOOKUP('Données projet'!$B$11,'Paramètres'!$A$1:$I$89,7,0))</f>
        <v>0.0616</v>
      </c>
      <c r="BO63" s="135">
        <f>IF(ISNA(VLOOKUP(A63,'Données projet'!$A$87:$I$107,7,0)),0%,VLOOKUP(A63,'Données projet'!$A$87:$I$107,7,0))</f>
        <v>0.088</v>
      </c>
      <c r="BP63" s="142">
        <f>EXP(-LN(2)/35)*BP62+(1-EXP(-LN(2)/35))/(LN(2)/35)*BL63*BM63*VLOOKUP('Données projet'!$B$11,'Paramètres'!$A$1:$I$89,3,0)*0.475*44/12</f>
        <v>28.16528127</v>
      </c>
      <c r="BQ63" s="142">
        <f>EXP(-LN(2)/25)*BQ62+(1-EXP(-LN(2)/25))/(LN(2)/25)*Calculateur!BL63*Calculateur!BN63*VLOOKUP('Données projet'!$B$11,'Paramètres'!$A$1:$I$89,3,0)*0.475*44/12</f>
        <v>10.72622341</v>
      </c>
      <c r="BR63" s="142">
        <f>EXP(-LN(2)/2)*BR62+(1-EXP(-LN(2)/2))/(LN(2)/2)*BL63*BO63*VLOOKUP('Données projet'!$B$11,'Paramètres'!$A$1:$I$89,3,0)*0.475*44/12</f>
        <v>2.484269274</v>
      </c>
      <c r="BS63" s="143">
        <f t="shared" si="10"/>
        <v>41.37577395</v>
      </c>
      <c r="BT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1">
        <f>VLOOKUP(A63,'Données projet'!$A$113:$I$133,2,0)</f>
        <v>629</v>
      </c>
      <c r="BW63" s="130">
        <f>VLOOKUP(A63,'Données projet'!$A$113:$I$133,9,0)</f>
        <v>20.4</v>
      </c>
      <c r="BX63" s="130">
        <f t="array" ref="BX63">INDEX(BW:BW,MIN(IF(ISNUMBER(BW63:BW259),ROW(BW63:BW259),"")))</f>
        <v>20.4</v>
      </c>
      <c r="BY63" s="130">
        <f>IF('Données projet'!$A$114&gt;35,BY62+BX63-CG62,IF(A63&lt;'Données projet'!$A$114,$BV$205^A63,IF(A63='Données projet'!$A$114,'Données projet'!$B$114,BY62+BX63-CG62)))</f>
        <v>629</v>
      </c>
      <c r="BZ63" s="130">
        <f>BY63*VLOOKUP('Données projet'!$B$12,'Paramètres'!$A$1:$I$89,3,0)*VLOOKUP('Données projet'!$B$12,'Paramètres'!$A$1:$I$89,5,0)</f>
        <v>310.726</v>
      </c>
      <c r="CA63" s="130">
        <f t="shared" si="40"/>
        <v>73.42042722</v>
      </c>
      <c r="CB63" s="141">
        <f t="shared" si="11"/>
        <v>669.0550274</v>
      </c>
      <c r="CC63" s="133">
        <f t="shared" si="12"/>
        <v>962.3883607</v>
      </c>
      <c r="CD63" s="133">
        <f>AVERAGE(OFFSET($CC$3,0,0,'Données projet'!$E$12+1,1))-AVERAGE(OFFSET($H$3,0,0,'Données projet'!$E$12+1,1))</f>
        <v>258.1672054</v>
      </c>
      <c r="CE63" s="133">
        <f t="shared" si="41"/>
        <v>296.0724261</v>
      </c>
      <c r="CF63" s="134">
        <f>IF(ISNA(VLOOKUP(A63,'Données projet'!$A$113:$I$133,3,0)),0,VLOOKUP(A63,'Données projet'!$A$113:$I$133,3,0))</f>
        <v>10</v>
      </c>
      <c r="CG63" s="134">
        <f>IF(ISNA(VLOOKUP(A63,'Données projet'!$A$113:$I$133,4,0)),0,VLOOKUP(A63,'Données projet'!$A$113:$I$133,4,0))</f>
        <v>629</v>
      </c>
      <c r="CH63" s="135">
        <f>IF(ISNA(VLOOKUP(A63,'Données projet'!$A$113:$I$133,5,0)),0%,VLOOKUP(A63,'Données projet'!$A$113:$I$133,5,0)*VLOOKUP('Données projet'!$B$12,'Paramètres'!$A$1:$I$89,7,0))</f>
        <v>0.495</v>
      </c>
      <c r="CI63" s="135">
        <f>IF(ISNA(VLOOKUP(A63,'Données projet'!$A$113:$I$133,6,0)),0%,VLOOKUP(A63,'Données projet'!$A$113:$I$133,6,0)*VLOOKUP('Données projet'!$B$12,'Paramètres'!$A$1:$I$89,7,0))</f>
        <v>0.033</v>
      </c>
      <c r="CJ63" s="135">
        <f>IF(ISNA(VLOOKUP(A63,'Données projet'!$A$113:$I$133,7,0)),0%,VLOOKUP(A63,'Données projet'!$A$113:$I$133,7,0))</f>
        <v>0.04</v>
      </c>
      <c r="CK63" s="142">
        <f>EXP(-LN(2)/35)*CK62+(1-EXP(-LN(2)/35))/(LN(2)/35)*CG63*CH63*VLOOKUP('Données projet'!$B$12,'Paramètres'!$A$1:$I$89,3,0)*0.475*44/12</f>
        <v>258.2161158</v>
      </c>
      <c r="CL63" s="142">
        <f>EXP(-LN(2)/25)*CL62+(1-EXP(-LN(2)/25))/(LN(2)/25)*Calculateur!CG63*Calculateur!CI63*VLOOKUP('Données projet'!$B$12,'Paramètres'!$A$1:$I$89,3,0)*0.475*44/12</f>
        <v>39.5332272</v>
      </c>
      <c r="CM63" s="142">
        <f>EXP(-LN(2)/2)*CM62+(1-EXP(-LN(2)/2))/(LN(2)/2)*CG63*CJ63*VLOOKUP('Données projet'!$B$12,'Paramètres'!$A$1:$I$89,3,0)*0.475*44/12</f>
        <v>14.87740418</v>
      </c>
      <c r="CN63" s="143">
        <f t="shared" si="13"/>
        <v>312.6267471</v>
      </c>
      <c r="CO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8">
        <f>VLOOKUP(A63,'Données projet'!$A$139:$I$159,2,0)</f>
        <v>148</v>
      </c>
      <c r="CR63" s="130">
        <f>VLOOKUP(A63,'Données projet'!$A$139:$I$159,9,0)</f>
        <v>5.4</v>
      </c>
      <c r="CS63" s="130">
        <f t="array" ref="CS63">INDEX(CR:CR,MIN(IF(ISNUMBER(CR63:CR259),ROW(CR63:CR259),"")))</f>
        <v>5.4</v>
      </c>
      <c r="CT63" s="138">
        <f>IF('Données projet'!$A$140&gt;35,CT62+CS63-DB62,IF(A63&lt;'Données projet'!$A$140,$CQ$205^A63,IF(A63='Données projet'!$A$140,'Données projet'!$B$140,CT62+CS63-DB62)))</f>
        <v>148</v>
      </c>
      <c r="CU63" s="138">
        <f>CT63*VLOOKUP('Données projet'!$B$13,'Paramètres'!$A$1:$I$89,3,0)*VLOOKUP('Données projet'!$B$13,'Paramètres'!$A$1:$I$89,5,0)</f>
        <v>150.072</v>
      </c>
      <c r="CV63" s="130">
        <f t="shared" si="42"/>
        <v>38.59494742</v>
      </c>
      <c r="CW63" s="141">
        <f t="shared" si="14"/>
        <v>328.5949334</v>
      </c>
      <c r="CX63" s="133">
        <f t="shared" si="15"/>
        <v>621.9282668</v>
      </c>
      <c r="CY63" s="133">
        <f>AVERAGE(OFFSET($CX$3,0,0,'Données projet'!$E$13+1,1))-AVERAGE(OFFSET($H$3,0,0,'Données projet'!$E$13+1,1))</f>
        <v>223.783507</v>
      </c>
      <c r="CZ63" s="133">
        <f t="shared" si="43"/>
        <v>84.92349117</v>
      </c>
      <c r="DA63" s="134">
        <f>IF(ISNA(VLOOKUP(A63,'Données projet'!$A$139:$I$159,3,0)),0,VLOOKUP(A63,'Données projet'!$A$139:$I$159,3,0))</f>
        <v>8</v>
      </c>
      <c r="DB63" s="144">
        <f>IF(ISNA(VLOOKUP(A63,'Données projet'!$A$139:$I$159,4,0)),0,VLOOKUP(A63,'Données projet'!$A$139:$I$159,4,0))</f>
        <v>14</v>
      </c>
      <c r="DC63" s="135">
        <f>IF(ISNA(VLOOKUP(A63,'Données projet'!$A$139:$I$159,5,0)),0%,VLOOKUP(A63,'Données projet'!$A$139:$I$159,5,0)*VLOOKUP('Données projet'!$B$13,'Paramètres'!$A$1:$I$89,7,0))</f>
        <v>0.129</v>
      </c>
      <c r="DD63" s="135">
        <f>IF(ISNA(VLOOKUP(A63,'Données projet'!$A$139:$I$159,6,0)),0%,VLOOKUP(A63,'Données projet'!$A$139:$I$159,6,0)*VLOOKUP('Données projet'!$B$13,'Paramètres'!$A$1:$I$89,7,0))</f>
        <v>0</v>
      </c>
      <c r="DE63" s="135" t="str">
        <f>IF(ISNA(VLOOKUP(A63,'Données projet'!$A$139:$I$159,7,0)),0%,VLOOKUP(A63,'Données projet'!$A$139:$I$159,7,0))</f>
        <v/>
      </c>
      <c r="DF63" s="142">
        <f>EXP(-LN(2)/35)*DF62+(1-EXP(-LN(2)/35))/(LN(2)/35)*DB63*DC63*VLOOKUP('Données projet'!$B$13,'Paramètres'!$A$1:$I$89,3,0)*0.475*44/12</f>
        <v>5.967909611</v>
      </c>
      <c r="DG63" s="142">
        <f>EXP(-LN(2)/25)*DG62+(1-EXP(-LN(2)/25))/(LN(2)/25)*Calculateur!DB63*Calculateur!DD63*VLOOKUP('Données projet'!$B$13,'Paramètres'!$A$1:$I$89,3,0)*0.475*44/12</f>
        <v>0</v>
      </c>
      <c r="DH63" s="142">
        <f>EXP(-LN(2)/2)*DH62+(1-EXP(-LN(2)/2))/(LN(2)/2)*DB63*DE63*VLOOKUP('Données projet'!$B$13,'Paramètres'!$A$1:$I$89,3,0)*0.475*44/12</f>
        <v>0</v>
      </c>
      <c r="DI63" s="143">
        <f t="shared" si="16"/>
        <v>5.967909611</v>
      </c>
      <c r="DJ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8">
        <f>VLOOKUP(A63,'Données projet'!$A$165:$I$185,2,0)</f>
        <v>214</v>
      </c>
      <c r="DM63" s="131">
        <f>VLOOKUP(A63,'Données projet'!$A$165:$I$185,9,0)</f>
        <v>7.6</v>
      </c>
      <c r="DN63" s="131">
        <f t="array" ref="DN63">INDEX(DM:DM,MIN(IF(ISNUMBER(DM63:DM259),ROW(DM63:DM259),"")))</f>
        <v>7.6</v>
      </c>
      <c r="DO63" s="138">
        <f>IF('Données projet'!$A$166&gt;35,DO62+DN63-DW62,IF(A63&lt;'Données projet'!$A$166,$DL$205^A63,IF(A63='Données projet'!$A$166,'Données projet'!$B$166,DO62+DN63-DW62)))</f>
        <v>214</v>
      </c>
      <c r="DP63" s="138">
        <f>DO63*VLOOKUP('Données projet'!$B$14,'Paramètres'!$A$1:$I$89,3,0)*VLOOKUP('Données projet'!$B$14,'Paramètres'!$A$1:$I$89,5,0)</f>
        <v>193.6272</v>
      </c>
      <c r="DQ63" s="130">
        <f t="shared" si="44"/>
        <v>48.34099055</v>
      </c>
      <c r="DR63" s="141">
        <f t="shared" si="17"/>
        <v>421.4279319</v>
      </c>
      <c r="DS63" s="133">
        <f t="shared" si="18"/>
        <v>714.7612652</v>
      </c>
      <c r="DT63" s="133">
        <f>AVERAGE(OFFSET($DS$3,0,0,'Données projet'!$E$14+1,1))-AVERAGE(OFFSET($H$3,0,0,'Données projet'!$E$14+1,1))</f>
        <v>287.9334714</v>
      </c>
      <c r="DU63" s="133">
        <f t="shared" si="45"/>
        <v>156.6796502</v>
      </c>
      <c r="DV63" s="134">
        <f>IF(ISNA(VLOOKUP(A63,'Données projet'!$A$165:$I$185,3,0)),0,VLOOKUP(A63,'Données projet'!$A$165:$I$185,3,0))</f>
        <v>9</v>
      </c>
      <c r="DW63" s="144">
        <f>IF(ISNA(VLOOKUP(A63,'Données projet'!$A$165:$I$185,4,0)),0,VLOOKUP(A63,'Données projet'!$A$165:$I$185,4,0))</f>
        <v>21</v>
      </c>
      <c r="DX63" s="135">
        <f>IF(ISNA(VLOOKUP(A63,'Données projet'!$A$165:$I$185,5,0)),0%,VLOOKUP(A63,'Données projet'!$A$165:$I$185,5,0)*VLOOKUP('Données projet'!$B$14,'Paramètres'!$A$1:$I$89,7,0))</f>
        <v>0.172</v>
      </c>
      <c r="DY63" s="135">
        <f>IF(ISNA(VLOOKUP(A63,'Données projet'!$A$165:$I$185,6,0)),0%,VLOOKUP(A63,'Données projet'!$A$165:$I$185,6,0)*VLOOKUP('Données projet'!$B$14,'Paramètres'!$A$1:$I$89,7,0))</f>
        <v>0</v>
      </c>
      <c r="DZ63" s="135" t="str">
        <f>IF(ISNA(VLOOKUP(A63,'Données projet'!$A$165:$I$185,7,0)),0%,VLOOKUP(A63,'Données projet'!$A$165:$I$185,7,0))</f>
        <v/>
      </c>
      <c r="EA63" s="142">
        <f>EXP(-LN(2)/35)*EA62+(1-EXP(-LN(2)/35))/(LN(2)/35)*DW63*DX63*VLOOKUP('Données projet'!$B$14,'Paramètres'!$A$1:$I$89,3,0)*0.475*44/12</f>
        <v>10.84758463</v>
      </c>
      <c r="EB63" s="142">
        <f>EXP(-LN(2)/25)*EB62+(1-EXP(-LN(2)/25))/(LN(2)/25)*Calculateur!DW63*Calculateur!DY63*VLOOKUP('Données projet'!$B$14,'Paramètres'!$A$1:$I$89,3,0)*0.475*44/12</f>
        <v>0</v>
      </c>
      <c r="EC63" s="142">
        <f>EXP(-LN(2)/2)*EC62+(1-EXP(-LN(2)/2))/(LN(2)/2)*DW63*DZ63*VLOOKUP('Données projet'!$B$14,'Paramètres'!$A$1:$I$89,3,0)*0.475*44/12</f>
        <v>0</v>
      </c>
      <c r="ED63" s="143">
        <f t="shared" si="19"/>
        <v>10.84758463</v>
      </c>
      <c r="EE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8">
        <f>VLOOKUP(A63,'Données projet'!$A$191:$I$211,2,0)</f>
        <v>197</v>
      </c>
      <c r="EH63" s="131">
        <f>VLOOKUP(A63,'Données projet'!$A$191:$I$211,9,0)</f>
        <v>8.4</v>
      </c>
      <c r="EI63" s="131">
        <f t="array" ref="EI63">INDEX(EH:EH,MIN(IF(ISNUMBER(EH63:EH259),ROW(EH63:EH259),"")))</f>
        <v>8.4</v>
      </c>
      <c r="EJ63" s="138">
        <f>IF('Données projet'!$A$192&gt;35,EJ62+EI63-ER62,IF(A63&lt;'Données projet'!$A$192,$EG$205^A63,IF(A63='Données projet'!$A$192,'Données projet'!$B$192,EJ62+EI63-ER62)))</f>
        <v>197</v>
      </c>
      <c r="EK63" s="138">
        <f>EJ63*VLOOKUP('Données projet'!$B$15,'Paramètres'!$A$1:$I$89,3,0)*VLOOKUP('Données projet'!$B$15,'Paramètres'!$A$1:$I$89,5,0)</f>
        <v>144.4404</v>
      </c>
      <c r="EL63" s="130">
        <f t="shared" si="46"/>
        <v>37.31238283</v>
      </c>
      <c r="EM63" s="141">
        <f t="shared" si="20"/>
        <v>316.5527634</v>
      </c>
      <c r="EN63" s="133">
        <f t="shared" si="21"/>
        <v>609.8860968</v>
      </c>
      <c r="EO63" s="133">
        <f>AVERAGE(OFFSET($EN$3,0,0,'Données projet'!$E$15+1,1))-AVERAGE(OFFSET($H$3,0,0,'Données projet'!$E$15+1,1))</f>
        <v>130.3193339</v>
      </c>
      <c r="EP63" s="133">
        <f t="shared" si="47"/>
        <v>82.22784365</v>
      </c>
      <c r="EQ63" s="134">
        <f>IF(ISNA(VLOOKUP(A63,'Données projet'!$A$191:$I$211,3,0)),0,VLOOKUP(A63,'Données projet'!$A$191:$I$211,3,0))</f>
        <v>8</v>
      </c>
      <c r="ER63" s="144">
        <f>IF(ISNA(VLOOKUP(A63,'Données projet'!$A$191:$I$211,4,0)),0,VLOOKUP(A63,'Données projet'!$A$191:$I$211,4,0))</f>
        <v>21</v>
      </c>
      <c r="ES63" s="135">
        <f>IF(ISNA(VLOOKUP(A63,'Données projet'!$A$191:$I$211,5,0)),0%,VLOOKUP(A63,'Données projet'!$A$191:$I$211,5,0)*VLOOKUP('Données projet'!$B$15,'Paramètres'!$A$1:$I$89,7,0))</f>
        <v>0.258</v>
      </c>
      <c r="ET63" s="135">
        <f>IF(ISNA(VLOOKUP(A63,'Données projet'!$A$191:$I$211,6,0)),0%,VLOOKUP(A63,'Données projet'!$A$191:$I$211,6,0)*VLOOKUP('Données projet'!$B$15,'Paramètres'!$A$1:$I$89,7,0))</f>
        <v>0</v>
      </c>
      <c r="EU63" s="135" t="str">
        <f>IF(ISNA(VLOOKUP(A63,'Données projet'!$A$191:$I$211,7,0)),0%,VLOOKUP(A63,'Données projet'!$A$191:$I$211,7,0))</f>
        <v/>
      </c>
      <c r="EV63" s="142">
        <f>EXP(-LN(2)/35)*EV62+(1-EXP(-LN(2)/35))/(LN(2)/35)*ER63*ES63*VLOOKUP('Données projet'!$B$15,'Paramètres'!$A$1:$I$89,3,0)*0.475*44/12</f>
        <v>13.95901008</v>
      </c>
      <c r="EW63" s="142">
        <f>EXP(-LN(2)/25)*EW62+(1-EXP(-LN(2)/25))/(LN(2)/25)*Calculateur!ER63*Calculateur!ET63*VLOOKUP('Données projet'!$B$15,'Paramètres'!$A$1:$I$89,3,0)*0.475*44/12</f>
        <v>0</v>
      </c>
      <c r="EX63" s="142">
        <f>EXP(-LN(2)/2)*EX62+(1-EXP(-LN(2)/2))/(LN(2)/2)*ER63*EU63*VLOOKUP('Données projet'!$B$15,'Paramètres'!$A$1:$I$89,3,0)*0.475*44/12</f>
        <v>0</v>
      </c>
      <c r="EY63" s="143">
        <f t="shared" si="22"/>
        <v>13.95901008</v>
      </c>
      <c r="EZ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1">
        <f>VLOOKUP(A63,'Données projet'!$A$217:$I$237,2,0)</f>
        <v>284</v>
      </c>
      <c r="FC63" s="130">
        <f>VLOOKUP(A63,'Données projet'!$A$217:$I$237,9,0)</f>
        <v>4.4</v>
      </c>
      <c r="FD63" s="130">
        <f t="array" ref="FD63">INDEX(FC:FC,MIN(IF(ISNUMBER(FC63:FC259),ROW(FC63:FC259),"")))</f>
        <v>4.4</v>
      </c>
      <c r="FE63" s="130">
        <f>IF('Données projet'!$A$218&gt;35,FE62+FD63-FM62,IF(A63&lt;'Données projet'!$A$218,$FB$205^A63,IF(A63='Données projet'!$A$218,'Données projet'!$B$218,FE62+FD63-FM62)))</f>
        <v>284</v>
      </c>
      <c r="FF63" s="138">
        <f>FE63*VLOOKUP('Données projet'!$B$16,'Paramètres'!$A$1:$I$89,3,0)*VLOOKUP('Données projet'!$B$16,'Paramètres'!$A$1:$I$89,5,0)</f>
        <v>256.9632</v>
      </c>
      <c r="FG63" s="130">
        <f t="shared" si="48"/>
        <v>62.07461296</v>
      </c>
      <c r="FH63" s="141">
        <f t="shared" si="23"/>
        <v>555.6575242</v>
      </c>
      <c r="FI63" s="133">
        <f t="shared" si="24"/>
        <v>848.9908576</v>
      </c>
      <c r="FJ63" s="133">
        <f>AVERAGE(OFFSET($FI$3,0,0,'Données projet'!$E$16+1,1))-AVERAGE(OFFSET($H$3,0,0,'Données projet'!$E$16+1,1))</f>
        <v>305.6252353</v>
      </c>
      <c r="FK63" s="133">
        <f t="shared" si="49"/>
        <v>331.397916</v>
      </c>
      <c r="FL63" s="134">
        <f>IF(ISNA(VLOOKUP(A63,'Données projet'!$A$217:$I$237,3,0)),0,VLOOKUP(A63,'Données projet'!$A$217:$I$237,3,0))</f>
        <v>10</v>
      </c>
      <c r="FM63" s="134">
        <f>IF(ISNA(VLOOKUP(A63,'Données projet'!$A$217:$I$237,4,0)),0,VLOOKUP(A63,'Données projet'!$A$217:$I$237,4,0))</f>
        <v>9</v>
      </c>
      <c r="FN63" s="135">
        <f>IF(ISNA(VLOOKUP(A63,'Données projet'!$A$217:$I$237,5,0)),0%,VLOOKUP(A63,'Données projet'!$A$217:$I$237,5,0)*VLOOKUP('Données projet'!$B$16,'Paramètres'!$A$1:$I$89,7,0))</f>
        <v>0.18</v>
      </c>
      <c r="FO63" s="135">
        <f>IF(ISNA(VLOOKUP(A63,'Données projet'!$A$217:$I$237,6,0)),0%,VLOOKUP(A63,'Données projet'!$A$217:$I$237,6,0)*VLOOKUP('Données projet'!$B$16,'Paramètres'!$A$1:$I$89,7,0))</f>
        <v>0</v>
      </c>
      <c r="FP63" s="135" t="str">
        <f>IF(ISNA(VLOOKUP(A63,'Données projet'!$A$217:$I$237,7,0)),0%,VLOOKUP(A63,'Données projet'!$A$217:$I$237,7,0))</f>
        <v/>
      </c>
      <c r="FQ63" s="142">
        <f>EXP(-LN(2)/35)*FQ62+(1-EXP(-LN(2)/35))/(LN(2)/35)*FM63*FN63*VLOOKUP('Données projet'!$B$16,'Paramètres'!$A$1:$I$89,3,0)*0.475*44/12</f>
        <v>6.644150589</v>
      </c>
      <c r="FR63" s="142">
        <f>EXP(-LN(2)/25)*FR62+(1-EXP(-LN(2)/25))/(LN(2)/25)*Calculateur!FM63*Calculateur!FO63*VLOOKUP('Données projet'!$B$16,'Paramètres'!$A$1:$I$89,3,0)*0.475*44/12</f>
        <v>0</v>
      </c>
      <c r="FS63" s="142">
        <f>EXP(-LN(2)/2)*FS62+(1-EXP(-LN(2)/2))/(LN(2)/2)*FM63*FP63*VLOOKUP('Données projet'!$B$16,'Paramètres'!$A$1:$I$89,3,0)*0.475*44/12</f>
        <v>0</v>
      </c>
      <c r="FT63" s="143">
        <f t="shared" si="25"/>
        <v>6.644150589</v>
      </c>
      <c r="FU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8">
        <f>VLOOKUP(A63,'Données projet'!$A$243:$I$263,2,0)</f>
        <v>270</v>
      </c>
      <c r="FX63" s="130">
        <f>VLOOKUP(A63,'Données projet'!$A$243:$I$263,9,0)</f>
        <v>10.8</v>
      </c>
      <c r="FY63" s="130">
        <f t="array" ref="FY63">INDEX(FX:FX,MIN(IF(ISNUMBER(FX63:FX259),ROW(FX63:FX259),"")))</f>
        <v>10.8</v>
      </c>
      <c r="FZ63" s="138">
        <f>IF('Données projet'!$A$244&gt;35,FZ62+FY63-GH62,IF(A63&lt;'Données projet'!$A$244,$FW$205^A63,IF(A63='Données projet'!$A$244,'Données projet'!$B$244,FZ62+FY63-GH62)))</f>
        <v>270</v>
      </c>
      <c r="GA63" s="138">
        <f>FZ63*VLOOKUP('Données projet'!$B$17,'Paramètres'!$A$1:$I$89,3,0)*VLOOKUP('Données projet'!$B$17,'Paramètres'!$A$1:$I$89,5,0)</f>
        <v>181.116</v>
      </c>
      <c r="GB63" s="130">
        <f t="shared" si="50"/>
        <v>45.57038622</v>
      </c>
      <c r="GC63" s="141">
        <f t="shared" si="26"/>
        <v>394.8121227</v>
      </c>
      <c r="GD63" s="133">
        <f t="shared" si="27"/>
        <v>688.145456</v>
      </c>
      <c r="GE63" s="133">
        <f>AVERAGE(OFFSET($GD$3,0,0,'Données projet'!$E$17+1,1))-AVERAGE(OFFSET($H$3,0,0,'Données projet'!$E$17+1,1))</f>
        <v>118.7368745</v>
      </c>
      <c r="GF63" s="133">
        <f t="shared" si="51"/>
        <v>135.1233677</v>
      </c>
      <c r="GG63" s="134">
        <f>IF(ISNA(VLOOKUP(A63,'Données projet'!$A$243:$I$263,3,0)),0,VLOOKUP(A63,'Données projet'!$A$243:$I$263,3,0))</f>
        <v>9</v>
      </c>
      <c r="GH63" s="144">
        <f>IF(ISNA(VLOOKUP(A63,'Données projet'!$A$243:$I$263,4,0)),0,VLOOKUP(A63,'Données projet'!$A$243:$I$263,4,0))</f>
        <v>270</v>
      </c>
      <c r="GI63" s="135">
        <f>IF(ISNA(VLOOKUP(A63,'Données projet'!$A$243:$I$263,5,0)),0%,VLOOKUP(A63,'Données projet'!$A$243:$I$263,5,0)*VLOOKUP('Données projet'!$B$17,'Paramètres'!$A$1:$I$89,7,0))</f>
        <v>0.424</v>
      </c>
      <c r="GJ63" s="135">
        <f>IF(ISNA(VLOOKUP(A63,'Données projet'!$A$243:$I$263,6,0)),0%,VLOOKUP(A63,'Données projet'!$A$243:$I$263,6,0)*VLOOKUP('Données projet'!$B$17,'Paramètres'!$A$1:$I$89,7,0))</f>
        <v>0</v>
      </c>
      <c r="GK63" s="135" t="str">
        <f>IF(ISNA(VLOOKUP(A63,'Données projet'!$A$243:$I$263,7,0)),0%,VLOOKUP(A63,'Données projet'!$A$243:$I$263,7,0))</f>
        <v/>
      </c>
      <c r="GL63" s="142">
        <f>EXP(-LN(2)/35)*GL62+(1-EXP(-LN(2)/35))/(LN(2)/35)*GH63*GI63*VLOOKUP('Données projet'!$B$17,'Paramètres'!$A$1:$I$89,3,0)*0.475*44/12</f>
        <v>103.8635841</v>
      </c>
      <c r="GM63" s="142">
        <f>EXP(-LN(2)/25)*GM62+(1-EXP(-LN(2)/25))/(LN(2)/25)*Calculateur!GH63*Calculateur!GJ63*VLOOKUP('Données projet'!$B$17,'Paramètres'!$A$1:$I$89,3,0)*0.475*44/12</f>
        <v>0</v>
      </c>
      <c r="GN63" s="142">
        <f>EXP(-LN(2)/2)*GN62+(1-EXP(-LN(2)/2))/(LN(2)/2)*GH63*GK63*VLOOKUP('Données projet'!$B$17,'Paramètres'!$A$1:$I$89,3,0)*0.475*44/12</f>
        <v>0</v>
      </c>
      <c r="GO63" s="142">
        <f t="shared" si="28"/>
        <v>103.8635841</v>
      </c>
      <c r="GP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8">
        <f>VLOOKUP(A63,'Données projet'!$A$269:$I$289,2,0)</f>
        <v>148</v>
      </c>
      <c r="GS63" s="130">
        <f>VLOOKUP(A63,'Données projet'!$A$269:$I$289,9,0)</f>
        <v>5.4</v>
      </c>
      <c r="GT63" s="130">
        <f t="array" ref="GT63">INDEX(GS:GS,MIN(IF(ISNUMBER(GS63:GS259),ROW(GS63:GS259),"")))</f>
        <v>5.4</v>
      </c>
      <c r="GU63" s="138">
        <f>IF('Données projet'!$A$270&gt;35,GU62+GT63-HC62,IF(A63&lt;'Données projet'!$A$270,$GR$205^A63,IF(A63='Données projet'!$A$270,'Données projet'!$B$270,GU62+GT63-HC62)))</f>
        <v>148</v>
      </c>
      <c r="GV63" s="138">
        <f>GU63*VLOOKUP('Données projet'!$B$18,'Paramètres'!$A$1:$I$89,3,0)*VLOOKUP('Données projet'!$B$18,'Paramètres'!$A$1:$I$89,5,0)</f>
        <v>159.3072</v>
      </c>
      <c r="GW63" s="130">
        <f t="shared" si="52"/>
        <v>40.68621299</v>
      </c>
      <c r="GX63" s="141">
        <f t="shared" si="29"/>
        <v>348.321861</v>
      </c>
      <c r="GY63" s="133">
        <f t="shared" si="30"/>
        <v>641.6551943</v>
      </c>
      <c r="GZ63" s="133">
        <f>AVERAGE(OFFSET($GY$3,0,0,'Données projet'!$E$18+1,1))-AVERAGE(OFFSET($H$3,0,0,'Données projet'!$E$18+1,1))</f>
        <v>100.5427875</v>
      </c>
      <c r="HA63" s="133">
        <f t="shared" si="53"/>
        <v>92.28663609</v>
      </c>
      <c r="HB63" s="134">
        <f>IF(ISNA(VLOOKUP(A63,'Données projet'!$A$269:$I$289,3,0)),0,VLOOKUP(A63,'Données projet'!$A$269:$I$289,3,0))</f>
        <v>8</v>
      </c>
      <c r="HC63" s="144">
        <f>IF(ISNA(VLOOKUP(A63,'Données projet'!$A$269:$I$289,4,0)),0,VLOOKUP(A63,'Données projet'!$A$269:$I$289,4,0))</f>
        <v>148</v>
      </c>
      <c r="HD63" s="135">
        <f>IF(ISNA(VLOOKUP(A63,'Données projet'!$A$269:$I$289,5,0)),0%,VLOOKUP(A63,'Données projet'!$A$269:$I$289,5,0)*VLOOKUP('Données projet'!$B$18,'Paramètres'!$A$1:$I$89,7,0))</f>
        <v>0.344</v>
      </c>
      <c r="HE63" s="135">
        <f>IF(ISNA(VLOOKUP(A63,'Données projet'!$A$269:$I$289,6,0)),0%,VLOOKUP(A63,'Données projet'!$A$269:$I$289,6,0)*VLOOKUP('Données projet'!$B$18,'Paramètres'!$A$1:$I$89,7,0))</f>
        <v>0</v>
      </c>
      <c r="HF63" s="135" t="str">
        <f>IF(ISNA(VLOOKUP(A63,'Données projet'!$A$269:$I$289,7,0)),0%,VLOOKUP(A63,'Données projet'!$A$269:$I$289,7,0))</f>
        <v/>
      </c>
      <c r="HG63" s="142">
        <f>EXP(-LN(2)/35)*HG62+(1-EXP(-LN(2)/35))/(LN(2)/35)*HC63*HD63*VLOOKUP('Données projet'!$B$18,'Paramètres'!$A$1:$I$89,3,0)*0.475*44/12</f>
        <v>70.72890967</v>
      </c>
      <c r="HH63" s="142">
        <f>EXP(-LN(2)/25)*HH62+(1-EXP(-LN(2)/25))/(LN(2)/25)*Calculateur!HC63*Calculateur!HE63*VLOOKUP('Données projet'!$B$18,'Paramètres'!$A$1:$I$89,3,0)*0.475*44/12</f>
        <v>0</v>
      </c>
      <c r="HI63" s="142">
        <f>EXP(-LN(2)/2)*HI62+(1-EXP(-LN(2)/2))/(LN(2)/2)*HC63*HF63*VLOOKUP('Données projet'!$B$18,'Paramètres'!$A$1:$I$89,3,0)*0.475*44/12</f>
        <v>0</v>
      </c>
      <c r="HJ63" s="143">
        <f t="shared" si="31"/>
        <v>70.72890967</v>
      </c>
    </row>
    <row r="64" ht="15.75" customHeight="1">
      <c r="A64" s="125">
        <f t="shared" si="32"/>
        <v>61</v>
      </c>
      <c r="B64" s="126">
        <f>'Scénario référence'!$B$16*5+'Scénario référence'!$B$17*0+'Scénario référence'!$B$18*5</f>
        <v>0</v>
      </c>
      <c r="C64" s="140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33.306</v>
      </c>
      <c r="D64" s="127">
        <f t="shared" si="33"/>
        <v>10.20593801</v>
      </c>
      <c r="E6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7">
        <f>IF(OR('Scénario référence'!$F$8&gt;0,'Scénario référence'!$F$9&gt;0),('Scénario référence'!$F$8+'Scénario référence'!$F$9)*10,0)</f>
        <v>10</v>
      </c>
      <c r="G64" s="127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335.8816268</v>
      </c>
      <c r="H64" s="128">
        <f t="shared" si="1"/>
        <v>369.1166254</v>
      </c>
      <c r="I64" s="12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1" t="str">
        <f>VLOOKUP(A64,'Données projet'!$A$35:$I$55,2,0)</f>
        <v>#N/A</v>
      </c>
      <c r="L64" s="131" t="str">
        <f>VLOOKUP(A64,'Données projet'!$A$35:$I$55,9,0)</f>
        <v>#N/A</v>
      </c>
      <c r="M64" s="131" t="str">
        <f t="array" ref="M64">INDEX(L:L,MIN(IF(ISNUMBER(L64:L260),ROW(L64:L260),"")))</f>
        <v/>
      </c>
      <c r="N64" s="130">
        <f>IF('Données projet'!$A$36&gt;35,N63+M64-V63,IF(A64&lt;'Données projet'!$A$36,$K$205^A64,IF(A64='Données projet'!$A$36,'Données projet'!$B$36,N63+M64-V63)))</f>
        <v>0</v>
      </c>
      <c r="O64" s="130">
        <f>N64*VLOOKUP('Données projet'!$B$9,'Paramètres'!$A$1:$I$89,3,0)*VLOOKUP('Données projet'!$B$9,'Paramètres'!$A$1:$I$89,5,0)</f>
        <v>0</v>
      </c>
      <c r="P64" s="130">
        <f t="shared" si="34"/>
        <v>0</v>
      </c>
      <c r="Q64" s="141">
        <f t="shared" si="2"/>
        <v>0</v>
      </c>
      <c r="R64" s="133">
        <f t="shared" si="3"/>
        <v>293.3333333</v>
      </c>
      <c r="S64" s="133">
        <f>AVERAGE(OFFSET($R$3,0,0,'Données projet'!$E$9+1,1))-AVERAGE(OFFSET($H$3,0,0,'Données projet'!$E$9+1,1))</f>
        <v>126.9946492</v>
      </c>
      <c r="T64" s="133">
        <f t="shared" si="35"/>
        <v>140.039049</v>
      </c>
      <c r="U64" s="134">
        <f>IF(ISNA(VLOOKUP(A64,'Données projet'!$A$35:$I$55,3,0)),0,VLOOKUP(A64,'Données projet'!$A$35:$I$55,3,0))</f>
        <v>0</v>
      </c>
      <c r="V64" s="134">
        <f>IF(ISNA(VLOOKUP(A64,'Données projet'!$A$35:$I$55,4,0)),0,VLOOKUP(A64,'Données projet'!$A$35:$I$55,4,0))</f>
        <v>0</v>
      </c>
      <c r="W64" s="135">
        <f>IF(ISNA(VLOOKUP(A64,'Données projet'!$A$35:$I$55,5,0)),0%,VLOOKUP(A64,'Données projet'!$A$35:$I$55,5,0)*VLOOKUP('Données projet'!$B$9,'Paramètres'!$A$1:$I$89,7,0))</f>
        <v>0</v>
      </c>
      <c r="X64" s="135">
        <f>IF(ISNA(VLOOKUP(A64,'Données projet'!$A$35:$I$55,6,0)),0%,VLOOKUP(A64,'Données projet'!$A$35:$I$55,6,0)*VLOOKUP('Données projet'!$B$9,'Paramètres'!$A$1:$I$89,7,0))</f>
        <v>0</v>
      </c>
      <c r="Y64" s="135">
        <f>IF(ISNA(VLOOKUP(A64,'Données projet'!$A$35:$I$55,7,0)),0%,VLOOKUP(A64,'Données projet'!$A$35:$I$55,7,0))</f>
        <v>0</v>
      </c>
      <c r="Z64" s="142">
        <f>EXP(-LN(2)/35)*Z63+(1-EXP(-LN(2)/35))/(LN(2)/35)*V64*W64*VLOOKUP('Données projet'!$B$9,'Paramètres'!$A$1:$I$89,3,0)*0.475*44/12</f>
        <v>104.1462339</v>
      </c>
      <c r="AA64" s="142">
        <f>EXP(-LN(2)/25)*AA63+(1-EXP(-LN(2)/25))/(LN(2)/25)*Calculateur!V64*Calculateur!X64*VLOOKUP('Données projet'!$B$9,'Paramètres'!$A$1:$I$89,3,0)*0.475*44/12</f>
        <v>22.60318536</v>
      </c>
      <c r="AB64" s="142">
        <f>EXP(-LN(2)/2)*AB63+(1-EXP(-LN(2)/2))/(LN(2)/2)*V64*Y64*VLOOKUP('Données projet'!$B$9,'Paramètres'!$A$1:$I$89,3,0)*0.475*44/12</f>
        <v>13.42751315</v>
      </c>
      <c r="AC64" s="143">
        <f t="shared" si="4"/>
        <v>140.1769324</v>
      </c>
      <c r="AD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1" t="str">
        <f>VLOOKUP(A64,'Données projet'!$A$61:$I$81,2,0)</f>
        <v>#N/A</v>
      </c>
      <c r="AG64" s="131" t="str">
        <f>VLOOKUP(A64,'Données projet'!$A$61:$I$81,9,0)</f>
        <v>#N/A</v>
      </c>
      <c r="AH64" s="131" t="str">
        <f t="array" ref="AH64">INDEX(AG:AG,MIN(IF(ISNUMBER(AG64:AG260),ROW(AG64:AG260),"")))</f>
        <v/>
      </c>
      <c r="AI64" s="130">
        <f>IF('Données projet'!$A$62&gt;35,AI63+AH64-AQ63,IF(A64&lt;'Données projet'!$A$62,$AF$205^A64,IF(A64='Données projet'!$A$62,'Données projet'!$B$62,AI63+AH64-AQ63)))</f>
        <v>0</v>
      </c>
      <c r="AJ64" s="130">
        <f>AI64*VLOOKUP('Données projet'!$B$10,'Paramètres'!$A$1:$I$89,3,0)*VLOOKUP('Données projet'!$B$10,'Paramètres'!$A$1:$I$89,5,0)</f>
        <v>0</v>
      </c>
      <c r="AK64" s="130" t="str">
        <f t="shared" si="36"/>
        <v>#NUM!</v>
      </c>
      <c r="AL64" s="141" t="str">
        <f t="shared" si="5"/>
        <v>#NUM!</v>
      </c>
      <c r="AM64" s="133" t="str">
        <f t="shared" si="6"/>
        <v>#NUM!</v>
      </c>
      <c r="AN64" s="133">
        <f>AVERAGE(OFFSET($AM$3,0,0,'Données projet'!$E$10+1,1))-AVERAGE(OFFSET($H$3,0,0,'Données projet'!$E$10+1,1))</f>
        <v>196.874484</v>
      </c>
      <c r="AO64" s="133">
        <f t="shared" si="37"/>
        <v>217.5750859</v>
      </c>
      <c r="AP64" s="134">
        <f>IF(ISNA(VLOOKUP(A64,'Données projet'!$A$61:$I$81,3,0)),0,VLOOKUP(A64,'Données projet'!$A$61:$I$81,3,0))</f>
        <v>0</v>
      </c>
      <c r="AQ64" s="134">
        <f>IF(ISNA(VLOOKUP(A64,'Données projet'!$A$61:$I$81,4,0)),0,VLOOKUP(A64,'Données projet'!$A$61:$I$81,4,0))</f>
        <v>0</v>
      </c>
      <c r="AR64" s="135">
        <f>IF(ISNA(VLOOKUP(A64,'Données projet'!$A$61:$I$81,5,0)),0%,VLOOKUP(A64,'Données projet'!$A$61:$I$81,5,0)*VLOOKUP('Données projet'!$B$10,'Paramètres'!$A$1:$I$89,7,0))</f>
        <v>0</v>
      </c>
      <c r="AS64" s="135">
        <f>IF(ISNA(VLOOKUP(A64,'Données projet'!$A$61:$I$81,6,0)),0%,VLOOKUP(A64,'Données projet'!$A$61:$I$81,6,0)*VLOOKUP('Données projet'!$B$10,'Paramètres'!$A$1:$I$89,7,0))</f>
        <v>0</v>
      </c>
      <c r="AT64" s="135">
        <f>IF(ISNA(VLOOKUP(A64,'Données projet'!$A$61:$I$81,7,0)),0%,VLOOKUP(A64,'Données projet'!$A$61:$I$81,7,0))</f>
        <v>0</v>
      </c>
      <c r="AU64" s="142">
        <f>EXP(-LN(2)/35)*AU63+(1-EXP(-LN(2)/35))/(LN(2)/35)*AQ64*AR64*VLOOKUP('Données projet'!$B$10,'Paramètres'!$A$1:$I$89,3,0)*0.475*44/12</f>
        <v>144.7603069</v>
      </c>
      <c r="AV64" s="142">
        <f>EXP(-LN(2)/25)*AV63+(1-EXP(-LN(2)/25))/(LN(2)/25)*Calculateur!AQ64*Calculateur!AS64*VLOOKUP('Données projet'!$B$10,'Paramètres'!$A$1:$I$89,3,0)*0.475*44/12</f>
        <v>34.75242769</v>
      </c>
      <c r="AW64" s="142">
        <f>EXP(-LN(2)/2)*AW63+(1-EXP(-LN(2)/2))/(LN(2)/2)*AQ64*AT64*VLOOKUP('Données projet'!$B$10,'Paramètres'!$A$1:$I$89,3,0)*0.475*44/12</f>
        <v>18.72077253</v>
      </c>
      <c r="AX64" s="142">
        <f t="shared" si="7"/>
        <v>198.2335072</v>
      </c>
      <c r="AY64" s="13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1" t="str">
        <f>VLOOKUP(A64,'Données projet'!$A$87:$I$107,2,0)</f>
        <v>#N/A</v>
      </c>
      <c r="BB64" s="131" t="str">
        <f>VLOOKUP(A64,'Données projet'!$A$87:$I$107,9,0)</f>
        <v>#N/A</v>
      </c>
      <c r="BC64" s="130">
        <f t="array" ref="BC64">INDEX(BB:BB,MIN(IF(ISNUMBER(BB64:BB260),ROW(BB64:BB260),"")))</f>
        <v>13</v>
      </c>
      <c r="BD64" s="130">
        <f>IF('Données projet'!$A$88&gt;35,BD63+BC64-BL63,IF(A64&lt;'Données projet'!$A$88,$BA$205^A64,IF(A64='Données projet'!$A$88,'Données projet'!$B$88,BD63+BC64-BL63)))</f>
        <v>353</v>
      </c>
      <c r="BE64" s="130">
        <f>BD64*VLOOKUP('Données projet'!$B$11,'Paramètres'!$A$1:$I$89,3,0)*VLOOKUP('Données projet'!$B$11,'Paramètres'!$A$1:$I$89,5,0)</f>
        <v>165.204</v>
      </c>
      <c r="BF64" s="130">
        <f t="shared" si="38"/>
        <v>42.01409667</v>
      </c>
      <c r="BG64" s="141">
        <f t="shared" si="8"/>
        <v>360.9048517</v>
      </c>
      <c r="BH64" s="133">
        <f t="shared" si="9"/>
        <v>654.238185</v>
      </c>
      <c r="BI64" s="133">
        <f>AVERAGE(OFFSET($BH$3,0,0,'Données projet'!$E$11+1,1))-AVERAGE(OFFSET($H$3,0,0,'Données projet'!$E$11+1,1))</f>
        <v>134.0948534</v>
      </c>
      <c r="BJ64" s="133">
        <f t="shared" si="39"/>
        <v>108.4102536</v>
      </c>
      <c r="BK64" s="134">
        <f>IF(ISNA(VLOOKUP(A64,'Données projet'!$A$87:$I$107,3,0)),0,VLOOKUP(A64,'Données projet'!$A$87:$I$107,3,0))</f>
        <v>0</v>
      </c>
      <c r="BL64" s="134">
        <f>IF(ISNA(VLOOKUP(A64,'Données projet'!$A$87:$I$107,4,0)),0,VLOOKUP(A64,'Données projet'!$A$87:$I$107,4,0))</f>
        <v>0</v>
      </c>
      <c r="BM64" s="135">
        <f>IF(ISNA(VLOOKUP(A64,'Données projet'!$A$87:$I$107,5,0)),0%,VLOOKUP(A64,'Données projet'!$A$87:$I$107,5,0)*VLOOKUP('Données projet'!$B$11,'Paramètres'!$A$1:$I$89,7,0))</f>
        <v>0</v>
      </c>
      <c r="BN64" s="135">
        <f>IF(ISNA(VLOOKUP(A64,'Données projet'!$A$87:$I$107,6,0)),0%,VLOOKUP(A64,'Données projet'!$A$87:$I$107,6,0)*VLOOKUP('Données projet'!$B$11,'Paramètres'!$A$1:$I$89,7,0))</f>
        <v>0</v>
      </c>
      <c r="BO64" s="135">
        <f>IF(ISNA(VLOOKUP(A64,'Données projet'!$A$87:$I$107,7,0)),0%,VLOOKUP(A64,'Données projet'!$A$87:$I$107,7,0))</f>
        <v>0</v>
      </c>
      <c r="BP64" s="142">
        <f>EXP(-LN(2)/35)*BP63+(1-EXP(-LN(2)/35))/(LN(2)/35)*BL64*BM64*VLOOKUP('Données projet'!$B$11,'Paramètres'!$A$1:$I$89,3,0)*0.475*44/12</f>
        <v>27.61297728</v>
      </c>
      <c r="BQ64" s="142">
        <f>EXP(-LN(2)/25)*BQ63+(1-EXP(-LN(2)/25))/(LN(2)/25)*Calculateur!BL64*Calculateur!BN64*VLOOKUP('Données projet'!$B$11,'Paramètres'!$A$1:$I$89,3,0)*0.475*44/12</f>
        <v>10.43291427</v>
      </c>
      <c r="BR64" s="142">
        <f>EXP(-LN(2)/2)*BR63+(1-EXP(-LN(2)/2))/(LN(2)/2)*BL64*BO64*VLOOKUP('Données projet'!$B$11,'Paramètres'!$A$1:$I$89,3,0)*0.475*44/12</f>
        <v>1.75664365</v>
      </c>
      <c r="BS64" s="143">
        <f t="shared" si="10"/>
        <v>39.8025352</v>
      </c>
      <c r="BT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1" t="str">
        <f>VLOOKUP(A64,'Données projet'!$A$113:$I$133,2,0)</f>
        <v>#N/A</v>
      </c>
      <c r="BW64" s="131" t="str">
        <f>VLOOKUP(A64,'Données projet'!$A$113:$I$133,9,0)</f>
        <v>#N/A</v>
      </c>
      <c r="BX64" s="131" t="str">
        <f t="array" ref="BX64">INDEX(BW:BW,MIN(IF(ISNUMBER(BW64:BW260),ROW(BW64:BW260),"")))</f>
        <v/>
      </c>
      <c r="BY64" s="130">
        <f>IF('Données projet'!$A$114&gt;35,BY63+BX64-CG63,IF(A64&lt;'Données projet'!$A$114,$BV$205^A64,IF(A64='Données projet'!$A$114,'Données projet'!$B$114,BY63+BX64-CG63)))</f>
        <v>0</v>
      </c>
      <c r="BZ64" s="130">
        <f>BY64*VLOOKUP('Données projet'!$B$12,'Paramètres'!$A$1:$I$89,3,0)*VLOOKUP('Données projet'!$B$12,'Paramètres'!$A$1:$I$89,5,0)</f>
        <v>0</v>
      </c>
      <c r="CA64" s="130" t="str">
        <f t="shared" si="40"/>
        <v>#NUM!</v>
      </c>
      <c r="CB64" s="141" t="str">
        <f t="shared" si="11"/>
        <v>#NUM!</v>
      </c>
      <c r="CC64" s="133" t="str">
        <f t="shared" si="12"/>
        <v>#NUM!</v>
      </c>
      <c r="CD64" s="133">
        <f>AVERAGE(OFFSET($CC$3,0,0,'Données projet'!$E$12+1,1))-AVERAGE(OFFSET($H$3,0,0,'Données projet'!$E$12+1,1))</f>
        <v>258.1672054</v>
      </c>
      <c r="CE64" s="133">
        <f t="shared" si="41"/>
        <v>296.0724261</v>
      </c>
      <c r="CF64" s="134">
        <f>IF(ISNA(VLOOKUP(A64,'Données projet'!$A$113:$I$133,3,0)),0,VLOOKUP(A64,'Données projet'!$A$113:$I$133,3,0))</f>
        <v>0</v>
      </c>
      <c r="CG64" s="134">
        <f>IF(ISNA(VLOOKUP(A64,'Données projet'!$A$113:$I$133,4,0)),0,VLOOKUP(A64,'Données projet'!$A$113:$I$133,4,0))</f>
        <v>0</v>
      </c>
      <c r="CH64" s="135">
        <f>IF(ISNA(VLOOKUP(A64,'Données projet'!$A$113:$I$133,5,0)),0%,VLOOKUP(A64,'Données projet'!$A$113:$I$133,5,0)*VLOOKUP('Données projet'!$B$12,'Paramètres'!$A$1:$I$89,7,0))</f>
        <v>0</v>
      </c>
      <c r="CI64" s="135">
        <f>IF(ISNA(VLOOKUP(A64,'Données projet'!$A$113:$I$133,6,0)),0%,VLOOKUP(A64,'Données projet'!$A$113:$I$133,6,0)*VLOOKUP('Données projet'!$B$12,'Paramètres'!$A$1:$I$89,7,0))</f>
        <v>0</v>
      </c>
      <c r="CJ64" s="135">
        <f>IF(ISNA(VLOOKUP(A64,'Données projet'!$A$113:$I$133,7,0)),0%,VLOOKUP(A64,'Données projet'!$A$113:$I$133,7,0))</f>
        <v>0</v>
      </c>
      <c r="CK64" s="142">
        <f>EXP(-LN(2)/35)*CK63+(1-EXP(-LN(2)/35))/(LN(2)/35)*CG64*CH64*VLOOKUP('Données projet'!$B$12,'Paramètres'!$A$1:$I$89,3,0)*0.475*44/12</f>
        <v>253.1526552</v>
      </c>
      <c r="CL64" s="142">
        <f>EXP(-LN(2)/25)*CL63+(1-EXP(-LN(2)/25))/(LN(2)/25)*Calculateur!CG64*Calculateur!CI64*VLOOKUP('Données projet'!$B$12,'Paramètres'!$A$1:$I$89,3,0)*0.475*44/12</f>
        <v>38.45218903</v>
      </c>
      <c r="CM64" s="142">
        <f>EXP(-LN(2)/2)*CM63+(1-EXP(-LN(2)/2))/(LN(2)/2)*CG64*CJ64*VLOOKUP('Données projet'!$B$12,'Paramètres'!$A$1:$I$89,3,0)*0.475*44/12</f>
        <v>10.51991338</v>
      </c>
      <c r="CN64" s="143">
        <f t="shared" si="13"/>
        <v>302.1247576</v>
      </c>
      <c r="CO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1" t="str">
        <f>VLOOKUP(A64,'Données projet'!$A$139:$I$159,2,0)</f>
        <v>#N/A</v>
      </c>
      <c r="CR64" s="131" t="str">
        <f>VLOOKUP(A64,'Données projet'!$A$139:$I$159,9,0)</f>
        <v>#N/A</v>
      </c>
      <c r="CS64" s="130">
        <f t="array" ref="CS64">INDEX(CR:CR,MIN(IF(ISNUMBER(CR64:CR260),ROW(CR64:CR260),"")))</f>
        <v>5.4</v>
      </c>
      <c r="CT64" s="138">
        <f>IF('Données projet'!$A$140&gt;35,CT63+CS64-DB63,IF(A64&lt;'Données projet'!$A$140,$CQ$205^A64,IF(A64='Données projet'!$A$140,'Données projet'!$B$140,CT63+CS64-DB63)))</f>
        <v>139.4</v>
      </c>
      <c r="CU64" s="138">
        <f>CT64*VLOOKUP('Données projet'!$B$13,'Paramètres'!$A$1:$I$89,3,0)*VLOOKUP('Données projet'!$B$13,'Paramètres'!$A$1:$I$89,5,0)</f>
        <v>141.3516</v>
      </c>
      <c r="CV64" s="130">
        <f t="shared" si="42"/>
        <v>36.60646472</v>
      </c>
      <c r="CW64" s="141">
        <f t="shared" si="14"/>
        <v>309.9436294</v>
      </c>
      <c r="CX64" s="133">
        <f t="shared" si="15"/>
        <v>603.2769627</v>
      </c>
      <c r="CY64" s="133">
        <f>AVERAGE(OFFSET($CX$3,0,0,'Données projet'!$E$13+1,1))-AVERAGE(OFFSET($H$3,0,0,'Données projet'!$E$13+1,1))</f>
        <v>223.783507</v>
      </c>
      <c r="CZ64" s="133">
        <f t="shared" si="43"/>
        <v>84.92349117</v>
      </c>
      <c r="DA64" s="134">
        <f>IF(ISNA(VLOOKUP(A64,'Données projet'!$A$139:$I$159,3,0)),0,VLOOKUP(A64,'Données projet'!$A$139:$I$159,3,0))</f>
        <v>0</v>
      </c>
      <c r="DB64" s="134">
        <f>IF(ISNA(VLOOKUP(A64,'Données projet'!$A$139:$I$159,4,0)),0,VLOOKUP(A64,'Données projet'!$A$139:$I$159,4,0))</f>
        <v>0</v>
      </c>
      <c r="DC64" s="135">
        <f>IF(ISNA(VLOOKUP(A64,'Données projet'!$A$139:$I$159,5,0)),0%,VLOOKUP(A64,'Données projet'!$A$139:$I$159,5,0)*VLOOKUP('Données projet'!$B$13,'Paramètres'!$A$1:$I$89,7,0))</f>
        <v>0</v>
      </c>
      <c r="DD64" s="135">
        <f>IF(ISNA(VLOOKUP(A64,'Données projet'!$A$139:$I$159,6,0)),0%,VLOOKUP(A64,'Données projet'!$A$139:$I$159,6,0)*VLOOKUP('Données projet'!$B$13,'Paramètres'!$A$1:$I$89,7,0))</f>
        <v>0</v>
      </c>
      <c r="DE64" s="135">
        <f>IF(ISNA(VLOOKUP(A64,'Données projet'!$A$139:$I$159,7,0)),0%,VLOOKUP(A64,'Données projet'!$A$139:$I$159,7,0))</f>
        <v>0</v>
      </c>
      <c r="DF64" s="142">
        <f>EXP(-LN(2)/35)*DF63+(1-EXP(-LN(2)/35))/(LN(2)/35)*DB64*DC64*VLOOKUP('Données projet'!$B$13,'Paramètres'!$A$1:$I$89,3,0)*0.475*44/12</f>
        <v>5.850882544</v>
      </c>
      <c r="DG64" s="142">
        <f>EXP(-LN(2)/25)*DG63+(1-EXP(-LN(2)/25))/(LN(2)/25)*Calculateur!DB64*Calculateur!DD64*VLOOKUP('Données projet'!$B$13,'Paramètres'!$A$1:$I$89,3,0)*0.475*44/12</f>
        <v>0</v>
      </c>
      <c r="DH64" s="142">
        <f>EXP(-LN(2)/2)*DH63+(1-EXP(-LN(2)/2))/(LN(2)/2)*DB64*DE64*VLOOKUP('Données projet'!$B$13,'Paramètres'!$A$1:$I$89,3,0)*0.475*44/12</f>
        <v>0</v>
      </c>
      <c r="DI64" s="143">
        <f t="shared" si="16"/>
        <v>5.850882544</v>
      </c>
      <c r="DJ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1" t="str">
        <f>VLOOKUP(A64,'Données projet'!$A$165:$I$185,2,0)</f>
        <v>#N/A</v>
      </c>
      <c r="DM64" s="131" t="str">
        <f>VLOOKUP(A64,'Données projet'!$A$165:$I$185,9,0)</f>
        <v>#N/A</v>
      </c>
      <c r="DN64" s="131">
        <f t="array" ref="DN64">INDEX(DM:DM,MIN(IF(ISNUMBER(DM64:DM260),ROW(DM64:DM260),"")))</f>
        <v>7.2</v>
      </c>
      <c r="DO64" s="138">
        <f>IF('Données projet'!$A$166&gt;35,DO63+DN64-DW63,IF(A64&lt;'Données projet'!$A$166,$DL$205^A64,IF(A64='Données projet'!$A$166,'Données projet'!$B$166,DO63+DN64-DW63)))</f>
        <v>200.2</v>
      </c>
      <c r="DP64" s="138">
        <f>DO64*VLOOKUP('Données projet'!$B$14,'Paramètres'!$A$1:$I$89,3,0)*VLOOKUP('Données projet'!$B$14,'Paramètres'!$A$1:$I$89,5,0)</f>
        <v>181.14096</v>
      </c>
      <c r="DQ64" s="130">
        <f t="shared" si="44"/>
        <v>45.57593532</v>
      </c>
      <c r="DR64" s="141">
        <f t="shared" si="17"/>
        <v>394.8652594</v>
      </c>
      <c r="DS64" s="133">
        <f t="shared" si="18"/>
        <v>688.1985927</v>
      </c>
      <c r="DT64" s="133">
        <f>AVERAGE(OFFSET($DS$3,0,0,'Données projet'!$E$14+1,1))-AVERAGE(OFFSET($H$3,0,0,'Données projet'!$E$14+1,1))</f>
        <v>287.9334714</v>
      </c>
      <c r="DU64" s="133">
        <f t="shared" si="45"/>
        <v>156.6796502</v>
      </c>
      <c r="DV64" s="134">
        <f>IF(ISNA(VLOOKUP(A64,'Données projet'!$A$165:$I$185,3,0)),0,VLOOKUP(A64,'Données projet'!$A$165:$I$185,3,0))</f>
        <v>0</v>
      </c>
      <c r="DW64" s="134">
        <f>IF(ISNA(VLOOKUP(A64,'Données projet'!$A$165:$I$185,4,0)),0,VLOOKUP(A64,'Données projet'!$A$165:$I$185,4,0))</f>
        <v>0</v>
      </c>
      <c r="DX64" s="135">
        <f>IF(ISNA(VLOOKUP(A64,'Données projet'!$A$165:$I$185,5,0)),0%,VLOOKUP(A64,'Données projet'!$A$165:$I$185,5,0)*VLOOKUP('Données projet'!$B$14,'Paramètres'!$A$1:$I$89,7,0))</f>
        <v>0</v>
      </c>
      <c r="DY64" s="135">
        <f>IF(ISNA(VLOOKUP(A64,'Données projet'!$A$165:$I$185,6,0)),0%,VLOOKUP(A64,'Données projet'!$A$165:$I$185,6,0)*VLOOKUP('Données projet'!$B$14,'Paramètres'!$A$1:$I$89,7,0))</f>
        <v>0</v>
      </c>
      <c r="DZ64" s="135">
        <f>IF(ISNA(VLOOKUP(A64,'Données projet'!$A$165:$I$185,7,0)),0%,VLOOKUP(A64,'Données projet'!$A$165:$I$185,7,0))</f>
        <v>0</v>
      </c>
      <c r="EA64" s="142">
        <f>EXP(-LN(2)/35)*EA63+(1-EXP(-LN(2)/35))/(LN(2)/35)*DW64*DX64*VLOOKUP('Données projet'!$B$14,'Paramètres'!$A$1:$I$89,3,0)*0.475*44/12</f>
        <v>10.63487011</v>
      </c>
      <c r="EB64" s="142">
        <f>EXP(-LN(2)/25)*EB63+(1-EXP(-LN(2)/25))/(LN(2)/25)*Calculateur!DW64*Calculateur!DY64*VLOOKUP('Données projet'!$B$14,'Paramètres'!$A$1:$I$89,3,0)*0.475*44/12</f>
        <v>0</v>
      </c>
      <c r="EC64" s="142">
        <f>EXP(-LN(2)/2)*EC63+(1-EXP(-LN(2)/2))/(LN(2)/2)*DW64*DZ64*VLOOKUP('Données projet'!$B$14,'Paramètres'!$A$1:$I$89,3,0)*0.475*44/12</f>
        <v>0</v>
      </c>
      <c r="ED64" s="143">
        <f t="shared" si="19"/>
        <v>10.63487011</v>
      </c>
      <c r="EE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1" t="str">
        <f>VLOOKUP(A64,'Données projet'!$A$191:$I$211,2,0)</f>
        <v>#N/A</v>
      </c>
      <c r="EH64" s="131" t="str">
        <f>VLOOKUP(A64,'Données projet'!$A$191:$I$211,9,0)</f>
        <v>#N/A</v>
      </c>
      <c r="EI64" s="131">
        <f t="array" ref="EI64">INDEX(EH:EH,MIN(IF(ISNUMBER(EH64:EH260),ROW(EH64:EH260),"")))</f>
        <v>8.2</v>
      </c>
      <c r="EJ64" s="138">
        <f>IF('Données projet'!$A$192&gt;35,EJ63+EI64-ER63,IF(A64&lt;'Données projet'!$A$192,$EG$205^A64,IF(A64='Données projet'!$A$192,'Données projet'!$B$192,EJ63+EI64-ER63)))</f>
        <v>184.2</v>
      </c>
      <c r="EK64" s="138">
        <f>EJ64*VLOOKUP('Données projet'!$B$15,'Paramètres'!$A$1:$I$89,3,0)*VLOOKUP('Données projet'!$B$15,'Paramètres'!$A$1:$I$89,5,0)</f>
        <v>135.05544</v>
      </c>
      <c r="EL64" s="130">
        <f t="shared" si="46"/>
        <v>35.16191669</v>
      </c>
      <c r="EM64" s="141">
        <f t="shared" si="20"/>
        <v>296.4618962</v>
      </c>
      <c r="EN64" s="133">
        <f t="shared" si="21"/>
        <v>589.7952296</v>
      </c>
      <c r="EO64" s="133">
        <f>AVERAGE(OFFSET($EN$3,0,0,'Données projet'!$E$15+1,1))-AVERAGE(OFFSET($H$3,0,0,'Données projet'!$E$15+1,1))</f>
        <v>130.3193339</v>
      </c>
      <c r="EP64" s="133">
        <f t="shared" si="47"/>
        <v>82.22784365</v>
      </c>
      <c r="EQ64" s="134">
        <f>IF(ISNA(VLOOKUP(A64,'Données projet'!$A$191:$I$211,3,0)),0,VLOOKUP(A64,'Données projet'!$A$191:$I$211,3,0))</f>
        <v>0</v>
      </c>
      <c r="ER64" s="134">
        <f>IF(ISNA(VLOOKUP(A64,'Données projet'!$A$191:$I$211,4,0)),0,VLOOKUP(A64,'Données projet'!$A$191:$I$211,4,0))</f>
        <v>0</v>
      </c>
      <c r="ES64" s="135">
        <f>IF(ISNA(VLOOKUP(A64,'Données projet'!$A$191:$I$211,5,0)),0%,VLOOKUP(A64,'Données projet'!$A$191:$I$211,5,0)*VLOOKUP('Données projet'!$B$15,'Paramètres'!$A$1:$I$89,7,0))</f>
        <v>0</v>
      </c>
      <c r="ET64" s="135">
        <f>IF(ISNA(VLOOKUP(A64,'Données projet'!$A$191:$I$211,6,0)),0%,VLOOKUP(A64,'Données projet'!$A$191:$I$211,6,0)*VLOOKUP('Données projet'!$B$15,'Paramètres'!$A$1:$I$89,7,0))</f>
        <v>0</v>
      </c>
      <c r="EU64" s="135">
        <f>IF(ISNA(VLOOKUP(A64,'Données projet'!$A$191:$I$211,7,0)),0%,VLOOKUP(A64,'Données projet'!$A$191:$I$211,7,0))</f>
        <v>0</v>
      </c>
      <c r="EV64" s="142">
        <f>EXP(-LN(2)/35)*EV63+(1-EXP(-LN(2)/35))/(LN(2)/35)*ER64*ES64*VLOOKUP('Données projet'!$B$15,'Paramètres'!$A$1:$I$89,3,0)*0.475*44/12</f>
        <v>13.6852824</v>
      </c>
      <c r="EW64" s="142">
        <f>EXP(-LN(2)/25)*EW63+(1-EXP(-LN(2)/25))/(LN(2)/25)*Calculateur!ER64*Calculateur!ET64*VLOOKUP('Données projet'!$B$15,'Paramètres'!$A$1:$I$89,3,0)*0.475*44/12</f>
        <v>0</v>
      </c>
      <c r="EX64" s="142">
        <f>EXP(-LN(2)/2)*EX63+(1-EXP(-LN(2)/2))/(LN(2)/2)*ER64*EU64*VLOOKUP('Données projet'!$B$15,'Paramètres'!$A$1:$I$89,3,0)*0.475*44/12</f>
        <v>0</v>
      </c>
      <c r="EY64" s="143">
        <f t="shared" si="22"/>
        <v>13.6852824</v>
      </c>
      <c r="EZ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1" t="str">
        <f>VLOOKUP(A64,'Données projet'!$A$217:$I$237,2,0)</f>
        <v>#N/A</v>
      </c>
      <c r="FC64" s="131" t="str">
        <f>VLOOKUP(A64,'Données projet'!$A$217:$I$237,9,0)</f>
        <v>#N/A</v>
      </c>
      <c r="FD64" s="130">
        <f t="array" ref="FD64">INDEX(FC:FC,MIN(IF(ISNUMBER(FC64:FC260),ROW(FC64:FC260),"")))</f>
        <v>4.2</v>
      </c>
      <c r="FE64" s="130">
        <f>IF('Données projet'!$A$218&gt;35,FE63+FD64-FM63,IF(A64&lt;'Données projet'!$A$218,$FB$205^A64,IF(A64='Données projet'!$A$218,'Données projet'!$B$218,FE63+FD64-FM63)))</f>
        <v>279.2</v>
      </c>
      <c r="FF64" s="138">
        <f>FE64*VLOOKUP('Données projet'!$B$16,'Paramètres'!$A$1:$I$89,3,0)*VLOOKUP('Données projet'!$B$16,'Paramètres'!$A$1:$I$89,5,0)</f>
        <v>252.62016</v>
      </c>
      <c r="FG64" s="130">
        <f t="shared" si="48"/>
        <v>61.14666777</v>
      </c>
      <c r="FH64" s="141">
        <f t="shared" si="23"/>
        <v>546.477225</v>
      </c>
      <c r="FI64" s="133">
        <f t="shared" si="24"/>
        <v>839.8105584</v>
      </c>
      <c r="FJ64" s="133">
        <f>AVERAGE(OFFSET($FI$3,0,0,'Données projet'!$E$16+1,1))-AVERAGE(OFFSET($H$3,0,0,'Données projet'!$E$16+1,1))</f>
        <v>305.6252353</v>
      </c>
      <c r="FK64" s="133">
        <f t="shared" si="49"/>
        <v>331.397916</v>
      </c>
      <c r="FL64" s="134">
        <f>IF(ISNA(VLOOKUP(A64,'Données projet'!$A$217:$I$237,3,0)),0,VLOOKUP(A64,'Données projet'!$A$217:$I$237,3,0))</f>
        <v>0</v>
      </c>
      <c r="FM64" s="134">
        <f>IF(ISNA(VLOOKUP(A64,'Données projet'!$A$217:$I$237,4,0)),0,VLOOKUP(A64,'Données projet'!$A$217:$I$237,4,0))</f>
        <v>0</v>
      </c>
      <c r="FN64" s="135">
        <f>IF(ISNA(VLOOKUP(A64,'Données projet'!$A$217:$I$237,5,0)),0%,VLOOKUP(A64,'Données projet'!$A$217:$I$237,5,0)*VLOOKUP('Données projet'!$B$16,'Paramètres'!$A$1:$I$89,7,0))</f>
        <v>0</v>
      </c>
      <c r="FO64" s="135">
        <f>IF(ISNA(VLOOKUP(A64,'Données projet'!$A$217:$I$237,6,0)),0%,VLOOKUP(A64,'Données projet'!$A$217:$I$237,6,0)*VLOOKUP('Données projet'!$B$16,'Paramètres'!$A$1:$I$89,7,0))</f>
        <v>0</v>
      </c>
      <c r="FP64" s="135">
        <f>IF(ISNA(VLOOKUP(A64,'Données projet'!$A$217:$I$237,7,0)),0%,VLOOKUP(A64,'Données projet'!$A$217:$I$237,7,0))</f>
        <v>0</v>
      </c>
      <c r="FQ64" s="142">
        <f>EXP(-LN(2)/35)*FQ63+(1-EXP(-LN(2)/35))/(LN(2)/35)*FM64*FN64*VLOOKUP('Données projet'!$B$16,'Paramètres'!$A$1:$I$89,3,0)*0.475*44/12</f>
        <v>6.513862848</v>
      </c>
      <c r="FR64" s="142">
        <f>EXP(-LN(2)/25)*FR63+(1-EXP(-LN(2)/25))/(LN(2)/25)*Calculateur!FM64*Calculateur!FO64*VLOOKUP('Données projet'!$B$16,'Paramètres'!$A$1:$I$89,3,0)*0.475*44/12</f>
        <v>0</v>
      </c>
      <c r="FS64" s="142">
        <f>EXP(-LN(2)/2)*FS63+(1-EXP(-LN(2)/2))/(LN(2)/2)*FM64*FP64*VLOOKUP('Données projet'!$B$16,'Paramètres'!$A$1:$I$89,3,0)*0.475*44/12</f>
        <v>0</v>
      </c>
      <c r="FT64" s="143">
        <f t="shared" si="25"/>
        <v>6.513862848</v>
      </c>
      <c r="FU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1" t="str">
        <f>VLOOKUP(A64,'Données projet'!$A$243:$I$263,2,0)</f>
        <v>#N/A</v>
      </c>
      <c r="FX64" s="131" t="str">
        <f>VLOOKUP(A64,'Données projet'!$A$243:$I$263,9,0)</f>
        <v>#N/A</v>
      </c>
      <c r="FY64" s="131" t="str">
        <f t="array" ref="FY64">INDEX(FX:FX,MIN(IF(ISNUMBER(FX64:FX260),ROW(FX64:FX260),"")))</f>
        <v/>
      </c>
      <c r="FZ64" s="138">
        <f>IF('Données projet'!$A$244&gt;35,FZ63+FY64-GH63,IF(A64&lt;'Données projet'!$A$244,$FW$205^A64,IF(A64='Données projet'!$A$244,'Données projet'!$B$244,FZ63+FY64-GH63)))</f>
        <v>0</v>
      </c>
      <c r="GA64" s="138">
        <f>FZ64*VLOOKUP('Données projet'!$B$17,'Paramètres'!$A$1:$I$89,3,0)*VLOOKUP('Données projet'!$B$17,'Paramètres'!$A$1:$I$89,5,0)</f>
        <v>0</v>
      </c>
      <c r="GB64" s="130">
        <f t="shared" si="50"/>
        <v>0</v>
      </c>
      <c r="GC64" s="141">
        <f t="shared" si="26"/>
        <v>0</v>
      </c>
      <c r="GD64" s="133">
        <f t="shared" si="27"/>
        <v>293.3333333</v>
      </c>
      <c r="GE64" s="133">
        <f>AVERAGE(OFFSET($GD$3,0,0,'Données projet'!$E$17+1,1))-AVERAGE(OFFSET($H$3,0,0,'Données projet'!$E$17+1,1))</f>
        <v>118.7368745</v>
      </c>
      <c r="GF64" s="133">
        <f t="shared" si="51"/>
        <v>135.1233677</v>
      </c>
      <c r="GG64" s="134">
        <f>IF(ISNA(VLOOKUP(A64,'Données projet'!$A$243:$I$263,3,0)),0,VLOOKUP(A64,'Données projet'!$A$243:$I$263,3,0))</f>
        <v>0</v>
      </c>
      <c r="GH64" s="134">
        <f>IF(ISNA(VLOOKUP(A64,'Données projet'!$A$243:$I$263,4,0)),0,VLOOKUP(A64,'Données projet'!$A$243:$I$263,4,0))</f>
        <v>0</v>
      </c>
      <c r="GI64" s="135">
        <f>IF(ISNA(VLOOKUP(A64,'Données projet'!$A$243:$I$263,5,0)),0%,VLOOKUP(A64,'Données projet'!$A$243:$I$263,5,0)*VLOOKUP('Données projet'!$B$17,'Paramètres'!$A$1:$I$89,7,0))</f>
        <v>0</v>
      </c>
      <c r="GJ64" s="135">
        <f>IF(ISNA(VLOOKUP(A64,'Données projet'!$A$243:$I$263,6,0)),0%,VLOOKUP(A64,'Données projet'!$A$243:$I$263,6,0)*VLOOKUP('Données projet'!$B$17,'Paramètres'!$A$1:$I$89,7,0))</f>
        <v>0</v>
      </c>
      <c r="GK64" s="135">
        <f>IF(ISNA(VLOOKUP(A64,'Données projet'!$A$243:$I$263,7,0)),0%,VLOOKUP(A64,'Données projet'!$A$243:$I$263,7,0))</f>
        <v>0</v>
      </c>
      <c r="GL64" s="142">
        <f>EXP(-LN(2)/35)*GL63+(1-EXP(-LN(2)/35))/(LN(2)/35)*GH64*GI64*VLOOKUP('Données projet'!$B$17,'Paramètres'!$A$1:$I$89,3,0)*0.475*44/12</f>
        <v>101.8268826</v>
      </c>
      <c r="GM64" s="142">
        <f>EXP(-LN(2)/25)*GM63+(1-EXP(-LN(2)/25))/(LN(2)/25)*Calculateur!GH64*Calculateur!GJ64*VLOOKUP('Données projet'!$B$17,'Paramètres'!$A$1:$I$89,3,0)*0.475*44/12</f>
        <v>0</v>
      </c>
      <c r="GN64" s="142">
        <f>EXP(-LN(2)/2)*GN63+(1-EXP(-LN(2)/2))/(LN(2)/2)*GH64*GK64*VLOOKUP('Données projet'!$B$17,'Paramètres'!$A$1:$I$89,3,0)*0.475*44/12</f>
        <v>0</v>
      </c>
      <c r="GO64" s="142">
        <f t="shared" si="28"/>
        <v>101.8268826</v>
      </c>
      <c r="GP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1" t="str">
        <f>VLOOKUP(A64,'Données projet'!$A$269:$I$289,2,0)</f>
        <v>#N/A</v>
      </c>
      <c r="GS64" s="131" t="str">
        <f>VLOOKUP(A64,'Données projet'!$A$269:$I$289,9,0)</f>
        <v>#N/A</v>
      </c>
      <c r="GT64" s="131" t="str">
        <f t="array" ref="GT64">INDEX(GS:GS,MIN(IF(ISNUMBER(GS64:GS260),ROW(GS64:GS260),"")))</f>
        <v/>
      </c>
      <c r="GU64" s="138">
        <f>IF('Données projet'!$A$270&gt;35,GU63+GT64-HC63,IF(A64&lt;'Données projet'!$A$270,$GR$205^A64,IF(A64='Données projet'!$A$270,'Données projet'!$B$270,GU63+GT64-HC63)))</f>
        <v>0</v>
      </c>
      <c r="GV64" s="138">
        <f>GU64*VLOOKUP('Données projet'!$B$18,'Paramètres'!$A$1:$I$89,3,0)*VLOOKUP('Données projet'!$B$18,'Paramètres'!$A$1:$I$89,5,0)</f>
        <v>0</v>
      </c>
      <c r="GW64" s="130" t="str">
        <f t="shared" si="52"/>
        <v>#NUM!</v>
      </c>
      <c r="GX64" s="141" t="str">
        <f t="shared" si="29"/>
        <v>#NUM!</v>
      </c>
      <c r="GY64" s="133" t="str">
        <f t="shared" si="30"/>
        <v>#NUM!</v>
      </c>
      <c r="GZ64" s="133">
        <f>AVERAGE(OFFSET($GY$3,0,0,'Données projet'!$E$18+1,1))-AVERAGE(OFFSET($H$3,0,0,'Données projet'!$E$18+1,1))</f>
        <v>100.5427875</v>
      </c>
      <c r="HA64" s="133">
        <f t="shared" si="53"/>
        <v>92.28663609</v>
      </c>
      <c r="HB64" s="134">
        <f>IF(ISNA(VLOOKUP(A64,'Données projet'!$A$269:$I$289,3,0)),0,VLOOKUP(A64,'Données projet'!$A$269:$I$289,3,0))</f>
        <v>0</v>
      </c>
      <c r="HC64" s="134">
        <f>IF(ISNA(VLOOKUP(A64,'Données projet'!$A$269:$I$289,4,0)),0,VLOOKUP(A64,'Données projet'!$A$269:$I$289,4,0))</f>
        <v>0</v>
      </c>
      <c r="HD64" s="135">
        <f>IF(ISNA(VLOOKUP(A64,'Données projet'!$A$269:$I$289,5,0)),0%,VLOOKUP(A64,'Données projet'!$A$269:$I$289,5,0)*VLOOKUP('Données projet'!$B$18,'Paramètres'!$A$1:$I$89,7,0))</f>
        <v>0</v>
      </c>
      <c r="HE64" s="135">
        <f>IF(ISNA(VLOOKUP(A64,'Données projet'!$A$269:$I$289,6,0)),0%,VLOOKUP(A64,'Données projet'!$A$269:$I$289,6,0)*VLOOKUP('Données projet'!$B$18,'Paramètres'!$A$1:$I$89,7,0))</f>
        <v>0</v>
      </c>
      <c r="HF64" s="135">
        <f>IF(ISNA(VLOOKUP(A64,'Données projet'!$A$269:$I$289,7,0)),0%,VLOOKUP(A64,'Données projet'!$A$269:$I$289,7,0))</f>
        <v>0</v>
      </c>
      <c r="HG64" s="142">
        <f>EXP(-LN(2)/35)*HG63+(1-EXP(-LN(2)/35))/(LN(2)/35)*HC64*HD64*VLOOKUP('Données projet'!$B$18,'Paramètres'!$A$1:$I$89,3,0)*0.475*44/12</f>
        <v>69.34195889</v>
      </c>
      <c r="HH64" s="142">
        <f>EXP(-LN(2)/25)*HH63+(1-EXP(-LN(2)/25))/(LN(2)/25)*Calculateur!HC64*Calculateur!HE64*VLOOKUP('Données projet'!$B$18,'Paramètres'!$A$1:$I$89,3,0)*0.475*44/12</f>
        <v>0</v>
      </c>
      <c r="HI64" s="142">
        <f>EXP(-LN(2)/2)*HI63+(1-EXP(-LN(2)/2))/(LN(2)/2)*HC64*HF64*VLOOKUP('Données projet'!$B$18,'Paramètres'!$A$1:$I$89,3,0)*0.475*44/12</f>
        <v>0</v>
      </c>
      <c r="HJ64" s="143">
        <f t="shared" si="31"/>
        <v>69.34195889</v>
      </c>
    </row>
    <row r="65" ht="15.75" customHeight="1">
      <c r="A65" s="125">
        <f t="shared" si="32"/>
        <v>62</v>
      </c>
      <c r="B65" s="126">
        <f>'Scénario référence'!$B$16*5+'Scénario référence'!$B$17*0+'Scénario référence'!$B$18*5</f>
        <v>0</v>
      </c>
      <c r="C65" s="140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33.852</v>
      </c>
      <c r="D65" s="127">
        <f t="shared" si="33"/>
        <v>10.35363334</v>
      </c>
      <c r="E6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7">
        <f>IF(OR('Scénario référence'!$F$8&gt;0,'Scénario référence'!$F$9&gt;0),('Scénario référence'!$F$8+'Scénario référence'!$F$9)*10,0)</f>
        <v>10</v>
      </c>
      <c r="G65" s="127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341.2364679</v>
      </c>
      <c r="H65" s="128">
        <f t="shared" si="1"/>
        <v>370.3248114</v>
      </c>
      <c r="I65" s="12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1" t="str">
        <f>VLOOKUP(A65,'Données projet'!$A$35:$I$55,2,0)</f>
        <v>#N/A</v>
      </c>
      <c r="L65" s="131" t="str">
        <f>VLOOKUP(A65,'Données projet'!$A$35:$I$55,9,0)</f>
        <v>#N/A</v>
      </c>
      <c r="M65" s="131" t="str">
        <f t="array" ref="M65">INDEX(L:L,MIN(IF(ISNUMBER(L65:L261),ROW(L65:L261),"")))</f>
        <v/>
      </c>
      <c r="N65" s="130">
        <f>IF('Données projet'!$A$36&gt;35,N64+M65-V64,IF(A65&lt;'Données projet'!$A$36,$K$205^A65,IF(A65='Données projet'!$A$36,'Données projet'!$B$36,N64+M65-V64)))</f>
        <v>0</v>
      </c>
      <c r="O65" s="130">
        <f>N65*VLOOKUP('Données projet'!$B$9,'Paramètres'!$A$1:$I$89,3,0)*VLOOKUP('Données projet'!$B$9,'Paramètres'!$A$1:$I$89,5,0)</f>
        <v>0</v>
      </c>
      <c r="P65" s="130">
        <f t="shared" si="34"/>
        <v>0</v>
      </c>
      <c r="Q65" s="141">
        <f t="shared" si="2"/>
        <v>0</v>
      </c>
      <c r="R65" s="133">
        <f t="shared" si="3"/>
        <v>293.3333333</v>
      </c>
      <c r="S65" s="133">
        <f>AVERAGE(OFFSET($R$3,0,0,'Données projet'!$E$9+1,1))-AVERAGE(OFFSET($H$3,0,0,'Données projet'!$E$9+1,1))</f>
        <v>126.9946492</v>
      </c>
      <c r="T65" s="133">
        <f t="shared" si="35"/>
        <v>140.039049</v>
      </c>
      <c r="U65" s="134">
        <f>IF(ISNA(VLOOKUP(A65,'Données projet'!$A$35:$I$55,3,0)),0,VLOOKUP(A65,'Données projet'!$A$35:$I$55,3,0))</f>
        <v>0</v>
      </c>
      <c r="V65" s="134">
        <f>IF(ISNA(VLOOKUP(A65,'Données projet'!$A$35:$I$55,4,0)),0,VLOOKUP(A65,'Données projet'!$A$35:$I$55,4,0))</f>
        <v>0</v>
      </c>
      <c r="W65" s="135">
        <f>IF(ISNA(VLOOKUP(A65,'Données projet'!$A$35:$I$55,5,0)),0%,VLOOKUP(A65,'Données projet'!$A$35:$I$55,5,0)*VLOOKUP('Données projet'!$B$9,'Paramètres'!$A$1:$I$89,7,0))</f>
        <v>0</v>
      </c>
      <c r="X65" s="135">
        <f>IF(ISNA(VLOOKUP(A65,'Données projet'!$A$35:$I$55,6,0)),0%,VLOOKUP(A65,'Données projet'!$A$35:$I$55,6,0)*VLOOKUP('Données projet'!$B$9,'Paramètres'!$A$1:$I$89,7,0))</f>
        <v>0</v>
      </c>
      <c r="Y65" s="135">
        <f>IF(ISNA(VLOOKUP(A65,'Données projet'!$A$35:$I$55,7,0)),0%,VLOOKUP(A65,'Données projet'!$A$35:$I$55,7,0))</f>
        <v>0</v>
      </c>
      <c r="Z65" s="142">
        <f>EXP(-LN(2)/35)*Z64+(1-EXP(-LN(2)/35))/(LN(2)/35)*V65*W65*VLOOKUP('Données projet'!$B$9,'Paramètres'!$A$1:$I$89,3,0)*0.475*44/12</f>
        <v>102.1039898</v>
      </c>
      <c r="AA65" s="142">
        <f>EXP(-LN(2)/25)*AA64+(1-EXP(-LN(2)/25))/(LN(2)/25)*Calculateur!V65*Calculateur!X65*VLOOKUP('Données projet'!$B$9,'Paramètres'!$A$1:$I$89,3,0)*0.475*44/12</f>
        <v>21.98510007</v>
      </c>
      <c r="AB65" s="142">
        <f>EXP(-LN(2)/2)*AB64+(1-EXP(-LN(2)/2))/(LN(2)/2)*V65*Y65*VLOOKUP('Données projet'!$B$9,'Paramètres'!$A$1:$I$89,3,0)*0.475*44/12</f>
        <v>9.494685605</v>
      </c>
      <c r="AC65" s="143">
        <f t="shared" si="4"/>
        <v>133.5837754</v>
      </c>
      <c r="AD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1" t="str">
        <f>VLOOKUP(A65,'Données projet'!$A$61:$I$81,2,0)</f>
        <v>#N/A</v>
      </c>
      <c r="AG65" s="131" t="str">
        <f>VLOOKUP(A65,'Données projet'!$A$61:$I$81,9,0)</f>
        <v>#N/A</v>
      </c>
      <c r="AH65" s="131" t="str">
        <f t="array" ref="AH65">INDEX(AG:AG,MIN(IF(ISNUMBER(AG65:AG261),ROW(AG65:AG261),"")))</f>
        <v/>
      </c>
      <c r="AI65" s="130">
        <f>IF('Données projet'!$A$62&gt;35,AI64+AH65-AQ64,IF(A65&lt;'Données projet'!$A$62,$AF$205^A65,IF(A65='Données projet'!$A$62,'Données projet'!$B$62,AI64+AH65-AQ64)))</f>
        <v>0</v>
      </c>
      <c r="AJ65" s="130">
        <f>AI65*VLOOKUP('Données projet'!$B$10,'Paramètres'!$A$1:$I$89,3,0)*VLOOKUP('Données projet'!$B$10,'Paramètres'!$A$1:$I$89,5,0)</f>
        <v>0</v>
      </c>
      <c r="AK65" s="130" t="str">
        <f t="shared" si="36"/>
        <v>#NUM!</v>
      </c>
      <c r="AL65" s="141" t="str">
        <f t="shared" si="5"/>
        <v>#NUM!</v>
      </c>
      <c r="AM65" s="133" t="str">
        <f t="shared" si="6"/>
        <v>#NUM!</v>
      </c>
      <c r="AN65" s="133">
        <f>AVERAGE(OFFSET($AM$3,0,0,'Données projet'!$E$10+1,1))-AVERAGE(OFFSET($H$3,0,0,'Données projet'!$E$10+1,1))</f>
        <v>196.874484</v>
      </c>
      <c r="AO65" s="133">
        <f t="shared" si="37"/>
        <v>217.5750859</v>
      </c>
      <c r="AP65" s="134">
        <f>IF(ISNA(VLOOKUP(A65,'Données projet'!$A$61:$I$81,3,0)),0,VLOOKUP(A65,'Données projet'!$A$61:$I$81,3,0))</f>
        <v>0</v>
      </c>
      <c r="AQ65" s="134">
        <f>IF(ISNA(VLOOKUP(A65,'Données projet'!$A$61:$I$81,4,0)),0,VLOOKUP(A65,'Données projet'!$A$61:$I$81,4,0))</f>
        <v>0</v>
      </c>
      <c r="AR65" s="135">
        <f>IF(ISNA(VLOOKUP(A65,'Données projet'!$A$61:$I$81,5,0)),0%,VLOOKUP(A65,'Données projet'!$A$61:$I$81,5,0)*VLOOKUP('Données projet'!$B$10,'Paramètres'!$A$1:$I$89,7,0))</f>
        <v>0</v>
      </c>
      <c r="AS65" s="135">
        <f>IF(ISNA(VLOOKUP(A65,'Données projet'!$A$61:$I$81,6,0)),0%,VLOOKUP(A65,'Données projet'!$A$61:$I$81,6,0)*VLOOKUP('Données projet'!$B$10,'Paramètres'!$A$1:$I$89,7,0))</f>
        <v>0</v>
      </c>
      <c r="AT65" s="135">
        <f>IF(ISNA(VLOOKUP(A65,'Données projet'!$A$61:$I$81,7,0)),0%,VLOOKUP(A65,'Données projet'!$A$61:$I$81,7,0))</f>
        <v>0</v>
      </c>
      <c r="AU65" s="142">
        <f>EXP(-LN(2)/35)*AU64+(1-EXP(-LN(2)/35))/(LN(2)/35)*AQ65*AR65*VLOOKUP('Données projet'!$B$10,'Paramètres'!$A$1:$I$89,3,0)*0.475*44/12</f>
        <v>141.9216456</v>
      </c>
      <c r="AV65" s="142">
        <f>EXP(-LN(2)/25)*AV64+(1-EXP(-LN(2)/25))/(LN(2)/25)*Calculateur!AQ65*Calculateur!AS65*VLOOKUP('Données projet'!$B$10,'Paramètres'!$A$1:$I$89,3,0)*0.475*44/12</f>
        <v>33.80212072</v>
      </c>
      <c r="AW65" s="142">
        <f>EXP(-LN(2)/2)*AW64+(1-EXP(-LN(2)/2))/(LN(2)/2)*AQ65*AT65*VLOOKUP('Données projet'!$B$10,'Paramètres'!$A$1:$I$89,3,0)*0.475*44/12</f>
        <v>13.23758521</v>
      </c>
      <c r="AX65" s="142">
        <f t="shared" si="7"/>
        <v>188.9613515</v>
      </c>
      <c r="AY65" s="13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1" t="str">
        <f>VLOOKUP(A65,'Données projet'!$A$87:$I$107,2,0)</f>
        <v>#N/A</v>
      </c>
      <c r="BB65" s="131" t="str">
        <f>VLOOKUP(A65,'Données projet'!$A$87:$I$107,9,0)</f>
        <v>#N/A</v>
      </c>
      <c r="BC65" s="130">
        <f t="array" ref="BC65">INDEX(BB:BB,MIN(IF(ISNUMBER(BB65:BB261),ROW(BB65:BB261),"")))</f>
        <v>13</v>
      </c>
      <c r="BD65" s="130">
        <f>IF('Données projet'!$A$88&gt;35,BD64+BC65-BL64,IF(A65&lt;'Données projet'!$A$88,$BA$205^A65,IF(A65='Données projet'!$A$88,'Données projet'!$B$88,BD64+BC65-BL64)))</f>
        <v>366</v>
      </c>
      <c r="BE65" s="130">
        <f>BD65*VLOOKUP('Données projet'!$B$11,'Paramètres'!$A$1:$I$89,3,0)*VLOOKUP('Données projet'!$B$11,'Paramètres'!$A$1:$I$89,5,0)</f>
        <v>171.288</v>
      </c>
      <c r="BF65" s="130">
        <f t="shared" si="38"/>
        <v>43.3783659</v>
      </c>
      <c r="BG65" s="141">
        <f t="shared" si="8"/>
        <v>373.8772539</v>
      </c>
      <c r="BH65" s="133">
        <f t="shared" si="9"/>
        <v>667.2105873</v>
      </c>
      <c r="BI65" s="133">
        <f>AVERAGE(OFFSET($BH$3,0,0,'Données projet'!$E$11+1,1))-AVERAGE(OFFSET($H$3,0,0,'Données projet'!$E$11+1,1))</f>
        <v>134.0948534</v>
      </c>
      <c r="BJ65" s="133">
        <f t="shared" si="39"/>
        <v>108.4102536</v>
      </c>
      <c r="BK65" s="134">
        <f>IF(ISNA(VLOOKUP(A65,'Données projet'!$A$87:$I$107,3,0)),0,VLOOKUP(A65,'Données projet'!$A$87:$I$107,3,0))</f>
        <v>0</v>
      </c>
      <c r="BL65" s="134">
        <f>IF(ISNA(VLOOKUP(A65,'Données projet'!$A$87:$I$107,4,0)),0,VLOOKUP(A65,'Données projet'!$A$87:$I$107,4,0))</f>
        <v>0</v>
      </c>
      <c r="BM65" s="135">
        <f>IF(ISNA(VLOOKUP(A65,'Données projet'!$A$87:$I$107,5,0)),0%,VLOOKUP(A65,'Données projet'!$A$87:$I$107,5,0)*VLOOKUP('Données projet'!$B$11,'Paramètres'!$A$1:$I$89,7,0))</f>
        <v>0</v>
      </c>
      <c r="BN65" s="135">
        <f>IF(ISNA(VLOOKUP(A65,'Données projet'!$A$87:$I$107,6,0)),0%,VLOOKUP(A65,'Données projet'!$A$87:$I$107,6,0)*VLOOKUP('Données projet'!$B$11,'Paramètres'!$A$1:$I$89,7,0))</f>
        <v>0</v>
      </c>
      <c r="BO65" s="135">
        <f>IF(ISNA(VLOOKUP(A65,'Données projet'!$A$87:$I$107,7,0)),0%,VLOOKUP(A65,'Données projet'!$A$87:$I$107,7,0))</f>
        <v>0</v>
      </c>
      <c r="BP65" s="142">
        <f>EXP(-LN(2)/35)*BP64+(1-EXP(-LN(2)/35))/(LN(2)/35)*BL65*BM65*VLOOKUP('Données projet'!$B$11,'Paramètres'!$A$1:$I$89,3,0)*0.475*44/12</f>
        <v>27.07150364</v>
      </c>
      <c r="BQ65" s="142">
        <f>EXP(-LN(2)/25)*BQ64+(1-EXP(-LN(2)/25))/(LN(2)/25)*Calculateur!BL65*Calculateur!BN65*VLOOKUP('Données projet'!$B$11,'Paramètres'!$A$1:$I$89,3,0)*0.475*44/12</f>
        <v>10.14762568</v>
      </c>
      <c r="BR65" s="142">
        <f>EXP(-LN(2)/2)*BR64+(1-EXP(-LN(2)/2))/(LN(2)/2)*BL65*BO65*VLOOKUP('Données projet'!$B$11,'Paramètres'!$A$1:$I$89,3,0)*0.475*44/12</f>
        <v>1.242134637</v>
      </c>
      <c r="BS65" s="143">
        <f t="shared" si="10"/>
        <v>38.46126395</v>
      </c>
      <c r="BT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1" t="str">
        <f>VLOOKUP(A65,'Données projet'!$A$113:$I$133,2,0)</f>
        <v>#N/A</v>
      </c>
      <c r="BW65" s="131" t="str">
        <f>VLOOKUP(A65,'Données projet'!$A$113:$I$133,9,0)</f>
        <v>#N/A</v>
      </c>
      <c r="BX65" s="131" t="str">
        <f t="array" ref="BX65">INDEX(BW:BW,MIN(IF(ISNUMBER(BW65:BW261),ROW(BW65:BW261),"")))</f>
        <v/>
      </c>
      <c r="BY65" s="130">
        <f>IF('Données projet'!$A$114&gt;35,BY64+BX65-CG64,IF(A65&lt;'Données projet'!$A$114,$BV$205^A65,IF(A65='Données projet'!$A$114,'Données projet'!$B$114,BY64+BX65-CG64)))</f>
        <v>0</v>
      </c>
      <c r="BZ65" s="130">
        <f>BY65*VLOOKUP('Données projet'!$B$12,'Paramètres'!$A$1:$I$89,3,0)*VLOOKUP('Données projet'!$B$12,'Paramètres'!$A$1:$I$89,5,0)</f>
        <v>0</v>
      </c>
      <c r="CA65" s="130" t="str">
        <f t="shared" si="40"/>
        <v>#NUM!</v>
      </c>
      <c r="CB65" s="141" t="str">
        <f t="shared" si="11"/>
        <v>#NUM!</v>
      </c>
      <c r="CC65" s="133" t="str">
        <f t="shared" si="12"/>
        <v>#NUM!</v>
      </c>
      <c r="CD65" s="133">
        <f>AVERAGE(OFFSET($CC$3,0,0,'Données projet'!$E$12+1,1))-AVERAGE(OFFSET($H$3,0,0,'Données projet'!$E$12+1,1))</f>
        <v>258.1672054</v>
      </c>
      <c r="CE65" s="133">
        <f t="shared" si="41"/>
        <v>296.0724261</v>
      </c>
      <c r="CF65" s="134">
        <f>IF(ISNA(VLOOKUP(A65,'Données projet'!$A$113:$I$133,3,0)),0,VLOOKUP(A65,'Données projet'!$A$113:$I$133,3,0))</f>
        <v>0</v>
      </c>
      <c r="CG65" s="134">
        <f>IF(ISNA(VLOOKUP(A65,'Données projet'!$A$113:$I$133,4,0)),0,VLOOKUP(A65,'Données projet'!$A$113:$I$133,4,0))</f>
        <v>0</v>
      </c>
      <c r="CH65" s="135">
        <f>IF(ISNA(VLOOKUP(A65,'Données projet'!$A$113:$I$133,5,0)),0%,VLOOKUP(A65,'Données projet'!$A$113:$I$133,5,0)*VLOOKUP('Données projet'!$B$12,'Paramètres'!$A$1:$I$89,7,0))</f>
        <v>0</v>
      </c>
      <c r="CI65" s="135">
        <f>IF(ISNA(VLOOKUP(A65,'Données projet'!$A$113:$I$133,6,0)),0%,VLOOKUP(A65,'Données projet'!$A$113:$I$133,6,0)*VLOOKUP('Données projet'!$B$12,'Paramètres'!$A$1:$I$89,7,0))</f>
        <v>0</v>
      </c>
      <c r="CJ65" s="135">
        <f>IF(ISNA(VLOOKUP(A65,'Données projet'!$A$113:$I$133,7,0)),0%,VLOOKUP(A65,'Données projet'!$A$113:$I$133,7,0))</f>
        <v>0</v>
      </c>
      <c r="CK65" s="142">
        <f>EXP(-LN(2)/35)*CK64+(1-EXP(-LN(2)/35))/(LN(2)/35)*CG65*CH65*VLOOKUP('Données projet'!$B$12,'Paramètres'!$A$1:$I$89,3,0)*0.475*44/12</f>
        <v>248.1884861</v>
      </c>
      <c r="CL65" s="142">
        <f>EXP(-LN(2)/25)*CL64+(1-EXP(-LN(2)/25))/(LN(2)/25)*Calculateur!CG65*Calculateur!CI65*VLOOKUP('Données projet'!$B$12,'Paramètres'!$A$1:$I$89,3,0)*0.475*44/12</f>
        <v>37.40071189</v>
      </c>
      <c r="CM65" s="142">
        <f>EXP(-LN(2)/2)*CM64+(1-EXP(-LN(2)/2))/(LN(2)/2)*CG65*CJ65*VLOOKUP('Données projet'!$B$12,'Paramètres'!$A$1:$I$89,3,0)*0.475*44/12</f>
        <v>7.43870209</v>
      </c>
      <c r="CN65" s="143">
        <f t="shared" si="13"/>
        <v>293.0279</v>
      </c>
      <c r="CO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1" t="str">
        <f>VLOOKUP(A65,'Données projet'!$A$139:$I$159,2,0)</f>
        <v>#N/A</v>
      </c>
      <c r="CR65" s="131" t="str">
        <f>VLOOKUP(A65,'Données projet'!$A$139:$I$159,9,0)</f>
        <v>#N/A</v>
      </c>
      <c r="CS65" s="130">
        <f t="array" ref="CS65">INDEX(CR:CR,MIN(IF(ISNUMBER(CR65:CR261),ROW(CR65:CR261),"")))</f>
        <v>5.4</v>
      </c>
      <c r="CT65" s="138">
        <f>IF('Données projet'!$A$140&gt;35,CT64+CS65-DB64,IF(A65&lt;'Données projet'!$A$140,$CQ$205^A65,IF(A65='Données projet'!$A$140,'Données projet'!$B$140,CT64+CS65-DB64)))</f>
        <v>144.8</v>
      </c>
      <c r="CU65" s="138">
        <f>CT65*VLOOKUP('Données projet'!$B$13,'Paramètres'!$A$1:$I$89,3,0)*VLOOKUP('Données projet'!$B$13,'Paramètres'!$A$1:$I$89,5,0)</f>
        <v>146.8272</v>
      </c>
      <c r="CV65" s="130">
        <f t="shared" si="42"/>
        <v>37.85666075</v>
      </c>
      <c r="CW65" s="141">
        <f t="shared" si="14"/>
        <v>321.6577241</v>
      </c>
      <c r="CX65" s="133">
        <f t="shared" si="15"/>
        <v>614.9910575</v>
      </c>
      <c r="CY65" s="133">
        <f>AVERAGE(OFFSET($CX$3,0,0,'Données projet'!$E$13+1,1))-AVERAGE(OFFSET($H$3,0,0,'Données projet'!$E$13+1,1))</f>
        <v>223.783507</v>
      </c>
      <c r="CZ65" s="133">
        <f t="shared" si="43"/>
        <v>84.92349117</v>
      </c>
      <c r="DA65" s="134">
        <f>IF(ISNA(VLOOKUP(A65,'Données projet'!$A$139:$I$159,3,0)),0,VLOOKUP(A65,'Données projet'!$A$139:$I$159,3,0))</f>
        <v>0</v>
      </c>
      <c r="DB65" s="134">
        <f>IF(ISNA(VLOOKUP(A65,'Données projet'!$A$139:$I$159,4,0)),0,VLOOKUP(A65,'Données projet'!$A$139:$I$159,4,0))</f>
        <v>0</v>
      </c>
      <c r="DC65" s="135">
        <f>IF(ISNA(VLOOKUP(A65,'Données projet'!$A$139:$I$159,5,0)),0%,VLOOKUP(A65,'Données projet'!$A$139:$I$159,5,0)*VLOOKUP('Données projet'!$B$13,'Paramètres'!$A$1:$I$89,7,0))</f>
        <v>0</v>
      </c>
      <c r="DD65" s="135">
        <f>IF(ISNA(VLOOKUP(A65,'Données projet'!$A$139:$I$159,6,0)),0%,VLOOKUP(A65,'Données projet'!$A$139:$I$159,6,0)*VLOOKUP('Données projet'!$B$13,'Paramètres'!$A$1:$I$89,7,0))</f>
        <v>0</v>
      </c>
      <c r="DE65" s="135">
        <f>IF(ISNA(VLOOKUP(A65,'Données projet'!$A$139:$I$159,7,0)),0%,VLOOKUP(A65,'Données projet'!$A$139:$I$159,7,0))</f>
        <v>0</v>
      </c>
      <c r="DF65" s="142">
        <f>EXP(-LN(2)/35)*DF64+(1-EXP(-LN(2)/35))/(LN(2)/35)*DB65*DC65*VLOOKUP('Données projet'!$B$13,'Paramètres'!$A$1:$I$89,3,0)*0.475*44/12</f>
        <v>5.736150306</v>
      </c>
      <c r="DG65" s="142">
        <f>EXP(-LN(2)/25)*DG64+(1-EXP(-LN(2)/25))/(LN(2)/25)*Calculateur!DB65*Calculateur!DD65*VLOOKUP('Données projet'!$B$13,'Paramètres'!$A$1:$I$89,3,0)*0.475*44/12</f>
        <v>0</v>
      </c>
      <c r="DH65" s="142">
        <f>EXP(-LN(2)/2)*DH64+(1-EXP(-LN(2)/2))/(LN(2)/2)*DB65*DE65*VLOOKUP('Données projet'!$B$13,'Paramètres'!$A$1:$I$89,3,0)*0.475*44/12</f>
        <v>0</v>
      </c>
      <c r="DI65" s="143">
        <f t="shared" si="16"/>
        <v>5.736150306</v>
      </c>
      <c r="DJ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1" t="str">
        <f>VLOOKUP(A65,'Données projet'!$A$165:$I$185,2,0)</f>
        <v>#N/A</v>
      </c>
      <c r="DM65" s="131" t="str">
        <f>VLOOKUP(A65,'Données projet'!$A$165:$I$185,9,0)</f>
        <v>#N/A</v>
      </c>
      <c r="DN65" s="131">
        <f t="array" ref="DN65">INDEX(DM:DM,MIN(IF(ISNUMBER(DM65:DM261),ROW(DM65:DM261),"")))</f>
        <v>7.2</v>
      </c>
      <c r="DO65" s="138">
        <f>IF('Données projet'!$A$166&gt;35,DO64+DN65-DW64,IF(A65&lt;'Données projet'!$A$166,$DL$205^A65,IF(A65='Données projet'!$A$166,'Données projet'!$B$166,DO64+DN65-DW64)))</f>
        <v>207.4</v>
      </c>
      <c r="DP65" s="138">
        <f>DO65*VLOOKUP('Données projet'!$B$14,'Paramètres'!$A$1:$I$89,3,0)*VLOOKUP('Données projet'!$B$14,'Paramètres'!$A$1:$I$89,5,0)</f>
        <v>187.65552</v>
      </c>
      <c r="DQ65" s="130">
        <f t="shared" si="44"/>
        <v>47.02124765</v>
      </c>
      <c r="DR65" s="141">
        <f t="shared" si="17"/>
        <v>408.7287037</v>
      </c>
      <c r="DS65" s="133">
        <f t="shared" si="18"/>
        <v>702.062037</v>
      </c>
      <c r="DT65" s="133">
        <f>AVERAGE(OFFSET($DS$3,0,0,'Données projet'!$E$14+1,1))-AVERAGE(OFFSET($H$3,0,0,'Données projet'!$E$14+1,1))</f>
        <v>287.9334714</v>
      </c>
      <c r="DU65" s="133">
        <f t="shared" si="45"/>
        <v>156.6796502</v>
      </c>
      <c r="DV65" s="134">
        <f>IF(ISNA(VLOOKUP(A65,'Données projet'!$A$165:$I$185,3,0)),0,VLOOKUP(A65,'Données projet'!$A$165:$I$185,3,0))</f>
        <v>0</v>
      </c>
      <c r="DW65" s="134">
        <f>IF(ISNA(VLOOKUP(A65,'Données projet'!$A$165:$I$185,4,0)),0,VLOOKUP(A65,'Données projet'!$A$165:$I$185,4,0))</f>
        <v>0</v>
      </c>
      <c r="DX65" s="135">
        <f>IF(ISNA(VLOOKUP(A65,'Données projet'!$A$165:$I$185,5,0)),0%,VLOOKUP(A65,'Données projet'!$A$165:$I$185,5,0)*VLOOKUP('Données projet'!$B$14,'Paramètres'!$A$1:$I$89,7,0))</f>
        <v>0</v>
      </c>
      <c r="DY65" s="135">
        <f>IF(ISNA(VLOOKUP(A65,'Données projet'!$A$165:$I$185,6,0)),0%,VLOOKUP(A65,'Données projet'!$A$165:$I$185,6,0)*VLOOKUP('Données projet'!$B$14,'Paramètres'!$A$1:$I$89,7,0))</f>
        <v>0</v>
      </c>
      <c r="DZ65" s="135">
        <f>IF(ISNA(VLOOKUP(A65,'Données projet'!$A$165:$I$185,7,0)),0%,VLOOKUP(A65,'Données projet'!$A$165:$I$185,7,0))</f>
        <v>0</v>
      </c>
      <c r="EA65" s="142">
        <f>EXP(-LN(2)/35)*EA64+(1-EXP(-LN(2)/35))/(LN(2)/35)*DW65*DX65*VLOOKUP('Données projet'!$B$14,'Paramètres'!$A$1:$I$89,3,0)*0.475*44/12</f>
        <v>10.4263268</v>
      </c>
      <c r="EB65" s="142">
        <f>EXP(-LN(2)/25)*EB64+(1-EXP(-LN(2)/25))/(LN(2)/25)*Calculateur!DW65*Calculateur!DY65*VLOOKUP('Données projet'!$B$14,'Paramètres'!$A$1:$I$89,3,0)*0.475*44/12</f>
        <v>0</v>
      </c>
      <c r="EC65" s="142">
        <f>EXP(-LN(2)/2)*EC64+(1-EXP(-LN(2)/2))/(LN(2)/2)*DW65*DZ65*VLOOKUP('Données projet'!$B$14,'Paramètres'!$A$1:$I$89,3,0)*0.475*44/12</f>
        <v>0</v>
      </c>
      <c r="ED65" s="143">
        <f t="shared" si="19"/>
        <v>10.4263268</v>
      </c>
      <c r="EE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1" t="str">
        <f>VLOOKUP(A65,'Données projet'!$A$191:$I$211,2,0)</f>
        <v>#N/A</v>
      </c>
      <c r="EH65" s="131" t="str">
        <f>VLOOKUP(A65,'Données projet'!$A$191:$I$211,9,0)</f>
        <v>#N/A</v>
      </c>
      <c r="EI65" s="131">
        <f t="array" ref="EI65">INDEX(EH:EH,MIN(IF(ISNUMBER(EH65:EH261),ROW(EH65:EH261),"")))</f>
        <v>8.2</v>
      </c>
      <c r="EJ65" s="138">
        <f>IF('Données projet'!$A$192&gt;35,EJ64+EI65-ER64,IF(A65&lt;'Données projet'!$A$192,$EG$205^A65,IF(A65='Données projet'!$A$192,'Données projet'!$B$192,EJ64+EI65-ER64)))</f>
        <v>192.4</v>
      </c>
      <c r="EK65" s="138">
        <f>EJ65*VLOOKUP('Données projet'!$B$15,'Paramètres'!$A$1:$I$89,3,0)*VLOOKUP('Données projet'!$B$15,'Paramètres'!$A$1:$I$89,5,0)</f>
        <v>141.06768</v>
      </c>
      <c r="EL65" s="130">
        <f t="shared" si="46"/>
        <v>36.54148774</v>
      </c>
      <c r="EM65" s="141">
        <f t="shared" si="20"/>
        <v>309.3359671</v>
      </c>
      <c r="EN65" s="133">
        <f t="shared" si="21"/>
        <v>602.6693005</v>
      </c>
      <c r="EO65" s="133">
        <f>AVERAGE(OFFSET($EN$3,0,0,'Données projet'!$E$15+1,1))-AVERAGE(OFFSET($H$3,0,0,'Données projet'!$E$15+1,1))</f>
        <v>130.3193339</v>
      </c>
      <c r="EP65" s="133">
        <f t="shared" si="47"/>
        <v>82.22784365</v>
      </c>
      <c r="EQ65" s="134">
        <f>IF(ISNA(VLOOKUP(A65,'Données projet'!$A$191:$I$211,3,0)),0,VLOOKUP(A65,'Données projet'!$A$191:$I$211,3,0))</f>
        <v>0</v>
      </c>
      <c r="ER65" s="134">
        <f>IF(ISNA(VLOOKUP(A65,'Données projet'!$A$191:$I$211,4,0)),0,VLOOKUP(A65,'Données projet'!$A$191:$I$211,4,0))</f>
        <v>0</v>
      </c>
      <c r="ES65" s="135">
        <f>IF(ISNA(VLOOKUP(A65,'Données projet'!$A$191:$I$211,5,0)),0%,VLOOKUP(A65,'Données projet'!$A$191:$I$211,5,0)*VLOOKUP('Données projet'!$B$15,'Paramètres'!$A$1:$I$89,7,0))</f>
        <v>0</v>
      </c>
      <c r="ET65" s="135">
        <f>IF(ISNA(VLOOKUP(A65,'Données projet'!$A$191:$I$211,6,0)),0%,VLOOKUP(A65,'Données projet'!$A$191:$I$211,6,0)*VLOOKUP('Données projet'!$B$15,'Paramètres'!$A$1:$I$89,7,0))</f>
        <v>0</v>
      </c>
      <c r="EU65" s="135">
        <f>IF(ISNA(VLOOKUP(A65,'Données projet'!$A$191:$I$211,7,0)),0%,VLOOKUP(A65,'Données projet'!$A$191:$I$211,7,0))</f>
        <v>0</v>
      </c>
      <c r="EV65" s="142">
        <f>EXP(-LN(2)/35)*EV64+(1-EXP(-LN(2)/35))/(LN(2)/35)*ER65*ES65*VLOOKUP('Données projet'!$B$15,'Paramètres'!$A$1:$I$89,3,0)*0.475*44/12</f>
        <v>13.41692236</v>
      </c>
      <c r="EW65" s="142">
        <f>EXP(-LN(2)/25)*EW64+(1-EXP(-LN(2)/25))/(LN(2)/25)*Calculateur!ER65*Calculateur!ET65*VLOOKUP('Données projet'!$B$15,'Paramètres'!$A$1:$I$89,3,0)*0.475*44/12</f>
        <v>0</v>
      </c>
      <c r="EX65" s="142">
        <f>EXP(-LN(2)/2)*EX64+(1-EXP(-LN(2)/2))/(LN(2)/2)*ER65*EU65*VLOOKUP('Données projet'!$B$15,'Paramètres'!$A$1:$I$89,3,0)*0.475*44/12</f>
        <v>0</v>
      </c>
      <c r="EY65" s="143">
        <f t="shared" si="22"/>
        <v>13.41692236</v>
      </c>
      <c r="EZ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1" t="str">
        <f>VLOOKUP(A65,'Données projet'!$A$217:$I$237,2,0)</f>
        <v>#N/A</v>
      </c>
      <c r="FC65" s="131" t="str">
        <f>VLOOKUP(A65,'Données projet'!$A$217:$I$237,9,0)</f>
        <v>#N/A</v>
      </c>
      <c r="FD65" s="130">
        <f t="array" ref="FD65">INDEX(FC:FC,MIN(IF(ISNUMBER(FC65:FC261),ROW(FC65:FC261),"")))</f>
        <v>4.2</v>
      </c>
      <c r="FE65" s="130">
        <f>IF('Données projet'!$A$218&gt;35,FE64+FD65-FM64,IF(A65&lt;'Données projet'!$A$218,$FB$205^A65,IF(A65='Données projet'!$A$218,'Données projet'!$B$218,FE64+FD65-FM64)))</f>
        <v>283.4</v>
      </c>
      <c r="FF65" s="138">
        <f>FE65*VLOOKUP('Données projet'!$B$16,'Paramètres'!$A$1:$I$89,3,0)*VLOOKUP('Données projet'!$B$16,'Paramètres'!$A$1:$I$89,5,0)</f>
        <v>256.42032</v>
      </c>
      <c r="FG65" s="130">
        <f t="shared" si="48"/>
        <v>61.95872026</v>
      </c>
      <c r="FH65" s="141">
        <f t="shared" si="23"/>
        <v>554.5101618</v>
      </c>
      <c r="FI65" s="133">
        <f t="shared" si="24"/>
        <v>847.8434951</v>
      </c>
      <c r="FJ65" s="133">
        <f>AVERAGE(OFFSET($FI$3,0,0,'Données projet'!$E$16+1,1))-AVERAGE(OFFSET($H$3,0,0,'Données projet'!$E$16+1,1))</f>
        <v>305.6252353</v>
      </c>
      <c r="FK65" s="133">
        <f t="shared" si="49"/>
        <v>331.397916</v>
      </c>
      <c r="FL65" s="134">
        <f>IF(ISNA(VLOOKUP(A65,'Données projet'!$A$217:$I$237,3,0)),0,VLOOKUP(A65,'Données projet'!$A$217:$I$237,3,0))</f>
        <v>0</v>
      </c>
      <c r="FM65" s="134">
        <f>IF(ISNA(VLOOKUP(A65,'Données projet'!$A$217:$I$237,4,0)),0,VLOOKUP(A65,'Données projet'!$A$217:$I$237,4,0))</f>
        <v>0</v>
      </c>
      <c r="FN65" s="135">
        <f>IF(ISNA(VLOOKUP(A65,'Données projet'!$A$217:$I$237,5,0)),0%,VLOOKUP(A65,'Données projet'!$A$217:$I$237,5,0)*VLOOKUP('Données projet'!$B$16,'Paramètres'!$A$1:$I$89,7,0))</f>
        <v>0</v>
      </c>
      <c r="FO65" s="135">
        <f>IF(ISNA(VLOOKUP(A65,'Données projet'!$A$217:$I$237,6,0)),0%,VLOOKUP(A65,'Données projet'!$A$217:$I$237,6,0)*VLOOKUP('Données projet'!$B$16,'Paramètres'!$A$1:$I$89,7,0))</f>
        <v>0</v>
      </c>
      <c r="FP65" s="135">
        <f>IF(ISNA(VLOOKUP(A65,'Données projet'!$A$217:$I$237,7,0)),0%,VLOOKUP(A65,'Données projet'!$A$217:$I$237,7,0))</f>
        <v>0</v>
      </c>
      <c r="FQ65" s="142">
        <f>EXP(-LN(2)/35)*FQ64+(1-EXP(-LN(2)/35))/(LN(2)/35)*FM65*FN65*VLOOKUP('Données projet'!$B$16,'Paramètres'!$A$1:$I$89,3,0)*0.475*44/12</f>
        <v>6.386129971</v>
      </c>
      <c r="FR65" s="142">
        <f>EXP(-LN(2)/25)*FR64+(1-EXP(-LN(2)/25))/(LN(2)/25)*Calculateur!FM65*Calculateur!FO65*VLOOKUP('Données projet'!$B$16,'Paramètres'!$A$1:$I$89,3,0)*0.475*44/12</f>
        <v>0</v>
      </c>
      <c r="FS65" s="142">
        <f>EXP(-LN(2)/2)*FS64+(1-EXP(-LN(2)/2))/(LN(2)/2)*FM65*FP65*VLOOKUP('Données projet'!$B$16,'Paramètres'!$A$1:$I$89,3,0)*0.475*44/12</f>
        <v>0</v>
      </c>
      <c r="FT65" s="143">
        <f t="shared" si="25"/>
        <v>6.386129971</v>
      </c>
      <c r="FU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1" t="str">
        <f>VLOOKUP(A65,'Données projet'!$A$243:$I$263,2,0)</f>
        <v>#N/A</v>
      </c>
      <c r="FX65" s="131" t="str">
        <f>VLOOKUP(A65,'Données projet'!$A$243:$I$263,9,0)</f>
        <v>#N/A</v>
      </c>
      <c r="FY65" s="131" t="str">
        <f t="array" ref="FY65">INDEX(FX:FX,MIN(IF(ISNUMBER(FX65:FX261),ROW(FX65:FX261),"")))</f>
        <v/>
      </c>
      <c r="FZ65" s="138">
        <f>IF('Données projet'!$A$244&gt;35,FZ64+FY65-GH64,IF(A65&lt;'Données projet'!$A$244,$FW$205^A65,IF(A65='Données projet'!$A$244,'Données projet'!$B$244,FZ64+FY65-GH64)))</f>
        <v>0</v>
      </c>
      <c r="GA65" s="138">
        <f>FZ65*VLOOKUP('Données projet'!$B$17,'Paramètres'!$A$1:$I$89,3,0)*VLOOKUP('Données projet'!$B$17,'Paramètres'!$A$1:$I$89,5,0)</f>
        <v>0</v>
      </c>
      <c r="GB65" s="130">
        <f t="shared" si="50"/>
        <v>0</v>
      </c>
      <c r="GC65" s="141">
        <f t="shared" si="26"/>
        <v>0</v>
      </c>
      <c r="GD65" s="133">
        <f t="shared" si="27"/>
        <v>293.3333333</v>
      </c>
      <c r="GE65" s="133">
        <f>AVERAGE(OFFSET($GD$3,0,0,'Données projet'!$E$17+1,1))-AVERAGE(OFFSET($H$3,0,0,'Données projet'!$E$17+1,1))</f>
        <v>118.7368745</v>
      </c>
      <c r="GF65" s="133">
        <f t="shared" si="51"/>
        <v>135.1233677</v>
      </c>
      <c r="GG65" s="134">
        <f>IF(ISNA(VLOOKUP(A65,'Données projet'!$A$243:$I$263,3,0)),0,VLOOKUP(A65,'Données projet'!$A$243:$I$263,3,0))</f>
        <v>0</v>
      </c>
      <c r="GH65" s="134">
        <f>IF(ISNA(VLOOKUP(A65,'Données projet'!$A$243:$I$263,4,0)),0,VLOOKUP(A65,'Données projet'!$A$243:$I$263,4,0))</f>
        <v>0</v>
      </c>
      <c r="GI65" s="135">
        <f>IF(ISNA(VLOOKUP(A65,'Données projet'!$A$243:$I$263,5,0)),0%,VLOOKUP(A65,'Données projet'!$A$243:$I$263,5,0)*VLOOKUP('Données projet'!$B$17,'Paramètres'!$A$1:$I$89,7,0))</f>
        <v>0</v>
      </c>
      <c r="GJ65" s="135">
        <f>IF(ISNA(VLOOKUP(A65,'Données projet'!$A$243:$I$263,6,0)),0%,VLOOKUP(A65,'Données projet'!$A$243:$I$263,6,0)*VLOOKUP('Données projet'!$B$17,'Paramètres'!$A$1:$I$89,7,0))</f>
        <v>0</v>
      </c>
      <c r="GK65" s="135">
        <f>IF(ISNA(VLOOKUP(A65,'Données projet'!$A$243:$I$263,7,0)),0%,VLOOKUP(A65,'Données projet'!$A$243:$I$263,7,0))</f>
        <v>0</v>
      </c>
      <c r="GL65" s="142">
        <f>EXP(-LN(2)/35)*GL64+(1-EXP(-LN(2)/35))/(LN(2)/35)*GH65*GI65*VLOOKUP('Données projet'!$B$17,'Paramètres'!$A$1:$I$89,3,0)*0.475*44/12</f>
        <v>99.83011953</v>
      </c>
      <c r="GM65" s="142">
        <f>EXP(-LN(2)/25)*GM64+(1-EXP(-LN(2)/25))/(LN(2)/25)*Calculateur!GH65*Calculateur!GJ65*VLOOKUP('Données projet'!$B$17,'Paramètres'!$A$1:$I$89,3,0)*0.475*44/12</f>
        <v>0</v>
      </c>
      <c r="GN65" s="142">
        <f>EXP(-LN(2)/2)*GN64+(1-EXP(-LN(2)/2))/(LN(2)/2)*GH65*GK65*VLOOKUP('Données projet'!$B$17,'Paramètres'!$A$1:$I$89,3,0)*0.475*44/12</f>
        <v>0</v>
      </c>
      <c r="GO65" s="142">
        <f t="shared" si="28"/>
        <v>99.83011953</v>
      </c>
      <c r="GP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1" t="str">
        <f>VLOOKUP(A65,'Données projet'!$A$269:$I$289,2,0)</f>
        <v>#N/A</v>
      </c>
      <c r="GS65" s="131" t="str">
        <f>VLOOKUP(A65,'Données projet'!$A$269:$I$289,9,0)</f>
        <v>#N/A</v>
      </c>
      <c r="GT65" s="131" t="str">
        <f t="array" ref="GT65">INDEX(GS:GS,MIN(IF(ISNUMBER(GS65:GS261),ROW(GS65:GS261),"")))</f>
        <v/>
      </c>
      <c r="GU65" s="138">
        <f>IF('Données projet'!$A$270&gt;35,GU64+GT65-HC64,IF(A65&lt;'Données projet'!$A$270,$GR$205^A65,IF(A65='Données projet'!$A$270,'Données projet'!$B$270,GU64+GT65-HC64)))</f>
        <v>0</v>
      </c>
      <c r="GV65" s="138">
        <f>GU65*VLOOKUP('Données projet'!$B$18,'Paramètres'!$A$1:$I$89,3,0)*VLOOKUP('Données projet'!$B$18,'Paramètres'!$A$1:$I$89,5,0)</f>
        <v>0</v>
      </c>
      <c r="GW65" s="130" t="str">
        <f t="shared" si="52"/>
        <v>#NUM!</v>
      </c>
      <c r="GX65" s="141" t="str">
        <f t="shared" si="29"/>
        <v>#NUM!</v>
      </c>
      <c r="GY65" s="133" t="str">
        <f t="shared" si="30"/>
        <v>#NUM!</v>
      </c>
      <c r="GZ65" s="133">
        <f>AVERAGE(OFFSET($GY$3,0,0,'Données projet'!$E$18+1,1))-AVERAGE(OFFSET($H$3,0,0,'Données projet'!$E$18+1,1))</f>
        <v>100.5427875</v>
      </c>
      <c r="HA65" s="133">
        <f t="shared" si="53"/>
        <v>92.28663609</v>
      </c>
      <c r="HB65" s="134">
        <f>IF(ISNA(VLOOKUP(A65,'Données projet'!$A$269:$I$289,3,0)),0,VLOOKUP(A65,'Données projet'!$A$269:$I$289,3,0))</f>
        <v>0</v>
      </c>
      <c r="HC65" s="134">
        <f>IF(ISNA(VLOOKUP(A65,'Données projet'!$A$269:$I$289,4,0)),0,VLOOKUP(A65,'Données projet'!$A$269:$I$289,4,0))</f>
        <v>0</v>
      </c>
      <c r="HD65" s="135">
        <f>IF(ISNA(VLOOKUP(A65,'Données projet'!$A$269:$I$289,5,0)),0%,VLOOKUP(A65,'Données projet'!$A$269:$I$289,5,0)*VLOOKUP('Données projet'!$B$18,'Paramètres'!$A$1:$I$89,7,0))</f>
        <v>0</v>
      </c>
      <c r="HE65" s="135">
        <f>IF(ISNA(VLOOKUP(A65,'Données projet'!$A$269:$I$289,6,0)),0%,VLOOKUP(A65,'Données projet'!$A$269:$I$289,6,0)*VLOOKUP('Données projet'!$B$18,'Paramètres'!$A$1:$I$89,7,0))</f>
        <v>0</v>
      </c>
      <c r="HF65" s="135">
        <f>IF(ISNA(VLOOKUP(A65,'Données projet'!$A$269:$I$289,7,0)),0%,VLOOKUP(A65,'Données projet'!$A$269:$I$289,7,0))</f>
        <v>0</v>
      </c>
      <c r="HG65" s="142">
        <f>EXP(-LN(2)/35)*HG64+(1-EXP(-LN(2)/35))/(LN(2)/35)*HC65*HD65*VLOOKUP('Données projet'!$B$18,'Paramètres'!$A$1:$I$89,3,0)*0.475*44/12</f>
        <v>67.98220537</v>
      </c>
      <c r="HH65" s="142">
        <f>EXP(-LN(2)/25)*HH64+(1-EXP(-LN(2)/25))/(LN(2)/25)*Calculateur!HC65*Calculateur!HE65*VLOOKUP('Données projet'!$B$18,'Paramètres'!$A$1:$I$89,3,0)*0.475*44/12</f>
        <v>0</v>
      </c>
      <c r="HI65" s="142">
        <f>EXP(-LN(2)/2)*HI64+(1-EXP(-LN(2)/2))/(LN(2)/2)*HC65*HF65*VLOOKUP('Données projet'!$B$18,'Paramètres'!$A$1:$I$89,3,0)*0.475*44/12</f>
        <v>0</v>
      </c>
      <c r="HJ65" s="143">
        <f t="shared" si="31"/>
        <v>67.98220537</v>
      </c>
    </row>
    <row r="66" ht="15.75" customHeight="1">
      <c r="A66" s="125">
        <f t="shared" si="32"/>
        <v>63</v>
      </c>
      <c r="B66" s="126">
        <f>'Scénario référence'!$B$16*5+'Scénario référence'!$B$17*0+'Scénario référence'!$B$18*5</f>
        <v>0</v>
      </c>
      <c r="C66" s="140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34.398</v>
      </c>
      <c r="D66" s="127">
        <f t="shared" si="33"/>
        <v>10.50105162</v>
      </c>
      <c r="E6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7">
        <f>IF(OR('Scénario référence'!$F$8&gt;0,'Scénario référence'!$F$9&gt;0),('Scénario référence'!$F$8+'Scénario référence'!$F$9)*10,0)</f>
        <v>10</v>
      </c>
      <c r="G66" s="127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</v>
      </c>
      <c r="H66" s="128">
        <f t="shared" si="1"/>
        <v>371.5325149</v>
      </c>
      <c r="I66" s="12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1" t="str">
        <f>VLOOKUP(A66,'Données projet'!$A$35:$I$55,2,0)</f>
        <v>#N/A</v>
      </c>
      <c r="L66" s="131" t="str">
        <f>VLOOKUP(A66,'Données projet'!$A$35:$I$55,9,0)</f>
        <v>#N/A</v>
      </c>
      <c r="M66" s="131" t="str">
        <f t="array" ref="M66">INDEX(L:L,MIN(IF(ISNUMBER(L66:L262),ROW(L66:L262),"")))</f>
        <v/>
      </c>
      <c r="N66" s="130">
        <f>IF('Données projet'!$A$36&gt;35,N65+M66-V65,IF(A66&lt;'Données projet'!$A$36,$K$205^A66,IF(A66='Données projet'!$A$36,'Données projet'!$B$36,N65+M66-V65)))</f>
        <v>0</v>
      </c>
      <c r="O66" s="130">
        <f>N66*VLOOKUP('Données projet'!$B$9,'Paramètres'!$A$1:$I$89,3,0)*VLOOKUP('Données projet'!$B$9,'Paramètres'!$A$1:$I$89,5,0)</f>
        <v>0</v>
      </c>
      <c r="P66" s="130">
        <f t="shared" si="34"/>
        <v>0</v>
      </c>
      <c r="Q66" s="141">
        <f t="shared" si="2"/>
        <v>0</v>
      </c>
      <c r="R66" s="133">
        <f t="shared" si="3"/>
        <v>293.3333333</v>
      </c>
      <c r="S66" s="133">
        <f>AVERAGE(OFFSET($R$3,0,0,'Données projet'!$E$9+1,1))-AVERAGE(OFFSET($H$3,0,0,'Données projet'!$E$9+1,1))</f>
        <v>126.9946492</v>
      </c>
      <c r="T66" s="133">
        <f t="shared" si="35"/>
        <v>140.039049</v>
      </c>
      <c r="U66" s="134">
        <f>IF(ISNA(VLOOKUP(A66,'Données projet'!$A$35:$I$55,3,0)),0,VLOOKUP(A66,'Données projet'!$A$35:$I$55,3,0))</f>
        <v>0</v>
      </c>
      <c r="V66" s="134">
        <f>IF(ISNA(VLOOKUP(A66,'Données projet'!$A$35:$I$55,4,0)),0,VLOOKUP(A66,'Données projet'!$A$35:$I$55,4,0))</f>
        <v>0</v>
      </c>
      <c r="W66" s="135">
        <f>IF(ISNA(VLOOKUP(A66,'Données projet'!$A$35:$I$55,5,0)),0%,VLOOKUP(A66,'Données projet'!$A$35:$I$55,5,0)*VLOOKUP('Données projet'!$B$9,'Paramètres'!$A$1:$I$89,7,0))</f>
        <v>0</v>
      </c>
      <c r="X66" s="135">
        <f>IF(ISNA(VLOOKUP(A66,'Données projet'!$A$35:$I$55,6,0)),0%,VLOOKUP(A66,'Données projet'!$A$35:$I$55,6,0)*VLOOKUP('Données projet'!$B$9,'Paramètres'!$A$1:$I$89,7,0))</f>
        <v>0</v>
      </c>
      <c r="Y66" s="135">
        <f>IF(ISNA(VLOOKUP(A66,'Données projet'!$A$35:$I$55,7,0)),0%,VLOOKUP(A66,'Données projet'!$A$35:$I$55,7,0))</f>
        <v>0</v>
      </c>
      <c r="Z66" s="142">
        <f>EXP(-LN(2)/35)*Z65+(1-EXP(-LN(2)/35))/(LN(2)/35)*V66*W66*VLOOKUP('Données projet'!$B$9,'Paramètres'!$A$1:$I$89,3,0)*0.475*44/12</f>
        <v>100.1017928</v>
      </c>
      <c r="AA66" s="142">
        <f>EXP(-LN(2)/25)*AA65+(1-EXP(-LN(2)/25))/(LN(2)/25)*Calculateur!V66*Calculateur!X66*VLOOKUP('Données projet'!$B$9,'Paramètres'!$A$1:$I$89,3,0)*0.475*44/12</f>
        <v>21.38391635</v>
      </c>
      <c r="AB66" s="142">
        <f>EXP(-LN(2)/2)*AB65+(1-EXP(-LN(2)/2))/(LN(2)/2)*V66*Y66*VLOOKUP('Données projet'!$B$9,'Paramètres'!$A$1:$I$89,3,0)*0.475*44/12</f>
        <v>6.713756577</v>
      </c>
      <c r="AC66" s="143">
        <f t="shared" si="4"/>
        <v>128.1994657</v>
      </c>
      <c r="AD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1" t="str">
        <f>VLOOKUP(A66,'Données projet'!$A$61:$I$81,2,0)</f>
        <v>#N/A</v>
      </c>
      <c r="AG66" s="131" t="str">
        <f>VLOOKUP(A66,'Données projet'!$A$61:$I$81,9,0)</f>
        <v>#N/A</v>
      </c>
      <c r="AH66" s="131" t="str">
        <f t="array" ref="AH66">INDEX(AG:AG,MIN(IF(ISNUMBER(AG66:AG262),ROW(AG66:AG262),"")))</f>
        <v/>
      </c>
      <c r="AI66" s="130">
        <f>IF('Données projet'!$A$62&gt;35,AI65+AH66-AQ65,IF(A66&lt;'Données projet'!$A$62,$AF$205^A66,IF(A66='Données projet'!$A$62,'Données projet'!$B$62,AI65+AH66-AQ65)))</f>
        <v>0</v>
      </c>
      <c r="AJ66" s="130">
        <f>AI66*VLOOKUP('Données projet'!$B$10,'Paramètres'!$A$1:$I$89,3,0)*VLOOKUP('Données projet'!$B$10,'Paramètres'!$A$1:$I$89,5,0)</f>
        <v>0</v>
      </c>
      <c r="AK66" s="130" t="str">
        <f t="shared" si="36"/>
        <v>#NUM!</v>
      </c>
      <c r="AL66" s="141" t="str">
        <f t="shared" si="5"/>
        <v>#NUM!</v>
      </c>
      <c r="AM66" s="133" t="str">
        <f t="shared" si="6"/>
        <v>#NUM!</v>
      </c>
      <c r="AN66" s="133">
        <f>AVERAGE(OFFSET($AM$3,0,0,'Données projet'!$E$10+1,1))-AVERAGE(OFFSET($H$3,0,0,'Données projet'!$E$10+1,1))</f>
        <v>196.874484</v>
      </c>
      <c r="AO66" s="133">
        <f t="shared" si="37"/>
        <v>217.5750859</v>
      </c>
      <c r="AP66" s="134">
        <f>IF(ISNA(VLOOKUP(A66,'Données projet'!$A$61:$I$81,3,0)),0,VLOOKUP(A66,'Données projet'!$A$61:$I$81,3,0))</f>
        <v>0</v>
      </c>
      <c r="AQ66" s="134">
        <f>IF(ISNA(VLOOKUP(A66,'Données projet'!$A$61:$I$81,4,0)),0,VLOOKUP(A66,'Données projet'!$A$61:$I$81,4,0))</f>
        <v>0</v>
      </c>
      <c r="AR66" s="135">
        <f>IF(ISNA(VLOOKUP(A66,'Données projet'!$A$61:$I$81,5,0)),0%,VLOOKUP(A66,'Données projet'!$A$61:$I$81,5,0)*VLOOKUP('Données projet'!$B$10,'Paramètres'!$A$1:$I$89,7,0))</f>
        <v>0</v>
      </c>
      <c r="AS66" s="135">
        <f>IF(ISNA(VLOOKUP(A66,'Données projet'!$A$61:$I$81,6,0)),0%,VLOOKUP(A66,'Données projet'!$A$61:$I$81,6,0)*VLOOKUP('Données projet'!$B$10,'Paramètres'!$A$1:$I$89,7,0))</f>
        <v>0</v>
      </c>
      <c r="AT66" s="135">
        <f>IF(ISNA(VLOOKUP(A66,'Données projet'!$A$61:$I$81,7,0)),0%,VLOOKUP(A66,'Données projet'!$A$61:$I$81,7,0))</f>
        <v>0</v>
      </c>
      <c r="AU66" s="142">
        <f>EXP(-LN(2)/35)*AU65+(1-EXP(-LN(2)/35))/(LN(2)/35)*AQ66*AR66*VLOOKUP('Données projet'!$B$10,'Paramètres'!$A$1:$I$89,3,0)*0.475*44/12</f>
        <v>139.1386487</v>
      </c>
      <c r="AV66" s="142">
        <f>EXP(-LN(2)/25)*AV65+(1-EXP(-LN(2)/25))/(LN(2)/25)*Calculateur!AQ66*Calculateur!AS66*VLOOKUP('Données projet'!$B$10,'Paramètres'!$A$1:$I$89,3,0)*0.475*44/12</f>
        <v>32.87779995</v>
      </c>
      <c r="AW66" s="142">
        <f>EXP(-LN(2)/2)*AW65+(1-EXP(-LN(2)/2))/(LN(2)/2)*AQ66*AT66*VLOOKUP('Données projet'!$B$10,'Paramètres'!$A$1:$I$89,3,0)*0.475*44/12</f>
        <v>9.360386267</v>
      </c>
      <c r="AX66" s="142">
        <f t="shared" si="7"/>
        <v>181.3768349</v>
      </c>
      <c r="AY66" s="13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1" t="str">
        <f>VLOOKUP(A66,'Données projet'!$A$87:$I$107,2,0)</f>
        <v>#N/A</v>
      </c>
      <c r="BB66" s="131" t="str">
        <f>VLOOKUP(A66,'Données projet'!$A$87:$I$107,9,0)</f>
        <v>#N/A</v>
      </c>
      <c r="BC66" s="130">
        <f t="array" ref="BC66">INDEX(BB:BB,MIN(IF(ISNUMBER(BB66:BB262),ROW(BB66:BB262),"")))</f>
        <v>13</v>
      </c>
      <c r="BD66" s="130">
        <f>IF('Données projet'!$A$88&gt;35,BD65+BC66-BL65,IF(A66&lt;'Données projet'!$A$88,$BA$205^A66,IF(A66='Données projet'!$A$88,'Données projet'!$B$88,BD65+BC66-BL65)))</f>
        <v>379</v>
      </c>
      <c r="BE66" s="130">
        <f>BD66*VLOOKUP('Données projet'!$B$11,'Paramètres'!$A$1:$I$89,3,0)*VLOOKUP('Données projet'!$B$11,'Paramètres'!$A$1:$I$89,5,0)</f>
        <v>177.372</v>
      </c>
      <c r="BF66" s="130">
        <f t="shared" si="38"/>
        <v>44.73700505</v>
      </c>
      <c r="BG66" s="141">
        <f t="shared" si="8"/>
        <v>386.8398505</v>
      </c>
      <c r="BH66" s="133">
        <f t="shared" si="9"/>
        <v>680.1731838</v>
      </c>
      <c r="BI66" s="133">
        <f>AVERAGE(OFFSET($BH$3,0,0,'Données projet'!$E$11+1,1))-AVERAGE(OFFSET($H$3,0,0,'Données projet'!$E$11+1,1))</f>
        <v>134.0948534</v>
      </c>
      <c r="BJ66" s="133">
        <f t="shared" si="39"/>
        <v>108.4102536</v>
      </c>
      <c r="BK66" s="134">
        <f>IF(ISNA(VLOOKUP(A66,'Données projet'!$A$87:$I$107,3,0)),0,VLOOKUP(A66,'Données projet'!$A$87:$I$107,3,0))</f>
        <v>0</v>
      </c>
      <c r="BL66" s="134">
        <f>IF(ISNA(VLOOKUP(A66,'Données projet'!$A$87:$I$107,4,0)),0,VLOOKUP(A66,'Données projet'!$A$87:$I$107,4,0))</f>
        <v>0</v>
      </c>
      <c r="BM66" s="135">
        <f>IF(ISNA(VLOOKUP(A66,'Données projet'!$A$87:$I$107,5,0)),0%,VLOOKUP(A66,'Données projet'!$A$87:$I$107,5,0)*VLOOKUP('Données projet'!$B$11,'Paramètres'!$A$1:$I$89,7,0))</f>
        <v>0</v>
      </c>
      <c r="BN66" s="135">
        <f>IF(ISNA(VLOOKUP(A66,'Données projet'!$A$87:$I$107,6,0)),0%,VLOOKUP(A66,'Données projet'!$A$87:$I$107,6,0)*VLOOKUP('Données projet'!$B$11,'Paramètres'!$A$1:$I$89,7,0))</f>
        <v>0</v>
      </c>
      <c r="BO66" s="135">
        <f>IF(ISNA(VLOOKUP(A66,'Données projet'!$A$87:$I$107,7,0)),0%,VLOOKUP(A66,'Données projet'!$A$87:$I$107,7,0))</f>
        <v>0</v>
      </c>
      <c r="BP66" s="142">
        <f>EXP(-LN(2)/35)*BP65+(1-EXP(-LN(2)/35))/(LN(2)/35)*BL66*BM66*VLOOKUP('Données projet'!$B$11,'Paramètres'!$A$1:$I$89,3,0)*0.475*44/12</f>
        <v>26.54064796</v>
      </c>
      <c r="BQ66" s="142">
        <f>EXP(-LN(2)/25)*BQ65+(1-EXP(-LN(2)/25))/(LN(2)/25)*Calculateur!BL66*Calculateur!BN66*VLOOKUP('Données projet'!$B$11,'Paramètres'!$A$1:$I$89,3,0)*0.475*44/12</f>
        <v>9.870138321</v>
      </c>
      <c r="BR66" s="142">
        <f>EXP(-LN(2)/2)*BR65+(1-EXP(-LN(2)/2))/(LN(2)/2)*BL66*BO66*VLOOKUP('Données projet'!$B$11,'Paramètres'!$A$1:$I$89,3,0)*0.475*44/12</f>
        <v>0.8783218249</v>
      </c>
      <c r="BS66" s="143">
        <f t="shared" si="10"/>
        <v>37.28910811</v>
      </c>
      <c r="BT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1" t="str">
        <f>VLOOKUP(A66,'Données projet'!$A$113:$I$133,2,0)</f>
        <v>#N/A</v>
      </c>
      <c r="BW66" s="131" t="str">
        <f>VLOOKUP(A66,'Données projet'!$A$113:$I$133,9,0)</f>
        <v>#N/A</v>
      </c>
      <c r="BX66" s="131" t="str">
        <f t="array" ref="BX66">INDEX(BW:BW,MIN(IF(ISNUMBER(BW66:BW262),ROW(BW66:BW262),"")))</f>
        <v/>
      </c>
      <c r="BY66" s="130">
        <f>IF('Données projet'!$A$114&gt;35,BY65+BX66-CG65,IF(A66&lt;'Données projet'!$A$114,$BV$205^A66,IF(A66='Données projet'!$A$114,'Données projet'!$B$114,BY65+BX66-CG65)))</f>
        <v>0</v>
      </c>
      <c r="BZ66" s="130">
        <f>BY66*VLOOKUP('Données projet'!$B$12,'Paramètres'!$A$1:$I$89,3,0)*VLOOKUP('Données projet'!$B$12,'Paramètres'!$A$1:$I$89,5,0)</f>
        <v>0</v>
      </c>
      <c r="CA66" s="130" t="str">
        <f t="shared" si="40"/>
        <v>#NUM!</v>
      </c>
      <c r="CB66" s="141" t="str">
        <f t="shared" si="11"/>
        <v>#NUM!</v>
      </c>
      <c r="CC66" s="133" t="str">
        <f t="shared" si="12"/>
        <v>#NUM!</v>
      </c>
      <c r="CD66" s="133">
        <f>AVERAGE(OFFSET($CC$3,0,0,'Données projet'!$E$12+1,1))-AVERAGE(OFFSET($H$3,0,0,'Données projet'!$E$12+1,1))</f>
        <v>258.1672054</v>
      </c>
      <c r="CE66" s="133">
        <f t="shared" si="41"/>
        <v>296.0724261</v>
      </c>
      <c r="CF66" s="134">
        <f>IF(ISNA(VLOOKUP(A66,'Données projet'!$A$113:$I$133,3,0)),0,VLOOKUP(A66,'Données projet'!$A$113:$I$133,3,0))</f>
        <v>0</v>
      </c>
      <c r="CG66" s="134">
        <f>IF(ISNA(VLOOKUP(A66,'Données projet'!$A$113:$I$133,4,0)),0,VLOOKUP(A66,'Données projet'!$A$113:$I$133,4,0))</f>
        <v>0</v>
      </c>
      <c r="CH66" s="135">
        <f>IF(ISNA(VLOOKUP(A66,'Données projet'!$A$113:$I$133,5,0)),0%,VLOOKUP(A66,'Données projet'!$A$113:$I$133,5,0)*VLOOKUP('Données projet'!$B$12,'Paramètres'!$A$1:$I$89,7,0))</f>
        <v>0</v>
      </c>
      <c r="CI66" s="135">
        <f>IF(ISNA(VLOOKUP(A66,'Données projet'!$A$113:$I$133,6,0)),0%,VLOOKUP(A66,'Données projet'!$A$113:$I$133,6,0)*VLOOKUP('Données projet'!$B$12,'Paramètres'!$A$1:$I$89,7,0))</f>
        <v>0</v>
      </c>
      <c r="CJ66" s="135">
        <f>IF(ISNA(VLOOKUP(A66,'Données projet'!$A$113:$I$133,7,0)),0%,VLOOKUP(A66,'Données projet'!$A$113:$I$133,7,0))</f>
        <v>0</v>
      </c>
      <c r="CK66" s="142">
        <f>EXP(-LN(2)/35)*CK65+(1-EXP(-LN(2)/35))/(LN(2)/35)*CG66*CH66*VLOOKUP('Données projet'!$B$12,'Paramètres'!$A$1:$I$89,3,0)*0.475*44/12</f>
        <v>243.3216612</v>
      </c>
      <c r="CL66" s="142">
        <f>EXP(-LN(2)/25)*CL65+(1-EXP(-LN(2)/25))/(LN(2)/25)*Calculateur!CG66*Calculateur!CI66*VLOOKUP('Données projet'!$B$12,'Paramètres'!$A$1:$I$89,3,0)*0.475*44/12</f>
        <v>36.37798746</v>
      </c>
      <c r="CM66" s="142">
        <f>EXP(-LN(2)/2)*CM65+(1-EXP(-LN(2)/2))/(LN(2)/2)*CG66*CJ66*VLOOKUP('Données projet'!$B$12,'Paramètres'!$A$1:$I$89,3,0)*0.475*44/12</f>
        <v>5.259956691</v>
      </c>
      <c r="CN66" s="143">
        <f t="shared" si="13"/>
        <v>284.9596054</v>
      </c>
      <c r="CO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1" t="str">
        <f>VLOOKUP(A66,'Données projet'!$A$139:$I$159,2,0)</f>
        <v>#N/A</v>
      </c>
      <c r="CR66" s="131" t="str">
        <f>VLOOKUP(A66,'Données projet'!$A$139:$I$159,9,0)</f>
        <v>#N/A</v>
      </c>
      <c r="CS66" s="130">
        <f t="array" ref="CS66">INDEX(CR:CR,MIN(IF(ISNUMBER(CR66:CR262),ROW(CR66:CR262),"")))</f>
        <v>5.4</v>
      </c>
      <c r="CT66" s="138">
        <f>IF('Données projet'!$A$140&gt;35,CT65+CS66-DB65,IF(A66&lt;'Données projet'!$A$140,$CQ$205^A66,IF(A66='Données projet'!$A$140,'Données projet'!$B$140,CT65+CS66-DB65)))</f>
        <v>150.2</v>
      </c>
      <c r="CU66" s="138">
        <f>CT66*VLOOKUP('Données projet'!$B$13,'Paramètres'!$A$1:$I$89,3,0)*VLOOKUP('Données projet'!$B$13,'Paramètres'!$A$1:$I$89,5,0)</f>
        <v>152.3028</v>
      </c>
      <c r="CV66" s="130">
        <f t="shared" si="42"/>
        <v>39.10144026</v>
      </c>
      <c r="CW66" s="141">
        <f t="shared" si="14"/>
        <v>333.3623851</v>
      </c>
      <c r="CX66" s="133">
        <f t="shared" si="15"/>
        <v>626.6957184</v>
      </c>
      <c r="CY66" s="133">
        <f>AVERAGE(OFFSET($CX$3,0,0,'Données projet'!$E$13+1,1))-AVERAGE(OFFSET($H$3,0,0,'Données projet'!$E$13+1,1))</f>
        <v>223.783507</v>
      </c>
      <c r="CZ66" s="133">
        <f t="shared" si="43"/>
        <v>84.92349117</v>
      </c>
      <c r="DA66" s="134">
        <f>IF(ISNA(VLOOKUP(A66,'Données projet'!$A$139:$I$159,3,0)),0,VLOOKUP(A66,'Données projet'!$A$139:$I$159,3,0))</f>
        <v>0</v>
      </c>
      <c r="DB66" s="134">
        <f>IF(ISNA(VLOOKUP(A66,'Données projet'!$A$139:$I$159,4,0)),0,VLOOKUP(A66,'Données projet'!$A$139:$I$159,4,0))</f>
        <v>0</v>
      </c>
      <c r="DC66" s="135">
        <f>IF(ISNA(VLOOKUP(A66,'Données projet'!$A$139:$I$159,5,0)),0%,VLOOKUP(A66,'Données projet'!$A$139:$I$159,5,0)*VLOOKUP('Données projet'!$B$13,'Paramètres'!$A$1:$I$89,7,0))</f>
        <v>0</v>
      </c>
      <c r="DD66" s="135">
        <f>IF(ISNA(VLOOKUP(A66,'Données projet'!$A$139:$I$159,6,0)),0%,VLOOKUP(A66,'Données projet'!$A$139:$I$159,6,0)*VLOOKUP('Données projet'!$B$13,'Paramètres'!$A$1:$I$89,7,0))</f>
        <v>0</v>
      </c>
      <c r="DE66" s="135">
        <f>IF(ISNA(VLOOKUP(A66,'Données projet'!$A$139:$I$159,7,0)),0%,VLOOKUP(A66,'Données projet'!$A$139:$I$159,7,0))</f>
        <v>0</v>
      </c>
      <c r="DF66" s="142">
        <f>EXP(-LN(2)/35)*DF65+(1-EXP(-LN(2)/35))/(LN(2)/35)*DB66*DC66*VLOOKUP('Données projet'!$B$13,'Paramètres'!$A$1:$I$89,3,0)*0.475*44/12</f>
        <v>5.623667897</v>
      </c>
      <c r="DG66" s="142">
        <f>EXP(-LN(2)/25)*DG65+(1-EXP(-LN(2)/25))/(LN(2)/25)*Calculateur!DB66*Calculateur!DD66*VLOOKUP('Données projet'!$B$13,'Paramètres'!$A$1:$I$89,3,0)*0.475*44/12</f>
        <v>0</v>
      </c>
      <c r="DH66" s="142">
        <f>EXP(-LN(2)/2)*DH65+(1-EXP(-LN(2)/2))/(LN(2)/2)*DB66*DE66*VLOOKUP('Données projet'!$B$13,'Paramètres'!$A$1:$I$89,3,0)*0.475*44/12</f>
        <v>0</v>
      </c>
      <c r="DI66" s="143">
        <f t="shared" si="16"/>
        <v>5.623667897</v>
      </c>
      <c r="DJ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1" t="str">
        <f>VLOOKUP(A66,'Données projet'!$A$165:$I$185,2,0)</f>
        <v>#N/A</v>
      </c>
      <c r="DM66" s="131" t="str">
        <f>VLOOKUP(A66,'Données projet'!$A$165:$I$185,9,0)</f>
        <v>#N/A</v>
      </c>
      <c r="DN66" s="131">
        <f t="array" ref="DN66">INDEX(DM:DM,MIN(IF(ISNUMBER(DM66:DM262),ROW(DM66:DM262),"")))</f>
        <v>7.2</v>
      </c>
      <c r="DO66" s="138">
        <f>IF('Données projet'!$A$166&gt;35,DO65+DN66-DW65,IF(A66&lt;'Données projet'!$A$166,$DL$205^A66,IF(A66='Données projet'!$A$166,'Données projet'!$B$166,DO65+DN66-DW65)))</f>
        <v>214.6</v>
      </c>
      <c r="DP66" s="138">
        <f>DO66*VLOOKUP('Données projet'!$B$14,'Paramètres'!$A$1:$I$89,3,0)*VLOOKUP('Données projet'!$B$14,'Paramètres'!$A$1:$I$89,5,0)</f>
        <v>194.17008</v>
      </c>
      <c r="DQ66" s="130">
        <f t="shared" si="44"/>
        <v>48.46073018</v>
      </c>
      <c r="DR66" s="141">
        <f t="shared" si="17"/>
        <v>422.5819944</v>
      </c>
      <c r="DS66" s="133">
        <f t="shared" si="18"/>
        <v>715.9153277</v>
      </c>
      <c r="DT66" s="133">
        <f>AVERAGE(OFFSET($DS$3,0,0,'Données projet'!$E$14+1,1))-AVERAGE(OFFSET($H$3,0,0,'Données projet'!$E$14+1,1))</f>
        <v>287.9334714</v>
      </c>
      <c r="DU66" s="133">
        <f t="shared" si="45"/>
        <v>156.6796502</v>
      </c>
      <c r="DV66" s="134">
        <f>IF(ISNA(VLOOKUP(A66,'Données projet'!$A$165:$I$185,3,0)),0,VLOOKUP(A66,'Données projet'!$A$165:$I$185,3,0))</f>
        <v>0</v>
      </c>
      <c r="DW66" s="134">
        <f>IF(ISNA(VLOOKUP(A66,'Données projet'!$A$165:$I$185,4,0)),0,VLOOKUP(A66,'Données projet'!$A$165:$I$185,4,0))</f>
        <v>0</v>
      </c>
      <c r="DX66" s="135">
        <f>IF(ISNA(VLOOKUP(A66,'Données projet'!$A$165:$I$185,5,0)),0%,VLOOKUP(A66,'Données projet'!$A$165:$I$185,5,0)*VLOOKUP('Données projet'!$B$14,'Paramètres'!$A$1:$I$89,7,0))</f>
        <v>0</v>
      </c>
      <c r="DY66" s="135">
        <f>IF(ISNA(VLOOKUP(A66,'Données projet'!$A$165:$I$185,6,0)),0%,VLOOKUP(A66,'Données projet'!$A$165:$I$185,6,0)*VLOOKUP('Données projet'!$B$14,'Paramètres'!$A$1:$I$89,7,0))</f>
        <v>0</v>
      </c>
      <c r="DZ66" s="135">
        <f>IF(ISNA(VLOOKUP(A66,'Données projet'!$A$165:$I$185,7,0)),0%,VLOOKUP(A66,'Données projet'!$A$165:$I$185,7,0))</f>
        <v>0</v>
      </c>
      <c r="EA66" s="142">
        <f>EXP(-LN(2)/35)*EA65+(1-EXP(-LN(2)/35))/(LN(2)/35)*DW66*DX66*VLOOKUP('Données projet'!$B$14,'Paramètres'!$A$1:$I$89,3,0)*0.475*44/12</f>
        <v>10.22187289</v>
      </c>
      <c r="EB66" s="142">
        <f>EXP(-LN(2)/25)*EB65+(1-EXP(-LN(2)/25))/(LN(2)/25)*Calculateur!DW66*Calculateur!DY66*VLOOKUP('Données projet'!$B$14,'Paramètres'!$A$1:$I$89,3,0)*0.475*44/12</f>
        <v>0</v>
      </c>
      <c r="EC66" s="142">
        <f>EXP(-LN(2)/2)*EC65+(1-EXP(-LN(2)/2))/(LN(2)/2)*DW66*DZ66*VLOOKUP('Données projet'!$B$14,'Paramètres'!$A$1:$I$89,3,0)*0.475*44/12</f>
        <v>0</v>
      </c>
      <c r="ED66" s="143">
        <f t="shared" si="19"/>
        <v>10.22187289</v>
      </c>
      <c r="EE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1" t="str">
        <f>VLOOKUP(A66,'Données projet'!$A$191:$I$211,2,0)</f>
        <v>#N/A</v>
      </c>
      <c r="EH66" s="131" t="str">
        <f>VLOOKUP(A66,'Données projet'!$A$191:$I$211,9,0)</f>
        <v>#N/A</v>
      </c>
      <c r="EI66" s="131">
        <f t="array" ref="EI66">INDEX(EH:EH,MIN(IF(ISNUMBER(EH66:EH262),ROW(EH66:EH262),"")))</f>
        <v>8.2</v>
      </c>
      <c r="EJ66" s="138">
        <f>IF('Données projet'!$A$192&gt;35,EJ65+EI66-ER65,IF(A66&lt;'Données projet'!$A$192,$EG$205^A66,IF(A66='Données projet'!$A$192,'Données projet'!$B$192,EJ65+EI66-ER65)))</f>
        <v>200.6</v>
      </c>
      <c r="EK66" s="138">
        <f>EJ66*VLOOKUP('Données projet'!$B$15,'Paramètres'!$A$1:$I$89,3,0)*VLOOKUP('Données projet'!$B$15,'Paramètres'!$A$1:$I$89,5,0)</f>
        <v>147.07992</v>
      </c>
      <c r="EL66" s="130">
        <f t="shared" si="46"/>
        <v>37.91422961</v>
      </c>
      <c r="EM66" s="141">
        <f t="shared" si="20"/>
        <v>322.1981439</v>
      </c>
      <c r="EN66" s="133">
        <f t="shared" si="21"/>
        <v>615.5314772</v>
      </c>
      <c r="EO66" s="133">
        <f>AVERAGE(OFFSET($EN$3,0,0,'Données projet'!$E$15+1,1))-AVERAGE(OFFSET($H$3,0,0,'Données projet'!$E$15+1,1))</f>
        <v>130.3193339</v>
      </c>
      <c r="EP66" s="133">
        <f t="shared" si="47"/>
        <v>82.22784365</v>
      </c>
      <c r="EQ66" s="134">
        <f>IF(ISNA(VLOOKUP(A66,'Données projet'!$A$191:$I$211,3,0)),0,VLOOKUP(A66,'Données projet'!$A$191:$I$211,3,0))</f>
        <v>0</v>
      </c>
      <c r="ER66" s="134">
        <f>IF(ISNA(VLOOKUP(A66,'Données projet'!$A$191:$I$211,4,0)),0,VLOOKUP(A66,'Données projet'!$A$191:$I$211,4,0))</f>
        <v>0</v>
      </c>
      <c r="ES66" s="135">
        <f>IF(ISNA(VLOOKUP(A66,'Données projet'!$A$191:$I$211,5,0)),0%,VLOOKUP(A66,'Données projet'!$A$191:$I$211,5,0)*VLOOKUP('Données projet'!$B$15,'Paramètres'!$A$1:$I$89,7,0))</f>
        <v>0</v>
      </c>
      <c r="ET66" s="135">
        <f>IF(ISNA(VLOOKUP(A66,'Données projet'!$A$191:$I$211,6,0)),0%,VLOOKUP(A66,'Données projet'!$A$191:$I$211,6,0)*VLOOKUP('Données projet'!$B$15,'Paramètres'!$A$1:$I$89,7,0))</f>
        <v>0</v>
      </c>
      <c r="EU66" s="135">
        <f>IF(ISNA(VLOOKUP(A66,'Données projet'!$A$191:$I$211,7,0)),0%,VLOOKUP(A66,'Données projet'!$A$191:$I$211,7,0))</f>
        <v>0</v>
      </c>
      <c r="EV66" s="142">
        <f>EXP(-LN(2)/35)*EV65+(1-EXP(-LN(2)/35))/(LN(2)/35)*ER66*ES66*VLOOKUP('Données projet'!$B$15,'Paramètres'!$A$1:$I$89,3,0)*0.475*44/12</f>
        <v>13.1538247</v>
      </c>
      <c r="EW66" s="142">
        <f>EXP(-LN(2)/25)*EW65+(1-EXP(-LN(2)/25))/(LN(2)/25)*Calculateur!ER66*Calculateur!ET66*VLOOKUP('Données projet'!$B$15,'Paramètres'!$A$1:$I$89,3,0)*0.475*44/12</f>
        <v>0</v>
      </c>
      <c r="EX66" s="142">
        <f>EXP(-LN(2)/2)*EX65+(1-EXP(-LN(2)/2))/(LN(2)/2)*ER66*EU66*VLOOKUP('Données projet'!$B$15,'Paramètres'!$A$1:$I$89,3,0)*0.475*44/12</f>
        <v>0</v>
      </c>
      <c r="EY66" s="143">
        <f t="shared" si="22"/>
        <v>13.1538247</v>
      </c>
      <c r="EZ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1" t="str">
        <f>VLOOKUP(A66,'Données projet'!$A$217:$I$237,2,0)</f>
        <v>#N/A</v>
      </c>
      <c r="FC66" s="131" t="str">
        <f>VLOOKUP(A66,'Données projet'!$A$217:$I$237,9,0)</f>
        <v>#N/A</v>
      </c>
      <c r="FD66" s="130">
        <f t="array" ref="FD66">INDEX(FC:FC,MIN(IF(ISNUMBER(FC66:FC262),ROW(FC66:FC262),"")))</f>
        <v>4.2</v>
      </c>
      <c r="FE66" s="130">
        <f>IF('Données projet'!$A$218&gt;35,FE65+FD66-FM65,IF(A66&lt;'Données projet'!$A$218,$FB$205^A66,IF(A66='Données projet'!$A$218,'Données projet'!$B$218,FE65+FD66-FM65)))</f>
        <v>287.6</v>
      </c>
      <c r="FF66" s="138">
        <f>FE66*VLOOKUP('Données projet'!$B$16,'Paramètres'!$A$1:$I$89,3,0)*VLOOKUP('Données projet'!$B$16,'Paramètres'!$A$1:$I$89,5,0)</f>
        <v>260.22048</v>
      </c>
      <c r="FG66" s="130">
        <f t="shared" si="48"/>
        <v>62.76937306</v>
      </c>
      <c r="FH66" s="141">
        <f t="shared" si="23"/>
        <v>562.5406608</v>
      </c>
      <c r="FI66" s="133">
        <f t="shared" si="24"/>
        <v>855.8739941</v>
      </c>
      <c r="FJ66" s="133">
        <f>AVERAGE(OFFSET($FI$3,0,0,'Données projet'!$E$16+1,1))-AVERAGE(OFFSET($H$3,0,0,'Données projet'!$E$16+1,1))</f>
        <v>305.6252353</v>
      </c>
      <c r="FK66" s="133">
        <f t="shared" si="49"/>
        <v>331.397916</v>
      </c>
      <c r="FL66" s="134">
        <f>IF(ISNA(VLOOKUP(A66,'Données projet'!$A$217:$I$237,3,0)),0,VLOOKUP(A66,'Données projet'!$A$217:$I$237,3,0))</f>
        <v>0</v>
      </c>
      <c r="FM66" s="134">
        <f>IF(ISNA(VLOOKUP(A66,'Données projet'!$A$217:$I$237,4,0)),0,VLOOKUP(A66,'Données projet'!$A$217:$I$237,4,0))</f>
        <v>0</v>
      </c>
      <c r="FN66" s="135">
        <f>IF(ISNA(VLOOKUP(A66,'Données projet'!$A$217:$I$237,5,0)),0%,VLOOKUP(A66,'Données projet'!$A$217:$I$237,5,0)*VLOOKUP('Données projet'!$B$16,'Paramètres'!$A$1:$I$89,7,0))</f>
        <v>0</v>
      </c>
      <c r="FO66" s="135">
        <f>IF(ISNA(VLOOKUP(A66,'Données projet'!$A$217:$I$237,6,0)),0%,VLOOKUP(A66,'Données projet'!$A$217:$I$237,6,0)*VLOOKUP('Données projet'!$B$16,'Paramètres'!$A$1:$I$89,7,0))</f>
        <v>0</v>
      </c>
      <c r="FP66" s="135">
        <f>IF(ISNA(VLOOKUP(A66,'Données projet'!$A$217:$I$237,7,0)),0%,VLOOKUP(A66,'Données projet'!$A$217:$I$237,7,0))</f>
        <v>0</v>
      </c>
      <c r="FQ66" s="142">
        <f>EXP(-LN(2)/35)*FQ65+(1-EXP(-LN(2)/35))/(LN(2)/35)*FM66*FN66*VLOOKUP('Données projet'!$B$16,'Paramètres'!$A$1:$I$89,3,0)*0.475*44/12</f>
        <v>6.260901857</v>
      </c>
      <c r="FR66" s="142">
        <f>EXP(-LN(2)/25)*FR65+(1-EXP(-LN(2)/25))/(LN(2)/25)*Calculateur!FM66*Calculateur!FO66*VLOOKUP('Données projet'!$B$16,'Paramètres'!$A$1:$I$89,3,0)*0.475*44/12</f>
        <v>0</v>
      </c>
      <c r="FS66" s="142">
        <f>EXP(-LN(2)/2)*FS65+(1-EXP(-LN(2)/2))/(LN(2)/2)*FM66*FP66*VLOOKUP('Données projet'!$B$16,'Paramètres'!$A$1:$I$89,3,0)*0.475*44/12</f>
        <v>0</v>
      </c>
      <c r="FT66" s="143">
        <f t="shared" si="25"/>
        <v>6.260901857</v>
      </c>
      <c r="FU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1" t="str">
        <f>VLOOKUP(A66,'Données projet'!$A$243:$I$263,2,0)</f>
        <v>#N/A</v>
      </c>
      <c r="FX66" s="131" t="str">
        <f>VLOOKUP(A66,'Données projet'!$A$243:$I$263,9,0)</f>
        <v>#N/A</v>
      </c>
      <c r="FY66" s="131" t="str">
        <f t="array" ref="FY66">INDEX(FX:FX,MIN(IF(ISNUMBER(FX66:FX262),ROW(FX66:FX262),"")))</f>
        <v/>
      </c>
      <c r="FZ66" s="138">
        <f>IF('Données projet'!$A$244&gt;35,FZ65+FY66-GH65,IF(A66&lt;'Données projet'!$A$244,$FW$205^A66,IF(A66='Données projet'!$A$244,'Données projet'!$B$244,FZ65+FY66-GH65)))</f>
        <v>0</v>
      </c>
      <c r="GA66" s="138">
        <f>FZ66*VLOOKUP('Données projet'!$B$17,'Paramètres'!$A$1:$I$89,3,0)*VLOOKUP('Données projet'!$B$17,'Paramètres'!$A$1:$I$89,5,0)</f>
        <v>0</v>
      </c>
      <c r="GB66" s="130">
        <f t="shared" si="50"/>
        <v>0</v>
      </c>
      <c r="GC66" s="141">
        <f t="shared" si="26"/>
        <v>0</v>
      </c>
      <c r="GD66" s="133">
        <f t="shared" si="27"/>
        <v>293.3333333</v>
      </c>
      <c r="GE66" s="133">
        <f>AVERAGE(OFFSET($GD$3,0,0,'Données projet'!$E$17+1,1))-AVERAGE(OFFSET($H$3,0,0,'Données projet'!$E$17+1,1))</f>
        <v>118.7368745</v>
      </c>
      <c r="GF66" s="133">
        <f t="shared" si="51"/>
        <v>135.1233677</v>
      </c>
      <c r="GG66" s="134">
        <f>IF(ISNA(VLOOKUP(A66,'Données projet'!$A$243:$I$263,3,0)),0,VLOOKUP(A66,'Données projet'!$A$243:$I$263,3,0))</f>
        <v>0</v>
      </c>
      <c r="GH66" s="134">
        <f>IF(ISNA(VLOOKUP(A66,'Données projet'!$A$243:$I$263,4,0)),0,VLOOKUP(A66,'Données projet'!$A$243:$I$263,4,0))</f>
        <v>0</v>
      </c>
      <c r="GI66" s="135">
        <f>IF(ISNA(VLOOKUP(A66,'Données projet'!$A$243:$I$263,5,0)),0%,VLOOKUP(A66,'Données projet'!$A$243:$I$263,5,0)*VLOOKUP('Données projet'!$B$17,'Paramètres'!$A$1:$I$89,7,0))</f>
        <v>0</v>
      </c>
      <c r="GJ66" s="135">
        <f>IF(ISNA(VLOOKUP(A66,'Données projet'!$A$243:$I$263,6,0)),0%,VLOOKUP(A66,'Données projet'!$A$243:$I$263,6,0)*VLOOKUP('Données projet'!$B$17,'Paramètres'!$A$1:$I$89,7,0))</f>
        <v>0</v>
      </c>
      <c r="GK66" s="135">
        <f>IF(ISNA(VLOOKUP(A66,'Données projet'!$A$243:$I$263,7,0)),0%,VLOOKUP(A66,'Données projet'!$A$243:$I$263,7,0))</f>
        <v>0</v>
      </c>
      <c r="GL66" s="142">
        <f>EXP(-LN(2)/35)*GL65+(1-EXP(-LN(2)/35))/(LN(2)/35)*GH66*GI66*VLOOKUP('Données projet'!$B$17,'Paramètres'!$A$1:$I$89,3,0)*0.475*44/12</f>
        <v>97.87251178</v>
      </c>
      <c r="GM66" s="142">
        <f>EXP(-LN(2)/25)*GM65+(1-EXP(-LN(2)/25))/(LN(2)/25)*Calculateur!GH66*Calculateur!GJ66*VLOOKUP('Données projet'!$B$17,'Paramètres'!$A$1:$I$89,3,0)*0.475*44/12</f>
        <v>0</v>
      </c>
      <c r="GN66" s="142">
        <f>EXP(-LN(2)/2)*GN65+(1-EXP(-LN(2)/2))/(LN(2)/2)*GH66*GK66*VLOOKUP('Données projet'!$B$17,'Paramètres'!$A$1:$I$89,3,0)*0.475*44/12</f>
        <v>0</v>
      </c>
      <c r="GO66" s="142">
        <f t="shared" si="28"/>
        <v>97.87251178</v>
      </c>
      <c r="GP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1" t="str">
        <f>VLOOKUP(A66,'Données projet'!$A$269:$I$289,2,0)</f>
        <v>#N/A</v>
      </c>
      <c r="GS66" s="131" t="str">
        <f>VLOOKUP(A66,'Données projet'!$A$269:$I$289,9,0)</f>
        <v>#N/A</v>
      </c>
      <c r="GT66" s="131" t="str">
        <f t="array" ref="GT66">INDEX(GS:GS,MIN(IF(ISNUMBER(GS66:GS262),ROW(GS66:GS262),"")))</f>
        <v/>
      </c>
      <c r="GU66" s="138">
        <f>IF('Données projet'!$A$270&gt;35,GU65+GT66-HC65,IF(A66&lt;'Données projet'!$A$270,$GR$205^A66,IF(A66='Données projet'!$A$270,'Données projet'!$B$270,GU65+GT66-HC65)))</f>
        <v>0</v>
      </c>
      <c r="GV66" s="138">
        <f>GU66*VLOOKUP('Données projet'!$B$18,'Paramètres'!$A$1:$I$89,3,0)*VLOOKUP('Données projet'!$B$18,'Paramètres'!$A$1:$I$89,5,0)</f>
        <v>0</v>
      </c>
      <c r="GW66" s="130" t="str">
        <f t="shared" si="52"/>
        <v>#NUM!</v>
      </c>
      <c r="GX66" s="141" t="str">
        <f t="shared" si="29"/>
        <v>#NUM!</v>
      </c>
      <c r="GY66" s="133" t="str">
        <f t="shared" si="30"/>
        <v>#NUM!</v>
      </c>
      <c r="GZ66" s="133">
        <f>AVERAGE(OFFSET($GY$3,0,0,'Données projet'!$E$18+1,1))-AVERAGE(OFFSET($H$3,0,0,'Données projet'!$E$18+1,1))</f>
        <v>100.5427875</v>
      </c>
      <c r="HA66" s="133">
        <f t="shared" si="53"/>
        <v>92.28663609</v>
      </c>
      <c r="HB66" s="134">
        <f>IF(ISNA(VLOOKUP(A66,'Données projet'!$A$269:$I$289,3,0)),0,VLOOKUP(A66,'Données projet'!$A$269:$I$289,3,0))</f>
        <v>0</v>
      </c>
      <c r="HC66" s="134">
        <f>IF(ISNA(VLOOKUP(A66,'Données projet'!$A$269:$I$289,4,0)),0,VLOOKUP(A66,'Données projet'!$A$269:$I$289,4,0))</f>
        <v>0</v>
      </c>
      <c r="HD66" s="135">
        <f>IF(ISNA(VLOOKUP(A66,'Données projet'!$A$269:$I$289,5,0)),0%,VLOOKUP(A66,'Données projet'!$A$269:$I$289,5,0)*VLOOKUP('Données projet'!$B$18,'Paramètres'!$A$1:$I$89,7,0))</f>
        <v>0</v>
      </c>
      <c r="HE66" s="135">
        <f>IF(ISNA(VLOOKUP(A66,'Données projet'!$A$269:$I$289,6,0)),0%,VLOOKUP(A66,'Données projet'!$A$269:$I$289,6,0)*VLOOKUP('Données projet'!$B$18,'Paramètres'!$A$1:$I$89,7,0))</f>
        <v>0</v>
      </c>
      <c r="HF66" s="135">
        <f>IF(ISNA(VLOOKUP(A66,'Données projet'!$A$269:$I$289,7,0)),0%,VLOOKUP(A66,'Données projet'!$A$269:$I$289,7,0))</f>
        <v>0</v>
      </c>
      <c r="HG66" s="142">
        <f>EXP(-LN(2)/35)*HG65+(1-EXP(-LN(2)/35))/(LN(2)/35)*HC66*HD66*VLOOKUP('Données projet'!$B$18,'Paramètres'!$A$1:$I$89,3,0)*0.475*44/12</f>
        <v>66.64911579</v>
      </c>
      <c r="HH66" s="142">
        <f>EXP(-LN(2)/25)*HH65+(1-EXP(-LN(2)/25))/(LN(2)/25)*Calculateur!HC66*Calculateur!HE66*VLOOKUP('Données projet'!$B$18,'Paramètres'!$A$1:$I$89,3,0)*0.475*44/12</f>
        <v>0</v>
      </c>
      <c r="HI66" s="142">
        <f>EXP(-LN(2)/2)*HI65+(1-EXP(-LN(2)/2))/(LN(2)/2)*HC66*HF66*VLOOKUP('Données projet'!$B$18,'Paramètres'!$A$1:$I$89,3,0)*0.475*44/12</f>
        <v>0</v>
      </c>
      <c r="HJ66" s="143">
        <f t="shared" si="31"/>
        <v>66.64911579</v>
      </c>
    </row>
    <row r="67" ht="15.75" customHeight="1">
      <c r="A67" s="125">
        <f t="shared" si="32"/>
        <v>64</v>
      </c>
      <c r="B67" s="126">
        <f>'Scénario référence'!$B$16*5+'Scénario référence'!$B$17*0+'Scénario référence'!$B$18*5</f>
        <v>0</v>
      </c>
      <c r="C67" s="140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34.944</v>
      </c>
      <c r="D67" s="127">
        <f t="shared" si="33"/>
        <v>10.64819778</v>
      </c>
      <c r="E6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7">
        <f>IF(OR('Scénario référence'!$F$8&gt;0,'Scénario référence'!$F$9&gt;0),('Scénario référence'!$F$8+'Scénario référence'!$F$9)*10,0)</f>
        <v>10</v>
      </c>
      <c r="G67" s="127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</v>
      </c>
      <c r="H67" s="128">
        <f t="shared" si="1"/>
        <v>372.7397445</v>
      </c>
      <c r="I67" s="12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1" t="str">
        <f>VLOOKUP(A67,'Données projet'!$A$35:$I$55,2,0)</f>
        <v>#N/A</v>
      </c>
      <c r="L67" s="131" t="str">
        <f>VLOOKUP(A67,'Données projet'!$A$35:$I$55,9,0)</f>
        <v>#N/A</v>
      </c>
      <c r="M67" s="131" t="str">
        <f t="array" ref="M67">INDEX(L:L,MIN(IF(ISNUMBER(L67:L263),ROW(L67:L263),"")))</f>
        <v/>
      </c>
      <c r="N67" s="130">
        <f>IF('Données projet'!$A$36&gt;35,N66+M67-V66,IF(A67&lt;'Données projet'!$A$36,$K$205^A67,IF(A67='Données projet'!$A$36,'Données projet'!$B$36,N66+M67-V66)))</f>
        <v>0</v>
      </c>
      <c r="O67" s="130">
        <f>N67*VLOOKUP('Données projet'!$B$9,'Paramètres'!$A$1:$I$89,3,0)*VLOOKUP('Données projet'!$B$9,'Paramètres'!$A$1:$I$89,5,0)</f>
        <v>0</v>
      </c>
      <c r="P67" s="130">
        <f t="shared" si="34"/>
        <v>0</v>
      </c>
      <c r="Q67" s="141">
        <f t="shared" si="2"/>
        <v>0</v>
      </c>
      <c r="R67" s="133">
        <f t="shared" si="3"/>
        <v>293.3333333</v>
      </c>
      <c r="S67" s="133">
        <f>AVERAGE(OFFSET($R$3,0,0,'Données projet'!$E$9+1,1))-AVERAGE(OFFSET($H$3,0,0,'Données projet'!$E$9+1,1))</f>
        <v>126.9946492</v>
      </c>
      <c r="T67" s="133">
        <f t="shared" si="35"/>
        <v>140.039049</v>
      </c>
      <c r="U67" s="134">
        <f>IF(ISNA(VLOOKUP(A67,'Données projet'!$A$35:$I$55,3,0)),0,VLOOKUP(A67,'Données projet'!$A$35:$I$55,3,0))</f>
        <v>0</v>
      </c>
      <c r="V67" s="134">
        <f>IF(ISNA(VLOOKUP(A67,'Données projet'!$A$35:$I$55,4,0)),0,VLOOKUP(A67,'Données projet'!$A$35:$I$55,4,0))</f>
        <v>0</v>
      </c>
      <c r="W67" s="135">
        <f>IF(ISNA(VLOOKUP(A67,'Données projet'!$A$35:$I$55,5,0)),0%,VLOOKUP(A67,'Données projet'!$A$35:$I$55,5,0)*VLOOKUP('Données projet'!$B$9,'Paramètres'!$A$1:$I$89,7,0))</f>
        <v>0</v>
      </c>
      <c r="X67" s="135">
        <f>IF(ISNA(VLOOKUP(A67,'Données projet'!$A$35:$I$55,6,0)),0%,VLOOKUP(A67,'Données projet'!$A$35:$I$55,6,0)*VLOOKUP('Données projet'!$B$9,'Paramètres'!$A$1:$I$89,7,0))</f>
        <v>0</v>
      </c>
      <c r="Y67" s="135">
        <f>IF(ISNA(VLOOKUP(A67,'Données projet'!$A$35:$I$55,7,0)),0%,VLOOKUP(A67,'Données projet'!$A$35:$I$55,7,0))</f>
        <v>0</v>
      </c>
      <c r="Z67" s="142">
        <f>EXP(-LN(2)/35)*Z66+(1-EXP(-LN(2)/35))/(LN(2)/35)*V67*W67*VLOOKUP('Données projet'!$B$9,'Paramètres'!$A$1:$I$89,3,0)*0.475*44/12</f>
        <v>98.13885769</v>
      </c>
      <c r="AA67" s="142">
        <f>EXP(-LN(2)/25)*AA66+(1-EXP(-LN(2)/25))/(LN(2)/25)*Calculateur!V67*Calculateur!X67*VLOOKUP('Données projet'!$B$9,'Paramètres'!$A$1:$I$89,3,0)*0.475*44/12</f>
        <v>20.79917203</v>
      </c>
      <c r="AB67" s="142">
        <f>EXP(-LN(2)/2)*AB66+(1-EXP(-LN(2)/2))/(LN(2)/2)*V67*Y67*VLOOKUP('Données projet'!$B$9,'Paramètres'!$A$1:$I$89,3,0)*0.475*44/12</f>
        <v>4.747342803</v>
      </c>
      <c r="AC67" s="143">
        <f t="shared" si="4"/>
        <v>123.6853725</v>
      </c>
      <c r="AD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1" t="str">
        <f>VLOOKUP(A67,'Données projet'!$A$61:$I$81,2,0)</f>
        <v>#N/A</v>
      </c>
      <c r="AG67" s="131" t="str">
        <f>VLOOKUP(A67,'Données projet'!$A$61:$I$81,9,0)</f>
        <v>#N/A</v>
      </c>
      <c r="AH67" s="131" t="str">
        <f t="array" ref="AH67">INDEX(AG:AG,MIN(IF(ISNUMBER(AG67:AG263),ROW(AG67:AG263),"")))</f>
        <v/>
      </c>
      <c r="AI67" s="130">
        <f>IF('Données projet'!$A$62&gt;35,AI66+AH67-AQ66,IF(A67&lt;'Données projet'!$A$62,$AF$205^A67,IF(A67='Données projet'!$A$62,'Données projet'!$B$62,AI66+AH67-AQ66)))</f>
        <v>0</v>
      </c>
      <c r="AJ67" s="130">
        <f>AI67*VLOOKUP('Données projet'!$B$10,'Paramètres'!$A$1:$I$89,3,0)*VLOOKUP('Données projet'!$B$10,'Paramètres'!$A$1:$I$89,5,0)</f>
        <v>0</v>
      </c>
      <c r="AK67" s="130" t="str">
        <f t="shared" si="36"/>
        <v>#NUM!</v>
      </c>
      <c r="AL67" s="141" t="str">
        <f t="shared" si="5"/>
        <v>#NUM!</v>
      </c>
      <c r="AM67" s="133" t="str">
        <f t="shared" si="6"/>
        <v>#NUM!</v>
      </c>
      <c r="AN67" s="133">
        <f>AVERAGE(OFFSET($AM$3,0,0,'Données projet'!$E$10+1,1))-AVERAGE(OFFSET($H$3,0,0,'Données projet'!$E$10+1,1))</f>
        <v>196.874484</v>
      </c>
      <c r="AO67" s="133">
        <f t="shared" si="37"/>
        <v>217.5750859</v>
      </c>
      <c r="AP67" s="134">
        <f>IF(ISNA(VLOOKUP(A67,'Données projet'!$A$61:$I$81,3,0)),0,VLOOKUP(A67,'Données projet'!$A$61:$I$81,3,0))</f>
        <v>0</v>
      </c>
      <c r="AQ67" s="134">
        <f>IF(ISNA(VLOOKUP(A67,'Données projet'!$A$61:$I$81,4,0)),0,VLOOKUP(A67,'Données projet'!$A$61:$I$81,4,0))</f>
        <v>0</v>
      </c>
      <c r="AR67" s="135">
        <f>IF(ISNA(VLOOKUP(A67,'Données projet'!$A$61:$I$81,5,0)),0%,VLOOKUP(A67,'Données projet'!$A$61:$I$81,5,0)*VLOOKUP('Données projet'!$B$10,'Paramètres'!$A$1:$I$89,7,0))</f>
        <v>0</v>
      </c>
      <c r="AS67" s="135">
        <f>IF(ISNA(VLOOKUP(A67,'Données projet'!$A$61:$I$81,6,0)),0%,VLOOKUP(A67,'Données projet'!$A$61:$I$81,6,0)*VLOOKUP('Données projet'!$B$10,'Paramètres'!$A$1:$I$89,7,0))</f>
        <v>0</v>
      </c>
      <c r="AT67" s="135">
        <f>IF(ISNA(VLOOKUP(A67,'Données projet'!$A$61:$I$81,7,0)),0%,VLOOKUP(A67,'Données projet'!$A$61:$I$81,7,0))</f>
        <v>0</v>
      </c>
      <c r="AU67" s="142">
        <f>EXP(-LN(2)/35)*AU66+(1-EXP(-LN(2)/35))/(LN(2)/35)*AQ67*AR67*VLOOKUP('Données projet'!$B$10,'Paramètres'!$A$1:$I$89,3,0)*0.475*44/12</f>
        <v>136.4102247</v>
      </c>
      <c r="AV67" s="142">
        <f>EXP(-LN(2)/25)*AV66+(1-EXP(-LN(2)/25))/(LN(2)/25)*Calculateur!AQ67*Calculateur!AS67*VLOOKUP('Données projet'!$B$10,'Paramètres'!$A$1:$I$89,3,0)*0.475*44/12</f>
        <v>31.97875479</v>
      </c>
      <c r="AW67" s="142">
        <f>EXP(-LN(2)/2)*AW66+(1-EXP(-LN(2)/2))/(LN(2)/2)*AQ67*AT67*VLOOKUP('Données projet'!$B$10,'Paramètres'!$A$1:$I$89,3,0)*0.475*44/12</f>
        <v>6.618792604</v>
      </c>
      <c r="AX67" s="142">
        <f t="shared" si="7"/>
        <v>175.0077721</v>
      </c>
      <c r="AY67" s="13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1" t="str">
        <f>VLOOKUP(A67,'Données projet'!$A$87:$I$107,2,0)</f>
        <v>#N/A</v>
      </c>
      <c r="BB67" s="131" t="str">
        <f>VLOOKUP(A67,'Données projet'!$A$87:$I$107,9,0)</f>
        <v>#N/A</v>
      </c>
      <c r="BC67" s="130">
        <f t="array" ref="BC67">INDEX(BB:BB,MIN(IF(ISNUMBER(BB67:BB263),ROW(BB67:BB263),"")))</f>
        <v>13</v>
      </c>
      <c r="BD67" s="130">
        <f>IF('Données projet'!$A$88&gt;35,BD66+BC67-BL66,IF(A67&lt;'Données projet'!$A$88,$BA$205^A67,IF(A67='Données projet'!$A$88,'Données projet'!$B$88,BD66+BC67-BL66)))</f>
        <v>392</v>
      </c>
      <c r="BE67" s="130">
        <f>BD67*VLOOKUP('Données projet'!$B$11,'Paramètres'!$A$1:$I$89,3,0)*VLOOKUP('Données projet'!$B$11,'Paramètres'!$A$1:$I$89,5,0)</f>
        <v>183.456</v>
      </c>
      <c r="BF67" s="130">
        <f t="shared" si="38"/>
        <v>46.09022938</v>
      </c>
      <c r="BG67" s="141">
        <f t="shared" si="8"/>
        <v>399.7930162</v>
      </c>
      <c r="BH67" s="133">
        <f t="shared" si="9"/>
        <v>693.1263495</v>
      </c>
      <c r="BI67" s="133">
        <f>AVERAGE(OFFSET($BH$3,0,0,'Données projet'!$E$11+1,1))-AVERAGE(OFFSET($H$3,0,0,'Données projet'!$E$11+1,1))</f>
        <v>134.0948534</v>
      </c>
      <c r="BJ67" s="133">
        <f t="shared" si="39"/>
        <v>108.4102536</v>
      </c>
      <c r="BK67" s="134">
        <f>IF(ISNA(VLOOKUP(A67,'Données projet'!$A$87:$I$107,3,0)),0,VLOOKUP(A67,'Données projet'!$A$87:$I$107,3,0))</f>
        <v>0</v>
      </c>
      <c r="BL67" s="134">
        <f>IF(ISNA(VLOOKUP(A67,'Données projet'!$A$87:$I$107,4,0)),0,VLOOKUP(A67,'Données projet'!$A$87:$I$107,4,0))</f>
        <v>0</v>
      </c>
      <c r="BM67" s="135">
        <f>IF(ISNA(VLOOKUP(A67,'Données projet'!$A$87:$I$107,5,0)),0%,VLOOKUP(A67,'Données projet'!$A$87:$I$107,5,0)*VLOOKUP('Données projet'!$B$11,'Paramètres'!$A$1:$I$89,7,0))</f>
        <v>0</v>
      </c>
      <c r="BN67" s="135">
        <f>IF(ISNA(VLOOKUP(A67,'Données projet'!$A$87:$I$107,6,0)),0%,VLOOKUP(A67,'Données projet'!$A$87:$I$107,6,0)*VLOOKUP('Données projet'!$B$11,'Paramètres'!$A$1:$I$89,7,0))</f>
        <v>0</v>
      </c>
      <c r="BO67" s="135">
        <f>IF(ISNA(VLOOKUP(A67,'Données projet'!$A$87:$I$107,7,0)),0%,VLOOKUP(A67,'Données projet'!$A$87:$I$107,7,0))</f>
        <v>0</v>
      </c>
      <c r="BP67" s="142">
        <f>EXP(-LN(2)/35)*BP66+(1-EXP(-LN(2)/35))/(LN(2)/35)*BL67*BM67*VLOOKUP('Données projet'!$B$11,'Paramètres'!$A$1:$I$89,3,0)*0.475*44/12</f>
        <v>26.02020204</v>
      </c>
      <c r="BQ67" s="142">
        <f>EXP(-LN(2)/25)*BQ66+(1-EXP(-LN(2)/25))/(LN(2)/25)*Calculateur!BL67*Calculateur!BN67*VLOOKUP('Données projet'!$B$11,'Paramètres'!$A$1:$I$89,3,0)*0.475*44/12</f>
        <v>9.600238869</v>
      </c>
      <c r="BR67" s="142">
        <f>EXP(-LN(2)/2)*BR66+(1-EXP(-LN(2)/2))/(LN(2)/2)*BL67*BO67*VLOOKUP('Données projet'!$B$11,'Paramètres'!$A$1:$I$89,3,0)*0.475*44/12</f>
        <v>0.6210673184</v>
      </c>
      <c r="BS67" s="143">
        <f t="shared" si="10"/>
        <v>36.24150823</v>
      </c>
      <c r="BT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1" t="str">
        <f>VLOOKUP(A67,'Données projet'!$A$113:$I$133,2,0)</f>
        <v>#N/A</v>
      </c>
      <c r="BW67" s="131" t="str">
        <f>VLOOKUP(A67,'Données projet'!$A$113:$I$133,9,0)</f>
        <v>#N/A</v>
      </c>
      <c r="BX67" s="131" t="str">
        <f t="array" ref="BX67">INDEX(BW:BW,MIN(IF(ISNUMBER(BW67:BW263),ROW(BW67:BW263),"")))</f>
        <v/>
      </c>
      <c r="BY67" s="130">
        <f>IF('Données projet'!$A$114&gt;35,BY66+BX67-CG66,IF(A67&lt;'Données projet'!$A$114,$BV$205^A67,IF(A67='Données projet'!$A$114,'Données projet'!$B$114,BY66+BX67-CG66)))</f>
        <v>0</v>
      </c>
      <c r="BZ67" s="130">
        <f>BY67*VLOOKUP('Données projet'!$B$12,'Paramètres'!$A$1:$I$89,3,0)*VLOOKUP('Données projet'!$B$12,'Paramètres'!$A$1:$I$89,5,0)</f>
        <v>0</v>
      </c>
      <c r="CA67" s="130" t="str">
        <f t="shared" si="40"/>
        <v>#NUM!</v>
      </c>
      <c r="CB67" s="141" t="str">
        <f t="shared" si="11"/>
        <v>#NUM!</v>
      </c>
      <c r="CC67" s="133" t="str">
        <f t="shared" si="12"/>
        <v>#NUM!</v>
      </c>
      <c r="CD67" s="133">
        <f>AVERAGE(OFFSET($CC$3,0,0,'Données projet'!$E$12+1,1))-AVERAGE(OFFSET($H$3,0,0,'Données projet'!$E$12+1,1))</f>
        <v>258.1672054</v>
      </c>
      <c r="CE67" s="133">
        <f t="shared" si="41"/>
        <v>296.0724261</v>
      </c>
      <c r="CF67" s="134">
        <f>IF(ISNA(VLOOKUP(A67,'Données projet'!$A$113:$I$133,3,0)),0,VLOOKUP(A67,'Données projet'!$A$113:$I$133,3,0))</f>
        <v>0</v>
      </c>
      <c r="CG67" s="134">
        <f>IF(ISNA(VLOOKUP(A67,'Données projet'!$A$113:$I$133,4,0)),0,VLOOKUP(A67,'Données projet'!$A$113:$I$133,4,0))</f>
        <v>0</v>
      </c>
      <c r="CH67" s="135">
        <f>IF(ISNA(VLOOKUP(A67,'Données projet'!$A$113:$I$133,5,0)),0%,VLOOKUP(A67,'Données projet'!$A$113:$I$133,5,0)*VLOOKUP('Données projet'!$B$12,'Paramètres'!$A$1:$I$89,7,0))</f>
        <v>0</v>
      </c>
      <c r="CI67" s="135">
        <f>IF(ISNA(VLOOKUP(A67,'Données projet'!$A$113:$I$133,6,0)),0%,VLOOKUP(A67,'Données projet'!$A$113:$I$133,6,0)*VLOOKUP('Données projet'!$B$12,'Paramètres'!$A$1:$I$89,7,0))</f>
        <v>0</v>
      </c>
      <c r="CJ67" s="135">
        <f>IF(ISNA(VLOOKUP(A67,'Données projet'!$A$113:$I$133,7,0)),0%,VLOOKUP(A67,'Données projet'!$A$113:$I$133,7,0))</f>
        <v>0</v>
      </c>
      <c r="CK67" s="142">
        <f>EXP(-LN(2)/35)*CK66+(1-EXP(-LN(2)/35))/(LN(2)/35)*CG67*CH67*VLOOKUP('Données projet'!$B$12,'Paramètres'!$A$1:$I$89,3,0)*0.475*44/12</f>
        <v>238.5502719</v>
      </c>
      <c r="CL67" s="142">
        <f>EXP(-LN(2)/25)*CL66+(1-EXP(-LN(2)/25))/(LN(2)/25)*Calculateur!CG67*Calculateur!CI67*VLOOKUP('Données projet'!$B$12,'Paramètres'!$A$1:$I$89,3,0)*0.475*44/12</f>
        <v>35.38322948</v>
      </c>
      <c r="CM67" s="142">
        <f>EXP(-LN(2)/2)*CM66+(1-EXP(-LN(2)/2))/(LN(2)/2)*CG67*CJ67*VLOOKUP('Données projet'!$B$12,'Paramètres'!$A$1:$I$89,3,0)*0.475*44/12</f>
        <v>3.719351045</v>
      </c>
      <c r="CN67" s="143">
        <f t="shared" si="13"/>
        <v>277.6528524</v>
      </c>
      <c r="CO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1" t="str">
        <f>VLOOKUP(A67,'Données projet'!$A$139:$I$159,2,0)</f>
        <v>#N/A</v>
      </c>
      <c r="CR67" s="131" t="str">
        <f>VLOOKUP(A67,'Données projet'!$A$139:$I$159,9,0)</f>
        <v>#N/A</v>
      </c>
      <c r="CS67" s="130">
        <f t="array" ref="CS67">INDEX(CR:CR,MIN(IF(ISNUMBER(CR67:CR263),ROW(CR67:CR263),"")))</f>
        <v>5.4</v>
      </c>
      <c r="CT67" s="138">
        <f>IF('Données projet'!$A$140&gt;35,CT66+CS67-DB66,IF(A67&lt;'Données projet'!$A$140,$CQ$205^A67,IF(A67='Données projet'!$A$140,'Données projet'!$B$140,CT66+CS67-DB66)))</f>
        <v>155.6</v>
      </c>
      <c r="CU67" s="138">
        <f>CT67*VLOOKUP('Données projet'!$B$13,'Paramètres'!$A$1:$I$89,3,0)*VLOOKUP('Données projet'!$B$13,'Paramètres'!$A$1:$I$89,5,0)</f>
        <v>157.7784</v>
      </c>
      <c r="CV67" s="130">
        <f t="shared" si="42"/>
        <v>40.34102028</v>
      </c>
      <c r="CW67" s="141">
        <f t="shared" si="14"/>
        <v>345.0579903</v>
      </c>
      <c r="CX67" s="133">
        <f t="shared" si="15"/>
        <v>638.3913237</v>
      </c>
      <c r="CY67" s="133">
        <f>AVERAGE(OFFSET($CX$3,0,0,'Données projet'!$E$13+1,1))-AVERAGE(OFFSET($H$3,0,0,'Données projet'!$E$13+1,1))</f>
        <v>223.783507</v>
      </c>
      <c r="CZ67" s="133">
        <f t="shared" si="43"/>
        <v>84.92349117</v>
      </c>
      <c r="DA67" s="134">
        <f>IF(ISNA(VLOOKUP(A67,'Données projet'!$A$139:$I$159,3,0)),0,VLOOKUP(A67,'Données projet'!$A$139:$I$159,3,0))</f>
        <v>0</v>
      </c>
      <c r="DB67" s="134">
        <f>IF(ISNA(VLOOKUP(A67,'Données projet'!$A$139:$I$159,4,0)),0,VLOOKUP(A67,'Données projet'!$A$139:$I$159,4,0))</f>
        <v>0</v>
      </c>
      <c r="DC67" s="135">
        <f>IF(ISNA(VLOOKUP(A67,'Données projet'!$A$139:$I$159,5,0)),0%,VLOOKUP(A67,'Données projet'!$A$139:$I$159,5,0)*VLOOKUP('Données projet'!$B$13,'Paramètres'!$A$1:$I$89,7,0))</f>
        <v>0</v>
      </c>
      <c r="DD67" s="135">
        <f>IF(ISNA(VLOOKUP(A67,'Données projet'!$A$139:$I$159,6,0)),0%,VLOOKUP(A67,'Données projet'!$A$139:$I$159,6,0)*VLOOKUP('Données projet'!$B$13,'Paramètres'!$A$1:$I$89,7,0))</f>
        <v>0</v>
      </c>
      <c r="DE67" s="135">
        <f>IF(ISNA(VLOOKUP(A67,'Données projet'!$A$139:$I$159,7,0)),0%,VLOOKUP(A67,'Données projet'!$A$139:$I$159,7,0))</f>
        <v>0</v>
      </c>
      <c r="DF67" s="142">
        <f>EXP(-LN(2)/35)*DF66+(1-EXP(-LN(2)/35))/(LN(2)/35)*DB67*DC67*VLOOKUP('Données projet'!$B$13,'Paramètres'!$A$1:$I$89,3,0)*0.475*44/12</f>
        <v>5.5133912</v>
      </c>
      <c r="DG67" s="142">
        <f>EXP(-LN(2)/25)*DG66+(1-EXP(-LN(2)/25))/(LN(2)/25)*Calculateur!DB67*Calculateur!DD67*VLOOKUP('Données projet'!$B$13,'Paramètres'!$A$1:$I$89,3,0)*0.475*44/12</f>
        <v>0</v>
      </c>
      <c r="DH67" s="142">
        <f>EXP(-LN(2)/2)*DH66+(1-EXP(-LN(2)/2))/(LN(2)/2)*DB67*DE67*VLOOKUP('Données projet'!$B$13,'Paramètres'!$A$1:$I$89,3,0)*0.475*44/12</f>
        <v>0</v>
      </c>
      <c r="DI67" s="143">
        <f t="shared" si="16"/>
        <v>5.5133912</v>
      </c>
      <c r="DJ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1" t="str">
        <f>VLOOKUP(A67,'Données projet'!$A$165:$I$185,2,0)</f>
        <v>#N/A</v>
      </c>
      <c r="DM67" s="131" t="str">
        <f>VLOOKUP(A67,'Données projet'!$A$165:$I$185,9,0)</f>
        <v>#N/A</v>
      </c>
      <c r="DN67" s="131">
        <f t="array" ref="DN67">INDEX(DM:DM,MIN(IF(ISNUMBER(DM67:DM263),ROW(DM67:DM263),"")))</f>
        <v>7.2</v>
      </c>
      <c r="DO67" s="138">
        <f>IF('Données projet'!$A$166&gt;35,DO66+DN67-DW66,IF(A67&lt;'Données projet'!$A$166,$DL$205^A67,IF(A67='Données projet'!$A$166,'Données projet'!$B$166,DO66+DN67-DW66)))</f>
        <v>221.8</v>
      </c>
      <c r="DP67" s="138">
        <f>DO67*VLOOKUP('Données projet'!$B$14,'Paramètres'!$A$1:$I$89,3,0)*VLOOKUP('Données projet'!$B$14,'Paramètres'!$A$1:$I$89,5,0)</f>
        <v>200.68464</v>
      </c>
      <c r="DQ67" s="130">
        <f t="shared" si="44"/>
        <v>49.89460094</v>
      </c>
      <c r="DR67" s="141">
        <f t="shared" si="17"/>
        <v>436.4255113</v>
      </c>
      <c r="DS67" s="133">
        <f t="shared" si="18"/>
        <v>729.7588446</v>
      </c>
      <c r="DT67" s="133">
        <f>AVERAGE(OFFSET($DS$3,0,0,'Données projet'!$E$14+1,1))-AVERAGE(OFFSET($H$3,0,0,'Données projet'!$E$14+1,1))</f>
        <v>287.9334714</v>
      </c>
      <c r="DU67" s="133">
        <f t="shared" si="45"/>
        <v>156.6796502</v>
      </c>
      <c r="DV67" s="134">
        <f>IF(ISNA(VLOOKUP(A67,'Données projet'!$A$165:$I$185,3,0)),0,VLOOKUP(A67,'Données projet'!$A$165:$I$185,3,0))</f>
        <v>0</v>
      </c>
      <c r="DW67" s="134">
        <f>IF(ISNA(VLOOKUP(A67,'Données projet'!$A$165:$I$185,4,0)),0,VLOOKUP(A67,'Données projet'!$A$165:$I$185,4,0))</f>
        <v>0</v>
      </c>
      <c r="DX67" s="135">
        <f>IF(ISNA(VLOOKUP(A67,'Données projet'!$A$165:$I$185,5,0)),0%,VLOOKUP(A67,'Données projet'!$A$165:$I$185,5,0)*VLOOKUP('Données projet'!$B$14,'Paramètres'!$A$1:$I$89,7,0))</f>
        <v>0</v>
      </c>
      <c r="DY67" s="135">
        <f>IF(ISNA(VLOOKUP(A67,'Données projet'!$A$165:$I$185,6,0)),0%,VLOOKUP(A67,'Données projet'!$A$165:$I$185,6,0)*VLOOKUP('Données projet'!$B$14,'Paramètres'!$A$1:$I$89,7,0))</f>
        <v>0</v>
      </c>
      <c r="DZ67" s="135">
        <f>IF(ISNA(VLOOKUP(A67,'Données projet'!$A$165:$I$185,7,0)),0%,VLOOKUP(A67,'Données projet'!$A$165:$I$185,7,0))</f>
        <v>0</v>
      </c>
      <c r="EA67" s="142">
        <f>EXP(-LN(2)/35)*EA66+(1-EXP(-LN(2)/35))/(LN(2)/35)*DW67*DX67*VLOOKUP('Données projet'!$B$14,'Paramètres'!$A$1:$I$89,3,0)*0.475*44/12</f>
        <v>10.02142819</v>
      </c>
      <c r="EB67" s="142">
        <f>EXP(-LN(2)/25)*EB66+(1-EXP(-LN(2)/25))/(LN(2)/25)*Calculateur!DW67*Calculateur!DY67*VLOOKUP('Données projet'!$B$14,'Paramètres'!$A$1:$I$89,3,0)*0.475*44/12</f>
        <v>0</v>
      </c>
      <c r="EC67" s="142">
        <f>EXP(-LN(2)/2)*EC66+(1-EXP(-LN(2)/2))/(LN(2)/2)*DW67*DZ67*VLOOKUP('Données projet'!$B$14,'Paramètres'!$A$1:$I$89,3,0)*0.475*44/12</f>
        <v>0</v>
      </c>
      <c r="ED67" s="143">
        <f t="shared" si="19"/>
        <v>10.02142819</v>
      </c>
      <c r="EE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1" t="str">
        <f>VLOOKUP(A67,'Données projet'!$A$191:$I$211,2,0)</f>
        <v>#N/A</v>
      </c>
      <c r="EH67" s="131" t="str">
        <f>VLOOKUP(A67,'Données projet'!$A$191:$I$211,9,0)</f>
        <v>#N/A</v>
      </c>
      <c r="EI67" s="131">
        <f t="array" ref="EI67">INDEX(EH:EH,MIN(IF(ISNUMBER(EH67:EH263),ROW(EH67:EH263),"")))</f>
        <v>8.2</v>
      </c>
      <c r="EJ67" s="138">
        <f>IF('Données projet'!$A$192&gt;35,EJ66+EI67-ER66,IF(A67&lt;'Données projet'!$A$192,$EG$205^A67,IF(A67='Données projet'!$A$192,'Données projet'!$B$192,EJ66+EI67-ER66)))</f>
        <v>208.8</v>
      </c>
      <c r="EK67" s="138">
        <f>EJ67*VLOOKUP('Données projet'!$B$15,'Paramètres'!$A$1:$I$89,3,0)*VLOOKUP('Données projet'!$B$15,'Paramètres'!$A$1:$I$89,5,0)</f>
        <v>153.09216</v>
      </c>
      <c r="EL67" s="130">
        <f t="shared" si="46"/>
        <v>39.2804534</v>
      </c>
      <c r="EM67" s="141">
        <f t="shared" si="20"/>
        <v>335.0489683</v>
      </c>
      <c r="EN67" s="133">
        <f t="shared" si="21"/>
        <v>628.3823017</v>
      </c>
      <c r="EO67" s="133">
        <f>AVERAGE(OFFSET($EN$3,0,0,'Données projet'!$E$15+1,1))-AVERAGE(OFFSET($H$3,0,0,'Données projet'!$E$15+1,1))</f>
        <v>130.3193339</v>
      </c>
      <c r="EP67" s="133">
        <f t="shared" si="47"/>
        <v>82.22784365</v>
      </c>
      <c r="EQ67" s="134">
        <f>IF(ISNA(VLOOKUP(A67,'Données projet'!$A$191:$I$211,3,0)),0,VLOOKUP(A67,'Données projet'!$A$191:$I$211,3,0))</f>
        <v>0</v>
      </c>
      <c r="ER67" s="134">
        <f>IF(ISNA(VLOOKUP(A67,'Données projet'!$A$191:$I$211,4,0)),0,VLOOKUP(A67,'Données projet'!$A$191:$I$211,4,0))</f>
        <v>0</v>
      </c>
      <c r="ES67" s="135">
        <f>IF(ISNA(VLOOKUP(A67,'Données projet'!$A$191:$I$211,5,0)),0%,VLOOKUP(A67,'Données projet'!$A$191:$I$211,5,0)*VLOOKUP('Données projet'!$B$15,'Paramètres'!$A$1:$I$89,7,0))</f>
        <v>0</v>
      </c>
      <c r="ET67" s="135">
        <f>IF(ISNA(VLOOKUP(A67,'Données projet'!$A$191:$I$211,6,0)),0%,VLOOKUP(A67,'Données projet'!$A$191:$I$211,6,0)*VLOOKUP('Données projet'!$B$15,'Paramètres'!$A$1:$I$89,7,0))</f>
        <v>0</v>
      </c>
      <c r="EU67" s="135">
        <f>IF(ISNA(VLOOKUP(A67,'Données projet'!$A$191:$I$211,7,0)),0%,VLOOKUP(A67,'Données projet'!$A$191:$I$211,7,0))</f>
        <v>0</v>
      </c>
      <c r="EV67" s="142">
        <f>EXP(-LN(2)/35)*EV66+(1-EXP(-LN(2)/35))/(LN(2)/35)*ER67*ES67*VLOOKUP('Données projet'!$B$15,'Paramètres'!$A$1:$I$89,3,0)*0.475*44/12</f>
        <v>12.89588622</v>
      </c>
      <c r="EW67" s="142">
        <f>EXP(-LN(2)/25)*EW66+(1-EXP(-LN(2)/25))/(LN(2)/25)*Calculateur!ER67*Calculateur!ET67*VLOOKUP('Données projet'!$B$15,'Paramètres'!$A$1:$I$89,3,0)*0.475*44/12</f>
        <v>0</v>
      </c>
      <c r="EX67" s="142">
        <f>EXP(-LN(2)/2)*EX66+(1-EXP(-LN(2)/2))/(LN(2)/2)*ER67*EU67*VLOOKUP('Données projet'!$B$15,'Paramètres'!$A$1:$I$89,3,0)*0.475*44/12</f>
        <v>0</v>
      </c>
      <c r="EY67" s="143">
        <f t="shared" si="22"/>
        <v>12.89588622</v>
      </c>
      <c r="EZ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1" t="str">
        <f>VLOOKUP(A67,'Données projet'!$A$217:$I$237,2,0)</f>
        <v>#N/A</v>
      </c>
      <c r="FC67" s="131" t="str">
        <f>VLOOKUP(A67,'Données projet'!$A$217:$I$237,9,0)</f>
        <v>#N/A</v>
      </c>
      <c r="FD67" s="130">
        <f t="array" ref="FD67">INDEX(FC:FC,MIN(IF(ISNUMBER(FC67:FC263),ROW(FC67:FC263),"")))</f>
        <v>4.2</v>
      </c>
      <c r="FE67" s="130">
        <f>IF('Données projet'!$A$218&gt;35,FE66+FD67-FM66,IF(A67&lt;'Données projet'!$A$218,$FB$205^A67,IF(A67='Données projet'!$A$218,'Données projet'!$B$218,FE66+FD67-FM66)))</f>
        <v>291.8</v>
      </c>
      <c r="FF67" s="138">
        <f>FE67*VLOOKUP('Données projet'!$B$16,'Paramètres'!$A$1:$I$89,3,0)*VLOOKUP('Données projet'!$B$16,'Paramètres'!$A$1:$I$89,5,0)</f>
        <v>264.02064</v>
      </c>
      <c r="FG67" s="130">
        <f t="shared" si="48"/>
        <v>63.57864899</v>
      </c>
      <c r="FH67" s="141">
        <f t="shared" si="23"/>
        <v>570.5687617</v>
      </c>
      <c r="FI67" s="133">
        <f t="shared" si="24"/>
        <v>863.902095</v>
      </c>
      <c r="FJ67" s="133">
        <f>AVERAGE(OFFSET($FI$3,0,0,'Données projet'!$E$16+1,1))-AVERAGE(OFFSET($H$3,0,0,'Données projet'!$E$16+1,1))</f>
        <v>305.6252353</v>
      </c>
      <c r="FK67" s="133">
        <f t="shared" si="49"/>
        <v>331.397916</v>
      </c>
      <c r="FL67" s="134">
        <f>IF(ISNA(VLOOKUP(A67,'Données projet'!$A$217:$I$237,3,0)),0,VLOOKUP(A67,'Données projet'!$A$217:$I$237,3,0))</f>
        <v>0</v>
      </c>
      <c r="FM67" s="134">
        <f>IF(ISNA(VLOOKUP(A67,'Données projet'!$A$217:$I$237,4,0)),0,VLOOKUP(A67,'Données projet'!$A$217:$I$237,4,0))</f>
        <v>0</v>
      </c>
      <c r="FN67" s="135">
        <f>IF(ISNA(VLOOKUP(A67,'Données projet'!$A$217:$I$237,5,0)),0%,VLOOKUP(A67,'Données projet'!$A$217:$I$237,5,0)*VLOOKUP('Données projet'!$B$16,'Paramètres'!$A$1:$I$89,7,0))</f>
        <v>0</v>
      </c>
      <c r="FO67" s="135">
        <f>IF(ISNA(VLOOKUP(A67,'Données projet'!$A$217:$I$237,6,0)),0%,VLOOKUP(A67,'Données projet'!$A$217:$I$237,6,0)*VLOOKUP('Données projet'!$B$16,'Paramètres'!$A$1:$I$89,7,0))</f>
        <v>0</v>
      </c>
      <c r="FP67" s="135">
        <f>IF(ISNA(VLOOKUP(A67,'Données projet'!$A$217:$I$237,7,0)),0%,VLOOKUP(A67,'Données projet'!$A$217:$I$237,7,0))</f>
        <v>0</v>
      </c>
      <c r="FQ67" s="142">
        <f>EXP(-LN(2)/35)*FQ66+(1-EXP(-LN(2)/35))/(LN(2)/35)*FM67*FN67*VLOOKUP('Données projet'!$B$16,'Paramètres'!$A$1:$I$89,3,0)*0.475*44/12</f>
        <v>6.138129391</v>
      </c>
      <c r="FR67" s="142">
        <f>EXP(-LN(2)/25)*FR66+(1-EXP(-LN(2)/25))/(LN(2)/25)*Calculateur!FM67*Calculateur!FO67*VLOOKUP('Données projet'!$B$16,'Paramètres'!$A$1:$I$89,3,0)*0.475*44/12</f>
        <v>0</v>
      </c>
      <c r="FS67" s="142">
        <f>EXP(-LN(2)/2)*FS66+(1-EXP(-LN(2)/2))/(LN(2)/2)*FM67*FP67*VLOOKUP('Données projet'!$B$16,'Paramètres'!$A$1:$I$89,3,0)*0.475*44/12</f>
        <v>0</v>
      </c>
      <c r="FT67" s="143">
        <f t="shared" si="25"/>
        <v>6.138129391</v>
      </c>
      <c r="FU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1" t="str">
        <f>VLOOKUP(A67,'Données projet'!$A$243:$I$263,2,0)</f>
        <v>#N/A</v>
      </c>
      <c r="FX67" s="131" t="str">
        <f>VLOOKUP(A67,'Données projet'!$A$243:$I$263,9,0)</f>
        <v>#N/A</v>
      </c>
      <c r="FY67" s="131" t="str">
        <f t="array" ref="FY67">INDEX(FX:FX,MIN(IF(ISNUMBER(FX67:FX263),ROW(FX67:FX263),"")))</f>
        <v/>
      </c>
      <c r="FZ67" s="138">
        <f>IF('Données projet'!$A$244&gt;35,FZ66+FY67-GH66,IF(A67&lt;'Données projet'!$A$244,$FW$205^A67,IF(A67='Données projet'!$A$244,'Données projet'!$B$244,FZ66+FY67-GH66)))</f>
        <v>0</v>
      </c>
      <c r="GA67" s="138">
        <f>FZ67*VLOOKUP('Données projet'!$B$17,'Paramètres'!$A$1:$I$89,3,0)*VLOOKUP('Données projet'!$B$17,'Paramètres'!$A$1:$I$89,5,0)</f>
        <v>0</v>
      </c>
      <c r="GB67" s="130">
        <f t="shared" si="50"/>
        <v>0</v>
      </c>
      <c r="GC67" s="141">
        <f t="shared" si="26"/>
        <v>0</v>
      </c>
      <c r="GD67" s="133">
        <f t="shared" si="27"/>
        <v>293.3333333</v>
      </c>
      <c r="GE67" s="133">
        <f>AVERAGE(OFFSET($GD$3,0,0,'Données projet'!$E$17+1,1))-AVERAGE(OFFSET($H$3,0,0,'Données projet'!$E$17+1,1))</f>
        <v>118.7368745</v>
      </c>
      <c r="GF67" s="133">
        <f t="shared" si="51"/>
        <v>135.1233677</v>
      </c>
      <c r="GG67" s="134">
        <f>IF(ISNA(VLOOKUP(A67,'Données projet'!$A$243:$I$263,3,0)),0,VLOOKUP(A67,'Données projet'!$A$243:$I$263,3,0))</f>
        <v>0</v>
      </c>
      <c r="GH67" s="134">
        <f>IF(ISNA(VLOOKUP(A67,'Données projet'!$A$243:$I$263,4,0)),0,VLOOKUP(A67,'Données projet'!$A$243:$I$263,4,0))</f>
        <v>0</v>
      </c>
      <c r="GI67" s="135">
        <f>IF(ISNA(VLOOKUP(A67,'Données projet'!$A$243:$I$263,5,0)),0%,VLOOKUP(A67,'Données projet'!$A$243:$I$263,5,0)*VLOOKUP('Données projet'!$B$17,'Paramètres'!$A$1:$I$89,7,0))</f>
        <v>0</v>
      </c>
      <c r="GJ67" s="135">
        <f>IF(ISNA(VLOOKUP(A67,'Données projet'!$A$243:$I$263,6,0)),0%,VLOOKUP(A67,'Données projet'!$A$243:$I$263,6,0)*VLOOKUP('Données projet'!$B$17,'Paramètres'!$A$1:$I$89,7,0))</f>
        <v>0</v>
      </c>
      <c r="GK67" s="135">
        <f>IF(ISNA(VLOOKUP(A67,'Données projet'!$A$243:$I$263,7,0)),0%,VLOOKUP(A67,'Données projet'!$A$243:$I$263,7,0))</f>
        <v>0</v>
      </c>
      <c r="GL67" s="142">
        <f>EXP(-LN(2)/35)*GL66+(1-EXP(-LN(2)/35))/(LN(2)/35)*GH67*GI67*VLOOKUP('Données projet'!$B$17,'Paramètres'!$A$1:$I$89,3,0)*0.475*44/12</f>
        <v>95.95329152</v>
      </c>
      <c r="GM67" s="142">
        <f>EXP(-LN(2)/25)*GM66+(1-EXP(-LN(2)/25))/(LN(2)/25)*Calculateur!GH67*Calculateur!GJ67*VLOOKUP('Données projet'!$B$17,'Paramètres'!$A$1:$I$89,3,0)*0.475*44/12</f>
        <v>0</v>
      </c>
      <c r="GN67" s="142">
        <f>EXP(-LN(2)/2)*GN66+(1-EXP(-LN(2)/2))/(LN(2)/2)*GH67*GK67*VLOOKUP('Données projet'!$B$17,'Paramètres'!$A$1:$I$89,3,0)*0.475*44/12</f>
        <v>0</v>
      </c>
      <c r="GO67" s="142">
        <f t="shared" si="28"/>
        <v>95.95329152</v>
      </c>
      <c r="GP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1" t="str">
        <f>VLOOKUP(A67,'Données projet'!$A$269:$I$289,2,0)</f>
        <v>#N/A</v>
      </c>
      <c r="GS67" s="131" t="str">
        <f>VLOOKUP(A67,'Données projet'!$A$269:$I$289,9,0)</f>
        <v>#N/A</v>
      </c>
      <c r="GT67" s="131" t="str">
        <f t="array" ref="GT67">INDEX(GS:GS,MIN(IF(ISNUMBER(GS67:GS263),ROW(GS67:GS263),"")))</f>
        <v/>
      </c>
      <c r="GU67" s="138">
        <f>IF('Données projet'!$A$270&gt;35,GU66+GT67-HC66,IF(A67&lt;'Données projet'!$A$270,$GR$205^A67,IF(A67='Données projet'!$A$270,'Données projet'!$B$270,GU66+GT67-HC66)))</f>
        <v>0</v>
      </c>
      <c r="GV67" s="138">
        <f>GU67*VLOOKUP('Données projet'!$B$18,'Paramètres'!$A$1:$I$89,3,0)*VLOOKUP('Données projet'!$B$18,'Paramètres'!$A$1:$I$89,5,0)</f>
        <v>0</v>
      </c>
      <c r="GW67" s="130" t="str">
        <f t="shared" si="52"/>
        <v>#NUM!</v>
      </c>
      <c r="GX67" s="141" t="str">
        <f t="shared" si="29"/>
        <v>#NUM!</v>
      </c>
      <c r="GY67" s="133" t="str">
        <f t="shared" si="30"/>
        <v>#NUM!</v>
      </c>
      <c r="GZ67" s="133">
        <f>AVERAGE(OFFSET($GY$3,0,0,'Données projet'!$E$18+1,1))-AVERAGE(OFFSET($H$3,0,0,'Données projet'!$E$18+1,1))</f>
        <v>100.5427875</v>
      </c>
      <c r="HA67" s="133">
        <f t="shared" si="53"/>
        <v>92.28663609</v>
      </c>
      <c r="HB67" s="134">
        <f>IF(ISNA(VLOOKUP(A67,'Données projet'!$A$269:$I$289,3,0)),0,VLOOKUP(A67,'Données projet'!$A$269:$I$289,3,0))</f>
        <v>0</v>
      </c>
      <c r="HC67" s="134">
        <f>IF(ISNA(VLOOKUP(A67,'Données projet'!$A$269:$I$289,4,0)),0,VLOOKUP(A67,'Données projet'!$A$269:$I$289,4,0))</f>
        <v>0</v>
      </c>
      <c r="HD67" s="135">
        <f>IF(ISNA(VLOOKUP(A67,'Données projet'!$A$269:$I$289,5,0)),0%,VLOOKUP(A67,'Données projet'!$A$269:$I$289,5,0)*VLOOKUP('Données projet'!$B$18,'Paramètres'!$A$1:$I$89,7,0))</f>
        <v>0</v>
      </c>
      <c r="HE67" s="135">
        <f>IF(ISNA(VLOOKUP(A67,'Données projet'!$A$269:$I$289,6,0)),0%,VLOOKUP(A67,'Données projet'!$A$269:$I$289,6,0)*VLOOKUP('Données projet'!$B$18,'Paramètres'!$A$1:$I$89,7,0))</f>
        <v>0</v>
      </c>
      <c r="HF67" s="135">
        <f>IF(ISNA(VLOOKUP(A67,'Données projet'!$A$269:$I$289,7,0)),0%,VLOOKUP(A67,'Données projet'!$A$269:$I$289,7,0))</f>
        <v>0</v>
      </c>
      <c r="HG67" s="142">
        <f>EXP(-LN(2)/35)*HG66+(1-EXP(-LN(2)/35))/(LN(2)/35)*HC67*HD67*VLOOKUP('Données projet'!$B$18,'Paramètres'!$A$1:$I$89,3,0)*0.475*44/12</f>
        <v>65.34216728</v>
      </c>
      <c r="HH67" s="142">
        <f>EXP(-LN(2)/25)*HH66+(1-EXP(-LN(2)/25))/(LN(2)/25)*Calculateur!HC67*Calculateur!HE67*VLOOKUP('Données projet'!$B$18,'Paramètres'!$A$1:$I$89,3,0)*0.475*44/12</f>
        <v>0</v>
      </c>
      <c r="HI67" s="142">
        <f>EXP(-LN(2)/2)*HI66+(1-EXP(-LN(2)/2))/(LN(2)/2)*HC67*HF67*VLOOKUP('Données projet'!$B$18,'Paramètres'!$A$1:$I$89,3,0)*0.475*44/12</f>
        <v>0</v>
      </c>
      <c r="HJ67" s="143">
        <f t="shared" si="31"/>
        <v>65.34216728</v>
      </c>
    </row>
    <row r="68" ht="15.75" customHeight="1">
      <c r="A68" s="125">
        <f t="shared" si="32"/>
        <v>65</v>
      </c>
      <c r="B68" s="126">
        <f>'Scénario référence'!$B$16*5+'Scénario référence'!$B$17*0+'Scénario référence'!$B$18*5</f>
        <v>0</v>
      </c>
      <c r="C68" s="140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35.49</v>
      </c>
      <c r="D68" s="127">
        <f t="shared" si="33"/>
        <v>10.79507654</v>
      </c>
      <c r="E6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7">
        <f>IF(OR('Scénario référence'!$F$8&gt;0,'Scénario référence'!$F$9&gt;0),('Scénario référence'!$F$8+'Scénario référence'!$F$9)*10,0)</f>
        <v>10</v>
      </c>
      <c r="G68" s="127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</v>
      </c>
      <c r="H68" s="128">
        <f t="shared" si="1"/>
        <v>373.9465083</v>
      </c>
      <c r="I68" s="12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1" t="str">
        <f>VLOOKUP(A68,'Données projet'!$A$35:$I$55,2,0)</f>
        <v>#N/A</v>
      </c>
      <c r="L68" s="131" t="str">
        <f>VLOOKUP(A68,'Données projet'!$A$35:$I$55,9,0)</f>
        <v>#N/A</v>
      </c>
      <c r="M68" s="131" t="str">
        <f t="array" ref="M68">INDEX(L:L,MIN(IF(ISNUMBER(L68:L264),ROW(L68:L264),"")))</f>
        <v/>
      </c>
      <c r="N68" s="130">
        <f>IF('Données projet'!$A$36&gt;35,N67+M68-V67,IF(A68&lt;'Données projet'!$A$36,$K$205^A68,IF(A68='Données projet'!$A$36,'Données projet'!$B$36,N67+M68-V67)))</f>
        <v>0</v>
      </c>
      <c r="O68" s="130">
        <f>N68*VLOOKUP('Données projet'!$B$9,'Paramètres'!$A$1:$I$89,3,0)*VLOOKUP('Données projet'!$B$9,'Paramètres'!$A$1:$I$89,5,0)</f>
        <v>0</v>
      </c>
      <c r="P68" s="130">
        <f t="shared" si="34"/>
        <v>0</v>
      </c>
      <c r="Q68" s="141">
        <f t="shared" si="2"/>
        <v>0</v>
      </c>
      <c r="R68" s="133">
        <f t="shared" si="3"/>
        <v>293.3333333</v>
      </c>
      <c r="S68" s="133">
        <f>AVERAGE(OFFSET($R$3,0,0,'Données projet'!$E$9+1,1))-AVERAGE(OFFSET($H$3,0,0,'Données projet'!$E$9+1,1))</f>
        <v>126.9946492</v>
      </c>
      <c r="T68" s="133">
        <f t="shared" si="35"/>
        <v>140.039049</v>
      </c>
      <c r="U68" s="134">
        <f>IF(ISNA(VLOOKUP(A68,'Données projet'!$A$35:$I$55,3,0)),0,VLOOKUP(A68,'Données projet'!$A$35:$I$55,3,0))</f>
        <v>0</v>
      </c>
      <c r="V68" s="134">
        <f>IF(ISNA(VLOOKUP(A68,'Données projet'!$A$35:$I$55,4,0)),0,VLOOKUP(A68,'Données projet'!$A$35:$I$55,4,0))</f>
        <v>0</v>
      </c>
      <c r="W68" s="135">
        <f>IF(ISNA(VLOOKUP(A68,'Données projet'!$A$35:$I$55,5,0)),0%,VLOOKUP(A68,'Données projet'!$A$35:$I$55,5,0)*VLOOKUP('Données projet'!$B$9,'Paramètres'!$A$1:$I$89,7,0))</f>
        <v>0</v>
      </c>
      <c r="X68" s="135">
        <f>IF(ISNA(VLOOKUP(A68,'Données projet'!$A$35:$I$55,6,0)),0%,VLOOKUP(A68,'Données projet'!$A$35:$I$55,6,0)*VLOOKUP('Données projet'!$B$9,'Paramètres'!$A$1:$I$89,7,0))</f>
        <v>0</v>
      </c>
      <c r="Y68" s="135">
        <f>IF(ISNA(VLOOKUP(A68,'Données projet'!$A$35:$I$55,7,0)),0%,VLOOKUP(A68,'Données projet'!$A$35:$I$55,7,0))</f>
        <v>0</v>
      </c>
      <c r="Z68" s="142">
        <f>EXP(-LN(2)/35)*Z67+(1-EXP(-LN(2)/35))/(LN(2)/35)*V68*W68*VLOOKUP('Données projet'!$B$9,'Paramètres'!$A$1:$I$89,3,0)*0.475*44/12</f>
        <v>96.21441455</v>
      </c>
      <c r="AA68" s="142">
        <f>EXP(-LN(2)/25)*AA67+(1-EXP(-LN(2)/25))/(LN(2)/25)*Calculateur!V68*Calculateur!X68*VLOOKUP('Données projet'!$B$9,'Paramètres'!$A$1:$I$89,3,0)*0.475*44/12</f>
        <v>20.23041758</v>
      </c>
      <c r="AB68" s="142">
        <f>EXP(-LN(2)/2)*AB67+(1-EXP(-LN(2)/2))/(LN(2)/2)*V68*Y68*VLOOKUP('Données projet'!$B$9,'Paramètres'!$A$1:$I$89,3,0)*0.475*44/12</f>
        <v>3.356878288</v>
      </c>
      <c r="AC68" s="143">
        <f t="shared" si="4"/>
        <v>119.8017104</v>
      </c>
      <c r="AD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1" t="str">
        <f>VLOOKUP(A68,'Données projet'!$A$61:$I$81,2,0)</f>
        <v>#N/A</v>
      </c>
      <c r="AG68" s="131" t="str">
        <f>VLOOKUP(A68,'Données projet'!$A$61:$I$81,9,0)</f>
        <v>#N/A</v>
      </c>
      <c r="AH68" s="131" t="str">
        <f t="array" ref="AH68">INDEX(AG:AG,MIN(IF(ISNUMBER(AG68:AG264),ROW(AG68:AG264),"")))</f>
        <v/>
      </c>
      <c r="AI68" s="130">
        <f>IF('Données projet'!$A$62&gt;35,AI67+AH68-AQ67,IF(A68&lt;'Données projet'!$A$62,$AF$205^A68,IF(A68='Données projet'!$A$62,'Données projet'!$B$62,AI67+AH68-AQ67)))</f>
        <v>0</v>
      </c>
      <c r="AJ68" s="130">
        <f>AI68*VLOOKUP('Données projet'!$B$10,'Paramètres'!$A$1:$I$89,3,0)*VLOOKUP('Données projet'!$B$10,'Paramètres'!$A$1:$I$89,5,0)</f>
        <v>0</v>
      </c>
      <c r="AK68" s="130" t="str">
        <f t="shared" si="36"/>
        <v>#NUM!</v>
      </c>
      <c r="AL68" s="141" t="str">
        <f t="shared" si="5"/>
        <v>#NUM!</v>
      </c>
      <c r="AM68" s="133" t="str">
        <f t="shared" si="6"/>
        <v>#NUM!</v>
      </c>
      <c r="AN68" s="133">
        <f>AVERAGE(OFFSET($AM$3,0,0,'Données projet'!$E$10+1,1))-AVERAGE(OFFSET($H$3,0,0,'Données projet'!$E$10+1,1))</f>
        <v>196.874484</v>
      </c>
      <c r="AO68" s="133">
        <f t="shared" si="37"/>
        <v>217.5750859</v>
      </c>
      <c r="AP68" s="134">
        <f>IF(ISNA(VLOOKUP(A68,'Données projet'!$A$61:$I$81,3,0)),0,VLOOKUP(A68,'Données projet'!$A$61:$I$81,3,0))</f>
        <v>0</v>
      </c>
      <c r="AQ68" s="134">
        <f>IF(ISNA(VLOOKUP(A68,'Données projet'!$A$61:$I$81,4,0)),0,VLOOKUP(A68,'Données projet'!$A$61:$I$81,4,0))</f>
        <v>0</v>
      </c>
      <c r="AR68" s="135">
        <f>IF(ISNA(VLOOKUP(A68,'Données projet'!$A$61:$I$81,5,0)),0%,VLOOKUP(A68,'Données projet'!$A$61:$I$81,5,0)*VLOOKUP('Données projet'!$B$10,'Paramètres'!$A$1:$I$89,7,0))</f>
        <v>0</v>
      </c>
      <c r="AS68" s="135">
        <f>IF(ISNA(VLOOKUP(A68,'Données projet'!$A$61:$I$81,6,0)),0%,VLOOKUP(A68,'Données projet'!$A$61:$I$81,6,0)*VLOOKUP('Données projet'!$B$10,'Paramètres'!$A$1:$I$89,7,0))</f>
        <v>0</v>
      </c>
      <c r="AT68" s="135">
        <f>IF(ISNA(VLOOKUP(A68,'Données projet'!$A$61:$I$81,7,0)),0%,VLOOKUP(A68,'Données projet'!$A$61:$I$81,7,0))</f>
        <v>0</v>
      </c>
      <c r="AU68" s="142">
        <f>EXP(-LN(2)/35)*AU67+(1-EXP(-LN(2)/35))/(LN(2)/35)*AQ68*AR68*VLOOKUP('Données projet'!$B$10,'Paramètres'!$A$1:$I$89,3,0)*0.475*44/12</f>
        <v>133.7353034</v>
      </c>
      <c r="AV68" s="142">
        <f>EXP(-LN(2)/25)*AV67+(1-EXP(-LN(2)/25))/(LN(2)/25)*Calculateur!AQ68*Calculateur!AS68*VLOOKUP('Données projet'!$B$10,'Paramètres'!$A$1:$I$89,3,0)*0.475*44/12</f>
        <v>31.10429405</v>
      </c>
      <c r="AW68" s="142">
        <f>EXP(-LN(2)/2)*AW67+(1-EXP(-LN(2)/2))/(LN(2)/2)*AQ68*AT68*VLOOKUP('Données projet'!$B$10,'Paramètres'!$A$1:$I$89,3,0)*0.475*44/12</f>
        <v>4.680193134</v>
      </c>
      <c r="AX68" s="142">
        <f t="shared" si="7"/>
        <v>169.5197906</v>
      </c>
      <c r="AY68" s="13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1" t="str">
        <f>VLOOKUP(A68,'Données projet'!$A$87:$I$107,2,0)</f>
        <v>#N/A</v>
      </c>
      <c r="BB68" s="131" t="str">
        <f>VLOOKUP(A68,'Données projet'!$A$87:$I$107,9,0)</f>
        <v>#N/A</v>
      </c>
      <c r="BC68" s="130">
        <f t="array" ref="BC68">INDEX(BB:BB,MIN(IF(ISNUMBER(BB68:BB264),ROW(BB68:BB264),"")))</f>
        <v>13</v>
      </c>
      <c r="BD68" s="130">
        <f>IF('Données projet'!$A$88&gt;35,BD67+BC68-BL67,IF(A68&lt;'Données projet'!$A$88,$BA$205^A68,IF(A68='Données projet'!$A$88,'Données projet'!$B$88,BD67+BC68-BL67)))</f>
        <v>405</v>
      </c>
      <c r="BE68" s="130">
        <f>BD68*VLOOKUP('Données projet'!$B$11,'Paramètres'!$A$1:$I$89,3,0)*VLOOKUP('Données projet'!$B$11,'Paramètres'!$A$1:$I$89,5,0)</f>
        <v>189.54</v>
      </c>
      <c r="BF68" s="130">
        <f t="shared" si="38"/>
        <v>47.43823904</v>
      </c>
      <c r="BG68" s="141">
        <f t="shared" si="8"/>
        <v>412.7370997</v>
      </c>
      <c r="BH68" s="133">
        <f t="shared" si="9"/>
        <v>706.070433</v>
      </c>
      <c r="BI68" s="133">
        <f>AVERAGE(OFFSET($BH$3,0,0,'Données projet'!$E$11+1,1))-AVERAGE(OFFSET($H$3,0,0,'Données projet'!$E$11+1,1))</f>
        <v>134.0948534</v>
      </c>
      <c r="BJ68" s="133">
        <f t="shared" si="39"/>
        <v>108.4102536</v>
      </c>
      <c r="BK68" s="134">
        <f>IF(ISNA(VLOOKUP(A68,'Données projet'!$A$87:$I$107,3,0)),0,VLOOKUP(A68,'Données projet'!$A$87:$I$107,3,0))</f>
        <v>0</v>
      </c>
      <c r="BL68" s="134">
        <f>IF(ISNA(VLOOKUP(A68,'Données projet'!$A$87:$I$107,4,0)),0,VLOOKUP(A68,'Données projet'!$A$87:$I$107,4,0))</f>
        <v>0</v>
      </c>
      <c r="BM68" s="135">
        <f>IF(ISNA(VLOOKUP(A68,'Données projet'!$A$87:$I$107,5,0)),0%,VLOOKUP(A68,'Données projet'!$A$87:$I$107,5,0)*VLOOKUP('Données projet'!$B$11,'Paramètres'!$A$1:$I$89,7,0))</f>
        <v>0</v>
      </c>
      <c r="BN68" s="135">
        <f>IF(ISNA(VLOOKUP(A68,'Données projet'!$A$87:$I$107,6,0)),0%,VLOOKUP(A68,'Données projet'!$A$87:$I$107,6,0)*VLOOKUP('Données projet'!$B$11,'Paramètres'!$A$1:$I$89,7,0))</f>
        <v>0</v>
      </c>
      <c r="BO68" s="135">
        <f>IF(ISNA(VLOOKUP(A68,'Données projet'!$A$87:$I$107,7,0)),0%,VLOOKUP(A68,'Données projet'!$A$87:$I$107,7,0))</f>
        <v>0</v>
      </c>
      <c r="BP68" s="142">
        <f>EXP(-LN(2)/35)*BP67+(1-EXP(-LN(2)/35))/(LN(2)/35)*BL68*BM68*VLOOKUP('Données projet'!$B$11,'Paramètres'!$A$1:$I$89,3,0)*0.475*44/12</f>
        <v>25.50996175</v>
      </c>
      <c r="BQ68" s="142">
        <f>EXP(-LN(2)/25)*BQ67+(1-EXP(-LN(2)/25))/(LN(2)/25)*Calculateur!BL68*Calculateur!BN68*VLOOKUP('Données projet'!$B$11,'Paramètres'!$A$1:$I$89,3,0)*0.475*44/12</f>
        <v>9.337719833</v>
      </c>
      <c r="BR68" s="142">
        <f>EXP(-LN(2)/2)*BR67+(1-EXP(-LN(2)/2))/(LN(2)/2)*BL68*BO68*VLOOKUP('Données projet'!$B$11,'Paramètres'!$A$1:$I$89,3,0)*0.475*44/12</f>
        <v>0.4391609124</v>
      </c>
      <c r="BS68" s="143">
        <f t="shared" si="10"/>
        <v>35.2868425</v>
      </c>
      <c r="BT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1" t="str">
        <f>VLOOKUP(A68,'Données projet'!$A$113:$I$133,2,0)</f>
        <v>#N/A</v>
      </c>
      <c r="BW68" s="131" t="str">
        <f>VLOOKUP(A68,'Données projet'!$A$113:$I$133,9,0)</f>
        <v>#N/A</v>
      </c>
      <c r="BX68" s="131" t="str">
        <f t="array" ref="BX68">INDEX(BW:BW,MIN(IF(ISNUMBER(BW68:BW264),ROW(BW68:BW264),"")))</f>
        <v/>
      </c>
      <c r="BY68" s="130">
        <f>IF('Données projet'!$A$114&gt;35,BY67+BX68-CG67,IF(A68&lt;'Données projet'!$A$114,$BV$205^A68,IF(A68='Données projet'!$A$114,'Données projet'!$B$114,BY67+BX68-CG67)))</f>
        <v>0</v>
      </c>
      <c r="BZ68" s="130">
        <f>BY68*VLOOKUP('Données projet'!$B$12,'Paramètres'!$A$1:$I$89,3,0)*VLOOKUP('Données projet'!$B$12,'Paramètres'!$A$1:$I$89,5,0)</f>
        <v>0</v>
      </c>
      <c r="CA68" s="130" t="str">
        <f t="shared" si="40"/>
        <v>#NUM!</v>
      </c>
      <c r="CB68" s="141" t="str">
        <f t="shared" si="11"/>
        <v>#NUM!</v>
      </c>
      <c r="CC68" s="133" t="str">
        <f t="shared" si="12"/>
        <v>#NUM!</v>
      </c>
      <c r="CD68" s="133">
        <f>AVERAGE(OFFSET($CC$3,0,0,'Données projet'!$E$12+1,1))-AVERAGE(OFFSET($H$3,0,0,'Données projet'!$E$12+1,1))</f>
        <v>258.1672054</v>
      </c>
      <c r="CE68" s="133">
        <f t="shared" si="41"/>
        <v>296.0724261</v>
      </c>
      <c r="CF68" s="134">
        <f>IF(ISNA(VLOOKUP(A68,'Données projet'!$A$113:$I$133,3,0)),0,VLOOKUP(A68,'Données projet'!$A$113:$I$133,3,0))</f>
        <v>0</v>
      </c>
      <c r="CG68" s="134">
        <f>IF(ISNA(VLOOKUP(A68,'Données projet'!$A$113:$I$133,4,0)),0,VLOOKUP(A68,'Données projet'!$A$113:$I$133,4,0))</f>
        <v>0</v>
      </c>
      <c r="CH68" s="135">
        <f>IF(ISNA(VLOOKUP(A68,'Données projet'!$A$113:$I$133,5,0)),0%,VLOOKUP(A68,'Données projet'!$A$113:$I$133,5,0)*VLOOKUP('Données projet'!$B$12,'Paramètres'!$A$1:$I$89,7,0))</f>
        <v>0</v>
      </c>
      <c r="CI68" s="135">
        <f>IF(ISNA(VLOOKUP(A68,'Données projet'!$A$113:$I$133,6,0)),0%,VLOOKUP(A68,'Données projet'!$A$113:$I$133,6,0)*VLOOKUP('Données projet'!$B$12,'Paramètres'!$A$1:$I$89,7,0))</f>
        <v>0</v>
      </c>
      <c r="CJ68" s="135">
        <f>IF(ISNA(VLOOKUP(A68,'Données projet'!$A$113:$I$133,7,0)),0%,VLOOKUP(A68,'Données projet'!$A$113:$I$133,7,0))</f>
        <v>0</v>
      </c>
      <c r="CK68" s="142">
        <f>EXP(-LN(2)/35)*CK67+(1-EXP(-LN(2)/35))/(LN(2)/35)*CG68*CH68*VLOOKUP('Données projet'!$B$12,'Paramètres'!$A$1:$I$89,3,0)*0.475*44/12</f>
        <v>233.8724465</v>
      </c>
      <c r="CL68" s="142">
        <f>EXP(-LN(2)/25)*CL67+(1-EXP(-LN(2)/25))/(LN(2)/25)*Calculateur!CG68*Calculateur!CI68*VLOOKUP('Données projet'!$B$12,'Paramètres'!$A$1:$I$89,3,0)*0.475*44/12</f>
        <v>34.41567321</v>
      </c>
      <c r="CM68" s="142">
        <f>EXP(-LN(2)/2)*CM67+(1-EXP(-LN(2)/2))/(LN(2)/2)*CG68*CJ68*VLOOKUP('Données projet'!$B$12,'Paramètres'!$A$1:$I$89,3,0)*0.475*44/12</f>
        <v>2.629978346</v>
      </c>
      <c r="CN68" s="143">
        <f t="shared" si="13"/>
        <v>270.9180981</v>
      </c>
      <c r="CO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8">
        <f>VLOOKUP(A68,'Données projet'!$A$139:$I$159,2,0)</f>
        <v>161</v>
      </c>
      <c r="CR68" s="130">
        <f>VLOOKUP(A68,'Données projet'!$A$139:$I$159,9,0)</f>
        <v>5.4</v>
      </c>
      <c r="CS68" s="130">
        <f t="array" ref="CS68">INDEX(CR:CR,MIN(IF(ISNUMBER(CR68:CR264),ROW(CR68:CR264),"")))</f>
        <v>5.4</v>
      </c>
      <c r="CT68" s="138">
        <f>IF('Données projet'!$A$140&gt;35,CT67+CS68-DB67,IF(A68&lt;'Données projet'!$A$140,$CQ$205^A68,IF(A68='Données projet'!$A$140,'Données projet'!$B$140,CT67+CS68-DB67)))</f>
        <v>161</v>
      </c>
      <c r="CU68" s="138">
        <f>CT68*VLOOKUP('Données projet'!$B$13,'Paramètres'!$A$1:$I$89,3,0)*VLOOKUP('Données projet'!$B$13,'Paramètres'!$A$1:$I$89,5,0)</f>
        <v>163.254</v>
      </c>
      <c r="CV68" s="130">
        <f t="shared" si="42"/>
        <v>41.57560196</v>
      </c>
      <c r="CW68" s="141">
        <f t="shared" si="14"/>
        <v>356.7448901</v>
      </c>
      <c r="CX68" s="133">
        <f t="shared" si="15"/>
        <v>650.0782234</v>
      </c>
      <c r="CY68" s="133">
        <f>AVERAGE(OFFSET($CX$3,0,0,'Données projet'!$E$13+1,1))-AVERAGE(OFFSET($H$3,0,0,'Données projet'!$E$13+1,1))</f>
        <v>223.783507</v>
      </c>
      <c r="CZ68" s="133">
        <f t="shared" si="43"/>
        <v>84.92349117</v>
      </c>
      <c r="DA68" s="134">
        <f>IF(ISNA(VLOOKUP(A68,'Données projet'!$A$139:$I$159,3,0)),0,VLOOKUP(A68,'Données projet'!$A$139:$I$159,3,0))</f>
        <v>9</v>
      </c>
      <c r="DB68" s="144">
        <f>IF(ISNA(VLOOKUP(A68,'Données projet'!$A$139:$I$159,4,0)),0,VLOOKUP(A68,'Données projet'!$A$139:$I$159,4,0))</f>
        <v>14</v>
      </c>
      <c r="DC68" s="135">
        <f>IF(ISNA(VLOOKUP(A68,'Données projet'!$A$139:$I$159,5,0)),0%,VLOOKUP(A68,'Données projet'!$A$139:$I$159,5,0)*VLOOKUP('Données projet'!$B$13,'Paramètres'!$A$1:$I$89,7,0))</f>
        <v>0.172</v>
      </c>
      <c r="DD68" s="135">
        <f>IF(ISNA(VLOOKUP(A68,'Données projet'!$A$139:$I$159,6,0)),0%,VLOOKUP(A68,'Données projet'!$A$139:$I$159,6,0)*VLOOKUP('Données projet'!$B$13,'Paramètres'!$A$1:$I$89,7,0))</f>
        <v>0</v>
      </c>
      <c r="DE68" s="135" t="str">
        <f>IF(ISNA(VLOOKUP(A68,'Données projet'!$A$139:$I$159,7,0)),0%,VLOOKUP(A68,'Données projet'!$A$139:$I$159,7,0))</f>
        <v/>
      </c>
      <c r="DF68" s="142">
        <f>EXP(-LN(2)/35)*DF67+(1-EXP(-LN(2)/35))/(LN(2)/35)*DB68*DC68*VLOOKUP('Données projet'!$B$13,'Paramètres'!$A$1:$I$89,3,0)*0.475*44/12</f>
        <v>8.104517252</v>
      </c>
      <c r="DG68" s="142">
        <f>EXP(-LN(2)/25)*DG67+(1-EXP(-LN(2)/25))/(LN(2)/25)*Calculateur!DB68*Calculateur!DD68*VLOOKUP('Données projet'!$B$13,'Paramètres'!$A$1:$I$89,3,0)*0.475*44/12</f>
        <v>0</v>
      </c>
      <c r="DH68" s="142">
        <f>EXP(-LN(2)/2)*DH67+(1-EXP(-LN(2)/2))/(LN(2)/2)*DB68*DE68*VLOOKUP('Données projet'!$B$13,'Paramètres'!$A$1:$I$89,3,0)*0.475*44/12</f>
        <v>0</v>
      </c>
      <c r="DI68" s="143">
        <f t="shared" si="16"/>
        <v>8.104517252</v>
      </c>
      <c r="DJ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8">
        <f>VLOOKUP(A68,'Données projet'!$A$165:$I$185,2,0)</f>
        <v>229</v>
      </c>
      <c r="DM68" s="131">
        <f>VLOOKUP(A68,'Données projet'!$A$165:$I$185,9,0)</f>
        <v>7.2</v>
      </c>
      <c r="DN68" s="131">
        <f t="array" ref="DN68">INDEX(DM:DM,MIN(IF(ISNUMBER(DM68:DM264),ROW(DM68:DM264),"")))</f>
        <v>7.2</v>
      </c>
      <c r="DO68" s="138">
        <f>IF('Données projet'!$A$166&gt;35,DO67+DN68-DW67,IF(A68&lt;'Données projet'!$A$166,$DL$205^A68,IF(A68='Données projet'!$A$166,'Données projet'!$B$166,DO67+DN68-DW67)))</f>
        <v>229</v>
      </c>
      <c r="DP68" s="138">
        <f>DO68*VLOOKUP('Données projet'!$B$14,'Paramètres'!$A$1:$I$89,3,0)*VLOOKUP('Données projet'!$B$14,'Paramètres'!$A$1:$I$89,5,0)</f>
        <v>207.1992</v>
      </c>
      <c r="DQ68" s="130">
        <f t="shared" si="44"/>
        <v>51.32306297</v>
      </c>
      <c r="DR68" s="141">
        <f t="shared" si="17"/>
        <v>450.259608</v>
      </c>
      <c r="DS68" s="133">
        <f t="shared" si="18"/>
        <v>743.5929413</v>
      </c>
      <c r="DT68" s="133">
        <f>AVERAGE(OFFSET($DS$3,0,0,'Données projet'!$E$14+1,1))-AVERAGE(OFFSET($H$3,0,0,'Données projet'!$E$14+1,1))</f>
        <v>287.9334714</v>
      </c>
      <c r="DU68" s="133">
        <f t="shared" si="45"/>
        <v>156.6796502</v>
      </c>
      <c r="DV68" s="134">
        <f>IF(ISNA(VLOOKUP(A68,'Données projet'!$A$165:$I$185,3,0)),0,VLOOKUP(A68,'Données projet'!$A$165:$I$185,3,0))</f>
        <v>10</v>
      </c>
      <c r="DW68" s="144">
        <f>IF(ISNA(VLOOKUP(A68,'Données projet'!$A$165:$I$185,4,0)),0,VLOOKUP(A68,'Données projet'!$A$165:$I$185,4,0))</f>
        <v>21</v>
      </c>
      <c r="DX68" s="135">
        <f>IF(ISNA(VLOOKUP(A68,'Données projet'!$A$165:$I$185,5,0)),0%,VLOOKUP(A68,'Données projet'!$A$165:$I$185,5,0)*VLOOKUP('Données projet'!$B$14,'Paramètres'!$A$1:$I$89,7,0))</f>
        <v>0.172</v>
      </c>
      <c r="DY68" s="135">
        <f>IF(ISNA(VLOOKUP(A68,'Données projet'!$A$165:$I$185,6,0)),0%,VLOOKUP(A68,'Données projet'!$A$165:$I$185,6,0)*VLOOKUP('Données projet'!$B$14,'Paramètres'!$A$1:$I$89,7,0))</f>
        <v>0</v>
      </c>
      <c r="DZ68" s="135" t="str">
        <f>IF(ISNA(VLOOKUP(A68,'Données projet'!$A$165:$I$185,7,0)),0%,VLOOKUP(A68,'Données projet'!$A$165:$I$185,7,0))</f>
        <v/>
      </c>
      <c r="EA68" s="142">
        <f>EXP(-LN(2)/35)*EA67+(1-EXP(-LN(2)/35))/(LN(2)/35)*DW68*DX68*VLOOKUP('Données projet'!$B$14,'Paramètres'!$A$1:$I$89,3,0)*0.475*44/12</f>
        <v>13.43774341</v>
      </c>
      <c r="EB68" s="142">
        <f>EXP(-LN(2)/25)*EB67+(1-EXP(-LN(2)/25))/(LN(2)/25)*Calculateur!DW68*Calculateur!DY68*VLOOKUP('Données projet'!$B$14,'Paramètres'!$A$1:$I$89,3,0)*0.475*44/12</f>
        <v>0</v>
      </c>
      <c r="EC68" s="142">
        <f>EXP(-LN(2)/2)*EC67+(1-EXP(-LN(2)/2))/(LN(2)/2)*DW68*DZ68*VLOOKUP('Données projet'!$B$14,'Paramètres'!$A$1:$I$89,3,0)*0.475*44/12</f>
        <v>0</v>
      </c>
      <c r="ED68" s="143">
        <f t="shared" si="19"/>
        <v>13.43774341</v>
      </c>
      <c r="EE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8">
        <f>VLOOKUP(A68,'Données projet'!$A$191:$I$211,2,0)</f>
        <v>217</v>
      </c>
      <c r="EH68" s="131">
        <f>VLOOKUP(A68,'Données projet'!$A$191:$I$211,9,0)</f>
        <v>8.2</v>
      </c>
      <c r="EI68" s="131">
        <f t="array" ref="EI68">INDEX(EH:EH,MIN(IF(ISNUMBER(EH68:EH264),ROW(EH68:EH264),"")))</f>
        <v>8.2</v>
      </c>
      <c r="EJ68" s="138">
        <f>IF('Données projet'!$A$192&gt;35,EJ67+EI68-ER67,IF(A68&lt;'Données projet'!$A$192,$EG$205^A68,IF(A68='Données projet'!$A$192,'Données projet'!$B$192,EJ67+EI68-ER67)))</f>
        <v>217</v>
      </c>
      <c r="EK68" s="138">
        <f>EJ68*VLOOKUP('Données projet'!$B$15,'Paramètres'!$A$1:$I$89,3,0)*VLOOKUP('Données projet'!$B$15,'Paramètres'!$A$1:$I$89,5,0)</f>
        <v>159.1044</v>
      </c>
      <c r="EL68" s="130">
        <f t="shared" si="46"/>
        <v>40.64044438</v>
      </c>
      <c r="EM68" s="141">
        <f t="shared" si="20"/>
        <v>347.8889373</v>
      </c>
      <c r="EN68" s="133">
        <f t="shared" si="21"/>
        <v>641.2222706</v>
      </c>
      <c r="EO68" s="133">
        <f>AVERAGE(OFFSET($EN$3,0,0,'Données projet'!$E$15+1,1))-AVERAGE(OFFSET($H$3,0,0,'Données projet'!$E$15+1,1))</f>
        <v>130.3193339</v>
      </c>
      <c r="EP68" s="133">
        <f t="shared" si="47"/>
        <v>82.22784365</v>
      </c>
      <c r="EQ68" s="134">
        <f>IF(ISNA(VLOOKUP(A68,'Données projet'!$A$191:$I$211,3,0)),0,VLOOKUP(A68,'Données projet'!$A$191:$I$211,3,0))</f>
        <v>9</v>
      </c>
      <c r="ER68" s="144">
        <f>IF(ISNA(VLOOKUP(A68,'Données projet'!$A$191:$I$211,4,0)),0,VLOOKUP(A68,'Données projet'!$A$191:$I$211,4,0))</f>
        <v>21</v>
      </c>
      <c r="ES68" s="135">
        <f>IF(ISNA(VLOOKUP(A68,'Données projet'!$A$191:$I$211,5,0)),0%,VLOOKUP(A68,'Données projet'!$A$191:$I$211,5,0)*VLOOKUP('Données projet'!$B$15,'Paramètres'!$A$1:$I$89,7,0))</f>
        <v>0.258</v>
      </c>
      <c r="ET68" s="135">
        <f>IF(ISNA(VLOOKUP(A68,'Données projet'!$A$191:$I$211,6,0)),0%,VLOOKUP(A68,'Données projet'!$A$191:$I$211,6,0)*VLOOKUP('Données projet'!$B$15,'Paramètres'!$A$1:$I$89,7,0))</f>
        <v>0</v>
      </c>
      <c r="EU68" s="135" t="str">
        <f>IF(ISNA(VLOOKUP(A68,'Données projet'!$A$191:$I$211,7,0)),0%,VLOOKUP(A68,'Données projet'!$A$191:$I$211,7,0))</f>
        <v/>
      </c>
      <c r="EV68" s="142">
        <f>EXP(-LN(2)/35)*EV67+(1-EXP(-LN(2)/35))/(LN(2)/35)*ER68*ES68*VLOOKUP('Données projet'!$B$15,'Paramètres'!$A$1:$I$89,3,0)*0.475*44/12</f>
        <v>17.03446208</v>
      </c>
      <c r="EW68" s="142">
        <f>EXP(-LN(2)/25)*EW67+(1-EXP(-LN(2)/25))/(LN(2)/25)*Calculateur!ER68*Calculateur!ET68*VLOOKUP('Données projet'!$B$15,'Paramètres'!$A$1:$I$89,3,0)*0.475*44/12</f>
        <v>0</v>
      </c>
      <c r="EX68" s="142">
        <f>EXP(-LN(2)/2)*EX67+(1-EXP(-LN(2)/2))/(LN(2)/2)*ER68*EU68*VLOOKUP('Données projet'!$B$15,'Paramètres'!$A$1:$I$89,3,0)*0.475*44/12</f>
        <v>0</v>
      </c>
      <c r="EY68" s="143">
        <f t="shared" si="22"/>
        <v>17.03446208</v>
      </c>
      <c r="EZ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1">
        <f>VLOOKUP(A68,'Données projet'!$A$217:$I$237,2,0)</f>
        <v>296</v>
      </c>
      <c r="FC68" s="130">
        <f>VLOOKUP(A68,'Données projet'!$A$217:$I$237,9,0)</f>
        <v>4.2</v>
      </c>
      <c r="FD68" s="130">
        <f t="array" ref="FD68">INDEX(FC:FC,MIN(IF(ISNUMBER(FC68:FC264),ROW(FC68:FC264),"")))</f>
        <v>4.2</v>
      </c>
      <c r="FE68" s="130">
        <f>IF('Données projet'!$A$218&gt;35,FE67+FD68-FM67,IF(A68&lt;'Données projet'!$A$218,$FB$205^A68,IF(A68='Données projet'!$A$218,'Données projet'!$B$218,FE67+FD68-FM67)))</f>
        <v>296</v>
      </c>
      <c r="FF68" s="138">
        <f>FE68*VLOOKUP('Données projet'!$B$16,'Paramètres'!$A$1:$I$89,3,0)*VLOOKUP('Données projet'!$B$16,'Paramètres'!$A$1:$I$89,5,0)</f>
        <v>267.8208</v>
      </c>
      <c r="FG68" s="130">
        <f t="shared" si="48"/>
        <v>64.38657015</v>
      </c>
      <c r="FH68" s="141">
        <f t="shared" si="23"/>
        <v>578.594503</v>
      </c>
      <c r="FI68" s="133">
        <f t="shared" si="24"/>
        <v>871.9278363</v>
      </c>
      <c r="FJ68" s="133">
        <f>AVERAGE(OFFSET($FI$3,0,0,'Données projet'!$E$16+1,1))-AVERAGE(OFFSET($H$3,0,0,'Données projet'!$E$16+1,1))</f>
        <v>305.6252353</v>
      </c>
      <c r="FK68" s="133">
        <f t="shared" si="49"/>
        <v>331.397916</v>
      </c>
      <c r="FL68" s="134">
        <f>IF(ISNA(VLOOKUP(A68,'Données projet'!$A$217:$I$237,3,0)),0,VLOOKUP(A68,'Données projet'!$A$217:$I$237,3,0))</f>
        <v>11</v>
      </c>
      <c r="FM68" s="134">
        <f>IF(ISNA(VLOOKUP(A68,'Données projet'!$A$217:$I$237,4,0)),0,VLOOKUP(A68,'Données projet'!$A$217:$I$237,4,0))</f>
        <v>8</v>
      </c>
      <c r="FN68" s="135">
        <f>IF(ISNA(VLOOKUP(A68,'Données projet'!$A$217:$I$237,5,0)),0%,VLOOKUP(A68,'Données projet'!$A$217:$I$237,5,0)*VLOOKUP('Données projet'!$B$16,'Paramètres'!$A$1:$I$89,7,0))</f>
        <v>0.24</v>
      </c>
      <c r="FO68" s="135">
        <f>IF(ISNA(VLOOKUP(A68,'Données projet'!$A$217:$I$237,6,0)),0%,VLOOKUP(A68,'Données projet'!$A$217:$I$237,6,0)*VLOOKUP('Données projet'!$B$16,'Paramètres'!$A$1:$I$89,7,0))</f>
        <v>0</v>
      </c>
      <c r="FP68" s="135" t="str">
        <f>IF(ISNA(VLOOKUP(A68,'Données projet'!$A$217:$I$237,7,0)),0%,VLOOKUP(A68,'Données projet'!$A$217:$I$237,7,0))</f>
        <v/>
      </c>
      <c r="FQ68" s="142">
        <f>EXP(-LN(2)/35)*FQ67+(1-EXP(-LN(2)/35))/(LN(2)/35)*FM68*FN68*VLOOKUP('Données projet'!$B$16,'Paramètres'!$A$1:$I$89,3,0)*0.475*44/12</f>
        <v>7.938205248</v>
      </c>
      <c r="FR68" s="142">
        <f>EXP(-LN(2)/25)*FR67+(1-EXP(-LN(2)/25))/(LN(2)/25)*Calculateur!FM68*Calculateur!FO68*VLOOKUP('Données projet'!$B$16,'Paramètres'!$A$1:$I$89,3,0)*0.475*44/12</f>
        <v>0</v>
      </c>
      <c r="FS68" s="142">
        <f>EXP(-LN(2)/2)*FS67+(1-EXP(-LN(2)/2))/(LN(2)/2)*FM68*FP68*VLOOKUP('Données projet'!$B$16,'Paramètres'!$A$1:$I$89,3,0)*0.475*44/12</f>
        <v>0</v>
      </c>
      <c r="FT68" s="143">
        <f t="shared" si="25"/>
        <v>7.938205248</v>
      </c>
      <c r="FU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1" t="str">
        <f>VLOOKUP(A68,'Données projet'!$A$243:$I$263,2,0)</f>
        <v>#N/A</v>
      </c>
      <c r="FX68" s="131" t="str">
        <f>VLOOKUP(A68,'Données projet'!$A$243:$I$263,9,0)</f>
        <v>#N/A</v>
      </c>
      <c r="FY68" s="131" t="str">
        <f t="array" ref="FY68">INDEX(FX:FX,MIN(IF(ISNUMBER(FX68:FX264),ROW(FX68:FX264),"")))</f>
        <v/>
      </c>
      <c r="FZ68" s="138">
        <f>IF('Données projet'!$A$244&gt;35,FZ67+FY68-GH67,IF(A68&lt;'Données projet'!$A$244,$FW$205^A68,IF(A68='Données projet'!$A$244,'Données projet'!$B$244,FZ67+FY68-GH67)))</f>
        <v>0</v>
      </c>
      <c r="GA68" s="138">
        <f>FZ68*VLOOKUP('Données projet'!$B$17,'Paramètres'!$A$1:$I$89,3,0)*VLOOKUP('Données projet'!$B$17,'Paramètres'!$A$1:$I$89,5,0)</f>
        <v>0</v>
      </c>
      <c r="GB68" s="130">
        <f t="shared" si="50"/>
        <v>0</v>
      </c>
      <c r="GC68" s="141">
        <f t="shared" si="26"/>
        <v>0</v>
      </c>
      <c r="GD68" s="133">
        <f t="shared" si="27"/>
        <v>293.3333333</v>
      </c>
      <c r="GE68" s="133">
        <f>AVERAGE(OFFSET($GD$3,0,0,'Données projet'!$E$17+1,1))-AVERAGE(OFFSET($H$3,0,0,'Données projet'!$E$17+1,1))</f>
        <v>118.7368745</v>
      </c>
      <c r="GF68" s="133">
        <f t="shared" si="51"/>
        <v>135.1233677</v>
      </c>
      <c r="GG68" s="134">
        <f>IF(ISNA(VLOOKUP(A68,'Données projet'!$A$243:$I$263,3,0)),0,VLOOKUP(A68,'Données projet'!$A$243:$I$263,3,0))</f>
        <v>0</v>
      </c>
      <c r="GH68" s="134">
        <f>IF(ISNA(VLOOKUP(A68,'Données projet'!$A$243:$I$263,4,0)),0,VLOOKUP(A68,'Données projet'!$A$243:$I$263,4,0))</f>
        <v>0</v>
      </c>
      <c r="GI68" s="135">
        <f>IF(ISNA(VLOOKUP(A68,'Données projet'!$A$243:$I$263,5,0)),0%,VLOOKUP(A68,'Données projet'!$A$243:$I$263,5,0)*VLOOKUP('Données projet'!$B$17,'Paramètres'!$A$1:$I$89,7,0))</f>
        <v>0</v>
      </c>
      <c r="GJ68" s="135">
        <f>IF(ISNA(VLOOKUP(A68,'Données projet'!$A$243:$I$263,6,0)),0%,VLOOKUP(A68,'Données projet'!$A$243:$I$263,6,0)*VLOOKUP('Données projet'!$B$17,'Paramètres'!$A$1:$I$89,7,0))</f>
        <v>0</v>
      </c>
      <c r="GK68" s="135">
        <f>IF(ISNA(VLOOKUP(A68,'Données projet'!$A$243:$I$263,7,0)),0%,VLOOKUP(A68,'Données projet'!$A$243:$I$263,7,0))</f>
        <v>0</v>
      </c>
      <c r="GL68" s="142">
        <f>EXP(-LN(2)/35)*GL67+(1-EXP(-LN(2)/35))/(LN(2)/35)*GH68*GI68*VLOOKUP('Données projet'!$B$17,'Paramètres'!$A$1:$I$89,3,0)*0.475*44/12</f>
        <v>94.071706</v>
      </c>
      <c r="GM68" s="142">
        <f>EXP(-LN(2)/25)*GM67+(1-EXP(-LN(2)/25))/(LN(2)/25)*Calculateur!GH68*Calculateur!GJ68*VLOOKUP('Données projet'!$B$17,'Paramètres'!$A$1:$I$89,3,0)*0.475*44/12</f>
        <v>0</v>
      </c>
      <c r="GN68" s="142">
        <f>EXP(-LN(2)/2)*GN67+(1-EXP(-LN(2)/2))/(LN(2)/2)*GH68*GK68*VLOOKUP('Données projet'!$B$17,'Paramètres'!$A$1:$I$89,3,0)*0.475*44/12</f>
        <v>0</v>
      </c>
      <c r="GO68" s="142">
        <f t="shared" si="28"/>
        <v>94.071706</v>
      </c>
      <c r="GP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1" t="str">
        <f>VLOOKUP(A68,'Données projet'!$A$269:$I$289,2,0)</f>
        <v>#N/A</v>
      </c>
      <c r="GS68" s="131" t="str">
        <f>VLOOKUP(A68,'Données projet'!$A$269:$I$289,9,0)</f>
        <v>#N/A</v>
      </c>
      <c r="GT68" s="131" t="str">
        <f t="array" ref="GT68">INDEX(GS:GS,MIN(IF(ISNUMBER(GS68:GS264),ROW(GS68:GS264),"")))</f>
        <v/>
      </c>
      <c r="GU68" s="138">
        <f>IF('Données projet'!$A$270&gt;35,GU67+GT68-HC67,IF(A68&lt;'Données projet'!$A$270,$GR$205^A68,IF(A68='Données projet'!$A$270,'Données projet'!$B$270,GU67+GT68-HC67)))</f>
        <v>0</v>
      </c>
      <c r="GV68" s="138">
        <f>GU68*VLOOKUP('Données projet'!$B$18,'Paramètres'!$A$1:$I$89,3,0)*VLOOKUP('Données projet'!$B$18,'Paramètres'!$A$1:$I$89,5,0)</f>
        <v>0</v>
      </c>
      <c r="GW68" s="130" t="str">
        <f t="shared" si="52"/>
        <v>#NUM!</v>
      </c>
      <c r="GX68" s="141" t="str">
        <f t="shared" si="29"/>
        <v>#NUM!</v>
      </c>
      <c r="GY68" s="133" t="str">
        <f t="shared" si="30"/>
        <v>#NUM!</v>
      </c>
      <c r="GZ68" s="133">
        <f>AVERAGE(OFFSET($GY$3,0,0,'Données projet'!$E$18+1,1))-AVERAGE(OFFSET($H$3,0,0,'Données projet'!$E$18+1,1))</f>
        <v>100.5427875</v>
      </c>
      <c r="HA68" s="133">
        <f t="shared" si="53"/>
        <v>92.28663609</v>
      </c>
      <c r="HB68" s="134">
        <f>IF(ISNA(VLOOKUP(A68,'Données projet'!$A$269:$I$289,3,0)),0,VLOOKUP(A68,'Données projet'!$A$269:$I$289,3,0))</f>
        <v>0</v>
      </c>
      <c r="HC68" s="134">
        <f>IF(ISNA(VLOOKUP(A68,'Données projet'!$A$269:$I$289,4,0)),0,VLOOKUP(A68,'Données projet'!$A$269:$I$289,4,0))</f>
        <v>0</v>
      </c>
      <c r="HD68" s="135">
        <f>IF(ISNA(VLOOKUP(A68,'Données projet'!$A$269:$I$289,5,0)),0%,VLOOKUP(A68,'Données projet'!$A$269:$I$289,5,0)*VLOOKUP('Données projet'!$B$18,'Paramètres'!$A$1:$I$89,7,0))</f>
        <v>0</v>
      </c>
      <c r="HE68" s="135">
        <f>IF(ISNA(VLOOKUP(A68,'Données projet'!$A$269:$I$289,6,0)),0%,VLOOKUP(A68,'Données projet'!$A$269:$I$289,6,0)*VLOOKUP('Données projet'!$B$18,'Paramètres'!$A$1:$I$89,7,0))</f>
        <v>0</v>
      </c>
      <c r="HF68" s="135">
        <f>IF(ISNA(VLOOKUP(A68,'Données projet'!$A$269:$I$289,7,0)),0%,VLOOKUP(A68,'Données projet'!$A$269:$I$289,7,0))</f>
        <v>0</v>
      </c>
      <c r="HG68" s="142">
        <f>EXP(-LN(2)/35)*HG67+(1-EXP(-LN(2)/35))/(LN(2)/35)*HC68*HD68*VLOOKUP('Données projet'!$B$18,'Paramètres'!$A$1:$I$89,3,0)*0.475*44/12</f>
        <v>64.06084724</v>
      </c>
      <c r="HH68" s="142">
        <f>EXP(-LN(2)/25)*HH67+(1-EXP(-LN(2)/25))/(LN(2)/25)*Calculateur!HC68*Calculateur!HE68*VLOOKUP('Données projet'!$B$18,'Paramètres'!$A$1:$I$89,3,0)*0.475*44/12</f>
        <v>0</v>
      </c>
      <c r="HI68" s="142">
        <f>EXP(-LN(2)/2)*HI67+(1-EXP(-LN(2)/2))/(LN(2)/2)*HC68*HF68*VLOOKUP('Données projet'!$B$18,'Paramètres'!$A$1:$I$89,3,0)*0.475*44/12</f>
        <v>0</v>
      </c>
      <c r="HJ68" s="143">
        <f t="shared" si="31"/>
        <v>64.06084724</v>
      </c>
    </row>
    <row r="69" ht="15.75" customHeight="1">
      <c r="A69" s="125">
        <f t="shared" si="32"/>
        <v>66</v>
      </c>
      <c r="B69" s="126">
        <f>'Scénario référence'!$B$16*5+'Scénario référence'!$B$17*0+'Scénario référence'!$B$18*5</f>
        <v>0</v>
      </c>
      <c r="C69" s="140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36.036</v>
      </c>
      <c r="D69" s="127">
        <f t="shared" si="33"/>
        <v>10.9416925</v>
      </c>
      <c r="E6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7">
        <f>IF(OR('Scénario référence'!$F$8&gt;0,'Scénario référence'!$F$9&gt;0),('Scénario référence'!$F$8+'Scénario référence'!$F$9)*10,0)</f>
        <v>10</v>
      </c>
      <c r="G69" s="127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362.6348193</v>
      </c>
      <c r="H69" s="128">
        <f t="shared" si="1"/>
        <v>375.1528144</v>
      </c>
      <c r="I69" s="12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1" t="str">
        <f>VLOOKUP(A69,'Données projet'!$A$35:$I$55,2,0)</f>
        <v>#N/A</v>
      </c>
      <c r="L69" s="131" t="str">
        <f>VLOOKUP(A69,'Données projet'!$A$35:$I$55,9,0)</f>
        <v>#N/A</v>
      </c>
      <c r="M69" s="131" t="str">
        <f t="array" ref="M69">INDEX(L:L,MIN(IF(ISNUMBER(L69:L265),ROW(L69:L265),"")))</f>
        <v/>
      </c>
      <c r="N69" s="130">
        <f>IF('Données projet'!$A$36&gt;35,N68+M69-V68,IF(A69&lt;'Données projet'!$A$36,$K$205^A69,IF(A69='Données projet'!$A$36,'Données projet'!$B$36,N68+M69-V68)))</f>
        <v>0</v>
      </c>
      <c r="O69" s="130">
        <f>N69*VLOOKUP('Données projet'!$B$9,'Paramètres'!$A$1:$I$89,3,0)*VLOOKUP('Données projet'!$B$9,'Paramètres'!$A$1:$I$89,5,0)</f>
        <v>0</v>
      </c>
      <c r="P69" s="130">
        <f t="shared" si="34"/>
        <v>0</v>
      </c>
      <c r="Q69" s="141">
        <f t="shared" si="2"/>
        <v>0</v>
      </c>
      <c r="R69" s="133">
        <f t="shared" si="3"/>
        <v>293.3333333</v>
      </c>
      <c r="S69" s="133">
        <f>AVERAGE(OFFSET($R$3,0,0,'Données projet'!$E$9+1,1))-AVERAGE(OFFSET($H$3,0,0,'Données projet'!$E$9+1,1))</f>
        <v>126.9946492</v>
      </c>
      <c r="T69" s="133">
        <f t="shared" si="35"/>
        <v>140.039049</v>
      </c>
      <c r="U69" s="134">
        <f>IF(ISNA(VLOOKUP(A69,'Données projet'!$A$35:$I$55,3,0)),0,VLOOKUP(A69,'Données projet'!$A$35:$I$55,3,0))</f>
        <v>0</v>
      </c>
      <c r="V69" s="134">
        <f>IF(ISNA(VLOOKUP(A69,'Données projet'!$A$35:$I$55,4,0)),0,VLOOKUP(A69,'Données projet'!$A$35:$I$55,4,0))</f>
        <v>0</v>
      </c>
      <c r="W69" s="135">
        <f>IF(ISNA(VLOOKUP(A69,'Données projet'!$A$35:$I$55,5,0)),0%,VLOOKUP(A69,'Données projet'!$A$35:$I$55,5,0)*VLOOKUP('Données projet'!$B$9,'Paramètres'!$A$1:$I$89,7,0))</f>
        <v>0</v>
      </c>
      <c r="X69" s="135">
        <f>IF(ISNA(VLOOKUP(A69,'Données projet'!$A$35:$I$55,6,0)),0%,VLOOKUP(A69,'Données projet'!$A$35:$I$55,6,0)*VLOOKUP('Données projet'!$B$9,'Paramètres'!$A$1:$I$89,7,0))</f>
        <v>0</v>
      </c>
      <c r="Y69" s="135">
        <f>IF(ISNA(VLOOKUP(A69,'Données projet'!$A$35:$I$55,7,0)),0%,VLOOKUP(A69,'Données projet'!$A$35:$I$55,7,0))</f>
        <v>0</v>
      </c>
      <c r="Z69" s="142">
        <f>EXP(-LN(2)/35)*Z68+(1-EXP(-LN(2)/35))/(LN(2)/35)*V69*W69*VLOOKUP('Données projet'!$B$9,'Paramètres'!$A$1:$I$89,3,0)*0.475*44/12</f>
        <v>94.32770857</v>
      </c>
      <c r="AA69" s="142">
        <f>EXP(-LN(2)/25)*AA68+(1-EXP(-LN(2)/25))/(LN(2)/25)*Calculateur!V69*Calculateur!X69*VLOOKUP('Données projet'!$B$9,'Paramètres'!$A$1:$I$89,3,0)*0.475*44/12</f>
        <v>19.67721575</v>
      </c>
      <c r="AB69" s="142">
        <f>EXP(-LN(2)/2)*AB68+(1-EXP(-LN(2)/2))/(LN(2)/2)*V69*Y69*VLOOKUP('Données projet'!$B$9,'Paramètres'!$A$1:$I$89,3,0)*0.475*44/12</f>
        <v>2.373671401</v>
      </c>
      <c r="AC69" s="143">
        <f t="shared" si="4"/>
        <v>116.3785957</v>
      </c>
      <c r="AD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1" t="str">
        <f>VLOOKUP(A69,'Données projet'!$A$61:$I$81,2,0)</f>
        <v>#N/A</v>
      </c>
      <c r="AG69" s="131" t="str">
        <f>VLOOKUP(A69,'Données projet'!$A$61:$I$81,9,0)</f>
        <v>#N/A</v>
      </c>
      <c r="AH69" s="131" t="str">
        <f t="array" ref="AH69">INDEX(AG:AG,MIN(IF(ISNUMBER(AG69:AG265),ROW(AG69:AG265),"")))</f>
        <v/>
      </c>
      <c r="AI69" s="130">
        <f>IF('Données projet'!$A$62&gt;35,AI68+AH69-AQ68,IF(A69&lt;'Données projet'!$A$62,$AF$205^A69,IF(A69='Données projet'!$A$62,'Données projet'!$B$62,AI68+AH69-AQ68)))</f>
        <v>0</v>
      </c>
      <c r="AJ69" s="130">
        <f>AI69*VLOOKUP('Données projet'!$B$10,'Paramètres'!$A$1:$I$89,3,0)*VLOOKUP('Données projet'!$B$10,'Paramètres'!$A$1:$I$89,5,0)</f>
        <v>0</v>
      </c>
      <c r="AK69" s="130" t="str">
        <f t="shared" si="36"/>
        <v>#NUM!</v>
      </c>
      <c r="AL69" s="141" t="str">
        <f t="shared" si="5"/>
        <v>#NUM!</v>
      </c>
      <c r="AM69" s="133" t="str">
        <f t="shared" si="6"/>
        <v>#NUM!</v>
      </c>
      <c r="AN69" s="133">
        <f>AVERAGE(OFFSET($AM$3,0,0,'Données projet'!$E$10+1,1))-AVERAGE(OFFSET($H$3,0,0,'Données projet'!$E$10+1,1))</f>
        <v>196.874484</v>
      </c>
      <c r="AO69" s="133">
        <f t="shared" si="37"/>
        <v>217.5750859</v>
      </c>
      <c r="AP69" s="134">
        <f>IF(ISNA(VLOOKUP(A69,'Données projet'!$A$61:$I$81,3,0)),0,VLOOKUP(A69,'Données projet'!$A$61:$I$81,3,0))</f>
        <v>0</v>
      </c>
      <c r="AQ69" s="134">
        <f>IF(ISNA(VLOOKUP(A69,'Données projet'!$A$61:$I$81,4,0)),0,VLOOKUP(A69,'Données projet'!$A$61:$I$81,4,0))</f>
        <v>0</v>
      </c>
      <c r="AR69" s="135">
        <f>IF(ISNA(VLOOKUP(A69,'Données projet'!$A$61:$I$81,5,0)),0%,VLOOKUP(A69,'Données projet'!$A$61:$I$81,5,0)*VLOOKUP('Données projet'!$B$10,'Paramètres'!$A$1:$I$89,7,0))</f>
        <v>0</v>
      </c>
      <c r="AS69" s="135">
        <f>IF(ISNA(VLOOKUP(A69,'Données projet'!$A$61:$I$81,6,0)),0%,VLOOKUP(A69,'Données projet'!$A$61:$I$81,6,0)*VLOOKUP('Données projet'!$B$10,'Paramètres'!$A$1:$I$89,7,0))</f>
        <v>0</v>
      </c>
      <c r="AT69" s="135">
        <f>IF(ISNA(VLOOKUP(A69,'Données projet'!$A$61:$I$81,7,0)),0%,VLOOKUP(A69,'Données projet'!$A$61:$I$81,7,0))</f>
        <v>0</v>
      </c>
      <c r="AU69" s="142">
        <f>EXP(-LN(2)/35)*AU68+(1-EXP(-LN(2)/35))/(LN(2)/35)*AQ69*AR69*VLOOKUP('Données projet'!$B$10,'Paramètres'!$A$1:$I$89,3,0)*0.475*44/12</f>
        <v>131.1128356</v>
      </c>
      <c r="AV69" s="142">
        <f>EXP(-LN(2)/25)*AV68+(1-EXP(-LN(2)/25))/(LN(2)/25)*Calculateur!AQ69*Calculateur!AS69*VLOOKUP('Données projet'!$B$10,'Paramètres'!$A$1:$I$89,3,0)*0.475*44/12</f>
        <v>30.2537455</v>
      </c>
      <c r="AW69" s="142">
        <f>EXP(-LN(2)/2)*AW68+(1-EXP(-LN(2)/2))/(LN(2)/2)*AQ69*AT69*VLOOKUP('Données projet'!$B$10,'Paramètres'!$A$1:$I$89,3,0)*0.475*44/12</f>
        <v>3.309396302</v>
      </c>
      <c r="AX69" s="142">
        <f t="shared" si="7"/>
        <v>164.6759774</v>
      </c>
      <c r="AY69" s="13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1" t="str">
        <f>VLOOKUP(A69,'Données projet'!$A$87:$I$107,2,0)</f>
        <v>#N/A</v>
      </c>
      <c r="BB69" s="131" t="str">
        <f>VLOOKUP(A69,'Données projet'!$A$87:$I$107,9,0)</f>
        <v>#N/A</v>
      </c>
      <c r="BC69" s="130">
        <f t="array" ref="BC69">INDEX(BB:BB,MIN(IF(ISNUMBER(BB69:BB265),ROW(BB69:BB265),"")))</f>
        <v>13</v>
      </c>
      <c r="BD69" s="130">
        <f>IF('Données projet'!$A$88&gt;35,BD68+BC69-BL68,IF(A69&lt;'Données projet'!$A$88,$BA$205^A69,IF(A69='Données projet'!$A$88,'Données projet'!$B$88,BD68+BC69-BL68)))</f>
        <v>418</v>
      </c>
      <c r="BE69" s="130">
        <f>BD69*VLOOKUP('Données projet'!$B$11,'Paramètres'!$A$1:$I$89,3,0)*VLOOKUP('Données projet'!$B$11,'Paramètres'!$A$1:$I$89,5,0)</f>
        <v>195.624</v>
      </c>
      <c r="BF69" s="130">
        <f t="shared" si="38"/>
        <v>48.78122063</v>
      </c>
      <c r="BG69" s="141">
        <f t="shared" si="8"/>
        <v>425.6724259</v>
      </c>
      <c r="BH69" s="133">
        <f t="shared" si="9"/>
        <v>719.0057593</v>
      </c>
      <c r="BI69" s="133">
        <f>AVERAGE(OFFSET($BH$3,0,0,'Données projet'!$E$11+1,1))-AVERAGE(OFFSET($H$3,0,0,'Données projet'!$E$11+1,1))</f>
        <v>134.0948534</v>
      </c>
      <c r="BJ69" s="133">
        <f t="shared" si="39"/>
        <v>108.4102536</v>
      </c>
      <c r="BK69" s="134">
        <f>IF(ISNA(VLOOKUP(A69,'Données projet'!$A$87:$I$107,3,0)),0,VLOOKUP(A69,'Données projet'!$A$87:$I$107,3,0))</f>
        <v>0</v>
      </c>
      <c r="BL69" s="134">
        <f>IF(ISNA(VLOOKUP(A69,'Données projet'!$A$87:$I$107,4,0)),0,VLOOKUP(A69,'Données projet'!$A$87:$I$107,4,0))</f>
        <v>0</v>
      </c>
      <c r="BM69" s="135">
        <f>IF(ISNA(VLOOKUP(A69,'Données projet'!$A$87:$I$107,5,0)),0%,VLOOKUP(A69,'Données projet'!$A$87:$I$107,5,0)*VLOOKUP('Données projet'!$B$11,'Paramètres'!$A$1:$I$89,7,0))</f>
        <v>0</v>
      </c>
      <c r="BN69" s="135">
        <f>IF(ISNA(VLOOKUP(A69,'Données projet'!$A$87:$I$107,6,0)),0%,VLOOKUP(A69,'Données projet'!$A$87:$I$107,6,0)*VLOOKUP('Données projet'!$B$11,'Paramètres'!$A$1:$I$89,7,0))</f>
        <v>0</v>
      </c>
      <c r="BO69" s="135">
        <f>IF(ISNA(VLOOKUP(A69,'Données projet'!$A$87:$I$107,7,0)),0%,VLOOKUP(A69,'Données projet'!$A$87:$I$107,7,0))</f>
        <v>0</v>
      </c>
      <c r="BP69" s="142">
        <f>EXP(-LN(2)/35)*BP68+(1-EXP(-LN(2)/35))/(LN(2)/35)*BL69*BM69*VLOOKUP('Données projet'!$B$11,'Paramètres'!$A$1:$I$89,3,0)*0.475*44/12</f>
        <v>25.00972696</v>
      </c>
      <c r="BQ69" s="142">
        <f>EXP(-LN(2)/25)*BQ68+(1-EXP(-LN(2)/25))/(LN(2)/25)*Calculateur!BL69*Calculateur!BN69*VLOOKUP('Données projet'!$B$11,'Paramètres'!$A$1:$I$89,3,0)*0.475*44/12</f>
        <v>9.082379393</v>
      </c>
      <c r="BR69" s="142">
        <f>EXP(-LN(2)/2)*BR68+(1-EXP(-LN(2)/2))/(LN(2)/2)*BL69*BO69*VLOOKUP('Données projet'!$B$11,'Paramètres'!$A$1:$I$89,3,0)*0.475*44/12</f>
        <v>0.3105336592</v>
      </c>
      <c r="BS69" s="143">
        <f t="shared" si="10"/>
        <v>34.40264001</v>
      </c>
      <c r="BT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1" t="str">
        <f>VLOOKUP(A69,'Données projet'!$A$113:$I$133,2,0)</f>
        <v>#N/A</v>
      </c>
      <c r="BW69" s="131" t="str">
        <f>VLOOKUP(A69,'Données projet'!$A$113:$I$133,9,0)</f>
        <v>#N/A</v>
      </c>
      <c r="BX69" s="131" t="str">
        <f t="array" ref="BX69">INDEX(BW:BW,MIN(IF(ISNUMBER(BW69:BW265),ROW(BW69:BW265),"")))</f>
        <v/>
      </c>
      <c r="BY69" s="130">
        <f>IF('Données projet'!$A$114&gt;35,BY68+BX69-CG68,IF(A69&lt;'Données projet'!$A$114,$BV$205^A69,IF(A69='Données projet'!$A$114,'Données projet'!$B$114,BY68+BX69-CG68)))</f>
        <v>0</v>
      </c>
      <c r="BZ69" s="130">
        <f>BY69*VLOOKUP('Données projet'!$B$12,'Paramètres'!$A$1:$I$89,3,0)*VLOOKUP('Données projet'!$B$12,'Paramètres'!$A$1:$I$89,5,0)</f>
        <v>0</v>
      </c>
      <c r="CA69" s="130" t="str">
        <f t="shared" si="40"/>
        <v>#NUM!</v>
      </c>
      <c r="CB69" s="141" t="str">
        <f t="shared" si="11"/>
        <v>#NUM!</v>
      </c>
      <c r="CC69" s="133" t="str">
        <f t="shared" si="12"/>
        <v>#NUM!</v>
      </c>
      <c r="CD69" s="133">
        <f>AVERAGE(OFFSET($CC$3,0,0,'Données projet'!$E$12+1,1))-AVERAGE(OFFSET($H$3,0,0,'Données projet'!$E$12+1,1))</f>
        <v>258.1672054</v>
      </c>
      <c r="CE69" s="133">
        <f t="shared" si="41"/>
        <v>296.0724261</v>
      </c>
      <c r="CF69" s="134">
        <f>IF(ISNA(VLOOKUP(A69,'Données projet'!$A$113:$I$133,3,0)),0,VLOOKUP(A69,'Données projet'!$A$113:$I$133,3,0))</f>
        <v>0</v>
      </c>
      <c r="CG69" s="134">
        <f>IF(ISNA(VLOOKUP(A69,'Données projet'!$A$113:$I$133,4,0)),0,VLOOKUP(A69,'Données projet'!$A$113:$I$133,4,0))</f>
        <v>0</v>
      </c>
      <c r="CH69" s="135">
        <f>IF(ISNA(VLOOKUP(A69,'Données projet'!$A$113:$I$133,5,0)),0%,VLOOKUP(A69,'Données projet'!$A$113:$I$133,5,0)*VLOOKUP('Données projet'!$B$12,'Paramètres'!$A$1:$I$89,7,0))</f>
        <v>0</v>
      </c>
      <c r="CI69" s="135">
        <f>IF(ISNA(VLOOKUP(A69,'Données projet'!$A$113:$I$133,6,0)),0%,VLOOKUP(A69,'Données projet'!$A$113:$I$133,6,0)*VLOOKUP('Données projet'!$B$12,'Paramètres'!$A$1:$I$89,7,0))</f>
        <v>0</v>
      </c>
      <c r="CJ69" s="135">
        <f>IF(ISNA(VLOOKUP(A69,'Données projet'!$A$113:$I$133,7,0)),0%,VLOOKUP(A69,'Données projet'!$A$113:$I$133,7,0))</f>
        <v>0</v>
      </c>
      <c r="CK69" s="142">
        <f>EXP(-LN(2)/35)*CK68+(1-EXP(-LN(2)/35))/(LN(2)/35)*CG69*CH69*VLOOKUP('Données projet'!$B$12,'Paramètres'!$A$1:$I$89,3,0)*0.475*44/12</f>
        <v>229.2863505</v>
      </c>
      <c r="CL69" s="142">
        <f>EXP(-LN(2)/25)*CL68+(1-EXP(-LN(2)/25))/(LN(2)/25)*Calculateur!CG69*Calculateur!CI69*VLOOKUP('Données projet'!$B$12,'Paramètres'!$A$1:$I$89,3,0)*0.475*44/12</f>
        <v>33.47457482</v>
      </c>
      <c r="CM69" s="142">
        <f>EXP(-LN(2)/2)*CM68+(1-EXP(-LN(2)/2))/(LN(2)/2)*CG69*CJ69*VLOOKUP('Données projet'!$B$12,'Paramètres'!$A$1:$I$89,3,0)*0.475*44/12</f>
        <v>1.859675523</v>
      </c>
      <c r="CN69" s="143">
        <f t="shared" si="13"/>
        <v>264.6206008</v>
      </c>
      <c r="CO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1" t="str">
        <f>VLOOKUP(A69,'Données projet'!$A$139:$I$159,2,0)</f>
        <v>#N/A</v>
      </c>
      <c r="CR69" s="131" t="str">
        <f>VLOOKUP(A69,'Données projet'!$A$139:$I$159,9,0)</f>
        <v>#N/A</v>
      </c>
      <c r="CS69" s="130">
        <f t="array" ref="CS69">INDEX(CR:CR,MIN(IF(ISNUMBER(CR69:CR265),ROW(CR69:CR265),"")))</f>
        <v>5</v>
      </c>
      <c r="CT69" s="138">
        <f>IF('Données projet'!$A$140&gt;35,CT68+CS69-DB68,IF(A69&lt;'Données projet'!$A$140,$CQ$205^A69,IF(A69='Données projet'!$A$140,'Données projet'!$B$140,CT68+CS69-DB68)))</f>
        <v>152</v>
      </c>
      <c r="CU69" s="138">
        <f>CT69*VLOOKUP('Données projet'!$B$13,'Paramètres'!$A$1:$I$89,3,0)*VLOOKUP('Données projet'!$B$13,'Paramètres'!$A$1:$I$89,5,0)</f>
        <v>154.128</v>
      </c>
      <c r="CV69" s="130">
        <f t="shared" si="42"/>
        <v>39.51520108</v>
      </c>
      <c r="CW69" s="141">
        <f t="shared" si="14"/>
        <v>337.2619085</v>
      </c>
      <c r="CX69" s="133">
        <f t="shared" si="15"/>
        <v>630.5952419</v>
      </c>
      <c r="CY69" s="133">
        <f>AVERAGE(OFFSET($CX$3,0,0,'Données projet'!$E$13+1,1))-AVERAGE(OFFSET($H$3,0,0,'Données projet'!$E$13+1,1))</f>
        <v>223.783507</v>
      </c>
      <c r="CZ69" s="133">
        <f t="shared" si="43"/>
        <v>84.92349117</v>
      </c>
      <c r="DA69" s="134">
        <f>IF(ISNA(VLOOKUP(A69,'Données projet'!$A$139:$I$159,3,0)),0,VLOOKUP(A69,'Données projet'!$A$139:$I$159,3,0))</f>
        <v>0</v>
      </c>
      <c r="DB69" s="134">
        <f>IF(ISNA(VLOOKUP(A69,'Données projet'!$A$139:$I$159,4,0)),0,VLOOKUP(A69,'Données projet'!$A$139:$I$159,4,0))</f>
        <v>0</v>
      </c>
      <c r="DC69" s="135">
        <f>IF(ISNA(VLOOKUP(A69,'Données projet'!$A$139:$I$159,5,0)),0%,VLOOKUP(A69,'Données projet'!$A$139:$I$159,5,0)*VLOOKUP('Données projet'!$B$13,'Paramètres'!$A$1:$I$89,7,0))</f>
        <v>0</v>
      </c>
      <c r="DD69" s="135">
        <f>IF(ISNA(VLOOKUP(A69,'Données projet'!$A$139:$I$159,6,0)),0%,VLOOKUP(A69,'Données projet'!$A$139:$I$159,6,0)*VLOOKUP('Données projet'!$B$13,'Paramètres'!$A$1:$I$89,7,0))</f>
        <v>0</v>
      </c>
      <c r="DE69" s="135">
        <f>IF(ISNA(VLOOKUP(A69,'Données projet'!$A$139:$I$159,7,0)),0%,VLOOKUP(A69,'Données projet'!$A$139:$I$159,7,0))</f>
        <v>0</v>
      </c>
      <c r="DF69" s="142">
        <f>EXP(-LN(2)/35)*DF68+(1-EXP(-LN(2)/35))/(LN(2)/35)*DB69*DC69*VLOOKUP('Données projet'!$B$13,'Paramètres'!$A$1:$I$89,3,0)*0.475*44/12</f>
        <v>7.945592612</v>
      </c>
      <c r="DG69" s="142">
        <f>EXP(-LN(2)/25)*DG68+(1-EXP(-LN(2)/25))/(LN(2)/25)*Calculateur!DB69*Calculateur!DD69*VLOOKUP('Données projet'!$B$13,'Paramètres'!$A$1:$I$89,3,0)*0.475*44/12</f>
        <v>0</v>
      </c>
      <c r="DH69" s="142">
        <f>EXP(-LN(2)/2)*DH68+(1-EXP(-LN(2)/2))/(LN(2)/2)*DB69*DE69*VLOOKUP('Données projet'!$B$13,'Paramètres'!$A$1:$I$89,3,0)*0.475*44/12</f>
        <v>0</v>
      </c>
      <c r="DI69" s="143">
        <f t="shared" si="16"/>
        <v>7.945592612</v>
      </c>
      <c r="DJ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1" t="str">
        <f>VLOOKUP(A69,'Données projet'!$A$165:$I$185,2,0)</f>
        <v>#N/A</v>
      </c>
      <c r="DM69" s="131" t="str">
        <f>VLOOKUP(A69,'Données projet'!$A$165:$I$185,9,0)</f>
        <v>#N/A</v>
      </c>
      <c r="DN69" s="131">
        <f t="array" ref="DN69">INDEX(DM:DM,MIN(IF(ISNUMBER(DM69:DM265),ROW(DM69:DM265),"")))</f>
        <v>6.8</v>
      </c>
      <c r="DO69" s="138">
        <f>IF('Données projet'!$A$166&gt;35,DO68+DN69-DW68,IF(A69&lt;'Données projet'!$A$166,$DL$205^A69,IF(A69='Données projet'!$A$166,'Données projet'!$B$166,DO68+DN69-DW68)))</f>
        <v>214.8</v>
      </c>
      <c r="DP69" s="138">
        <f>DO69*VLOOKUP('Données projet'!$B$14,'Paramètres'!$A$1:$I$89,3,0)*VLOOKUP('Données projet'!$B$14,'Paramètres'!$A$1:$I$89,5,0)</f>
        <v>194.35104</v>
      </c>
      <c r="DQ69" s="130">
        <f t="shared" si="44"/>
        <v>48.50063473</v>
      </c>
      <c r="DR69" s="141">
        <f t="shared" si="17"/>
        <v>422.9666668</v>
      </c>
      <c r="DS69" s="133">
        <f t="shared" si="18"/>
        <v>716.3000002</v>
      </c>
      <c r="DT69" s="133">
        <f>AVERAGE(OFFSET($DS$3,0,0,'Données projet'!$E$14+1,1))-AVERAGE(OFFSET($H$3,0,0,'Données projet'!$E$14+1,1))</f>
        <v>287.9334714</v>
      </c>
      <c r="DU69" s="133">
        <f t="shared" si="45"/>
        <v>156.6796502</v>
      </c>
      <c r="DV69" s="134">
        <f>IF(ISNA(VLOOKUP(A69,'Données projet'!$A$165:$I$185,3,0)),0,VLOOKUP(A69,'Données projet'!$A$165:$I$185,3,0))</f>
        <v>0</v>
      </c>
      <c r="DW69" s="134">
        <f>IF(ISNA(VLOOKUP(A69,'Données projet'!$A$165:$I$185,4,0)),0,VLOOKUP(A69,'Données projet'!$A$165:$I$185,4,0))</f>
        <v>0</v>
      </c>
      <c r="DX69" s="135">
        <f>IF(ISNA(VLOOKUP(A69,'Données projet'!$A$165:$I$185,5,0)),0%,VLOOKUP(A69,'Données projet'!$A$165:$I$185,5,0)*VLOOKUP('Données projet'!$B$14,'Paramètres'!$A$1:$I$89,7,0))</f>
        <v>0</v>
      </c>
      <c r="DY69" s="135">
        <f>IF(ISNA(VLOOKUP(A69,'Données projet'!$A$165:$I$185,6,0)),0%,VLOOKUP(A69,'Données projet'!$A$165:$I$185,6,0)*VLOOKUP('Données projet'!$B$14,'Paramètres'!$A$1:$I$89,7,0))</f>
        <v>0</v>
      </c>
      <c r="DZ69" s="135">
        <f>IF(ISNA(VLOOKUP(A69,'Données projet'!$A$165:$I$185,7,0)),0%,VLOOKUP(A69,'Données projet'!$A$165:$I$185,7,0))</f>
        <v>0</v>
      </c>
      <c r="EA69" s="142">
        <f>EXP(-LN(2)/35)*EA68+(1-EXP(-LN(2)/35))/(LN(2)/35)*DW69*DX69*VLOOKUP('Données projet'!$B$14,'Paramètres'!$A$1:$I$89,3,0)*0.475*44/12</f>
        <v>13.17423746</v>
      </c>
      <c r="EB69" s="142">
        <f>EXP(-LN(2)/25)*EB68+(1-EXP(-LN(2)/25))/(LN(2)/25)*Calculateur!DW69*Calculateur!DY69*VLOOKUP('Données projet'!$B$14,'Paramètres'!$A$1:$I$89,3,0)*0.475*44/12</f>
        <v>0</v>
      </c>
      <c r="EC69" s="142">
        <f>EXP(-LN(2)/2)*EC68+(1-EXP(-LN(2)/2))/(LN(2)/2)*DW69*DZ69*VLOOKUP('Données projet'!$B$14,'Paramètres'!$A$1:$I$89,3,0)*0.475*44/12</f>
        <v>0</v>
      </c>
      <c r="ED69" s="143">
        <f t="shared" si="19"/>
        <v>13.17423746</v>
      </c>
      <c r="EE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1" t="str">
        <f>VLOOKUP(A69,'Données projet'!$A$191:$I$211,2,0)</f>
        <v>#N/A</v>
      </c>
      <c r="EH69" s="131" t="str">
        <f>VLOOKUP(A69,'Données projet'!$A$191:$I$211,9,0)</f>
        <v>#N/A</v>
      </c>
      <c r="EI69" s="131">
        <f t="array" ref="EI69">INDEX(EH:EH,MIN(IF(ISNUMBER(EH69:EH265),ROW(EH69:EH265),"")))</f>
        <v>8.2</v>
      </c>
      <c r="EJ69" s="138">
        <f>IF('Données projet'!$A$192&gt;35,EJ68+EI69-ER68,IF(A69&lt;'Données projet'!$A$192,$EG$205^A69,IF(A69='Données projet'!$A$192,'Données projet'!$B$192,EJ68+EI69-ER68)))</f>
        <v>204.2</v>
      </c>
      <c r="EK69" s="138">
        <f>EJ69*VLOOKUP('Données projet'!$B$15,'Paramètres'!$A$1:$I$89,3,0)*VLOOKUP('Données projet'!$B$15,'Paramètres'!$A$1:$I$89,5,0)</f>
        <v>149.71944</v>
      </c>
      <c r="EL69" s="130">
        <f t="shared" si="46"/>
        <v>38.51482041</v>
      </c>
      <c r="EM69" s="141">
        <f t="shared" si="20"/>
        <v>327.8413369</v>
      </c>
      <c r="EN69" s="133">
        <f t="shared" si="21"/>
        <v>621.1746702</v>
      </c>
      <c r="EO69" s="133">
        <f>AVERAGE(OFFSET($EN$3,0,0,'Données projet'!$E$15+1,1))-AVERAGE(OFFSET($H$3,0,0,'Données projet'!$E$15+1,1))</f>
        <v>130.3193339</v>
      </c>
      <c r="EP69" s="133">
        <f t="shared" si="47"/>
        <v>82.22784365</v>
      </c>
      <c r="EQ69" s="134">
        <f>IF(ISNA(VLOOKUP(A69,'Données projet'!$A$191:$I$211,3,0)),0,VLOOKUP(A69,'Données projet'!$A$191:$I$211,3,0))</f>
        <v>0</v>
      </c>
      <c r="ER69" s="134">
        <f>IF(ISNA(VLOOKUP(A69,'Données projet'!$A$191:$I$211,4,0)),0,VLOOKUP(A69,'Données projet'!$A$191:$I$211,4,0))</f>
        <v>0</v>
      </c>
      <c r="ES69" s="135">
        <f>IF(ISNA(VLOOKUP(A69,'Données projet'!$A$191:$I$211,5,0)),0%,VLOOKUP(A69,'Données projet'!$A$191:$I$211,5,0)*VLOOKUP('Données projet'!$B$15,'Paramètres'!$A$1:$I$89,7,0))</f>
        <v>0</v>
      </c>
      <c r="ET69" s="135">
        <f>IF(ISNA(VLOOKUP(A69,'Données projet'!$A$191:$I$211,6,0)),0%,VLOOKUP(A69,'Données projet'!$A$191:$I$211,6,0)*VLOOKUP('Données projet'!$B$15,'Paramètres'!$A$1:$I$89,7,0))</f>
        <v>0</v>
      </c>
      <c r="EU69" s="135">
        <f>IF(ISNA(VLOOKUP(A69,'Données projet'!$A$191:$I$211,7,0)),0%,VLOOKUP(A69,'Données projet'!$A$191:$I$211,7,0))</f>
        <v>0</v>
      </c>
      <c r="EV69" s="142">
        <f>EXP(-LN(2)/35)*EV68+(1-EXP(-LN(2)/35))/(LN(2)/35)*ER69*ES69*VLOOKUP('Données projet'!$B$15,'Paramètres'!$A$1:$I$89,3,0)*0.475*44/12</f>
        <v>16.70042666</v>
      </c>
      <c r="EW69" s="142">
        <f>EXP(-LN(2)/25)*EW68+(1-EXP(-LN(2)/25))/(LN(2)/25)*Calculateur!ER69*Calculateur!ET69*VLOOKUP('Données projet'!$B$15,'Paramètres'!$A$1:$I$89,3,0)*0.475*44/12</f>
        <v>0</v>
      </c>
      <c r="EX69" s="142">
        <f>EXP(-LN(2)/2)*EX68+(1-EXP(-LN(2)/2))/(LN(2)/2)*ER69*EU69*VLOOKUP('Données projet'!$B$15,'Paramètres'!$A$1:$I$89,3,0)*0.475*44/12</f>
        <v>0</v>
      </c>
      <c r="EY69" s="143">
        <f t="shared" si="22"/>
        <v>16.70042666</v>
      </c>
      <c r="EZ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1" t="str">
        <f>VLOOKUP(A69,'Données projet'!$A$217:$I$237,2,0)</f>
        <v>#N/A</v>
      </c>
      <c r="FC69" s="131" t="str">
        <f>VLOOKUP(A69,'Données projet'!$A$217:$I$237,9,0)</f>
        <v>#N/A</v>
      </c>
      <c r="FD69" s="130">
        <f t="array" ref="FD69">INDEX(FC:FC,MIN(IF(ISNUMBER(FC69:FC265),ROW(FC69:FC265),"")))</f>
        <v>3.6</v>
      </c>
      <c r="FE69" s="130">
        <f>IF('Données projet'!$A$218&gt;35,FE68+FD69-FM68,IF(A69&lt;'Données projet'!$A$218,$FB$205^A69,IF(A69='Données projet'!$A$218,'Données projet'!$B$218,FE68+FD69-FM68)))</f>
        <v>291.6</v>
      </c>
      <c r="FF69" s="138">
        <f>FE69*VLOOKUP('Données projet'!$B$16,'Paramètres'!$A$1:$I$89,3,0)*VLOOKUP('Données projet'!$B$16,'Paramètres'!$A$1:$I$89,5,0)</f>
        <v>263.83968</v>
      </c>
      <c r="FG69" s="130">
        <f t="shared" si="48"/>
        <v>63.54014293</v>
      </c>
      <c r="FH69" s="141">
        <f t="shared" si="23"/>
        <v>570.1865249</v>
      </c>
      <c r="FI69" s="133">
        <f t="shared" si="24"/>
        <v>863.5198583</v>
      </c>
      <c r="FJ69" s="133">
        <f>AVERAGE(OFFSET($FI$3,0,0,'Données projet'!$E$16+1,1))-AVERAGE(OFFSET($H$3,0,0,'Données projet'!$E$16+1,1))</f>
        <v>305.6252353</v>
      </c>
      <c r="FK69" s="133">
        <f t="shared" si="49"/>
        <v>331.397916</v>
      </c>
      <c r="FL69" s="134">
        <f>IF(ISNA(VLOOKUP(A69,'Données projet'!$A$217:$I$237,3,0)),0,VLOOKUP(A69,'Données projet'!$A$217:$I$237,3,0))</f>
        <v>0</v>
      </c>
      <c r="FM69" s="134">
        <f>IF(ISNA(VLOOKUP(A69,'Données projet'!$A$217:$I$237,4,0)),0,VLOOKUP(A69,'Données projet'!$A$217:$I$237,4,0))</f>
        <v>0</v>
      </c>
      <c r="FN69" s="135">
        <f>IF(ISNA(VLOOKUP(A69,'Données projet'!$A$217:$I$237,5,0)),0%,VLOOKUP(A69,'Données projet'!$A$217:$I$237,5,0)*VLOOKUP('Données projet'!$B$16,'Paramètres'!$A$1:$I$89,7,0))</f>
        <v>0</v>
      </c>
      <c r="FO69" s="135">
        <f>IF(ISNA(VLOOKUP(A69,'Données projet'!$A$217:$I$237,6,0)),0%,VLOOKUP(A69,'Données projet'!$A$217:$I$237,6,0)*VLOOKUP('Données projet'!$B$16,'Paramètres'!$A$1:$I$89,7,0))</f>
        <v>0</v>
      </c>
      <c r="FP69" s="135">
        <f>IF(ISNA(VLOOKUP(A69,'Données projet'!$A$217:$I$237,7,0)),0%,VLOOKUP(A69,'Données projet'!$A$217:$I$237,7,0))</f>
        <v>0</v>
      </c>
      <c r="FQ69" s="142">
        <f>EXP(-LN(2)/35)*FQ68+(1-EXP(-LN(2)/35))/(LN(2)/35)*FM69*FN69*VLOOKUP('Données projet'!$B$16,'Paramètres'!$A$1:$I$89,3,0)*0.475*44/12</f>
        <v>7.782541885</v>
      </c>
      <c r="FR69" s="142">
        <f>EXP(-LN(2)/25)*FR68+(1-EXP(-LN(2)/25))/(LN(2)/25)*Calculateur!FM69*Calculateur!FO69*VLOOKUP('Données projet'!$B$16,'Paramètres'!$A$1:$I$89,3,0)*0.475*44/12</f>
        <v>0</v>
      </c>
      <c r="FS69" s="142">
        <f>EXP(-LN(2)/2)*FS68+(1-EXP(-LN(2)/2))/(LN(2)/2)*FM69*FP69*VLOOKUP('Données projet'!$B$16,'Paramètres'!$A$1:$I$89,3,0)*0.475*44/12</f>
        <v>0</v>
      </c>
      <c r="FT69" s="143">
        <f t="shared" si="25"/>
        <v>7.782541885</v>
      </c>
      <c r="FU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1" t="str">
        <f>VLOOKUP(A69,'Données projet'!$A$243:$I$263,2,0)</f>
        <v>#N/A</v>
      </c>
      <c r="FX69" s="131" t="str">
        <f>VLOOKUP(A69,'Données projet'!$A$243:$I$263,9,0)</f>
        <v>#N/A</v>
      </c>
      <c r="FY69" s="131" t="str">
        <f t="array" ref="FY69">INDEX(FX:FX,MIN(IF(ISNUMBER(FX69:FX265),ROW(FX69:FX265),"")))</f>
        <v/>
      </c>
      <c r="FZ69" s="138">
        <f>IF('Données projet'!$A$244&gt;35,FZ68+FY69-GH68,IF(A69&lt;'Données projet'!$A$244,$FW$205^A69,IF(A69='Données projet'!$A$244,'Données projet'!$B$244,FZ68+FY69-GH68)))</f>
        <v>0</v>
      </c>
      <c r="GA69" s="138">
        <f>FZ69*VLOOKUP('Données projet'!$B$17,'Paramètres'!$A$1:$I$89,3,0)*VLOOKUP('Données projet'!$B$17,'Paramètres'!$A$1:$I$89,5,0)</f>
        <v>0</v>
      </c>
      <c r="GB69" s="130">
        <f t="shared" si="50"/>
        <v>0</v>
      </c>
      <c r="GC69" s="141">
        <f t="shared" si="26"/>
        <v>0</v>
      </c>
      <c r="GD69" s="133">
        <f t="shared" si="27"/>
        <v>293.3333333</v>
      </c>
      <c r="GE69" s="133">
        <f>AVERAGE(OFFSET($GD$3,0,0,'Données projet'!$E$17+1,1))-AVERAGE(OFFSET($H$3,0,0,'Données projet'!$E$17+1,1))</f>
        <v>118.7368745</v>
      </c>
      <c r="GF69" s="133">
        <f t="shared" si="51"/>
        <v>135.1233677</v>
      </c>
      <c r="GG69" s="134">
        <f>IF(ISNA(VLOOKUP(A69,'Données projet'!$A$243:$I$263,3,0)),0,VLOOKUP(A69,'Données projet'!$A$243:$I$263,3,0))</f>
        <v>0</v>
      </c>
      <c r="GH69" s="134">
        <f>IF(ISNA(VLOOKUP(A69,'Données projet'!$A$243:$I$263,4,0)),0,VLOOKUP(A69,'Données projet'!$A$243:$I$263,4,0))</f>
        <v>0</v>
      </c>
      <c r="GI69" s="135">
        <f>IF(ISNA(VLOOKUP(A69,'Données projet'!$A$243:$I$263,5,0)),0%,VLOOKUP(A69,'Données projet'!$A$243:$I$263,5,0)*VLOOKUP('Données projet'!$B$17,'Paramètres'!$A$1:$I$89,7,0))</f>
        <v>0</v>
      </c>
      <c r="GJ69" s="135">
        <f>IF(ISNA(VLOOKUP(A69,'Données projet'!$A$243:$I$263,6,0)),0%,VLOOKUP(A69,'Données projet'!$A$243:$I$263,6,0)*VLOOKUP('Données projet'!$B$17,'Paramètres'!$A$1:$I$89,7,0))</f>
        <v>0</v>
      </c>
      <c r="GK69" s="135">
        <f>IF(ISNA(VLOOKUP(A69,'Données projet'!$A$243:$I$263,7,0)),0%,VLOOKUP(A69,'Données projet'!$A$243:$I$263,7,0))</f>
        <v>0</v>
      </c>
      <c r="GL69" s="142">
        <f>EXP(-LN(2)/35)*GL68+(1-EXP(-LN(2)/35))/(LN(2)/35)*GH69*GI69*VLOOKUP('Données projet'!$B$17,'Paramètres'!$A$1:$I$89,3,0)*0.475*44/12</f>
        <v>92.22701722</v>
      </c>
      <c r="GM69" s="142">
        <f>EXP(-LN(2)/25)*GM68+(1-EXP(-LN(2)/25))/(LN(2)/25)*Calculateur!GH69*Calculateur!GJ69*VLOOKUP('Données projet'!$B$17,'Paramètres'!$A$1:$I$89,3,0)*0.475*44/12</f>
        <v>0</v>
      </c>
      <c r="GN69" s="142">
        <f>EXP(-LN(2)/2)*GN68+(1-EXP(-LN(2)/2))/(LN(2)/2)*GH69*GK69*VLOOKUP('Données projet'!$B$17,'Paramètres'!$A$1:$I$89,3,0)*0.475*44/12</f>
        <v>0</v>
      </c>
      <c r="GO69" s="142">
        <f t="shared" si="28"/>
        <v>92.22701722</v>
      </c>
      <c r="GP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1" t="str">
        <f>VLOOKUP(A69,'Données projet'!$A$269:$I$289,2,0)</f>
        <v>#N/A</v>
      </c>
      <c r="GS69" s="131" t="str">
        <f>VLOOKUP(A69,'Données projet'!$A$269:$I$289,9,0)</f>
        <v>#N/A</v>
      </c>
      <c r="GT69" s="131" t="str">
        <f t="array" ref="GT69">INDEX(GS:GS,MIN(IF(ISNUMBER(GS69:GS265),ROW(GS69:GS265),"")))</f>
        <v/>
      </c>
      <c r="GU69" s="138">
        <f>IF('Données projet'!$A$270&gt;35,GU68+GT69-HC68,IF(A69&lt;'Données projet'!$A$270,$GR$205^A69,IF(A69='Données projet'!$A$270,'Données projet'!$B$270,GU68+GT69-HC68)))</f>
        <v>0</v>
      </c>
      <c r="GV69" s="138">
        <f>GU69*VLOOKUP('Données projet'!$B$18,'Paramètres'!$A$1:$I$89,3,0)*VLOOKUP('Données projet'!$B$18,'Paramètres'!$A$1:$I$89,5,0)</f>
        <v>0</v>
      </c>
      <c r="GW69" s="130" t="str">
        <f t="shared" si="52"/>
        <v>#NUM!</v>
      </c>
      <c r="GX69" s="141" t="str">
        <f t="shared" si="29"/>
        <v>#NUM!</v>
      </c>
      <c r="GY69" s="133" t="str">
        <f t="shared" si="30"/>
        <v>#NUM!</v>
      </c>
      <c r="GZ69" s="133">
        <f>AVERAGE(OFFSET($GY$3,0,0,'Données projet'!$E$18+1,1))-AVERAGE(OFFSET($H$3,0,0,'Données projet'!$E$18+1,1))</f>
        <v>100.5427875</v>
      </c>
      <c r="HA69" s="133">
        <f t="shared" si="53"/>
        <v>92.28663609</v>
      </c>
      <c r="HB69" s="134">
        <f>IF(ISNA(VLOOKUP(A69,'Données projet'!$A$269:$I$289,3,0)),0,VLOOKUP(A69,'Données projet'!$A$269:$I$289,3,0))</f>
        <v>0</v>
      </c>
      <c r="HC69" s="134">
        <f>IF(ISNA(VLOOKUP(A69,'Données projet'!$A$269:$I$289,4,0)),0,VLOOKUP(A69,'Données projet'!$A$269:$I$289,4,0))</f>
        <v>0</v>
      </c>
      <c r="HD69" s="135">
        <f>IF(ISNA(VLOOKUP(A69,'Données projet'!$A$269:$I$289,5,0)),0%,VLOOKUP(A69,'Données projet'!$A$269:$I$289,5,0)*VLOOKUP('Données projet'!$B$18,'Paramètres'!$A$1:$I$89,7,0))</f>
        <v>0</v>
      </c>
      <c r="HE69" s="135">
        <f>IF(ISNA(VLOOKUP(A69,'Données projet'!$A$269:$I$289,6,0)),0%,VLOOKUP(A69,'Données projet'!$A$269:$I$289,6,0)*VLOOKUP('Données projet'!$B$18,'Paramètres'!$A$1:$I$89,7,0))</f>
        <v>0</v>
      </c>
      <c r="HF69" s="135">
        <f>IF(ISNA(VLOOKUP(A69,'Données projet'!$A$269:$I$289,7,0)),0%,VLOOKUP(A69,'Données projet'!$A$269:$I$289,7,0))</f>
        <v>0</v>
      </c>
      <c r="HG69" s="142">
        <f>EXP(-LN(2)/35)*HG68+(1-EXP(-LN(2)/35))/(LN(2)/35)*HC69*HD69*VLOOKUP('Données projet'!$B$18,'Paramètres'!$A$1:$I$89,3,0)*0.475*44/12</f>
        <v>62.8046531</v>
      </c>
      <c r="HH69" s="142">
        <f>EXP(-LN(2)/25)*HH68+(1-EXP(-LN(2)/25))/(LN(2)/25)*Calculateur!HC69*Calculateur!HE69*VLOOKUP('Données projet'!$B$18,'Paramètres'!$A$1:$I$89,3,0)*0.475*44/12</f>
        <v>0</v>
      </c>
      <c r="HI69" s="142">
        <f>EXP(-LN(2)/2)*HI68+(1-EXP(-LN(2)/2))/(LN(2)/2)*HC69*HF69*VLOOKUP('Données projet'!$B$18,'Paramètres'!$A$1:$I$89,3,0)*0.475*44/12</f>
        <v>0</v>
      </c>
      <c r="HJ69" s="143">
        <f t="shared" si="31"/>
        <v>62.8046531</v>
      </c>
    </row>
    <row r="70" ht="15.75" customHeight="1">
      <c r="A70" s="125">
        <f t="shared" si="32"/>
        <v>67</v>
      </c>
      <c r="B70" s="126">
        <f>'Scénario référence'!$B$16*5+'Scénario référence'!$B$17*0+'Scénario référence'!$B$18*5</f>
        <v>0</v>
      </c>
      <c r="C70" s="140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36.582</v>
      </c>
      <c r="D70" s="127">
        <f t="shared" si="33"/>
        <v>11.0880501</v>
      </c>
      <c r="E7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7">
        <f>IF(OR('Scénario référence'!$F$8&gt;0,'Scénario référence'!$F$9&gt;0),('Scénario référence'!$F$8+'Scénario référence'!$F$9)*10,0)</f>
        <v>10</v>
      </c>
      <c r="G70" s="127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</v>
      </c>
      <c r="H70" s="128">
        <f t="shared" si="1"/>
        <v>376.3586706</v>
      </c>
      <c r="I70" s="12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1" t="str">
        <f>VLOOKUP(A70,'Données projet'!$A$35:$I$55,2,0)</f>
        <v>#N/A</v>
      </c>
      <c r="L70" s="131" t="str">
        <f>VLOOKUP(A70,'Données projet'!$A$35:$I$55,9,0)</f>
        <v>#N/A</v>
      </c>
      <c r="M70" s="131" t="str">
        <f t="array" ref="M70">INDEX(L:L,MIN(IF(ISNUMBER(L70:L266),ROW(L70:L266),"")))</f>
        <v/>
      </c>
      <c r="N70" s="130">
        <f>IF('Données projet'!$A$36&gt;35,N69+M70-V69,IF(A70&lt;'Données projet'!$A$36,$K$205^A70,IF(A70='Données projet'!$A$36,'Données projet'!$B$36,N69+M70-V69)))</f>
        <v>0</v>
      </c>
      <c r="O70" s="130">
        <f>N70*VLOOKUP('Données projet'!$B$9,'Paramètres'!$A$1:$I$89,3,0)*VLOOKUP('Données projet'!$B$9,'Paramètres'!$A$1:$I$89,5,0)</f>
        <v>0</v>
      </c>
      <c r="P70" s="130">
        <f t="shared" si="34"/>
        <v>0</v>
      </c>
      <c r="Q70" s="141">
        <f t="shared" si="2"/>
        <v>0</v>
      </c>
      <c r="R70" s="133">
        <f t="shared" si="3"/>
        <v>293.3333333</v>
      </c>
      <c r="S70" s="133">
        <f>AVERAGE(OFFSET($R$3,0,0,'Données projet'!$E$9+1,1))-AVERAGE(OFFSET($H$3,0,0,'Données projet'!$E$9+1,1))</f>
        <v>126.9946492</v>
      </c>
      <c r="T70" s="133">
        <f t="shared" si="35"/>
        <v>140.039049</v>
      </c>
      <c r="U70" s="134">
        <f>IF(ISNA(VLOOKUP(A70,'Données projet'!$A$35:$I$55,3,0)),0,VLOOKUP(A70,'Données projet'!$A$35:$I$55,3,0))</f>
        <v>0</v>
      </c>
      <c r="V70" s="134">
        <f>IF(ISNA(VLOOKUP(A70,'Données projet'!$A$35:$I$55,4,0)),0,VLOOKUP(A70,'Données projet'!$A$35:$I$55,4,0))</f>
        <v>0</v>
      </c>
      <c r="W70" s="135">
        <f>IF(ISNA(VLOOKUP(A70,'Données projet'!$A$35:$I$55,5,0)),0%,VLOOKUP(A70,'Données projet'!$A$35:$I$55,5,0)*VLOOKUP('Données projet'!$B$9,'Paramètres'!$A$1:$I$89,7,0))</f>
        <v>0</v>
      </c>
      <c r="X70" s="135">
        <f>IF(ISNA(VLOOKUP(A70,'Données projet'!$A$35:$I$55,6,0)),0%,VLOOKUP(A70,'Données projet'!$A$35:$I$55,6,0)*VLOOKUP('Données projet'!$B$9,'Paramètres'!$A$1:$I$89,7,0))</f>
        <v>0</v>
      </c>
      <c r="Y70" s="135">
        <f>IF(ISNA(VLOOKUP(A70,'Données projet'!$A$35:$I$55,7,0)),0%,VLOOKUP(A70,'Données projet'!$A$35:$I$55,7,0))</f>
        <v>0</v>
      </c>
      <c r="Z70" s="142">
        <f>EXP(-LN(2)/35)*Z69+(1-EXP(-LN(2)/35))/(LN(2)/35)*V70*W70*VLOOKUP('Données projet'!$B$9,'Paramètres'!$A$1:$I$89,3,0)*0.475*44/12</f>
        <v>92.47799974</v>
      </c>
      <c r="AA70" s="142">
        <f>EXP(-LN(2)/25)*AA69+(1-EXP(-LN(2)/25))/(LN(2)/25)*Calculateur!V70*Calculateur!X70*VLOOKUP('Données projet'!$B$9,'Paramètres'!$A$1:$I$89,3,0)*0.475*44/12</f>
        <v>19.13914125</v>
      </c>
      <c r="AB70" s="142">
        <f>EXP(-LN(2)/2)*AB69+(1-EXP(-LN(2)/2))/(LN(2)/2)*V70*Y70*VLOOKUP('Données projet'!$B$9,'Paramètres'!$A$1:$I$89,3,0)*0.475*44/12</f>
        <v>1.678439144</v>
      </c>
      <c r="AC70" s="143">
        <f t="shared" si="4"/>
        <v>113.2955801</v>
      </c>
      <c r="AD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1" t="str">
        <f>VLOOKUP(A70,'Données projet'!$A$61:$I$81,2,0)</f>
        <v>#N/A</v>
      </c>
      <c r="AG70" s="131" t="str">
        <f>VLOOKUP(A70,'Données projet'!$A$61:$I$81,9,0)</f>
        <v>#N/A</v>
      </c>
      <c r="AH70" s="131" t="str">
        <f t="array" ref="AH70">INDEX(AG:AG,MIN(IF(ISNUMBER(AG70:AG266),ROW(AG70:AG266),"")))</f>
        <v/>
      </c>
      <c r="AI70" s="130">
        <f>IF('Données projet'!$A$62&gt;35,AI69+AH70-AQ69,IF(A70&lt;'Données projet'!$A$62,$AF$205^A70,IF(A70='Données projet'!$A$62,'Données projet'!$B$62,AI69+AH70-AQ69)))</f>
        <v>0</v>
      </c>
      <c r="AJ70" s="130">
        <f>AI70*VLOOKUP('Données projet'!$B$10,'Paramètres'!$A$1:$I$89,3,0)*VLOOKUP('Données projet'!$B$10,'Paramètres'!$A$1:$I$89,5,0)</f>
        <v>0</v>
      </c>
      <c r="AK70" s="130" t="str">
        <f t="shared" si="36"/>
        <v>#NUM!</v>
      </c>
      <c r="AL70" s="141" t="str">
        <f t="shared" si="5"/>
        <v>#NUM!</v>
      </c>
      <c r="AM70" s="133" t="str">
        <f t="shared" si="6"/>
        <v>#NUM!</v>
      </c>
      <c r="AN70" s="133">
        <f>AVERAGE(OFFSET($AM$3,0,0,'Données projet'!$E$10+1,1))-AVERAGE(OFFSET($H$3,0,0,'Données projet'!$E$10+1,1))</f>
        <v>196.874484</v>
      </c>
      <c r="AO70" s="133">
        <f t="shared" si="37"/>
        <v>217.5750859</v>
      </c>
      <c r="AP70" s="134">
        <f>IF(ISNA(VLOOKUP(A70,'Données projet'!$A$61:$I$81,3,0)),0,VLOOKUP(A70,'Données projet'!$A$61:$I$81,3,0))</f>
        <v>0</v>
      </c>
      <c r="AQ70" s="134">
        <f>IF(ISNA(VLOOKUP(A70,'Données projet'!$A$61:$I$81,4,0)),0,VLOOKUP(A70,'Données projet'!$A$61:$I$81,4,0))</f>
        <v>0</v>
      </c>
      <c r="AR70" s="135">
        <f>IF(ISNA(VLOOKUP(A70,'Données projet'!$A$61:$I$81,5,0)),0%,VLOOKUP(A70,'Données projet'!$A$61:$I$81,5,0)*VLOOKUP('Données projet'!$B$10,'Paramètres'!$A$1:$I$89,7,0))</f>
        <v>0</v>
      </c>
      <c r="AS70" s="135">
        <f>IF(ISNA(VLOOKUP(A70,'Données projet'!$A$61:$I$81,6,0)),0%,VLOOKUP(A70,'Données projet'!$A$61:$I$81,6,0)*VLOOKUP('Données projet'!$B$10,'Paramètres'!$A$1:$I$89,7,0))</f>
        <v>0</v>
      </c>
      <c r="AT70" s="135">
        <f>IF(ISNA(VLOOKUP(A70,'Données projet'!$A$61:$I$81,7,0)),0%,VLOOKUP(A70,'Données projet'!$A$61:$I$81,7,0))</f>
        <v>0</v>
      </c>
      <c r="AU70" s="142">
        <f>EXP(-LN(2)/35)*AU69+(1-EXP(-LN(2)/35))/(LN(2)/35)*AQ70*AR70*VLOOKUP('Données projet'!$B$10,'Paramètres'!$A$1:$I$89,3,0)*0.475*44/12</f>
        <v>128.5417929</v>
      </c>
      <c r="AV70" s="142">
        <f>EXP(-LN(2)/25)*AV69+(1-EXP(-LN(2)/25))/(LN(2)/25)*Calculateur!AQ70*Calculateur!AS70*VLOOKUP('Données projet'!$B$10,'Paramètres'!$A$1:$I$89,3,0)*0.475*44/12</f>
        <v>29.42645524</v>
      </c>
      <c r="AW70" s="142">
        <f>EXP(-LN(2)/2)*AW69+(1-EXP(-LN(2)/2))/(LN(2)/2)*AQ70*AT70*VLOOKUP('Données projet'!$B$10,'Paramètres'!$A$1:$I$89,3,0)*0.475*44/12</f>
        <v>2.340096567</v>
      </c>
      <c r="AX70" s="142">
        <f t="shared" si="7"/>
        <v>160.3083447</v>
      </c>
      <c r="AY70" s="13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1" t="str">
        <f>VLOOKUP(A70,'Données projet'!$A$87:$I$107,2,0)</f>
        <v>#N/A</v>
      </c>
      <c r="BB70" s="131" t="str">
        <f>VLOOKUP(A70,'Données projet'!$A$87:$I$107,9,0)</f>
        <v>#N/A</v>
      </c>
      <c r="BC70" s="130">
        <f t="array" ref="BC70">INDEX(BB:BB,MIN(IF(ISNUMBER(BB70:BB266),ROW(BB70:BB266),"")))</f>
        <v>13</v>
      </c>
      <c r="BD70" s="130">
        <f>IF('Données projet'!$A$88&gt;35,BD69+BC70-BL69,IF(A70&lt;'Données projet'!$A$88,$BA$205^A70,IF(A70='Données projet'!$A$88,'Données projet'!$B$88,BD69+BC70-BL69)))</f>
        <v>431</v>
      </c>
      <c r="BE70" s="130">
        <f>BD70*VLOOKUP('Données projet'!$B$11,'Paramètres'!$A$1:$I$89,3,0)*VLOOKUP('Données projet'!$B$11,'Paramètres'!$A$1:$I$89,5,0)</f>
        <v>201.708</v>
      </c>
      <c r="BF70" s="130">
        <f t="shared" si="38"/>
        <v>50.11934845</v>
      </c>
      <c r="BG70" s="141">
        <f t="shared" si="8"/>
        <v>438.5992986</v>
      </c>
      <c r="BH70" s="133">
        <f t="shared" si="9"/>
        <v>731.9326319</v>
      </c>
      <c r="BI70" s="133">
        <f>AVERAGE(OFFSET($BH$3,0,0,'Données projet'!$E$11+1,1))-AVERAGE(OFFSET($H$3,0,0,'Données projet'!$E$11+1,1))</f>
        <v>134.0948534</v>
      </c>
      <c r="BJ70" s="133">
        <f t="shared" si="39"/>
        <v>108.4102536</v>
      </c>
      <c r="BK70" s="134">
        <f>IF(ISNA(VLOOKUP(A70,'Données projet'!$A$87:$I$107,3,0)),0,VLOOKUP(A70,'Données projet'!$A$87:$I$107,3,0))</f>
        <v>0</v>
      </c>
      <c r="BL70" s="134">
        <f>IF(ISNA(VLOOKUP(A70,'Données projet'!$A$87:$I$107,4,0)),0,VLOOKUP(A70,'Données projet'!$A$87:$I$107,4,0))</f>
        <v>0</v>
      </c>
      <c r="BM70" s="135">
        <f>IF(ISNA(VLOOKUP(A70,'Données projet'!$A$87:$I$107,5,0)),0%,VLOOKUP(A70,'Données projet'!$A$87:$I$107,5,0)*VLOOKUP('Données projet'!$B$11,'Paramètres'!$A$1:$I$89,7,0))</f>
        <v>0</v>
      </c>
      <c r="BN70" s="135">
        <f>IF(ISNA(VLOOKUP(A70,'Données projet'!$A$87:$I$107,6,0)),0%,VLOOKUP(A70,'Données projet'!$A$87:$I$107,6,0)*VLOOKUP('Données projet'!$B$11,'Paramètres'!$A$1:$I$89,7,0))</f>
        <v>0</v>
      </c>
      <c r="BO70" s="135">
        <f>IF(ISNA(VLOOKUP(A70,'Données projet'!$A$87:$I$107,7,0)),0%,VLOOKUP(A70,'Données projet'!$A$87:$I$107,7,0))</f>
        <v>0</v>
      </c>
      <c r="BP70" s="142">
        <f>EXP(-LN(2)/35)*BP69+(1-EXP(-LN(2)/35))/(LN(2)/35)*BL70*BM70*VLOOKUP('Données projet'!$B$11,'Paramètres'!$A$1:$I$89,3,0)*0.475*44/12</f>
        <v>24.51930147</v>
      </c>
      <c r="BQ70" s="142">
        <f>EXP(-LN(2)/25)*BQ69+(1-EXP(-LN(2)/25))/(LN(2)/25)*Calculateur!BL70*Calculateur!BN70*VLOOKUP('Données projet'!$B$11,'Paramètres'!$A$1:$I$89,3,0)*0.475*44/12</f>
        <v>8.834021251</v>
      </c>
      <c r="BR70" s="142">
        <f>EXP(-LN(2)/2)*BR69+(1-EXP(-LN(2)/2))/(LN(2)/2)*BL70*BO70*VLOOKUP('Données projet'!$B$11,'Paramètres'!$A$1:$I$89,3,0)*0.475*44/12</f>
        <v>0.2195804562</v>
      </c>
      <c r="BS70" s="143">
        <f t="shared" si="10"/>
        <v>33.57290318</v>
      </c>
      <c r="BT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1" t="str">
        <f>VLOOKUP(A70,'Données projet'!$A$113:$I$133,2,0)</f>
        <v>#N/A</v>
      </c>
      <c r="BW70" s="131" t="str">
        <f>VLOOKUP(A70,'Données projet'!$A$113:$I$133,9,0)</f>
        <v>#N/A</v>
      </c>
      <c r="BX70" s="131" t="str">
        <f t="array" ref="BX70">INDEX(BW:BW,MIN(IF(ISNUMBER(BW70:BW266),ROW(BW70:BW266),"")))</f>
        <v/>
      </c>
      <c r="BY70" s="130">
        <f>IF('Données projet'!$A$114&gt;35,BY69+BX70-CG69,IF(A70&lt;'Données projet'!$A$114,$BV$205^A70,IF(A70='Données projet'!$A$114,'Données projet'!$B$114,BY69+BX70-CG69)))</f>
        <v>0</v>
      </c>
      <c r="BZ70" s="130">
        <f>BY70*VLOOKUP('Données projet'!$B$12,'Paramètres'!$A$1:$I$89,3,0)*VLOOKUP('Données projet'!$B$12,'Paramètres'!$A$1:$I$89,5,0)</f>
        <v>0</v>
      </c>
      <c r="CA70" s="130" t="str">
        <f t="shared" si="40"/>
        <v>#NUM!</v>
      </c>
      <c r="CB70" s="141" t="str">
        <f t="shared" si="11"/>
        <v>#NUM!</v>
      </c>
      <c r="CC70" s="133" t="str">
        <f t="shared" si="12"/>
        <v>#NUM!</v>
      </c>
      <c r="CD70" s="133">
        <f>AVERAGE(OFFSET($CC$3,0,0,'Données projet'!$E$12+1,1))-AVERAGE(OFFSET($H$3,0,0,'Données projet'!$E$12+1,1))</f>
        <v>258.1672054</v>
      </c>
      <c r="CE70" s="133">
        <f t="shared" si="41"/>
        <v>296.0724261</v>
      </c>
      <c r="CF70" s="134">
        <f>IF(ISNA(VLOOKUP(A70,'Données projet'!$A$113:$I$133,3,0)),0,VLOOKUP(A70,'Données projet'!$A$113:$I$133,3,0))</f>
        <v>0</v>
      </c>
      <c r="CG70" s="134">
        <f>IF(ISNA(VLOOKUP(A70,'Données projet'!$A$113:$I$133,4,0)),0,VLOOKUP(A70,'Données projet'!$A$113:$I$133,4,0))</f>
        <v>0</v>
      </c>
      <c r="CH70" s="135">
        <f>IF(ISNA(VLOOKUP(A70,'Données projet'!$A$113:$I$133,5,0)),0%,VLOOKUP(A70,'Données projet'!$A$113:$I$133,5,0)*VLOOKUP('Données projet'!$B$12,'Paramètres'!$A$1:$I$89,7,0))</f>
        <v>0</v>
      </c>
      <c r="CI70" s="135">
        <f>IF(ISNA(VLOOKUP(A70,'Données projet'!$A$113:$I$133,6,0)),0%,VLOOKUP(A70,'Données projet'!$A$113:$I$133,6,0)*VLOOKUP('Données projet'!$B$12,'Paramètres'!$A$1:$I$89,7,0))</f>
        <v>0</v>
      </c>
      <c r="CJ70" s="135">
        <f>IF(ISNA(VLOOKUP(A70,'Données projet'!$A$113:$I$133,7,0)),0%,VLOOKUP(A70,'Données projet'!$A$113:$I$133,7,0))</f>
        <v>0</v>
      </c>
      <c r="CK70" s="142">
        <f>EXP(-LN(2)/35)*CK69+(1-EXP(-LN(2)/35))/(LN(2)/35)*CG70*CH70*VLOOKUP('Données projet'!$B$12,'Paramètres'!$A$1:$I$89,3,0)*0.475*44/12</f>
        <v>224.790185</v>
      </c>
      <c r="CL70" s="142">
        <f>EXP(-LN(2)/25)*CL69+(1-EXP(-LN(2)/25))/(LN(2)/25)*Calculateur!CG70*Calculateur!CI70*VLOOKUP('Données projet'!$B$12,'Paramètres'!$A$1:$I$89,3,0)*0.475*44/12</f>
        <v>32.55921081</v>
      </c>
      <c r="CM70" s="142">
        <f>EXP(-LN(2)/2)*CM69+(1-EXP(-LN(2)/2))/(LN(2)/2)*CG70*CJ70*VLOOKUP('Données projet'!$B$12,'Paramètres'!$A$1:$I$89,3,0)*0.475*44/12</f>
        <v>1.314989173</v>
      </c>
      <c r="CN70" s="143">
        <f t="shared" si="13"/>
        <v>258.664385</v>
      </c>
      <c r="CO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1" t="str">
        <f>VLOOKUP(A70,'Données projet'!$A$139:$I$159,2,0)</f>
        <v>#N/A</v>
      </c>
      <c r="CR70" s="131" t="str">
        <f>VLOOKUP(A70,'Données projet'!$A$139:$I$159,9,0)</f>
        <v>#N/A</v>
      </c>
      <c r="CS70" s="130">
        <f t="array" ref="CS70">INDEX(CR:CR,MIN(IF(ISNUMBER(CR70:CR266),ROW(CR70:CR266),"")))</f>
        <v>5</v>
      </c>
      <c r="CT70" s="138">
        <f>IF('Données projet'!$A$140&gt;35,CT69+CS70-DB69,IF(A70&lt;'Données projet'!$A$140,$CQ$205^A70,IF(A70='Données projet'!$A$140,'Données projet'!$B$140,CT69+CS70-DB69)))</f>
        <v>157</v>
      </c>
      <c r="CU70" s="138">
        <f>CT70*VLOOKUP('Données projet'!$B$13,'Paramètres'!$A$1:$I$89,3,0)*VLOOKUP('Données projet'!$B$13,'Paramètres'!$A$1:$I$89,5,0)</f>
        <v>159.198</v>
      </c>
      <c r="CV70" s="130">
        <f t="shared" si="42"/>
        <v>40.6615692</v>
      </c>
      <c r="CW70" s="141">
        <f t="shared" si="14"/>
        <v>348.0887497</v>
      </c>
      <c r="CX70" s="133">
        <f t="shared" si="15"/>
        <v>641.422083</v>
      </c>
      <c r="CY70" s="133">
        <f>AVERAGE(OFFSET($CX$3,0,0,'Données projet'!$E$13+1,1))-AVERAGE(OFFSET($H$3,0,0,'Données projet'!$E$13+1,1))</f>
        <v>223.783507</v>
      </c>
      <c r="CZ70" s="133">
        <f t="shared" si="43"/>
        <v>84.92349117</v>
      </c>
      <c r="DA70" s="134">
        <f>IF(ISNA(VLOOKUP(A70,'Données projet'!$A$139:$I$159,3,0)),0,VLOOKUP(A70,'Données projet'!$A$139:$I$159,3,0))</f>
        <v>0</v>
      </c>
      <c r="DB70" s="134">
        <f>IF(ISNA(VLOOKUP(A70,'Données projet'!$A$139:$I$159,4,0)),0,VLOOKUP(A70,'Données projet'!$A$139:$I$159,4,0))</f>
        <v>0</v>
      </c>
      <c r="DC70" s="135">
        <f>IF(ISNA(VLOOKUP(A70,'Données projet'!$A$139:$I$159,5,0)),0%,VLOOKUP(A70,'Données projet'!$A$139:$I$159,5,0)*VLOOKUP('Données projet'!$B$13,'Paramètres'!$A$1:$I$89,7,0))</f>
        <v>0</v>
      </c>
      <c r="DD70" s="135">
        <f>IF(ISNA(VLOOKUP(A70,'Données projet'!$A$139:$I$159,6,0)),0%,VLOOKUP(A70,'Données projet'!$A$139:$I$159,6,0)*VLOOKUP('Données projet'!$B$13,'Paramètres'!$A$1:$I$89,7,0))</f>
        <v>0</v>
      </c>
      <c r="DE70" s="135">
        <f>IF(ISNA(VLOOKUP(A70,'Données projet'!$A$139:$I$159,7,0)),0%,VLOOKUP(A70,'Données projet'!$A$139:$I$159,7,0))</f>
        <v>0</v>
      </c>
      <c r="DF70" s="142">
        <f>EXP(-LN(2)/35)*DF69+(1-EXP(-LN(2)/35))/(LN(2)/35)*DB70*DC70*VLOOKUP('Données projet'!$B$13,'Paramètres'!$A$1:$I$89,3,0)*0.475*44/12</f>
        <v>7.789784388</v>
      </c>
      <c r="DG70" s="142">
        <f>EXP(-LN(2)/25)*DG69+(1-EXP(-LN(2)/25))/(LN(2)/25)*Calculateur!DB70*Calculateur!DD70*VLOOKUP('Données projet'!$B$13,'Paramètres'!$A$1:$I$89,3,0)*0.475*44/12</f>
        <v>0</v>
      </c>
      <c r="DH70" s="142">
        <f>EXP(-LN(2)/2)*DH69+(1-EXP(-LN(2)/2))/(LN(2)/2)*DB70*DE70*VLOOKUP('Données projet'!$B$13,'Paramètres'!$A$1:$I$89,3,0)*0.475*44/12</f>
        <v>0</v>
      </c>
      <c r="DI70" s="143">
        <f t="shared" si="16"/>
        <v>7.789784388</v>
      </c>
      <c r="DJ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1" t="str">
        <f>VLOOKUP(A70,'Données projet'!$A$165:$I$185,2,0)</f>
        <v>#N/A</v>
      </c>
      <c r="DM70" s="131" t="str">
        <f>VLOOKUP(A70,'Données projet'!$A$165:$I$185,9,0)</f>
        <v>#N/A</v>
      </c>
      <c r="DN70" s="131">
        <f t="array" ref="DN70">INDEX(DM:DM,MIN(IF(ISNUMBER(DM70:DM266),ROW(DM70:DM266),"")))</f>
        <v>6.8</v>
      </c>
      <c r="DO70" s="138">
        <f>IF('Données projet'!$A$166&gt;35,DO69+DN70-DW69,IF(A70&lt;'Données projet'!$A$166,$DL$205^A70,IF(A70='Données projet'!$A$166,'Données projet'!$B$166,DO69+DN70-DW69)))</f>
        <v>221.6</v>
      </c>
      <c r="DP70" s="138">
        <f>DO70*VLOOKUP('Données projet'!$B$14,'Paramètres'!$A$1:$I$89,3,0)*VLOOKUP('Données projet'!$B$14,'Paramètres'!$A$1:$I$89,5,0)</f>
        <v>200.50368</v>
      </c>
      <c r="DQ70" s="130">
        <f t="shared" si="44"/>
        <v>49.85484514</v>
      </c>
      <c r="DR70" s="141">
        <f t="shared" si="17"/>
        <v>436.0410979</v>
      </c>
      <c r="DS70" s="133">
        <f t="shared" si="18"/>
        <v>729.3744313</v>
      </c>
      <c r="DT70" s="133">
        <f>AVERAGE(OFFSET($DS$3,0,0,'Données projet'!$E$14+1,1))-AVERAGE(OFFSET($H$3,0,0,'Données projet'!$E$14+1,1))</f>
        <v>287.9334714</v>
      </c>
      <c r="DU70" s="133">
        <f t="shared" si="45"/>
        <v>156.6796502</v>
      </c>
      <c r="DV70" s="134">
        <f>IF(ISNA(VLOOKUP(A70,'Données projet'!$A$165:$I$185,3,0)),0,VLOOKUP(A70,'Données projet'!$A$165:$I$185,3,0))</f>
        <v>0</v>
      </c>
      <c r="DW70" s="134">
        <f>IF(ISNA(VLOOKUP(A70,'Données projet'!$A$165:$I$185,4,0)),0,VLOOKUP(A70,'Données projet'!$A$165:$I$185,4,0))</f>
        <v>0</v>
      </c>
      <c r="DX70" s="135">
        <f>IF(ISNA(VLOOKUP(A70,'Données projet'!$A$165:$I$185,5,0)),0%,VLOOKUP(A70,'Données projet'!$A$165:$I$185,5,0)*VLOOKUP('Données projet'!$B$14,'Paramètres'!$A$1:$I$89,7,0))</f>
        <v>0</v>
      </c>
      <c r="DY70" s="135">
        <f>IF(ISNA(VLOOKUP(A70,'Données projet'!$A$165:$I$185,6,0)),0%,VLOOKUP(A70,'Données projet'!$A$165:$I$185,6,0)*VLOOKUP('Données projet'!$B$14,'Paramètres'!$A$1:$I$89,7,0))</f>
        <v>0</v>
      </c>
      <c r="DZ70" s="135">
        <f>IF(ISNA(VLOOKUP(A70,'Données projet'!$A$165:$I$185,7,0)),0%,VLOOKUP(A70,'Données projet'!$A$165:$I$185,7,0))</f>
        <v>0</v>
      </c>
      <c r="EA70" s="142">
        <f>EXP(-LN(2)/35)*EA69+(1-EXP(-LN(2)/35))/(LN(2)/35)*DW70*DX70*VLOOKUP('Données projet'!$B$14,'Paramètres'!$A$1:$I$89,3,0)*0.475*44/12</f>
        <v>12.9158987</v>
      </c>
      <c r="EB70" s="142">
        <f>EXP(-LN(2)/25)*EB69+(1-EXP(-LN(2)/25))/(LN(2)/25)*Calculateur!DW70*Calculateur!DY70*VLOOKUP('Données projet'!$B$14,'Paramètres'!$A$1:$I$89,3,0)*0.475*44/12</f>
        <v>0</v>
      </c>
      <c r="EC70" s="142">
        <f>EXP(-LN(2)/2)*EC69+(1-EXP(-LN(2)/2))/(LN(2)/2)*DW70*DZ70*VLOOKUP('Données projet'!$B$14,'Paramètres'!$A$1:$I$89,3,0)*0.475*44/12</f>
        <v>0</v>
      </c>
      <c r="ED70" s="143">
        <f t="shared" si="19"/>
        <v>12.9158987</v>
      </c>
      <c r="EE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1" t="str">
        <f>VLOOKUP(A70,'Données projet'!$A$191:$I$211,2,0)</f>
        <v>#N/A</v>
      </c>
      <c r="EH70" s="131" t="str">
        <f>VLOOKUP(A70,'Données projet'!$A$191:$I$211,9,0)</f>
        <v>#N/A</v>
      </c>
      <c r="EI70" s="131">
        <f t="array" ref="EI70">INDEX(EH:EH,MIN(IF(ISNUMBER(EH70:EH266),ROW(EH70:EH266),"")))</f>
        <v>8.2</v>
      </c>
      <c r="EJ70" s="138">
        <f>IF('Données projet'!$A$192&gt;35,EJ69+EI70-ER69,IF(A70&lt;'Données projet'!$A$192,$EG$205^A70,IF(A70='Données projet'!$A$192,'Données projet'!$B$192,EJ69+EI70-ER69)))</f>
        <v>212.4</v>
      </c>
      <c r="EK70" s="138">
        <f>EJ70*VLOOKUP('Données projet'!$B$15,'Paramètres'!$A$1:$I$89,3,0)*VLOOKUP('Données projet'!$B$15,'Paramètres'!$A$1:$I$89,5,0)</f>
        <v>155.73168</v>
      </c>
      <c r="EL70" s="130">
        <f t="shared" si="46"/>
        <v>39.87827413</v>
      </c>
      <c r="EM70" s="141">
        <f t="shared" si="20"/>
        <v>340.6873368</v>
      </c>
      <c r="EN70" s="133">
        <f t="shared" si="21"/>
        <v>634.0206701</v>
      </c>
      <c r="EO70" s="133">
        <f>AVERAGE(OFFSET($EN$3,0,0,'Données projet'!$E$15+1,1))-AVERAGE(OFFSET($H$3,0,0,'Données projet'!$E$15+1,1))</f>
        <v>130.3193339</v>
      </c>
      <c r="EP70" s="133">
        <f t="shared" si="47"/>
        <v>82.22784365</v>
      </c>
      <c r="EQ70" s="134">
        <f>IF(ISNA(VLOOKUP(A70,'Données projet'!$A$191:$I$211,3,0)),0,VLOOKUP(A70,'Données projet'!$A$191:$I$211,3,0))</f>
        <v>0</v>
      </c>
      <c r="ER70" s="134">
        <f>IF(ISNA(VLOOKUP(A70,'Données projet'!$A$191:$I$211,4,0)),0,VLOOKUP(A70,'Données projet'!$A$191:$I$211,4,0))</f>
        <v>0</v>
      </c>
      <c r="ES70" s="135">
        <f>IF(ISNA(VLOOKUP(A70,'Données projet'!$A$191:$I$211,5,0)),0%,VLOOKUP(A70,'Données projet'!$A$191:$I$211,5,0)*VLOOKUP('Données projet'!$B$15,'Paramètres'!$A$1:$I$89,7,0))</f>
        <v>0</v>
      </c>
      <c r="ET70" s="135">
        <f>IF(ISNA(VLOOKUP(A70,'Données projet'!$A$191:$I$211,6,0)),0%,VLOOKUP(A70,'Données projet'!$A$191:$I$211,6,0)*VLOOKUP('Données projet'!$B$15,'Paramètres'!$A$1:$I$89,7,0))</f>
        <v>0</v>
      </c>
      <c r="EU70" s="135">
        <f>IF(ISNA(VLOOKUP(A70,'Données projet'!$A$191:$I$211,7,0)),0%,VLOOKUP(A70,'Données projet'!$A$191:$I$211,7,0))</f>
        <v>0</v>
      </c>
      <c r="EV70" s="142">
        <f>EXP(-LN(2)/35)*EV69+(1-EXP(-LN(2)/35))/(LN(2)/35)*ER70*ES70*VLOOKUP('Données projet'!$B$15,'Paramètres'!$A$1:$I$89,3,0)*0.475*44/12</f>
        <v>16.37294148</v>
      </c>
      <c r="EW70" s="142">
        <f>EXP(-LN(2)/25)*EW69+(1-EXP(-LN(2)/25))/(LN(2)/25)*Calculateur!ER70*Calculateur!ET70*VLOOKUP('Données projet'!$B$15,'Paramètres'!$A$1:$I$89,3,0)*0.475*44/12</f>
        <v>0</v>
      </c>
      <c r="EX70" s="142">
        <f>EXP(-LN(2)/2)*EX69+(1-EXP(-LN(2)/2))/(LN(2)/2)*ER70*EU70*VLOOKUP('Données projet'!$B$15,'Paramètres'!$A$1:$I$89,3,0)*0.475*44/12</f>
        <v>0</v>
      </c>
      <c r="EY70" s="143">
        <f t="shared" si="22"/>
        <v>16.37294148</v>
      </c>
      <c r="EZ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1" t="str">
        <f>VLOOKUP(A70,'Données projet'!$A$217:$I$237,2,0)</f>
        <v>#N/A</v>
      </c>
      <c r="FC70" s="131" t="str">
        <f>VLOOKUP(A70,'Données projet'!$A$217:$I$237,9,0)</f>
        <v>#N/A</v>
      </c>
      <c r="FD70" s="130">
        <f t="array" ref="FD70">INDEX(FC:FC,MIN(IF(ISNUMBER(FC70:FC266),ROW(FC70:FC266),"")))</f>
        <v>3.6</v>
      </c>
      <c r="FE70" s="130">
        <f>IF('Données projet'!$A$218&gt;35,FE69+FD70-FM69,IF(A70&lt;'Données projet'!$A$218,$FB$205^A70,IF(A70='Données projet'!$A$218,'Données projet'!$B$218,FE69+FD70-FM69)))</f>
        <v>295.2</v>
      </c>
      <c r="FF70" s="138">
        <f>FE70*VLOOKUP('Données projet'!$B$16,'Paramètres'!$A$1:$I$89,3,0)*VLOOKUP('Données projet'!$B$16,'Paramètres'!$A$1:$I$89,5,0)</f>
        <v>267.09696</v>
      </c>
      <c r="FG70" s="130">
        <f t="shared" si="48"/>
        <v>64.23278385</v>
      </c>
      <c r="FH70" s="141">
        <f t="shared" si="23"/>
        <v>577.0659705</v>
      </c>
      <c r="FI70" s="133">
        <f t="shared" si="24"/>
        <v>870.3993039</v>
      </c>
      <c r="FJ70" s="133">
        <f>AVERAGE(OFFSET($FI$3,0,0,'Données projet'!$E$16+1,1))-AVERAGE(OFFSET($H$3,0,0,'Données projet'!$E$16+1,1))</f>
        <v>305.6252353</v>
      </c>
      <c r="FK70" s="133">
        <f t="shared" si="49"/>
        <v>331.397916</v>
      </c>
      <c r="FL70" s="134">
        <f>IF(ISNA(VLOOKUP(A70,'Données projet'!$A$217:$I$237,3,0)),0,VLOOKUP(A70,'Données projet'!$A$217:$I$237,3,0))</f>
        <v>0</v>
      </c>
      <c r="FM70" s="134">
        <f>IF(ISNA(VLOOKUP(A70,'Données projet'!$A$217:$I$237,4,0)),0,VLOOKUP(A70,'Données projet'!$A$217:$I$237,4,0))</f>
        <v>0</v>
      </c>
      <c r="FN70" s="135">
        <f>IF(ISNA(VLOOKUP(A70,'Données projet'!$A$217:$I$237,5,0)),0%,VLOOKUP(A70,'Données projet'!$A$217:$I$237,5,0)*VLOOKUP('Données projet'!$B$16,'Paramètres'!$A$1:$I$89,7,0))</f>
        <v>0</v>
      </c>
      <c r="FO70" s="135">
        <f>IF(ISNA(VLOOKUP(A70,'Données projet'!$A$217:$I$237,6,0)),0%,VLOOKUP(A70,'Données projet'!$A$217:$I$237,6,0)*VLOOKUP('Données projet'!$B$16,'Paramètres'!$A$1:$I$89,7,0))</f>
        <v>0</v>
      </c>
      <c r="FP70" s="135">
        <f>IF(ISNA(VLOOKUP(A70,'Données projet'!$A$217:$I$237,7,0)),0%,VLOOKUP(A70,'Données projet'!$A$217:$I$237,7,0))</f>
        <v>0</v>
      </c>
      <c r="FQ70" s="142">
        <f>EXP(-LN(2)/35)*FQ69+(1-EXP(-LN(2)/35))/(LN(2)/35)*FM70*FN70*VLOOKUP('Données projet'!$B$16,'Paramètres'!$A$1:$I$89,3,0)*0.475*44/12</f>
        <v>7.629930986</v>
      </c>
      <c r="FR70" s="142">
        <f>EXP(-LN(2)/25)*FR69+(1-EXP(-LN(2)/25))/(LN(2)/25)*Calculateur!FM70*Calculateur!FO70*VLOOKUP('Données projet'!$B$16,'Paramètres'!$A$1:$I$89,3,0)*0.475*44/12</f>
        <v>0</v>
      </c>
      <c r="FS70" s="142">
        <f>EXP(-LN(2)/2)*FS69+(1-EXP(-LN(2)/2))/(LN(2)/2)*FM70*FP70*VLOOKUP('Données projet'!$B$16,'Paramètres'!$A$1:$I$89,3,0)*0.475*44/12</f>
        <v>0</v>
      </c>
      <c r="FT70" s="143">
        <f t="shared" si="25"/>
        <v>7.629930986</v>
      </c>
      <c r="FU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1" t="str">
        <f>VLOOKUP(A70,'Données projet'!$A$243:$I$263,2,0)</f>
        <v>#N/A</v>
      </c>
      <c r="FX70" s="131" t="str">
        <f>VLOOKUP(A70,'Données projet'!$A$243:$I$263,9,0)</f>
        <v>#N/A</v>
      </c>
      <c r="FY70" s="131" t="str">
        <f t="array" ref="FY70">INDEX(FX:FX,MIN(IF(ISNUMBER(FX70:FX266),ROW(FX70:FX266),"")))</f>
        <v/>
      </c>
      <c r="FZ70" s="138">
        <f>IF('Données projet'!$A$244&gt;35,FZ69+FY70-GH69,IF(A70&lt;'Données projet'!$A$244,$FW$205^A70,IF(A70='Données projet'!$A$244,'Données projet'!$B$244,FZ69+FY70-GH69)))</f>
        <v>0</v>
      </c>
      <c r="GA70" s="138">
        <f>FZ70*VLOOKUP('Données projet'!$B$17,'Paramètres'!$A$1:$I$89,3,0)*VLOOKUP('Données projet'!$B$17,'Paramètres'!$A$1:$I$89,5,0)</f>
        <v>0</v>
      </c>
      <c r="GB70" s="130">
        <f t="shared" si="50"/>
        <v>0</v>
      </c>
      <c r="GC70" s="141">
        <f t="shared" si="26"/>
        <v>0</v>
      </c>
      <c r="GD70" s="133">
        <f t="shared" si="27"/>
        <v>293.3333333</v>
      </c>
      <c r="GE70" s="133">
        <f>AVERAGE(OFFSET($GD$3,0,0,'Données projet'!$E$17+1,1))-AVERAGE(OFFSET($H$3,0,0,'Données projet'!$E$17+1,1))</f>
        <v>118.7368745</v>
      </c>
      <c r="GF70" s="133">
        <f t="shared" si="51"/>
        <v>135.1233677</v>
      </c>
      <c r="GG70" s="134">
        <f>IF(ISNA(VLOOKUP(A70,'Données projet'!$A$243:$I$263,3,0)),0,VLOOKUP(A70,'Données projet'!$A$243:$I$263,3,0))</f>
        <v>0</v>
      </c>
      <c r="GH70" s="134">
        <f>IF(ISNA(VLOOKUP(A70,'Données projet'!$A$243:$I$263,4,0)),0,VLOOKUP(A70,'Données projet'!$A$243:$I$263,4,0))</f>
        <v>0</v>
      </c>
      <c r="GI70" s="135">
        <f>IF(ISNA(VLOOKUP(A70,'Données projet'!$A$243:$I$263,5,0)),0%,VLOOKUP(A70,'Données projet'!$A$243:$I$263,5,0)*VLOOKUP('Données projet'!$B$17,'Paramètres'!$A$1:$I$89,7,0))</f>
        <v>0</v>
      </c>
      <c r="GJ70" s="135">
        <f>IF(ISNA(VLOOKUP(A70,'Données projet'!$A$243:$I$263,6,0)),0%,VLOOKUP(A70,'Données projet'!$A$243:$I$263,6,0)*VLOOKUP('Données projet'!$B$17,'Paramètres'!$A$1:$I$89,7,0))</f>
        <v>0</v>
      </c>
      <c r="GK70" s="135">
        <f>IF(ISNA(VLOOKUP(A70,'Données projet'!$A$243:$I$263,7,0)),0%,VLOOKUP(A70,'Données projet'!$A$243:$I$263,7,0))</f>
        <v>0</v>
      </c>
      <c r="GL70" s="142">
        <f>EXP(-LN(2)/35)*GL69+(1-EXP(-LN(2)/35))/(LN(2)/35)*GH70*GI70*VLOOKUP('Données projet'!$B$17,'Paramètres'!$A$1:$I$89,3,0)*0.475*44/12</f>
        <v>90.41850167</v>
      </c>
      <c r="GM70" s="142">
        <f>EXP(-LN(2)/25)*GM69+(1-EXP(-LN(2)/25))/(LN(2)/25)*Calculateur!GH70*Calculateur!GJ70*VLOOKUP('Données projet'!$B$17,'Paramètres'!$A$1:$I$89,3,0)*0.475*44/12</f>
        <v>0</v>
      </c>
      <c r="GN70" s="142">
        <f>EXP(-LN(2)/2)*GN69+(1-EXP(-LN(2)/2))/(LN(2)/2)*GH70*GK70*VLOOKUP('Données projet'!$B$17,'Paramètres'!$A$1:$I$89,3,0)*0.475*44/12</f>
        <v>0</v>
      </c>
      <c r="GO70" s="142">
        <f t="shared" si="28"/>
        <v>90.41850167</v>
      </c>
      <c r="GP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1" t="str">
        <f>VLOOKUP(A70,'Données projet'!$A$269:$I$289,2,0)</f>
        <v>#N/A</v>
      </c>
      <c r="GS70" s="131" t="str">
        <f>VLOOKUP(A70,'Données projet'!$A$269:$I$289,9,0)</f>
        <v>#N/A</v>
      </c>
      <c r="GT70" s="131" t="str">
        <f t="array" ref="GT70">INDEX(GS:GS,MIN(IF(ISNUMBER(GS70:GS266),ROW(GS70:GS266),"")))</f>
        <v/>
      </c>
      <c r="GU70" s="138">
        <f>IF('Données projet'!$A$270&gt;35,GU69+GT70-HC69,IF(A70&lt;'Données projet'!$A$270,$GR$205^A70,IF(A70='Données projet'!$A$270,'Données projet'!$B$270,GU69+GT70-HC69)))</f>
        <v>0</v>
      </c>
      <c r="GV70" s="138">
        <f>GU70*VLOOKUP('Données projet'!$B$18,'Paramètres'!$A$1:$I$89,3,0)*VLOOKUP('Données projet'!$B$18,'Paramètres'!$A$1:$I$89,5,0)</f>
        <v>0</v>
      </c>
      <c r="GW70" s="130" t="str">
        <f t="shared" si="52"/>
        <v>#NUM!</v>
      </c>
      <c r="GX70" s="141" t="str">
        <f t="shared" si="29"/>
        <v>#NUM!</v>
      </c>
      <c r="GY70" s="133" t="str">
        <f t="shared" si="30"/>
        <v>#NUM!</v>
      </c>
      <c r="GZ70" s="133">
        <f>AVERAGE(OFFSET($GY$3,0,0,'Données projet'!$E$18+1,1))-AVERAGE(OFFSET($H$3,0,0,'Données projet'!$E$18+1,1))</f>
        <v>100.5427875</v>
      </c>
      <c r="HA70" s="133">
        <f t="shared" si="53"/>
        <v>92.28663609</v>
      </c>
      <c r="HB70" s="134">
        <f>IF(ISNA(VLOOKUP(A70,'Données projet'!$A$269:$I$289,3,0)),0,VLOOKUP(A70,'Données projet'!$A$269:$I$289,3,0))</f>
        <v>0</v>
      </c>
      <c r="HC70" s="134">
        <f>IF(ISNA(VLOOKUP(A70,'Données projet'!$A$269:$I$289,4,0)),0,VLOOKUP(A70,'Données projet'!$A$269:$I$289,4,0))</f>
        <v>0</v>
      </c>
      <c r="HD70" s="135">
        <f>IF(ISNA(VLOOKUP(A70,'Données projet'!$A$269:$I$289,5,0)),0%,VLOOKUP(A70,'Données projet'!$A$269:$I$289,5,0)*VLOOKUP('Données projet'!$B$18,'Paramètres'!$A$1:$I$89,7,0))</f>
        <v>0</v>
      </c>
      <c r="HE70" s="135">
        <f>IF(ISNA(VLOOKUP(A70,'Données projet'!$A$269:$I$289,6,0)),0%,VLOOKUP(A70,'Données projet'!$A$269:$I$289,6,0)*VLOOKUP('Données projet'!$B$18,'Paramètres'!$A$1:$I$89,7,0))</f>
        <v>0</v>
      </c>
      <c r="HF70" s="135">
        <f>IF(ISNA(VLOOKUP(A70,'Données projet'!$A$269:$I$289,7,0)),0%,VLOOKUP(A70,'Données projet'!$A$269:$I$289,7,0))</f>
        <v>0</v>
      </c>
      <c r="HG70" s="142">
        <f>EXP(-LN(2)/35)*HG69+(1-EXP(-LN(2)/35))/(LN(2)/35)*HC70*HD70*VLOOKUP('Données projet'!$B$18,'Paramètres'!$A$1:$I$89,3,0)*0.475*44/12</f>
        <v>61.57309216</v>
      </c>
      <c r="HH70" s="142">
        <f>EXP(-LN(2)/25)*HH69+(1-EXP(-LN(2)/25))/(LN(2)/25)*Calculateur!HC70*Calculateur!HE70*VLOOKUP('Données projet'!$B$18,'Paramètres'!$A$1:$I$89,3,0)*0.475*44/12</f>
        <v>0</v>
      </c>
      <c r="HI70" s="142">
        <f>EXP(-LN(2)/2)*HI69+(1-EXP(-LN(2)/2))/(LN(2)/2)*HC70*HF70*VLOOKUP('Données projet'!$B$18,'Paramètres'!$A$1:$I$89,3,0)*0.475*44/12</f>
        <v>0</v>
      </c>
      <c r="HJ70" s="143">
        <f t="shared" si="31"/>
        <v>61.57309216</v>
      </c>
    </row>
    <row r="71" ht="15.75" customHeight="1">
      <c r="A71" s="125">
        <f t="shared" si="32"/>
        <v>68</v>
      </c>
      <c r="B71" s="126">
        <f>'Scénario référence'!$B$16*5+'Scénario référence'!$B$17*0+'Scénario référence'!$B$18*5</f>
        <v>0</v>
      </c>
      <c r="C71" s="140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37.128</v>
      </c>
      <c r="D71" s="127">
        <f t="shared" si="33"/>
        <v>11.23415364</v>
      </c>
      <c r="E7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7">
        <f>IF(OR('Scénario référence'!$F$8&gt;0,'Scénario référence'!$F$9&gt;0),('Scénario référence'!$F$8+'Scénario référence'!$F$9)*10,0)</f>
        <v>10</v>
      </c>
      <c r="G71" s="127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373.3218878</v>
      </c>
      <c r="H71" s="128">
        <f t="shared" si="1"/>
        <v>377.5640843</v>
      </c>
      <c r="I71" s="12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1" t="str">
        <f>VLOOKUP(A71,'Données projet'!$A$35:$I$55,2,0)</f>
        <v>#N/A</v>
      </c>
      <c r="L71" s="131" t="str">
        <f>VLOOKUP(A71,'Données projet'!$A$35:$I$55,9,0)</f>
        <v>#N/A</v>
      </c>
      <c r="M71" s="131" t="str">
        <f t="array" ref="M71">INDEX(L:L,MIN(IF(ISNUMBER(L71:L267),ROW(L71:L267),"")))</f>
        <v/>
      </c>
      <c r="N71" s="130">
        <f>IF('Données projet'!$A$36&gt;35,N70+M71-V70,IF(A71&lt;'Données projet'!$A$36,$K$205^A71,IF(A71='Données projet'!$A$36,'Données projet'!$B$36,N70+M71-V70)))</f>
        <v>0</v>
      </c>
      <c r="O71" s="130">
        <f>N71*VLOOKUP('Données projet'!$B$9,'Paramètres'!$A$1:$I$89,3,0)*VLOOKUP('Données projet'!$B$9,'Paramètres'!$A$1:$I$89,5,0)</f>
        <v>0</v>
      </c>
      <c r="P71" s="130">
        <f t="shared" si="34"/>
        <v>0</v>
      </c>
      <c r="Q71" s="141">
        <f t="shared" si="2"/>
        <v>0</v>
      </c>
      <c r="R71" s="133">
        <f t="shared" si="3"/>
        <v>293.3333333</v>
      </c>
      <c r="S71" s="133">
        <f>AVERAGE(OFFSET($R$3,0,0,'Données projet'!$E$9+1,1))-AVERAGE(OFFSET($H$3,0,0,'Données projet'!$E$9+1,1))</f>
        <v>126.9946492</v>
      </c>
      <c r="T71" s="133">
        <f t="shared" si="35"/>
        <v>140.039049</v>
      </c>
      <c r="U71" s="134">
        <f>IF(ISNA(VLOOKUP(A71,'Données projet'!$A$35:$I$55,3,0)),0,VLOOKUP(A71,'Données projet'!$A$35:$I$55,3,0))</f>
        <v>0</v>
      </c>
      <c r="V71" s="134">
        <f>IF(ISNA(VLOOKUP(A71,'Données projet'!$A$35:$I$55,4,0)),0,VLOOKUP(A71,'Données projet'!$A$35:$I$55,4,0))</f>
        <v>0</v>
      </c>
      <c r="W71" s="135">
        <f>IF(ISNA(VLOOKUP(A71,'Données projet'!$A$35:$I$55,5,0)),0%,VLOOKUP(A71,'Données projet'!$A$35:$I$55,5,0)*VLOOKUP('Données projet'!$B$9,'Paramètres'!$A$1:$I$89,7,0))</f>
        <v>0</v>
      </c>
      <c r="X71" s="135">
        <f>IF(ISNA(VLOOKUP(A71,'Données projet'!$A$35:$I$55,6,0)),0%,VLOOKUP(A71,'Données projet'!$A$35:$I$55,6,0)*VLOOKUP('Données projet'!$B$9,'Paramètres'!$A$1:$I$89,7,0))</f>
        <v>0</v>
      </c>
      <c r="Y71" s="135">
        <f>IF(ISNA(VLOOKUP(A71,'Données projet'!$A$35:$I$55,7,0)),0%,VLOOKUP(A71,'Données projet'!$A$35:$I$55,7,0))</f>
        <v>0</v>
      </c>
      <c r="Z71" s="142">
        <f>EXP(-LN(2)/35)*Z70+(1-EXP(-LN(2)/35))/(LN(2)/35)*V71*W71*VLOOKUP('Données projet'!$B$9,'Paramètres'!$A$1:$I$89,3,0)*0.475*44/12</f>
        <v>90.66456257</v>
      </c>
      <c r="AA71" s="142">
        <f>EXP(-LN(2)/25)*AA70+(1-EXP(-LN(2)/25))/(LN(2)/25)*Calculateur!V71*Calculateur!X71*VLOOKUP('Données projet'!$B$9,'Paramètres'!$A$1:$I$89,3,0)*0.475*44/12</f>
        <v>18.61578042</v>
      </c>
      <c r="AB71" s="142">
        <f>EXP(-LN(2)/2)*AB70+(1-EXP(-LN(2)/2))/(LN(2)/2)*V71*Y71*VLOOKUP('Données projet'!$B$9,'Paramètres'!$A$1:$I$89,3,0)*0.475*44/12</f>
        <v>1.186835701</v>
      </c>
      <c r="AC71" s="143">
        <f t="shared" si="4"/>
        <v>110.4671787</v>
      </c>
      <c r="AD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1" t="str">
        <f>VLOOKUP(A71,'Données projet'!$A$61:$I$81,2,0)</f>
        <v>#N/A</v>
      </c>
      <c r="AG71" s="131" t="str">
        <f>VLOOKUP(A71,'Données projet'!$A$61:$I$81,9,0)</f>
        <v>#N/A</v>
      </c>
      <c r="AH71" s="131" t="str">
        <f t="array" ref="AH71">INDEX(AG:AG,MIN(IF(ISNUMBER(AG71:AG267),ROW(AG71:AG267),"")))</f>
        <v/>
      </c>
      <c r="AI71" s="130">
        <f>IF('Données projet'!$A$62&gt;35,AI70+AH71-AQ70,IF(A71&lt;'Données projet'!$A$62,$AF$205^A71,IF(A71='Données projet'!$A$62,'Données projet'!$B$62,AI70+AH71-AQ70)))</f>
        <v>0</v>
      </c>
      <c r="AJ71" s="130">
        <f>AI71*VLOOKUP('Données projet'!$B$10,'Paramètres'!$A$1:$I$89,3,0)*VLOOKUP('Données projet'!$B$10,'Paramètres'!$A$1:$I$89,5,0)</f>
        <v>0</v>
      </c>
      <c r="AK71" s="130" t="str">
        <f t="shared" si="36"/>
        <v>#NUM!</v>
      </c>
      <c r="AL71" s="141" t="str">
        <f t="shared" si="5"/>
        <v>#NUM!</v>
      </c>
      <c r="AM71" s="133" t="str">
        <f t="shared" si="6"/>
        <v>#NUM!</v>
      </c>
      <c r="AN71" s="133">
        <f>AVERAGE(OFFSET($AM$3,0,0,'Données projet'!$E$10+1,1))-AVERAGE(OFFSET($H$3,0,0,'Données projet'!$E$10+1,1))</f>
        <v>196.874484</v>
      </c>
      <c r="AO71" s="133">
        <f t="shared" si="37"/>
        <v>217.5750859</v>
      </c>
      <c r="AP71" s="134">
        <f>IF(ISNA(VLOOKUP(A71,'Données projet'!$A$61:$I$81,3,0)),0,VLOOKUP(A71,'Données projet'!$A$61:$I$81,3,0))</f>
        <v>0</v>
      </c>
      <c r="AQ71" s="134">
        <f>IF(ISNA(VLOOKUP(A71,'Données projet'!$A$61:$I$81,4,0)),0,VLOOKUP(A71,'Données projet'!$A$61:$I$81,4,0))</f>
        <v>0</v>
      </c>
      <c r="AR71" s="135">
        <f>IF(ISNA(VLOOKUP(A71,'Données projet'!$A$61:$I$81,5,0)),0%,VLOOKUP(A71,'Données projet'!$A$61:$I$81,5,0)*VLOOKUP('Données projet'!$B$10,'Paramètres'!$A$1:$I$89,7,0))</f>
        <v>0</v>
      </c>
      <c r="AS71" s="135">
        <f>IF(ISNA(VLOOKUP(A71,'Données projet'!$A$61:$I$81,6,0)),0%,VLOOKUP(A71,'Données projet'!$A$61:$I$81,6,0)*VLOOKUP('Données projet'!$B$10,'Paramètres'!$A$1:$I$89,7,0))</f>
        <v>0</v>
      </c>
      <c r="AT71" s="135">
        <f>IF(ISNA(VLOOKUP(A71,'Données projet'!$A$61:$I$81,7,0)),0%,VLOOKUP(A71,'Données projet'!$A$61:$I$81,7,0))</f>
        <v>0</v>
      </c>
      <c r="AU71" s="142">
        <f>EXP(-LN(2)/35)*AU70+(1-EXP(-LN(2)/35))/(LN(2)/35)*AQ71*AR71*VLOOKUP('Données projet'!$B$10,'Paramètres'!$A$1:$I$89,3,0)*0.475*44/12</f>
        <v>126.0211667</v>
      </c>
      <c r="AV71" s="142">
        <f>EXP(-LN(2)/25)*AV70+(1-EXP(-LN(2)/25))/(LN(2)/25)*Calculateur!AQ71*Calculateur!AS71*VLOOKUP('Données projet'!$B$10,'Paramètres'!$A$1:$I$89,3,0)*0.475*44/12</f>
        <v>28.62178727</v>
      </c>
      <c r="AW71" s="142">
        <f>EXP(-LN(2)/2)*AW70+(1-EXP(-LN(2)/2))/(LN(2)/2)*AQ71*AT71*VLOOKUP('Données projet'!$B$10,'Paramètres'!$A$1:$I$89,3,0)*0.475*44/12</f>
        <v>1.654698151</v>
      </c>
      <c r="AX71" s="142">
        <f t="shared" si="7"/>
        <v>156.2976522</v>
      </c>
      <c r="AY71" s="13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1" t="str">
        <f>VLOOKUP(A71,'Données projet'!$A$87:$I$107,2,0)</f>
        <v>#N/A</v>
      </c>
      <c r="BB71" s="131" t="str">
        <f>VLOOKUP(A71,'Données projet'!$A$87:$I$107,9,0)</f>
        <v>#N/A</v>
      </c>
      <c r="BC71" s="130">
        <f t="array" ref="BC71">INDEX(BB:BB,MIN(IF(ISNUMBER(BB71:BB267),ROW(BB71:BB267),"")))</f>
        <v>13</v>
      </c>
      <c r="BD71" s="130">
        <f>IF('Données projet'!$A$88&gt;35,BD70+BC71-BL70,IF(A71&lt;'Données projet'!$A$88,$BA$205^A71,IF(A71='Données projet'!$A$88,'Données projet'!$B$88,BD70+BC71-BL70)))</f>
        <v>444</v>
      </c>
      <c r="BE71" s="130">
        <f>BD71*VLOOKUP('Données projet'!$B$11,'Paramètres'!$A$1:$I$89,3,0)*VLOOKUP('Données projet'!$B$11,'Paramètres'!$A$1:$I$89,5,0)</f>
        <v>207.792</v>
      </c>
      <c r="BF71" s="130">
        <f t="shared" si="38"/>
        <v>51.45278573</v>
      </c>
      <c r="BG71" s="141">
        <f t="shared" si="8"/>
        <v>451.5180018</v>
      </c>
      <c r="BH71" s="133">
        <f t="shared" si="9"/>
        <v>744.8513351</v>
      </c>
      <c r="BI71" s="133">
        <f>AVERAGE(OFFSET($BH$3,0,0,'Données projet'!$E$11+1,1))-AVERAGE(OFFSET($H$3,0,0,'Données projet'!$E$11+1,1))</f>
        <v>134.0948534</v>
      </c>
      <c r="BJ71" s="133">
        <f t="shared" si="39"/>
        <v>108.4102536</v>
      </c>
      <c r="BK71" s="134">
        <f>IF(ISNA(VLOOKUP(A71,'Données projet'!$A$87:$I$107,3,0)),0,VLOOKUP(A71,'Données projet'!$A$87:$I$107,3,0))</f>
        <v>0</v>
      </c>
      <c r="BL71" s="134">
        <f>IF(ISNA(VLOOKUP(A71,'Données projet'!$A$87:$I$107,4,0)),0,VLOOKUP(A71,'Données projet'!$A$87:$I$107,4,0))</f>
        <v>0</v>
      </c>
      <c r="BM71" s="135">
        <f>IF(ISNA(VLOOKUP(A71,'Données projet'!$A$87:$I$107,5,0)),0%,VLOOKUP(A71,'Données projet'!$A$87:$I$107,5,0)*VLOOKUP('Données projet'!$B$11,'Paramètres'!$A$1:$I$89,7,0))</f>
        <v>0</v>
      </c>
      <c r="BN71" s="135">
        <f>IF(ISNA(VLOOKUP(A71,'Données projet'!$A$87:$I$107,6,0)),0%,VLOOKUP(A71,'Données projet'!$A$87:$I$107,6,0)*VLOOKUP('Données projet'!$B$11,'Paramètres'!$A$1:$I$89,7,0))</f>
        <v>0</v>
      </c>
      <c r="BO71" s="135">
        <f>IF(ISNA(VLOOKUP(A71,'Données projet'!$A$87:$I$107,7,0)),0%,VLOOKUP(A71,'Données projet'!$A$87:$I$107,7,0))</f>
        <v>0</v>
      </c>
      <c r="BP71" s="142">
        <f>EXP(-LN(2)/35)*BP70+(1-EXP(-LN(2)/35))/(LN(2)/35)*BL71*BM71*VLOOKUP('Données projet'!$B$11,'Paramètres'!$A$1:$I$89,3,0)*0.475*44/12</f>
        <v>24.03849293</v>
      </c>
      <c r="BQ71" s="142">
        <f>EXP(-LN(2)/25)*BQ70+(1-EXP(-LN(2)/25))/(LN(2)/25)*Calculateur!BL71*Calculateur!BN71*VLOOKUP('Données projet'!$B$11,'Paramètres'!$A$1:$I$89,3,0)*0.475*44/12</f>
        <v>8.592454475</v>
      </c>
      <c r="BR71" s="142">
        <f>EXP(-LN(2)/2)*BR70+(1-EXP(-LN(2)/2))/(LN(2)/2)*BL71*BO71*VLOOKUP('Données projet'!$B$11,'Paramètres'!$A$1:$I$89,3,0)*0.475*44/12</f>
        <v>0.1552668296</v>
      </c>
      <c r="BS71" s="143">
        <f t="shared" si="10"/>
        <v>32.78621423</v>
      </c>
      <c r="BT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1" t="str">
        <f>VLOOKUP(A71,'Données projet'!$A$113:$I$133,2,0)</f>
        <v>#N/A</v>
      </c>
      <c r="BW71" s="131" t="str">
        <f>VLOOKUP(A71,'Données projet'!$A$113:$I$133,9,0)</f>
        <v>#N/A</v>
      </c>
      <c r="BX71" s="131" t="str">
        <f t="array" ref="BX71">INDEX(BW:BW,MIN(IF(ISNUMBER(BW71:BW267),ROW(BW71:BW267),"")))</f>
        <v/>
      </c>
      <c r="BY71" s="130">
        <f>IF('Données projet'!$A$114&gt;35,BY70+BX71-CG70,IF(A71&lt;'Données projet'!$A$114,$BV$205^A71,IF(A71='Données projet'!$A$114,'Données projet'!$B$114,BY70+BX71-CG70)))</f>
        <v>0</v>
      </c>
      <c r="BZ71" s="130">
        <f>BY71*VLOOKUP('Données projet'!$B$12,'Paramètres'!$A$1:$I$89,3,0)*VLOOKUP('Données projet'!$B$12,'Paramètres'!$A$1:$I$89,5,0)</f>
        <v>0</v>
      </c>
      <c r="CA71" s="130" t="str">
        <f t="shared" si="40"/>
        <v>#NUM!</v>
      </c>
      <c r="CB71" s="141" t="str">
        <f t="shared" si="11"/>
        <v>#NUM!</v>
      </c>
      <c r="CC71" s="133" t="str">
        <f t="shared" si="12"/>
        <v>#NUM!</v>
      </c>
      <c r="CD71" s="133">
        <f>AVERAGE(OFFSET($CC$3,0,0,'Données projet'!$E$12+1,1))-AVERAGE(OFFSET($H$3,0,0,'Données projet'!$E$12+1,1))</f>
        <v>258.1672054</v>
      </c>
      <c r="CE71" s="133">
        <f t="shared" si="41"/>
        <v>296.0724261</v>
      </c>
      <c r="CF71" s="134">
        <f>IF(ISNA(VLOOKUP(A71,'Données projet'!$A$113:$I$133,3,0)),0,VLOOKUP(A71,'Données projet'!$A$113:$I$133,3,0))</f>
        <v>0</v>
      </c>
      <c r="CG71" s="134">
        <f>IF(ISNA(VLOOKUP(A71,'Données projet'!$A$113:$I$133,4,0)),0,VLOOKUP(A71,'Données projet'!$A$113:$I$133,4,0))</f>
        <v>0</v>
      </c>
      <c r="CH71" s="135">
        <f>IF(ISNA(VLOOKUP(A71,'Données projet'!$A$113:$I$133,5,0)),0%,VLOOKUP(A71,'Données projet'!$A$113:$I$133,5,0)*VLOOKUP('Données projet'!$B$12,'Paramètres'!$A$1:$I$89,7,0))</f>
        <v>0</v>
      </c>
      <c r="CI71" s="135">
        <f>IF(ISNA(VLOOKUP(A71,'Données projet'!$A$113:$I$133,6,0)),0%,VLOOKUP(A71,'Données projet'!$A$113:$I$133,6,0)*VLOOKUP('Données projet'!$B$12,'Paramètres'!$A$1:$I$89,7,0))</f>
        <v>0</v>
      </c>
      <c r="CJ71" s="135">
        <f>IF(ISNA(VLOOKUP(A71,'Données projet'!$A$113:$I$133,7,0)),0%,VLOOKUP(A71,'Données projet'!$A$113:$I$133,7,0))</f>
        <v>0</v>
      </c>
      <c r="CK71" s="142">
        <f>EXP(-LN(2)/35)*CK70+(1-EXP(-LN(2)/35))/(LN(2)/35)*CG71*CH71*VLOOKUP('Données projet'!$B$12,'Paramètres'!$A$1:$I$89,3,0)*0.475*44/12</f>
        <v>220.3821866</v>
      </c>
      <c r="CL71" s="142">
        <f>EXP(-LN(2)/25)*CL70+(1-EXP(-LN(2)/25))/(LN(2)/25)*Calculateur!CG71*Calculateur!CI71*VLOOKUP('Données projet'!$B$12,'Paramètres'!$A$1:$I$89,3,0)*0.475*44/12</f>
        <v>31.66887748</v>
      </c>
      <c r="CM71" s="142">
        <f>EXP(-LN(2)/2)*CM70+(1-EXP(-LN(2)/2))/(LN(2)/2)*CG71*CJ71*VLOOKUP('Données projet'!$B$12,'Paramètres'!$A$1:$I$89,3,0)*0.475*44/12</f>
        <v>0.9298377613</v>
      </c>
      <c r="CN71" s="143">
        <f t="shared" si="13"/>
        <v>252.9809018</v>
      </c>
      <c r="CO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1" t="str">
        <f>VLOOKUP(A71,'Données projet'!$A$139:$I$159,2,0)</f>
        <v>#N/A</v>
      </c>
      <c r="CR71" s="131" t="str">
        <f>VLOOKUP(A71,'Données projet'!$A$139:$I$159,9,0)</f>
        <v>#N/A</v>
      </c>
      <c r="CS71" s="130">
        <f t="array" ref="CS71">INDEX(CR:CR,MIN(IF(ISNUMBER(CR71:CR267),ROW(CR71:CR267),"")))</f>
        <v>5</v>
      </c>
      <c r="CT71" s="138">
        <f>IF('Données projet'!$A$140&gt;35,CT70+CS71-DB70,IF(A71&lt;'Données projet'!$A$140,$CQ$205^A71,IF(A71='Données projet'!$A$140,'Données projet'!$B$140,CT70+CS71-DB70)))</f>
        <v>162</v>
      </c>
      <c r="CU71" s="138">
        <f>CT71*VLOOKUP('Données projet'!$B$13,'Paramètres'!$A$1:$I$89,3,0)*VLOOKUP('Données projet'!$B$13,'Paramètres'!$A$1:$I$89,5,0)</f>
        <v>164.268</v>
      </c>
      <c r="CV71" s="130">
        <f t="shared" si="42"/>
        <v>41.80369484</v>
      </c>
      <c r="CW71" s="141">
        <f t="shared" si="14"/>
        <v>358.9082018</v>
      </c>
      <c r="CX71" s="133">
        <f t="shared" si="15"/>
        <v>652.2415352</v>
      </c>
      <c r="CY71" s="133">
        <f>AVERAGE(OFFSET($CX$3,0,0,'Données projet'!$E$13+1,1))-AVERAGE(OFFSET($H$3,0,0,'Données projet'!$E$13+1,1))</f>
        <v>223.783507</v>
      </c>
      <c r="CZ71" s="133">
        <f t="shared" si="43"/>
        <v>84.92349117</v>
      </c>
      <c r="DA71" s="134">
        <f>IF(ISNA(VLOOKUP(A71,'Données projet'!$A$139:$I$159,3,0)),0,VLOOKUP(A71,'Données projet'!$A$139:$I$159,3,0))</f>
        <v>0</v>
      </c>
      <c r="DB71" s="134">
        <f>IF(ISNA(VLOOKUP(A71,'Données projet'!$A$139:$I$159,4,0)),0,VLOOKUP(A71,'Données projet'!$A$139:$I$159,4,0))</f>
        <v>0</v>
      </c>
      <c r="DC71" s="135">
        <f>IF(ISNA(VLOOKUP(A71,'Données projet'!$A$139:$I$159,5,0)),0%,VLOOKUP(A71,'Données projet'!$A$139:$I$159,5,0)*VLOOKUP('Données projet'!$B$13,'Paramètres'!$A$1:$I$89,7,0))</f>
        <v>0</v>
      </c>
      <c r="DD71" s="135">
        <f>IF(ISNA(VLOOKUP(A71,'Données projet'!$A$139:$I$159,6,0)),0%,VLOOKUP(A71,'Données projet'!$A$139:$I$159,6,0)*VLOOKUP('Données projet'!$B$13,'Paramètres'!$A$1:$I$89,7,0))</f>
        <v>0</v>
      </c>
      <c r="DE71" s="135">
        <f>IF(ISNA(VLOOKUP(A71,'Données projet'!$A$139:$I$159,7,0)),0%,VLOOKUP(A71,'Données projet'!$A$139:$I$159,7,0))</f>
        <v>0</v>
      </c>
      <c r="DF71" s="142">
        <f>EXP(-LN(2)/35)*DF70+(1-EXP(-LN(2)/35))/(LN(2)/35)*DB71*DC71*VLOOKUP('Données projet'!$B$13,'Paramètres'!$A$1:$I$89,3,0)*0.475*44/12</f>
        <v>7.637031467</v>
      </c>
      <c r="DG71" s="142">
        <f>EXP(-LN(2)/25)*DG70+(1-EXP(-LN(2)/25))/(LN(2)/25)*Calculateur!DB71*Calculateur!DD71*VLOOKUP('Données projet'!$B$13,'Paramètres'!$A$1:$I$89,3,0)*0.475*44/12</f>
        <v>0</v>
      </c>
      <c r="DH71" s="142">
        <f>EXP(-LN(2)/2)*DH70+(1-EXP(-LN(2)/2))/(LN(2)/2)*DB71*DE71*VLOOKUP('Données projet'!$B$13,'Paramètres'!$A$1:$I$89,3,0)*0.475*44/12</f>
        <v>0</v>
      </c>
      <c r="DI71" s="143">
        <f t="shared" si="16"/>
        <v>7.637031467</v>
      </c>
      <c r="DJ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1" t="str">
        <f>VLOOKUP(A71,'Données projet'!$A$165:$I$185,2,0)</f>
        <v>#N/A</v>
      </c>
      <c r="DM71" s="131" t="str">
        <f>VLOOKUP(A71,'Données projet'!$A$165:$I$185,9,0)</f>
        <v>#N/A</v>
      </c>
      <c r="DN71" s="131">
        <f t="array" ref="DN71">INDEX(DM:DM,MIN(IF(ISNUMBER(DM71:DM267),ROW(DM71:DM267),"")))</f>
        <v>6.8</v>
      </c>
      <c r="DO71" s="138">
        <f>IF('Données projet'!$A$166&gt;35,DO70+DN71-DW70,IF(A71&lt;'Données projet'!$A$166,$DL$205^A71,IF(A71='Données projet'!$A$166,'Données projet'!$B$166,DO70+DN71-DW70)))</f>
        <v>228.4</v>
      </c>
      <c r="DP71" s="138">
        <f>DO71*VLOOKUP('Données projet'!$B$14,'Paramètres'!$A$1:$I$89,3,0)*VLOOKUP('Données projet'!$B$14,'Paramètres'!$A$1:$I$89,5,0)</f>
        <v>206.65632</v>
      </c>
      <c r="DQ71" s="130">
        <f t="shared" si="44"/>
        <v>51.20422634</v>
      </c>
      <c r="DR71" s="141">
        <f t="shared" si="17"/>
        <v>449.1071182</v>
      </c>
      <c r="DS71" s="133">
        <f t="shared" si="18"/>
        <v>742.4404515</v>
      </c>
      <c r="DT71" s="133">
        <f>AVERAGE(OFFSET($DS$3,0,0,'Données projet'!$E$14+1,1))-AVERAGE(OFFSET($H$3,0,0,'Données projet'!$E$14+1,1))</f>
        <v>287.9334714</v>
      </c>
      <c r="DU71" s="133">
        <f t="shared" si="45"/>
        <v>156.6796502</v>
      </c>
      <c r="DV71" s="134">
        <f>IF(ISNA(VLOOKUP(A71,'Données projet'!$A$165:$I$185,3,0)),0,VLOOKUP(A71,'Données projet'!$A$165:$I$185,3,0))</f>
        <v>0</v>
      </c>
      <c r="DW71" s="134">
        <f>IF(ISNA(VLOOKUP(A71,'Données projet'!$A$165:$I$185,4,0)),0,VLOOKUP(A71,'Données projet'!$A$165:$I$185,4,0))</f>
        <v>0</v>
      </c>
      <c r="DX71" s="135">
        <f>IF(ISNA(VLOOKUP(A71,'Données projet'!$A$165:$I$185,5,0)),0%,VLOOKUP(A71,'Données projet'!$A$165:$I$185,5,0)*VLOOKUP('Données projet'!$B$14,'Paramètres'!$A$1:$I$89,7,0))</f>
        <v>0</v>
      </c>
      <c r="DY71" s="135">
        <f>IF(ISNA(VLOOKUP(A71,'Données projet'!$A$165:$I$185,6,0)),0%,VLOOKUP(A71,'Données projet'!$A$165:$I$185,6,0)*VLOOKUP('Données projet'!$B$14,'Paramètres'!$A$1:$I$89,7,0))</f>
        <v>0</v>
      </c>
      <c r="DZ71" s="135">
        <f>IF(ISNA(VLOOKUP(A71,'Données projet'!$A$165:$I$185,7,0)),0%,VLOOKUP(A71,'Données projet'!$A$165:$I$185,7,0))</f>
        <v>0</v>
      </c>
      <c r="EA71" s="142">
        <f>EXP(-LN(2)/35)*EA70+(1-EXP(-LN(2)/35))/(LN(2)/35)*DW71*DX71*VLOOKUP('Données projet'!$B$14,'Paramètres'!$A$1:$I$89,3,0)*0.475*44/12</f>
        <v>12.6626258</v>
      </c>
      <c r="EB71" s="142">
        <f>EXP(-LN(2)/25)*EB70+(1-EXP(-LN(2)/25))/(LN(2)/25)*Calculateur!DW71*Calculateur!DY71*VLOOKUP('Données projet'!$B$14,'Paramètres'!$A$1:$I$89,3,0)*0.475*44/12</f>
        <v>0</v>
      </c>
      <c r="EC71" s="142">
        <f>EXP(-LN(2)/2)*EC70+(1-EXP(-LN(2)/2))/(LN(2)/2)*DW71*DZ71*VLOOKUP('Données projet'!$B$14,'Paramètres'!$A$1:$I$89,3,0)*0.475*44/12</f>
        <v>0</v>
      </c>
      <c r="ED71" s="143">
        <f t="shared" si="19"/>
        <v>12.6626258</v>
      </c>
      <c r="EE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1" t="str">
        <f>VLOOKUP(A71,'Données projet'!$A$191:$I$211,2,0)</f>
        <v>#N/A</v>
      </c>
      <c r="EH71" s="131" t="str">
        <f>VLOOKUP(A71,'Données projet'!$A$191:$I$211,9,0)</f>
        <v>#N/A</v>
      </c>
      <c r="EI71" s="131">
        <f t="array" ref="EI71">INDEX(EH:EH,MIN(IF(ISNUMBER(EH71:EH267),ROW(EH71:EH267),"")))</f>
        <v>8.2</v>
      </c>
      <c r="EJ71" s="138">
        <f>IF('Données projet'!$A$192&gt;35,EJ70+EI71-ER70,IF(A71&lt;'Données projet'!$A$192,$EG$205^A71,IF(A71='Données projet'!$A$192,'Données projet'!$B$192,EJ70+EI71-ER70)))</f>
        <v>220.6</v>
      </c>
      <c r="EK71" s="138">
        <f>EJ71*VLOOKUP('Données projet'!$B$15,'Paramètres'!$A$1:$I$89,3,0)*VLOOKUP('Données projet'!$B$15,'Paramètres'!$A$1:$I$89,5,0)</f>
        <v>161.74392</v>
      </c>
      <c r="EL71" s="130">
        <f t="shared" si="46"/>
        <v>41.23561292</v>
      </c>
      <c r="EM71" s="141">
        <f t="shared" si="20"/>
        <v>353.5226865</v>
      </c>
      <c r="EN71" s="133">
        <f t="shared" si="21"/>
        <v>646.8560198</v>
      </c>
      <c r="EO71" s="133">
        <f>AVERAGE(OFFSET($EN$3,0,0,'Données projet'!$E$15+1,1))-AVERAGE(OFFSET($H$3,0,0,'Données projet'!$E$15+1,1))</f>
        <v>130.3193339</v>
      </c>
      <c r="EP71" s="133">
        <f t="shared" si="47"/>
        <v>82.22784365</v>
      </c>
      <c r="EQ71" s="134">
        <f>IF(ISNA(VLOOKUP(A71,'Données projet'!$A$191:$I$211,3,0)),0,VLOOKUP(A71,'Données projet'!$A$191:$I$211,3,0))</f>
        <v>0</v>
      </c>
      <c r="ER71" s="134">
        <f>IF(ISNA(VLOOKUP(A71,'Données projet'!$A$191:$I$211,4,0)),0,VLOOKUP(A71,'Données projet'!$A$191:$I$211,4,0))</f>
        <v>0</v>
      </c>
      <c r="ES71" s="135">
        <f>IF(ISNA(VLOOKUP(A71,'Données projet'!$A$191:$I$211,5,0)),0%,VLOOKUP(A71,'Données projet'!$A$191:$I$211,5,0)*VLOOKUP('Données projet'!$B$15,'Paramètres'!$A$1:$I$89,7,0))</f>
        <v>0</v>
      </c>
      <c r="ET71" s="135">
        <f>IF(ISNA(VLOOKUP(A71,'Données projet'!$A$191:$I$211,6,0)),0%,VLOOKUP(A71,'Données projet'!$A$191:$I$211,6,0)*VLOOKUP('Données projet'!$B$15,'Paramètres'!$A$1:$I$89,7,0))</f>
        <v>0</v>
      </c>
      <c r="EU71" s="135">
        <f>IF(ISNA(VLOOKUP(A71,'Données projet'!$A$191:$I$211,7,0)),0%,VLOOKUP(A71,'Données projet'!$A$191:$I$211,7,0))</f>
        <v>0</v>
      </c>
      <c r="EV71" s="142">
        <f>EXP(-LN(2)/35)*EV70+(1-EXP(-LN(2)/35))/(LN(2)/35)*ER71*ES71*VLOOKUP('Données projet'!$B$15,'Paramètres'!$A$1:$I$89,3,0)*0.475*44/12</f>
        <v>16.05187809</v>
      </c>
      <c r="EW71" s="142">
        <f>EXP(-LN(2)/25)*EW70+(1-EXP(-LN(2)/25))/(LN(2)/25)*Calculateur!ER71*Calculateur!ET71*VLOOKUP('Données projet'!$B$15,'Paramètres'!$A$1:$I$89,3,0)*0.475*44/12</f>
        <v>0</v>
      </c>
      <c r="EX71" s="142">
        <f>EXP(-LN(2)/2)*EX70+(1-EXP(-LN(2)/2))/(LN(2)/2)*ER71*EU71*VLOOKUP('Données projet'!$B$15,'Paramètres'!$A$1:$I$89,3,0)*0.475*44/12</f>
        <v>0</v>
      </c>
      <c r="EY71" s="143">
        <f t="shared" si="22"/>
        <v>16.05187809</v>
      </c>
      <c r="EZ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1" t="str">
        <f>VLOOKUP(A71,'Données projet'!$A$217:$I$237,2,0)</f>
        <v>#N/A</v>
      </c>
      <c r="FC71" s="131" t="str">
        <f>VLOOKUP(A71,'Données projet'!$A$217:$I$237,9,0)</f>
        <v>#N/A</v>
      </c>
      <c r="FD71" s="130">
        <f t="array" ref="FD71">INDEX(FC:FC,MIN(IF(ISNUMBER(FC71:FC267),ROW(FC71:FC267),"")))</f>
        <v>3.6</v>
      </c>
      <c r="FE71" s="130">
        <f>IF('Données projet'!$A$218&gt;35,FE70+FD71-FM70,IF(A71&lt;'Données projet'!$A$218,$FB$205^A71,IF(A71='Données projet'!$A$218,'Données projet'!$B$218,FE70+FD71-FM70)))</f>
        <v>298.8</v>
      </c>
      <c r="FF71" s="138">
        <f>FE71*VLOOKUP('Données projet'!$B$16,'Paramètres'!$A$1:$I$89,3,0)*VLOOKUP('Données projet'!$B$16,'Paramètres'!$A$1:$I$89,5,0)</f>
        <v>270.35424</v>
      </c>
      <c r="FG71" s="130">
        <f t="shared" si="48"/>
        <v>64.92444222</v>
      </c>
      <c r="FH71" s="141">
        <f t="shared" si="23"/>
        <v>583.9437049</v>
      </c>
      <c r="FI71" s="133">
        <f t="shared" si="24"/>
        <v>877.2770382</v>
      </c>
      <c r="FJ71" s="133">
        <f>AVERAGE(OFFSET($FI$3,0,0,'Données projet'!$E$16+1,1))-AVERAGE(OFFSET($H$3,0,0,'Données projet'!$E$16+1,1))</f>
        <v>305.6252353</v>
      </c>
      <c r="FK71" s="133">
        <f t="shared" si="49"/>
        <v>331.397916</v>
      </c>
      <c r="FL71" s="134">
        <f>IF(ISNA(VLOOKUP(A71,'Données projet'!$A$217:$I$237,3,0)),0,VLOOKUP(A71,'Données projet'!$A$217:$I$237,3,0))</f>
        <v>0</v>
      </c>
      <c r="FM71" s="134">
        <f>IF(ISNA(VLOOKUP(A71,'Données projet'!$A$217:$I$237,4,0)),0,VLOOKUP(A71,'Données projet'!$A$217:$I$237,4,0))</f>
        <v>0</v>
      </c>
      <c r="FN71" s="135">
        <f>IF(ISNA(VLOOKUP(A71,'Données projet'!$A$217:$I$237,5,0)),0%,VLOOKUP(A71,'Données projet'!$A$217:$I$237,5,0)*VLOOKUP('Données projet'!$B$16,'Paramètres'!$A$1:$I$89,7,0))</f>
        <v>0</v>
      </c>
      <c r="FO71" s="135">
        <f>IF(ISNA(VLOOKUP(A71,'Données projet'!$A$217:$I$237,6,0)),0%,VLOOKUP(A71,'Données projet'!$A$217:$I$237,6,0)*VLOOKUP('Données projet'!$B$16,'Paramètres'!$A$1:$I$89,7,0))</f>
        <v>0</v>
      </c>
      <c r="FP71" s="135">
        <f>IF(ISNA(VLOOKUP(A71,'Données projet'!$A$217:$I$237,7,0)),0%,VLOOKUP(A71,'Données projet'!$A$217:$I$237,7,0))</f>
        <v>0</v>
      </c>
      <c r="FQ71" s="142">
        <f>EXP(-LN(2)/35)*FQ70+(1-EXP(-LN(2)/35))/(LN(2)/35)*FM71*FN71*VLOOKUP('Données projet'!$B$16,'Paramètres'!$A$1:$I$89,3,0)*0.475*44/12</f>
        <v>7.480312693</v>
      </c>
      <c r="FR71" s="142">
        <f>EXP(-LN(2)/25)*FR70+(1-EXP(-LN(2)/25))/(LN(2)/25)*Calculateur!FM71*Calculateur!FO71*VLOOKUP('Données projet'!$B$16,'Paramètres'!$A$1:$I$89,3,0)*0.475*44/12</f>
        <v>0</v>
      </c>
      <c r="FS71" s="142">
        <f>EXP(-LN(2)/2)*FS70+(1-EXP(-LN(2)/2))/(LN(2)/2)*FM71*FP71*VLOOKUP('Données projet'!$B$16,'Paramètres'!$A$1:$I$89,3,0)*0.475*44/12</f>
        <v>0</v>
      </c>
      <c r="FT71" s="143">
        <f t="shared" si="25"/>
        <v>7.480312693</v>
      </c>
      <c r="FU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1" t="str">
        <f>VLOOKUP(A71,'Données projet'!$A$243:$I$263,2,0)</f>
        <v>#N/A</v>
      </c>
      <c r="FX71" s="131" t="str">
        <f>VLOOKUP(A71,'Données projet'!$A$243:$I$263,9,0)</f>
        <v>#N/A</v>
      </c>
      <c r="FY71" s="131" t="str">
        <f t="array" ref="FY71">INDEX(FX:FX,MIN(IF(ISNUMBER(FX71:FX267),ROW(FX71:FX267),"")))</f>
        <v/>
      </c>
      <c r="FZ71" s="138">
        <f>IF('Données projet'!$A$244&gt;35,FZ70+FY71-GH70,IF(A71&lt;'Données projet'!$A$244,$FW$205^A71,IF(A71='Données projet'!$A$244,'Données projet'!$B$244,FZ70+FY71-GH70)))</f>
        <v>0</v>
      </c>
      <c r="GA71" s="138">
        <f>FZ71*VLOOKUP('Données projet'!$B$17,'Paramètres'!$A$1:$I$89,3,0)*VLOOKUP('Données projet'!$B$17,'Paramètres'!$A$1:$I$89,5,0)</f>
        <v>0</v>
      </c>
      <c r="GB71" s="130">
        <f t="shared" si="50"/>
        <v>0</v>
      </c>
      <c r="GC71" s="141">
        <f t="shared" si="26"/>
        <v>0</v>
      </c>
      <c r="GD71" s="133">
        <f t="shared" si="27"/>
        <v>293.3333333</v>
      </c>
      <c r="GE71" s="133">
        <f>AVERAGE(OFFSET($GD$3,0,0,'Données projet'!$E$17+1,1))-AVERAGE(OFFSET($H$3,0,0,'Données projet'!$E$17+1,1))</f>
        <v>118.7368745</v>
      </c>
      <c r="GF71" s="133">
        <f t="shared" si="51"/>
        <v>135.1233677</v>
      </c>
      <c r="GG71" s="134">
        <f>IF(ISNA(VLOOKUP(A71,'Données projet'!$A$243:$I$263,3,0)),0,VLOOKUP(A71,'Données projet'!$A$243:$I$263,3,0))</f>
        <v>0</v>
      </c>
      <c r="GH71" s="134">
        <f>IF(ISNA(VLOOKUP(A71,'Données projet'!$A$243:$I$263,4,0)),0,VLOOKUP(A71,'Données projet'!$A$243:$I$263,4,0))</f>
        <v>0</v>
      </c>
      <c r="GI71" s="135">
        <f>IF(ISNA(VLOOKUP(A71,'Données projet'!$A$243:$I$263,5,0)),0%,VLOOKUP(A71,'Données projet'!$A$243:$I$263,5,0)*VLOOKUP('Données projet'!$B$17,'Paramètres'!$A$1:$I$89,7,0))</f>
        <v>0</v>
      </c>
      <c r="GJ71" s="135">
        <f>IF(ISNA(VLOOKUP(A71,'Données projet'!$A$243:$I$263,6,0)),0%,VLOOKUP(A71,'Données projet'!$A$243:$I$263,6,0)*VLOOKUP('Données projet'!$B$17,'Paramètres'!$A$1:$I$89,7,0))</f>
        <v>0</v>
      </c>
      <c r="GK71" s="135">
        <f>IF(ISNA(VLOOKUP(A71,'Données projet'!$A$243:$I$263,7,0)),0%,VLOOKUP(A71,'Données projet'!$A$243:$I$263,7,0))</f>
        <v>0</v>
      </c>
      <c r="GL71" s="142">
        <f>EXP(-LN(2)/35)*GL70+(1-EXP(-LN(2)/35))/(LN(2)/35)*GH71*GI71*VLOOKUP('Données projet'!$B$17,'Paramètres'!$A$1:$I$89,3,0)*0.475*44/12</f>
        <v>88.64545</v>
      </c>
      <c r="GM71" s="142">
        <f>EXP(-LN(2)/25)*GM70+(1-EXP(-LN(2)/25))/(LN(2)/25)*Calculateur!GH71*Calculateur!GJ71*VLOOKUP('Données projet'!$B$17,'Paramètres'!$A$1:$I$89,3,0)*0.475*44/12</f>
        <v>0</v>
      </c>
      <c r="GN71" s="142">
        <f>EXP(-LN(2)/2)*GN70+(1-EXP(-LN(2)/2))/(LN(2)/2)*GH71*GK71*VLOOKUP('Données projet'!$B$17,'Paramètres'!$A$1:$I$89,3,0)*0.475*44/12</f>
        <v>0</v>
      </c>
      <c r="GO71" s="142">
        <f t="shared" si="28"/>
        <v>88.64545</v>
      </c>
      <c r="GP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1" t="str">
        <f>VLOOKUP(A71,'Données projet'!$A$269:$I$289,2,0)</f>
        <v>#N/A</v>
      </c>
      <c r="GS71" s="131" t="str">
        <f>VLOOKUP(A71,'Données projet'!$A$269:$I$289,9,0)</f>
        <v>#N/A</v>
      </c>
      <c r="GT71" s="131" t="str">
        <f t="array" ref="GT71">INDEX(GS:GS,MIN(IF(ISNUMBER(GS71:GS267),ROW(GS71:GS267),"")))</f>
        <v/>
      </c>
      <c r="GU71" s="138">
        <f>IF('Données projet'!$A$270&gt;35,GU70+GT71-HC70,IF(A71&lt;'Données projet'!$A$270,$GR$205^A71,IF(A71='Données projet'!$A$270,'Données projet'!$B$270,GU70+GT71-HC70)))</f>
        <v>0</v>
      </c>
      <c r="GV71" s="138">
        <f>GU71*VLOOKUP('Données projet'!$B$18,'Paramètres'!$A$1:$I$89,3,0)*VLOOKUP('Données projet'!$B$18,'Paramètres'!$A$1:$I$89,5,0)</f>
        <v>0</v>
      </c>
      <c r="GW71" s="130" t="str">
        <f t="shared" si="52"/>
        <v>#NUM!</v>
      </c>
      <c r="GX71" s="141" t="str">
        <f t="shared" si="29"/>
        <v>#NUM!</v>
      </c>
      <c r="GY71" s="133" t="str">
        <f t="shared" si="30"/>
        <v>#NUM!</v>
      </c>
      <c r="GZ71" s="133">
        <f>AVERAGE(OFFSET($GY$3,0,0,'Données projet'!$E$18+1,1))-AVERAGE(OFFSET($H$3,0,0,'Données projet'!$E$18+1,1))</f>
        <v>100.5427875</v>
      </c>
      <c r="HA71" s="133">
        <f t="shared" si="53"/>
        <v>92.28663609</v>
      </c>
      <c r="HB71" s="134">
        <f>IF(ISNA(VLOOKUP(A71,'Données projet'!$A$269:$I$289,3,0)),0,VLOOKUP(A71,'Données projet'!$A$269:$I$289,3,0))</f>
        <v>0</v>
      </c>
      <c r="HC71" s="134">
        <f>IF(ISNA(VLOOKUP(A71,'Données projet'!$A$269:$I$289,4,0)),0,VLOOKUP(A71,'Données projet'!$A$269:$I$289,4,0))</f>
        <v>0</v>
      </c>
      <c r="HD71" s="135">
        <f>IF(ISNA(VLOOKUP(A71,'Données projet'!$A$269:$I$289,5,0)),0%,VLOOKUP(A71,'Données projet'!$A$269:$I$289,5,0)*VLOOKUP('Données projet'!$B$18,'Paramètres'!$A$1:$I$89,7,0))</f>
        <v>0</v>
      </c>
      <c r="HE71" s="135">
        <f>IF(ISNA(VLOOKUP(A71,'Données projet'!$A$269:$I$289,6,0)),0%,VLOOKUP(A71,'Données projet'!$A$269:$I$289,6,0)*VLOOKUP('Données projet'!$B$18,'Paramètres'!$A$1:$I$89,7,0))</f>
        <v>0</v>
      </c>
      <c r="HF71" s="135">
        <f>IF(ISNA(VLOOKUP(A71,'Données projet'!$A$269:$I$289,7,0)),0%,VLOOKUP(A71,'Données projet'!$A$269:$I$289,7,0))</f>
        <v>0</v>
      </c>
      <c r="HG71" s="142">
        <f>EXP(-LN(2)/35)*HG70+(1-EXP(-LN(2)/35))/(LN(2)/35)*HC71*HD71*VLOOKUP('Données projet'!$B$18,'Paramètres'!$A$1:$I$89,3,0)*0.475*44/12</f>
        <v>60.36568137</v>
      </c>
      <c r="HH71" s="142">
        <f>EXP(-LN(2)/25)*HH70+(1-EXP(-LN(2)/25))/(LN(2)/25)*Calculateur!HC71*Calculateur!HE71*VLOOKUP('Données projet'!$B$18,'Paramètres'!$A$1:$I$89,3,0)*0.475*44/12</f>
        <v>0</v>
      </c>
      <c r="HI71" s="142">
        <f>EXP(-LN(2)/2)*HI70+(1-EXP(-LN(2)/2))/(LN(2)/2)*HC71*HF71*VLOOKUP('Données projet'!$B$18,'Paramètres'!$A$1:$I$89,3,0)*0.475*44/12</f>
        <v>0</v>
      </c>
      <c r="HJ71" s="143">
        <f t="shared" si="31"/>
        <v>60.36568137</v>
      </c>
    </row>
    <row r="72" ht="15.75" customHeight="1">
      <c r="A72" s="125">
        <f t="shared" si="32"/>
        <v>69</v>
      </c>
      <c r="B72" s="126">
        <f>'Scénario référence'!$B$16*5+'Scénario référence'!$B$17*0+'Scénario référence'!$B$18*5</f>
        <v>0</v>
      </c>
      <c r="C72" s="140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72" s="127">
        <f t="shared" si="33"/>
        <v>11.3800073</v>
      </c>
      <c r="E7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7">
        <f>IF(OR('Scénario référence'!$F$8&gt;0,'Scénario référence'!$F$9&gt;0),('Scénario référence'!$F$8+'Scénario référence'!$F$9)*10,0)</f>
        <v>10</v>
      </c>
      <c r="G72" s="127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378.6625125</v>
      </c>
      <c r="H72" s="128">
        <f t="shared" si="1"/>
        <v>378.7690627</v>
      </c>
      <c r="I72" s="12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1" t="str">
        <f>VLOOKUP(A72,'Données projet'!$A$35:$I$55,2,0)</f>
        <v>#N/A</v>
      </c>
      <c r="L72" s="131" t="str">
        <f>VLOOKUP(A72,'Données projet'!$A$35:$I$55,9,0)</f>
        <v>#N/A</v>
      </c>
      <c r="M72" s="131" t="str">
        <f t="array" ref="M72">INDEX(L:L,MIN(IF(ISNUMBER(L72:L268),ROW(L72:L268),"")))</f>
        <v/>
      </c>
      <c r="N72" s="130">
        <f>IF('Données projet'!$A$36&gt;35,N71+M72-V71,IF(A72&lt;'Données projet'!$A$36,$K$205^A72,IF(A72='Données projet'!$A$36,'Données projet'!$B$36,N71+M72-V71)))</f>
        <v>0</v>
      </c>
      <c r="O72" s="130">
        <f>N72*VLOOKUP('Données projet'!$B$9,'Paramètres'!$A$1:$I$89,3,0)*VLOOKUP('Données projet'!$B$9,'Paramètres'!$A$1:$I$89,5,0)</f>
        <v>0</v>
      </c>
      <c r="P72" s="130">
        <f t="shared" si="34"/>
        <v>0</v>
      </c>
      <c r="Q72" s="141">
        <f t="shared" si="2"/>
        <v>0</v>
      </c>
      <c r="R72" s="133">
        <f t="shared" si="3"/>
        <v>293.3333333</v>
      </c>
      <c r="S72" s="133">
        <f>AVERAGE(OFFSET($R$3,0,0,'Données projet'!$E$9+1,1))-AVERAGE(OFFSET($H$3,0,0,'Données projet'!$E$9+1,1))</f>
        <v>126.9946492</v>
      </c>
      <c r="T72" s="133">
        <f t="shared" si="35"/>
        <v>140.039049</v>
      </c>
      <c r="U72" s="134">
        <f>IF(ISNA(VLOOKUP(A72,'Données projet'!$A$35:$I$55,3,0)),0,VLOOKUP(A72,'Données projet'!$A$35:$I$55,3,0))</f>
        <v>0</v>
      </c>
      <c r="V72" s="134">
        <f>IF(ISNA(VLOOKUP(A72,'Données projet'!$A$35:$I$55,4,0)),0,VLOOKUP(A72,'Données projet'!$A$35:$I$55,4,0))</f>
        <v>0</v>
      </c>
      <c r="W72" s="135">
        <f>IF(ISNA(VLOOKUP(A72,'Données projet'!$A$35:$I$55,5,0)),0%,VLOOKUP(A72,'Données projet'!$A$35:$I$55,5,0)*VLOOKUP('Données projet'!$B$9,'Paramètres'!$A$1:$I$89,7,0))</f>
        <v>0</v>
      </c>
      <c r="X72" s="135">
        <f>IF(ISNA(VLOOKUP(A72,'Données projet'!$A$35:$I$55,6,0)),0%,VLOOKUP(A72,'Données projet'!$A$35:$I$55,6,0)*VLOOKUP('Données projet'!$B$9,'Paramètres'!$A$1:$I$89,7,0))</f>
        <v>0</v>
      </c>
      <c r="Y72" s="135">
        <f>IF(ISNA(VLOOKUP(A72,'Données projet'!$A$35:$I$55,7,0)),0%,VLOOKUP(A72,'Données projet'!$A$35:$I$55,7,0))</f>
        <v>0</v>
      </c>
      <c r="Z72" s="142">
        <f>EXP(-LN(2)/35)*Z71+(1-EXP(-LN(2)/35))/(LN(2)/35)*V72*W72*VLOOKUP('Données projet'!$B$9,'Paramètres'!$A$1:$I$89,3,0)*0.475*44/12</f>
        <v>88.88668579</v>
      </c>
      <c r="AA72" s="142">
        <f>EXP(-LN(2)/25)*AA71+(1-EXP(-LN(2)/25))/(LN(2)/25)*Calculateur!V72*Calculateur!X72*VLOOKUP('Données projet'!$B$9,'Paramètres'!$A$1:$I$89,3,0)*0.475*44/12</f>
        <v>18.10673093</v>
      </c>
      <c r="AB72" s="142">
        <f>EXP(-LN(2)/2)*AB71+(1-EXP(-LN(2)/2))/(LN(2)/2)*V72*Y72*VLOOKUP('Données projet'!$B$9,'Paramètres'!$A$1:$I$89,3,0)*0.475*44/12</f>
        <v>0.8392195721</v>
      </c>
      <c r="AC72" s="143">
        <f t="shared" si="4"/>
        <v>107.8326363</v>
      </c>
      <c r="AD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1" t="str">
        <f>VLOOKUP(A72,'Données projet'!$A$61:$I$81,2,0)</f>
        <v>#N/A</v>
      </c>
      <c r="AG72" s="131" t="str">
        <f>VLOOKUP(A72,'Données projet'!$A$61:$I$81,9,0)</f>
        <v>#N/A</v>
      </c>
      <c r="AH72" s="131" t="str">
        <f t="array" ref="AH72">INDEX(AG:AG,MIN(IF(ISNUMBER(AG72:AG268),ROW(AG72:AG268),"")))</f>
        <v/>
      </c>
      <c r="AI72" s="130">
        <f>IF('Données projet'!$A$62&gt;35,AI71+AH72-AQ71,IF(A72&lt;'Données projet'!$A$62,$AF$205^A72,IF(A72='Données projet'!$A$62,'Données projet'!$B$62,AI71+AH72-AQ71)))</f>
        <v>0</v>
      </c>
      <c r="AJ72" s="130">
        <f>AI72*VLOOKUP('Données projet'!$B$10,'Paramètres'!$A$1:$I$89,3,0)*VLOOKUP('Données projet'!$B$10,'Paramètres'!$A$1:$I$89,5,0)</f>
        <v>0</v>
      </c>
      <c r="AK72" s="130" t="str">
        <f t="shared" si="36"/>
        <v>#NUM!</v>
      </c>
      <c r="AL72" s="141" t="str">
        <f t="shared" si="5"/>
        <v>#NUM!</v>
      </c>
      <c r="AM72" s="133" t="str">
        <f t="shared" si="6"/>
        <v>#NUM!</v>
      </c>
      <c r="AN72" s="133">
        <f>AVERAGE(OFFSET($AM$3,0,0,'Données projet'!$E$10+1,1))-AVERAGE(OFFSET($H$3,0,0,'Données projet'!$E$10+1,1))</f>
        <v>196.874484</v>
      </c>
      <c r="AO72" s="133">
        <f t="shared" si="37"/>
        <v>217.5750859</v>
      </c>
      <c r="AP72" s="134">
        <f>IF(ISNA(VLOOKUP(A72,'Données projet'!$A$61:$I$81,3,0)),0,VLOOKUP(A72,'Données projet'!$A$61:$I$81,3,0))</f>
        <v>0</v>
      </c>
      <c r="AQ72" s="134">
        <f>IF(ISNA(VLOOKUP(A72,'Données projet'!$A$61:$I$81,4,0)),0,VLOOKUP(A72,'Données projet'!$A$61:$I$81,4,0))</f>
        <v>0</v>
      </c>
      <c r="AR72" s="135">
        <f>IF(ISNA(VLOOKUP(A72,'Données projet'!$A$61:$I$81,5,0)),0%,VLOOKUP(A72,'Données projet'!$A$61:$I$81,5,0)*VLOOKUP('Données projet'!$B$10,'Paramètres'!$A$1:$I$89,7,0))</f>
        <v>0</v>
      </c>
      <c r="AS72" s="135">
        <f>IF(ISNA(VLOOKUP(A72,'Données projet'!$A$61:$I$81,6,0)),0%,VLOOKUP(A72,'Données projet'!$A$61:$I$81,6,0)*VLOOKUP('Données projet'!$B$10,'Paramètres'!$A$1:$I$89,7,0))</f>
        <v>0</v>
      </c>
      <c r="AT72" s="135">
        <f>IF(ISNA(VLOOKUP(A72,'Données projet'!$A$61:$I$81,7,0)),0%,VLOOKUP(A72,'Données projet'!$A$61:$I$81,7,0))</f>
        <v>0</v>
      </c>
      <c r="AU72" s="142">
        <f>EXP(-LN(2)/35)*AU71+(1-EXP(-LN(2)/35))/(LN(2)/35)*AQ72*AR72*VLOOKUP('Données projet'!$B$10,'Paramètres'!$A$1:$I$89,3,0)*0.475*44/12</f>
        <v>123.5499685</v>
      </c>
      <c r="AV72" s="142">
        <f>EXP(-LN(2)/25)*AV71+(1-EXP(-LN(2)/25))/(LN(2)/25)*Calculateur!AQ72*Calculateur!AS72*VLOOKUP('Données projet'!$B$10,'Paramètres'!$A$1:$I$89,3,0)*0.475*44/12</f>
        <v>27.83912299</v>
      </c>
      <c r="AW72" s="142">
        <f>EXP(-LN(2)/2)*AW71+(1-EXP(-LN(2)/2))/(LN(2)/2)*AQ72*AT72*VLOOKUP('Données projet'!$B$10,'Paramètres'!$A$1:$I$89,3,0)*0.475*44/12</f>
        <v>1.170048283</v>
      </c>
      <c r="AX72" s="142">
        <f t="shared" si="7"/>
        <v>152.5591398</v>
      </c>
      <c r="AY72" s="13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1" t="str">
        <f>VLOOKUP(A72,'Données projet'!$A$87:$I$107,2,0)</f>
        <v>#N/A</v>
      </c>
      <c r="BB72" s="131" t="str">
        <f>VLOOKUP(A72,'Données projet'!$A$87:$I$107,9,0)</f>
        <v>#N/A</v>
      </c>
      <c r="BC72" s="130">
        <f t="array" ref="BC72">INDEX(BB:BB,MIN(IF(ISNUMBER(BB72:BB268),ROW(BB72:BB268),"")))</f>
        <v>13</v>
      </c>
      <c r="BD72" s="130">
        <f>IF('Données projet'!$A$88&gt;35,BD71+BC72-BL71,IF(A72&lt;'Données projet'!$A$88,$BA$205^A72,IF(A72='Données projet'!$A$88,'Données projet'!$B$88,BD71+BC72-BL71)))</f>
        <v>457</v>
      </c>
      <c r="BE72" s="130">
        <f>BD72*VLOOKUP('Données projet'!$B$11,'Paramètres'!$A$1:$I$89,3,0)*VLOOKUP('Données projet'!$B$11,'Paramètres'!$A$1:$I$89,5,0)</f>
        <v>213.876</v>
      </c>
      <c r="BF72" s="130">
        <f t="shared" si="38"/>
        <v>52.78168555</v>
      </c>
      <c r="BG72" s="141">
        <f t="shared" si="8"/>
        <v>464.4288023</v>
      </c>
      <c r="BH72" s="133">
        <f t="shared" si="9"/>
        <v>757.7621357</v>
      </c>
      <c r="BI72" s="133">
        <f>AVERAGE(OFFSET($BH$3,0,0,'Données projet'!$E$11+1,1))-AVERAGE(OFFSET($H$3,0,0,'Données projet'!$E$11+1,1))</f>
        <v>134.0948534</v>
      </c>
      <c r="BJ72" s="133">
        <f t="shared" si="39"/>
        <v>108.4102536</v>
      </c>
      <c r="BK72" s="134">
        <f>IF(ISNA(VLOOKUP(A72,'Données projet'!$A$87:$I$107,3,0)),0,VLOOKUP(A72,'Données projet'!$A$87:$I$107,3,0))</f>
        <v>0</v>
      </c>
      <c r="BL72" s="134">
        <f>IF(ISNA(VLOOKUP(A72,'Données projet'!$A$87:$I$107,4,0)),0,VLOOKUP(A72,'Données projet'!$A$87:$I$107,4,0))</f>
        <v>0</v>
      </c>
      <c r="BM72" s="135">
        <f>IF(ISNA(VLOOKUP(A72,'Données projet'!$A$87:$I$107,5,0)),0%,VLOOKUP(A72,'Données projet'!$A$87:$I$107,5,0)*VLOOKUP('Données projet'!$B$11,'Paramètres'!$A$1:$I$89,7,0))</f>
        <v>0</v>
      </c>
      <c r="BN72" s="135">
        <f>IF(ISNA(VLOOKUP(A72,'Données projet'!$A$87:$I$107,6,0)),0%,VLOOKUP(A72,'Données projet'!$A$87:$I$107,6,0)*VLOOKUP('Données projet'!$B$11,'Paramètres'!$A$1:$I$89,7,0))</f>
        <v>0</v>
      </c>
      <c r="BO72" s="135">
        <f>IF(ISNA(VLOOKUP(A72,'Données projet'!$A$87:$I$107,7,0)),0%,VLOOKUP(A72,'Données projet'!$A$87:$I$107,7,0))</f>
        <v>0</v>
      </c>
      <c r="BP72" s="142">
        <f>EXP(-LN(2)/35)*BP71+(1-EXP(-LN(2)/35))/(LN(2)/35)*BL72*BM72*VLOOKUP('Données projet'!$B$11,'Paramètres'!$A$1:$I$89,3,0)*0.475*44/12</f>
        <v>23.56711274</v>
      </c>
      <c r="BQ72" s="142">
        <f>EXP(-LN(2)/25)*BQ71+(1-EXP(-LN(2)/25))/(LN(2)/25)*Calculateur!BL72*Calculateur!BN72*VLOOKUP('Données projet'!$B$11,'Paramètres'!$A$1:$I$89,3,0)*0.475*44/12</f>
        <v>8.357493355</v>
      </c>
      <c r="BR72" s="142">
        <f>EXP(-LN(2)/2)*BR71+(1-EXP(-LN(2)/2))/(LN(2)/2)*BL72*BO72*VLOOKUP('Données projet'!$B$11,'Paramètres'!$A$1:$I$89,3,0)*0.475*44/12</f>
        <v>0.1097902281</v>
      </c>
      <c r="BS72" s="143">
        <f t="shared" si="10"/>
        <v>32.03439632</v>
      </c>
      <c r="BT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1" t="str">
        <f>VLOOKUP(A72,'Données projet'!$A$113:$I$133,2,0)</f>
        <v>#N/A</v>
      </c>
      <c r="BW72" s="131" t="str">
        <f>VLOOKUP(A72,'Données projet'!$A$113:$I$133,9,0)</f>
        <v>#N/A</v>
      </c>
      <c r="BX72" s="131" t="str">
        <f t="array" ref="BX72">INDEX(BW:BW,MIN(IF(ISNUMBER(BW72:BW268),ROW(BW72:BW268),"")))</f>
        <v/>
      </c>
      <c r="BY72" s="130">
        <f>IF('Données projet'!$A$114&gt;35,BY71+BX72-CG71,IF(A72&lt;'Données projet'!$A$114,$BV$205^A72,IF(A72='Données projet'!$A$114,'Données projet'!$B$114,BY71+BX72-CG71)))</f>
        <v>0</v>
      </c>
      <c r="BZ72" s="130">
        <f>BY72*VLOOKUP('Données projet'!$B$12,'Paramètres'!$A$1:$I$89,3,0)*VLOOKUP('Données projet'!$B$12,'Paramètres'!$A$1:$I$89,5,0)</f>
        <v>0</v>
      </c>
      <c r="CA72" s="130" t="str">
        <f t="shared" si="40"/>
        <v>#NUM!</v>
      </c>
      <c r="CB72" s="141" t="str">
        <f t="shared" si="11"/>
        <v>#NUM!</v>
      </c>
      <c r="CC72" s="133" t="str">
        <f t="shared" si="12"/>
        <v>#NUM!</v>
      </c>
      <c r="CD72" s="133">
        <f>AVERAGE(OFFSET($CC$3,0,0,'Données projet'!$E$12+1,1))-AVERAGE(OFFSET($H$3,0,0,'Données projet'!$E$12+1,1))</f>
        <v>258.1672054</v>
      </c>
      <c r="CE72" s="133">
        <f t="shared" si="41"/>
        <v>296.0724261</v>
      </c>
      <c r="CF72" s="134">
        <f>IF(ISNA(VLOOKUP(A72,'Données projet'!$A$113:$I$133,3,0)),0,VLOOKUP(A72,'Données projet'!$A$113:$I$133,3,0))</f>
        <v>0</v>
      </c>
      <c r="CG72" s="134">
        <f>IF(ISNA(VLOOKUP(A72,'Données projet'!$A$113:$I$133,4,0)),0,VLOOKUP(A72,'Données projet'!$A$113:$I$133,4,0))</f>
        <v>0</v>
      </c>
      <c r="CH72" s="135">
        <f>IF(ISNA(VLOOKUP(A72,'Données projet'!$A$113:$I$133,5,0)),0%,VLOOKUP(A72,'Données projet'!$A$113:$I$133,5,0)*VLOOKUP('Données projet'!$B$12,'Paramètres'!$A$1:$I$89,7,0))</f>
        <v>0</v>
      </c>
      <c r="CI72" s="135">
        <f>IF(ISNA(VLOOKUP(A72,'Données projet'!$A$113:$I$133,6,0)),0%,VLOOKUP(A72,'Données projet'!$A$113:$I$133,6,0)*VLOOKUP('Données projet'!$B$12,'Paramètres'!$A$1:$I$89,7,0))</f>
        <v>0</v>
      </c>
      <c r="CJ72" s="135">
        <f>IF(ISNA(VLOOKUP(A72,'Données projet'!$A$113:$I$133,7,0)),0%,VLOOKUP(A72,'Données projet'!$A$113:$I$133,7,0))</f>
        <v>0</v>
      </c>
      <c r="CK72" s="142">
        <f>EXP(-LN(2)/35)*CK71+(1-EXP(-LN(2)/35))/(LN(2)/35)*CG72*CH72*VLOOKUP('Données projet'!$B$12,'Paramètres'!$A$1:$I$89,3,0)*0.475*44/12</f>
        <v>216.0606263</v>
      </c>
      <c r="CL72" s="142">
        <f>EXP(-LN(2)/25)*CL71+(1-EXP(-LN(2)/25))/(LN(2)/25)*Calculateur!CG72*Calculateur!CI72*VLOOKUP('Données projet'!$B$12,'Paramètres'!$A$1:$I$89,3,0)*0.475*44/12</f>
        <v>30.80289036</v>
      </c>
      <c r="CM72" s="142">
        <f>EXP(-LN(2)/2)*CM71+(1-EXP(-LN(2)/2))/(LN(2)/2)*CG72*CJ72*VLOOKUP('Données projet'!$B$12,'Paramètres'!$A$1:$I$89,3,0)*0.475*44/12</f>
        <v>0.6574945864</v>
      </c>
      <c r="CN72" s="143">
        <f t="shared" si="13"/>
        <v>247.5210113</v>
      </c>
      <c r="CO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1" t="str">
        <f>VLOOKUP(A72,'Données projet'!$A$139:$I$159,2,0)</f>
        <v>#N/A</v>
      </c>
      <c r="CR72" s="131" t="str">
        <f>VLOOKUP(A72,'Données projet'!$A$139:$I$159,9,0)</f>
        <v>#N/A</v>
      </c>
      <c r="CS72" s="130">
        <f t="array" ref="CS72">INDEX(CR:CR,MIN(IF(ISNUMBER(CR72:CR268),ROW(CR72:CR268),"")))</f>
        <v>5</v>
      </c>
      <c r="CT72" s="138">
        <f>IF('Données projet'!$A$140&gt;35,CT71+CS72-DB71,IF(A72&lt;'Données projet'!$A$140,$CQ$205^A72,IF(A72='Données projet'!$A$140,'Données projet'!$B$140,CT71+CS72-DB71)))</f>
        <v>167</v>
      </c>
      <c r="CU72" s="138">
        <f>CT72*VLOOKUP('Données projet'!$B$13,'Paramètres'!$A$1:$I$89,3,0)*VLOOKUP('Données projet'!$B$13,'Paramètres'!$A$1:$I$89,5,0)</f>
        <v>169.338</v>
      </c>
      <c r="CV72" s="130">
        <f t="shared" si="42"/>
        <v>42.94172396</v>
      </c>
      <c r="CW72" s="141">
        <f t="shared" si="14"/>
        <v>369.7205192</v>
      </c>
      <c r="CX72" s="133">
        <f t="shared" si="15"/>
        <v>663.0538526</v>
      </c>
      <c r="CY72" s="133">
        <f>AVERAGE(OFFSET($CX$3,0,0,'Données projet'!$E$13+1,1))-AVERAGE(OFFSET($H$3,0,0,'Données projet'!$E$13+1,1))</f>
        <v>223.783507</v>
      </c>
      <c r="CZ72" s="133">
        <f t="shared" si="43"/>
        <v>84.92349117</v>
      </c>
      <c r="DA72" s="134">
        <f>IF(ISNA(VLOOKUP(A72,'Données projet'!$A$139:$I$159,3,0)),0,VLOOKUP(A72,'Données projet'!$A$139:$I$159,3,0))</f>
        <v>0</v>
      </c>
      <c r="DB72" s="134">
        <f>IF(ISNA(VLOOKUP(A72,'Données projet'!$A$139:$I$159,4,0)),0,VLOOKUP(A72,'Données projet'!$A$139:$I$159,4,0))</f>
        <v>0</v>
      </c>
      <c r="DC72" s="135">
        <f>IF(ISNA(VLOOKUP(A72,'Données projet'!$A$139:$I$159,5,0)),0%,VLOOKUP(A72,'Données projet'!$A$139:$I$159,5,0)*VLOOKUP('Données projet'!$B$13,'Paramètres'!$A$1:$I$89,7,0))</f>
        <v>0</v>
      </c>
      <c r="DD72" s="135">
        <f>IF(ISNA(VLOOKUP(A72,'Données projet'!$A$139:$I$159,6,0)),0%,VLOOKUP(A72,'Données projet'!$A$139:$I$159,6,0)*VLOOKUP('Données projet'!$B$13,'Paramètres'!$A$1:$I$89,7,0))</f>
        <v>0</v>
      </c>
      <c r="DE72" s="135">
        <f>IF(ISNA(VLOOKUP(A72,'Données projet'!$A$139:$I$159,7,0)),0%,VLOOKUP(A72,'Données projet'!$A$139:$I$159,7,0))</f>
        <v>0</v>
      </c>
      <c r="DF72" s="142">
        <f>EXP(-LN(2)/35)*DF71+(1-EXP(-LN(2)/35))/(LN(2)/35)*DB72*DC72*VLOOKUP('Données projet'!$B$13,'Paramètres'!$A$1:$I$89,3,0)*0.475*44/12</f>
        <v>7.487273938</v>
      </c>
      <c r="DG72" s="142">
        <f>EXP(-LN(2)/25)*DG71+(1-EXP(-LN(2)/25))/(LN(2)/25)*Calculateur!DB72*Calculateur!DD72*VLOOKUP('Données projet'!$B$13,'Paramètres'!$A$1:$I$89,3,0)*0.475*44/12</f>
        <v>0</v>
      </c>
      <c r="DH72" s="142">
        <f>EXP(-LN(2)/2)*DH71+(1-EXP(-LN(2)/2))/(LN(2)/2)*DB72*DE72*VLOOKUP('Données projet'!$B$13,'Paramètres'!$A$1:$I$89,3,0)*0.475*44/12</f>
        <v>0</v>
      </c>
      <c r="DI72" s="143">
        <f t="shared" si="16"/>
        <v>7.487273938</v>
      </c>
      <c r="DJ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1" t="str">
        <f>VLOOKUP(A72,'Données projet'!$A$165:$I$185,2,0)</f>
        <v>#N/A</v>
      </c>
      <c r="DM72" s="131" t="str">
        <f>VLOOKUP(A72,'Données projet'!$A$165:$I$185,9,0)</f>
        <v>#N/A</v>
      </c>
      <c r="DN72" s="131">
        <f t="array" ref="DN72">INDEX(DM:DM,MIN(IF(ISNUMBER(DM72:DM268),ROW(DM72:DM268),"")))</f>
        <v>6.8</v>
      </c>
      <c r="DO72" s="138">
        <f>IF('Données projet'!$A$166&gt;35,DO71+DN72-DW71,IF(A72&lt;'Données projet'!$A$166,$DL$205^A72,IF(A72='Données projet'!$A$166,'Données projet'!$B$166,DO71+DN72-DW71)))</f>
        <v>235.2</v>
      </c>
      <c r="DP72" s="138">
        <f>DO72*VLOOKUP('Données projet'!$B$14,'Paramètres'!$A$1:$I$89,3,0)*VLOOKUP('Données projet'!$B$14,'Paramètres'!$A$1:$I$89,5,0)</f>
        <v>212.80896</v>
      </c>
      <c r="DQ72" s="130">
        <f t="shared" si="44"/>
        <v>52.54893864</v>
      </c>
      <c r="DR72" s="141">
        <f t="shared" si="17"/>
        <v>462.1650068</v>
      </c>
      <c r="DS72" s="133">
        <f t="shared" si="18"/>
        <v>755.4983401</v>
      </c>
      <c r="DT72" s="133">
        <f>AVERAGE(OFFSET($DS$3,0,0,'Données projet'!$E$14+1,1))-AVERAGE(OFFSET($H$3,0,0,'Données projet'!$E$14+1,1))</f>
        <v>287.9334714</v>
      </c>
      <c r="DU72" s="133">
        <f t="shared" si="45"/>
        <v>156.6796502</v>
      </c>
      <c r="DV72" s="134">
        <f>IF(ISNA(VLOOKUP(A72,'Données projet'!$A$165:$I$185,3,0)),0,VLOOKUP(A72,'Données projet'!$A$165:$I$185,3,0))</f>
        <v>0</v>
      </c>
      <c r="DW72" s="134">
        <f>IF(ISNA(VLOOKUP(A72,'Données projet'!$A$165:$I$185,4,0)),0,VLOOKUP(A72,'Données projet'!$A$165:$I$185,4,0))</f>
        <v>0</v>
      </c>
      <c r="DX72" s="135">
        <f>IF(ISNA(VLOOKUP(A72,'Données projet'!$A$165:$I$185,5,0)),0%,VLOOKUP(A72,'Données projet'!$A$165:$I$185,5,0)*VLOOKUP('Données projet'!$B$14,'Paramètres'!$A$1:$I$89,7,0))</f>
        <v>0</v>
      </c>
      <c r="DY72" s="135">
        <f>IF(ISNA(VLOOKUP(A72,'Données projet'!$A$165:$I$185,6,0)),0%,VLOOKUP(A72,'Données projet'!$A$165:$I$185,6,0)*VLOOKUP('Données projet'!$B$14,'Paramètres'!$A$1:$I$89,7,0))</f>
        <v>0</v>
      </c>
      <c r="DZ72" s="135">
        <f>IF(ISNA(VLOOKUP(A72,'Données projet'!$A$165:$I$185,7,0)),0%,VLOOKUP(A72,'Données projet'!$A$165:$I$185,7,0))</f>
        <v>0</v>
      </c>
      <c r="EA72" s="142">
        <f>EXP(-LN(2)/35)*EA71+(1-EXP(-LN(2)/35))/(LN(2)/35)*DW72*DX72*VLOOKUP('Données projet'!$B$14,'Paramètres'!$A$1:$I$89,3,0)*0.475*44/12</f>
        <v>12.41431944</v>
      </c>
      <c r="EB72" s="142">
        <f>EXP(-LN(2)/25)*EB71+(1-EXP(-LN(2)/25))/(LN(2)/25)*Calculateur!DW72*Calculateur!DY72*VLOOKUP('Données projet'!$B$14,'Paramètres'!$A$1:$I$89,3,0)*0.475*44/12</f>
        <v>0</v>
      </c>
      <c r="EC72" s="142">
        <f>EXP(-LN(2)/2)*EC71+(1-EXP(-LN(2)/2))/(LN(2)/2)*DW72*DZ72*VLOOKUP('Données projet'!$B$14,'Paramètres'!$A$1:$I$89,3,0)*0.475*44/12</f>
        <v>0</v>
      </c>
      <c r="ED72" s="143">
        <f t="shared" si="19"/>
        <v>12.41431944</v>
      </c>
      <c r="EE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1" t="str">
        <f>VLOOKUP(A72,'Données projet'!$A$191:$I$211,2,0)</f>
        <v>#N/A</v>
      </c>
      <c r="EH72" s="131" t="str">
        <f>VLOOKUP(A72,'Données projet'!$A$191:$I$211,9,0)</f>
        <v>#N/A</v>
      </c>
      <c r="EI72" s="131">
        <f t="array" ref="EI72">INDEX(EH:EH,MIN(IF(ISNUMBER(EH72:EH268),ROW(EH72:EH268),"")))</f>
        <v>8.2</v>
      </c>
      <c r="EJ72" s="138">
        <f>IF('Données projet'!$A$192&gt;35,EJ71+EI72-ER71,IF(A72&lt;'Données projet'!$A$192,$EG$205^A72,IF(A72='Données projet'!$A$192,'Données projet'!$B$192,EJ71+EI72-ER71)))</f>
        <v>228.8</v>
      </c>
      <c r="EK72" s="138">
        <f>EJ72*VLOOKUP('Données projet'!$B$15,'Paramètres'!$A$1:$I$89,3,0)*VLOOKUP('Données projet'!$B$15,'Paramètres'!$A$1:$I$89,5,0)</f>
        <v>167.75616</v>
      </c>
      <c r="EL72" s="130">
        <f t="shared" si="46"/>
        <v>42.58709011</v>
      </c>
      <c r="EM72" s="141">
        <f t="shared" si="20"/>
        <v>366.3478273</v>
      </c>
      <c r="EN72" s="133">
        <f t="shared" si="21"/>
        <v>659.6811606</v>
      </c>
      <c r="EO72" s="133">
        <f>AVERAGE(OFFSET($EN$3,0,0,'Données projet'!$E$15+1,1))-AVERAGE(OFFSET($H$3,0,0,'Données projet'!$E$15+1,1))</f>
        <v>130.3193339</v>
      </c>
      <c r="EP72" s="133">
        <f t="shared" si="47"/>
        <v>82.22784365</v>
      </c>
      <c r="EQ72" s="134">
        <f>IF(ISNA(VLOOKUP(A72,'Données projet'!$A$191:$I$211,3,0)),0,VLOOKUP(A72,'Données projet'!$A$191:$I$211,3,0))</f>
        <v>0</v>
      </c>
      <c r="ER72" s="134">
        <f>IF(ISNA(VLOOKUP(A72,'Données projet'!$A$191:$I$211,4,0)),0,VLOOKUP(A72,'Données projet'!$A$191:$I$211,4,0))</f>
        <v>0</v>
      </c>
      <c r="ES72" s="135">
        <f>IF(ISNA(VLOOKUP(A72,'Données projet'!$A$191:$I$211,5,0)),0%,VLOOKUP(A72,'Données projet'!$A$191:$I$211,5,0)*VLOOKUP('Données projet'!$B$15,'Paramètres'!$A$1:$I$89,7,0))</f>
        <v>0</v>
      </c>
      <c r="ET72" s="135">
        <f>IF(ISNA(VLOOKUP(A72,'Données projet'!$A$191:$I$211,6,0)),0%,VLOOKUP(A72,'Données projet'!$A$191:$I$211,6,0)*VLOOKUP('Données projet'!$B$15,'Paramètres'!$A$1:$I$89,7,0))</f>
        <v>0</v>
      </c>
      <c r="EU72" s="135">
        <f>IF(ISNA(VLOOKUP(A72,'Données projet'!$A$191:$I$211,7,0)),0%,VLOOKUP(A72,'Données projet'!$A$191:$I$211,7,0))</f>
        <v>0</v>
      </c>
      <c r="EV72" s="142">
        <f>EXP(-LN(2)/35)*EV71+(1-EXP(-LN(2)/35))/(LN(2)/35)*ER72*ES72*VLOOKUP('Données projet'!$B$15,'Paramètres'!$A$1:$I$89,3,0)*0.475*44/12</f>
        <v>15.73711055</v>
      </c>
      <c r="EW72" s="142">
        <f>EXP(-LN(2)/25)*EW71+(1-EXP(-LN(2)/25))/(LN(2)/25)*Calculateur!ER72*Calculateur!ET72*VLOOKUP('Données projet'!$B$15,'Paramètres'!$A$1:$I$89,3,0)*0.475*44/12</f>
        <v>0</v>
      </c>
      <c r="EX72" s="142">
        <f>EXP(-LN(2)/2)*EX71+(1-EXP(-LN(2)/2))/(LN(2)/2)*ER72*EU72*VLOOKUP('Données projet'!$B$15,'Paramètres'!$A$1:$I$89,3,0)*0.475*44/12</f>
        <v>0</v>
      </c>
      <c r="EY72" s="143">
        <f t="shared" si="22"/>
        <v>15.73711055</v>
      </c>
      <c r="EZ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1" t="str">
        <f>VLOOKUP(A72,'Données projet'!$A$217:$I$237,2,0)</f>
        <v>#N/A</v>
      </c>
      <c r="FC72" s="131" t="str">
        <f>VLOOKUP(A72,'Données projet'!$A$217:$I$237,9,0)</f>
        <v>#N/A</v>
      </c>
      <c r="FD72" s="130">
        <f t="array" ref="FD72">INDEX(FC:FC,MIN(IF(ISNUMBER(FC72:FC268),ROW(FC72:FC268),"")))</f>
        <v>3.6</v>
      </c>
      <c r="FE72" s="130">
        <f>IF('Données projet'!$A$218&gt;35,FE71+FD72-FM71,IF(A72&lt;'Données projet'!$A$218,$FB$205^A72,IF(A72='Données projet'!$A$218,'Données projet'!$B$218,FE71+FD72-FM71)))</f>
        <v>302.4</v>
      </c>
      <c r="FF72" s="138">
        <f>FE72*VLOOKUP('Données projet'!$B$16,'Paramètres'!$A$1:$I$89,3,0)*VLOOKUP('Données projet'!$B$16,'Paramètres'!$A$1:$I$89,5,0)</f>
        <v>273.61152</v>
      </c>
      <c r="FG72" s="130">
        <f t="shared" si="48"/>
        <v>65.61513126</v>
      </c>
      <c r="FH72" s="141">
        <f t="shared" si="23"/>
        <v>590.8197509</v>
      </c>
      <c r="FI72" s="133">
        <f t="shared" si="24"/>
        <v>884.1530843</v>
      </c>
      <c r="FJ72" s="133">
        <f>AVERAGE(OFFSET($FI$3,0,0,'Données projet'!$E$16+1,1))-AVERAGE(OFFSET($H$3,0,0,'Données projet'!$E$16+1,1))</f>
        <v>305.6252353</v>
      </c>
      <c r="FK72" s="133">
        <f t="shared" si="49"/>
        <v>331.397916</v>
      </c>
      <c r="FL72" s="134">
        <f>IF(ISNA(VLOOKUP(A72,'Données projet'!$A$217:$I$237,3,0)),0,VLOOKUP(A72,'Données projet'!$A$217:$I$237,3,0))</f>
        <v>0</v>
      </c>
      <c r="FM72" s="134">
        <f>IF(ISNA(VLOOKUP(A72,'Données projet'!$A$217:$I$237,4,0)),0,VLOOKUP(A72,'Données projet'!$A$217:$I$237,4,0))</f>
        <v>0</v>
      </c>
      <c r="FN72" s="135">
        <f>IF(ISNA(VLOOKUP(A72,'Données projet'!$A$217:$I$237,5,0)),0%,VLOOKUP(A72,'Données projet'!$A$217:$I$237,5,0)*VLOOKUP('Données projet'!$B$16,'Paramètres'!$A$1:$I$89,7,0))</f>
        <v>0</v>
      </c>
      <c r="FO72" s="135">
        <f>IF(ISNA(VLOOKUP(A72,'Données projet'!$A$217:$I$237,6,0)),0%,VLOOKUP(A72,'Données projet'!$A$217:$I$237,6,0)*VLOOKUP('Données projet'!$B$16,'Paramètres'!$A$1:$I$89,7,0))</f>
        <v>0</v>
      </c>
      <c r="FP72" s="135">
        <f>IF(ISNA(VLOOKUP(A72,'Données projet'!$A$217:$I$237,7,0)),0%,VLOOKUP(A72,'Données projet'!$A$217:$I$237,7,0))</f>
        <v>0</v>
      </c>
      <c r="FQ72" s="142">
        <f>EXP(-LN(2)/35)*FQ71+(1-EXP(-LN(2)/35))/(LN(2)/35)*FM72*FN72*VLOOKUP('Données projet'!$B$16,'Paramètres'!$A$1:$I$89,3,0)*0.475*44/12</f>
        <v>7.333628323</v>
      </c>
      <c r="FR72" s="142">
        <f>EXP(-LN(2)/25)*FR71+(1-EXP(-LN(2)/25))/(LN(2)/25)*Calculateur!FM72*Calculateur!FO72*VLOOKUP('Données projet'!$B$16,'Paramètres'!$A$1:$I$89,3,0)*0.475*44/12</f>
        <v>0</v>
      </c>
      <c r="FS72" s="142">
        <f>EXP(-LN(2)/2)*FS71+(1-EXP(-LN(2)/2))/(LN(2)/2)*FM72*FP72*VLOOKUP('Données projet'!$B$16,'Paramètres'!$A$1:$I$89,3,0)*0.475*44/12</f>
        <v>0</v>
      </c>
      <c r="FT72" s="143">
        <f t="shared" si="25"/>
        <v>7.333628323</v>
      </c>
      <c r="FU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1" t="str">
        <f>VLOOKUP(A72,'Données projet'!$A$243:$I$263,2,0)</f>
        <v>#N/A</v>
      </c>
      <c r="FX72" s="131" t="str">
        <f>VLOOKUP(A72,'Données projet'!$A$243:$I$263,9,0)</f>
        <v>#N/A</v>
      </c>
      <c r="FY72" s="131" t="str">
        <f t="array" ref="FY72">INDEX(FX:FX,MIN(IF(ISNUMBER(FX72:FX268),ROW(FX72:FX268),"")))</f>
        <v/>
      </c>
      <c r="FZ72" s="138">
        <f>IF('Données projet'!$A$244&gt;35,FZ71+FY72-GH71,IF(A72&lt;'Données projet'!$A$244,$FW$205^A72,IF(A72='Données projet'!$A$244,'Données projet'!$B$244,FZ71+FY72-GH71)))</f>
        <v>0</v>
      </c>
      <c r="GA72" s="138">
        <f>FZ72*VLOOKUP('Données projet'!$B$17,'Paramètres'!$A$1:$I$89,3,0)*VLOOKUP('Données projet'!$B$17,'Paramètres'!$A$1:$I$89,5,0)</f>
        <v>0</v>
      </c>
      <c r="GB72" s="130">
        <f t="shared" si="50"/>
        <v>0</v>
      </c>
      <c r="GC72" s="141">
        <f t="shared" si="26"/>
        <v>0</v>
      </c>
      <c r="GD72" s="133">
        <f t="shared" si="27"/>
        <v>293.3333333</v>
      </c>
      <c r="GE72" s="133">
        <f>AVERAGE(OFFSET($GD$3,0,0,'Données projet'!$E$17+1,1))-AVERAGE(OFFSET($H$3,0,0,'Données projet'!$E$17+1,1))</f>
        <v>118.7368745</v>
      </c>
      <c r="GF72" s="133">
        <f t="shared" si="51"/>
        <v>135.1233677</v>
      </c>
      <c r="GG72" s="134">
        <f>IF(ISNA(VLOOKUP(A72,'Données projet'!$A$243:$I$263,3,0)),0,VLOOKUP(A72,'Données projet'!$A$243:$I$263,3,0))</f>
        <v>0</v>
      </c>
      <c r="GH72" s="134">
        <f>IF(ISNA(VLOOKUP(A72,'Données projet'!$A$243:$I$263,4,0)),0,VLOOKUP(A72,'Données projet'!$A$243:$I$263,4,0))</f>
        <v>0</v>
      </c>
      <c r="GI72" s="135">
        <f>IF(ISNA(VLOOKUP(A72,'Données projet'!$A$243:$I$263,5,0)),0%,VLOOKUP(A72,'Données projet'!$A$243:$I$263,5,0)*VLOOKUP('Données projet'!$B$17,'Paramètres'!$A$1:$I$89,7,0))</f>
        <v>0</v>
      </c>
      <c r="GJ72" s="135">
        <f>IF(ISNA(VLOOKUP(A72,'Données projet'!$A$243:$I$263,6,0)),0%,VLOOKUP(A72,'Données projet'!$A$243:$I$263,6,0)*VLOOKUP('Données projet'!$B$17,'Paramètres'!$A$1:$I$89,7,0))</f>
        <v>0</v>
      </c>
      <c r="GK72" s="135">
        <f>IF(ISNA(VLOOKUP(A72,'Données projet'!$A$243:$I$263,7,0)),0%,VLOOKUP(A72,'Données projet'!$A$243:$I$263,7,0))</f>
        <v>0</v>
      </c>
      <c r="GL72" s="142">
        <f>EXP(-LN(2)/35)*GL71+(1-EXP(-LN(2)/35))/(LN(2)/35)*GH72*GI72*VLOOKUP('Données projet'!$B$17,'Paramètres'!$A$1:$I$89,3,0)*0.475*44/12</f>
        <v>86.90716679</v>
      </c>
      <c r="GM72" s="142">
        <f>EXP(-LN(2)/25)*GM71+(1-EXP(-LN(2)/25))/(LN(2)/25)*Calculateur!GH72*Calculateur!GJ72*VLOOKUP('Données projet'!$B$17,'Paramètres'!$A$1:$I$89,3,0)*0.475*44/12</f>
        <v>0</v>
      </c>
      <c r="GN72" s="142">
        <f>EXP(-LN(2)/2)*GN71+(1-EXP(-LN(2)/2))/(LN(2)/2)*GH72*GK72*VLOOKUP('Données projet'!$B$17,'Paramètres'!$A$1:$I$89,3,0)*0.475*44/12</f>
        <v>0</v>
      </c>
      <c r="GO72" s="142">
        <f t="shared" si="28"/>
        <v>86.90716679</v>
      </c>
      <c r="GP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1" t="str">
        <f>VLOOKUP(A72,'Données projet'!$A$269:$I$289,2,0)</f>
        <v>#N/A</v>
      </c>
      <c r="GS72" s="131" t="str">
        <f>VLOOKUP(A72,'Données projet'!$A$269:$I$289,9,0)</f>
        <v>#N/A</v>
      </c>
      <c r="GT72" s="131" t="str">
        <f t="array" ref="GT72">INDEX(GS:GS,MIN(IF(ISNUMBER(GS72:GS268),ROW(GS72:GS268),"")))</f>
        <v/>
      </c>
      <c r="GU72" s="138">
        <f>IF('Données projet'!$A$270&gt;35,GU71+GT72-HC71,IF(A72&lt;'Données projet'!$A$270,$GR$205^A72,IF(A72='Données projet'!$A$270,'Données projet'!$B$270,GU71+GT72-HC71)))</f>
        <v>0</v>
      </c>
      <c r="GV72" s="138">
        <f>GU72*VLOOKUP('Données projet'!$B$18,'Paramètres'!$A$1:$I$89,3,0)*VLOOKUP('Données projet'!$B$18,'Paramètres'!$A$1:$I$89,5,0)</f>
        <v>0</v>
      </c>
      <c r="GW72" s="130" t="str">
        <f t="shared" si="52"/>
        <v>#NUM!</v>
      </c>
      <c r="GX72" s="141" t="str">
        <f t="shared" si="29"/>
        <v>#NUM!</v>
      </c>
      <c r="GY72" s="133" t="str">
        <f t="shared" si="30"/>
        <v>#NUM!</v>
      </c>
      <c r="GZ72" s="133">
        <f>AVERAGE(OFFSET($GY$3,0,0,'Données projet'!$E$18+1,1))-AVERAGE(OFFSET($H$3,0,0,'Données projet'!$E$18+1,1))</f>
        <v>100.5427875</v>
      </c>
      <c r="HA72" s="133">
        <f t="shared" si="53"/>
        <v>92.28663609</v>
      </c>
      <c r="HB72" s="134">
        <f>IF(ISNA(VLOOKUP(A72,'Données projet'!$A$269:$I$289,3,0)),0,VLOOKUP(A72,'Données projet'!$A$269:$I$289,3,0))</f>
        <v>0</v>
      </c>
      <c r="HC72" s="134">
        <f>IF(ISNA(VLOOKUP(A72,'Données projet'!$A$269:$I$289,4,0)),0,VLOOKUP(A72,'Données projet'!$A$269:$I$289,4,0))</f>
        <v>0</v>
      </c>
      <c r="HD72" s="135">
        <f>IF(ISNA(VLOOKUP(A72,'Données projet'!$A$269:$I$289,5,0)),0%,VLOOKUP(A72,'Données projet'!$A$269:$I$289,5,0)*VLOOKUP('Données projet'!$B$18,'Paramètres'!$A$1:$I$89,7,0))</f>
        <v>0</v>
      </c>
      <c r="HE72" s="135">
        <f>IF(ISNA(VLOOKUP(A72,'Données projet'!$A$269:$I$289,6,0)),0%,VLOOKUP(A72,'Données projet'!$A$269:$I$289,6,0)*VLOOKUP('Données projet'!$B$18,'Paramètres'!$A$1:$I$89,7,0))</f>
        <v>0</v>
      </c>
      <c r="HF72" s="135">
        <f>IF(ISNA(VLOOKUP(A72,'Données projet'!$A$269:$I$289,7,0)),0%,VLOOKUP(A72,'Données projet'!$A$269:$I$289,7,0))</f>
        <v>0</v>
      </c>
      <c r="HG72" s="142">
        <f>EXP(-LN(2)/35)*HG71+(1-EXP(-LN(2)/35))/(LN(2)/35)*HC72*HD72*VLOOKUP('Données projet'!$B$18,'Paramètres'!$A$1:$I$89,3,0)*0.475*44/12</f>
        <v>59.18194718</v>
      </c>
      <c r="HH72" s="142">
        <f>EXP(-LN(2)/25)*HH71+(1-EXP(-LN(2)/25))/(LN(2)/25)*Calculateur!HC72*Calculateur!HE72*VLOOKUP('Données projet'!$B$18,'Paramètres'!$A$1:$I$89,3,0)*0.475*44/12</f>
        <v>0</v>
      </c>
      <c r="HI72" s="142">
        <f>EXP(-LN(2)/2)*HI71+(1-EXP(-LN(2)/2))/(LN(2)/2)*HC72*HF72*VLOOKUP('Données projet'!$B$18,'Paramètres'!$A$1:$I$89,3,0)*0.475*44/12</f>
        <v>0</v>
      </c>
      <c r="HJ72" s="143">
        <f t="shared" si="31"/>
        <v>59.18194718</v>
      </c>
    </row>
    <row r="73" ht="15.75" customHeight="1">
      <c r="A73" s="125">
        <f t="shared" si="32"/>
        <v>70</v>
      </c>
      <c r="B73" s="126">
        <f>'Scénario référence'!$B$16*5+'Scénario référence'!$B$17*0+'Scénario référence'!$B$18*5</f>
        <v>0</v>
      </c>
      <c r="C73" s="140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38.22</v>
      </c>
      <c r="D73" s="127">
        <f t="shared" si="33"/>
        <v>11.5256151</v>
      </c>
      <c r="E7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7">
        <f>IF(OR('Scénario référence'!$F$8&gt;0,'Scénario référence'!$F$9&gt;0),('Scénario référence'!$F$8+'Scénario référence'!$F$9)*10,0)</f>
        <v>10</v>
      </c>
      <c r="G73" s="127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384.0012394</v>
      </c>
      <c r="H73" s="128">
        <f t="shared" si="1"/>
        <v>379.973613</v>
      </c>
      <c r="I73" s="12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1" t="str">
        <f>VLOOKUP(A73,'Données projet'!$A$35:$I$55,2,0)</f>
        <v>#N/A</v>
      </c>
      <c r="L73" s="131" t="str">
        <f>VLOOKUP(A73,'Données projet'!$A$35:$I$55,9,0)</f>
        <v>#N/A</v>
      </c>
      <c r="M73" s="131" t="str">
        <f t="array" ref="M73">INDEX(L:L,MIN(IF(ISNUMBER(L73:L269),ROW(L73:L269),"")))</f>
        <v/>
      </c>
      <c r="N73" s="130">
        <f>IF('Données projet'!$A$36&gt;35,N72+M73-V72,IF(A73&lt;'Données projet'!$A$36,$K$205^A73,IF(A73='Données projet'!$A$36,'Données projet'!$B$36,N72+M73-V72)))</f>
        <v>0</v>
      </c>
      <c r="O73" s="130">
        <f>N73*VLOOKUP('Données projet'!$B$9,'Paramètres'!$A$1:$I$89,3,0)*VLOOKUP('Données projet'!$B$9,'Paramètres'!$A$1:$I$89,5,0)</f>
        <v>0</v>
      </c>
      <c r="P73" s="130">
        <f t="shared" si="34"/>
        <v>0</v>
      </c>
      <c r="Q73" s="141">
        <f t="shared" si="2"/>
        <v>0</v>
      </c>
      <c r="R73" s="133">
        <f t="shared" si="3"/>
        <v>293.3333333</v>
      </c>
      <c r="S73" s="133">
        <f>AVERAGE(OFFSET($R$3,0,0,'Données projet'!$E$9+1,1))-AVERAGE(OFFSET($H$3,0,0,'Données projet'!$E$9+1,1))</f>
        <v>126.9946492</v>
      </c>
      <c r="T73" s="133">
        <f t="shared" si="35"/>
        <v>140.039049</v>
      </c>
      <c r="U73" s="134">
        <f>IF(ISNA(VLOOKUP(A73,'Données projet'!$A$35:$I$55,3,0)),0,VLOOKUP(A73,'Données projet'!$A$35:$I$55,3,0))</f>
        <v>0</v>
      </c>
      <c r="V73" s="134">
        <f>IF(ISNA(VLOOKUP(A73,'Données projet'!$A$35:$I$55,4,0)),0,VLOOKUP(A73,'Données projet'!$A$35:$I$55,4,0))</f>
        <v>0</v>
      </c>
      <c r="W73" s="135">
        <f>IF(ISNA(VLOOKUP(A73,'Données projet'!$A$35:$I$55,5,0)),0%,VLOOKUP(A73,'Données projet'!$A$35:$I$55,5,0)*VLOOKUP('Données projet'!$B$9,'Paramètres'!$A$1:$I$89,7,0))</f>
        <v>0</v>
      </c>
      <c r="X73" s="135">
        <f>IF(ISNA(VLOOKUP(A73,'Données projet'!$A$35:$I$55,6,0)),0%,VLOOKUP(A73,'Données projet'!$A$35:$I$55,6,0)*VLOOKUP('Données projet'!$B$9,'Paramètres'!$A$1:$I$89,7,0))</f>
        <v>0</v>
      </c>
      <c r="Y73" s="135">
        <f>IF(ISNA(VLOOKUP(A73,'Données projet'!$A$35:$I$55,7,0)),0%,VLOOKUP(A73,'Données projet'!$A$35:$I$55,7,0))</f>
        <v>0</v>
      </c>
      <c r="Z73" s="142">
        <f>EXP(-LN(2)/35)*Z72+(1-EXP(-LN(2)/35))/(LN(2)/35)*V73*W73*VLOOKUP('Données projet'!$B$9,'Paramètres'!$A$1:$I$89,3,0)*0.475*44/12</f>
        <v>87.1436721</v>
      </c>
      <c r="AA73" s="142">
        <f>EXP(-LN(2)/25)*AA72+(1-EXP(-LN(2)/25))/(LN(2)/25)*Calculateur!V73*Calculateur!X73*VLOOKUP('Données projet'!$B$9,'Paramètres'!$A$1:$I$89,3,0)*0.475*44/12</f>
        <v>17.61160142</v>
      </c>
      <c r="AB73" s="142">
        <f>EXP(-LN(2)/2)*AB72+(1-EXP(-LN(2)/2))/(LN(2)/2)*V73*Y73*VLOOKUP('Données projet'!$B$9,'Paramètres'!$A$1:$I$89,3,0)*0.475*44/12</f>
        <v>0.5934178503</v>
      </c>
      <c r="AC73" s="143">
        <f t="shared" si="4"/>
        <v>105.3486914</v>
      </c>
      <c r="AD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1" t="str">
        <f>VLOOKUP(A73,'Données projet'!$A$61:$I$81,2,0)</f>
        <v>#N/A</v>
      </c>
      <c r="AG73" s="131" t="str">
        <f>VLOOKUP(A73,'Données projet'!$A$61:$I$81,9,0)</f>
        <v>#N/A</v>
      </c>
      <c r="AH73" s="131" t="str">
        <f t="array" ref="AH73">INDEX(AG:AG,MIN(IF(ISNUMBER(AG73:AG269),ROW(AG73:AG269),"")))</f>
        <v/>
      </c>
      <c r="AI73" s="130">
        <f>IF('Données projet'!$A$62&gt;35,AI72+AH73-AQ72,IF(A73&lt;'Données projet'!$A$62,$AF$205^A73,IF(A73='Données projet'!$A$62,'Données projet'!$B$62,AI72+AH73-AQ72)))</f>
        <v>0</v>
      </c>
      <c r="AJ73" s="130">
        <f>AI73*VLOOKUP('Données projet'!$B$10,'Paramètres'!$A$1:$I$89,3,0)*VLOOKUP('Données projet'!$B$10,'Paramètres'!$A$1:$I$89,5,0)</f>
        <v>0</v>
      </c>
      <c r="AK73" s="130" t="str">
        <f t="shared" si="36"/>
        <v>#NUM!</v>
      </c>
      <c r="AL73" s="141" t="str">
        <f t="shared" si="5"/>
        <v>#NUM!</v>
      </c>
      <c r="AM73" s="133" t="str">
        <f t="shared" si="6"/>
        <v>#NUM!</v>
      </c>
      <c r="AN73" s="133">
        <f>AVERAGE(OFFSET($AM$3,0,0,'Données projet'!$E$10+1,1))-AVERAGE(OFFSET($H$3,0,0,'Données projet'!$E$10+1,1))</f>
        <v>196.874484</v>
      </c>
      <c r="AO73" s="133">
        <f t="shared" si="37"/>
        <v>217.5750859</v>
      </c>
      <c r="AP73" s="134">
        <f>IF(ISNA(VLOOKUP(A73,'Données projet'!$A$61:$I$81,3,0)),0,VLOOKUP(A73,'Données projet'!$A$61:$I$81,3,0))</f>
        <v>0</v>
      </c>
      <c r="AQ73" s="134">
        <f>IF(ISNA(VLOOKUP(A73,'Données projet'!$A$61:$I$81,4,0)),0,VLOOKUP(A73,'Données projet'!$A$61:$I$81,4,0))</f>
        <v>0</v>
      </c>
      <c r="AR73" s="135">
        <f>IF(ISNA(VLOOKUP(A73,'Données projet'!$A$61:$I$81,5,0)),0%,VLOOKUP(A73,'Données projet'!$A$61:$I$81,5,0)*VLOOKUP('Données projet'!$B$10,'Paramètres'!$A$1:$I$89,7,0))</f>
        <v>0</v>
      </c>
      <c r="AS73" s="135">
        <f>IF(ISNA(VLOOKUP(A73,'Données projet'!$A$61:$I$81,6,0)),0%,VLOOKUP(A73,'Données projet'!$A$61:$I$81,6,0)*VLOOKUP('Données projet'!$B$10,'Paramètres'!$A$1:$I$89,7,0))</f>
        <v>0</v>
      </c>
      <c r="AT73" s="135">
        <f>IF(ISNA(VLOOKUP(A73,'Données projet'!$A$61:$I$81,7,0)),0%,VLOOKUP(A73,'Données projet'!$A$61:$I$81,7,0))</f>
        <v>0</v>
      </c>
      <c r="AU73" s="142">
        <f>EXP(-LN(2)/35)*AU72+(1-EXP(-LN(2)/35))/(LN(2)/35)*AQ73*AR73*VLOOKUP('Données projet'!$B$10,'Paramètres'!$A$1:$I$89,3,0)*0.475*44/12</f>
        <v>121.127229</v>
      </c>
      <c r="AV73" s="142">
        <f>EXP(-LN(2)/25)*AV72+(1-EXP(-LN(2)/25))/(LN(2)/25)*Calculateur!AQ73*Calculateur!AS73*VLOOKUP('Données projet'!$B$10,'Paramètres'!$A$1:$I$89,3,0)*0.475*44/12</f>
        <v>27.07786071</v>
      </c>
      <c r="AW73" s="142">
        <f>EXP(-LN(2)/2)*AW72+(1-EXP(-LN(2)/2))/(LN(2)/2)*AQ73*AT73*VLOOKUP('Données projet'!$B$10,'Paramètres'!$A$1:$I$89,3,0)*0.475*44/12</f>
        <v>0.8273490755</v>
      </c>
      <c r="AX73" s="142">
        <f t="shared" si="7"/>
        <v>149.0324388</v>
      </c>
      <c r="AY73" s="13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1">
        <f>VLOOKUP(A73,'Données projet'!$A$87:$I$107,2,0)</f>
        <v>470</v>
      </c>
      <c r="BB73" s="130">
        <f>VLOOKUP(A73,'Données projet'!$A$87:$I$107,9,0)</f>
        <v>13</v>
      </c>
      <c r="BC73" s="130">
        <f t="array" ref="BC73">INDEX(BB:BB,MIN(IF(ISNUMBER(BB73:BB269),ROW(BB73:BB269),"")))</f>
        <v>13</v>
      </c>
      <c r="BD73" s="130">
        <f>IF('Données projet'!$A$88&gt;35,BD72+BC73-BL72,IF(A73&lt;'Données projet'!$A$88,$BA$205^A73,IF(A73='Données projet'!$A$88,'Données projet'!$B$88,BD72+BC73-BL72)))</f>
        <v>470</v>
      </c>
      <c r="BE73" s="130">
        <f>BD73*VLOOKUP('Données projet'!$B$11,'Paramètres'!$A$1:$I$89,3,0)*VLOOKUP('Données projet'!$B$11,'Paramètres'!$A$1:$I$89,5,0)</f>
        <v>219.96</v>
      </c>
      <c r="BF73" s="130">
        <f t="shared" si="38"/>
        <v>54.10619183</v>
      </c>
      <c r="BG73" s="141">
        <f t="shared" si="8"/>
        <v>477.3319508</v>
      </c>
      <c r="BH73" s="133">
        <f t="shared" si="9"/>
        <v>770.6652841</v>
      </c>
      <c r="BI73" s="133">
        <f>AVERAGE(OFFSET($BH$3,0,0,'Données projet'!$E$11+1,1))-AVERAGE(OFFSET($H$3,0,0,'Données projet'!$E$11+1,1))</f>
        <v>134.0948534</v>
      </c>
      <c r="BJ73" s="133">
        <f t="shared" si="39"/>
        <v>108.4102536</v>
      </c>
      <c r="BK73" s="134">
        <f>IF(ISNA(VLOOKUP(A73,'Données projet'!$A$87:$I$107,3,0)),0,VLOOKUP(A73,'Données projet'!$A$87:$I$107,3,0))</f>
        <v>5</v>
      </c>
      <c r="BL73" s="146">
        <f>IF(ISNA(VLOOKUP(A73,'Données projet'!$A$87:$I$107,4,0)),0,VLOOKUP(A73,'Données projet'!$A$87:$I$107,4,0))</f>
        <v>470</v>
      </c>
      <c r="BM73" s="135">
        <f>IF(ISNA(VLOOKUP(A73,'Données projet'!$A$87:$I$107,5,0)),0%,VLOOKUP(A73,'Données projet'!$A$87:$I$107,5,0)*VLOOKUP('Données projet'!$B$11,'Paramètres'!$A$1:$I$89,7,0))</f>
        <v>0.495</v>
      </c>
      <c r="BN73" s="135">
        <f>IF(ISNA(VLOOKUP(A73,'Données projet'!$A$87:$I$107,6,0)),0%,VLOOKUP(A73,'Données projet'!$A$87:$I$107,6,0)*VLOOKUP('Données projet'!$B$11,'Paramètres'!$A$1:$I$89,7,0))</f>
        <v>0.0308</v>
      </c>
      <c r="BO73" s="135">
        <f>IF(ISNA(VLOOKUP(A73,'Données projet'!$A$87:$I$107,7,0)),0%,VLOOKUP(A73,'Données projet'!$A$87:$I$107,7,0))</f>
        <v>0.044</v>
      </c>
      <c r="BP73" s="142">
        <f>EXP(-LN(2)/35)*BP72+(1-EXP(-LN(2)/35))/(LN(2)/35)*BL73*BM73*VLOOKUP('Données projet'!$B$11,'Paramètres'!$A$1:$I$89,3,0)*0.475*44/12</f>
        <v>167.5415793</v>
      </c>
      <c r="BQ73" s="142">
        <f>EXP(-LN(2)/25)*BQ72+(1-EXP(-LN(2)/25))/(LN(2)/25)*Calculateur!BL73*Calculateur!BN73*VLOOKUP('Données projet'!$B$11,'Paramètres'!$A$1:$I$89,3,0)*0.475*44/12</f>
        <v>17.08073778</v>
      </c>
      <c r="BR73" s="142">
        <f>EXP(-LN(2)/2)*BR72+(1-EXP(-LN(2)/2))/(LN(2)/2)*BL73*BO73*VLOOKUP('Données projet'!$B$11,'Paramètres'!$A$1:$I$89,3,0)*0.475*44/12</f>
        <v>11.03564933</v>
      </c>
      <c r="BS73" s="143">
        <f t="shared" si="10"/>
        <v>195.6579664</v>
      </c>
      <c r="BT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1" t="str">
        <f>VLOOKUP(A73,'Données projet'!$A$113:$I$133,2,0)</f>
        <v>#N/A</v>
      </c>
      <c r="BW73" s="131" t="str">
        <f>VLOOKUP(A73,'Données projet'!$A$113:$I$133,9,0)</f>
        <v>#N/A</v>
      </c>
      <c r="BX73" s="131" t="str">
        <f t="array" ref="BX73">INDEX(BW:BW,MIN(IF(ISNUMBER(BW73:BW269),ROW(BW73:BW269),"")))</f>
        <v/>
      </c>
      <c r="BY73" s="130">
        <f>IF('Données projet'!$A$114&gt;35,BY72+BX73-CG72,IF(A73&lt;'Données projet'!$A$114,$BV$205^A73,IF(A73='Données projet'!$A$114,'Données projet'!$B$114,BY72+BX73-CG72)))</f>
        <v>0</v>
      </c>
      <c r="BZ73" s="130">
        <f>BY73*VLOOKUP('Données projet'!$B$12,'Paramètres'!$A$1:$I$89,3,0)*VLOOKUP('Données projet'!$B$12,'Paramètres'!$A$1:$I$89,5,0)</f>
        <v>0</v>
      </c>
      <c r="CA73" s="130" t="str">
        <f t="shared" si="40"/>
        <v>#NUM!</v>
      </c>
      <c r="CB73" s="141" t="str">
        <f t="shared" si="11"/>
        <v>#NUM!</v>
      </c>
      <c r="CC73" s="133" t="str">
        <f t="shared" si="12"/>
        <v>#NUM!</v>
      </c>
      <c r="CD73" s="133">
        <f>AVERAGE(OFFSET($CC$3,0,0,'Données projet'!$E$12+1,1))-AVERAGE(OFFSET($H$3,0,0,'Données projet'!$E$12+1,1))</f>
        <v>258.1672054</v>
      </c>
      <c r="CE73" s="133">
        <f t="shared" si="41"/>
        <v>296.0724261</v>
      </c>
      <c r="CF73" s="134">
        <f>IF(ISNA(VLOOKUP(A73,'Données projet'!$A$113:$I$133,3,0)),0,VLOOKUP(A73,'Données projet'!$A$113:$I$133,3,0))</f>
        <v>0</v>
      </c>
      <c r="CG73" s="134">
        <f>IF(ISNA(VLOOKUP(A73,'Données projet'!$A$113:$I$133,4,0)),0,VLOOKUP(A73,'Données projet'!$A$113:$I$133,4,0))</f>
        <v>0</v>
      </c>
      <c r="CH73" s="135">
        <f>IF(ISNA(VLOOKUP(A73,'Données projet'!$A$113:$I$133,5,0)),0%,VLOOKUP(A73,'Données projet'!$A$113:$I$133,5,0)*VLOOKUP('Données projet'!$B$12,'Paramètres'!$A$1:$I$89,7,0))</f>
        <v>0</v>
      </c>
      <c r="CI73" s="135">
        <f>IF(ISNA(VLOOKUP(A73,'Données projet'!$A$113:$I$133,6,0)),0%,VLOOKUP(A73,'Données projet'!$A$113:$I$133,6,0)*VLOOKUP('Données projet'!$B$12,'Paramètres'!$A$1:$I$89,7,0))</f>
        <v>0</v>
      </c>
      <c r="CJ73" s="135">
        <f>IF(ISNA(VLOOKUP(A73,'Données projet'!$A$113:$I$133,7,0)),0%,VLOOKUP(A73,'Données projet'!$A$113:$I$133,7,0))</f>
        <v>0</v>
      </c>
      <c r="CK73" s="142">
        <f>EXP(-LN(2)/35)*CK72+(1-EXP(-LN(2)/35))/(LN(2)/35)*CG73*CH73*VLOOKUP('Données projet'!$B$12,'Paramètres'!$A$1:$I$89,3,0)*0.475*44/12</f>
        <v>211.8238092</v>
      </c>
      <c r="CL73" s="142">
        <f>EXP(-LN(2)/25)*CL72+(1-EXP(-LN(2)/25))/(LN(2)/25)*Calculateur!CG73*Calculateur!CI73*VLOOKUP('Données projet'!$B$12,'Paramètres'!$A$1:$I$89,3,0)*0.475*44/12</f>
        <v>29.9605837</v>
      </c>
      <c r="CM73" s="142">
        <f>EXP(-LN(2)/2)*CM72+(1-EXP(-LN(2)/2))/(LN(2)/2)*CG73*CJ73*VLOOKUP('Données projet'!$B$12,'Paramètres'!$A$1:$I$89,3,0)*0.475*44/12</f>
        <v>0.4649188806</v>
      </c>
      <c r="CN73" s="143">
        <f t="shared" si="13"/>
        <v>242.2493118</v>
      </c>
      <c r="CO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8">
        <f>VLOOKUP(A73,'Données projet'!$A$139:$I$159,2,0)</f>
        <v>172</v>
      </c>
      <c r="CR73" s="130">
        <f>VLOOKUP(A73,'Données projet'!$A$139:$I$159,9,0)</f>
        <v>5</v>
      </c>
      <c r="CS73" s="130">
        <f t="array" ref="CS73">INDEX(CR:CR,MIN(IF(ISNUMBER(CR73:CR269),ROW(CR73:CR269),"")))</f>
        <v>5</v>
      </c>
      <c r="CT73" s="138">
        <f>IF('Données projet'!$A$140&gt;35,CT72+CS73-DB72,IF(A73&lt;'Données projet'!$A$140,$CQ$205^A73,IF(A73='Données projet'!$A$140,'Données projet'!$B$140,CT72+CS73-DB72)))</f>
        <v>172</v>
      </c>
      <c r="CU73" s="138">
        <f>CT73*VLOOKUP('Données projet'!$B$13,'Paramètres'!$A$1:$I$89,3,0)*VLOOKUP('Données projet'!$B$13,'Paramètres'!$A$1:$I$89,5,0)</f>
        <v>174.408</v>
      </c>
      <c r="CV73" s="130">
        <f t="shared" si="42"/>
        <v>44.07579329</v>
      </c>
      <c r="CW73" s="141">
        <f t="shared" si="14"/>
        <v>380.52594</v>
      </c>
      <c r="CX73" s="133">
        <f t="shared" si="15"/>
        <v>673.8592733</v>
      </c>
      <c r="CY73" s="133">
        <f>AVERAGE(OFFSET($CX$3,0,0,'Données projet'!$E$13+1,1))-AVERAGE(OFFSET($H$3,0,0,'Données projet'!$E$13+1,1))</f>
        <v>223.783507</v>
      </c>
      <c r="CZ73" s="133">
        <f t="shared" si="43"/>
        <v>84.92349117</v>
      </c>
      <c r="DA73" s="134">
        <f>IF(ISNA(VLOOKUP(A73,'Données projet'!$A$139:$I$159,3,0)),0,VLOOKUP(A73,'Données projet'!$A$139:$I$159,3,0))</f>
        <v>10</v>
      </c>
      <c r="DB73" s="144">
        <f>IF(ISNA(VLOOKUP(A73,'Données projet'!$A$139:$I$159,4,0)),0,VLOOKUP(A73,'Données projet'!$A$139:$I$159,4,0))</f>
        <v>14</v>
      </c>
      <c r="DC73" s="135">
        <f>IF(ISNA(VLOOKUP(A73,'Données projet'!$A$139:$I$159,5,0)),0%,VLOOKUP(A73,'Données projet'!$A$139:$I$159,5,0)*VLOOKUP('Données projet'!$B$13,'Paramètres'!$A$1:$I$89,7,0))</f>
        <v>0.172</v>
      </c>
      <c r="DD73" s="135">
        <f>IF(ISNA(VLOOKUP(A73,'Données projet'!$A$139:$I$159,6,0)),0%,VLOOKUP(A73,'Données projet'!$A$139:$I$159,6,0)*VLOOKUP('Données projet'!$B$13,'Paramètres'!$A$1:$I$89,7,0))</f>
        <v>0</v>
      </c>
      <c r="DE73" s="135" t="str">
        <f>IF(ISNA(VLOOKUP(A73,'Données projet'!$A$139:$I$159,7,0)),0%,VLOOKUP(A73,'Données projet'!$A$139:$I$159,7,0))</f>
        <v/>
      </c>
      <c r="DF73" s="142">
        <f>EXP(-LN(2)/35)*DF72+(1-EXP(-LN(2)/35))/(LN(2)/35)*DB73*DC73*VLOOKUP('Données projet'!$B$13,'Paramètres'!$A$1:$I$89,3,0)*0.475*44/12</f>
        <v>10.03969335</v>
      </c>
      <c r="DG73" s="142">
        <f>EXP(-LN(2)/25)*DG72+(1-EXP(-LN(2)/25))/(LN(2)/25)*Calculateur!DB73*Calculateur!DD73*VLOOKUP('Données projet'!$B$13,'Paramètres'!$A$1:$I$89,3,0)*0.475*44/12</f>
        <v>0</v>
      </c>
      <c r="DH73" s="142">
        <f>EXP(-LN(2)/2)*DH72+(1-EXP(-LN(2)/2))/(LN(2)/2)*DB73*DE73*VLOOKUP('Données projet'!$B$13,'Paramètres'!$A$1:$I$89,3,0)*0.475*44/12</f>
        <v>0</v>
      </c>
      <c r="DI73" s="143">
        <f t="shared" si="16"/>
        <v>10.03969335</v>
      </c>
      <c r="DJ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8">
        <f>VLOOKUP(A73,'Données projet'!$A$165:$I$185,2,0)</f>
        <v>242</v>
      </c>
      <c r="DM73" s="131">
        <f>VLOOKUP(A73,'Données projet'!$A$165:$I$185,9,0)</f>
        <v>6.8</v>
      </c>
      <c r="DN73" s="131">
        <f t="array" ref="DN73">INDEX(DM:DM,MIN(IF(ISNUMBER(DM73:DM269),ROW(DM73:DM269),"")))</f>
        <v>6.8</v>
      </c>
      <c r="DO73" s="138">
        <f>IF('Données projet'!$A$166&gt;35,DO72+DN73-DW72,IF(A73&lt;'Données projet'!$A$166,$DL$205^A73,IF(A73='Données projet'!$A$166,'Données projet'!$B$166,DO72+DN73-DW72)))</f>
        <v>242</v>
      </c>
      <c r="DP73" s="138">
        <f>DO73*VLOOKUP('Données projet'!$B$14,'Paramètres'!$A$1:$I$89,3,0)*VLOOKUP('Données projet'!$B$14,'Paramètres'!$A$1:$I$89,5,0)</f>
        <v>218.9616</v>
      </c>
      <c r="DQ73" s="130">
        <f t="shared" si="44"/>
        <v>53.8891325</v>
      </c>
      <c r="DR73" s="141">
        <f t="shared" si="17"/>
        <v>475.2150258</v>
      </c>
      <c r="DS73" s="133">
        <f t="shared" si="18"/>
        <v>768.5483591</v>
      </c>
      <c r="DT73" s="133">
        <f>AVERAGE(OFFSET($DS$3,0,0,'Données projet'!$E$14+1,1))-AVERAGE(OFFSET($H$3,0,0,'Données projet'!$E$14+1,1))</f>
        <v>287.9334714</v>
      </c>
      <c r="DU73" s="133">
        <f t="shared" si="45"/>
        <v>156.6796502</v>
      </c>
      <c r="DV73" s="134">
        <f>IF(ISNA(VLOOKUP(A73,'Données projet'!$A$165:$I$185,3,0)),0,VLOOKUP(A73,'Données projet'!$A$165:$I$185,3,0))</f>
        <v>11</v>
      </c>
      <c r="DW73" s="144">
        <f>IF(ISNA(VLOOKUP(A73,'Données projet'!$A$165:$I$185,4,0)),0,VLOOKUP(A73,'Données projet'!$A$165:$I$185,4,0))</f>
        <v>21</v>
      </c>
      <c r="DX73" s="135">
        <f>IF(ISNA(VLOOKUP(A73,'Données projet'!$A$165:$I$185,5,0)),0%,VLOOKUP(A73,'Données projet'!$A$165:$I$185,5,0)*VLOOKUP('Données projet'!$B$14,'Paramètres'!$A$1:$I$89,7,0))</f>
        <v>0.215</v>
      </c>
      <c r="DY73" s="135">
        <f>IF(ISNA(VLOOKUP(A73,'Données projet'!$A$165:$I$185,6,0)),0%,VLOOKUP(A73,'Données projet'!$A$165:$I$185,6,0)*VLOOKUP('Données projet'!$B$14,'Paramètres'!$A$1:$I$89,7,0))</f>
        <v>0</v>
      </c>
      <c r="DZ73" s="135" t="str">
        <f>IF(ISNA(VLOOKUP(A73,'Données projet'!$A$165:$I$185,7,0)),0%,VLOOKUP(A73,'Données projet'!$A$165:$I$185,7,0))</f>
        <v/>
      </c>
      <c r="EA73" s="142">
        <f>EXP(-LN(2)/35)*EA72+(1-EXP(-LN(2)/35))/(LN(2)/35)*DW73*DX73*VLOOKUP('Données projet'!$B$14,'Paramètres'!$A$1:$I$89,3,0)*0.475*44/12</f>
        <v>16.68691884</v>
      </c>
      <c r="EB73" s="142">
        <f>EXP(-LN(2)/25)*EB72+(1-EXP(-LN(2)/25))/(LN(2)/25)*Calculateur!DW73*Calculateur!DY73*VLOOKUP('Données projet'!$B$14,'Paramètres'!$A$1:$I$89,3,0)*0.475*44/12</f>
        <v>0</v>
      </c>
      <c r="EC73" s="142">
        <f>EXP(-LN(2)/2)*EC72+(1-EXP(-LN(2)/2))/(LN(2)/2)*DW73*DZ73*VLOOKUP('Données projet'!$B$14,'Paramètres'!$A$1:$I$89,3,0)*0.475*44/12</f>
        <v>0</v>
      </c>
      <c r="ED73" s="143">
        <f t="shared" si="19"/>
        <v>16.68691884</v>
      </c>
      <c r="EE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8">
        <f>VLOOKUP(A73,'Données projet'!$A$191:$I$211,2,0)</f>
        <v>237</v>
      </c>
      <c r="EH73" s="131">
        <f>VLOOKUP(A73,'Données projet'!$A$191:$I$211,9,0)</f>
        <v>8.2</v>
      </c>
      <c r="EI73" s="131">
        <f t="array" ref="EI73">INDEX(EH:EH,MIN(IF(ISNUMBER(EH73:EH269),ROW(EH73:EH269),"")))</f>
        <v>8.2</v>
      </c>
      <c r="EJ73" s="138">
        <f>IF('Données projet'!$A$192&gt;35,EJ72+EI73-ER72,IF(A73&lt;'Données projet'!$A$192,$EG$205^A73,IF(A73='Données projet'!$A$192,'Données projet'!$B$192,EJ72+EI73-ER72)))</f>
        <v>237</v>
      </c>
      <c r="EK73" s="138">
        <f>EJ73*VLOOKUP('Données projet'!$B$15,'Paramètres'!$A$1:$I$89,3,0)*VLOOKUP('Données projet'!$B$15,'Paramètres'!$A$1:$I$89,5,0)</f>
        <v>173.7684</v>
      </c>
      <c r="EL73" s="130">
        <f t="shared" si="46"/>
        <v>43.93293985</v>
      </c>
      <c r="EM73" s="141">
        <f t="shared" si="20"/>
        <v>379.1631669</v>
      </c>
      <c r="EN73" s="133">
        <f t="shared" si="21"/>
        <v>672.4965002</v>
      </c>
      <c r="EO73" s="133">
        <f>AVERAGE(OFFSET($EN$3,0,0,'Données projet'!$E$15+1,1))-AVERAGE(OFFSET($H$3,0,0,'Données projet'!$E$15+1,1))</f>
        <v>130.3193339</v>
      </c>
      <c r="EP73" s="133">
        <f t="shared" si="47"/>
        <v>82.22784365</v>
      </c>
      <c r="EQ73" s="134">
        <f>IF(ISNA(VLOOKUP(A73,'Données projet'!$A$191:$I$211,3,0)),0,VLOOKUP(A73,'Données projet'!$A$191:$I$211,3,0))</f>
        <v>10</v>
      </c>
      <c r="ER73" s="144">
        <f>IF(ISNA(VLOOKUP(A73,'Données projet'!$A$191:$I$211,4,0)),0,VLOOKUP(A73,'Données projet'!$A$191:$I$211,4,0))</f>
        <v>21</v>
      </c>
      <c r="ES73" s="135">
        <f>IF(ISNA(VLOOKUP(A73,'Données projet'!$A$191:$I$211,5,0)),0%,VLOOKUP(A73,'Données projet'!$A$191:$I$211,5,0)*VLOOKUP('Données projet'!$B$15,'Paramètres'!$A$1:$I$89,7,0))</f>
        <v>0.258</v>
      </c>
      <c r="ET73" s="135">
        <f>IF(ISNA(VLOOKUP(A73,'Données projet'!$A$191:$I$211,6,0)),0%,VLOOKUP(A73,'Données projet'!$A$191:$I$211,6,0)*VLOOKUP('Données projet'!$B$15,'Paramètres'!$A$1:$I$89,7,0))</f>
        <v>0</v>
      </c>
      <c r="EU73" s="135" t="str">
        <f>IF(ISNA(VLOOKUP(A73,'Données projet'!$A$191:$I$211,7,0)),0%,VLOOKUP(A73,'Données projet'!$A$191:$I$211,7,0))</f>
        <v/>
      </c>
      <c r="EV73" s="142">
        <f>EXP(-LN(2)/35)*EV72+(1-EXP(-LN(2)/35))/(LN(2)/35)*ER73*ES73*VLOOKUP('Données projet'!$B$15,'Paramètres'!$A$1:$I$89,3,0)*0.475*44/12</f>
        <v>19.81997173</v>
      </c>
      <c r="EW73" s="142">
        <f>EXP(-LN(2)/25)*EW72+(1-EXP(-LN(2)/25))/(LN(2)/25)*Calculateur!ER73*Calculateur!ET73*VLOOKUP('Données projet'!$B$15,'Paramètres'!$A$1:$I$89,3,0)*0.475*44/12</f>
        <v>0</v>
      </c>
      <c r="EX73" s="142">
        <f>EXP(-LN(2)/2)*EX72+(1-EXP(-LN(2)/2))/(LN(2)/2)*ER73*EU73*VLOOKUP('Données projet'!$B$15,'Paramètres'!$A$1:$I$89,3,0)*0.475*44/12</f>
        <v>0</v>
      </c>
      <c r="EY73" s="143">
        <f t="shared" si="22"/>
        <v>19.81997173</v>
      </c>
      <c r="EZ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1">
        <f>VLOOKUP(A73,'Données projet'!$A$217:$I$237,2,0)</f>
        <v>306</v>
      </c>
      <c r="FC73" s="130">
        <f>VLOOKUP(A73,'Données projet'!$A$217:$I$237,9,0)</f>
        <v>3.6</v>
      </c>
      <c r="FD73" s="130">
        <f t="array" ref="FD73">INDEX(FC:FC,MIN(IF(ISNUMBER(FC73:FC269),ROW(FC73:FC269),"")))</f>
        <v>3.6</v>
      </c>
      <c r="FE73" s="130">
        <f>IF('Données projet'!$A$218&gt;35,FE72+FD73-FM72,IF(A73&lt;'Données projet'!$A$218,$FB$205^A73,IF(A73='Données projet'!$A$218,'Données projet'!$B$218,FE72+FD73-FM72)))</f>
        <v>306</v>
      </c>
      <c r="FF73" s="138">
        <f>FE73*VLOOKUP('Données projet'!$B$16,'Paramètres'!$A$1:$I$89,3,0)*VLOOKUP('Données projet'!$B$16,'Paramètres'!$A$1:$I$89,5,0)</f>
        <v>276.8688</v>
      </c>
      <c r="FG73" s="130">
        <f t="shared" si="48"/>
        <v>66.30486384</v>
      </c>
      <c r="FH73" s="141">
        <f t="shared" si="23"/>
        <v>597.6941312</v>
      </c>
      <c r="FI73" s="133">
        <f t="shared" si="24"/>
        <v>891.0274645</v>
      </c>
      <c r="FJ73" s="133">
        <f>AVERAGE(OFFSET($FI$3,0,0,'Données projet'!$E$16+1,1))-AVERAGE(OFFSET($H$3,0,0,'Données projet'!$E$16+1,1))</f>
        <v>305.6252353</v>
      </c>
      <c r="FK73" s="133">
        <f t="shared" si="49"/>
        <v>331.397916</v>
      </c>
      <c r="FL73" s="134">
        <f>IF(ISNA(VLOOKUP(A73,'Données projet'!$A$217:$I$237,3,0)),0,VLOOKUP(A73,'Données projet'!$A$217:$I$237,3,0))</f>
        <v>12</v>
      </c>
      <c r="FM73" s="134">
        <f>IF(ISNA(VLOOKUP(A73,'Données projet'!$A$217:$I$237,4,0)),0,VLOOKUP(A73,'Données projet'!$A$217:$I$237,4,0))</f>
        <v>306</v>
      </c>
      <c r="FN73" s="135">
        <f>IF(ISNA(VLOOKUP(A73,'Données projet'!$A$217:$I$237,5,0)),0%,VLOOKUP(A73,'Données projet'!$A$217:$I$237,5,0)*VLOOKUP('Données projet'!$B$16,'Paramètres'!$A$1:$I$89,7,0))</f>
        <v>0.24</v>
      </c>
      <c r="FO73" s="135">
        <f>IF(ISNA(VLOOKUP(A73,'Données projet'!$A$217:$I$237,6,0)),0%,VLOOKUP(A73,'Données projet'!$A$217:$I$237,6,0)*VLOOKUP('Données projet'!$B$16,'Paramètres'!$A$1:$I$89,7,0))</f>
        <v>0</v>
      </c>
      <c r="FP73" s="135" t="str">
        <f>IF(ISNA(VLOOKUP(A73,'Données projet'!$A$217:$I$237,7,0)),0%,VLOOKUP(A73,'Données projet'!$A$217:$I$237,7,0))</f>
        <v/>
      </c>
      <c r="FQ73" s="142">
        <f>EXP(-LN(2)/35)*FQ72+(1-EXP(-LN(2)/35))/(LN(2)/35)*FM73*FN73*VLOOKUP('Données projet'!$B$16,'Paramètres'!$A$1:$I$89,3,0)*0.475*44/12</f>
        <v>80.64668213</v>
      </c>
      <c r="FR73" s="142">
        <f>EXP(-LN(2)/25)*FR72+(1-EXP(-LN(2)/25))/(LN(2)/25)*Calculateur!FM73*Calculateur!FO73*VLOOKUP('Données projet'!$B$16,'Paramètres'!$A$1:$I$89,3,0)*0.475*44/12</f>
        <v>0</v>
      </c>
      <c r="FS73" s="142">
        <f>EXP(-LN(2)/2)*FS72+(1-EXP(-LN(2)/2))/(LN(2)/2)*FM73*FP73*VLOOKUP('Données projet'!$B$16,'Paramètres'!$A$1:$I$89,3,0)*0.475*44/12</f>
        <v>0</v>
      </c>
      <c r="FT73" s="143">
        <f t="shared" si="25"/>
        <v>80.64668213</v>
      </c>
      <c r="FU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1" t="str">
        <f>VLOOKUP(A73,'Données projet'!$A$243:$I$263,2,0)</f>
        <v>#N/A</v>
      </c>
      <c r="FX73" s="131" t="str">
        <f>VLOOKUP(A73,'Données projet'!$A$243:$I$263,9,0)</f>
        <v>#N/A</v>
      </c>
      <c r="FY73" s="131" t="str">
        <f t="array" ref="FY73">INDEX(FX:FX,MIN(IF(ISNUMBER(FX73:FX269),ROW(FX73:FX269),"")))</f>
        <v/>
      </c>
      <c r="FZ73" s="138">
        <f>IF('Données projet'!$A$244&gt;35,FZ72+FY73-GH72,IF(A73&lt;'Données projet'!$A$244,$FW$205^A73,IF(A73='Données projet'!$A$244,'Données projet'!$B$244,FZ72+FY73-GH72)))</f>
        <v>0</v>
      </c>
      <c r="GA73" s="138">
        <f>FZ73*VLOOKUP('Données projet'!$B$17,'Paramètres'!$A$1:$I$89,3,0)*VLOOKUP('Données projet'!$B$17,'Paramètres'!$A$1:$I$89,5,0)</f>
        <v>0</v>
      </c>
      <c r="GB73" s="130">
        <f t="shared" si="50"/>
        <v>0</v>
      </c>
      <c r="GC73" s="141">
        <f t="shared" si="26"/>
        <v>0</v>
      </c>
      <c r="GD73" s="133">
        <f t="shared" si="27"/>
        <v>293.3333333</v>
      </c>
      <c r="GE73" s="133">
        <f>AVERAGE(OFFSET($GD$3,0,0,'Données projet'!$E$17+1,1))-AVERAGE(OFFSET($H$3,0,0,'Données projet'!$E$17+1,1))</f>
        <v>118.7368745</v>
      </c>
      <c r="GF73" s="133">
        <f t="shared" si="51"/>
        <v>135.1233677</v>
      </c>
      <c r="GG73" s="134">
        <f>IF(ISNA(VLOOKUP(A73,'Données projet'!$A$243:$I$263,3,0)),0,VLOOKUP(A73,'Données projet'!$A$243:$I$263,3,0))</f>
        <v>0</v>
      </c>
      <c r="GH73" s="134">
        <f>IF(ISNA(VLOOKUP(A73,'Données projet'!$A$243:$I$263,4,0)),0,VLOOKUP(A73,'Données projet'!$A$243:$I$263,4,0))</f>
        <v>0</v>
      </c>
      <c r="GI73" s="135">
        <f>IF(ISNA(VLOOKUP(A73,'Données projet'!$A$243:$I$263,5,0)),0%,VLOOKUP(A73,'Données projet'!$A$243:$I$263,5,0)*VLOOKUP('Données projet'!$B$17,'Paramètres'!$A$1:$I$89,7,0))</f>
        <v>0</v>
      </c>
      <c r="GJ73" s="135">
        <f>IF(ISNA(VLOOKUP(A73,'Données projet'!$A$243:$I$263,6,0)),0%,VLOOKUP(A73,'Données projet'!$A$243:$I$263,6,0)*VLOOKUP('Données projet'!$B$17,'Paramètres'!$A$1:$I$89,7,0))</f>
        <v>0</v>
      </c>
      <c r="GK73" s="135">
        <f>IF(ISNA(VLOOKUP(A73,'Données projet'!$A$243:$I$263,7,0)),0%,VLOOKUP(A73,'Données projet'!$A$243:$I$263,7,0))</f>
        <v>0</v>
      </c>
      <c r="GL73" s="142">
        <f>EXP(-LN(2)/35)*GL72+(1-EXP(-LN(2)/35))/(LN(2)/35)*GH73*GI73*VLOOKUP('Données projet'!$B$17,'Paramètres'!$A$1:$I$89,3,0)*0.475*44/12</f>
        <v>85.20297026</v>
      </c>
      <c r="GM73" s="142">
        <f>EXP(-LN(2)/25)*GM72+(1-EXP(-LN(2)/25))/(LN(2)/25)*Calculateur!GH73*Calculateur!GJ73*VLOOKUP('Données projet'!$B$17,'Paramètres'!$A$1:$I$89,3,0)*0.475*44/12</f>
        <v>0</v>
      </c>
      <c r="GN73" s="142">
        <f>EXP(-LN(2)/2)*GN72+(1-EXP(-LN(2)/2))/(LN(2)/2)*GH73*GK73*VLOOKUP('Données projet'!$B$17,'Paramètres'!$A$1:$I$89,3,0)*0.475*44/12</f>
        <v>0</v>
      </c>
      <c r="GO73" s="142">
        <f t="shared" si="28"/>
        <v>85.20297026</v>
      </c>
      <c r="GP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1" t="str">
        <f>VLOOKUP(A73,'Données projet'!$A$269:$I$289,2,0)</f>
        <v>#N/A</v>
      </c>
      <c r="GS73" s="131" t="str">
        <f>VLOOKUP(A73,'Données projet'!$A$269:$I$289,9,0)</f>
        <v>#N/A</v>
      </c>
      <c r="GT73" s="131" t="str">
        <f t="array" ref="GT73">INDEX(GS:GS,MIN(IF(ISNUMBER(GS73:GS269),ROW(GS73:GS269),"")))</f>
        <v/>
      </c>
      <c r="GU73" s="138">
        <f>IF('Données projet'!$A$270&gt;35,GU72+GT73-HC72,IF(A73&lt;'Données projet'!$A$270,$GR$205^A73,IF(A73='Données projet'!$A$270,'Données projet'!$B$270,GU72+GT73-HC72)))</f>
        <v>0</v>
      </c>
      <c r="GV73" s="138">
        <f>GU73*VLOOKUP('Données projet'!$B$18,'Paramètres'!$A$1:$I$89,3,0)*VLOOKUP('Données projet'!$B$18,'Paramètres'!$A$1:$I$89,5,0)</f>
        <v>0</v>
      </c>
      <c r="GW73" s="130" t="str">
        <f t="shared" si="52"/>
        <v>#NUM!</v>
      </c>
      <c r="GX73" s="141" t="str">
        <f t="shared" si="29"/>
        <v>#NUM!</v>
      </c>
      <c r="GY73" s="133" t="str">
        <f t="shared" si="30"/>
        <v>#NUM!</v>
      </c>
      <c r="GZ73" s="133">
        <f>AVERAGE(OFFSET($GY$3,0,0,'Données projet'!$E$18+1,1))-AVERAGE(OFFSET($H$3,0,0,'Données projet'!$E$18+1,1))</f>
        <v>100.5427875</v>
      </c>
      <c r="HA73" s="133">
        <f t="shared" si="53"/>
        <v>92.28663609</v>
      </c>
      <c r="HB73" s="134">
        <f>IF(ISNA(VLOOKUP(A73,'Données projet'!$A$269:$I$289,3,0)),0,VLOOKUP(A73,'Données projet'!$A$269:$I$289,3,0))</f>
        <v>0</v>
      </c>
      <c r="HC73" s="134">
        <f>IF(ISNA(VLOOKUP(A73,'Données projet'!$A$269:$I$289,4,0)),0,VLOOKUP(A73,'Données projet'!$A$269:$I$289,4,0))</f>
        <v>0</v>
      </c>
      <c r="HD73" s="135">
        <f>IF(ISNA(VLOOKUP(A73,'Données projet'!$A$269:$I$289,5,0)),0%,VLOOKUP(A73,'Données projet'!$A$269:$I$289,5,0)*VLOOKUP('Données projet'!$B$18,'Paramètres'!$A$1:$I$89,7,0))</f>
        <v>0</v>
      </c>
      <c r="HE73" s="135">
        <f>IF(ISNA(VLOOKUP(A73,'Données projet'!$A$269:$I$289,6,0)),0%,VLOOKUP(A73,'Données projet'!$A$269:$I$289,6,0)*VLOOKUP('Données projet'!$B$18,'Paramètres'!$A$1:$I$89,7,0))</f>
        <v>0</v>
      </c>
      <c r="HF73" s="135">
        <f>IF(ISNA(VLOOKUP(A73,'Données projet'!$A$269:$I$289,7,0)),0%,VLOOKUP(A73,'Données projet'!$A$269:$I$289,7,0))</f>
        <v>0</v>
      </c>
      <c r="HG73" s="142">
        <f>EXP(-LN(2)/35)*HG72+(1-EXP(-LN(2)/35))/(LN(2)/35)*HC73*HD73*VLOOKUP('Données projet'!$B$18,'Paramètres'!$A$1:$I$89,3,0)*0.475*44/12</f>
        <v>58.0214253</v>
      </c>
      <c r="HH73" s="142">
        <f>EXP(-LN(2)/25)*HH72+(1-EXP(-LN(2)/25))/(LN(2)/25)*Calculateur!HC73*Calculateur!HE73*VLOOKUP('Données projet'!$B$18,'Paramètres'!$A$1:$I$89,3,0)*0.475*44/12</f>
        <v>0</v>
      </c>
      <c r="HI73" s="142">
        <f>EXP(-LN(2)/2)*HI72+(1-EXP(-LN(2)/2))/(LN(2)/2)*HC73*HF73*VLOOKUP('Données projet'!$B$18,'Paramètres'!$A$1:$I$89,3,0)*0.475*44/12</f>
        <v>0</v>
      </c>
      <c r="HJ73" s="143">
        <f t="shared" si="31"/>
        <v>58.0214253</v>
      </c>
    </row>
    <row r="74" ht="15.75" customHeight="1">
      <c r="A74" s="125">
        <f t="shared" si="32"/>
        <v>71</v>
      </c>
      <c r="B74" s="126">
        <f>'Scénario référence'!$B$16*5+'Scénario référence'!$B$17*0+'Scénario référence'!$B$18*5</f>
        <v>0</v>
      </c>
      <c r="C74" s="140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38.766</v>
      </c>
      <c r="D74" s="127">
        <f t="shared" si="33"/>
        <v>11.67098097</v>
      </c>
      <c r="E7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7">
        <f>IF(OR('Scénario référence'!$F$8&gt;0,'Scénario référence'!$F$9&gt;0),('Scénario référence'!$F$8+'Scénario référence'!$F$9)*10,0)</f>
        <v>10</v>
      </c>
      <c r="G74" s="127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</v>
      </c>
      <c r="H74" s="128">
        <f t="shared" si="1"/>
        <v>381.1777419</v>
      </c>
      <c r="I74" s="12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1" t="str">
        <f>VLOOKUP(A74,'Données projet'!$A$35:$I$55,2,0)</f>
        <v>#N/A</v>
      </c>
      <c r="L74" s="131" t="str">
        <f>VLOOKUP(A74,'Données projet'!$A$35:$I$55,9,0)</f>
        <v>#N/A</v>
      </c>
      <c r="M74" s="131" t="str">
        <f t="array" ref="M74">INDEX(L:L,MIN(IF(ISNUMBER(L74:L270),ROW(L74:L270),"")))</f>
        <v/>
      </c>
      <c r="N74" s="130">
        <f>IF('Données projet'!$A$36&gt;35,N73+M74-V73,IF(A74&lt;'Données projet'!$A$36,$K$205^A74,IF(A74='Données projet'!$A$36,'Données projet'!$B$36,N73+M74-V73)))</f>
        <v>0</v>
      </c>
      <c r="O74" s="130">
        <f>N74*VLOOKUP('Données projet'!$B$9,'Paramètres'!$A$1:$I$89,3,0)*VLOOKUP('Données projet'!$B$9,'Paramètres'!$A$1:$I$89,5,0)</f>
        <v>0</v>
      </c>
      <c r="P74" s="130">
        <f t="shared" si="34"/>
        <v>0</v>
      </c>
      <c r="Q74" s="141">
        <f t="shared" si="2"/>
        <v>0</v>
      </c>
      <c r="R74" s="133">
        <f t="shared" si="3"/>
        <v>293.3333333</v>
      </c>
      <c r="S74" s="133">
        <f>AVERAGE(OFFSET($R$3,0,0,'Données projet'!$E$9+1,1))-AVERAGE(OFFSET($H$3,0,0,'Données projet'!$E$9+1,1))</f>
        <v>126.9946492</v>
      </c>
      <c r="T74" s="133">
        <f t="shared" si="35"/>
        <v>140.039049</v>
      </c>
      <c r="U74" s="134">
        <f>IF(ISNA(VLOOKUP(A74,'Données projet'!$A$35:$I$55,3,0)),0,VLOOKUP(A74,'Données projet'!$A$35:$I$55,3,0))</f>
        <v>0</v>
      </c>
      <c r="V74" s="134">
        <f>IF(ISNA(VLOOKUP(A74,'Données projet'!$A$35:$I$55,4,0)),0,VLOOKUP(A74,'Données projet'!$A$35:$I$55,4,0))</f>
        <v>0</v>
      </c>
      <c r="W74" s="135">
        <f>IF(ISNA(VLOOKUP(A74,'Données projet'!$A$35:$I$55,5,0)),0%,VLOOKUP(A74,'Données projet'!$A$35:$I$55,5,0)*VLOOKUP('Données projet'!$B$9,'Paramètres'!$A$1:$I$89,7,0))</f>
        <v>0</v>
      </c>
      <c r="X74" s="135">
        <f>IF(ISNA(VLOOKUP(A74,'Données projet'!$A$35:$I$55,6,0)),0%,VLOOKUP(A74,'Données projet'!$A$35:$I$55,6,0)*VLOOKUP('Données projet'!$B$9,'Paramètres'!$A$1:$I$89,7,0))</f>
        <v>0</v>
      </c>
      <c r="Y74" s="135">
        <f>IF(ISNA(VLOOKUP(A74,'Données projet'!$A$35:$I$55,7,0)),0%,VLOOKUP(A74,'Données projet'!$A$35:$I$55,7,0))</f>
        <v>0</v>
      </c>
      <c r="Z74" s="142">
        <f>EXP(-LN(2)/35)*Z73+(1-EXP(-LN(2)/35))/(LN(2)/35)*V74*W74*VLOOKUP('Données projet'!$B$9,'Paramètres'!$A$1:$I$89,3,0)*0.475*44/12</f>
        <v>85.43483784</v>
      </c>
      <c r="AA74" s="142">
        <f>EXP(-LN(2)/25)*AA73+(1-EXP(-LN(2)/25))/(LN(2)/25)*Calculateur!V74*Calculateur!X74*VLOOKUP('Données projet'!$B$9,'Paramètres'!$A$1:$I$89,3,0)*0.475*44/12</f>
        <v>17.13001125</v>
      </c>
      <c r="AB74" s="142">
        <f>EXP(-LN(2)/2)*AB73+(1-EXP(-LN(2)/2))/(LN(2)/2)*V74*Y74*VLOOKUP('Données projet'!$B$9,'Paramètres'!$A$1:$I$89,3,0)*0.475*44/12</f>
        <v>0.419609786</v>
      </c>
      <c r="AC74" s="143">
        <f t="shared" si="4"/>
        <v>102.9844589</v>
      </c>
      <c r="AD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1" t="str">
        <f>VLOOKUP(A74,'Données projet'!$A$61:$I$81,2,0)</f>
        <v>#N/A</v>
      </c>
      <c r="AG74" s="131" t="str">
        <f>VLOOKUP(A74,'Données projet'!$A$61:$I$81,9,0)</f>
        <v>#N/A</v>
      </c>
      <c r="AH74" s="131" t="str">
        <f t="array" ref="AH74">INDEX(AG:AG,MIN(IF(ISNUMBER(AG74:AG270),ROW(AG74:AG270),"")))</f>
        <v/>
      </c>
      <c r="AI74" s="130">
        <f>IF('Données projet'!$A$62&gt;35,AI73+AH74-AQ73,IF(A74&lt;'Données projet'!$A$62,$AF$205^A74,IF(A74='Données projet'!$A$62,'Données projet'!$B$62,AI73+AH74-AQ73)))</f>
        <v>0</v>
      </c>
      <c r="AJ74" s="130">
        <f>AI74*VLOOKUP('Données projet'!$B$10,'Paramètres'!$A$1:$I$89,3,0)*VLOOKUP('Données projet'!$B$10,'Paramètres'!$A$1:$I$89,5,0)</f>
        <v>0</v>
      </c>
      <c r="AK74" s="130" t="str">
        <f t="shared" si="36"/>
        <v>#NUM!</v>
      </c>
      <c r="AL74" s="141" t="str">
        <f t="shared" si="5"/>
        <v>#NUM!</v>
      </c>
      <c r="AM74" s="133" t="str">
        <f t="shared" si="6"/>
        <v>#NUM!</v>
      </c>
      <c r="AN74" s="133">
        <f>AVERAGE(OFFSET($AM$3,0,0,'Données projet'!$E$10+1,1))-AVERAGE(OFFSET($H$3,0,0,'Données projet'!$E$10+1,1))</f>
        <v>196.874484</v>
      </c>
      <c r="AO74" s="133">
        <f t="shared" si="37"/>
        <v>217.5750859</v>
      </c>
      <c r="AP74" s="134">
        <f>IF(ISNA(VLOOKUP(A74,'Données projet'!$A$61:$I$81,3,0)),0,VLOOKUP(A74,'Données projet'!$A$61:$I$81,3,0))</f>
        <v>0</v>
      </c>
      <c r="AQ74" s="134">
        <f>IF(ISNA(VLOOKUP(A74,'Données projet'!$A$61:$I$81,4,0)),0,VLOOKUP(A74,'Données projet'!$A$61:$I$81,4,0))</f>
        <v>0</v>
      </c>
      <c r="AR74" s="135">
        <f>IF(ISNA(VLOOKUP(A74,'Données projet'!$A$61:$I$81,5,0)),0%,VLOOKUP(A74,'Données projet'!$A$61:$I$81,5,0)*VLOOKUP('Données projet'!$B$10,'Paramètres'!$A$1:$I$89,7,0))</f>
        <v>0</v>
      </c>
      <c r="AS74" s="135">
        <f>IF(ISNA(VLOOKUP(A74,'Données projet'!$A$61:$I$81,6,0)),0%,VLOOKUP(A74,'Données projet'!$A$61:$I$81,6,0)*VLOOKUP('Données projet'!$B$10,'Paramètres'!$A$1:$I$89,7,0))</f>
        <v>0</v>
      </c>
      <c r="AT74" s="135">
        <f>IF(ISNA(VLOOKUP(A74,'Données projet'!$A$61:$I$81,7,0)),0%,VLOOKUP(A74,'Données projet'!$A$61:$I$81,7,0))</f>
        <v>0</v>
      </c>
      <c r="AU74" s="142">
        <f>EXP(-LN(2)/35)*AU73+(1-EXP(-LN(2)/35))/(LN(2)/35)*AQ74*AR74*VLOOKUP('Données projet'!$B$10,'Paramètres'!$A$1:$I$89,3,0)*0.475*44/12</f>
        <v>118.7519979</v>
      </c>
      <c r="AV74" s="142">
        <f>EXP(-LN(2)/25)*AV73+(1-EXP(-LN(2)/25))/(LN(2)/25)*Calculateur!AQ74*Calculateur!AS74*VLOOKUP('Données projet'!$B$10,'Paramètres'!$A$1:$I$89,3,0)*0.475*44/12</f>
        <v>26.33741518</v>
      </c>
      <c r="AW74" s="142">
        <f>EXP(-LN(2)/2)*AW73+(1-EXP(-LN(2)/2))/(LN(2)/2)*AQ74*AT74*VLOOKUP('Données projet'!$B$10,'Paramètres'!$A$1:$I$89,3,0)*0.475*44/12</f>
        <v>0.5850241417</v>
      </c>
      <c r="AX74" s="142">
        <f t="shared" si="7"/>
        <v>145.6744373</v>
      </c>
      <c r="AY74" s="13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1" t="str">
        <f>VLOOKUP(A74,'Données projet'!$A$87:$I$107,2,0)</f>
        <v>#N/A</v>
      </c>
      <c r="BB74" s="131" t="str">
        <f>VLOOKUP(A74,'Données projet'!$A$87:$I$107,9,0)</f>
        <v>#N/A</v>
      </c>
      <c r="BC74" s="131" t="str">
        <f t="array" ref="BC74">INDEX(BB:BB,MIN(IF(ISNUMBER(BB74:BB270),ROW(BB74:BB270),"")))</f>
        <v/>
      </c>
      <c r="BD74" s="130">
        <f>IF('Données projet'!$A$88&gt;35,BD73+BC74-BL73,IF(A74&lt;'Données projet'!$A$88,$BA$205^A74,IF(A74='Données projet'!$A$88,'Données projet'!$B$88,BD73+BC74-BL73)))</f>
        <v>0</v>
      </c>
      <c r="BE74" s="130">
        <f>BD74*VLOOKUP('Données projet'!$B$11,'Paramètres'!$A$1:$I$89,3,0)*VLOOKUP('Données projet'!$B$11,'Paramètres'!$A$1:$I$89,5,0)</f>
        <v>0</v>
      </c>
      <c r="BF74" s="130" t="str">
        <f t="shared" si="38"/>
        <v>#NUM!</v>
      </c>
      <c r="BG74" s="141" t="str">
        <f t="shared" si="8"/>
        <v>#NUM!</v>
      </c>
      <c r="BH74" s="133" t="str">
        <f t="shared" si="9"/>
        <v>#NUM!</v>
      </c>
      <c r="BI74" s="133">
        <f>AVERAGE(OFFSET($BH$3,0,0,'Données projet'!$E$11+1,1))-AVERAGE(OFFSET($H$3,0,0,'Données projet'!$E$11+1,1))</f>
        <v>134.0948534</v>
      </c>
      <c r="BJ74" s="133">
        <f t="shared" si="39"/>
        <v>108.4102536</v>
      </c>
      <c r="BK74" s="134">
        <f>IF(ISNA(VLOOKUP(A74,'Données projet'!$A$87:$I$107,3,0)),0,VLOOKUP(A74,'Données projet'!$A$87:$I$107,3,0))</f>
        <v>0</v>
      </c>
      <c r="BL74" s="134">
        <f>IF(ISNA(VLOOKUP(A74,'Données projet'!$A$87:$I$107,4,0)),0,VLOOKUP(A74,'Données projet'!$A$87:$I$107,4,0))</f>
        <v>0</v>
      </c>
      <c r="BM74" s="135">
        <f>IF(ISNA(VLOOKUP(A74,'Données projet'!$A$87:$I$107,5,0)),0%,VLOOKUP(A74,'Données projet'!$A$87:$I$107,5,0)*VLOOKUP('Données projet'!$B$11,'Paramètres'!$A$1:$I$89,7,0))</f>
        <v>0</v>
      </c>
      <c r="BN74" s="135">
        <f>IF(ISNA(VLOOKUP(A74,'Données projet'!$A$87:$I$107,6,0)),0%,VLOOKUP(A74,'Données projet'!$A$87:$I$107,6,0)*VLOOKUP('Données projet'!$B$11,'Paramètres'!$A$1:$I$89,7,0))</f>
        <v>0</v>
      </c>
      <c r="BO74" s="135">
        <f>IF(ISNA(VLOOKUP(A74,'Données projet'!$A$87:$I$107,7,0)),0%,VLOOKUP(A74,'Données projet'!$A$87:$I$107,7,0))</f>
        <v>0</v>
      </c>
      <c r="BP74" s="142">
        <f>EXP(-LN(2)/35)*BP73+(1-EXP(-LN(2)/35))/(LN(2)/35)*BL74*BM74*VLOOKUP('Données projet'!$B$11,'Paramètres'!$A$1:$I$89,3,0)*0.475*44/12</f>
        <v>164.2561911</v>
      </c>
      <c r="BQ74" s="142">
        <f>EXP(-LN(2)/25)*BQ73+(1-EXP(-LN(2)/25))/(LN(2)/25)*Calculateur!BL74*Calculateur!BN74*VLOOKUP('Données projet'!$B$11,'Paramètres'!$A$1:$I$89,3,0)*0.475*44/12</f>
        <v>16.61366411</v>
      </c>
      <c r="BR74" s="142">
        <f>EXP(-LN(2)/2)*BR73+(1-EXP(-LN(2)/2))/(LN(2)/2)*BL74*BO74*VLOOKUP('Données projet'!$B$11,'Paramètres'!$A$1:$I$89,3,0)*0.475*44/12</f>
        <v>7.803382473</v>
      </c>
      <c r="BS74" s="143">
        <f t="shared" si="10"/>
        <v>188.6732377</v>
      </c>
      <c r="BT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1" t="str">
        <f>VLOOKUP(A74,'Données projet'!$A$113:$I$133,2,0)</f>
        <v>#N/A</v>
      </c>
      <c r="BW74" s="131" t="str">
        <f>VLOOKUP(A74,'Données projet'!$A$113:$I$133,9,0)</f>
        <v>#N/A</v>
      </c>
      <c r="BX74" s="131" t="str">
        <f t="array" ref="BX74">INDEX(BW:BW,MIN(IF(ISNUMBER(BW74:BW270),ROW(BW74:BW270),"")))</f>
        <v/>
      </c>
      <c r="BY74" s="130">
        <f>IF('Données projet'!$A$114&gt;35,BY73+BX74-CG73,IF(A74&lt;'Données projet'!$A$114,$BV$205^A74,IF(A74='Données projet'!$A$114,'Données projet'!$B$114,BY73+BX74-CG73)))</f>
        <v>0</v>
      </c>
      <c r="BZ74" s="130">
        <f>BY74*VLOOKUP('Données projet'!$B$12,'Paramètres'!$A$1:$I$89,3,0)*VLOOKUP('Données projet'!$B$12,'Paramètres'!$A$1:$I$89,5,0)</f>
        <v>0</v>
      </c>
      <c r="CA74" s="130" t="str">
        <f t="shared" si="40"/>
        <v>#NUM!</v>
      </c>
      <c r="CB74" s="141" t="str">
        <f t="shared" si="11"/>
        <v>#NUM!</v>
      </c>
      <c r="CC74" s="133" t="str">
        <f t="shared" si="12"/>
        <v>#NUM!</v>
      </c>
      <c r="CD74" s="133">
        <f>AVERAGE(OFFSET($CC$3,0,0,'Données projet'!$E$12+1,1))-AVERAGE(OFFSET($H$3,0,0,'Données projet'!$E$12+1,1))</f>
        <v>258.1672054</v>
      </c>
      <c r="CE74" s="133">
        <f t="shared" si="41"/>
        <v>296.0724261</v>
      </c>
      <c r="CF74" s="134">
        <f>IF(ISNA(VLOOKUP(A74,'Données projet'!$A$113:$I$133,3,0)),0,VLOOKUP(A74,'Données projet'!$A$113:$I$133,3,0))</f>
        <v>0</v>
      </c>
      <c r="CG74" s="134">
        <f>IF(ISNA(VLOOKUP(A74,'Données projet'!$A$113:$I$133,4,0)),0,VLOOKUP(A74,'Données projet'!$A$113:$I$133,4,0))</f>
        <v>0</v>
      </c>
      <c r="CH74" s="135">
        <f>IF(ISNA(VLOOKUP(A74,'Données projet'!$A$113:$I$133,5,0)),0%,VLOOKUP(A74,'Données projet'!$A$113:$I$133,5,0)*VLOOKUP('Données projet'!$B$12,'Paramètres'!$A$1:$I$89,7,0))</f>
        <v>0</v>
      </c>
      <c r="CI74" s="135">
        <f>IF(ISNA(VLOOKUP(A74,'Données projet'!$A$113:$I$133,6,0)),0%,VLOOKUP(A74,'Données projet'!$A$113:$I$133,6,0)*VLOOKUP('Données projet'!$B$12,'Paramètres'!$A$1:$I$89,7,0))</f>
        <v>0</v>
      </c>
      <c r="CJ74" s="135">
        <f>IF(ISNA(VLOOKUP(A74,'Données projet'!$A$113:$I$133,7,0)),0%,VLOOKUP(A74,'Données projet'!$A$113:$I$133,7,0))</f>
        <v>0</v>
      </c>
      <c r="CK74" s="142">
        <f>EXP(-LN(2)/35)*CK73+(1-EXP(-LN(2)/35))/(LN(2)/35)*CG74*CH74*VLOOKUP('Données projet'!$B$12,'Paramètres'!$A$1:$I$89,3,0)*0.475*44/12</f>
        <v>207.6700735</v>
      </c>
      <c r="CL74" s="142">
        <f>EXP(-LN(2)/25)*CL73+(1-EXP(-LN(2)/25))/(LN(2)/25)*Calculateur!CG74*Calculateur!CI74*VLOOKUP('Données projet'!$B$12,'Paramètres'!$A$1:$I$89,3,0)*0.475*44/12</f>
        <v>29.14130996</v>
      </c>
      <c r="CM74" s="142">
        <f>EXP(-LN(2)/2)*CM73+(1-EXP(-LN(2)/2))/(LN(2)/2)*CG74*CJ74*VLOOKUP('Données projet'!$B$12,'Paramètres'!$A$1:$I$89,3,0)*0.475*44/12</f>
        <v>0.3287472932</v>
      </c>
      <c r="CN74" s="143">
        <f t="shared" si="13"/>
        <v>237.1401308</v>
      </c>
      <c r="CO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1" t="str">
        <f>VLOOKUP(A74,'Données projet'!$A$139:$I$159,2,0)</f>
        <v>#N/A</v>
      </c>
      <c r="CR74" s="131" t="str">
        <f>VLOOKUP(A74,'Données projet'!$A$139:$I$159,9,0)</f>
        <v>#N/A</v>
      </c>
      <c r="CS74" s="130">
        <f t="array" ref="CS74">INDEX(CR:CR,MIN(IF(ISNUMBER(CR74:CR270),ROW(CR74:CR270),"")))</f>
        <v>5</v>
      </c>
      <c r="CT74" s="138">
        <f>IF('Données projet'!$A$140&gt;35,CT73+CS74-DB73,IF(A74&lt;'Données projet'!$A$140,$CQ$205^A74,IF(A74='Données projet'!$A$140,'Données projet'!$B$140,CT73+CS74-DB73)))</f>
        <v>163</v>
      </c>
      <c r="CU74" s="138">
        <f>CT74*VLOOKUP('Données projet'!$B$13,'Paramètres'!$A$1:$I$89,3,0)*VLOOKUP('Données projet'!$B$13,'Paramètres'!$A$1:$I$89,5,0)</f>
        <v>165.282</v>
      </c>
      <c r="CV74" s="130">
        <f t="shared" si="42"/>
        <v>42.03162388</v>
      </c>
      <c r="CW74" s="141">
        <f t="shared" si="14"/>
        <v>361.0712283</v>
      </c>
      <c r="CX74" s="133">
        <f t="shared" si="15"/>
        <v>654.4045616</v>
      </c>
      <c r="CY74" s="133">
        <f>AVERAGE(OFFSET($CX$3,0,0,'Données projet'!$E$13+1,1))-AVERAGE(OFFSET($H$3,0,0,'Données projet'!$E$13+1,1))</f>
        <v>223.783507</v>
      </c>
      <c r="CZ74" s="133">
        <f t="shared" si="43"/>
        <v>84.92349117</v>
      </c>
      <c r="DA74" s="134">
        <f>IF(ISNA(VLOOKUP(A74,'Données projet'!$A$139:$I$159,3,0)),0,VLOOKUP(A74,'Données projet'!$A$139:$I$159,3,0))</f>
        <v>0</v>
      </c>
      <c r="DB74" s="134">
        <f>IF(ISNA(VLOOKUP(A74,'Données projet'!$A$139:$I$159,4,0)),0,VLOOKUP(A74,'Données projet'!$A$139:$I$159,4,0))</f>
        <v>0</v>
      </c>
      <c r="DC74" s="135">
        <f>IF(ISNA(VLOOKUP(A74,'Données projet'!$A$139:$I$159,5,0)),0%,VLOOKUP(A74,'Données projet'!$A$139:$I$159,5,0)*VLOOKUP('Données projet'!$B$13,'Paramètres'!$A$1:$I$89,7,0))</f>
        <v>0</v>
      </c>
      <c r="DD74" s="135">
        <f>IF(ISNA(VLOOKUP(A74,'Données projet'!$A$139:$I$159,6,0)),0%,VLOOKUP(A74,'Données projet'!$A$139:$I$159,6,0)*VLOOKUP('Données projet'!$B$13,'Paramètres'!$A$1:$I$89,7,0))</f>
        <v>0</v>
      </c>
      <c r="DE74" s="135">
        <f>IF(ISNA(VLOOKUP(A74,'Données projet'!$A$139:$I$159,7,0)),0%,VLOOKUP(A74,'Données projet'!$A$139:$I$159,7,0))</f>
        <v>0</v>
      </c>
      <c r="DF74" s="142">
        <f>EXP(-LN(2)/35)*DF73+(1-EXP(-LN(2)/35))/(LN(2)/35)*DB74*DC74*VLOOKUP('Données projet'!$B$13,'Paramètres'!$A$1:$I$89,3,0)*0.475*44/12</f>
        <v>9.842821091</v>
      </c>
      <c r="DG74" s="142">
        <f>EXP(-LN(2)/25)*DG73+(1-EXP(-LN(2)/25))/(LN(2)/25)*Calculateur!DB74*Calculateur!DD74*VLOOKUP('Données projet'!$B$13,'Paramètres'!$A$1:$I$89,3,0)*0.475*44/12</f>
        <v>0</v>
      </c>
      <c r="DH74" s="142">
        <f>EXP(-LN(2)/2)*DH73+(1-EXP(-LN(2)/2))/(LN(2)/2)*DB74*DE74*VLOOKUP('Données projet'!$B$13,'Paramètres'!$A$1:$I$89,3,0)*0.475*44/12</f>
        <v>0</v>
      </c>
      <c r="DI74" s="143">
        <f t="shared" si="16"/>
        <v>9.842821091</v>
      </c>
      <c r="DJ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1" t="str">
        <f>VLOOKUP(A74,'Données projet'!$A$165:$I$185,2,0)</f>
        <v>#N/A</v>
      </c>
      <c r="DM74" s="131" t="str">
        <f>VLOOKUP(A74,'Données projet'!$A$165:$I$185,9,0)</f>
        <v>#N/A</v>
      </c>
      <c r="DN74" s="131">
        <f t="array" ref="DN74">INDEX(DM:DM,MIN(IF(ISNUMBER(DM74:DM270),ROW(DM74:DM270),"")))</f>
        <v>6.2</v>
      </c>
      <c r="DO74" s="138">
        <f>IF('Données projet'!$A$166&gt;35,DO73+DN74-DW73,IF(A74&lt;'Données projet'!$A$166,$DL$205^A74,IF(A74='Données projet'!$A$166,'Données projet'!$B$166,DO73+DN74-DW73)))</f>
        <v>227.2</v>
      </c>
      <c r="DP74" s="138">
        <f>DO74*VLOOKUP('Données projet'!$B$14,'Paramètres'!$A$1:$I$89,3,0)*VLOOKUP('Données projet'!$B$14,'Paramètres'!$A$1:$I$89,5,0)</f>
        <v>205.57056</v>
      </c>
      <c r="DQ74" s="130">
        <f t="shared" si="44"/>
        <v>50.96644395</v>
      </c>
      <c r="DR74" s="141">
        <f t="shared" si="17"/>
        <v>446.8019485</v>
      </c>
      <c r="DS74" s="133">
        <f t="shared" si="18"/>
        <v>740.1352819</v>
      </c>
      <c r="DT74" s="133">
        <f>AVERAGE(OFFSET($DS$3,0,0,'Données projet'!$E$14+1,1))-AVERAGE(OFFSET($H$3,0,0,'Données projet'!$E$14+1,1))</f>
        <v>287.9334714</v>
      </c>
      <c r="DU74" s="133">
        <f t="shared" si="45"/>
        <v>156.6796502</v>
      </c>
      <c r="DV74" s="134">
        <f>IF(ISNA(VLOOKUP(A74,'Données projet'!$A$165:$I$185,3,0)),0,VLOOKUP(A74,'Données projet'!$A$165:$I$185,3,0))</f>
        <v>0</v>
      </c>
      <c r="DW74" s="134">
        <f>IF(ISNA(VLOOKUP(A74,'Données projet'!$A$165:$I$185,4,0)),0,VLOOKUP(A74,'Données projet'!$A$165:$I$185,4,0))</f>
        <v>0</v>
      </c>
      <c r="DX74" s="135">
        <f>IF(ISNA(VLOOKUP(A74,'Données projet'!$A$165:$I$185,5,0)),0%,VLOOKUP(A74,'Données projet'!$A$165:$I$185,5,0)*VLOOKUP('Données projet'!$B$14,'Paramètres'!$A$1:$I$89,7,0))</f>
        <v>0</v>
      </c>
      <c r="DY74" s="135">
        <f>IF(ISNA(VLOOKUP(A74,'Données projet'!$A$165:$I$185,6,0)),0%,VLOOKUP(A74,'Données projet'!$A$165:$I$185,6,0)*VLOOKUP('Données projet'!$B$14,'Paramètres'!$A$1:$I$89,7,0))</f>
        <v>0</v>
      </c>
      <c r="DZ74" s="135">
        <f>IF(ISNA(VLOOKUP(A74,'Données projet'!$A$165:$I$185,7,0)),0%,VLOOKUP(A74,'Données projet'!$A$165:$I$185,7,0))</f>
        <v>0</v>
      </c>
      <c r="EA74" s="142">
        <f>EXP(-LN(2)/35)*EA73+(1-EXP(-LN(2)/35))/(LN(2)/35)*DW74*DX74*VLOOKUP('Données projet'!$B$14,'Paramètres'!$A$1:$I$89,3,0)*0.475*44/12</f>
        <v>16.35969854</v>
      </c>
      <c r="EB74" s="142">
        <f>EXP(-LN(2)/25)*EB73+(1-EXP(-LN(2)/25))/(LN(2)/25)*Calculateur!DW74*Calculateur!DY74*VLOOKUP('Données projet'!$B$14,'Paramètres'!$A$1:$I$89,3,0)*0.475*44/12</f>
        <v>0</v>
      </c>
      <c r="EC74" s="142">
        <f>EXP(-LN(2)/2)*EC73+(1-EXP(-LN(2)/2))/(LN(2)/2)*DW74*DZ74*VLOOKUP('Données projet'!$B$14,'Paramètres'!$A$1:$I$89,3,0)*0.475*44/12</f>
        <v>0</v>
      </c>
      <c r="ED74" s="143">
        <f t="shared" si="19"/>
        <v>16.35969854</v>
      </c>
      <c r="EE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1" t="str">
        <f>VLOOKUP(A74,'Données projet'!$A$191:$I$211,2,0)</f>
        <v>#N/A</v>
      </c>
      <c r="EH74" s="131" t="str">
        <f>VLOOKUP(A74,'Données projet'!$A$191:$I$211,9,0)</f>
        <v>#N/A</v>
      </c>
      <c r="EI74" s="131">
        <f t="array" ref="EI74">INDEX(EH:EH,MIN(IF(ISNUMBER(EH74:EH270),ROW(EH74:EH270),"")))</f>
        <v>7.6</v>
      </c>
      <c r="EJ74" s="138">
        <f>IF('Données projet'!$A$192&gt;35,EJ73+EI74-ER73,IF(A74&lt;'Données projet'!$A$192,$EG$205^A74,IF(A74='Données projet'!$A$192,'Données projet'!$B$192,EJ73+EI74-ER73)))</f>
        <v>223.6</v>
      </c>
      <c r="EK74" s="138">
        <f>EJ74*VLOOKUP('Données projet'!$B$15,'Paramètres'!$A$1:$I$89,3,0)*VLOOKUP('Données projet'!$B$15,'Paramètres'!$A$1:$I$89,5,0)</f>
        <v>163.94352</v>
      </c>
      <c r="EL74" s="130">
        <f t="shared" si="46"/>
        <v>41.73072299</v>
      </c>
      <c r="EM74" s="141">
        <f t="shared" si="20"/>
        <v>358.2159732</v>
      </c>
      <c r="EN74" s="133">
        <f t="shared" si="21"/>
        <v>651.5493065</v>
      </c>
      <c r="EO74" s="133">
        <f>AVERAGE(OFFSET($EN$3,0,0,'Données projet'!$E$15+1,1))-AVERAGE(OFFSET($H$3,0,0,'Données projet'!$E$15+1,1))</f>
        <v>130.3193339</v>
      </c>
      <c r="EP74" s="133">
        <f t="shared" si="47"/>
        <v>82.22784365</v>
      </c>
      <c r="EQ74" s="134">
        <f>IF(ISNA(VLOOKUP(A74,'Données projet'!$A$191:$I$211,3,0)),0,VLOOKUP(A74,'Données projet'!$A$191:$I$211,3,0))</f>
        <v>0</v>
      </c>
      <c r="ER74" s="134">
        <f>IF(ISNA(VLOOKUP(A74,'Données projet'!$A$191:$I$211,4,0)),0,VLOOKUP(A74,'Données projet'!$A$191:$I$211,4,0))</f>
        <v>0</v>
      </c>
      <c r="ES74" s="135">
        <f>IF(ISNA(VLOOKUP(A74,'Données projet'!$A$191:$I$211,5,0)),0%,VLOOKUP(A74,'Données projet'!$A$191:$I$211,5,0)*VLOOKUP('Données projet'!$B$15,'Paramètres'!$A$1:$I$89,7,0))</f>
        <v>0</v>
      </c>
      <c r="ET74" s="135">
        <f>IF(ISNA(VLOOKUP(A74,'Données projet'!$A$191:$I$211,6,0)),0%,VLOOKUP(A74,'Données projet'!$A$191:$I$211,6,0)*VLOOKUP('Données projet'!$B$15,'Paramètres'!$A$1:$I$89,7,0))</f>
        <v>0</v>
      </c>
      <c r="EU74" s="135">
        <f>IF(ISNA(VLOOKUP(A74,'Données projet'!$A$191:$I$211,7,0)),0%,VLOOKUP(A74,'Données projet'!$A$191:$I$211,7,0))</f>
        <v>0</v>
      </c>
      <c r="EV74" s="142">
        <f>EXP(-LN(2)/35)*EV73+(1-EXP(-LN(2)/35))/(LN(2)/35)*ER74*ES74*VLOOKUP('Données projet'!$B$15,'Paramètres'!$A$1:$I$89,3,0)*0.475*44/12</f>
        <v>19.43131417</v>
      </c>
      <c r="EW74" s="142">
        <f>EXP(-LN(2)/25)*EW73+(1-EXP(-LN(2)/25))/(LN(2)/25)*Calculateur!ER74*Calculateur!ET74*VLOOKUP('Données projet'!$B$15,'Paramètres'!$A$1:$I$89,3,0)*0.475*44/12</f>
        <v>0</v>
      </c>
      <c r="EX74" s="142">
        <f>EXP(-LN(2)/2)*EX73+(1-EXP(-LN(2)/2))/(LN(2)/2)*ER74*EU74*VLOOKUP('Données projet'!$B$15,'Paramètres'!$A$1:$I$89,3,0)*0.475*44/12</f>
        <v>0</v>
      </c>
      <c r="EY74" s="143">
        <f t="shared" si="22"/>
        <v>19.43131417</v>
      </c>
      <c r="EZ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1" t="str">
        <f>VLOOKUP(A74,'Données projet'!$A$217:$I$237,2,0)</f>
        <v>#N/A</v>
      </c>
      <c r="FC74" s="131" t="str">
        <f>VLOOKUP(A74,'Données projet'!$A$217:$I$237,9,0)</f>
        <v>#N/A</v>
      </c>
      <c r="FD74" s="131" t="str">
        <f t="array" ref="FD74">INDEX(FC:FC,MIN(IF(ISNUMBER(FC74:FC270),ROW(FC74:FC270),"")))</f>
        <v/>
      </c>
      <c r="FE74" s="130">
        <f>IF('Données projet'!$A$218&gt;35,FE73+FD74-FM73,IF(A74&lt;'Données projet'!$A$218,$FB$205^A74,IF(A74='Données projet'!$A$218,'Données projet'!$B$218,FE73+FD74-FM73)))</f>
        <v>0</v>
      </c>
      <c r="FF74" s="138">
        <f>FE74*VLOOKUP('Données projet'!$B$16,'Paramètres'!$A$1:$I$89,3,0)*VLOOKUP('Données projet'!$B$16,'Paramètres'!$A$1:$I$89,5,0)</f>
        <v>0</v>
      </c>
      <c r="FG74" s="130">
        <f t="shared" si="48"/>
        <v>0</v>
      </c>
      <c r="FH74" s="141">
        <f t="shared" si="23"/>
        <v>0</v>
      </c>
      <c r="FI74" s="133">
        <f t="shared" si="24"/>
        <v>293.3333333</v>
      </c>
      <c r="FJ74" s="133">
        <f>AVERAGE(OFFSET($FI$3,0,0,'Données projet'!$E$16+1,1))-AVERAGE(OFFSET($H$3,0,0,'Données projet'!$E$16+1,1))</f>
        <v>305.6252353</v>
      </c>
      <c r="FK74" s="133">
        <f t="shared" si="49"/>
        <v>331.397916</v>
      </c>
      <c r="FL74" s="134">
        <f>IF(ISNA(VLOOKUP(A74,'Données projet'!$A$217:$I$237,3,0)),0,VLOOKUP(A74,'Données projet'!$A$217:$I$237,3,0))</f>
        <v>0</v>
      </c>
      <c r="FM74" s="134">
        <f>IF(ISNA(VLOOKUP(A74,'Données projet'!$A$217:$I$237,4,0)),0,VLOOKUP(A74,'Données projet'!$A$217:$I$237,4,0))</f>
        <v>0</v>
      </c>
      <c r="FN74" s="135">
        <f>IF(ISNA(VLOOKUP(A74,'Données projet'!$A$217:$I$237,5,0)),0%,VLOOKUP(A74,'Données projet'!$A$217:$I$237,5,0)*VLOOKUP('Données projet'!$B$16,'Paramètres'!$A$1:$I$89,7,0))</f>
        <v>0</v>
      </c>
      <c r="FO74" s="135">
        <f>IF(ISNA(VLOOKUP(A74,'Données projet'!$A$217:$I$237,6,0)),0%,VLOOKUP(A74,'Données projet'!$A$217:$I$237,6,0)*VLOOKUP('Données projet'!$B$16,'Paramètres'!$A$1:$I$89,7,0))</f>
        <v>0</v>
      </c>
      <c r="FP74" s="135">
        <f>IF(ISNA(VLOOKUP(A74,'Données projet'!$A$217:$I$237,7,0)),0%,VLOOKUP(A74,'Données projet'!$A$217:$I$237,7,0))</f>
        <v>0</v>
      </c>
      <c r="FQ74" s="142">
        <f>EXP(-LN(2)/35)*FQ73+(1-EXP(-LN(2)/35))/(LN(2)/35)*FM74*FN74*VLOOKUP('Données projet'!$B$16,'Paramètres'!$A$1:$I$89,3,0)*0.475*44/12</f>
        <v>79.06524988</v>
      </c>
      <c r="FR74" s="142">
        <f>EXP(-LN(2)/25)*FR73+(1-EXP(-LN(2)/25))/(LN(2)/25)*Calculateur!FM74*Calculateur!FO74*VLOOKUP('Données projet'!$B$16,'Paramètres'!$A$1:$I$89,3,0)*0.475*44/12</f>
        <v>0</v>
      </c>
      <c r="FS74" s="142">
        <f>EXP(-LN(2)/2)*FS73+(1-EXP(-LN(2)/2))/(LN(2)/2)*FM74*FP74*VLOOKUP('Données projet'!$B$16,'Paramètres'!$A$1:$I$89,3,0)*0.475*44/12</f>
        <v>0</v>
      </c>
      <c r="FT74" s="143">
        <f t="shared" si="25"/>
        <v>79.06524988</v>
      </c>
      <c r="FU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1" t="str">
        <f>VLOOKUP(A74,'Données projet'!$A$243:$I$263,2,0)</f>
        <v>#N/A</v>
      </c>
      <c r="FX74" s="131" t="str">
        <f>VLOOKUP(A74,'Données projet'!$A$243:$I$263,9,0)</f>
        <v>#N/A</v>
      </c>
      <c r="FY74" s="131" t="str">
        <f t="array" ref="FY74">INDEX(FX:FX,MIN(IF(ISNUMBER(FX74:FX270),ROW(FX74:FX270),"")))</f>
        <v/>
      </c>
      <c r="FZ74" s="138">
        <f>IF('Données projet'!$A$244&gt;35,FZ73+FY74-GH73,IF(A74&lt;'Données projet'!$A$244,$FW$205^A74,IF(A74='Données projet'!$A$244,'Données projet'!$B$244,FZ73+FY74-GH73)))</f>
        <v>0</v>
      </c>
      <c r="GA74" s="138">
        <f>FZ74*VLOOKUP('Données projet'!$B$17,'Paramètres'!$A$1:$I$89,3,0)*VLOOKUP('Données projet'!$B$17,'Paramètres'!$A$1:$I$89,5,0)</f>
        <v>0</v>
      </c>
      <c r="GB74" s="130">
        <f t="shared" si="50"/>
        <v>0</v>
      </c>
      <c r="GC74" s="141">
        <f t="shared" si="26"/>
        <v>0</v>
      </c>
      <c r="GD74" s="133">
        <f t="shared" si="27"/>
        <v>293.3333333</v>
      </c>
      <c r="GE74" s="133">
        <f>AVERAGE(OFFSET($GD$3,0,0,'Données projet'!$E$17+1,1))-AVERAGE(OFFSET($H$3,0,0,'Données projet'!$E$17+1,1))</f>
        <v>118.7368745</v>
      </c>
      <c r="GF74" s="133">
        <f t="shared" si="51"/>
        <v>135.1233677</v>
      </c>
      <c r="GG74" s="134">
        <f>IF(ISNA(VLOOKUP(A74,'Données projet'!$A$243:$I$263,3,0)),0,VLOOKUP(A74,'Données projet'!$A$243:$I$263,3,0))</f>
        <v>0</v>
      </c>
      <c r="GH74" s="134">
        <f>IF(ISNA(VLOOKUP(A74,'Données projet'!$A$243:$I$263,4,0)),0,VLOOKUP(A74,'Données projet'!$A$243:$I$263,4,0))</f>
        <v>0</v>
      </c>
      <c r="GI74" s="135">
        <f>IF(ISNA(VLOOKUP(A74,'Données projet'!$A$243:$I$263,5,0)),0%,VLOOKUP(A74,'Données projet'!$A$243:$I$263,5,0)*VLOOKUP('Données projet'!$B$17,'Paramètres'!$A$1:$I$89,7,0))</f>
        <v>0</v>
      </c>
      <c r="GJ74" s="135">
        <f>IF(ISNA(VLOOKUP(A74,'Données projet'!$A$243:$I$263,6,0)),0%,VLOOKUP(A74,'Données projet'!$A$243:$I$263,6,0)*VLOOKUP('Données projet'!$B$17,'Paramètres'!$A$1:$I$89,7,0))</f>
        <v>0</v>
      </c>
      <c r="GK74" s="135">
        <f>IF(ISNA(VLOOKUP(A74,'Données projet'!$A$243:$I$263,7,0)),0%,VLOOKUP(A74,'Données projet'!$A$243:$I$263,7,0))</f>
        <v>0</v>
      </c>
      <c r="GL74" s="142">
        <f>EXP(-LN(2)/35)*GL73+(1-EXP(-LN(2)/35))/(LN(2)/35)*GH74*GI74*VLOOKUP('Données projet'!$B$17,'Paramètres'!$A$1:$I$89,3,0)*0.475*44/12</f>
        <v>83.53219198</v>
      </c>
      <c r="GM74" s="142">
        <f>EXP(-LN(2)/25)*GM73+(1-EXP(-LN(2)/25))/(LN(2)/25)*Calculateur!GH74*Calculateur!GJ74*VLOOKUP('Données projet'!$B$17,'Paramètres'!$A$1:$I$89,3,0)*0.475*44/12</f>
        <v>0</v>
      </c>
      <c r="GN74" s="142">
        <f>EXP(-LN(2)/2)*GN73+(1-EXP(-LN(2)/2))/(LN(2)/2)*GH74*GK74*VLOOKUP('Données projet'!$B$17,'Paramètres'!$A$1:$I$89,3,0)*0.475*44/12</f>
        <v>0</v>
      </c>
      <c r="GO74" s="142">
        <f t="shared" si="28"/>
        <v>83.53219198</v>
      </c>
      <c r="GP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1" t="str">
        <f>VLOOKUP(A74,'Données projet'!$A$269:$I$289,2,0)</f>
        <v>#N/A</v>
      </c>
      <c r="GS74" s="131" t="str">
        <f>VLOOKUP(A74,'Données projet'!$A$269:$I$289,9,0)</f>
        <v>#N/A</v>
      </c>
      <c r="GT74" s="131" t="str">
        <f t="array" ref="GT74">INDEX(GS:GS,MIN(IF(ISNUMBER(GS74:GS270),ROW(GS74:GS270),"")))</f>
        <v/>
      </c>
      <c r="GU74" s="138">
        <f>IF('Données projet'!$A$270&gt;35,GU73+GT74-HC73,IF(A74&lt;'Données projet'!$A$270,$GR$205^A74,IF(A74='Données projet'!$A$270,'Données projet'!$B$270,GU73+GT74-HC73)))</f>
        <v>0</v>
      </c>
      <c r="GV74" s="138">
        <f>GU74*VLOOKUP('Données projet'!$B$18,'Paramètres'!$A$1:$I$89,3,0)*VLOOKUP('Données projet'!$B$18,'Paramètres'!$A$1:$I$89,5,0)</f>
        <v>0</v>
      </c>
      <c r="GW74" s="130" t="str">
        <f t="shared" si="52"/>
        <v>#NUM!</v>
      </c>
      <c r="GX74" s="141" t="str">
        <f t="shared" si="29"/>
        <v>#NUM!</v>
      </c>
      <c r="GY74" s="133" t="str">
        <f t="shared" si="30"/>
        <v>#NUM!</v>
      </c>
      <c r="GZ74" s="133">
        <f>AVERAGE(OFFSET($GY$3,0,0,'Données projet'!$E$18+1,1))-AVERAGE(OFFSET($H$3,0,0,'Données projet'!$E$18+1,1))</f>
        <v>100.5427875</v>
      </c>
      <c r="HA74" s="133">
        <f t="shared" si="53"/>
        <v>92.28663609</v>
      </c>
      <c r="HB74" s="134">
        <f>IF(ISNA(VLOOKUP(A74,'Données projet'!$A$269:$I$289,3,0)),0,VLOOKUP(A74,'Données projet'!$A$269:$I$289,3,0))</f>
        <v>0</v>
      </c>
      <c r="HC74" s="134">
        <f>IF(ISNA(VLOOKUP(A74,'Données projet'!$A$269:$I$289,4,0)),0,VLOOKUP(A74,'Données projet'!$A$269:$I$289,4,0))</f>
        <v>0</v>
      </c>
      <c r="HD74" s="135">
        <f>IF(ISNA(VLOOKUP(A74,'Données projet'!$A$269:$I$289,5,0)),0%,VLOOKUP(A74,'Données projet'!$A$269:$I$289,5,0)*VLOOKUP('Données projet'!$B$18,'Paramètres'!$A$1:$I$89,7,0))</f>
        <v>0</v>
      </c>
      <c r="HE74" s="135">
        <f>IF(ISNA(VLOOKUP(A74,'Données projet'!$A$269:$I$289,6,0)),0%,VLOOKUP(A74,'Données projet'!$A$269:$I$289,6,0)*VLOOKUP('Données projet'!$B$18,'Paramètres'!$A$1:$I$89,7,0))</f>
        <v>0</v>
      </c>
      <c r="HF74" s="135">
        <f>IF(ISNA(VLOOKUP(A74,'Données projet'!$A$269:$I$289,7,0)),0%,VLOOKUP(A74,'Données projet'!$A$269:$I$289,7,0))</f>
        <v>0</v>
      </c>
      <c r="HG74" s="142">
        <f>EXP(-LN(2)/35)*HG73+(1-EXP(-LN(2)/35))/(LN(2)/35)*HC74*HD74*VLOOKUP('Données projet'!$B$18,'Paramètres'!$A$1:$I$89,3,0)*0.475*44/12</f>
        <v>56.88366054</v>
      </c>
      <c r="HH74" s="142">
        <f>EXP(-LN(2)/25)*HH73+(1-EXP(-LN(2)/25))/(LN(2)/25)*Calculateur!HC74*Calculateur!HE74*VLOOKUP('Données projet'!$B$18,'Paramètres'!$A$1:$I$89,3,0)*0.475*44/12</f>
        <v>0</v>
      </c>
      <c r="HI74" s="142">
        <f>EXP(-LN(2)/2)*HI73+(1-EXP(-LN(2)/2))/(LN(2)/2)*HC74*HF74*VLOOKUP('Données projet'!$B$18,'Paramètres'!$A$1:$I$89,3,0)*0.475*44/12</f>
        <v>0</v>
      </c>
      <c r="HJ74" s="143">
        <f t="shared" si="31"/>
        <v>56.88366054</v>
      </c>
    </row>
    <row r="75" ht="15.75" customHeight="1">
      <c r="A75" s="125">
        <f t="shared" si="32"/>
        <v>72</v>
      </c>
      <c r="B75" s="126">
        <f>'Scénario référence'!$B$16*5+'Scénario référence'!$B$17*0+'Scénario référence'!$B$18*5</f>
        <v>0</v>
      </c>
      <c r="C75" s="140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39.312</v>
      </c>
      <c r="D75" s="127">
        <f t="shared" si="33"/>
        <v>11.81610871</v>
      </c>
      <c r="E7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7">
        <f>IF(OR('Scénario référence'!$F$8&gt;0,'Scénario référence'!$F$9&gt;0),('Scénario référence'!$F$8+'Scénario référence'!$F$9)*10,0)</f>
        <v>10</v>
      </c>
      <c r="G75" s="127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</v>
      </c>
      <c r="H75" s="128">
        <f t="shared" si="1"/>
        <v>382.381456</v>
      </c>
      <c r="I75" s="12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1" t="str">
        <f>VLOOKUP(A75,'Données projet'!$A$35:$I$55,2,0)</f>
        <v>#N/A</v>
      </c>
      <c r="L75" s="131" t="str">
        <f>VLOOKUP(A75,'Données projet'!$A$35:$I$55,9,0)</f>
        <v>#N/A</v>
      </c>
      <c r="M75" s="131" t="str">
        <f t="array" ref="M75">INDEX(L:L,MIN(IF(ISNUMBER(L75:L271),ROW(L75:L271),"")))</f>
        <v/>
      </c>
      <c r="N75" s="130">
        <f>IF('Données projet'!$A$36&gt;35,N74+M75-V74,IF(A75&lt;'Données projet'!$A$36,$K$205^A75,IF(A75='Données projet'!$A$36,'Données projet'!$B$36,N74+M75-V74)))</f>
        <v>0</v>
      </c>
      <c r="O75" s="130">
        <f>N75*VLOOKUP('Données projet'!$B$9,'Paramètres'!$A$1:$I$89,3,0)*VLOOKUP('Données projet'!$B$9,'Paramètres'!$A$1:$I$89,5,0)</f>
        <v>0</v>
      </c>
      <c r="P75" s="130">
        <f t="shared" si="34"/>
        <v>0</v>
      </c>
      <c r="Q75" s="141">
        <f t="shared" si="2"/>
        <v>0</v>
      </c>
      <c r="R75" s="133">
        <f t="shared" si="3"/>
        <v>293.3333333</v>
      </c>
      <c r="S75" s="133">
        <f>AVERAGE(OFFSET($R$3,0,0,'Données projet'!$E$9+1,1))-AVERAGE(OFFSET($H$3,0,0,'Données projet'!$E$9+1,1))</f>
        <v>126.9946492</v>
      </c>
      <c r="T75" s="133">
        <f t="shared" si="35"/>
        <v>140.039049</v>
      </c>
      <c r="U75" s="134">
        <f>IF(ISNA(VLOOKUP(A75,'Données projet'!$A$35:$I$55,3,0)),0,VLOOKUP(A75,'Données projet'!$A$35:$I$55,3,0))</f>
        <v>0</v>
      </c>
      <c r="V75" s="134">
        <f>IF(ISNA(VLOOKUP(A75,'Données projet'!$A$35:$I$55,4,0)),0,VLOOKUP(A75,'Données projet'!$A$35:$I$55,4,0))</f>
        <v>0</v>
      </c>
      <c r="W75" s="135">
        <f>IF(ISNA(VLOOKUP(A75,'Données projet'!$A$35:$I$55,5,0)),0%,VLOOKUP(A75,'Données projet'!$A$35:$I$55,5,0)*VLOOKUP('Données projet'!$B$9,'Paramètres'!$A$1:$I$89,7,0))</f>
        <v>0</v>
      </c>
      <c r="X75" s="135">
        <f>IF(ISNA(VLOOKUP(A75,'Données projet'!$A$35:$I$55,6,0)),0%,VLOOKUP(A75,'Données projet'!$A$35:$I$55,6,0)*VLOOKUP('Données projet'!$B$9,'Paramètres'!$A$1:$I$89,7,0))</f>
        <v>0</v>
      </c>
      <c r="Y75" s="135">
        <f>IF(ISNA(VLOOKUP(A75,'Données projet'!$A$35:$I$55,7,0)),0%,VLOOKUP(A75,'Données projet'!$A$35:$I$55,7,0))</f>
        <v>0</v>
      </c>
      <c r="Z75" s="142">
        <f>EXP(-LN(2)/35)*Z74+(1-EXP(-LN(2)/35))/(LN(2)/35)*V75*W75*VLOOKUP('Données projet'!$B$9,'Paramètres'!$A$1:$I$89,3,0)*0.475*44/12</f>
        <v>83.75951278</v>
      </c>
      <c r="AA75" s="142">
        <f>EXP(-LN(2)/25)*AA74+(1-EXP(-LN(2)/25))/(LN(2)/25)*Calculateur!V75*Calculateur!X75*VLOOKUP('Données projet'!$B$9,'Paramètres'!$A$1:$I$89,3,0)*0.475*44/12</f>
        <v>16.66159019</v>
      </c>
      <c r="AB75" s="142">
        <f>EXP(-LN(2)/2)*AB74+(1-EXP(-LN(2)/2))/(LN(2)/2)*V75*Y75*VLOOKUP('Données projet'!$B$9,'Paramètres'!$A$1:$I$89,3,0)*0.475*44/12</f>
        <v>0.2967089252</v>
      </c>
      <c r="AC75" s="143">
        <f t="shared" si="4"/>
        <v>100.7178119</v>
      </c>
      <c r="AD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1" t="str">
        <f>VLOOKUP(A75,'Données projet'!$A$61:$I$81,2,0)</f>
        <v>#N/A</v>
      </c>
      <c r="AG75" s="131" t="str">
        <f>VLOOKUP(A75,'Données projet'!$A$61:$I$81,9,0)</f>
        <v>#N/A</v>
      </c>
      <c r="AH75" s="131" t="str">
        <f t="array" ref="AH75">INDEX(AG:AG,MIN(IF(ISNUMBER(AG75:AG271),ROW(AG75:AG271),"")))</f>
        <v/>
      </c>
      <c r="AI75" s="130">
        <f>IF('Données projet'!$A$62&gt;35,AI74+AH75-AQ74,IF(A75&lt;'Données projet'!$A$62,$AF$205^A75,IF(A75='Données projet'!$A$62,'Données projet'!$B$62,AI74+AH75-AQ74)))</f>
        <v>0</v>
      </c>
      <c r="AJ75" s="130">
        <f>AI75*VLOOKUP('Données projet'!$B$10,'Paramètres'!$A$1:$I$89,3,0)*VLOOKUP('Données projet'!$B$10,'Paramètres'!$A$1:$I$89,5,0)</f>
        <v>0</v>
      </c>
      <c r="AK75" s="130" t="str">
        <f t="shared" si="36"/>
        <v>#NUM!</v>
      </c>
      <c r="AL75" s="141" t="str">
        <f t="shared" si="5"/>
        <v>#NUM!</v>
      </c>
      <c r="AM75" s="133" t="str">
        <f t="shared" si="6"/>
        <v>#NUM!</v>
      </c>
      <c r="AN75" s="133">
        <f>AVERAGE(OFFSET($AM$3,0,0,'Données projet'!$E$10+1,1))-AVERAGE(OFFSET($H$3,0,0,'Données projet'!$E$10+1,1))</f>
        <v>196.874484</v>
      </c>
      <c r="AO75" s="133">
        <f t="shared" si="37"/>
        <v>217.5750859</v>
      </c>
      <c r="AP75" s="134">
        <f>IF(ISNA(VLOOKUP(A75,'Données projet'!$A$61:$I$81,3,0)),0,VLOOKUP(A75,'Données projet'!$A$61:$I$81,3,0))</f>
        <v>0</v>
      </c>
      <c r="AQ75" s="134">
        <f>IF(ISNA(VLOOKUP(A75,'Données projet'!$A$61:$I$81,4,0)),0,VLOOKUP(A75,'Données projet'!$A$61:$I$81,4,0))</f>
        <v>0</v>
      </c>
      <c r="AR75" s="135">
        <f>IF(ISNA(VLOOKUP(A75,'Données projet'!$A$61:$I$81,5,0)),0%,VLOOKUP(A75,'Données projet'!$A$61:$I$81,5,0)*VLOOKUP('Données projet'!$B$10,'Paramètres'!$A$1:$I$89,7,0))</f>
        <v>0</v>
      </c>
      <c r="AS75" s="135">
        <f>IF(ISNA(VLOOKUP(A75,'Données projet'!$A$61:$I$81,6,0)),0%,VLOOKUP(A75,'Données projet'!$A$61:$I$81,6,0)*VLOOKUP('Données projet'!$B$10,'Paramètres'!$A$1:$I$89,7,0))</f>
        <v>0</v>
      </c>
      <c r="AT75" s="135">
        <f>IF(ISNA(VLOOKUP(A75,'Données projet'!$A$61:$I$81,7,0)),0%,VLOOKUP(A75,'Données projet'!$A$61:$I$81,7,0))</f>
        <v>0</v>
      </c>
      <c r="AU75" s="142">
        <f>EXP(-LN(2)/35)*AU74+(1-EXP(-LN(2)/35))/(LN(2)/35)*AQ75*AR75*VLOOKUP('Données projet'!$B$10,'Paramètres'!$A$1:$I$89,3,0)*0.475*44/12</f>
        <v>116.4233437</v>
      </c>
      <c r="AV75" s="142">
        <f>EXP(-LN(2)/25)*AV74+(1-EXP(-LN(2)/25))/(LN(2)/25)*Calculateur!AQ75*Calculateur!AS75*VLOOKUP('Données projet'!$B$10,'Paramètres'!$A$1:$I$89,3,0)*0.475*44/12</f>
        <v>25.61721718</v>
      </c>
      <c r="AW75" s="142">
        <f>EXP(-LN(2)/2)*AW74+(1-EXP(-LN(2)/2))/(LN(2)/2)*AQ75*AT75*VLOOKUP('Données projet'!$B$10,'Paramètres'!$A$1:$I$89,3,0)*0.475*44/12</f>
        <v>0.4136745378</v>
      </c>
      <c r="AX75" s="142">
        <f t="shared" si="7"/>
        <v>142.4542354</v>
      </c>
      <c r="AY75" s="13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1" t="str">
        <f>VLOOKUP(A75,'Données projet'!$A$87:$I$107,2,0)</f>
        <v>#N/A</v>
      </c>
      <c r="BB75" s="131" t="str">
        <f>VLOOKUP(A75,'Données projet'!$A$87:$I$107,9,0)</f>
        <v>#N/A</v>
      </c>
      <c r="BC75" s="131" t="str">
        <f t="array" ref="BC75">INDEX(BB:BB,MIN(IF(ISNUMBER(BB75:BB271),ROW(BB75:BB271),"")))</f>
        <v/>
      </c>
      <c r="BD75" s="130">
        <f>IF('Données projet'!$A$88&gt;35,BD74+BC75-BL74,IF(A75&lt;'Données projet'!$A$88,$BA$205^A75,IF(A75='Données projet'!$A$88,'Données projet'!$B$88,BD74+BC75-BL74)))</f>
        <v>0</v>
      </c>
      <c r="BE75" s="130">
        <f>BD75*VLOOKUP('Données projet'!$B$11,'Paramètres'!$A$1:$I$89,3,0)*VLOOKUP('Données projet'!$B$11,'Paramètres'!$A$1:$I$89,5,0)</f>
        <v>0</v>
      </c>
      <c r="BF75" s="130" t="str">
        <f t="shared" si="38"/>
        <v>#NUM!</v>
      </c>
      <c r="BG75" s="141" t="str">
        <f t="shared" si="8"/>
        <v>#NUM!</v>
      </c>
      <c r="BH75" s="133" t="str">
        <f t="shared" si="9"/>
        <v>#NUM!</v>
      </c>
      <c r="BI75" s="133">
        <f>AVERAGE(OFFSET($BH$3,0,0,'Données projet'!$E$11+1,1))-AVERAGE(OFFSET($H$3,0,0,'Données projet'!$E$11+1,1))</f>
        <v>134.0948534</v>
      </c>
      <c r="BJ75" s="133">
        <f t="shared" si="39"/>
        <v>108.4102536</v>
      </c>
      <c r="BK75" s="134">
        <f>IF(ISNA(VLOOKUP(A75,'Données projet'!$A$87:$I$107,3,0)),0,VLOOKUP(A75,'Données projet'!$A$87:$I$107,3,0))</f>
        <v>0</v>
      </c>
      <c r="BL75" s="134">
        <f>IF(ISNA(VLOOKUP(A75,'Données projet'!$A$87:$I$107,4,0)),0,VLOOKUP(A75,'Données projet'!$A$87:$I$107,4,0))</f>
        <v>0</v>
      </c>
      <c r="BM75" s="135">
        <f>IF(ISNA(VLOOKUP(A75,'Données projet'!$A$87:$I$107,5,0)),0%,VLOOKUP(A75,'Données projet'!$A$87:$I$107,5,0)*VLOOKUP('Données projet'!$B$11,'Paramètres'!$A$1:$I$89,7,0))</f>
        <v>0</v>
      </c>
      <c r="BN75" s="135">
        <f>IF(ISNA(VLOOKUP(A75,'Données projet'!$A$87:$I$107,6,0)),0%,VLOOKUP(A75,'Données projet'!$A$87:$I$107,6,0)*VLOOKUP('Données projet'!$B$11,'Paramètres'!$A$1:$I$89,7,0))</f>
        <v>0</v>
      </c>
      <c r="BO75" s="135">
        <f>IF(ISNA(VLOOKUP(A75,'Données projet'!$A$87:$I$107,7,0)),0%,VLOOKUP(A75,'Données projet'!$A$87:$I$107,7,0))</f>
        <v>0</v>
      </c>
      <c r="BP75" s="142">
        <f>EXP(-LN(2)/35)*BP74+(1-EXP(-LN(2)/35))/(LN(2)/35)*BL75*BM75*VLOOKUP('Données projet'!$B$11,'Paramètres'!$A$1:$I$89,3,0)*0.475*44/12</f>
        <v>161.0352274</v>
      </c>
      <c r="BQ75" s="142">
        <f>EXP(-LN(2)/25)*BQ74+(1-EXP(-LN(2)/25))/(LN(2)/25)*Calculateur!BL75*Calculateur!BN75*VLOOKUP('Données projet'!$B$11,'Paramètres'!$A$1:$I$89,3,0)*0.475*44/12</f>
        <v>16.15936259</v>
      </c>
      <c r="BR75" s="142">
        <f>EXP(-LN(2)/2)*BR74+(1-EXP(-LN(2)/2))/(LN(2)/2)*BL75*BO75*VLOOKUP('Données projet'!$B$11,'Paramètres'!$A$1:$I$89,3,0)*0.475*44/12</f>
        <v>5.517824663</v>
      </c>
      <c r="BS75" s="143">
        <f t="shared" si="10"/>
        <v>182.7124146</v>
      </c>
      <c r="BT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1" t="str">
        <f>VLOOKUP(A75,'Données projet'!$A$113:$I$133,2,0)</f>
        <v>#N/A</v>
      </c>
      <c r="BW75" s="131" t="str">
        <f>VLOOKUP(A75,'Données projet'!$A$113:$I$133,9,0)</f>
        <v>#N/A</v>
      </c>
      <c r="BX75" s="131" t="str">
        <f t="array" ref="BX75">INDEX(BW:BW,MIN(IF(ISNUMBER(BW75:BW271),ROW(BW75:BW271),"")))</f>
        <v/>
      </c>
      <c r="BY75" s="130">
        <f>IF('Données projet'!$A$114&gt;35,BY74+BX75-CG74,IF(A75&lt;'Données projet'!$A$114,$BV$205^A75,IF(A75='Données projet'!$A$114,'Données projet'!$B$114,BY74+BX75-CG74)))</f>
        <v>0</v>
      </c>
      <c r="BZ75" s="130">
        <f>BY75*VLOOKUP('Données projet'!$B$12,'Paramètres'!$A$1:$I$89,3,0)*VLOOKUP('Données projet'!$B$12,'Paramètres'!$A$1:$I$89,5,0)</f>
        <v>0</v>
      </c>
      <c r="CA75" s="130" t="str">
        <f t="shared" si="40"/>
        <v>#NUM!</v>
      </c>
      <c r="CB75" s="141" t="str">
        <f t="shared" si="11"/>
        <v>#NUM!</v>
      </c>
      <c r="CC75" s="133" t="str">
        <f t="shared" si="12"/>
        <v>#NUM!</v>
      </c>
      <c r="CD75" s="133">
        <f>AVERAGE(OFFSET($CC$3,0,0,'Données projet'!$E$12+1,1))-AVERAGE(OFFSET($H$3,0,0,'Données projet'!$E$12+1,1))</f>
        <v>258.1672054</v>
      </c>
      <c r="CE75" s="133">
        <f t="shared" si="41"/>
        <v>296.0724261</v>
      </c>
      <c r="CF75" s="134">
        <f>IF(ISNA(VLOOKUP(A75,'Données projet'!$A$113:$I$133,3,0)),0,VLOOKUP(A75,'Données projet'!$A$113:$I$133,3,0))</f>
        <v>0</v>
      </c>
      <c r="CG75" s="134">
        <f>IF(ISNA(VLOOKUP(A75,'Données projet'!$A$113:$I$133,4,0)),0,VLOOKUP(A75,'Données projet'!$A$113:$I$133,4,0))</f>
        <v>0</v>
      </c>
      <c r="CH75" s="135">
        <f>IF(ISNA(VLOOKUP(A75,'Données projet'!$A$113:$I$133,5,0)),0%,VLOOKUP(A75,'Données projet'!$A$113:$I$133,5,0)*VLOOKUP('Données projet'!$B$12,'Paramètres'!$A$1:$I$89,7,0))</f>
        <v>0</v>
      </c>
      <c r="CI75" s="135">
        <f>IF(ISNA(VLOOKUP(A75,'Données projet'!$A$113:$I$133,6,0)),0%,VLOOKUP(A75,'Données projet'!$A$113:$I$133,6,0)*VLOOKUP('Données projet'!$B$12,'Paramètres'!$A$1:$I$89,7,0))</f>
        <v>0</v>
      </c>
      <c r="CJ75" s="135">
        <f>IF(ISNA(VLOOKUP(A75,'Données projet'!$A$113:$I$133,7,0)),0%,VLOOKUP(A75,'Données projet'!$A$113:$I$133,7,0))</f>
        <v>0</v>
      </c>
      <c r="CK75" s="142">
        <f>EXP(-LN(2)/35)*CK74+(1-EXP(-LN(2)/35))/(LN(2)/35)*CG75*CH75*VLOOKUP('Données projet'!$B$12,'Paramètres'!$A$1:$I$89,3,0)*0.475*44/12</f>
        <v>203.5977901</v>
      </c>
      <c r="CL75" s="142">
        <f>EXP(-LN(2)/25)*CL74+(1-EXP(-LN(2)/25))/(LN(2)/25)*Calculateur!CG75*Calculateur!CI75*VLOOKUP('Données projet'!$B$12,'Paramètres'!$A$1:$I$89,3,0)*0.475*44/12</f>
        <v>28.34443931</v>
      </c>
      <c r="CM75" s="142">
        <f>EXP(-LN(2)/2)*CM74+(1-EXP(-LN(2)/2))/(LN(2)/2)*CG75*CJ75*VLOOKUP('Données projet'!$B$12,'Paramètres'!$A$1:$I$89,3,0)*0.475*44/12</f>
        <v>0.2324594403</v>
      </c>
      <c r="CN75" s="143">
        <f t="shared" si="13"/>
        <v>232.1746888</v>
      </c>
      <c r="CO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1" t="str">
        <f>VLOOKUP(A75,'Données projet'!$A$139:$I$159,2,0)</f>
        <v>#N/A</v>
      </c>
      <c r="CR75" s="131" t="str">
        <f>VLOOKUP(A75,'Données projet'!$A$139:$I$159,9,0)</f>
        <v>#N/A</v>
      </c>
      <c r="CS75" s="130">
        <f t="array" ref="CS75">INDEX(CR:CR,MIN(IF(ISNUMBER(CR75:CR271),ROW(CR75:CR271),"")))</f>
        <v>5</v>
      </c>
      <c r="CT75" s="138">
        <f>IF('Données projet'!$A$140&gt;35,CT74+CS75-DB74,IF(A75&lt;'Données projet'!$A$140,$CQ$205^A75,IF(A75='Données projet'!$A$140,'Données projet'!$B$140,CT74+CS75-DB74)))</f>
        <v>168</v>
      </c>
      <c r="CU75" s="138">
        <f>CT75*VLOOKUP('Données projet'!$B$13,'Paramètres'!$A$1:$I$89,3,0)*VLOOKUP('Données projet'!$B$13,'Paramètres'!$A$1:$I$89,5,0)</f>
        <v>170.352</v>
      </c>
      <c r="CV75" s="130">
        <f t="shared" si="42"/>
        <v>43.16885038</v>
      </c>
      <c r="CW75" s="141">
        <f t="shared" si="14"/>
        <v>371.8821477</v>
      </c>
      <c r="CX75" s="133">
        <f t="shared" si="15"/>
        <v>665.2154811</v>
      </c>
      <c r="CY75" s="133">
        <f>AVERAGE(OFFSET($CX$3,0,0,'Données projet'!$E$13+1,1))-AVERAGE(OFFSET($H$3,0,0,'Données projet'!$E$13+1,1))</f>
        <v>223.783507</v>
      </c>
      <c r="CZ75" s="133">
        <f t="shared" si="43"/>
        <v>84.92349117</v>
      </c>
      <c r="DA75" s="134">
        <f>IF(ISNA(VLOOKUP(A75,'Données projet'!$A$139:$I$159,3,0)),0,VLOOKUP(A75,'Données projet'!$A$139:$I$159,3,0))</f>
        <v>0</v>
      </c>
      <c r="DB75" s="134">
        <f>IF(ISNA(VLOOKUP(A75,'Données projet'!$A$139:$I$159,4,0)),0,VLOOKUP(A75,'Données projet'!$A$139:$I$159,4,0))</f>
        <v>0</v>
      </c>
      <c r="DC75" s="135">
        <f>IF(ISNA(VLOOKUP(A75,'Données projet'!$A$139:$I$159,5,0)),0%,VLOOKUP(A75,'Données projet'!$A$139:$I$159,5,0)*VLOOKUP('Données projet'!$B$13,'Paramètres'!$A$1:$I$89,7,0))</f>
        <v>0</v>
      </c>
      <c r="DD75" s="135">
        <f>IF(ISNA(VLOOKUP(A75,'Données projet'!$A$139:$I$159,6,0)),0%,VLOOKUP(A75,'Données projet'!$A$139:$I$159,6,0)*VLOOKUP('Données projet'!$B$13,'Paramètres'!$A$1:$I$89,7,0))</f>
        <v>0</v>
      </c>
      <c r="DE75" s="135">
        <f>IF(ISNA(VLOOKUP(A75,'Données projet'!$A$139:$I$159,7,0)),0%,VLOOKUP(A75,'Données projet'!$A$139:$I$159,7,0))</f>
        <v>0</v>
      </c>
      <c r="DF75" s="142">
        <f>EXP(-LN(2)/35)*DF74+(1-EXP(-LN(2)/35))/(LN(2)/35)*DB75*DC75*VLOOKUP('Données projet'!$B$13,'Paramètres'!$A$1:$I$89,3,0)*0.475*44/12</f>
        <v>9.649809373</v>
      </c>
      <c r="DG75" s="142">
        <f>EXP(-LN(2)/25)*DG74+(1-EXP(-LN(2)/25))/(LN(2)/25)*Calculateur!DB75*Calculateur!DD75*VLOOKUP('Données projet'!$B$13,'Paramètres'!$A$1:$I$89,3,0)*0.475*44/12</f>
        <v>0</v>
      </c>
      <c r="DH75" s="142">
        <f>EXP(-LN(2)/2)*DH74+(1-EXP(-LN(2)/2))/(LN(2)/2)*DB75*DE75*VLOOKUP('Données projet'!$B$13,'Paramètres'!$A$1:$I$89,3,0)*0.475*44/12</f>
        <v>0</v>
      </c>
      <c r="DI75" s="143">
        <f t="shared" si="16"/>
        <v>9.649809373</v>
      </c>
      <c r="DJ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1" t="str">
        <f>VLOOKUP(A75,'Données projet'!$A$165:$I$185,2,0)</f>
        <v>#N/A</v>
      </c>
      <c r="DM75" s="131" t="str">
        <f>VLOOKUP(A75,'Données projet'!$A$165:$I$185,9,0)</f>
        <v>#N/A</v>
      </c>
      <c r="DN75" s="131">
        <f t="array" ref="DN75">INDEX(DM:DM,MIN(IF(ISNUMBER(DM75:DM271),ROW(DM75:DM271),"")))</f>
        <v>6.2</v>
      </c>
      <c r="DO75" s="138">
        <f>IF('Données projet'!$A$166&gt;35,DO74+DN75-DW74,IF(A75&lt;'Données projet'!$A$166,$DL$205^A75,IF(A75='Données projet'!$A$166,'Données projet'!$B$166,DO74+DN75-DW74)))</f>
        <v>233.4</v>
      </c>
      <c r="DP75" s="138">
        <f>DO75*VLOOKUP('Données projet'!$B$14,'Paramètres'!$A$1:$I$89,3,0)*VLOOKUP('Données projet'!$B$14,'Paramètres'!$A$1:$I$89,5,0)</f>
        <v>211.18032</v>
      </c>
      <c r="DQ75" s="130">
        <f t="shared" si="44"/>
        <v>52.19343112</v>
      </c>
      <c r="DR75" s="141">
        <f t="shared" si="17"/>
        <v>458.7092832</v>
      </c>
      <c r="DS75" s="133">
        <f t="shared" si="18"/>
        <v>752.0426165</v>
      </c>
      <c r="DT75" s="133">
        <f>AVERAGE(OFFSET($DS$3,0,0,'Données projet'!$E$14+1,1))-AVERAGE(OFFSET($H$3,0,0,'Données projet'!$E$14+1,1))</f>
        <v>287.9334714</v>
      </c>
      <c r="DU75" s="133">
        <f t="shared" si="45"/>
        <v>156.6796502</v>
      </c>
      <c r="DV75" s="134">
        <f>IF(ISNA(VLOOKUP(A75,'Données projet'!$A$165:$I$185,3,0)),0,VLOOKUP(A75,'Données projet'!$A$165:$I$185,3,0))</f>
        <v>0</v>
      </c>
      <c r="DW75" s="134">
        <f>IF(ISNA(VLOOKUP(A75,'Données projet'!$A$165:$I$185,4,0)),0,VLOOKUP(A75,'Données projet'!$A$165:$I$185,4,0))</f>
        <v>0</v>
      </c>
      <c r="DX75" s="135">
        <f>IF(ISNA(VLOOKUP(A75,'Données projet'!$A$165:$I$185,5,0)),0%,VLOOKUP(A75,'Données projet'!$A$165:$I$185,5,0)*VLOOKUP('Données projet'!$B$14,'Paramètres'!$A$1:$I$89,7,0))</f>
        <v>0</v>
      </c>
      <c r="DY75" s="135">
        <f>IF(ISNA(VLOOKUP(A75,'Données projet'!$A$165:$I$185,6,0)),0%,VLOOKUP(A75,'Données projet'!$A$165:$I$185,6,0)*VLOOKUP('Données projet'!$B$14,'Paramètres'!$A$1:$I$89,7,0))</f>
        <v>0</v>
      </c>
      <c r="DZ75" s="135">
        <f>IF(ISNA(VLOOKUP(A75,'Données projet'!$A$165:$I$185,7,0)),0%,VLOOKUP(A75,'Données projet'!$A$165:$I$185,7,0))</f>
        <v>0</v>
      </c>
      <c r="EA75" s="142">
        <f>EXP(-LN(2)/35)*EA74+(1-EXP(-LN(2)/35))/(LN(2)/35)*DW75*DX75*VLOOKUP('Données projet'!$B$14,'Paramètres'!$A$1:$I$89,3,0)*0.475*44/12</f>
        <v>16.03889483</v>
      </c>
      <c r="EB75" s="142">
        <f>EXP(-LN(2)/25)*EB74+(1-EXP(-LN(2)/25))/(LN(2)/25)*Calculateur!DW75*Calculateur!DY75*VLOOKUP('Données projet'!$B$14,'Paramètres'!$A$1:$I$89,3,0)*0.475*44/12</f>
        <v>0</v>
      </c>
      <c r="EC75" s="142">
        <f>EXP(-LN(2)/2)*EC74+(1-EXP(-LN(2)/2))/(LN(2)/2)*DW75*DZ75*VLOOKUP('Données projet'!$B$14,'Paramètres'!$A$1:$I$89,3,0)*0.475*44/12</f>
        <v>0</v>
      </c>
      <c r="ED75" s="143">
        <f t="shared" si="19"/>
        <v>16.03889483</v>
      </c>
      <c r="EE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1" t="str">
        <f>VLOOKUP(A75,'Données projet'!$A$191:$I$211,2,0)</f>
        <v>#N/A</v>
      </c>
      <c r="EH75" s="131" t="str">
        <f>VLOOKUP(A75,'Données projet'!$A$191:$I$211,9,0)</f>
        <v>#N/A</v>
      </c>
      <c r="EI75" s="131">
        <f t="array" ref="EI75">INDEX(EH:EH,MIN(IF(ISNUMBER(EH75:EH271),ROW(EH75:EH271),"")))</f>
        <v>7.6</v>
      </c>
      <c r="EJ75" s="138">
        <f>IF('Données projet'!$A$192&gt;35,EJ74+EI75-ER74,IF(A75&lt;'Données projet'!$A$192,$EG$205^A75,IF(A75='Données projet'!$A$192,'Données projet'!$B$192,EJ74+EI75-ER74)))</f>
        <v>231.2</v>
      </c>
      <c r="EK75" s="138">
        <f>EJ75*VLOOKUP('Données projet'!$B$15,'Paramètres'!$A$1:$I$89,3,0)*VLOOKUP('Données projet'!$B$15,'Paramètres'!$A$1:$I$89,5,0)</f>
        <v>169.51584</v>
      </c>
      <c r="EL75" s="130">
        <f t="shared" si="46"/>
        <v>42.98156986</v>
      </c>
      <c r="EM75" s="141">
        <f t="shared" si="20"/>
        <v>370.0996555</v>
      </c>
      <c r="EN75" s="133">
        <f t="shared" si="21"/>
        <v>663.4329888</v>
      </c>
      <c r="EO75" s="133">
        <f>AVERAGE(OFFSET($EN$3,0,0,'Données projet'!$E$15+1,1))-AVERAGE(OFFSET($H$3,0,0,'Données projet'!$E$15+1,1))</f>
        <v>130.3193339</v>
      </c>
      <c r="EP75" s="133">
        <f t="shared" si="47"/>
        <v>82.22784365</v>
      </c>
      <c r="EQ75" s="134">
        <f>IF(ISNA(VLOOKUP(A75,'Données projet'!$A$191:$I$211,3,0)),0,VLOOKUP(A75,'Données projet'!$A$191:$I$211,3,0))</f>
        <v>0</v>
      </c>
      <c r="ER75" s="134">
        <f>IF(ISNA(VLOOKUP(A75,'Données projet'!$A$191:$I$211,4,0)),0,VLOOKUP(A75,'Données projet'!$A$191:$I$211,4,0))</f>
        <v>0</v>
      </c>
      <c r="ES75" s="135">
        <f>IF(ISNA(VLOOKUP(A75,'Données projet'!$A$191:$I$211,5,0)),0%,VLOOKUP(A75,'Données projet'!$A$191:$I$211,5,0)*VLOOKUP('Données projet'!$B$15,'Paramètres'!$A$1:$I$89,7,0))</f>
        <v>0</v>
      </c>
      <c r="ET75" s="135">
        <f>IF(ISNA(VLOOKUP(A75,'Données projet'!$A$191:$I$211,6,0)),0%,VLOOKUP(A75,'Données projet'!$A$191:$I$211,6,0)*VLOOKUP('Données projet'!$B$15,'Paramètres'!$A$1:$I$89,7,0))</f>
        <v>0</v>
      </c>
      <c r="EU75" s="135">
        <f>IF(ISNA(VLOOKUP(A75,'Données projet'!$A$191:$I$211,7,0)),0%,VLOOKUP(A75,'Données projet'!$A$191:$I$211,7,0))</f>
        <v>0</v>
      </c>
      <c r="EV75" s="142">
        <f>EXP(-LN(2)/35)*EV74+(1-EXP(-LN(2)/35))/(LN(2)/35)*ER75*ES75*VLOOKUP('Données projet'!$B$15,'Paramètres'!$A$1:$I$89,3,0)*0.475*44/12</f>
        <v>19.05027795</v>
      </c>
      <c r="EW75" s="142">
        <f>EXP(-LN(2)/25)*EW74+(1-EXP(-LN(2)/25))/(LN(2)/25)*Calculateur!ER75*Calculateur!ET75*VLOOKUP('Données projet'!$B$15,'Paramètres'!$A$1:$I$89,3,0)*0.475*44/12</f>
        <v>0</v>
      </c>
      <c r="EX75" s="142">
        <f>EXP(-LN(2)/2)*EX74+(1-EXP(-LN(2)/2))/(LN(2)/2)*ER75*EU75*VLOOKUP('Données projet'!$B$15,'Paramètres'!$A$1:$I$89,3,0)*0.475*44/12</f>
        <v>0</v>
      </c>
      <c r="EY75" s="143">
        <f t="shared" si="22"/>
        <v>19.05027795</v>
      </c>
      <c r="EZ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1" t="str">
        <f>VLOOKUP(A75,'Données projet'!$A$217:$I$237,2,0)</f>
        <v>#N/A</v>
      </c>
      <c r="FC75" s="131" t="str">
        <f>VLOOKUP(A75,'Données projet'!$A$217:$I$237,9,0)</f>
        <v>#N/A</v>
      </c>
      <c r="FD75" s="131" t="str">
        <f t="array" ref="FD75">INDEX(FC:FC,MIN(IF(ISNUMBER(FC75:FC271),ROW(FC75:FC271),"")))</f>
        <v/>
      </c>
      <c r="FE75" s="130">
        <f>IF('Données projet'!$A$218&gt;35,FE74+FD75-FM74,IF(A75&lt;'Données projet'!$A$218,$FB$205^A75,IF(A75='Données projet'!$A$218,'Données projet'!$B$218,FE74+FD75-FM74)))</f>
        <v>0</v>
      </c>
      <c r="FF75" s="138">
        <f>FE75*VLOOKUP('Données projet'!$B$16,'Paramètres'!$A$1:$I$89,3,0)*VLOOKUP('Données projet'!$B$16,'Paramètres'!$A$1:$I$89,5,0)</f>
        <v>0</v>
      </c>
      <c r="FG75" s="130">
        <f t="shared" si="48"/>
        <v>0</v>
      </c>
      <c r="FH75" s="141">
        <f t="shared" si="23"/>
        <v>0</v>
      </c>
      <c r="FI75" s="133">
        <f t="shared" si="24"/>
        <v>293.3333333</v>
      </c>
      <c r="FJ75" s="133">
        <f>AVERAGE(OFFSET($FI$3,0,0,'Données projet'!$E$16+1,1))-AVERAGE(OFFSET($H$3,0,0,'Données projet'!$E$16+1,1))</f>
        <v>305.6252353</v>
      </c>
      <c r="FK75" s="133">
        <f t="shared" si="49"/>
        <v>331.397916</v>
      </c>
      <c r="FL75" s="134">
        <f>IF(ISNA(VLOOKUP(A75,'Données projet'!$A$217:$I$237,3,0)),0,VLOOKUP(A75,'Données projet'!$A$217:$I$237,3,0))</f>
        <v>0</v>
      </c>
      <c r="FM75" s="134">
        <f>IF(ISNA(VLOOKUP(A75,'Données projet'!$A$217:$I$237,4,0)),0,VLOOKUP(A75,'Données projet'!$A$217:$I$237,4,0))</f>
        <v>0</v>
      </c>
      <c r="FN75" s="135">
        <f>IF(ISNA(VLOOKUP(A75,'Données projet'!$A$217:$I$237,5,0)),0%,VLOOKUP(A75,'Données projet'!$A$217:$I$237,5,0)*VLOOKUP('Données projet'!$B$16,'Paramètres'!$A$1:$I$89,7,0))</f>
        <v>0</v>
      </c>
      <c r="FO75" s="135">
        <f>IF(ISNA(VLOOKUP(A75,'Données projet'!$A$217:$I$237,6,0)),0%,VLOOKUP(A75,'Données projet'!$A$217:$I$237,6,0)*VLOOKUP('Données projet'!$B$16,'Paramètres'!$A$1:$I$89,7,0))</f>
        <v>0</v>
      </c>
      <c r="FP75" s="135">
        <f>IF(ISNA(VLOOKUP(A75,'Données projet'!$A$217:$I$237,7,0)),0%,VLOOKUP(A75,'Données projet'!$A$217:$I$237,7,0))</f>
        <v>0</v>
      </c>
      <c r="FQ75" s="142">
        <f>EXP(-LN(2)/35)*FQ74+(1-EXP(-LN(2)/35))/(LN(2)/35)*FM75*FN75*VLOOKUP('Données projet'!$B$16,'Paramètres'!$A$1:$I$89,3,0)*0.475*44/12</f>
        <v>77.51482855</v>
      </c>
      <c r="FR75" s="142">
        <f>EXP(-LN(2)/25)*FR74+(1-EXP(-LN(2)/25))/(LN(2)/25)*Calculateur!FM75*Calculateur!FO75*VLOOKUP('Données projet'!$B$16,'Paramètres'!$A$1:$I$89,3,0)*0.475*44/12</f>
        <v>0</v>
      </c>
      <c r="FS75" s="142">
        <f>EXP(-LN(2)/2)*FS74+(1-EXP(-LN(2)/2))/(LN(2)/2)*FM75*FP75*VLOOKUP('Données projet'!$B$16,'Paramètres'!$A$1:$I$89,3,0)*0.475*44/12</f>
        <v>0</v>
      </c>
      <c r="FT75" s="143">
        <f t="shared" si="25"/>
        <v>77.51482855</v>
      </c>
      <c r="FU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1" t="str">
        <f>VLOOKUP(A75,'Données projet'!$A$243:$I$263,2,0)</f>
        <v>#N/A</v>
      </c>
      <c r="FX75" s="131" t="str">
        <f>VLOOKUP(A75,'Données projet'!$A$243:$I$263,9,0)</f>
        <v>#N/A</v>
      </c>
      <c r="FY75" s="131" t="str">
        <f t="array" ref="FY75">INDEX(FX:FX,MIN(IF(ISNUMBER(FX75:FX271),ROW(FX75:FX271),"")))</f>
        <v/>
      </c>
      <c r="FZ75" s="138">
        <f>IF('Données projet'!$A$244&gt;35,FZ74+FY75-GH74,IF(A75&lt;'Données projet'!$A$244,$FW$205^A75,IF(A75='Données projet'!$A$244,'Données projet'!$B$244,FZ74+FY75-GH74)))</f>
        <v>0</v>
      </c>
      <c r="GA75" s="138">
        <f>FZ75*VLOOKUP('Données projet'!$B$17,'Paramètres'!$A$1:$I$89,3,0)*VLOOKUP('Données projet'!$B$17,'Paramètres'!$A$1:$I$89,5,0)</f>
        <v>0</v>
      </c>
      <c r="GB75" s="130">
        <f t="shared" si="50"/>
        <v>0</v>
      </c>
      <c r="GC75" s="141">
        <f t="shared" si="26"/>
        <v>0</v>
      </c>
      <c r="GD75" s="133">
        <f t="shared" si="27"/>
        <v>293.3333333</v>
      </c>
      <c r="GE75" s="133">
        <f>AVERAGE(OFFSET($GD$3,0,0,'Données projet'!$E$17+1,1))-AVERAGE(OFFSET($H$3,0,0,'Données projet'!$E$17+1,1))</f>
        <v>118.7368745</v>
      </c>
      <c r="GF75" s="133">
        <f t="shared" si="51"/>
        <v>135.1233677</v>
      </c>
      <c r="GG75" s="134">
        <f>IF(ISNA(VLOOKUP(A75,'Données projet'!$A$243:$I$263,3,0)),0,VLOOKUP(A75,'Données projet'!$A$243:$I$263,3,0))</f>
        <v>0</v>
      </c>
      <c r="GH75" s="134">
        <f>IF(ISNA(VLOOKUP(A75,'Données projet'!$A$243:$I$263,4,0)),0,VLOOKUP(A75,'Données projet'!$A$243:$I$263,4,0))</f>
        <v>0</v>
      </c>
      <c r="GI75" s="135">
        <f>IF(ISNA(VLOOKUP(A75,'Données projet'!$A$243:$I$263,5,0)),0%,VLOOKUP(A75,'Données projet'!$A$243:$I$263,5,0)*VLOOKUP('Données projet'!$B$17,'Paramètres'!$A$1:$I$89,7,0))</f>
        <v>0</v>
      </c>
      <c r="GJ75" s="135">
        <f>IF(ISNA(VLOOKUP(A75,'Données projet'!$A$243:$I$263,6,0)),0%,VLOOKUP(A75,'Données projet'!$A$243:$I$263,6,0)*VLOOKUP('Données projet'!$B$17,'Paramètres'!$A$1:$I$89,7,0))</f>
        <v>0</v>
      </c>
      <c r="GK75" s="135">
        <f>IF(ISNA(VLOOKUP(A75,'Données projet'!$A$243:$I$263,7,0)),0%,VLOOKUP(A75,'Données projet'!$A$243:$I$263,7,0))</f>
        <v>0</v>
      </c>
      <c r="GL75" s="142">
        <f>EXP(-LN(2)/35)*GL74+(1-EXP(-LN(2)/35))/(LN(2)/35)*GH75*GI75*VLOOKUP('Données projet'!$B$17,'Paramètres'!$A$1:$I$89,3,0)*0.475*44/12</f>
        <v>81.89417665</v>
      </c>
      <c r="GM75" s="142">
        <f>EXP(-LN(2)/25)*GM74+(1-EXP(-LN(2)/25))/(LN(2)/25)*Calculateur!GH75*Calculateur!GJ75*VLOOKUP('Données projet'!$B$17,'Paramètres'!$A$1:$I$89,3,0)*0.475*44/12</f>
        <v>0</v>
      </c>
      <c r="GN75" s="142">
        <f>EXP(-LN(2)/2)*GN74+(1-EXP(-LN(2)/2))/(LN(2)/2)*GH75*GK75*VLOOKUP('Données projet'!$B$17,'Paramètres'!$A$1:$I$89,3,0)*0.475*44/12</f>
        <v>0</v>
      </c>
      <c r="GO75" s="142">
        <f t="shared" si="28"/>
        <v>81.89417665</v>
      </c>
      <c r="GP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1" t="str">
        <f>VLOOKUP(A75,'Données projet'!$A$269:$I$289,2,0)</f>
        <v>#N/A</v>
      </c>
      <c r="GS75" s="131" t="str">
        <f>VLOOKUP(A75,'Données projet'!$A$269:$I$289,9,0)</f>
        <v>#N/A</v>
      </c>
      <c r="GT75" s="131" t="str">
        <f t="array" ref="GT75">INDEX(GS:GS,MIN(IF(ISNUMBER(GS75:GS271),ROW(GS75:GS271),"")))</f>
        <v/>
      </c>
      <c r="GU75" s="138">
        <f>IF('Données projet'!$A$270&gt;35,GU74+GT75-HC74,IF(A75&lt;'Données projet'!$A$270,$GR$205^A75,IF(A75='Données projet'!$A$270,'Données projet'!$B$270,GU74+GT75-HC74)))</f>
        <v>0</v>
      </c>
      <c r="GV75" s="138">
        <f>GU75*VLOOKUP('Données projet'!$B$18,'Paramètres'!$A$1:$I$89,3,0)*VLOOKUP('Données projet'!$B$18,'Paramètres'!$A$1:$I$89,5,0)</f>
        <v>0</v>
      </c>
      <c r="GW75" s="130" t="str">
        <f t="shared" si="52"/>
        <v>#NUM!</v>
      </c>
      <c r="GX75" s="141" t="str">
        <f t="shared" si="29"/>
        <v>#NUM!</v>
      </c>
      <c r="GY75" s="133" t="str">
        <f t="shared" si="30"/>
        <v>#NUM!</v>
      </c>
      <c r="GZ75" s="133">
        <f>AVERAGE(OFFSET($GY$3,0,0,'Données projet'!$E$18+1,1))-AVERAGE(OFFSET($H$3,0,0,'Données projet'!$E$18+1,1))</f>
        <v>100.5427875</v>
      </c>
      <c r="HA75" s="133">
        <f t="shared" si="53"/>
        <v>92.28663609</v>
      </c>
      <c r="HB75" s="134">
        <f>IF(ISNA(VLOOKUP(A75,'Données projet'!$A$269:$I$289,3,0)),0,VLOOKUP(A75,'Données projet'!$A$269:$I$289,3,0))</f>
        <v>0</v>
      </c>
      <c r="HC75" s="134">
        <f>IF(ISNA(VLOOKUP(A75,'Données projet'!$A$269:$I$289,4,0)),0,VLOOKUP(A75,'Données projet'!$A$269:$I$289,4,0))</f>
        <v>0</v>
      </c>
      <c r="HD75" s="135">
        <f>IF(ISNA(VLOOKUP(A75,'Données projet'!$A$269:$I$289,5,0)),0%,VLOOKUP(A75,'Données projet'!$A$269:$I$289,5,0)*VLOOKUP('Données projet'!$B$18,'Paramètres'!$A$1:$I$89,7,0))</f>
        <v>0</v>
      </c>
      <c r="HE75" s="135">
        <f>IF(ISNA(VLOOKUP(A75,'Données projet'!$A$269:$I$289,6,0)),0%,VLOOKUP(A75,'Données projet'!$A$269:$I$289,6,0)*VLOOKUP('Données projet'!$B$18,'Paramètres'!$A$1:$I$89,7,0))</f>
        <v>0</v>
      </c>
      <c r="HF75" s="135">
        <f>IF(ISNA(VLOOKUP(A75,'Données projet'!$A$269:$I$289,7,0)),0%,VLOOKUP(A75,'Données projet'!$A$269:$I$289,7,0))</f>
        <v>0</v>
      </c>
      <c r="HG75" s="142">
        <f>EXP(-LN(2)/35)*HG74+(1-EXP(-LN(2)/35))/(LN(2)/35)*HC75*HD75*VLOOKUP('Données projet'!$B$18,'Paramètres'!$A$1:$I$89,3,0)*0.475*44/12</f>
        <v>55.76820665</v>
      </c>
      <c r="HH75" s="142">
        <f>EXP(-LN(2)/25)*HH74+(1-EXP(-LN(2)/25))/(LN(2)/25)*Calculateur!HC75*Calculateur!HE75*VLOOKUP('Données projet'!$B$18,'Paramètres'!$A$1:$I$89,3,0)*0.475*44/12</f>
        <v>0</v>
      </c>
      <c r="HI75" s="142">
        <f>EXP(-LN(2)/2)*HI74+(1-EXP(-LN(2)/2))/(LN(2)/2)*HC75*HF75*VLOOKUP('Données projet'!$B$18,'Paramètres'!$A$1:$I$89,3,0)*0.475*44/12</f>
        <v>0</v>
      </c>
      <c r="HJ75" s="143">
        <f t="shared" si="31"/>
        <v>55.76820665</v>
      </c>
    </row>
    <row r="76" ht="15.75" customHeight="1">
      <c r="A76" s="125">
        <f t="shared" si="32"/>
        <v>73</v>
      </c>
      <c r="B76" s="126">
        <f>'Scénario référence'!$B$16*5+'Scénario référence'!$B$17*0+'Scénario référence'!$B$18*5</f>
        <v>0</v>
      </c>
      <c r="C76" s="140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39.858</v>
      </c>
      <c r="D76" s="127">
        <f t="shared" si="33"/>
        <v>11.961002</v>
      </c>
      <c r="E7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7">
        <f>IF(OR('Scénario référence'!$F$8&gt;0,'Scénario référence'!$F$9&gt;0),('Scénario référence'!$F$8+'Scénario référence'!$F$9)*10,0)</f>
        <v>10</v>
      </c>
      <c r="G76" s="127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400.0063313</v>
      </c>
      <c r="H76" s="128">
        <f t="shared" si="1"/>
        <v>383.5847618</v>
      </c>
      <c r="I76" s="12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1" t="str">
        <f>VLOOKUP(A76,'Données projet'!$A$35:$I$55,2,0)</f>
        <v>#N/A</v>
      </c>
      <c r="L76" s="131" t="str">
        <f>VLOOKUP(A76,'Données projet'!$A$35:$I$55,9,0)</f>
        <v>#N/A</v>
      </c>
      <c r="M76" s="131" t="str">
        <f t="array" ref="M76">INDEX(L:L,MIN(IF(ISNUMBER(L76:L272),ROW(L76:L272),"")))</f>
        <v/>
      </c>
      <c r="N76" s="130">
        <f>IF('Données projet'!$A$36&gt;35,N75+M76-V75,IF(A76&lt;'Données projet'!$A$36,$K$205^A76,IF(A76='Données projet'!$A$36,'Données projet'!$B$36,N75+M76-V75)))</f>
        <v>0</v>
      </c>
      <c r="O76" s="130">
        <f>N76*VLOOKUP('Données projet'!$B$9,'Paramètres'!$A$1:$I$89,3,0)*VLOOKUP('Données projet'!$B$9,'Paramètres'!$A$1:$I$89,5,0)</f>
        <v>0</v>
      </c>
      <c r="P76" s="130">
        <f t="shared" si="34"/>
        <v>0</v>
      </c>
      <c r="Q76" s="141">
        <f t="shared" si="2"/>
        <v>0</v>
      </c>
      <c r="R76" s="133">
        <f t="shared" si="3"/>
        <v>293.3333333</v>
      </c>
      <c r="S76" s="133">
        <f>AVERAGE(OFFSET($R$3,0,0,'Données projet'!$E$9+1,1))-AVERAGE(OFFSET($H$3,0,0,'Données projet'!$E$9+1,1))</f>
        <v>126.9946492</v>
      </c>
      <c r="T76" s="133">
        <f t="shared" si="35"/>
        <v>140.039049</v>
      </c>
      <c r="U76" s="134">
        <f>IF(ISNA(VLOOKUP(A76,'Données projet'!$A$35:$I$55,3,0)),0,VLOOKUP(A76,'Données projet'!$A$35:$I$55,3,0))</f>
        <v>0</v>
      </c>
      <c r="V76" s="134">
        <f>IF(ISNA(VLOOKUP(A76,'Données projet'!$A$35:$I$55,4,0)),0,VLOOKUP(A76,'Données projet'!$A$35:$I$55,4,0))</f>
        <v>0</v>
      </c>
      <c r="W76" s="135">
        <f>IF(ISNA(VLOOKUP(A76,'Données projet'!$A$35:$I$55,5,0)),0%,VLOOKUP(A76,'Données projet'!$A$35:$I$55,5,0)*VLOOKUP('Données projet'!$B$9,'Paramètres'!$A$1:$I$89,7,0))</f>
        <v>0</v>
      </c>
      <c r="X76" s="135">
        <f>IF(ISNA(VLOOKUP(A76,'Données projet'!$A$35:$I$55,6,0)),0%,VLOOKUP(A76,'Données projet'!$A$35:$I$55,6,0)*VLOOKUP('Données projet'!$B$9,'Paramètres'!$A$1:$I$89,7,0))</f>
        <v>0</v>
      </c>
      <c r="Y76" s="135">
        <f>IF(ISNA(VLOOKUP(A76,'Données projet'!$A$35:$I$55,7,0)),0%,VLOOKUP(A76,'Données projet'!$A$35:$I$55,7,0))</f>
        <v>0</v>
      </c>
      <c r="Z76" s="142">
        <f>EXP(-LN(2)/35)*Z75+(1-EXP(-LN(2)/35))/(LN(2)/35)*V76*W76*VLOOKUP('Données projet'!$B$9,'Paramètres'!$A$1:$I$89,3,0)*0.475*44/12</f>
        <v>82.11703983</v>
      </c>
      <c r="AA76" s="142">
        <f>EXP(-LN(2)/25)*AA75+(1-EXP(-LN(2)/25))/(LN(2)/25)*Calculateur!V76*Calculateur!X76*VLOOKUP('Données projet'!$B$9,'Paramètres'!$A$1:$I$89,3,0)*0.475*44/12</f>
        <v>16.20597813</v>
      </c>
      <c r="AB76" s="142">
        <f>EXP(-LN(2)/2)*AB75+(1-EXP(-LN(2)/2))/(LN(2)/2)*V76*Y76*VLOOKUP('Données projet'!$B$9,'Paramètres'!$A$1:$I$89,3,0)*0.475*44/12</f>
        <v>0.209804893</v>
      </c>
      <c r="AC76" s="143">
        <f t="shared" si="4"/>
        <v>98.53282285</v>
      </c>
      <c r="AD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1" t="str">
        <f>VLOOKUP(A76,'Données projet'!$A$61:$I$81,2,0)</f>
        <v>#N/A</v>
      </c>
      <c r="AG76" s="131" t="str">
        <f>VLOOKUP(A76,'Données projet'!$A$61:$I$81,9,0)</f>
        <v>#N/A</v>
      </c>
      <c r="AH76" s="131" t="str">
        <f t="array" ref="AH76">INDEX(AG:AG,MIN(IF(ISNUMBER(AG76:AG272),ROW(AG76:AG272),"")))</f>
        <v/>
      </c>
      <c r="AI76" s="130">
        <f>IF('Données projet'!$A$62&gt;35,AI75+AH76-AQ75,IF(A76&lt;'Données projet'!$A$62,$AF$205^A76,IF(A76='Données projet'!$A$62,'Données projet'!$B$62,AI75+AH76-AQ75)))</f>
        <v>0</v>
      </c>
      <c r="AJ76" s="130">
        <f>AI76*VLOOKUP('Données projet'!$B$10,'Paramètres'!$A$1:$I$89,3,0)*VLOOKUP('Données projet'!$B$10,'Paramètres'!$A$1:$I$89,5,0)</f>
        <v>0</v>
      </c>
      <c r="AK76" s="130" t="str">
        <f t="shared" si="36"/>
        <v>#NUM!</v>
      </c>
      <c r="AL76" s="141" t="str">
        <f t="shared" si="5"/>
        <v>#NUM!</v>
      </c>
      <c r="AM76" s="133" t="str">
        <f t="shared" si="6"/>
        <v>#NUM!</v>
      </c>
      <c r="AN76" s="133">
        <f>AVERAGE(OFFSET($AM$3,0,0,'Données projet'!$E$10+1,1))-AVERAGE(OFFSET($H$3,0,0,'Données projet'!$E$10+1,1))</f>
        <v>196.874484</v>
      </c>
      <c r="AO76" s="133">
        <f t="shared" si="37"/>
        <v>217.5750859</v>
      </c>
      <c r="AP76" s="134">
        <f>IF(ISNA(VLOOKUP(A76,'Données projet'!$A$61:$I$81,3,0)),0,VLOOKUP(A76,'Données projet'!$A$61:$I$81,3,0))</f>
        <v>0</v>
      </c>
      <c r="AQ76" s="134">
        <f>IF(ISNA(VLOOKUP(A76,'Données projet'!$A$61:$I$81,4,0)),0,VLOOKUP(A76,'Données projet'!$A$61:$I$81,4,0))</f>
        <v>0</v>
      </c>
      <c r="AR76" s="135">
        <f>IF(ISNA(VLOOKUP(A76,'Données projet'!$A$61:$I$81,5,0)),0%,VLOOKUP(A76,'Données projet'!$A$61:$I$81,5,0)*VLOOKUP('Données projet'!$B$10,'Paramètres'!$A$1:$I$89,7,0))</f>
        <v>0</v>
      </c>
      <c r="AS76" s="135">
        <f>IF(ISNA(VLOOKUP(A76,'Données projet'!$A$61:$I$81,6,0)),0%,VLOOKUP(A76,'Données projet'!$A$61:$I$81,6,0)*VLOOKUP('Données projet'!$B$10,'Paramètres'!$A$1:$I$89,7,0))</f>
        <v>0</v>
      </c>
      <c r="AT76" s="135">
        <f>IF(ISNA(VLOOKUP(A76,'Données projet'!$A$61:$I$81,7,0)),0%,VLOOKUP(A76,'Données projet'!$A$61:$I$81,7,0))</f>
        <v>0</v>
      </c>
      <c r="AU76" s="142">
        <f>EXP(-LN(2)/35)*AU75+(1-EXP(-LN(2)/35))/(LN(2)/35)*AQ76*AR76*VLOOKUP('Données projet'!$B$10,'Paramètres'!$A$1:$I$89,3,0)*0.475*44/12</f>
        <v>114.1403529</v>
      </c>
      <c r="AV76" s="142">
        <f>EXP(-LN(2)/25)*AV75+(1-EXP(-LN(2)/25))/(LN(2)/25)*Calculateur!AQ76*Calculateur!AS76*VLOOKUP('Données projet'!$B$10,'Paramètres'!$A$1:$I$89,3,0)*0.475*44/12</f>
        <v>24.91671303</v>
      </c>
      <c r="AW76" s="142">
        <f>EXP(-LN(2)/2)*AW75+(1-EXP(-LN(2)/2))/(LN(2)/2)*AQ76*AT76*VLOOKUP('Données projet'!$B$10,'Paramètres'!$A$1:$I$89,3,0)*0.475*44/12</f>
        <v>0.2925120709</v>
      </c>
      <c r="AX76" s="142">
        <f t="shared" si="7"/>
        <v>139.349578</v>
      </c>
      <c r="AY76" s="13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1" t="str">
        <f>VLOOKUP(A76,'Données projet'!$A$87:$I$107,2,0)</f>
        <v>#N/A</v>
      </c>
      <c r="BB76" s="131" t="str">
        <f>VLOOKUP(A76,'Données projet'!$A$87:$I$107,9,0)</f>
        <v>#N/A</v>
      </c>
      <c r="BC76" s="131" t="str">
        <f t="array" ref="BC76">INDEX(BB:BB,MIN(IF(ISNUMBER(BB76:BB272),ROW(BB76:BB272),"")))</f>
        <v/>
      </c>
      <c r="BD76" s="130">
        <f>IF('Données projet'!$A$88&gt;35,BD75+BC76-BL75,IF(A76&lt;'Données projet'!$A$88,$BA$205^A76,IF(A76='Données projet'!$A$88,'Données projet'!$B$88,BD75+BC76-BL75)))</f>
        <v>0</v>
      </c>
      <c r="BE76" s="130">
        <f>BD76*VLOOKUP('Données projet'!$B$11,'Paramètres'!$A$1:$I$89,3,0)*VLOOKUP('Données projet'!$B$11,'Paramètres'!$A$1:$I$89,5,0)</f>
        <v>0</v>
      </c>
      <c r="BF76" s="130" t="str">
        <f t="shared" si="38"/>
        <v>#NUM!</v>
      </c>
      <c r="BG76" s="141" t="str">
        <f t="shared" si="8"/>
        <v>#NUM!</v>
      </c>
      <c r="BH76" s="133" t="str">
        <f t="shared" si="9"/>
        <v>#NUM!</v>
      </c>
      <c r="BI76" s="133">
        <f>AVERAGE(OFFSET($BH$3,0,0,'Données projet'!$E$11+1,1))-AVERAGE(OFFSET($H$3,0,0,'Données projet'!$E$11+1,1))</f>
        <v>134.0948534</v>
      </c>
      <c r="BJ76" s="133">
        <f t="shared" si="39"/>
        <v>108.4102536</v>
      </c>
      <c r="BK76" s="134">
        <f>IF(ISNA(VLOOKUP(A76,'Données projet'!$A$87:$I$107,3,0)),0,VLOOKUP(A76,'Données projet'!$A$87:$I$107,3,0))</f>
        <v>0</v>
      </c>
      <c r="BL76" s="134">
        <f>IF(ISNA(VLOOKUP(A76,'Données projet'!$A$87:$I$107,4,0)),0,VLOOKUP(A76,'Données projet'!$A$87:$I$107,4,0))</f>
        <v>0</v>
      </c>
      <c r="BM76" s="135">
        <f>IF(ISNA(VLOOKUP(A76,'Données projet'!$A$87:$I$107,5,0)),0%,VLOOKUP(A76,'Données projet'!$A$87:$I$107,5,0)*VLOOKUP('Données projet'!$B$11,'Paramètres'!$A$1:$I$89,7,0))</f>
        <v>0</v>
      </c>
      <c r="BN76" s="135">
        <f>IF(ISNA(VLOOKUP(A76,'Données projet'!$A$87:$I$107,6,0)),0%,VLOOKUP(A76,'Données projet'!$A$87:$I$107,6,0)*VLOOKUP('Données projet'!$B$11,'Paramètres'!$A$1:$I$89,7,0))</f>
        <v>0</v>
      </c>
      <c r="BO76" s="135">
        <f>IF(ISNA(VLOOKUP(A76,'Données projet'!$A$87:$I$107,7,0)),0%,VLOOKUP(A76,'Données projet'!$A$87:$I$107,7,0))</f>
        <v>0</v>
      </c>
      <c r="BP76" s="142">
        <f>EXP(-LN(2)/35)*BP75+(1-EXP(-LN(2)/35))/(LN(2)/35)*BL76*BM76*VLOOKUP('Données projet'!$B$11,'Paramètres'!$A$1:$I$89,3,0)*0.475*44/12</f>
        <v>157.8774248</v>
      </c>
      <c r="BQ76" s="142">
        <f>EXP(-LN(2)/25)*BQ75+(1-EXP(-LN(2)/25))/(LN(2)/25)*Calculateur!BL76*Calculateur!BN76*VLOOKUP('Données projet'!$B$11,'Paramètres'!$A$1:$I$89,3,0)*0.475*44/12</f>
        <v>15.71748397</v>
      </c>
      <c r="BR76" s="142">
        <f>EXP(-LN(2)/2)*BR75+(1-EXP(-LN(2)/2))/(LN(2)/2)*BL76*BO76*VLOOKUP('Données projet'!$B$11,'Paramètres'!$A$1:$I$89,3,0)*0.475*44/12</f>
        <v>3.901691237</v>
      </c>
      <c r="BS76" s="143">
        <f t="shared" si="10"/>
        <v>177.4966</v>
      </c>
      <c r="BT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1" t="str">
        <f>VLOOKUP(A76,'Données projet'!$A$113:$I$133,2,0)</f>
        <v>#N/A</v>
      </c>
      <c r="BW76" s="131" t="str">
        <f>VLOOKUP(A76,'Données projet'!$A$113:$I$133,9,0)</f>
        <v>#N/A</v>
      </c>
      <c r="BX76" s="131" t="str">
        <f t="array" ref="BX76">INDEX(BW:BW,MIN(IF(ISNUMBER(BW76:BW272),ROW(BW76:BW272),"")))</f>
        <v/>
      </c>
      <c r="BY76" s="130">
        <f>IF('Données projet'!$A$114&gt;35,BY75+BX76-CG75,IF(A76&lt;'Données projet'!$A$114,$BV$205^A76,IF(A76='Données projet'!$A$114,'Données projet'!$B$114,BY75+BX76-CG75)))</f>
        <v>0</v>
      </c>
      <c r="BZ76" s="130">
        <f>BY76*VLOOKUP('Données projet'!$B$12,'Paramètres'!$A$1:$I$89,3,0)*VLOOKUP('Données projet'!$B$12,'Paramètres'!$A$1:$I$89,5,0)</f>
        <v>0</v>
      </c>
      <c r="CA76" s="130" t="str">
        <f t="shared" si="40"/>
        <v>#NUM!</v>
      </c>
      <c r="CB76" s="141" t="str">
        <f t="shared" si="11"/>
        <v>#NUM!</v>
      </c>
      <c r="CC76" s="133" t="str">
        <f t="shared" si="12"/>
        <v>#NUM!</v>
      </c>
      <c r="CD76" s="133">
        <f>AVERAGE(OFFSET($CC$3,0,0,'Données projet'!$E$12+1,1))-AVERAGE(OFFSET($H$3,0,0,'Données projet'!$E$12+1,1))</f>
        <v>258.1672054</v>
      </c>
      <c r="CE76" s="133">
        <f t="shared" si="41"/>
        <v>296.0724261</v>
      </c>
      <c r="CF76" s="134">
        <f>IF(ISNA(VLOOKUP(A76,'Données projet'!$A$113:$I$133,3,0)),0,VLOOKUP(A76,'Données projet'!$A$113:$I$133,3,0))</f>
        <v>0</v>
      </c>
      <c r="CG76" s="134">
        <f>IF(ISNA(VLOOKUP(A76,'Données projet'!$A$113:$I$133,4,0)),0,VLOOKUP(A76,'Données projet'!$A$113:$I$133,4,0))</f>
        <v>0</v>
      </c>
      <c r="CH76" s="135">
        <f>IF(ISNA(VLOOKUP(A76,'Données projet'!$A$113:$I$133,5,0)),0%,VLOOKUP(A76,'Données projet'!$A$113:$I$133,5,0)*VLOOKUP('Données projet'!$B$12,'Paramètres'!$A$1:$I$89,7,0))</f>
        <v>0</v>
      </c>
      <c r="CI76" s="135">
        <f>IF(ISNA(VLOOKUP(A76,'Données projet'!$A$113:$I$133,6,0)),0%,VLOOKUP(A76,'Données projet'!$A$113:$I$133,6,0)*VLOOKUP('Données projet'!$B$12,'Paramètres'!$A$1:$I$89,7,0))</f>
        <v>0</v>
      </c>
      <c r="CJ76" s="135">
        <f>IF(ISNA(VLOOKUP(A76,'Données projet'!$A$113:$I$133,7,0)),0%,VLOOKUP(A76,'Données projet'!$A$113:$I$133,7,0))</f>
        <v>0</v>
      </c>
      <c r="CK76" s="142">
        <f>EXP(-LN(2)/35)*CK75+(1-EXP(-LN(2)/35))/(LN(2)/35)*CG76*CH76*VLOOKUP('Données projet'!$B$12,'Paramètres'!$A$1:$I$89,3,0)*0.475*44/12</f>
        <v>199.6053616</v>
      </c>
      <c r="CL76" s="142">
        <f>EXP(-LN(2)/25)*CL75+(1-EXP(-LN(2)/25))/(LN(2)/25)*Calculateur!CG76*Calculateur!CI76*VLOOKUP('Données projet'!$B$12,'Paramètres'!$A$1:$I$89,3,0)*0.475*44/12</f>
        <v>27.56935913</v>
      </c>
      <c r="CM76" s="142">
        <f>EXP(-LN(2)/2)*CM75+(1-EXP(-LN(2)/2))/(LN(2)/2)*CG76*CJ76*VLOOKUP('Données projet'!$B$12,'Paramètres'!$A$1:$I$89,3,0)*0.475*44/12</f>
        <v>0.1643736466</v>
      </c>
      <c r="CN76" s="143">
        <f t="shared" si="13"/>
        <v>227.3390944</v>
      </c>
      <c r="CO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1" t="str">
        <f>VLOOKUP(A76,'Données projet'!$A$139:$I$159,2,0)</f>
        <v>#N/A</v>
      </c>
      <c r="CR76" s="131" t="str">
        <f>VLOOKUP(A76,'Données projet'!$A$139:$I$159,9,0)</f>
        <v>#N/A</v>
      </c>
      <c r="CS76" s="130">
        <f t="array" ref="CS76">INDEX(CR:CR,MIN(IF(ISNUMBER(CR76:CR272),ROW(CR76:CR272),"")))</f>
        <v>5</v>
      </c>
      <c r="CT76" s="138">
        <f>IF('Données projet'!$A$140&gt;35,CT75+CS76-DB75,IF(A76&lt;'Données projet'!$A$140,$CQ$205^A76,IF(A76='Données projet'!$A$140,'Données projet'!$B$140,CT75+CS76-DB75)))</f>
        <v>173</v>
      </c>
      <c r="CU76" s="138">
        <f>CT76*VLOOKUP('Données projet'!$B$13,'Paramètres'!$A$1:$I$89,3,0)*VLOOKUP('Données projet'!$B$13,'Paramètres'!$A$1:$I$89,5,0)</f>
        <v>175.422</v>
      </c>
      <c r="CV76" s="130">
        <f t="shared" si="42"/>
        <v>44.30214341</v>
      </c>
      <c r="CW76" s="141">
        <f t="shared" si="14"/>
        <v>382.6862164</v>
      </c>
      <c r="CX76" s="133">
        <f t="shared" si="15"/>
        <v>676.0195498</v>
      </c>
      <c r="CY76" s="133">
        <f>AVERAGE(OFFSET($CX$3,0,0,'Données projet'!$E$13+1,1))-AVERAGE(OFFSET($H$3,0,0,'Données projet'!$E$13+1,1))</f>
        <v>223.783507</v>
      </c>
      <c r="CZ76" s="133">
        <f t="shared" si="43"/>
        <v>84.92349117</v>
      </c>
      <c r="DA76" s="134">
        <f>IF(ISNA(VLOOKUP(A76,'Données projet'!$A$139:$I$159,3,0)),0,VLOOKUP(A76,'Données projet'!$A$139:$I$159,3,0))</f>
        <v>0</v>
      </c>
      <c r="DB76" s="134">
        <f>IF(ISNA(VLOOKUP(A76,'Données projet'!$A$139:$I$159,4,0)),0,VLOOKUP(A76,'Données projet'!$A$139:$I$159,4,0))</f>
        <v>0</v>
      </c>
      <c r="DC76" s="135">
        <f>IF(ISNA(VLOOKUP(A76,'Données projet'!$A$139:$I$159,5,0)),0%,VLOOKUP(A76,'Données projet'!$A$139:$I$159,5,0)*VLOOKUP('Données projet'!$B$13,'Paramètres'!$A$1:$I$89,7,0))</f>
        <v>0</v>
      </c>
      <c r="DD76" s="135">
        <f>IF(ISNA(VLOOKUP(A76,'Données projet'!$A$139:$I$159,6,0)),0%,VLOOKUP(A76,'Données projet'!$A$139:$I$159,6,0)*VLOOKUP('Données projet'!$B$13,'Paramètres'!$A$1:$I$89,7,0))</f>
        <v>0</v>
      </c>
      <c r="DE76" s="135">
        <f>IF(ISNA(VLOOKUP(A76,'Données projet'!$A$139:$I$159,7,0)),0%,VLOOKUP(A76,'Données projet'!$A$139:$I$159,7,0))</f>
        <v>0</v>
      </c>
      <c r="DF76" s="142">
        <f>EXP(-LN(2)/35)*DF75+(1-EXP(-LN(2)/35))/(LN(2)/35)*DB76*DC76*VLOOKUP('Données projet'!$B$13,'Paramètres'!$A$1:$I$89,3,0)*0.475*44/12</f>
        <v>9.460582497</v>
      </c>
      <c r="DG76" s="142">
        <f>EXP(-LN(2)/25)*DG75+(1-EXP(-LN(2)/25))/(LN(2)/25)*Calculateur!DB76*Calculateur!DD76*VLOOKUP('Données projet'!$B$13,'Paramètres'!$A$1:$I$89,3,0)*0.475*44/12</f>
        <v>0</v>
      </c>
      <c r="DH76" s="142">
        <f>EXP(-LN(2)/2)*DH75+(1-EXP(-LN(2)/2))/(LN(2)/2)*DB76*DE76*VLOOKUP('Données projet'!$B$13,'Paramètres'!$A$1:$I$89,3,0)*0.475*44/12</f>
        <v>0</v>
      </c>
      <c r="DI76" s="143">
        <f t="shared" si="16"/>
        <v>9.460582497</v>
      </c>
      <c r="DJ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1" t="str">
        <f>VLOOKUP(A76,'Données projet'!$A$165:$I$185,2,0)</f>
        <v>#N/A</v>
      </c>
      <c r="DM76" s="131" t="str">
        <f>VLOOKUP(A76,'Données projet'!$A$165:$I$185,9,0)</f>
        <v>#N/A</v>
      </c>
      <c r="DN76" s="131">
        <f t="array" ref="DN76">INDEX(DM:DM,MIN(IF(ISNUMBER(DM76:DM272),ROW(DM76:DM272),"")))</f>
        <v>6.2</v>
      </c>
      <c r="DO76" s="138">
        <f>IF('Données projet'!$A$166&gt;35,DO75+DN76-DW75,IF(A76&lt;'Données projet'!$A$166,$DL$205^A76,IF(A76='Données projet'!$A$166,'Données projet'!$B$166,DO75+DN76-DW75)))</f>
        <v>239.6</v>
      </c>
      <c r="DP76" s="138">
        <f>DO76*VLOOKUP('Données projet'!$B$14,'Paramètres'!$A$1:$I$89,3,0)*VLOOKUP('Données projet'!$B$14,'Paramètres'!$A$1:$I$89,5,0)</f>
        <v>216.79008</v>
      </c>
      <c r="DQ76" s="130">
        <f t="shared" si="44"/>
        <v>53.41662979</v>
      </c>
      <c r="DR76" s="141">
        <f t="shared" si="17"/>
        <v>470.6100196</v>
      </c>
      <c r="DS76" s="133">
        <f t="shared" si="18"/>
        <v>763.9433529</v>
      </c>
      <c r="DT76" s="133">
        <f>AVERAGE(OFFSET($DS$3,0,0,'Données projet'!$E$14+1,1))-AVERAGE(OFFSET($H$3,0,0,'Données projet'!$E$14+1,1))</f>
        <v>287.9334714</v>
      </c>
      <c r="DU76" s="133">
        <f t="shared" si="45"/>
        <v>156.6796502</v>
      </c>
      <c r="DV76" s="134">
        <f>IF(ISNA(VLOOKUP(A76,'Données projet'!$A$165:$I$185,3,0)),0,VLOOKUP(A76,'Données projet'!$A$165:$I$185,3,0))</f>
        <v>0</v>
      </c>
      <c r="DW76" s="134">
        <f>IF(ISNA(VLOOKUP(A76,'Données projet'!$A$165:$I$185,4,0)),0,VLOOKUP(A76,'Données projet'!$A$165:$I$185,4,0))</f>
        <v>0</v>
      </c>
      <c r="DX76" s="135">
        <f>IF(ISNA(VLOOKUP(A76,'Données projet'!$A$165:$I$185,5,0)),0%,VLOOKUP(A76,'Données projet'!$A$165:$I$185,5,0)*VLOOKUP('Données projet'!$B$14,'Paramètres'!$A$1:$I$89,7,0))</f>
        <v>0</v>
      </c>
      <c r="DY76" s="135">
        <f>IF(ISNA(VLOOKUP(A76,'Données projet'!$A$165:$I$185,6,0)),0%,VLOOKUP(A76,'Données projet'!$A$165:$I$185,6,0)*VLOOKUP('Données projet'!$B$14,'Paramètres'!$A$1:$I$89,7,0))</f>
        <v>0</v>
      </c>
      <c r="DZ76" s="135">
        <f>IF(ISNA(VLOOKUP(A76,'Données projet'!$A$165:$I$185,7,0)),0%,VLOOKUP(A76,'Données projet'!$A$165:$I$185,7,0))</f>
        <v>0</v>
      </c>
      <c r="EA76" s="142">
        <f>EXP(-LN(2)/35)*EA75+(1-EXP(-LN(2)/35))/(LN(2)/35)*DW76*DX76*VLOOKUP('Données projet'!$B$14,'Paramètres'!$A$1:$I$89,3,0)*0.475*44/12</f>
        <v>15.72438189</v>
      </c>
      <c r="EB76" s="142">
        <f>EXP(-LN(2)/25)*EB75+(1-EXP(-LN(2)/25))/(LN(2)/25)*Calculateur!DW76*Calculateur!DY76*VLOOKUP('Données projet'!$B$14,'Paramètres'!$A$1:$I$89,3,0)*0.475*44/12</f>
        <v>0</v>
      </c>
      <c r="EC76" s="142">
        <f>EXP(-LN(2)/2)*EC75+(1-EXP(-LN(2)/2))/(LN(2)/2)*DW76*DZ76*VLOOKUP('Données projet'!$B$14,'Paramètres'!$A$1:$I$89,3,0)*0.475*44/12</f>
        <v>0</v>
      </c>
      <c r="ED76" s="143">
        <f t="shared" si="19"/>
        <v>15.72438189</v>
      </c>
      <c r="EE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1" t="str">
        <f>VLOOKUP(A76,'Données projet'!$A$191:$I$211,2,0)</f>
        <v>#N/A</v>
      </c>
      <c r="EH76" s="131" t="str">
        <f>VLOOKUP(A76,'Données projet'!$A$191:$I$211,9,0)</f>
        <v>#N/A</v>
      </c>
      <c r="EI76" s="131">
        <f t="array" ref="EI76">INDEX(EH:EH,MIN(IF(ISNUMBER(EH76:EH272),ROW(EH76:EH272),"")))</f>
        <v>7.6</v>
      </c>
      <c r="EJ76" s="138">
        <f>IF('Données projet'!$A$192&gt;35,EJ75+EI76-ER75,IF(A76&lt;'Données projet'!$A$192,$EG$205^A76,IF(A76='Données projet'!$A$192,'Données projet'!$B$192,EJ75+EI76-ER75)))</f>
        <v>238.8</v>
      </c>
      <c r="EK76" s="138">
        <f>EJ76*VLOOKUP('Données projet'!$B$15,'Paramètres'!$A$1:$I$89,3,0)*VLOOKUP('Données projet'!$B$15,'Paramètres'!$A$1:$I$89,5,0)</f>
        <v>175.08816</v>
      </c>
      <c r="EL76" s="130">
        <f t="shared" si="46"/>
        <v>44.22763885</v>
      </c>
      <c r="EM76" s="141">
        <f t="shared" si="20"/>
        <v>381.9750163</v>
      </c>
      <c r="EN76" s="133">
        <f t="shared" si="21"/>
        <v>675.3083497</v>
      </c>
      <c r="EO76" s="133">
        <f>AVERAGE(OFFSET($EN$3,0,0,'Données projet'!$E$15+1,1))-AVERAGE(OFFSET($H$3,0,0,'Données projet'!$E$15+1,1))</f>
        <v>130.3193339</v>
      </c>
      <c r="EP76" s="133">
        <f t="shared" si="47"/>
        <v>82.22784365</v>
      </c>
      <c r="EQ76" s="134">
        <f>IF(ISNA(VLOOKUP(A76,'Données projet'!$A$191:$I$211,3,0)),0,VLOOKUP(A76,'Données projet'!$A$191:$I$211,3,0))</f>
        <v>0</v>
      </c>
      <c r="ER76" s="134">
        <f>IF(ISNA(VLOOKUP(A76,'Données projet'!$A$191:$I$211,4,0)),0,VLOOKUP(A76,'Données projet'!$A$191:$I$211,4,0))</f>
        <v>0</v>
      </c>
      <c r="ES76" s="135">
        <f>IF(ISNA(VLOOKUP(A76,'Données projet'!$A$191:$I$211,5,0)),0%,VLOOKUP(A76,'Données projet'!$A$191:$I$211,5,0)*VLOOKUP('Données projet'!$B$15,'Paramètres'!$A$1:$I$89,7,0))</f>
        <v>0</v>
      </c>
      <c r="ET76" s="135">
        <f>IF(ISNA(VLOOKUP(A76,'Données projet'!$A$191:$I$211,6,0)),0%,VLOOKUP(A76,'Données projet'!$A$191:$I$211,6,0)*VLOOKUP('Données projet'!$B$15,'Paramètres'!$A$1:$I$89,7,0))</f>
        <v>0</v>
      </c>
      <c r="EU76" s="135">
        <f>IF(ISNA(VLOOKUP(A76,'Données projet'!$A$191:$I$211,7,0)),0%,VLOOKUP(A76,'Données projet'!$A$191:$I$211,7,0))</f>
        <v>0</v>
      </c>
      <c r="EV76" s="142">
        <f>EXP(-LN(2)/35)*EV75+(1-EXP(-LN(2)/35))/(LN(2)/35)*ER76*ES76*VLOOKUP('Données projet'!$B$15,'Paramètres'!$A$1:$I$89,3,0)*0.475*44/12</f>
        <v>18.67671362</v>
      </c>
      <c r="EW76" s="142">
        <f>EXP(-LN(2)/25)*EW75+(1-EXP(-LN(2)/25))/(LN(2)/25)*Calculateur!ER76*Calculateur!ET76*VLOOKUP('Données projet'!$B$15,'Paramètres'!$A$1:$I$89,3,0)*0.475*44/12</f>
        <v>0</v>
      </c>
      <c r="EX76" s="142">
        <f>EXP(-LN(2)/2)*EX75+(1-EXP(-LN(2)/2))/(LN(2)/2)*ER76*EU76*VLOOKUP('Données projet'!$B$15,'Paramètres'!$A$1:$I$89,3,0)*0.475*44/12</f>
        <v>0</v>
      </c>
      <c r="EY76" s="143">
        <f t="shared" si="22"/>
        <v>18.67671362</v>
      </c>
      <c r="EZ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1" t="str">
        <f>VLOOKUP(A76,'Données projet'!$A$217:$I$237,2,0)</f>
        <v>#N/A</v>
      </c>
      <c r="FC76" s="131" t="str">
        <f>VLOOKUP(A76,'Données projet'!$A$217:$I$237,9,0)</f>
        <v>#N/A</v>
      </c>
      <c r="FD76" s="131" t="str">
        <f t="array" ref="FD76">INDEX(FC:FC,MIN(IF(ISNUMBER(FC76:FC272),ROW(FC76:FC272),"")))</f>
        <v/>
      </c>
      <c r="FE76" s="130">
        <f>IF('Données projet'!$A$218&gt;35,FE75+FD76-FM75,IF(A76&lt;'Données projet'!$A$218,$FB$205^A76,IF(A76='Données projet'!$A$218,'Données projet'!$B$218,FE75+FD76-FM75)))</f>
        <v>0</v>
      </c>
      <c r="FF76" s="138">
        <f>FE76*VLOOKUP('Données projet'!$B$16,'Paramètres'!$A$1:$I$89,3,0)*VLOOKUP('Données projet'!$B$16,'Paramètres'!$A$1:$I$89,5,0)</f>
        <v>0</v>
      </c>
      <c r="FG76" s="130">
        <f t="shared" si="48"/>
        <v>0</v>
      </c>
      <c r="FH76" s="141">
        <f t="shared" si="23"/>
        <v>0</v>
      </c>
      <c r="FI76" s="133">
        <f t="shared" si="24"/>
        <v>293.3333333</v>
      </c>
      <c r="FJ76" s="133">
        <f>AVERAGE(OFFSET($FI$3,0,0,'Données projet'!$E$16+1,1))-AVERAGE(OFFSET($H$3,0,0,'Données projet'!$E$16+1,1))</f>
        <v>305.6252353</v>
      </c>
      <c r="FK76" s="133">
        <f t="shared" si="49"/>
        <v>331.397916</v>
      </c>
      <c r="FL76" s="134">
        <f>IF(ISNA(VLOOKUP(A76,'Données projet'!$A$217:$I$237,3,0)),0,VLOOKUP(A76,'Données projet'!$A$217:$I$237,3,0))</f>
        <v>0</v>
      </c>
      <c r="FM76" s="134">
        <f>IF(ISNA(VLOOKUP(A76,'Données projet'!$A$217:$I$237,4,0)),0,VLOOKUP(A76,'Données projet'!$A$217:$I$237,4,0))</f>
        <v>0</v>
      </c>
      <c r="FN76" s="135">
        <f>IF(ISNA(VLOOKUP(A76,'Données projet'!$A$217:$I$237,5,0)),0%,VLOOKUP(A76,'Données projet'!$A$217:$I$237,5,0)*VLOOKUP('Données projet'!$B$16,'Paramètres'!$A$1:$I$89,7,0))</f>
        <v>0</v>
      </c>
      <c r="FO76" s="135">
        <f>IF(ISNA(VLOOKUP(A76,'Données projet'!$A$217:$I$237,6,0)),0%,VLOOKUP(A76,'Données projet'!$A$217:$I$237,6,0)*VLOOKUP('Données projet'!$B$16,'Paramètres'!$A$1:$I$89,7,0))</f>
        <v>0</v>
      </c>
      <c r="FP76" s="135">
        <f>IF(ISNA(VLOOKUP(A76,'Données projet'!$A$217:$I$237,7,0)),0%,VLOOKUP(A76,'Données projet'!$A$217:$I$237,7,0))</f>
        <v>0</v>
      </c>
      <c r="FQ76" s="142">
        <f>EXP(-LN(2)/35)*FQ75+(1-EXP(-LN(2)/35))/(LN(2)/35)*FM76*FN76*VLOOKUP('Données projet'!$B$16,'Paramètres'!$A$1:$I$89,3,0)*0.475*44/12</f>
        <v>75.99481004</v>
      </c>
      <c r="FR76" s="142">
        <f>EXP(-LN(2)/25)*FR75+(1-EXP(-LN(2)/25))/(LN(2)/25)*Calculateur!FM76*Calculateur!FO76*VLOOKUP('Données projet'!$B$16,'Paramètres'!$A$1:$I$89,3,0)*0.475*44/12</f>
        <v>0</v>
      </c>
      <c r="FS76" s="142">
        <f>EXP(-LN(2)/2)*FS75+(1-EXP(-LN(2)/2))/(LN(2)/2)*FM76*FP76*VLOOKUP('Données projet'!$B$16,'Paramètres'!$A$1:$I$89,3,0)*0.475*44/12</f>
        <v>0</v>
      </c>
      <c r="FT76" s="143">
        <f t="shared" si="25"/>
        <v>75.99481004</v>
      </c>
      <c r="FU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1" t="str">
        <f>VLOOKUP(A76,'Données projet'!$A$243:$I$263,2,0)</f>
        <v>#N/A</v>
      </c>
      <c r="FX76" s="131" t="str">
        <f>VLOOKUP(A76,'Données projet'!$A$243:$I$263,9,0)</f>
        <v>#N/A</v>
      </c>
      <c r="FY76" s="131" t="str">
        <f t="array" ref="FY76">INDEX(FX:FX,MIN(IF(ISNUMBER(FX76:FX272),ROW(FX76:FX272),"")))</f>
        <v/>
      </c>
      <c r="FZ76" s="138">
        <f>IF('Données projet'!$A$244&gt;35,FZ75+FY76-GH75,IF(A76&lt;'Données projet'!$A$244,$FW$205^A76,IF(A76='Données projet'!$A$244,'Données projet'!$B$244,FZ75+FY76-GH75)))</f>
        <v>0</v>
      </c>
      <c r="GA76" s="138">
        <f>FZ76*VLOOKUP('Données projet'!$B$17,'Paramètres'!$A$1:$I$89,3,0)*VLOOKUP('Données projet'!$B$17,'Paramètres'!$A$1:$I$89,5,0)</f>
        <v>0</v>
      </c>
      <c r="GB76" s="130">
        <f t="shared" si="50"/>
        <v>0</v>
      </c>
      <c r="GC76" s="141">
        <f t="shared" si="26"/>
        <v>0</v>
      </c>
      <c r="GD76" s="133">
        <f t="shared" si="27"/>
        <v>293.3333333</v>
      </c>
      <c r="GE76" s="133">
        <f>AVERAGE(OFFSET($GD$3,0,0,'Données projet'!$E$17+1,1))-AVERAGE(OFFSET($H$3,0,0,'Données projet'!$E$17+1,1))</f>
        <v>118.7368745</v>
      </c>
      <c r="GF76" s="133">
        <f t="shared" si="51"/>
        <v>135.1233677</v>
      </c>
      <c r="GG76" s="134">
        <f>IF(ISNA(VLOOKUP(A76,'Données projet'!$A$243:$I$263,3,0)),0,VLOOKUP(A76,'Données projet'!$A$243:$I$263,3,0))</f>
        <v>0</v>
      </c>
      <c r="GH76" s="134">
        <f>IF(ISNA(VLOOKUP(A76,'Données projet'!$A$243:$I$263,4,0)),0,VLOOKUP(A76,'Données projet'!$A$243:$I$263,4,0))</f>
        <v>0</v>
      </c>
      <c r="GI76" s="135">
        <f>IF(ISNA(VLOOKUP(A76,'Données projet'!$A$243:$I$263,5,0)),0%,VLOOKUP(A76,'Données projet'!$A$243:$I$263,5,0)*VLOOKUP('Données projet'!$B$17,'Paramètres'!$A$1:$I$89,7,0))</f>
        <v>0</v>
      </c>
      <c r="GJ76" s="135">
        <f>IF(ISNA(VLOOKUP(A76,'Données projet'!$A$243:$I$263,6,0)),0%,VLOOKUP(A76,'Données projet'!$A$243:$I$263,6,0)*VLOOKUP('Données projet'!$B$17,'Paramètres'!$A$1:$I$89,7,0))</f>
        <v>0</v>
      </c>
      <c r="GK76" s="135">
        <f>IF(ISNA(VLOOKUP(A76,'Données projet'!$A$243:$I$263,7,0)),0%,VLOOKUP(A76,'Données projet'!$A$243:$I$263,7,0))</f>
        <v>0</v>
      </c>
      <c r="GL76" s="142">
        <f>EXP(-LN(2)/35)*GL75+(1-EXP(-LN(2)/35))/(LN(2)/35)*GH76*GI76*VLOOKUP('Données projet'!$B$17,'Paramètres'!$A$1:$I$89,3,0)*0.475*44/12</f>
        <v>80.28828179</v>
      </c>
      <c r="GM76" s="142">
        <f>EXP(-LN(2)/25)*GM75+(1-EXP(-LN(2)/25))/(LN(2)/25)*Calculateur!GH76*Calculateur!GJ76*VLOOKUP('Données projet'!$B$17,'Paramètres'!$A$1:$I$89,3,0)*0.475*44/12</f>
        <v>0</v>
      </c>
      <c r="GN76" s="142">
        <f>EXP(-LN(2)/2)*GN75+(1-EXP(-LN(2)/2))/(LN(2)/2)*GH76*GK76*VLOOKUP('Données projet'!$B$17,'Paramètres'!$A$1:$I$89,3,0)*0.475*44/12</f>
        <v>0</v>
      </c>
      <c r="GO76" s="142">
        <f t="shared" si="28"/>
        <v>80.28828179</v>
      </c>
      <c r="GP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1" t="str">
        <f>VLOOKUP(A76,'Données projet'!$A$269:$I$289,2,0)</f>
        <v>#N/A</v>
      </c>
      <c r="GS76" s="131" t="str">
        <f>VLOOKUP(A76,'Données projet'!$A$269:$I$289,9,0)</f>
        <v>#N/A</v>
      </c>
      <c r="GT76" s="131" t="str">
        <f t="array" ref="GT76">INDEX(GS:GS,MIN(IF(ISNUMBER(GS76:GS272),ROW(GS76:GS272),"")))</f>
        <v/>
      </c>
      <c r="GU76" s="138">
        <f>IF('Données projet'!$A$270&gt;35,GU75+GT76-HC75,IF(A76&lt;'Données projet'!$A$270,$GR$205^A76,IF(A76='Données projet'!$A$270,'Données projet'!$B$270,GU75+GT76-HC75)))</f>
        <v>0</v>
      </c>
      <c r="GV76" s="138">
        <f>GU76*VLOOKUP('Données projet'!$B$18,'Paramètres'!$A$1:$I$89,3,0)*VLOOKUP('Données projet'!$B$18,'Paramètres'!$A$1:$I$89,5,0)</f>
        <v>0</v>
      </c>
      <c r="GW76" s="130" t="str">
        <f t="shared" si="52"/>
        <v>#NUM!</v>
      </c>
      <c r="GX76" s="141" t="str">
        <f t="shared" si="29"/>
        <v>#NUM!</v>
      </c>
      <c r="GY76" s="133" t="str">
        <f t="shared" si="30"/>
        <v>#NUM!</v>
      </c>
      <c r="GZ76" s="133">
        <f>AVERAGE(OFFSET($GY$3,0,0,'Données projet'!$E$18+1,1))-AVERAGE(OFFSET($H$3,0,0,'Données projet'!$E$18+1,1))</f>
        <v>100.5427875</v>
      </c>
      <c r="HA76" s="133">
        <f t="shared" si="53"/>
        <v>92.28663609</v>
      </c>
      <c r="HB76" s="134">
        <f>IF(ISNA(VLOOKUP(A76,'Données projet'!$A$269:$I$289,3,0)),0,VLOOKUP(A76,'Données projet'!$A$269:$I$289,3,0))</f>
        <v>0</v>
      </c>
      <c r="HC76" s="134">
        <f>IF(ISNA(VLOOKUP(A76,'Données projet'!$A$269:$I$289,4,0)),0,VLOOKUP(A76,'Données projet'!$A$269:$I$289,4,0))</f>
        <v>0</v>
      </c>
      <c r="HD76" s="135">
        <f>IF(ISNA(VLOOKUP(A76,'Données projet'!$A$269:$I$289,5,0)),0%,VLOOKUP(A76,'Données projet'!$A$269:$I$289,5,0)*VLOOKUP('Données projet'!$B$18,'Paramètres'!$A$1:$I$89,7,0))</f>
        <v>0</v>
      </c>
      <c r="HE76" s="135">
        <f>IF(ISNA(VLOOKUP(A76,'Données projet'!$A$269:$I$289,6,0)),0%,VLOOKUP(A76,'Données projet'!$A$269:$I$289,6,0)*VLOOKUP('Données projet'!$B$18,'Paramètres'!$A$1:$I$89,7,0))</f>
        <v>0</v>
      </c>
      <c r="HF76" s="135">
        <f>IF(ISNA(VLOOKUP(A76,'Données projet'!$A$269:$I$289,7,0)),0%,VLOOKUP(A76,'Données projet'!$A$269:$I$289,7,0))</f>
        <v>0</v>
      </c>
      <c r="HG76" s="142">
        <f>EXP(-LN(2)/35)*HG75+(1-EXP(-LN(2)/35))/(LN(2)/35)*HC76*HD76*VLOOKUP('Données projet'!$B$18,'Paramètres'!$A$1:$I$89,3,0)*0.475*44/12</f>
        <v>54.67462613</v>
      </c>
      <c r="HH76" s="142">
        <f>EXP(-LN(2)/25)*HH75+(1-EXP(-LN(2)/25))/(LN(2)/25)*Calculateur!HC76*Calculateur!HE76*VLOOKUP('Données projet'!$B$18,'Paramètres'!$A$1:$I$89,3,0)*0.475*44/12</f>
        <v>0</v>
      </c>
      <c r="HI76" s="142">
        <f>EXP(-LN(2)/2)*HI75+(1-EXP(-LN(2)/2))/(LN(2)/2)*HC76*HF76*VLOOKUP('Données projet'!$B$18,'Paramètres'!$A$1:$I$89,3,0)*0.475*44/12</f>
        <v>0</v>
      </c>
      <c r="HJ76" s="143">
        <f t="shared" si="31"/>
        <v>54.67462613</v>
      </c>
    </row>
    <row r="77" ht="15.75" customHeight="1">
      <c r="A77" s="125">
        <f t="shared" si="32"/>
        <v>74</v>
      </c>
      <c r="B77" s="126">
        <f>'Scénario référence'!$B$16*5+'Scénario référence'!$B$17*0+'Scénario référence'!$B$18*5</f>
        <v>0</v>
      </c>
      <c r="C77" s="140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40.404</v>
      </c>
      <c r="D77" s="127">
        <f t="shared" si="33"/>
        <v>12.10566444</v>
      </c>
      <c r="E7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7">
        <f>IF(OR('Scénario référence'!$F$8&gt;0,'Scénario référence'!$F$9&gt;0),('Scénario référence'!$F$8+'Scénario référence'!$F$9)*10,0)</f>
        <v>10</v>
      </c>
      <c r="G77" s="127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</v>
      </c>
      <c r="H77" s="128">
        <f t="shared" si="1"/>
        <v>384.7876656</v>
      </c>
      <c r="I77" s="12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1" t="str">
        <f>VLOOKUP(A77,'Données projet'!$A$35:$I$55,2,0)</f>
        <v>#N/A</v>
      </c>
      <c r="L77" s="131" t="str">
        <f>VLOOKUP(A77,'Données projet'!$A$35:$I$55,9,0)</f>
        <v>#N/A</v>
      </c>
      <c r="M77" s="131" t="str">
        <f t="array" ref="M77">INDEX(L:L,MIN(IF(ISNUMBER(L77:L273),ROW(L77:L273),"")))</f>
        <v/>
      </c>
      <c r="N77" s="130">
        <f>IF('Données projet'!$A$36&gt;35,N76+M77-V76,IF(A77&lt;'Données projet'!$A$36,$K$205^A77,IF(A77='Données projet'!$A$36,'Données projet'!$B$36,N76+M77-V76)))</f>
        <v>0</v>
      </c>
      <c r="O77" s="130">
        <f>N77*VLOOKUP('Données projet'!$B$9,'Paramètres'!$A$1:$I$89,3,0)*VLOOKUP('Données projet'!$B$9,'Paramètres'!$A$1:$I$89,5,0)</f>
        <v>0</v>
      </c>
      <c r="P77" s="130">
        <f t="shared" si="34"/>
        <v>0</v>
      </c>
      <c r="Q77" s="141">
        <f t="shared" si="2"/>
        <v>0</v>
      </c>
      <c r="R77" s="133">
        <f t="shared" si="3"/>
        <v>293.3333333</v>
      </c>
      <c r="S77" s="133">
        <f>AVERAGE(OFFSET($R$3,0,0,'Données projet'!$E$9+1,1))-AVERAGE(OFFSET($H$3,0,0,'Données projet'!$E$9+1,1))</f>
        <v>126.9946492</v>
      </c>
      <c r="T77" s="133">
        <f t="shared" si="35"/>
        <v>140.039049</v>
      </c>
      <c r="U77" s="134">
        <f>IF(ISNA(VLOOKUP(A77,'Données projet'!$A$35:$I$55,3,0)),0,VLOOKUP(A77,'Données projet'!$A$35:$I$55,3,0))</f>
        <v>0</v>
      </c>
      <c r="V77" s="134">
        <f>IF(ISNA(VLOOKUP(A77,'Données projet'!$A$35:$I$55,4,0)),0,VLOOKUP(A77,'Données projet'!$A$35:$I$55,4,0))</f>
        <v>0</v>
      </c>
      <c r="W77" s="135">
        <f>IF(ISNA(VLOOKUP(A77,'Données projet'!$A$35:$I$55,5,0)),0%,VLOOKUP(A77,'Données projet'!$A$35:$I$55,5,0)*VLOOKUP('Données projet'!$B$9,'Paramètres'!$A$1:$I$89,7,0))</f>
        <v>0</v>
      </c>
      <c r="X77" s="135">
        <f>IF(ISNA(VLOOKUP(A77,'Données projet'!$A$35:$I$55,6,0)),0%,VLOOKUP(A77,'Données projet'!$A$35:$I$55,6,0)*VLOOKUP('Données projet'!$B$9,'Paramètres'!$A$1:$I$89,7,0))</f>
        <v>0</v>
      </c>
      <c r="Y77" s="135">
        <f>IF(ISNA(VLOOKUP(A77,'Données projet'!$A$35:$I$55,7,0)),0%,VLOOKUP(A77,'Données projet'!$A$35:$I$55,7,0))</f>
        <v>0</v>
      </c>
      <c r="Z77" s="142">
        <f>EXP(-LN(2)/35)*Z76+(1-EXP(-LN(2)/35))/(LN(2)/35)*V77*W77*VLOOKUP('Données projet'!$B$9,'Paramètres'!$A$1:$I$89,3,0)*0.475*44/12</f>
        <v>80.50677476</v>
      </c>
      <c r="AA77" s="142">
        <f>EXP(-LN(2)/25)*AA76+(1-EXP(-LN(2)/25))/(LN(2)/25)*Calculateur!V77*Calculateur!X77*VLOOKUP('Données projet'!$B$9,'Paramètres'!$A$1:$I$89,3,0)*0.475*44/12</f>
        <v>15.76282481</v>
      </c>
      <c r="AB77" s="142">
        <f>EXP(-LN(2)/2)*AB76+(1-EXP(-LN(2)/2))/(LN(2)/2)*V77*Y77*VLOOKUP('Données projet'!$B$9,'Paramètres'!$A$1:$I$89,3,0)*0.475*44/12</f>
        <v>0.1483544626</v>
      </c>
      <c r="AC77" s="143">
        <f t="shared" si="4"/>
        <v>96.41795403</v>
      </c>
      <c r="AD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1" t="str">
        <f>VLOOKUP(A77,'Données projet'!$A$61:$I$81,2,0)</f>
        <v>#N/A</v>
      </c>
      <c r="AG77" s="131" t="str">
        <f>VLOOKUP(A77,'Données projet'!$A$61:$I$81,9,0)</f>
        <v>#N/A</v>
      </c>
      <c r="AH77" s="131" t="str">
        <f t="array" ref="AH77">INDEX(AG:AG,MIN(IF(ISNUMBER(AG77:AG273),ROW(AG77:AG273),"")))</f>
        <v/>
      </c>
      <c r="AI77" s="130">
        <f>IF('Données projet'!$A$62&gt;35,AI76+AH77-AQ76,IF(A77&lt;'Données projet'!$A$62,$AF$205^A77,IF(A77='Données projet'!$A$62,'Données projet'!$B$62,AI76+AH77-AQ76)))</f>
        <v>0</v>
      </c>
      <c r="AJ77" s="130">
        <f>AI77*VLOOKUP('Données projet'!$B$10,'Paramètres'!$A$1:$I$89,3,0)*VLOOKUP('Données projet'!$B$10,'Paramètres'!$A$1:$I$89,5,0)</f>
        <v>0</v>
      </c>
      <c r="AK77" s="130" t="str">
        <f t="shared" si="36"/>
        <v>#NUM!</v>
      </c>
      <c r="AL77" s="141" t="str">
        <f t="shared" si="5"/>
        <v>#NUM!</v>
      </c>
      <c r="AM77" s="133" t="str">
        <f t="shared" si="6"/>
        <v>#NUM!</v>
      </c>
      <c r="AN77" s="133">
        <f>AVERAGE(OFFSET($AM$3,0,0,'Données projet'!$E$10+1,1))-AVERAGE(OFFSET($H$3,0,0,'Données projet'!$E$10+1,1))</f>
        <v>196.874484</v>
      </c>
      <c r="AO77" s="133">
        <f t="shared" si="37"/>
        <v>217.5750859</v>
      </c>
      <c r="AP77" s="134">
        <f>IF(ISNA(VLOOKUP(A77,'Données projet'!$A$61:$I$81,3,0)),0,VLOOKUP(A77,'Données projet'!$A$61:$I$81,3,0))</f>
        <v>0</v>
      </c>
      <c r="AQ77" s="134">
        <f>IF(ISNA(VLOOKUP(A77,'Données projet'!$A$61:$I$81,4,0)),0,VLOOKUP(A77,'Données projet'!$A$61:$I$81,4,0))</f>
        <v>0</v>
      </c>
      <c r="AR77" s="135">
        <f>IF(ISNA(VLOOKUP(A77,'Données projet'!$A$61:$I$81,5,0)),0%,VLOOKUP(A77,'Données projet'!$A$61:$I$81,5,0)*VLOOKUP('Données projet'!$B$10,'Paramètres'!$A$1:$I$89,7,0))</f>
        <v>0</v>
      </c>
      <c r="AS77" s="135">
        <f>IF(ISNA(VLOOKUP(A77,'Données projet'!$A$61:$I$81,6,0)),0%,VLOOKUP(A77,'Données projet'!$A$61:$I$81,6,0)*VLOOKUP('Données projet'!$B$10,'Paramètres'!$A$1:$I$89,7,0))</f>
        <v>0</v>
      </c>
      <c r="AT77" s="135">
        <f>IF(ISNA(VLOOKUP(A77,'Données projet'!$A$61:$I$81,7,0)),0%,VLOOKUP(A77,'Données projet'!$A$61:$I$81,7,0))</f>
        <v>0</v>
      </c>
      <c r="AU77" s="142">
        <f>EXP(-LN(2)/35)*AU76+(1-EXP(-LN(2)/35))/(LN(2)/35)*AQ77*AR77*VLOOKUP('Données projet'!$B$10,'Paramètres'!$A$1:$I$89,3,0)*0.475*44/12</f>
        <v>111.9021302</v>
      </c>
      <c r="AV77" s="142">
        <f>EXP(-LN(2)/25)*AV76+(1-EXP(-LN(2)/25))/(LN(2)/25)*Calculateur!AQ77*Calculateur!AS77*VLOOKUP('Données projet'!$B$10,'Paramètres'!$A$1:$I$89,3,0)*0.475*44/12</f>
        <v>24.2353642</v>
      </c>
      <c r="AW77" s="142">
        <f>EXP(-LN(2)/2)*AW76+(1-EXP(-LN(2)/2))/(LN(2)/2)*AQ77*AT77*VLOOKUP('Données projet'!$B$10,'Paramètres'!$A$1:$I$89,3,0)*0.475*44/12</f>
        <v>0.2068372689</v>
      </c>
      <c r="AX77" s="142">
        <f t="shared" si="7"/>
        <v>136.3443317</v>
      </c>
      <c r="AY77" s="13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1" t="str">
        <f>VLOOKUP(A77,'Données projet'!$A$87:$I$107,2,0)</f>
        <v>#N/A</v>
      </c>
      <c r="BB77" s="131" t="str">
        <f>VLOOKUP(A77,'Données projet'!$A$87:$I$107,9,0)</f>
        <v>#N/A</v>
      </c>
      <c r="BC77" s="131" t="str">
        <f t="array" ref="BC77">INDEX(BB:BB,MIN(IF(ISNUMBER(BB77:BB273),ROW(BB77:BB273),"")))</f>
        <v/>
      </c>
      <c r="BD77" s="130">
        <f>IF('Données projet'!$A$88&gt;35,BD76+BC77-BL76,IF(A77&lt;'Données projet'!$A$88,$BA$205^A77,IF(A77='Données projet'!$A$88,'Données projet'!$B$88,BD76+BC77-BL76)))</f>
        <v>0</v>
      </c>
      <c r="BE77" s="130">
        <f>BD77*VLOOKUP('Données projet'!$B$11,'Paramètres'!$A$1:$I$89,3,0)*VLOOKUP('Données projet'!$B$11,'Paramètres'!$A$1:$I$89,5,0)</f>
        <v>0</v>
      </c>
      <c r="BF77" s="130" t="str">
        <f t="shared" si="38"/>
        <v>#NUM!</v>
      </c>
      <c r="BG77" s="141" t="str">
        <f t="shared" si="8"/>
        <v>#NUM!</v>
      </c>
      <c r="BH77" s="133" t="str">
        <f t="shared" si="9"/>
        <v>#NUM!</v>
      </c>
      <c r="BI77" s="133">
        <f>AVERAGE(OFFSET($BH$3,0,0,'Données projet'!$E$11+1,1))-AVERAGE(OFFSET($H$3,0,0,'Données projet'!$E$11+1,1))</f>
        <v>134.0948534</v>
      </c>
      <c r="BJ77" s="133">
        <f t="shared" si="39"/>
        <v>108.4102536</v>
      </c>
      <c r="BK77" s="134">
        <f>IF(ISNA(VLOOKUP(A77,'Données projet'!$A$87:$I$107,3,0)),0,VLOOKUP(A77,'Données projet'!$A$87:$I$107,3,0))</f>
        <v>0</v>
      </c>
      <c r="BL77" s="134">
        <f>IF(ISNA(VLOOKUP(A77,'Données projet'!$A$87:$I$107,4,0)),0,VLOOKUP(A77,'Données projet'!$A$87:$I$107,4,0))</f>
        <v>0</v>
      </c>
      <c r="BM77" s="135">
        <f>IF(ISNA(VLOOKUP(A77,'Données projet'!$A$87:$I$107,5,0)),0%,VLOOKUP(A77,'Données projet'!$A$87:$I$107,5,0)*VLOOKUP('Données projet'!$B$11,'Paramètres'!$A$1:$I$89,7,0))</f>
        <v>0</v>
      </c>
      <c r="BN77" s="135">
        <f>IF(ISNA(VLOOKUP(A77,'Données projet'!$A$87:$I$107,6,0)),0%,VLOOKUP(A77,'Données projet'!$A$87:$I$107,6,0)*VLOOKUP('Données projet'!$B$11,'Paramètres'!$A$1:$I$89,7,0))</f>
        <v>0</v>
      </c>
      <c r="BO77" s="135">
        <f>IF(ISNA(VLOOKUP(A77,'Données projet'!$A$87:$I$107,7,0)),0%,VLOOKUP(A77,'Données projet'!$A$87:$I$107,7,0))</f>
        <v>0</v>
      </c>
      <c r="BP77" s="142">
        <f>EXP(-LN(2)/35)*BP76+(1-EXP(-LN(2)/35))/(LN(2)/35)*BL77*BM77*VLOOKUP('Données projet'!$B$11,'Paramètres'!$A$1:$I$89,3,0)*0.475*44/12</f>
        <v>154.7815448</v>
      </c>
      <c r="BQ77" s="142">
        <f>EXP(-LN(2)/25)*BQ76+(1-EXP(-LN(2)/25))/(LN(2)/25)*Calculateur!BL77*Calculateur!BN77*VLOOKUP('Données projet'!$B$11,'Paramètres'!$A$1:$I$89,3,0)*0.475*44/12</f>
        <v>15.28768855</v>
      </c>
      <c r="BR77" s="142">
        <f>EXP(-LN(2)/2)*BR76+(1-EXP(-LN(2)/2))/(LN(2)/2)*BL77*BO77*VLOOKUP('Données projet'!$B$11,'Paramètres'!$A$1:$I$89,3,0)*0.475*44/12</f>
        <v>2.758912332</v>
      </c>
      <c r="BS77" s="143">
        <f t="shared" si="10"/>
        <v>172.8281456</v>
      </c>
      <c r="BT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1" t="str">
        <f>VLOOKUP(A77,'Données projet'!$A$113:$I$133,2,0)</f>
        <v>#N/A</v>
      </c>
      <c r="BW77" s="131" t="str">
        <f>VLOOKUP(A77,'Données projet'!$A$113:$I$133,9,0)</f>
        <v>#N/A</v>
      </c>
      <c r="BX77" s="131" t="str">
        <f t="array" ref="BX77">INDEX(BW:BW,MIN(IF(ISNUMBER(BW77:BW273),ROW(BW77:BW273),"")))</f>
        <v/>
      </c>
      <c r="BY77" s="130">
        <f>IF('Données projet'!$A$114&gt;35,BY76+BX77-CG76,IF(A77&lt;'Données projet'!$A$114,$BV$205^A77,IF(A77='Données projet'!$A$114,'Données projet'!$B$114,BY76+BX77-CG76)))</f>
        <v>0</v>
      </c>
      <c r="BZ77" s="130">
        <f>BY77*VLOOKUP('Données projet'!$B$12,'Paramètres'!$A$1:$I$89,3,0)*VLOOKUP('Données projet'!$B$12,'Paramètres'!$A$1:$I$89,5,0)</f>
        <v>0</v>
      </c>
      <c r="CA77" s="130" t="str">
        <f t="shared" si="40"/>
        <v>#NUM!</v>
      </c>
      <c r="CB77" s="141" t="str">
        <f t="shared" si="11"/>
        <v>#NUM!</v>
      </c>
      <c r="CC77" s="133" t="str">
        <f t="shared" si="12"/>
        <v>#NUM!</v>
      </c>
      <c r="CD77" s="133">
        <f>AVERAGE(OFFSET($CC$3,0,0,'Données projet'!$E$12+1,1))-AVERAGE(OFFSET($H$3,0,0,'Données projet'!$E$12+1,1))</f>
        <v>258.1672054</v>
      </c>
      <c r="CE77" s="133">
        <f t="shared" si="41"/>
        <v>296.0724261</v>
      </c>
      <c r="CF77" s="134">
        <f>IF(ISNA(VLOOKUP(A77,'Données projet'!$A$113:$I$133,3,0)),0,VLOOKUP(A77,'Données projet'!$A$113:$I$133,3,0))</f>
        <v>0</v>
      </c>
      <c r="CG77" s="134">
        <f>IF(ISNA(VLOOKUP(A77,'Données projet'!$A$113:$I$133,4,0)),0,VLOOKUP(A77,'Données projet'!$A$113:$I$133,4,0))</f>
        <v>0</v>
      </c>
      <c r="CH77" s="135">
        <f>IF(ISNA(VLOOKUP(A77,'Données projet'!$A$113:$I$133,5,0)),0%,VLOOKUP(A77,'Données projet'!$A$113:$I$133,5,0)*VLOOKUP('Données projet'!$B$12,'Paramètres'!$A$1:$I$89,7,0))</f>
        <v>0</v>
      </c>
      <c r="CI77" s="135">
        <f>IF(ISNA(VLOOKUP(A77,'Données projet'!$A$113:$I$133,6,0)),0%,VLOOKUP(A77,'Données projet'!$A$113:$I$133,6,0)*VLOOKUP('Données projet'!$B$12,'Paramètres'!$A$1:$I$89,7,0))</f>
        <v>0</v>
      </c>
      <c r="CJ77" s="135">
        <f>IF(ISNA(VLOOKUP(A77,'Données projet'!$A$113:$I$133,7,0)),0%,VLOOKUP(A77,'Données projet'!$A$113:$I$133,7,0))</f>
        <v>0</v>
      </c>
      <c r="CK77" s="142">
        <f>EXP(-LN(2)/35)*CK76+(1-EXP(-LN(2)/35))/(LN(2)/35)*CG77*CH77*VLOOKUP('Données projet'!$B$12,'Paramètres'!$A$1:$I$89,3,0)*0.475*44/12</f>
        <v>195.6912222</v>
      </c>
      <c r="CL77" s="142">
        <f>EXP(-LN(2)/25)*CL76+(1-EXP(-LN(2)/25))/(LN(2)/25)*Calculateur!CG77*Calculateur!CI77*VLOOKUP('Données projet'!$B$12,'Paramètres'!$A$1:$I$89,3,0)*0.475*44/12</f>
        <v>26.81547355</v>
      </c>
      <c r="CM77" s="142">
        <f>EXP(-LN(2)/2)*CM76+(1-EXP(-LN(2)/2))/(LN(2)/2)*CG77*CJ77*VLOOKUP('Données projet'!$B$12,'Paramètres'!$A$1:$I$89,3,0)*0.475*44/12</f>
        <v>0.1162297202</v>
      </c>
      <c r="CN77" s="143">
        <f t="shared" si="13"/>
        <v>222.6229255</v>
      </c>
      <c r="CO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1" t="str">
        <f>VLOOKUP(A77,'Données projet'!$A$139:$I$159,2,0)</f>
        <v>#N/A</v>
      </c>
      <c r="CR77" s="131" t="str">
        <f>VLOOKUP(A77,'Données projet'!$A$139:$I$159,9,0)</f>
        <v>#N/A</v>
      </c>
      <c r="CS77" s="130">
        <f t="array" ref="CS77">INDEX(CR:CR,MIN(IF(ISNUMBER(CR77:CR273),ROW(CR77:CR273),"")))</f>
        <v>5</v>
      </c>
      <c r="CT77" s="138">
        <f>IF('Données projet'!$A$140&gt;35,CT76+CS77-DB76,IF(A77&lt;'Données projet'!$A$140,$CQ$205^A77,IF(A77='Données projet'!$A$140,'Données projet'!$B$140,CT76+CS77-DB76)))</f>
        <v>178</v>
      </c>
      <c r="CU77" s="138">
        <f>CT77*VLOOKUP('Données projet'!$B$13,'Paramètres'!$A$1:$I$89,3,0)*VLOOKUP('Données projet'!$B$13,'Paramètres'!$A$1:$I$89,5,0)</f>
        <v>180.492</v>
      </c>
      <c r="CV77" s="130">
        <f t="shared" si="42"/>
        <v>45.43162971</v>
      </c>
      <c r="CW77" s="141">
        <f t="shared" si="14"/>
        <v>393.4836551</v>
      </c>
      <c r="CX77" s="133">
        <f t="shared" si="15"/>
        <v>686.8169884</v>
      </c>
      <c r="CY77" s="133">
        <f>AVERAGE(OFFSET($CX$3,0,0,'Données projet'!$E$13+1,1))-AVERAGE(OFFSET($H$3,0,0,'Données projet'!$E$13+1,1))</f>
        <v>223.783507</v>
      </c>
      <c r="CZ77" s="133">
        <f t="shared" si="43"/>
        <v>84.92349117</v>
      </c>
      <c r="DA77" s="134">
        <f>IF(ISNA(VLOOKUP(A77,'Données projet'!$A$139:$I$159,3,0)),0,VLOOKUP(A77,'Données projet'!$A$139:$I$159,3,0))</f>
        <v>0</v>
      </c>
      <c r="DB77" s="134">
        <f>IF(ISNA(VLOOKUP(A77,'Données projet'!$A$139:$I$159,4,0)),0,VLOOKUP(A77,'Données projet'!$A$139:$I$159,4,0))</f>
        <v>0</v>
      </c>
      <c r="DC77" s="135">
        <f>IF(ISNA(VLOOKUP(A77,'Données projet'!$A$139:$I$159,5,0)),0%,VLOOKUP(A77,'Données projet'!$A$139:$I$159,5,0)*VLOOKUP('Données projet'!$B$13,'Paramètres'!$A$1:$I$89,7,0))</f>
        <v>0</v>
      </c>
      <c r="DD77" s="135">
        <f>IF(ISNA(VLOOKUP(A77,'Données projet'!$A$139:$I$159,6,0)),0%,VLOOKUP(A77,'Données projet'!$A$139:$I$159,6,0)*VLOOKUP('Données projet'!$B$13,'Paramètres'!$A$1:$I$89,7,0))</f>
        <v>0</v>
      </c>
      <c r="DE77" s="135">
        <f>IF(ISNA(VLOOKUP(A77,'Données projet'!$A$139:$I$159,7,0)),0%,VLOOKUP(A77,'Données projet'!$A$139:$I$159,7,0))</f>
        <v>0</v>
      </c>
      <c r="DF77" s="142">
        <f>EXP(-LN(2)/35)*DF76+(1-EXP(-LN(2)/35))/(LN(2)/35)*DB77*DC77*VLOOKUP('Données projet'!$B$13,'Paramètres'!$A$1:$I$89,3,0)*0.475*44/12</f>
        <v>9.275066245</v>
      </c>
      <c r="DG77" s="142">
        <f>EXP(-LN(2)/25)*DG76+(1-EXP(-LN(2)/25))/(LN(2)/25)*Calculateur!DB77*Calculateur!DD77*VLOOKUP('Données projet'!$B$13,'Paramètres'!$A$1:$I$89,3,0)*0.475*44/12</f>
        <v>0</v>
      </c>
      <c r="DH77" s="142">
        <f>EXP(-LN(2)/2)*DH76+(1-EXP(-LN(2)/2))/(LN(2)/2)*DB77*DE77*VLOOKUP('Données projet'!$B$13,'Paramètres'!$A$1:$I$89,3,0)*0.475*44/12</f>
        <v>0</v>
      </c>
      <c r="DI77" s="143">
        <f t="shared" si="16"/>
        <v>9.275066245</v>
      </c>
      <c r="DJ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1" t="str">
        <f>VLOOKUP(A77,'Données projet'!$A$165:$I$185,2,0)</f>
        <v>#N/A</v>
      </c>
      <c r="DM77" s="131" t="str">
        <f>VLOOKUP(A77,'Données projet'!$A$165:$I$185,9,0)</f>
        <v>#N/A</v>
      </c>
      <c r="DN77" s="131">
        <f t="array" ref="DN77">INDEX(DM:DM,MIN(IF(ISNUMBER(DM77:DM273),ROW(DM77:DM273),"")))</f>
        <v>6.2</v>
      </c>
      <c r="DO77" s="138">
        <f>IF('Données projet'!$A$166&gt;35,DO76+DN77-DW76,IF(A77&lt;'Données projet'!$A$166,$DL$205^A77,IF(A77='Données projet'!$A$166,'Données projet'!$B$166,DO76+DN77-DW76)))</f>
        <v>245.8</v>
      </c>
      <c r="DP77" s="138">
        <f>DO77*VLOOKUP('Données projet'!$B$14,'Paramètres'!$A$1:$I$89,3,0)*VLOOKUP('Données projet'!$B$14,'Paramètres'!$A$1:$I$89,5,0)</f>
        <v>222.39984</v>
      </c>
      <c r="DQ77" s="130">
        <f t="shared" si="44"/>
        <v>54.63614928</v>
      </c>
      <c r="DR77" s="141">
        <f t="shared" si="17"/>
        <v>482.504348</v>
      </c>
      <c r="DS77" s="133">
        <f t="shared" si="18"/>
        <v>775.8376813</v>
      </c>
      <c r="DT77" s="133">
        <f>AVERAGE(OFFSET($DS$3,0,0,'Données projet'!$E$14+1,1))-AVERAGE(OFFSET($H$3,0,0,'Données projet'!$E$14+1,1))</f>
        <v>287.9334714</v>
      </c>
      <c r="DU77" s="133">
        <f t="shared" si="45"/>
        <v>156.6796502</v>
      </c>
      <c r="DV77" s="134">
        <f>IF(ISNA(VLOOKUP(A77,'Données projet'!$A$165:$I$185,3,0)),0,VLOOKUP(A77,'Données projet'!$A$165:$I$185,3,0))</f>
        <v>0</v>
      </c>
      <c r="DW77" s="134">
        <f>IF(ISNA(VLOOKUP(A77,'Données projet'!$A$165:$I$185,4,0)),0,VLOOKUP(A77,'Données projet'!$A$165:$I$185,4,0))</f>
        <v>0</v>
      </c>
      <c r="DX77" s="135">
        <f>IF(ISNA(VLOOKUP(A77,'Données projet'!$A$165:$I$185,5,0)),0%,VLOOKUP(A77,'Données projet'!$A$165:$I$185,5,0)*VLOOKUP('Données projet'!$B$14,'Paramètres'!$A$1:$I$89,7,0))</f>
        <v>0</v>
      </c>
      <c r="DY77" s="135">
        <f>IF(ISNA(VLOOKUP(A77,'Données projet'!$A$165:$I$185,6,0)),0%,VLOOKUP(A77,'Données projet'!$A$165:$I$185,6,0)*VLOOKUP('Données projet'!$B$14,'Paramètres'!$A$1:$I$89,7,0))</f>
        <v>0</v>
      </c>
      <c r="DZ77" s="135">
        <f>IF(ISNA(VLOOKUP(A77,'Données projet'!$A$165:$I$185,7,0)),0%,VLOOKUP(A77,'Données projet'!$A$165:$I$185,7,0))</f>
        <v>0</v>
      </c>
      <c r="EA77" s="142">
        <f>EXP(-LN(2)/35)*EA76+(1-EXP(-LN(2)/35))/(LN(2)/35)*DW77*DX77*VLOOKUP('Données projet'!$B$14,'Paramètres'!$A$1:$I$89,3,0)*0.475*44/12</f>
        <v>15.41603635</v>
      </c>
      <c r="EB77" s="142">
        <f>EXP(-LN(2)/25)*EB76+(1-EXP(-LN(2)/25))/(LN(2)/25)*Calculateur!DW77*Calculateur!DY77*VLOOKUP('Données projet'!$B$14,'Paramètres'!$A$1:$I$89,3,0)*0.475*44/12</f>
        <v>0</v>
      </c>
      <c r="EC77" s="142">
        <f>EXP(-LN(2)/2)*EC76+(1-EXP(-LN(2)/2))/(LN(2)/2)*DW77*DZ77*VLOOKUP('Données projet'!$B$14,'Paramètres'!$A$1:$I$89,3,0)*0.475*44/12</f>
        <v>0</v>
      </c>
      <c r="ED77" s="143">
        <f t="shared" si="19"/>
        <v>15.41603635</v>
      </c>
      <c r="EE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1" t="str">
        <f>VLOOKUP(A77,'Données projet'!$A$191:$I$211,2,0)</f>
        <v>#N/A</v>
      </c>
      <c r="EH77" s="131" t="str">
        <f>VLOOKUP(A77,'Données projet'!$A$191:$I$211,9,0)</f>
        <v>#N/A</v>
      </c>
      <c r="EI77" s="131">
        <f t="array" ref="EI77">INDEX(EH:EH,MIN(IF(ISNUMBER(EH77:EH273),ROW(EH77:EH273),"")))</f>
        <v>7.6</v>
      </c>
      <c r="EJ77" s="138">
        <f>IF('Données projet'!$A$192&gt;35,EJ76+EI77-ER76,IF(A77&lt;'Données projet'!$A$192,$EG$205^A77,IF(A77='Données projet'!$A$192,'Données projet'!$B$192,EJ76+EI77-ER76)))</f>
        <v>246.4</v>
      </c>
      <c r="EK77" s="138">
        <f>EJ77*VLOOKUP('Données projet'!$B$15,'Paramètres'!$A$1:$I$89,3,0)*VLOOKUP('Données projet'!$B$15,'Paramètres'!$A$1:$I$89,5,0)</f>
        <v>180.66048</v>
      </c>
      <c r="EL77" s="130">
        <f t="shared" si="46"/>
        <v>45.46909946</v>
      </c>
      <c r="EM77" s="141">
        <f t="shared" si="20"/>
        <v>393.8423509</v>
      </c>
      <c r="EN77" s="133">
        <f t="shared" si="21"/>
        <v>687.1756842</v>
      </c>
      <c r="EO77" s="133">
        <f>AVERAGE(OFFSET($EN$3,0,0,'Données projet'!$E$15+1,1))-AVERAGE(OFFSET($H$3,0,0,'Données projet'!$E$15+1,1))</f>
        <v>130.3193339</v>
      </c>
      <c r="EP77" s="133">
        <f t="shared" si="47"/>
        <v>82.22784365</v>
      </c>
      <c r="EQ77" s="134">
        <f>IF(ISNA(VLOOKUP(A77,'Données projet'!$A$191:$I$211,3,0)),0,VLOOKUP(A77,'Données projet'!$A$191:$I$211,3,0))</f>
        <v>0</v>
      </c>
      <c r="ER77" s="134">
        <f>IF(ISNA(VLOOKUP(A77,'Données projet'!$A$191:$I$211,4,0)),0,VLOOKUP(A77,'Données projet'!$A$191:$I$211,4,0))</f>
        <v>0</v>
      </c>
      <c r="ES77" s="135">
        <f>IF(ISNA(VLOOKUP(A77,'Données projet'!$A$191:$I$211,5,0)),0%,VLOOKUP(A77,'Données projet'!$A$191:$I$211,5,0)*VLOOKUP('Données projet'!$B$15,'Paramètres'!$A$1:$I$89,7,0))</f>
        <v>0</v>
      </c>
      <c r="ET77" s="135">
        <f>IF(ISNA(VLOOKUP(A77,'Données projet'!$A$191:$I$211,6,0)),0%,VLOOKUP(A77,'Données projet'!$A$191:$I$211,6,0)*VLOOKUP('Données projet'!$B$15,'Paramètres'!$A$1:$I$89,7,0))</f>
        <v>0</v>
      </c>
      <c r="EU77" s="135">
        <f>IF(ISNA(VLOOKUP(A77,'Données projet'!$A$191:$I$211,7,0)),0%,VLOOKUP(A77,'Données projet'!$A$191:$I$211,7,0))</f>
        <v>0</v>
      </c>
      <c r="EV77" s="142">
        <f>EXP(-LN(2)/35)*EV76+(1-EXP(-LN(2)/35))/(LN(2)/35)*ER77*ES77*VLOOKUP('Données projet'!$B$15,'Paramètres'!$A$1:$I$89,3,0)*0.475*44/12</f>
        <v>18.31047466</v>
      </c>
      <c r="EW77" s="142">
        <f>EXP(-LN(2)/25)*EW76+(1-EXP(-LN(2)/25))/(LN(2)/25)*Calculateur!ER77*Calculateur!ET77*VLOOKUP('Données projet'!$B$15,'Paramètres'!$A$1:$I$89,3,0)*0.475*44/12</f>
        <v>0</v>
      </c>
      <c r="EX77" s="142">
        <f>EXP(-LN(2)/2)*EX76+(1-EXP(-LN(2)/2))/(LN(2)/2)*ER77*EU77*VLOOKUP('Données projet'!$B$15,'Paramètres'!$A$1:$I$89,3,0)*0.475*44/12</f>
        <v>0</v>
      </c>
      <c r="EY77" s="143">
        <f t="shared" si="22"/>
        <v>18.31047466</v>
      </c>
      <c r="EZ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1" t="str">
        <f>VLOOKUP(A77,'Données projet'!$A$217:$I$237,2,0)</f>
        <v>#N/A</v>
      </c>
      <c r="FC77" s="131" t="str">
        <f>VLOOKUP(A77,'Données projet'!$A$217:$I$237,9,0)</f>
        <v>#N/A</v>
      </c>
      <c r="FD77" s="131" t="str">
        <f t="array" ref="FD77">INDEX(FC:FC,MIN(IF(ISNUMBER(FC77:FC273),ROW(FC77:FC273),"")))</f>
        <v/>
      </c>
      <c r="FE77" s="130">
        <f>IF('Données projet'!$A$218&gt;35,FE76+FD77-FM76,IF(A77&lt;'Données projet'!$A$218,$FB$205^A77,IF(A77='Données projet'!$A$218,'Données projet'!$B$218,FE76+FD77-FM76)))</f>
        <v>0</v>
      </c>
      <c r="FF77" s="138">
        <f>FE77*VLOOKUP('Données projet'!$B$16,'Paramètres'!$A$1:$I$89,3,0)*VLOOKUP('Données projet'!$B$16,'Paramètres'!$A$1:$I$89,5,0)</f>
        <v>0</v>
      </c>
      <c r="FG77" s="130">
        <f t="shared" si="48"/>
        <v>0</v>
      </c>
      <c r="FH77" s="141">
        <f t="shared" si="23"/>
        <v>0</v>
      </c>
      <c r="FI77" s="133">
        <f t="shared" si="24"/>
        <v>293.3333333</v>
      </c>
      <c r="FJ77" s="133">
        <f>AVERAGE(OFFSET($FI$3,0,0,'Données projet'!$E$16+1,1))-AVERAGE(OFFSET($H$3,0,0,'Données projet'!$E$16+1,1))</f>
        <v>305.6252353</v>
      </c>
      <c r="FK77" s="133">
        <f t="shared" si="49"/>
        <v>331.397916</v>
      </c>
      <c r="FL77" s="134">
        <f>IF(ISNA(VLOOKUP(A77,'Données projet'!$A$217:$I$237,3,0)),0,VLOOKUP(A77,'Données projet'!$A$217:$I$237,3,0))</f>
        <v>0</v>
      </c>
      <c r="FM77" s="134">
        <f>IF(ISNA(VLOOKUP(A77,'Données projet'!$A$217:$I$237,4,0)),0,VLOOKUP(A77,'Données projet'!$A$217:$I$237,4,0))</f>
        <v>0</v>
      </c>
      <c r="FN77" s="135">
        <f>IF(ISNA(VLOOKUP(A77,'Données projet'!$A$217:$I$237,5,0)),0%,VLOOKUP(A77,'Données projet'!$A$217:$I$237,5,0)*VLOOKUP('Données projet'!$B$16,'Paramètres'!$A$1:$I$89,7,0))</f>
        <v>0</v>
      </c>
      <c r="FO77" s="135">
        <f>IF(ISNA(VLOOKUP(A77,'Données projet'!$A$217:$I$237,6,0)),0%,VLOOKUP(A77,'Données projet'!$A$217:$I$237,6,0)*VLOOKUP('Données projet'!$B$16,'Paramètres'!$A$1:$I$89,7,0))</f>
        <v>0</v>
      </c>
      <c r="FP77" s="135">
        <f>IF(ISNA(VLOOKUP(A77,'Données projet'!$A$217:$I$237,7,0)),0%,VLOOKUP(A77,'Données projet'!$A$217:$I$237,7,0))</f>
        <v>0</v>
      </c>
      <c r="FQ77" s="142">
        <f>EXP(-LN(2)/35)*FQ76+(1-EXP(-LN(2)/35))/(LN(2)/35)*FM77*FN77*VLOOKUP('Données projet'!$B$16,'Paramètres'!$A$1:$I$89,3,0)*0.475*44/12</f>
        <v>74.50459817</v>
      </c>
      <c r="FR77" s="142">
        <f>EXP(-LN(2)/25)*FR76+(1-EXP(-LN(2)/25))/(LN(2)/25)*Calculateur!FM77*Calculateur!FO77*VLOOKUP('Données projet'!$B$16,'Paramètres'!$A$1:$I$89,3,0)*0.475*44/12</f>
        <v>0</v>
      </c>
      <c r="FS77" s="142">
        <f>EXP(-LN(2)/2)*FS76+(1-EXP(-LN(2)/2))/(LN(2)/2)*FM77*FP77*VLOOKUP('Données projet'!$B$16,'Paramètres'!$A$1:$I$89,3,0)*0.475*44/12</f>
        <v>0</v>
      </c>
      <c r="FT77" s="143">
        <f t="shared" si="25"/>
        <v>74.50459817</v>
      </c>
      <c r="FU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1" t="str">
        <f>VLOOKUP(A77,'Données projet'!$A$243:$I$263,2,0)</f>
        <v>#N/A</v>
      </c>
      <c r="FX77" s="131" t="str">
        <f>VLOOKUP(A77,'Données projet'!$A$243:$I$263,9,0)</f>
        <v>#N/A</v>
      </c>
      <c r="FY77" s="131" t="str">
        <f t="array" ref="FY77">INDEX(FX:FX,MIN(IF(ISNUMBER(FX77:FX273),ROW(FX77:FX273),"")))</f>
        <v/>
      </c>
      <c r="FZ77" s="138">
        <f>IF('Données projet'!$A$244&gt;35,FZ76+FY77-GH76,IF(A77&lt;'Données projet'!$A$244,$FW$205^A77,IF(A77='Données projet'!$A$244,'Données projet'!$B$244,FZ76+FY77-GH76)))</f>
        <v>0</v>
      </c>
      <c r="GA77" s="138">
        <f>FZ77*VLOOKUP('Données projet'!$B$17,'Paramètres'!$A$1:$I$89,3,0)*VLOOKUP('Données projet'!$B$17,'Paramètres'!$A$1:$I$89,5,0)</f>
        <v>0</v>
      </c>
      <c r="GB77" s="130">
        <f t="shared" si="50"/>
        <v>0</v>
      </c>
      <c r="GC77" s="141">
        <f t="shared" si="26"/>
        <v>0</v>
      </c>
      <c r="GD77" s="133">
        <f t="shared" si="27"/>
        <v>293.3333333</v>
      </c>
      <c r="GE77" s="133">
        <f>AVERAGE(OFFSET($GD$3,0,0,'Données projet'!$E$17+1,1))-AVERAGE(OFFSET($H$3,0,0,'Données projet'!$E$17+1,1))</f>
        <v>118.7368745</v>
      </c>
      <c r="GF77" s="133">
        <f t="shared" si="51"/>
        <v>135.1233677</v>
      </c>
      <c r="GG77" s="134">
        <f>IF(ISNA(VLOOKUP(A77,'Données projet'!$A$243:$I$263,3,0)),0,VLOOKUP(A77,'Données projet'!$A$243:$I$263,3,0))</f>
        <v>0</v>
      </c>
      <c r="GH77" s="134">
        <f>IF(ISNA(VLOOKUP(A77,'Données projet'!$A$243:$I$263,4,0)),0,VLOOKUP(A77,'Données projet'!$A$243:$I$263,4,0))</f>
        <v>0</v>
      </c>
      <c r="GI77" s="135">
        <f>IF(ISNA(VLOOKUP(A77,'Données projet'!$A$243:$I$263,5,0)),0%,VLOOKUP(A77,'Données projet'!$A$243:$I$263,5,0)*VLOOKUP('Données projet'!$B$17,'Paramètres'!$A$1:$I$89,7,0))</f>
        <v>0</v>
      </c>
      <c r="GJ77" s="135">
        <f>IF(ISNA(VLOOKUP(A77,'Données projet'!$A$243:$I$263,6,0)),0%,VLOOKUP(A77,'Données projet'!$A$243:$I$263,6,0)*VLOOKUP('Données projet'!$B$17,'Paramètres'!$A$1:$I$89,7,0))</f>
        <v>0</v>
      </c>
      <c r="GK77" s="135">
        <f>IF(ISNA(VLOOKUP(A77,'Données projet'!$A$243:$I$263,7,0)),0%,VLOOKUP(A77,'Données projet'!$A$243:$I$263,7,0))</f>
        <v>0</v>
      </c>
      <c r="GL77" s="142">
        <f>EXP(-LN(2)/35)*GL76+(1-EXP(-LN(2)/35))/(LN(2)/35)*GH77*GI77*VLOOKUP('Données projet'!$B$17,'Paramètres'!$A$1:$I$89,3,0)*0.475*44/12</f>
        <v>78.71387756</v>
      </c>
      <c r="GM77" s="142">
        <f>EXP(-LN(2)/25)*GM76+(1-EXP(-LN(2)/25))/(LN(2)/25)*Calculateur!GH77*Calculateur!GJ77*VLOOKUP('Données projet'!$B$17,'Paramètres'!$A$1:$I$89,3,0)*0.475*44/12</f>
        <v>0</v>
      </c>
      <c r="GN77" s="142">
        <f>EXP(-LN(2)/2)*GN76+(1-EXP(-LN(2)/2))/(LN(2)/2)*GH77*GK77*VLOOKUP('Données projet'!$B$17,'Paramètres'!$A$1:$I$89,3,0)*0.475*44/12</f>
        <v>0</v>
      </c>
      <c r="GO77" s="142">
        <f t="shared" si="28"/>
        <v>78.71387756</v>
      </c>
      <c r="GP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1" t="str">
        <f>VLOOKUP(A77,'Données projet'!$A$269:$I$289,2,0)</f>
        <v>#N/A</v>
      </c>
      <c r="GS77" s="131" t="str">
        <f>VLOOKUP(A77,'Données projet'!$A$269:$I$289,9,0)</f>
        <v>#N/A</v>
      </c>
      <c r="GT77" s="131" t="str">
        <f t="array" ref="GT77">INDEX(GS:GS,MIN(IF(ISNUMBER(GS77:GS273),ROW(GS77:GS273),"")))</f>
        <v/>
      </c>
      <c r="GU77" s="138">
        <f>IF('Données projet'!$A$270&gt;35,GU76+GT77-HC76,IF(A77&lt;'Données projet'!$A$270,$GR$205^A77,IF(A77='Données projet'!$A$270,'Données projet'!$B$270,GU76+GT77-HC76)))</f>
        <v>0</v>
      </c>
      <c r="GV77" s="138">
        <f>GU77*VLOOKUP('Données projet'!$B$18,'Paramètres'!$A$1:$I$89,3,0)*VLOOKUP('Données projet'!$B$18,'Paramètres'!$A$1:$I$89,5,0)</f>
        <v>0</v>
      </c>
      <c r="GW77" s="130" t="str">
        <f t="shared" si="52"/>
        <v>#NUM!</v>
      </c>
      <c r="GX77" s="141" t="str">
        <f t="shared" si="29"/>
        <v>#NUM!</v>
      </c>
      <c r="GY77" s="133" t="str">
        <f t="shared" si="30"/>
        <v>#NUM!</v>
      </c>
      <c r="GZ77" s="133">
        <f>AVERAGE(OFFSET($GY$3,0,0,'Données projet'!$E$18+1,1))-AVERAGE(OFFSET($H$3,0,0,'Données projet'!$E$18+1,1))</f>
        <v>100.5427875</v>
      </c>
      <c r="HA77" s="133">
        <f t="shared" si="53"/>
        <v>92.28663609</v>
      </c>
      <c r="HB77" s="134">
        <f>IF(ISNA(VLOOKUP(A77,'Données projet'!$A$269:$I$289,3,0)),0,VLOOKUP(A77,'Données projet'!$A$269:$I$289,3,0))</f>
        <v>0</v>
      </c>
      <c r="HC77" s="134">
        <f>IF(ISNA(VLOOKUP(A77,'Données projet'!$A$269:$I$289,4,0)),0,VLOOKUP(A77,'Données projet'!$A$269:$I$289,4,0))</f>
        <v>0</v>
      </c>
      <c r="HD77" s="135">
        <f>IF(ISNA(VLOOKUP(A77,'Données projet'!$A$269:$I$289,5,0)),0%,VLOOKUP(A77,'Données projet'!$A$269:$I$289,5,0)*VLOOKUP('Données projet'!$B$18,'Paramètres'!$A$1:$I$89,7,0))</f>
        <v>0</v>
      </c>
      <c r="HE77" s="135">
        <f>IF(ISNA(VLOOKUP(A77,'Données projet'!$A$269:$I$289,6,0)),0%,VLOOKUP(A77,'Données projet'!$A$269:$I$289,6,0)*VLOOKUP('Données projet'!$B$18,'Paramètres'!$A$1:$I$89,7,0))</f>
        <v>0</v>
      </c>
      <c r="HF77" s="135">
        <f>IF(ISNA(VLOOKUP(A77,'Données projet'!$A$269:$I$289,7,0)),0%,VLOOKUP(A77,'Données projet'!$A$269:$I$289,7,0))</f>
        <v>0</v>
      </c>
      <c r="HG77" s="142">
        <f>EXP(-LN(2)/35)*HG76+(1-EXP(-LN(2)/35))/(LN(2)/35)*HC77*HD77*VLOOKUP('Données projet'!$B$18,'Paramètres'!$A$1:$I$89,3,0)*0.475*44/12</f>
        <v>53.60249006</v>
      </c>
      <c r="HH77" s="142">
        <f>EXP(-LN(2)/25)*HH76+(1-EXP(-LN(2)/25))/(LN(2)/25)*Calculateur!HC77*Calculateur!HE77*VLOOKUP('Données projet'!$B$18,'Paramètres'!$A$1:$I$89,3,0)*0.475*44/12</f>
        <v>0</v>
      </c>
      <c r="HI77" s="142">
        <f>EXP(-LN(2)/2)*HI76+(1-EXP(-LN(2)/2))/(LN(2)/2)*HC77*HF77*VLOOKUP('Données projet'!$B$18,'Paramètres'!$A$1:$I$89,3,0)*0.475*44/12</f>
        <v>0</v>
      </c>
      <c r="HJ77" s="143">
        <f t="shared" si="31"/>
        <v>53.60249006</v>
      </c>
    </row>
    <row r="78" ht="15.75" customHeight="1">
      <c r="A78" s="125">
        <f t="shared" si="32"/>
        <v>75</v>
      </c>
      <c r="B78" s="126">
        <f>'Scénario référence'!$B$16*5+'Scénario référence'!$B$17*0+'Scénario référence'!$B$18*5</f>
        <v>0</v>
      </c>
      <c r="C78" s="140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40.95</v>
      </c>
      <c r="D78" s="127">
        <f t="shared" si="33"/>
        <v>12.2500995</v>
      </c>
      <c r="E7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7">
        <f>IF(OR('Scénario référence'!$F$8&gt;0,'Scénario référence'!$F$9&gt;0),('Scénario référence'!$F$8+'Scénario référence'!$F$9)*10,0)</f>
        <v>10</v>
      </c>
      <c r="G78" s="127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410.6674348</v>
      </c>
      <c r="H78" s="128">
        <f t="shared" si="1"/>
        <v>385.9901733</v>
      </c>
      <c r="I78" s="12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1" t="str">
        <f>VLOOKUP(A78,'Données projet'!$A$35:$I$55,2,0)</f>
        <v>#N/A</v>
      </c>
      <c r="L78" s="131" t="str">
        <f>VLOOKUP(A78,'Données projet'!$A$35:$I$55,9,0)</f>
        <v>#N/A</v>
      </c>
      <c r="M78" s="131" t="str">
        <f t="array" ref="M78">INDEX(L:L,MIN(IF(ISNUMBER(L78:L274),ROW(L78:L274),"")))</f>
        <v/>
      </c>
      <c r="N78" s="130">
        <f>IF('Données projet'!$A$36&gt;35,N77+M78-V77,IF(A78&lt;'Données projet'!$A$36,$K$205^A78,IF(A78='Données projet'!$A$36,'Données projet'!$B$36,N77+M78-V77)))</f>
        <v>0</v>
      </c>
      <c r="O78" s="130">
        <f>N78*VLOOKUP('Données projet'!$B$9,'Paramètres'!$A$1:$I$89,3,0)*VLOOKUP('Données projet'!$B$9,'Paramètres'!$A$1:$I$89,5,0)</f>
        <v>0</v>
      </c>
      <c r="P78" s="130">
        <f t="shared" si="34"/>
        <v>0</v>
      </c>
      <c r="Q78" s="141">
        <f t="shared" si="2"/>
        <v>0</v>
      </c>
      <c r="R78" s="133">
        <f t="shared" si="3"/>
        <v>293.3333333</v>
      </c>
      <c r="S78" s="133">
        <f>AVERAGE(OFFSET($R$3,0,0,'Données projet'!$E$9+1,1))-AVERAGE(OFFSET($H$3,0,0,'Données projet'!$E$9+1,1))</f>
        <v>126.9946492</v>
      </c>
      <c r="T78" s="133">
        <f t="shared" si="35"/>
        <v>140.039049</v>
      </c>
      <c r="U78" s="134">
        <f>IF(ISNA(VLOOKUP(A78,'Données projet'!$A$35:$I$55,3,0)),0,VLOOKUP(A78,'Données projet'!$A$35:$I$55,3,0))</f>
        <v>0</v>
      </c>
      <c r="V78" s="134">
        <f>IF(ISNA(VLOOKUP(A78,'Données projet'!$A$35:$I$55,4,0)),0,VLOOKUP(A78,'Données projet'!$A$35:$I$55,4,0))</f>
        <v>0</v>
      </c>
      <c r="W78" s="135">
        <f>IF(ISNA(VLOOKUP(A78,'Données projet'!$A$35:$I$55,5,0)),0%,VLOOKUP(A78,'Données projet'!$A$35:$I$55,5,0)*VLOOKUP('Données projet'!$B$9,'Paramètres'!$A$1:$I$89,7,0))</f>
        <v>0</v>
      </c>
      <c r="X78" s="135">
        <f>IF(ISNA(VLOOKUP(A78,'Données projet'!$A$35:$I$55,6,0)),0%,VLOOKUP(A78,'Données projet'!$A$35:$I$55,6,0)*VLOOKUP('Données projet'!$B$9,'Paramètres'!$A$1:$I$89,7,0))</f>
        <v>0</v>
      </c>
      <c r="Y78" s="135">
        <f>IF(ISNA(VLOOKUP(A78,'Données projet'!$A$35:$I$55,7,0)),0%,VLOOKUP(A78,'Données projet'!$A$35:$I$55,7,0))</f>
        <v>0</v>
      </c>
      <c r="Z78" s="142">
        <f>EXP(-LN(2)/35)*Z77+(1-EXP(-LN(2)/35))/(LN(2)/35)*V78*W78*VLOOKUP('Données projet'!$B$9,'Paramètres'!$A$1:$I$89,3,0)*0.475*44/12</f>
        <v>78.92808601</v>
      </c>
      <c r="AA78" s="142">
        <f>EXP(-LN(2)/25)*AA77+(1-EXP(-LN(2)/25))/(LN(2)/25)*Calculateur!V78*Calculateur!X78*VLOOKUP('Données projet'!$B$9,'Paramètres'!$A$1:$I$89,3,0)*0.475*44/12</f>
        <v>15.33178954</v>
      </c>
      <c r="AB78" s="142">
        <f>EXP(-LN(2)/2)*AB77+(1-EXP(-LN(2)/2))/(LN(2)/2)*V78*Y78*VLOOKUP('Données projet'!$B$9,'Paramètres'!$A$1:$I$89,3,0)*0.475*44/12</f>
        <v>0.1049024465</v>
      </c>
      <c r="AC78" s="143">
        <f t="shared" si="4"/>
        <v>94.364778</v>
      </c>
      <c r="AD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1" t="str">
        <f>VLOOKUP(A78,'Données projet'!$A$61:$I$81,2,0)</f>
        <v>#N/A</v>
      </c>
      <c r="AG78" s="131" t="str">
        <f>VLOOKUP(A78,'Données projet'!$A$61:$I$81,9,0)</f>
        <v>#N/A</v>
      </c>
      <c r="AH78" s="131" t="str">
        <f t="array" ref="AH78">INDEX(AG:AG,MIN(IF(ISNUMBER(AG78:AG274),ROW(AG78:AG274),"")))</f>
        <v/>
      </c>
      <c r="AI78" s="130">
        <f>IF('Données projet'!$A$62&gt;35,AI77+AH78-AQ77,IF(A78&lt;'Données projet'!$A$62,$AF$205^A78,IF(A78='Données projet'!$A$62,'Données projet'!$B$62,AI77+AH78-AQ77)))</f>
        <v>0</v>
      </c>
      <c r="AJ78" s="130">
        <f>AI78*VLOOKUP('Données projet'!$B$10,'Paramètres'!$A$1:$I$89,3,0)*VLOOKUP('Données projet'!$B$10,'Paramètres'!$A$1:$I$89,5,0)</f>
        <v>0</v>
      </c>
      <c r="AK78" s="130" t="str">
        <f t="shared" si="36"/>
        <v>#NUM!</v>
      </c>
      <c r="AL78" s="141" t="str">
        <f t="shared" si="5"/>
        <v>#NUM!</v>
      </c>
      <c r="AM78" s="133" t="str">
        <f t="shared" si="6"/>
        <v>#NUM!</v>
      </c>
      <c r="AN78" s="133">
        <f>AVERAGE(OFFSET($AM$3,0,0,'Données projet'!$E$10+1,1))-AVERAGE(OFFSET($H$3,0,0,'Données projet'!$E$10+1,1))</f>
        <v>196.874484</v>
      </c>
      <c r="AO78" s="133">
        <f t="shared" si="37"/>
        <v>217.5750859</v>
      </c>
      <c r="AP78" s="134">
        <f>IF(ISNA(VLOOKUP(A78,'Données projet'!$A$61:$I$81,3,0)),0,VLOOKUP(A78,'Données projet'!$A$61:$I$81,3,0))</f>
        <v>0</v>
      </c>
      <c r="AQ78" s="134">
        <f>IF(ISNA(VLOOKUP(A78,'Données projet'!$A$61:$I$81,4,0)),0,VLOOKUP(A78,'Données projet'!$A$61:$I$81,4,0))</f>
        <v>0</v>
      </c>
      <c r="AR78" s="135">
        <f>IF(ISNA(VLOOKUP(A78,'Données projet'!$A$61:$I$81,5,0)),0%,VLOOKUP(A78,'Données projet'!$A$61:$I$81,5,0)*VLOOKUP('Données projet'!$B$10,'Paramètres'!$A$1:$I$89,7,0))</f>
        <v>0</v>
      </c>
      <c r="AS78" s="135">
        <f>IF(ISNA(VLOOKUP(A78,'Données projet'!$A$61:$I$81,6,0)),0%,VLOOKUP(A78,'Données projet'!$A$61:$I$81,6,0)*VLOOKUP('Données projet'!$B$10,'Paramètres'!$A$1:$I$89,7,0))</f>
        <v>0</v>
      </c>
      <c r="AT78" s="135">
        <f>IF(ISNA(VLOOKUP(A78,'Données projet'!$A$61:$I$81,7,0)),0%,VLOOKUP(A78,'Données projet'!$A$61:$I$81,7,0))</f>
        <v>0</v>
      </c>
      <c r="AU78" s="142">
        <f>EXP(-LN(2)/35)*AU77+(1-EXP(-LN(2)/35))/(LN(2)/35)*AQ78*AR78*VLOOKUP('Données projet'!$B$10,'Paramètres'!$A$1:$I$89,3,0)*0.475*44/12</f>
        <v>109.7077977</v>
      </c>
      <c r="AV78" s="142">
        <f>EXP(-LN(2)/25)*AV77+(1-EXP(-LN(2)/25))/(LN(2)/25)*Calculateur!AQ78*Calculateur!AS78*VLOOKUP('Données projet'!$B$10,'Paramètres'!$A$1:$I$89,3,0)*0.475*44/12</f>
        <v>23.57264689</v>
      </c>
      <c r="AW78" s="142">
        <f>EXP(-LN(2)/2)*AW77+(1-EXP(-LN(2)/2))/(LN(2)/2)*AQ78*AT78*VLOOKUP('Données projet'!$B$10,'Paramètres'!$A$1:$I$89,3,0)*0.475*44/12</f>
        <v>0.1462560354</v>
      </c>
      <c r="AX78" s="142">
        <f t="shared" si="7"/>
        <v>133.4267006</v>
      </c>
      <c r="AY78" s="13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1" t="str">
        <f>VLOOKUP(A78,'Données projet'!$A$87:$I$107,2,0)</f>
        <v>#N/A</v>
      </c>
      <c r="BB78" s="131" t="str">
        <f>VLOOKUP(A78,'Données projet'!$A$87:$I$107,9,0)</f>
        <v>#N/A</v>
      </c>
      <c r="BC78" s="131" t="str">
        <f t="array" ref="BC78">INDEX(BB:BB,MIN(IF(ISNUMBER(BB78:BB274),ROW(BB78:BB274),"")))</f>
        <v/>
      </c>
      <c r="BD78" s="130">
        <f>IF('Données projet'!$A$88&gt;35,BD77+BC78-BL77,IF(A78&lt;'Données projet'!$A$88,$BA$205^A78,IF(A78='Données projet'!$A$88,'Données projet'!$B$88,BD77+BC78-BL77)))</f>
        <v>0</v>
      </c>
      <c r="BE78" s="130">
        <f>BD78*VLOOKUP('Données projet'!$B$11,'Paramètres'!$A$1:$I$89,3,0)*VLOOKUP('Données projet'!$B$11,'Paramètres'!$A$1:$I$89,5,0)</f>
        <v>0</v>
      </c>
      <c r="BF78" s="130" t="str">
        <f t="shared" si="38"/>
        <v>#NUM!</v>
      </c>
      <c r="BG78" s="141" t="str">
        <f t="shared" si="8"/>
        <v>#NUM!</v>
      </c>
      <c r="BH78" s="133" t="str">
        <f t="shared" si="9"/>
        <v>#NUM!</v>
      </c>
      <c r="BI78" s="133">
        <f>AVERAGE(OFFSET($BH$3,0,0,'Données projet'!$E$11+1,1))-AVERAGE(OFFSET($H$3,0,0,'Données projet'!$E$11+1,1))</f>
        <v>134.0948534</v>
      </c>
      <c r="BJ78" s="133">
        <f t="shared" si="39"/>
        <v>108.4102536</v>
      </c>
      <c r="BK78" s="134">
        <f>IF(ISNA(VLOOKUP(A78,'Données projet'!$A$87:$I$107,3,0)),0,VLOOKUP(A78,'Données projet'!$A$87:$I$107,3,0))</f>
        <v>0</v>
      </c>
      <c r="BL78" s="134">
        <f>IF(ISNA(VLOOKUP(A78,'Données projet'!$A$87:$I$107,4,0)),0,VLOOKUP(A78,'Données projet'!$A$87:$I$107,4,0))</f>
        <v>0</v>
      </c>
      <c r="BM78" s="135">
        <f>IF(ISNA(VLOOKUP(A78,'Données projet'!$A$87:$I$107,5,0)),0%,VLOOKUP(A78,'Données projet'!$A$87:$I$107,5,0)*VLOOKUP('Données projet'!$B$11,'Paramètres'!$A$1:$I$89,7,0))</f>
        <v>0</v>
      </c>
      <c r="BN78" s="135">
        <f>IF(ISNA(VLOOKUP(A78,'Données projet'!$A$87:$I$107,6,0)),0%,VLOOKUP(A78,'Données projet'!$A$87:$I$107,6,0)*VLOOKUP('Données projet'!$B$11,'Paramètres'!$A$1:$I$89,7,0))</f>
        <v>0</v>
      </c>
      <c r="BO78" s="135">
        <f>IF(ISNA(VLOOKUP(A78,'Données projet'!$A$87:$I$107,7,0)),0%,VLOOKUP(A78,'Données projet'!$A$87:$I$107,7,0))</f>
        <v>0</v>
      </c>
      <c r="BP78" s="142">
        <f>EXP(-LN(2)/35)*BP77+(1-EXP(-LN(2)/35))/(LN(2)/35)*BL78*BM78*VLOOKUP('Données projet'!$B$11,'Paramètres'!$A$1:$I$89,3,0)*0.475*44/12</f>
        <v>151.7463731</v>
      </c>
      <c r="BQ78" s="142">
        <f>EXP(-LN(2)/25)*BQ77+(1-EXP(-LN(2)/25))/(LN(2)/25)*Calculateur!BL78*Calculateur!BN78*VLOOKUP('Données projet'!$B$11,'Paramètres'!$A$1:$I$89,3,0)*0.475*44/12</f>
        <v>14.8696459</v>
      </c>
      <c r="BR78" s="142">
        <f>EXP(-LN(2)/2)*BR77+(1-EXP(-LN(2)/2))/(LN(2)/2)*BL78*BO78*VLOOKUP('Données projet'!$B$11,'Paramètres'!$A$1:$I$89,3,0)*0.475*44/12</f>
        <v>1.950845618</v>
      </c>
      <c r="BS78" s="143">
        <f t="shared" si="10"/>
        <v>168.5668646</v>
      </c>
      <c r="BT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1" t="str">
        <f>VLOOKUP(A78,'Données projet'!$A$113:$I$133,2,0)</f>
        <v>#N/A</v>
      </c>
      <c r="BW78" s="131" t="str">
        <f>VLOOKUP(A78,'Données projet'!$A$113:$I$133,9,0)</f>
        <v>#N/A</v>
      </c>
      <c r="BX78" s="131" t="str">
        <f t="array" ref="BX78">INDEX(BW:BW,MIN(IF(ISNUMBER(BW78:BW274),ROW(BW78:BW274),"")))</f>
        <v/>
      </c>
      <c r="BY78" s="130">
        <f>IF('Données projet'!$A$114&gt;35,BY77+BX78-CG77,IF(A78&lt;'Données projet'!$A$114,$BV$205^A78,IF(A78='Données projet'!$A$114,'Données projet'!$B$114,BY77+BX78-CG77)))</f>
        <v>0</v>
      </c>
      <c r="BZ78" s="130">
        <f>BY78*VLOOKUP('Données projet'!$B$12,'Paramètres'!$A$1:$I$89,3,0)*VLOOKUP('Données projet'!$B$12,'Paramètres'!$A$1:$I$89,5,0)</f>
        <v>0</v>
      </c>
      <c r="CA78" s="130" t="str">
        <f t="shared" si="40"/>
        <v>#NUM!</v>
      </c>
      <c r="CB78" s="141" t="str">
        <f t="shared" si="11"/>
        <v>#NUM!</v>
      </c>
      <c r="CC78" s="133" t="str">
        <f t="shared" si="12"/>
        <v>#NUM!</v>
      </c>
      <c r="CD78" s="133">
        <f>AVERAGE(OFFSET($CC$3,0,0,'Données projet'!$E$12+1,1))-AVERAGE(OFFSET($H$3,0,0,'Données projet'!$E$12+1,1))</f>
        <v>258.1672054</v>
      </c>
      <c r="CE78" s="133">
        <f t="shared" si="41"/>
        <v>296.0724261</v>
      </c>
      <c r="CF78" s="134">
        <f>IF(ISNA(VLOOKUP(A78,'Données projet'!$A$113:$I$133,3,0)),0,VLOOKUP(A78,'Données projet'!$A$113:$I$133,3,0))</f>
        <v>0</v>
      </c>
      <c r="CG78" s="134">
        <f>IF(ISNA(VLOOKUP(A78,'Données projet'!$A$113:$I$133,4,0)),0,VLOOKUP(A78,'Données projet'!$A$113:$I$133,4,0))</f>
        <v>0</v>
      </c>
      <c r="CH78" s="135">
        <f>IF(ISNA(VLOOKUP(A78,'Données projet'!$A$113:$I$133,5,0)),0%,VLOOKUP(A78,'Données projet'!$A$113:$I$133,5,0)*VLOOKUP('Données projet'!$B$12,'Paramètres'!$A$1:$I$89,7,0))</f>
        <v>0</v>
      </c>
      <c r="CI78" s="135">
        <f>IF(ISNA(VLOOKUP(A78,'Données projet'!$A$113:$I$133,6,0)),0%,VLOOKUP(A78,'Données projet'!$A$113:$I$133,6,0)*VLOOKUP('Données projet'!$B$12,'Paramètres'!$A$1:$I$89,7,0))</f>
        <v>0</v>
      </c>
      <c r="CJ78" s="135">
        <f>IF(ISNA(VLOOKUP(A78,'Données projet'!$A$113:$I$133,7,0)),0%,VLOOKUP(A78,'Données projet'!$A$113:$I$133,7,0))</f>
        <v>0</v>
      </c>
      <c r="CK78" s="142">
        <f>EXP(-LN(2)/35)*CK77+(1-EXP(-LN(2)/35))/(LN(2)/35)*CG78*CH78*VLOOKUP('Données projet'!$B$12,'Paramètres'!$A$1:$I$89,3,0)*0.475*44/12</f>
        <v>191.8538367</v>
      </c>
      <c r="CL78" s="142">
        <f>EXP(-LN(2)/25)*CL77+(1-EXP(-LN(2)/25))/(LN(2)/25)*Calculateur!CG78*Calculateur!CI78*VLOOKUP('Données projet'!$B$12,'Paramètres'!$A$1:$I$89,3,0)*0.475*44/12</f>
        <v>26.08220302</v>
      </c>
      <c r="CM78" s="142">
        <f>EXP(-LN(2)/2)*CM77+(1-EXP(-LN(2)/2))/(LN(2)/2)*CG78*CJ78*VLOOKUP('Données projet'!$B$12,'Paramètres'!$A$1:$I$89,3,0)*0.475*44/12</f>
        <v>0.0821868233</v>
      </c>
      <c r="CN78" s="143">
        <f t="shared" si="13"/>
        <v>218.0182265</v>
      </c>
      <c r="CO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8">
        <f>VLOOKUP(A78,'Données projet'!$A$139:$I$159,2,0)</f>
        <v>183</v>
      </c>
      <c r="CR78" s="130">
        <f>VLOOKUP(A78,'Données projet'!$A$139:$I$159,9,0)</f>
        <v>5</v>
      </c>
      <c r="CS78" s="130">
        <f t="array" ref="CS78">INDEX(CR:CR,MIN(IF(ISNUMBER(CR78:CR274),ROW(CR78:CR274),"")))</f>
        <v>5</v>
      </c>
      <c r="CT78" s="138">
        <f>IF('Données projet'!$A$140&gt;35,CT77+CS78-DB77,IF(A78&lt;'Données projet'!$A$140,$CQ$205^A78,IF(A78='Données projet'!$A$140,'Données projet'!$B$140,CT77+CS78-DB77)))</f>
        <v>183</v>
      </c>
      <c r="CU78" s="138">
        <f>CT78*VLOOKUP('Données projet'!$B$13,'Paramètres'!$A$1:$I$89,3,0)*VLOOKUP('Données projet'!$B$13,'Paramètres'!$A$1:$I$89,5,0)</f>
        <v>185.562</v>
      </c>
      <c r="CV78" s="130">
        <f t="shared" si="42"/>
        <v>46.55742848</v>
      </c>
      <c r="CW78" s="141">
        <f t="shared" si="14"/>
        <v>404.2746713</v>
      </c>
      <c r="CX78" s="133">
        <f t="shared" si="15"/>
        <v>697.6080046</v>
      </c>
      <c r="CY78" s="133">
        <f>AVERAGE(OFFSET($CX$3,0,0,'Données projet'!$E$13+1,1))-AVERAGE(OFFSET($H$3,0,0,'Données projet'!$E$13+1,1))</f>
        <v>223.783507</v>
      </c>
      <c r="CZ78" s="133">
        <f t="shared" si="43"/>
        <v>84.92349117</v>
      </c>
      <c r="DA78" s="134">
        <f>IF(ISNA(VLOOKUP(A78,'Données projet'!$A$139:$I$159,3,0)),0,VLOOKUP(A78,'Données projet'!$A$139:$I$159,3,0))</f>
        <v>11</v>
      </c>
      <c r="DB78" s="144">
        <f>IF(ISNA(VLOOKUP(A78,'Données projet'!$A$139:$I$159,4,0)),0,VLOOKUP(A78,'Données projet'!$A$139:$I$159,4,0))</f>
        <v>14</v>
      </c>
      <c r="DC78" s="135">
        <f>IF(ISNA(VLOOKUP(A78,'Données projet'!$A$139:$I$159,5,0)),0%,VLOOKUP(A78,'Données projet'!$A$139:$I$159,5,0)*VLOOKUP('Données projet'!$B$13,'Paramètres'!$A$1:$I$89,7,0))</f>
        <v>0.215</v>
      </c>
      <c r="DD78" s="135">
        <f>IF(ISNA(VLOOKUP(A78,'Données projet'!$A$139:$I$159,6,0)),0%,VLOOKUP(A78,'Données projet'!$A$139:$I$159,6,0)*VLOOKUP('Données projet'!$B$13,'Paramètres'!$A$1:$I$89,7,0))</f>
        <v>0</v>
      </c>
      <c r="DE78" s="135" t="str">
        <f>IF(ISNA(VLOOKUP(A78,'Données projet'!$A$139:$I$159,7,0)),0%,VLOOKUP(A78,'Données projet'!$A$139:$I$159,7,0))</f>
        <v/>
      </c>
      <c r="DF78" s="142">
        <f>EXP(-LN(2)/35)*DF77+(1-EXP(-LN(2)/35))/(LN(2)/35)*DB78*DC78*VLOOKUP('Données projet'!$B$13,'Paramètres'!$A$1:$I$89,3,0)*0.475*44/12</f>
        <v>12.46723822</v>
      </c>
      <c r="DG78" s="142">
        <f>EXP(-LN(2)/25)*DG77+(1-EXP(-LN(2)/25))/(LN(2)/25)*Calculateur!DB78*Calculateur!DD78*VLOOKUP('Données projet'!$B$13,'Paramètres'!$A$1:$I$89,3,0)*0.475*44/12</f>
        <v>0</v>
      </c>
      <c r="DH78" s="142">
        <f>EXP(-LN(2)/2)*DH77+(1-EXP(-LN(2)/2))/(LN(2)/2)*DB78*DE78*VLOOKUP('Données projet'!$B$13,'Paramètres'!$A$1:$I$89,3,0)*0.475*44/12</f>
        <v>0</v>
      </c>
      <c r="DI78" s="143">
        <f t="shared" si="16"/>
        <v>12.46723822</v>
      </c>
      <c r="DJ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8">
        <f>VLOOKUP(A78,'Données projet'!$A$165:$I$185,2,0)</f>
        <v>252</v>
      </c>
      <c r="DM78" s="131">
        <f>VLOOKUP(A78,'Données projet'!$A$165:$I$185,9,0)</f>
        <v>6.2</v>
      </c>
      <c r="DN78" s="131">
        <f t="array" ref="DN78">INDEX(DM:DM,MIN(IF(ISNUMBER(DM78:DM274),ROW(DM78:DM274),"")))</f>
        <v>6.2</v>
      </c>
      <c r="DO78" s="138">
        <f>IF('Données projet'!$A$166&gt;35,DO77+DN78-DW77,IF(A78&lt;'Données projet'!$A$166,$DL$205^A78,IF(A78='Données projet'!$A$166,'Données projet'!$B$166,DO77+DN78-DW77)))</f>
        <v>252</v>
      </c>
      <c r="DP78" s="138">
        <f>DO78*VLOOKUP('Données projet'!$B$14,'Paramètres'!$A$1:$I$89,3,0)*VLOOKUP('Données projet'!$B$14,'Paramètres'!$A$1:$I$89,5,0)</f>
        <v>228.0096</v>
      </c>
      <c r="DQ78" s="130">
        <f t="shared" si="44"/>
        <v>55.85209305</v>
      </c>
      <c r="DR78" s="141">
        <f t="shared" si="17"/>
        <v>494.3924487</v>
      </c>
      <c r="DS78" s="133">
        <f t="shared" si="18"/>
        <v>787.7257821</v>
      </c>
      <c r="DT78" s="133">
        <f>AVERAGE(OFFSET($DS$3,0,0,'Données projet'!$E$14+1,1))-AVERAGE(OFFSET($H$3,0,0,'Données projet'!$E$14+1,1))</f>
        <v>287.9334714</v>
      </c>
      <c r="DU78" s="133">
        <f t="shared" si="45"/>
        <v>156.6796502</v>
      </c>
      <c r="DV78" s="134">
        <f>IF(ISNA(VLOOKUP(A78,'Données projet'!$A$165:$I$185,3,0)),0,VLOOKUP(A78,'Données projet'!$A$165:$I$185,3,0))</f>
        <v>12</v>
      </c>
      <c r="DW78" s="144">
        <f>IF(ISNA(VLOOKUP(A78,'Données projet'!$A$165:$I$185,4,0)),0,VLOOKUP(A78,'Données projet'!$A$165:$I$185,4,0))</f>
        <v>21</v>
      </c>
      <c r="DX78" s="135">
        <f>IF(ISNA(VLOOKUP(A78,'Données projet'!$A$165:$I$185,5,0)),0%,VLOOKUP(A78,'Données projet'!$A$165:$I$185,5,0)*VLOOKUP('Données projet'!$B$14,'Paramètres'!$A$1:$I$89,7,0))</f>
        <v>0.215</v>
      </c>
      <c r="DY78" s="135">
        <f>IF(ISNA(VLOOKUP(A78,'Données projet'!$A$165:$I$185,6,0)),0%,VLOOKUP(A78,'Données projet'!$A$165:$I$185,6,0)*VLOOKUP('Données projet'!$B$14,'Paramètres'!$A$1:$I$89,7,0))</f>
        <v>0</v>
      </c>
      <c r="DZ78" s="135" t="str">
        <f>IF(ISNA(VLOOKUP(A78,'Données projet'!$A$165:$I$185,7,0)),0%,VLOOKUP(A78,'Données projet'!$A$165:$I$185,7,0))</f>
        <v/>
      </c>
      <c r="EA78" s="142">
        <f>EXP(-LN(2)/35)*EA77+(1-EXP(-LN(2)/35))/(LN(2)/35)*DW78*DX78*VLOOKUP('Données projet'!$B$14,'Paramètres'!$A$1:$I$89,3,0)*0.475*44/12</f>
        <v>19.62977392</v>
      </c>
      <c r="EB78" s="142">
        <f>EXP(-LN(2)/25)*EB77+(1-EXP(-LN(2)/25))/(LN(2)/25)*Calculateur!DW78*Calculateur!DY78*VLOOKUP('Données projet'!$B$14,'Paramètres'!$A$1:$I$89,3,0)*0.475*44/12</f>
        <v>0</v>
      </c>
      <c r="EC78" s="142">
        <f>EXP(-LN(2)/2)*EC77+(1-EXP(-LN(2)/2))/(LN(2)/2)*DW78*DZ78*VLOOKUP('Données projet'!$B$14,'Paramètres'!$A$1:$I$89,3,0)*0.475*44/12</f>
        <v>0</v>
      </c>
      <c r="ED78" s="143">
        <f t="shared" si="19"/>
        <v>19.62977392</v>
      </c>
      <c r="EE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8">
        <f>VLOOKUP(A78,'Données projet'!$A$191:$I$211,2,0)</f>
        <v>254</v>
      </c>
      <c r="EH78" s="131">
        <f>VLOOKUP(A78,'Données projet'!$A$191:$I$211,9,0)</f>
        <v>7.6</v>
      </c>
      <c r="EI78" s="131">
        <f t="array" ref="EI78">INDEX(EH:EH,MIN(IF(ISNUMBER(EH78:EH274),ROW(EH78:EH274),"")))</f>
        <v>7.6</v>
      </c>
      <c r="EJ78" s="138">
        <f>IF('Données projet'!$A$192&gt;35,EJ77+EI78-ER77,IF(A78&lt;'Données projet'!$A$192,$EG$205^A78,IF(A78='Données projet'!$A$192,'Données projet'!$B$192,EJ77+EI78-ER77)))</f>
        <v>254</v>
      </c>
      <c r="EK78" s="138">
        <f>EJ78*VLOOKUP('Données projet'!$B$15,'Paramètres'!$A$1:$I$89,3,0)*VLOOKUP('Données projet'!$B$15,'Paramètres'!$A$1:$I$89,5,0)</f>
        <v>186.2328</v>
      </c>
      <c r="EL78" s="130">
        <f t="shared" si="46"/>
        <v>46.70611015</v>
      </c>
      <c r="EM78" s="141">
        <f t="shared" si="20"/>
        <v>405.7019352</v>
      </c>
      <c r="EN78" s="133">
        <f t="shared" si="21"/>
        <v>699.0352685</v>
      </c>
      <c r="EO78" s="133">
        <f>AVERAGE(OFFSET($EN$3,0,0,'Données projet'!$E$15+1,1))-AVERAGE(OFFSET($H$3,0,0,'Données projet'!$E$15+1,1))</f>
        <v>130.3193339</v>
      </c>
      <c r="EP78" s="133">
        <f t="shared" si="47"/>
        <v>82.22784365</v>
      </c>
      <c r="EQ78" s="134">
        <f>IF(ISNA(VLOOKUP(A78,'Données projet'!$A$191:$I$211,3,0)),0,VLOOKUP(A78,'Données projet'!$A$191:$I$211,3,0))</f>
        <v>11</v>
      </c>
      <c r="ER78" s="144">
        <f>IF(ISNA(VLOOKUP(A78,'Données projet'!$A$191:$I$211,4,0)),0,VLOOKUP(A78,'Données projet'!$A$191:$I$211,4,0))</f>
        <v>21</v>
      </c>
      <c r="ES78" s="135">
        <f>IF(ISNA(VLOOKUP(A78,'Données projet'!$A$191:$I$211,5,0)),0%,VLOOKUP(A78,'Données projet'!$A$191:$I$211,5,0)*VLOOKUP('Données projet'!$B$15,'Paramètres'!$A$1:$I$89,7,0))</f>
        <v>0.344</v>
      </c>
      <c r="ET78" s="135">
        <f>IF(ISNA(VLOOKUP(A78,'Données projet'!$A$191:$I$211,6,0)),0%,VLOOKUP(A78,'Données projet'!$A$191:$I$211,6,0)*VLOOKUP('Données projet'!$B$15,'Paramètres'!$A$1:$I$89,7,0))</f>
        <v>0</v>
      </c>
      <c r="EU78" s="135" t="str">
        <f>IF(ISNA(VLOOKUP(A78,'Données projet'!$A$191:$I$211,7,0)),0%,VLOOKUP(A78,'Données projet'!$A$191:$I$211,7,0))</f>
        <v/>
      </c>
      <c r="EV78" s="142">
        <f>EXP(-LN(2)/35)*EV77+(1-EXP(-LN(2)/35))/(LN(2)/35)*ER78*ES78*VLOOKUP('Données projet'!$B$15,'Paramètres'!$A$1:$I$89,3,0)*0.475*44/12</f>
        <v>23.80669251</v>
      </c>
      <c r="EW78" s="142">
        <f>EXP(-LN(2)/25)*EW77+(1-EXP(-LN(2)/25))/(LN(2)/25)*Calculateur!ER78*Calculateur!ET78*VLOOKUP('Données projet'!$B$15,'Paramètres'!$A$1:$I$89,3,0)*0.475*44/12</f>
        <v>0</v>
      </c>
      <c r="EX78" s="142">
        <f>EXP(-LN(2)/2)*EX77+(1-EXP(-LN(2)/2))/(LN(2)/2)*ER78*EU78*VLOOKUP('Données projet'!$B$15,'Paramètres'!$A$1:$I$89,3,0)*0.475*44/12</f>
        <v>0</v>
      </c>
      <c r="EY78" s="143">
        <f t="shared" si="22"/>
        <v>23.80669251</v>
      </c>
      <c r="EZ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1" t="str">
        <f>VLOOKUP(A78,'Données projet'!$A$217:$I$237,2,0)</f>
        <v>#N/A</v>
      </c>
      <c r="FC78" s="131" t="str">
        <f>VLOOKUP(A78,'Données projet'!$A$217:$I$237,9,0)</f>
        <v>#N/A</v>
      </c>
      <c r="FD78" s="131" t="str">
        <f t="array" ref="FD78">INDEX(FC:FC,MIN(IF(ISNUMBER(FC78:FC274),ROW(FC78:FC274),"")))</f>
        <v/>
      </c>
      <c r="FE78" s="130">
        <f>IF('Données projet'!$A$218&gt;35,FE77+FD78-FM77,IF(A78&lt;'Données projet'!$A$218,$FB$205^A78,IF(A78='Données projet'!$A$218,'Données projet'!$B$218,FE77+FD78-FM77)))</f>
        <v>0</v>
      </c>
      <c r="FF78" s="138">
        <f>FE78*VLOOKUP('Données projet'!$B$16,'Paramètres'!$A$1:$I$89,3,0)*VLOOKUP('Données projet'!$B$16,'Paramètres'!$A$1:$I$89,5,0)</f>
        <v>0</v>
      </c>
      <c r="FG78" s="130">
        <f t="shared" si="48"/>
        <v>0</v>
      </c>
      <c r="FH78" s="141">
        <f t="shared" si="23"/>
        <v>0</v>
      </c>
      <c r="FI78" s="133">
        <f t="shared" si="24"/>
        <v>293.3333333</v>
      </c>
      <c r="FJ78" s="133">
        <f>AVERAGE(OFFSET($FI$3,0,0,'Données projet'!$E$16+1,1))-AVERAGE(OFFSET($H$3,0,0,'Données projet'!$E$16+1,1))</f>
        <v>305.6252353</v>
      </c>
      <c r="FK78" s="133">
        <f t="shared" si="49"/>
        <v>331.397916</v>
      </c>
      <c r="FL78" s="134">
        <f>IF(ISNA(VLOOKUP(A78,'Données projet'!$A$217:$I$237,3,0)),0,VLOOKUP(A78,'Données projet'!$A$217:$I$237,3,0))</f>
        <v>0</v>
      </c>
      <c r="FM78" s="134">
        <f>IF(ISNA(VLOOKUP(A78,'Données projet'!$A$217:$I$237,4,0)),0,VLOOKUP(A78,'Données projet'!$A$217:$I$237,4,0))</f>
        <v>0</v>
      </c>
      <c r="FN78" s="135">
        <f>IF(ISNA(VLOOKUP(A78,'Données projet'!$A$217:$I$237,5,0)),0%,VLOOKUP(A78,'Données projet'!$A$217:$I$237,5,0)*VLOOKUP('Données projet'!$B$16,'Paramètres'!$A$1:$I$89,7,0))</f>
        <v>0</v>
      </c>
      <c r="FO78" s="135">
        <f>IF(ISNA(VLOOKUP(A78,'Données projet'!$A$217:$I$237,6,0)),0%,VLOOKUP(A78,'Données projet'!$A$217:$I$237,6,0)*VLOOKUP('Données projet'!$B$16,'Paramètres'!$A$1:$I$89,7,0))</f>
        <v>0</v>
      </c>
      <c r="FP78" s="135">
        <f>IF(ISNA(VLOOKUP(A78,'Données projet'!$A$217:$I$237,7,0)),0%,VLOOKUP(A78,'Données projet'!$A$217:$I$237,7,0))</f>
        <v>0</v>
      </c>
      <c r="FQ78" s="142">
        <f>EXP(-LN(2)/35)*FQ77+(1-EXP(-LN(2)/35))/(LN(2)/35)*FM78*FN78*VLOOKUP('Données projet'!$B$16,'Paramètres'!$A$1:$I$89,3,0)*0.475*44/12</f>
        <v>73.04360845</v>
      </c>
      <c r="FR78" s="142">
        <f>EXP(-LN(2)/25)*FR77+(1-EXP(-LN(2)/25))/(LN(2)/25)*Calculateur!FM78*Calculateur!FO78*VLOOKUP('Données projet'!$B$16,'Paramètres'!$A$1:$I$89,3,0)*0.475*44/12</f>
        <v>0</v>
      </c>
      <c r="FS78" s="142">
        <f>EXP(-LN(2)/2)*FS77+(1-EXP(-LN(2)/2))/(LN(2)/2)*FM78*FP78*VLOOKUP('Données projet'!$B$16,'Paramètres'!$A$1:$I$89,3,0)*0.475*44/12</f>
        <v>0</v>
      </c>
      <c r="FT78" s="143">
        <f t="shared" si="25"/>
        <v>73.04360845</v>
      </c>
      <c r="FU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1" t="str">
        <f>VLOOKUP(A78,'Données projet'!$A$243:$I$263,2,0)</f>
        <v>#N/A</v>
      </c>
      <c r="FX78" s="131" t="str">
        <f>VLOOKUP(A78,'Données projet'!$A$243:$I$263,9,0)</f>
        <v>#N/A</v>
      </c>
      <c r="FY78" s="131" t="str">
        <f t="array" ref="FY78">INDEX(FX:FX,MIN(IF(ISNUMBER(FX78:FX274),ROW(FX78:FX274),"")))</f>
        <v/>
      </c>
      <c r="FZ78" s="138">
        <f>IF('Données projet'!$A$244&gt;35,FZ77+FY78-GH77,IF(A78&lt;'Données projet'!$A$244,$FW$205^A78,IF(A78='Données projet'!$A$244,'Données projet'!$B$244,FZ77+FY78-GH77)))</f>
        <v>0</v>
      </c>
      <c r="GA78" s="138">
        <f>FZ78*VLOOKUP('Données projet'!$B$17,'Paramètres'!$A$1:$I$89,3,0)*VLOOKUP('Données projet'!$B$17,'Paramètres'!$A$1:$I$89,5,0)</f>
        <v>0</v>
      </c>
      <c r="GB78" s="130">
        <f t="shared" si="50"/>
        <v>0</v>
      </c>
      <c r="GC78" s="141">
        <f t="shared" si="26"/>
        <v>0</v>
      </c>
      <c r="GD78" s="133">
        <f t="shared" si="27"/>
        <v>293.3333333</v>
      </c>
      <c r="GE78" s="133">
        <f>AVERAGE(OFFSET($GD$3,0,0,'Données projet'!$E$17+1,1))-AVERAGE(OFFSET($H$3,0,0,'Données projet'!$E$17+1,1))</f>
        <v>118.7368745</v>
      </c>
      <c r="GF78" s="133">
        <f t="shared" si="51"/>
        <v>135.1233677</v>
      </c>
      <c r="GG78" s="134">
        <f>IF(ISNA(VLOOKUP(A78,'Données projet'!$A$243:$I$263,3,0)),0,VLOOKUP(A78,'Données projet'!$A$243:$I$263,3,0))</f>
        <v>0</v>
      </c>
      <c r="GH78" s="134">
        <f>IF(ISNA(VLOOKUP(A78,'Données projet'!$A$243:$I$263,4,0)),0,VLOOKUP(A78,'Données projet'!$A$243:$I$263,4,0))</f>
        <v>0</v>
      </c>
      <c r="GI78" s="135">
        <f>IF(ISNA(VLOOKUP(A78,'Données projet'!$A$243:$I$263,5,0)),0%,VLOOKUP(A78,'Données projet'!$A$243:$I$263,5,0)*VLOOKUP('Données projet'!$B$17,'Paramètres'!$A$1:$I$89,7,0))</f>
        <v>0</v>
      </c>
      <c r="GJ78" s="135">
        <f>IF(ISNA(VLOOKUP(A78,'Données projet'!$A$243:$I$263,6,0)),0%,VLOOKUP(A78,'Données projet'!$A$243:$I$263,6,0)*VLOOKUP('Données projet'!$B$17,'Paramètres'!$A$1:$I$89,7,0))</f>
        <v>0</v>
      </c>
      <c r="GK78" s="135">
        <f>IF(ISNA(VLOOKUP(A78,'Données projet'!$A$243:$I$263,7,0)),0%,VLOOKUP(A78,'Données projet'!$A$243:$I$263,7,0))</f>
        <v>0</v>
      </c>
      <c r="GL78" s="142">
        <f>EXP(-LN(2)/35)*GL77+(1-EXP(-LN(2)/35))/(LN(2)/35)*GH78*GI78*VLOOKUP('Données projet'!$B$17,'Paramètres'!$A$1:$I$89,3,0)*0.475*44/12</f>
        <v>77.17034643</v>
      </c>
      <c r="GM78" s="142">
        <f>EXP(-LN(2)/25)*GM77+(1-EXP(-LN(2)/25))/(LN(2)/25)*Calculateur!GH78*Calculateur!GJ78*VLOOKUP('Données projet'!$B$17,'Paramètres'!$A$1:$I$89,3,0)*0.475*44/12</f>
        <v>0</v>
      </c>
      <c r="GN78" s="142">
        <f>EXP(-LN(2)/2)*GN77+(1-EXP(-LN(2)/2))/(LN(2)/2)*GH78*GK78*VLOOKUP('Données projet'!$B$17,'Paramètres'!$A$1:$I$89,3,0)*0.475*44/12</f>
        <v>0</v>
      </c>
      <c r="GO78" s="142">
        <f t="shared" si="28"/>
        <v>77.17034643</v>
      </c>
      <c r="GP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1" t="str">
        <f>VLOOKUP(A78,'Données projet'!$A$269:$I$289,2,0)</f>
        <v>#N/A</v>
      </c>
      <c r="GS78" s="131" t="str">
        <f>VLOOKUP(A78,'Données projet'!$A$269:$I$289,9,0)</f>
        <v>#N/A</v>
      </c>
      <c r="GT78" s="131" t="str">
        <f t="array" ref="GT78">INDEX(GS:GS,MIN(IF(ISNUMBER(GS78:GS274),ROW(GS78:GS274),"")))</f>
        <v/>
      </c>
      <c r="GU78" s="138">
        <f>IF('Données projet'!$A$270&gt;35,GU77+GT78-HC77,IF(A78&lt;'Données projet'!$A$270,$GR$205^A78,IF(A78='Données projet'!$A$270,'Données projet'!$B$270,GU77+GT78-HC77)))</f>
        <v>0</v>
      </c>
      <c r="GV78" s="138">
        <f>GU78*VLOOKUP('Données projet'!$B$18,'Paramètres'!$A$1:$I$89,3,0)*VLOOKUP('Données projet'!$B$18,'Paramètres'!$A$1:$I$89,5,0)</f>
        <v>0</v>
      </c>
      <c r="GW78" s="130" t="str">
        <f t="shared" si="52"/>
        <v>#NUM!</v>
      </c>
      <c r="GX78" s="141" t="str">
        <f t="shared" si="29"/>
        <v>#NUM!</v>
      </c>
      <c r="GY78" s="133" t="str">
        <f t="shared" si="30"/>
        <v>#NUM!</v>
      </c>
      <c r="GZ78" s="133">
        <f>AVERAGE(OFFSET($GY$3,0,0,'Données projet'!$E$18+1,1))-AVERAGE(OFFSET($H$3,0,0,'Données projet'!$E$18+1,1))</f>
        <v>100.5427875</v>
      </c>
      <c r="HA78" s="133">
        <f t="shared" si="53"/>
        <v>92.28663609</v>
      </c>
      <c r="HB78" s="134">
        <f>IF(ISNA(VLOOKUP(A78,'Données projet'!$A$269:$I$289,3,0)),0,VLOOKUP(A78,'Données projet'!$A$269:$I$289,3,0))</f>
        <v>0</v>
      </c>
      <c r="HC78" s="134">
        <f>IF(ISNA(VLOOKUP(A78,'Données projet'!$A$269:$I$289,4,0)),0,VLOOKUP(A78,'Données projet'!$A$269:$I$289,4,0))</f>
        <v>0</v>
      </c>
      <c r="HD78" s="135">
        <f>IF(ISNA(VLOOKUP(A78,'Données projet'!$A$269:$I$289,5,0)),0%,VLOOKUP(A78,'Données projet'!$A$269:$I$289,5,0)*VLOOKUP('Données projet'!$B$18,'Paramètres'!$A$1:$I$89,7,0))</f>
        <v>0</v>
      </c>
      <c r="HE78" s="135">
        <f>IF(ISNA(VLOOKUP(A78,'Données projet'!$A$269:$I$289,6,0)),0%,VLOOKUP(A78,'Données projet'!$A$269:$I$289,6,0)*VLOOKUP('Données projet'!$B$18,'Paramètres'!$A$1:$I$89,7,0))</f>
        <v>0</v>
      </c>
      <c r="HF78" s="135">
        <f>IF(ISNA(VLOOKUP(A78,'Données projet'!$A$269:$I$289,7,0)),0%,VLOOKUP(A78,'Données projet'!$A$269:$I$289,7,0))</f>
        <v>0</v>
      </c>
      <c r="HG78" s="142">
        <f>EXP(-LN(2)/35)*HG77+(1-EXP(-LN(2)/35))/(LN(2)/35)*HC78*HD78*VLOOKUP('Données projet'!$B$18,'Paramètres'!$A$1:$I$89,3,0)*0.475*44/12</f>
        <v>52.55137792</v>
      </c>
      <c r="HH78" s="142">
        <f>EXP(-LN(2)/25)*HH77+(1-EXP(-LN(2)/25))/(LN(2)/25)*Calculateur!HC78*Calculateur!HE78*VLOOKUP('Données projet'!$B$18,'Paramètres'!$A$1:$I$89,3,0)*0.475*44/12</f>
        <v>0</v>
      </c>
      <c r="HI78" s="142">
        <f>EXP(-LN(2)/2)*HI77+(1-EXP(-LN(2)/2))/(LN(2)/2)*HC78*HF78*VLOOKUP('Données projet'!$B$18,'Paramètres'!$A$1:$I$89,3,0)*0.475*44/12</f>
        <v>0</v>
      </c>
      <c r="HJ78" s="143">
        <f t="shared" si="31"/>
        <v>52.55137792</v>
      </c>
    </row>
    <row r="79" ht="15.75" customHeight="1">
      <c r="A79" s="125">
        <f t="shared" si="32"/>
        <v>76</v>
      </c>
      <c r="B79" s="126">
        <f>'Scénario référence'!$B$16*5+'Scénario référence'!$B$17*0+'Scénario référence'!$B$18*5</f>
        <v>0</v>
      </c>
      <c r="C79" s="140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41.496</v>
      </c>
      <c r="D79" s="127">
        <f t="shared" si="33"/>
        <v>12.39431057</v>
      </c>
      <c r="E7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7">
        <f>IF(OR('Scénario référence'!$F$8&gt;0,'Scénario référence'!$F$9&gt;0),('Scénario référence'!$F$8+'Scénario référence'!$F$9)*10,0)</f>
        <v>10</v>
      </c>
      <c r="G79" s="127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</v>
      </c>
      <c r="H79" s="128">
        <f t="shared" si="1"/>
        <v>387.1922909</v>
      </c>
      <c r="I79" s="12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1" t="str">
        <f>VLOOKUP(A79,'Données projet'!$A$35:$I$55,2,0)</f>
        <v>#N/A</v>
      </c>
      <c r="L79" s="131" t="str">
        <f>VLOOKUP(A79,'Données projet'!$A$35:$I$55,9,0)</f>
        <v>#N/A</v>
      </c>
      <c r="M79" s="131" t="str">
        <f t="array" ref="M79">INDEX(L:L,MIN(IF(ISNUMBER(L79:L275),ROW(L79:L275),"")))</f>
        <v/>
      </c>
      <c r="N79" s="130">
        <f>IF('Données projet'!$A$36&gt;35,N78+M79-V78,IF(A79&lt;'Données projet'!$A$36,$K$205^A79,IF(A79='Données projet'!$A$36,'Données projet'!$B$36,N78+M79-V78)))</f>
        <v>0</v>
      </c>
      <c r="O79" s="130">
        <f>N79*VLOOKUP('Données projet'!$B$9,'Paramètres'!$A$1:$I$89,3,0)*VLOOKUP('Données projet'!$B$9,'Paramètres'!$A$1:$I$89,5,0)</f>
        <v>0</v>
      </c>
      <c r="P79" s="130">
        <f t="shared" si="34"/>
        <v>0</v>
      </c>
      <c r="Q79" s="141">
        <f t="shared" si="2"/>
        <v>0</v>
      </c>
      <c r="R79" s="133">
        <f t="shared" si="3"/>
        <v>293.3333333</v>
      </c>
      <c r="S79" s="133">
        <f>AVERAGE(OFFSET($R$3,0,0,'Données projet'!$E$9+1,1))-AVERAGE(OFFSET($H$3,0,0,'Données projet'!$E$9+1,1))</f>
        <v>126.9946492</v>
      </c>
      <c r="T79" s="133">
        <f t="shared" si="35"/>
        <v>140.039049</v>
      </c>
      <c r="U79" s="134">
        <f>IF(ISNA(VLOOKUP(A79,'Données projet'!$A$35:$I$55,3,0)),0,VLOOKUP(A79,'Données projet'!$A$35:$I$55,3,0))</f>
        <v>0</v>
      </c>
      <c r="V79" s="134">
        <f>IF(ISNA(VLOOKUP(A79,'Données projet'!$A$35:$I$55,4,0)),0,VLOOKUP(A79,'Données projet'!$A$35:$I$55,4,0))</f>
        <v>0</v>
      </c>
      <c r="W79" s="135">
        <f>IF(ISNA(VLOOKUP(A79,'Données projet'!$A$35:$I$55,5,0)),0%,VLOOKUP(A79,'Données projet'!$A$35:$I$55,5,0)*VLOOKUP('Données projet'!$B$9,'Paramètres'!$A$1:$I$89,7,0))</f>
        <v>0</v>
      </c>
      <c r="X79" s="135">
        <f>IF(ISNA(VLOOKUP(A79,'Données projet'!$A$35:$I$55,6,0)),0%,VLOOKUP(A79,'Données projet'!$A$35:$I$55,6,0)*VLOOKUP('Données projet'!$B$9,'Paramètres'!$A$1:$I$89,7,0))</f>
        <v>0</v>
      </c>
      <c r="Y79" s="135">
        <f>IF(ISNA(VLOOKUP(A79,'Données projet'!$A$35:$I$55,7,0)),0%,VLOOKUP(A79,'Données projet'!$A$35:$I$55,7,0))</f>
        <v>0</v>
      </c>
      <c r="Z79" s="142">
        <f>EXP(-LN(2)/35)*Z78+(1-EXP(-LN(2)/35))/(LN(2)/35)*V79*W79*VLOOKUP('Données projet'!$B$9,'Paramètres'!$A$1:$I$89,3,0)*0.475*44/12</f>
        <v>77.38035439</v>
      </c>
      <c r="AA79" s="142">
        <f>EXP(-LN(2)/25)*AA78+(1-EXP(-LN(2)/25))/(LN(2)/25)*Calculateur!V79*Calculateur!X79*VLOOKUP('Données projet'!$B$9,'Paramètres'!$A$1:$I$89,3,0)*0.475*44/12</f>
        <v>14.91254094</v>
      </c>
      <c r="AB79" s="142">
        <f>EXP(-LN(2)/2)*AB78+(1-EXP(-LN(2)/2))/(LN(2)/2)*V79*Y79*VLOOKUP('Données projet'!$B$9,'Paramètres'!$A$1:$I$89,3,0)*0.475*44/12</f>
        <v>0.07417723129</v>
      </c>
      <c r="AC79" s="143">
        <f t="shared" si="4"/>
        <v>92.36707256</v>
      </c>
      <c r="AD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1" t="str">
        <f>VLOOKUP(A79,'Données projet'!$A$61:$I$81,2,0)</f>
        <v>#N/A</v>
      </c>
      <c r="AG79" s="131" t="str">
        <f>VLOOKUP(A79,'Données projet'!$A$61:$I$81,9,0)</f>
        <v>#N/A</v>
      </c>
      <c r="AH79" s="131" t="str">
        <f t="array" ref="AH79">INDEX(AG:AG,MIN(IF(ISNUMBER(AG79:AG275),ROW(AG79:AG275),"")))</f>
        <v/>
      </c>
      <c r="AI79" s="130">
        <f>IF('Données projet'!$A$62&gt;35,AI78+AH79-AQ78,IF(A79&lt;'Données projet'!$A$62,$AF$205^A79,IF(A79='Données projet'!$A$62,'Données projet'!$B$62,AI78+AH79-AQ78)))</f>
        <v>0</v>
      </c>
      <c r="AJ79" s="130">
        <f>AI79*VLOOKUP('Données projet'!$B$10,'Paramètres'!$A$1:$I$89,3,0)*VLOOKUP('Données projet'!$B$10,'Paramètres'!$A$1:$I$89,5,0)</f>
        <v>0</v>
      </c>
      <c r="AK79" s="130" t="str">
        <f t="shared" si="36"/>
        <v>#NUM!</v>
      </c>
      <c r="AL79" s="141" t="str">
        <f t="shared" si="5"/>
        <v>#NUM!</v>
      </c>
      <c r="AM79" s="133" t="str">
        <f t="shared" si="6"/>
        <v>#NUM!</v>
      </c>
      <c r="AN79" s="133">
        <f>AVERAGE(OFFSET($AM$3,0,0,'Données projet'!$E$10+1,1))-AVERAGE(OFFSET($H$3,0,0,'Données projet'!$E$10+1,1))</f>
        <v>196.874484</v>
      </c>
      <c r="AO79" s="133">
        <f t="shared" si="37"/>
        <v>217.5750859</v>
      </c>
      <c r="AP79" s="134">
        <f>IF(ISNA(VLOOKUP(A79,'Données projet'!$A$61:$I$81,3,0)),0,VLOOKUP(A79,'Données projet'!$A$61:$I$81,3,0))</f>
        <v>0</v>
      </c>
      <c r="AQ79" s="134">
        <f>IF(ISNA(VLOOKUP(A79,'Données projet'!$A$61:$I$81,4,0)),0,VLOOKUP(A79,'Données projet'!$A$61:$I$81,4,0))</f>
        <v>0</v>
      </c>
      <c r="AR79" s="135">
        <f>IF(ISNA(VLOOKUP(A79,'Données projet'!$A$61:$I$81,5,0)),0%,VLOOKUP(A79,'Données projet'!$A$61:$I$81,5,0)*VLOOKUP('Données projet'!$B$10,'Paramètres'!$A$1:$I$89,7,0))</f>
        <v>0</v>
      </c>
      <c r="AS79" s="135">
        <f>IF(ISNA(VLOOKUP(A79,'Données projet'!$A$61:$I$81,6,0)),0%,VLOOKUP(A79,'Données projet'!$A$61:$I$81,6,0)*VLOOKUP('Données projet'!$B$10,'Paramètres'!$A$1:$I$89,7,0))</f>
        <v>0</v>
      </c>
      <c r="AT79" s="135">
        <f>IF(ISNA(VLOOKUP(A79,'Données projet'!$A$61:$I$81,7,0)),0%,VLOOKUP(A79,'Données projet'!$A$61:$I$81,7,0))</f>
        <v>0</v>
      </c>
      <c r="AU79" s="142">
        <f>EXP(-LN(2)/35)*AU78+(1-EXP(-LN(2)/35))/(LN(2)/35)*AQ79*AR79*VLOOKUP('Données projet'!$B$10,'Paramètres'!$A$1:$I$89,3,0)*0.475*44/12</f>
        <v>107.5564947</v>
      </c>
      <c r="AV79" s="142">
        <f>EXP(-LN(2)/25)*AV78+(1-EXP(-LN(2)/25))/(LN(2)/25)*Calculateur!AQ79*Calculateur!AS79*VLOOKUP('Données projet'!$B$10,'Paramètres'!$A$1:$I$89,3,0)*0.475*44/12</f>
        <v>22.92805162</v>
      </c>
      <c r="AW79" s="142">
        <f>EXP(-LN(2)/2)*AW78+(1-EXP(-LN(2)/2))/(LN(2)/2)*AQ79*AT79*VLOOKUP('Données projet'!$B$10,'Paramètres'!$A$1:$I$89,3,0)*0.475*44/12</f>
        <v>0.1034186344</v>
      </c>
      <c r="AX79" s="142">
        <f t="shared" si="7"/>
        <v>130.587965</v>
      </c>
      <c r="AY79" s="13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1" t="str">
        <f>VLOOKUP(A79,'Données projet'!$A$87:$I$107,2,0)</f>
        <v>#N/A</v>
      </c>
      <c r="BB79" s="131" t="str">
        <f>VLOOKUP(A79,'Données projet'!$A$87:$I$107,9,0)</f>
        <v>#N/A</v>
      </c>
      <c r="BC79" s="131" t="str">
        <f t="array" ref="BC79">INDEX(BB:BB,MIN(IF(ISNUMBER(BB79:BB275),ROW(BB79:BB275),"")))</f>
        <v/>
      </c>
      <c r="BD79" s="130">
        <f>IF('Données projet'!$A$88&gt;35,BD78+BC79-BL78,IF(A79&lt;'Données projet'!$A$88,$BA$205^A79,IF(A79='Données projet'!$A$88,'Données projet'!$B$88,BD78+BC79-BL78)))</f>
        <v>0</v>
      </c>
      <c r="BE79" s="130">
        <f>BD79*VLOOKUP('Données projet'!$B$11,'Paramètres'!$A$1:$I$89,3,0)*VLOOKUP('Données projet'!$B$11,'Paramètres'!$A$1:$I$89,5,0)</f>
        <v>0</v>
      </c>
      <c r="BF79" s="130" t="str">
        <f t="shared" si="38"/>
        <v>#NUM!</v>
      </c>
      <c r="BG79" s="141" t="str">
        <f t="shared" si="8"/>
        <v>#NUM!</v>
      </c>
      <c r="BH79" s="133" t="str">
        <f t="shared" si="9"/>
        <v>#NUM!</v>
      </c>
      <c r="BI79" s="133">
        <f>AVERAGE(OFFSET($BH$3,0,0,'Données projet'!$E$11+1,1))-AVERAGE(OFFSET($H$3,0,0,'Données projet'!$E$11+1,1))</f>
        <v>134.0948534</v>
      </c>
      <c r="BJ79" s="133">
        <f t="shared" si="39"/>
        <v>108.4102536</v>
      </c>
      <c r="BK79" s="134">
        <f>IF(ISNA(VLOOKUP(A79,'Données projet'!$A$87:$I$107,3,0)),0,VLOOKUP(A79,'Données projet'!$A$87:$I$107,3,0))</f>
        <v>0</v>
      </c>
      <c r="BL79" s="134">
        <f>IF(ISNA(VLOOKUP(A79,'Données projet'!$A$87:$I$107,4,0)),0,VLOOKUP(A79,'Données projet'!$A$87:$I$107,4,0))</f>
        <v>0</v>
      </c>
      <c r="BM79" s="135">
        <f>IF(ISNA(VLOOKUP(A79,'Données projet'!$A$87:$I$107,5,0)),0%,VLOOKUP(A79,'Données projet'!$A$87:$I$107,5,0)*VLOOKUP('Données projet'!$B$11,'Paramètres'!$A$1:$I$89,7,0))</f>
        <v>0</v>
      </c>
      <c r="BN79" s="135">
        <f>IF(ISNA(VLOOKUP(A79,'Données projet'!$A$87:$I$107,6,0)),0%,VLOOKUP(A79,'Données projet'!$A$87:$I$107,6,0)*VLOOKUP('Données projet'!$B$11,'Paramètres'!$A$1:$I$89,7,0))</f>
        <v>0</v>
      </c>
      <c r="BO79" s="135">
        <f>IF(ISNA(VLOOKUP(A79,'Données projet'!$A$87:$I$107,7,0)),0%,VLOOKUP(A79,'Données projet'!$A$87:$I$107,7,0))</f>
        <v>0</v>
      </c>
      <c r="BP79" s="142">
        <f>EXP(-LN(2)/35)*BP78+(1-EXP(-LN(2)/35))/(LN(2)/35)*BL79*BM79*VLOOKUP('Données projet'!$B$11,'Paramètres'!$A$1:$I$89,3,0)*0.475*44/12</f>
        <v>148.7707193</v>
      </c>
      <c r="BQ79" s="142">
        <f>EXP(-LN(2)/25)*BQ78+(1-EXP(-LN(2)/25))/(LN(2)/25)*Calculateur!BL79*Calculateur!BN79*VLOOKUP('Données projet'!$B$11,'Paramètres'!$A$1:$I$89,3,0)*0.475*44/12</f>
        <v>14.46303465</v>
      </c>
      <c r="BR79" s="142">
        <f>EXP(-LN(2)/2)*BR78+(1-EXP(-LN(2)/2))/(LN(2)/2)*BL79*BO79*VLOOKUP('Données projet'!$B$11,'Paramètres'!$A$1:$I$89,3,0)*0.475*44/12</f>
        <v>1.379456166</v>
      </c>
      <c r="BS79" s="143">
        <f t="shared" si="10"/>
        <v>164.6132101</v>
      </c>
      <c r="BT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1" t="str">
        <f>VLOOKUP(A79,'Données projet'!$A$113:$I$133,2,0)</f>
        <v>#N/A</v>
      </c>
      <c r="BW79" s="131" t="str">
        <f>VLOOKUP(A79,'Données projet'!$A$113:$I$133,9,0)</f>
        <v>#N/A</v>
      </c>
      <c r="BX79" s="131" t="str">
        <f t="array" ref="BX79">INDEX(BW:BW,MIN(IF(ISNUMBER(BW79:BW275),ROW(BW79:BW275),"")))</f>
        <v/>
      </c>
      <c r="BY79" s="130">
        <f>IF('Données projet'!$A$114&gt;35,BY78+BX79-CG78,IF(A79&lt;'Données projet'!$A$114,$BV$205^A79,IF(A79='Données projet'!$A$114,'Données projet'!$B$114,BY78+BX79-CG78)))</f>
        <v>0</v>
      </c>
      <c r="BZ79" s="130">
        <f>BY79*VLOOKUP('Données projet'!$B$12,'Paramètres'!$A$1:$I$89,3,0)*VLOOKUP('Données projet'!$B$12,'Paramètres'!$A$1:$I$89,5,0)</f>
        <v>0</v>
      </c>
      <c r="CA79" s="130" t="str">
        <f t="shared" si="40"/>
        <v>#NUM!</v>
      </c>
      <c r="CB79" s="141" t="str">
        <f t="shared" si="11"/>
        <v>#NUM!</v>
      </c>
      <c r="CC79" s="133" t="str">
        <f t="shared" si="12"/>
        <v>#NUM!</v>
      </c>
      <c r="CD79" s="133">
        <f>AVERAGE(OFFSET($CC$3,0,0,'Données projet'!$E$12+1,1))-AVERAGE(OFFSET($H$3,0,0,'Données projet'!$E$12+1,1))</f>
        <v>258.1672054</v>
      </c>
      <c r="CE79" s="133">
        <f t="shared" si="41"/>
        <v>296.0724261</v>
      </c>
      <c r="CF79" s="134">
        <f>IF(ISNA(VLOOKUP(A79,'Données projet'!$A$113:$I$133,3,0)),0,VLOOKUP(A79,'Données projet'!$A$113:$I$133,3,0))</f>
        <v>0</v>
      </c>
      <c r="CG79" s="134">
        <f>IF(ISNA(VLOOKUP(A79,'Données projet'!$A$113:$I$133,4,0)),0,VLOOKUP(A79,'Données projet'!$A$113:$I$133,4,0))</f>
        <v>0</v>
      </c>
      <c r="CH79" s="135">
        <f>IF(ISNA(VLOOKUP(A79,'Données projet'!$A$113:$I$133,5,0)),0%,VLOOKUP(A79,'Données projet'!$A$113:$I$133,5,0)*VLOOKUP('Données projet'!$B$12,'Paramètres'!$A$1:$I$89,7,0))</f>
        <v>0</v>
      </c>
      <c r="CI79" s="135">
        <f>IF(ISNA(VLOOKUP(A79,'Données projet'!$A$113:$I$133,6,0)),0%,VLOOKUP(A79,'Données projet'!$A$113:$I$133,6,0)*VLOOKUP('Données projet'!$B$12,'Paramètres'!$A$1:$I$89,7,0))</f>
        <v>0</v>
      </c>
      <c r="CJ79" s="135">
        <f>IF(ISNA(VLOOKUP(A79,'Données projet'!$A$113:$I$133,7,0)),0%,VLOOKUP(A79,'Données projet'!$A$113:$I$133,7,0))</f>
        <v>0</v>
      </c>
      <c r="CK79" s="142">
        <f>EXP(-LN(2)/35)*CK78+(1-EXP(-LN(2)/35))/(LN(2)/35)*CG79*CH79*VLOOKUP('Données projet'!$B$12,'Paramètres'!$A$1:$I$89,3,0)*0.475*44/12</f>
        <v>188.0917</v>
      </c>
      <c r="CL79" s="142">
        <f>EXP(-LN(2)/25)*CL78+(1-EXP(-LN(2)/25))/(LN(2)/25)*Calculateur!CG79*Calculateur!CI79*VLOOKUP('Données projet'!$B$12,'Paramètres'!$A$1:$I$89,3,0)*0.475*44/12</f>
        <v>25.3689838</v>
      </c>
      <c r="CM79" s="142">
        <f>EXP(-LN(2)/2)*CM78+(1-EXP(-LN(2)/2))/(LN(2)/2)*CG79*CJ79*VLOOKUP('Données projet'!$B$12,'Paramètres'!$A$1:$I$89,3,0)*0.475*44/12</f>
        <v>0.05811486008</v>
      </c>
      <c r="CN79" s="143">
        <f t="shared" si="13"/>
        <v>213.5187986</v>
      </c>
      <c r="CO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1" t="str">
        <f>VLOOKUP(A79,'Données projet'!$A$139:$I$159,2,0)</f>
        <v>#N/A</v>
      </c>
      <c r="CR79" s="131" t="str">
        <f>VLOOKUP(A79,'Données projet'!$A$139:$I$159,9,0)</f>
        <v>#N/A</v>
      </c>
      <c r="CS79" s="130">
        <f t="array" ref="CS79">INDEX(CR:CR,MIN(IF(ISNUMBER(CR79:CR275),ROW(CR79:CR275),"")))</f>
        <v>4.6</v>
      </c>
      <c r="CT79" s="138">
        <f>IF('Données projet'!$A$140&gt;35,CT78+CS79-DB78,IF(A79&lt;'Données projet'!$A$140,$CQ$205^A79,IF(A79='Données projet'!$A$140,'Données projet'!$B$140,CT78+CS79-DB78)))</f>
        <v>173.6</v>
      </c>
      <c r="CU79" s="138">
        <f>CT79*VLOOKUP('Données projet'!$B$13,'Paramètres'!$A$1:$I$89,3,0)*VLOOKUP('Données projet'!$B$13,'Paramètres'!$A$1:$I$89,5,0)</f>
        <v>176.0304</v>
      </c>
      <c r="CV79" s="130">
        <f t="shared" si="42"/>
        <v>44.43788035</v>
      </c>
      <c r="CW79" s="141">
        <f t="shared" si="14"/>
        <v>383.9822549</v>
      </c>
      <c r="CX79" s="133">
        <f t="shared" si="15"/>
        <v>677.3155883</v>
      </c>
      <c r="CY79" s="133">
        <f>AVERAGE(OFFSET($CX$3,0,0,'Données projet'!$E$13+1,1))-AVERAGE(OFFSET($H$3,0,0,'Données projet'!$E$13+1,1))</f>
        <v>223.783507</v>
      </c>
      <c r="CZ79" s="133">
        <f t="shared" si="43"/>
        <v>84.92349117</v>
      </c>
      <c r="DA79" s="134">
        <f>IF(ISNA(VLOOKUP(A79,'Données projet'!$A$139:$I$159,3,0)),0,VLOOKUP(A79,'Données projet'!$A$139:$I$159,3,0))</f>
        <v>0</v>
      </c>
      <c r="DB79" s="134">
        <f>IF(ISNA(VLOOKUP(A79,'Données projet'!$A$139:$I$159,4,0)),0,VLOOKUP(A79,'Données projet'!$A$139:$I$159,4,0))</f>
        <v>0</v>
      </c>
      <c r="DC79" s="135">
        <f>IF(ISNA(VLOOKUP(A79,'Données projet'!$A$139:$I$159,5,0)),0%,VLOOKUP(A79,'Données projet'!$A$139:$I$159,5,0)*VLOOKUP('Données projet'!$B$13,'Paramètres'!$A$1:$I$89,7,0))</f>
        <v>0</v>
      </c>
      <c r="DD79" s="135">
        <f>IF(ISNA(VLOOKUP(A79,'Données projet'!$A$139:$I$159,6,0)),0%,VLOOKUP(A79,'Données projet'!$A$139:$I$159,6,0)*VLOOKUP('Données projet'!$B$13,'Paramètres'!$A$1:$I$89,7,0))</f>
        <v>0</v>
      </c>
      <c r="DE79" s="135">
        <f>IF(ISNA(VLOOKUP(A79,'Données projet'!$A$139:$I$159,7,0)),0%,VLOOKUP(A79,'Données projet'!$A$139:$I$159,7,0))</f>
        <v>0</v>
      </c>
      <c r="DF79" s="142">
        <f>EXP(-LN(2)/35)*DF78+(1-EXP(-LN(2)/35))/(LN(2)/35)*DB79*DC79*VLOOKUP('Données projet'!$B$13,'Paramètres'!$A$1:$I$89,3,0)*0.475*44/12</f>
        <v>12.22276328</v>
      </c>
      <c r="DG79" s="142">
        <f>EXP(-LN(2)/25)*DG78+(1-EXP(-LN(2)/25))/(LN(2)/25)*Calculateur!DB79*Calculateur!DD79*VLOOKUP('Données projet'!$B$13,'Paramètres'!$A$1:$I$89,3,0)*0.475*44/12</f>
        <v>0</v>
      </c>
      <c r="DH79" s="142">
        <f>EXP(-LN(2)/2)*DH78+(1-EXP(-LN(2)/2))/(LN(2)/2)*DB79*DE79*VLOOKUP('Données projet'!$B$13,'Paramètres'!$A$1:$I$89,3,0)*0.475*44/12</f>
        <v>0</v>
      </c>
      <c r="DI79" s="143">
        <f t="shared" si="16"/>
        <v>12.22276328</v>
      </c>
      <c r="DJ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1" t="str">
        <f>VLOOKUP(A79,'Données projet'!$A$165:$I$185,2,0)</f>
        <v>#N/A</v>
      </c>
      <c r="DM79" s="131" t="str">
        <f>VLOOKUP(A79,'Données projet'!$A$165:$I$185,9,0)</f>
        <v>#N/A</v>
      </c>
      <c r="DN79" s="131">
        <f t="array" ref="DN79">INDEX(DM:DM,MIN(IF(ISNUMBER(DM79:DM275),ROW(DM79:DM275),"")))</f>
        <v>6</v>
      </c>
      <c r="DO79" s="138">
        <f>IF('Données projet'!$A$166&gt;35,DO78+DN79-DW78,IF(A79&lt;'Données projet'!$A$166,$DL$205^A79,IF(A79='Données projet'!$A$166,'Données projet'!$B$166,DO78+DN79-DW78)))</f>
        <v>237</v>
      </c>
      <c r="DP79" s="138">
        <f>DO79*VLOOKUP('Données projet'!$B$14,'Paramètres'!$A$1:$I$89,3,0)*VLOOKUP('Données projet'!$B$14,'Paramètres'!$A$1:$I$89,5,0)</f>
        <v>214.4376</v>
      </c>
      <c r="DQ79" s="130">
        <f t="shared" si="44"/>
        <v>52.9041296</v>
      </c>
      <c r="DR79" s="141">
        <f t="shared" si="17"/>
        <v>465.6201791</v>
      </c>
      <c r="DS79" s="133">
        <f t="shared" si="18"/>
        <v>758.9535124</v>
      </c>
      <c r="DT79" s="133">
        <f>AVERAGE(OFFSET($DS$3,0,0,'Données projet'!$E$14+1,1))-AVERAGE(OFFSET($H$3,0,0,'Données projet'!$E$14+1,1))</f>
        <v>287.9334714</v>
      </c>
      <c r="DU79" s="133">
        <f t="shared" si="45"/>
        <v>156.6796502</v>
      </c>
      <c r="DV79" s="134">
        <f>IF(ISNA(VLOOKUP(A79,'Données projet'!$A$165:$I$185,3,0)),0,VLOOKUP(A79,'Données projet'!$A$165:$I$185,3,0))</f>
        <v>0</v>
      </c>
      <c r="DW79" s="134">
        <f>IF(ISNA(VLOOKUP(A79,'Données projet'!$A$165:$I$185,4,0)),0,VLOOKUP(A79,'Données projet'!$A$165:$I$185,4,0))</f>
        <v>0</v>
      </c>
      <c r="DX79" s="135">
        <f>IF(ISNA(VLOOKUP(A79,'Données projet'!$A$165:$I$185,5,0)),0%,VLOOKUP(A79,'Données projet'!$A$165:$I$185,5,0)*VLOOKUP('Données projet'!$B$14,'Paramètres'!$A$1:$I$89,7,0))</f>
        <v>0</v>
      </c>
      <c r="DY79" s="135">
        <f>IF(ISNA(VLOOKUP(A79,'Données projet'!$A$165:$I$185,6,0)),0%,VLOOKUP(A79,'Données projet'!$A$165:$I$185,6,0)*VLOOKUP('Données projet'!$B$14,'Paramètres'!$A$1:$I$89,7,0))</f>
        <v>0</v>
      </c>
      <c r="DZ79" s="135">
        <f>IF(ISNA(VLOOKUP(A79,'Données projet'!$A$165:$I$185,7,0)),0%,VLOOKUP(A79,'Données projet'!$A$165:$I$185,7,0))</f>
        <v>0</v>
      </c>
      <c r="EA79" s="142">
        <f>EXP(-LN(2)/35)*EA78+(1-EXP(-LN(2)/35))/(LN(2)/35)*DW79*DX79*VLOOKUP('Données projet'!$B$14,'Paramètres'!$A$1:$I$89,3,0)*0.475*44/12</f>
        <v>19.24484603</v>
      </c>
      <c r="EB79" s="142">
        <f>EXP(-LN(2)/25)*EB78+(1-EXP(-LN(2)/25))/(LN(2)/25)*Calculateur!DW79*Calculateur!DY79*VLOOKUP('Données projet'!$B$14,'Paramètres'!$A$1:$I$89,3,0)*0.475*44/12</f>
        <v>0</v>
      </c>
      <c r="EC79" s="142">
        <f>EXP(-LN(2)/2)*EC78+(1-EXP(-LN(2)/2))/(LN(2)/2)*DW79*DZ79*VLOOKUP('Données projet'!$B$14,'Paramètres'!$A$1:$I$89,3,0)*0.475*44/12</f>
        <v>0</v>
      </c>
      <c r="ED79" s="143">
        <f t="shared" si="19"/>
        <v>19.24484603</v>
      </c>
      <c r="EE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1" t="str">
        <f>VLOOKUP(A79,'Données projet'!$A$191:$I$211,2,0)</f>
        <v>#N/A</v>
      </c>
      <c r="EH79" s="131" t="str">
        <f>VLOOKUP(A79,'Données projet'!$A$191:$I$211,9,0)</f>
        <v>#N/A</v>
      </c>
      <c r="EI79" s="131">
        <f t="array" ref="EI79">INDEX(EH:EH,MIN(IF(ISNUMBER(EH79:EH275),ROW(EH79:EH275),"")))</f>
        <v>7.4</v>
      </c>
      <c r="EJ79" s="138">
        <f>IF('Données projet'!$A$192&gt;35,EJ78+EI79-ER78,IF(A79&lt;'Données projet'!$A$192,$EG$205^A79,IF(A79='Données projet'!$A$192,'Données projet'!$B$192,EJ78+EI79-ER78)))</f>
        <v>240.4</v>
      </c>
      <c r="EK79" s="138">
        <f>EJ79*VLOOKUP('Données projet'!$B$15,'Paramètres'!$A$1:$I$89,3,0)*VLOOKUP('Données projet'!$B$15,'Paramètres'!$A$1:$I$89,5,0)</f>
        <v>176.26128</v>
      </c>
      <c r="EL79" s="130">
        <f t="shared" si="46"/>
        <v>44.48937647</v>
      </c>
      <c r="EM79" s="141">
        <f t="shared" si="20"/>
        <v>384.47406</v>
      </c>
      <c r="EN79" s="133">
        <f t="shared" si="21"/>
        <v>677.8073934</v>
      </c>
      <c r="EO79" s="133">
        <f>AVERAGE(OFFSET($EN$3,0,0,'Données projet'!$E$15+1,1))-AVERAGE(OFFSET($H$3,0,0,'Données projet'!$E$15+1,1))</f>
        <v>130.3193339</v>
      </c>
      <c r="EP79" s="133">
        <f t="shared" si="47"/>
        <v>82.22784365</v>
      </c>
      <c r="EQ79" s="134">
        <f>IF(ISNA(VLOOKUP(A79,'Données projet'!$A$191:$I$211,3,0)),0,VLOOKUP(A79,'Données projet'!$A$191:$I$211,3,0))</f>
        <v>0</v>
      </c>
      <c r="ER79" s="134">
        <f>IF(ISNA(VLOOKUP(A79,'Données projet'!$A$191:$I$211,4,0)),0,VLOOKUP(A79,'Données projet'!$A$191:$I$211,4,0))</f>
        <v>0</v>
      </c>
      <c r="ES79" s="135">
        <f>IF(ISNA(VLOOKUP(A79,'Données projet'!$A$191:$I$211,5,0)),0%,VLOOKUP(A79,'Données projet'!$A$191:$I$211,5,0)*VLOOKUP('Données projet'!$B$15,'Paramètres'!$A$1:$I$89,7,0))</f>
        <v>0</v>
      </c>
      <c r="ET79" s="135">
        <f>IF(ISNA(VLOOKUP(A79,'Données projet'!$A$191:$I$211,6,0)),0%,VLOOKUP(A79,'Données projet'!$A$191:$I$211,6,0)*VLOOKUP('Données projet'!$B$15,'Paramètres'!$A$1:$I$89,7,0))</f>
        <v>0</v>
      </c>
      <c r="EU79" s="135">
        <f>IF(ISNA(VLOOKUP(A79,'Données projet'!$A$191:$I$211,7,0)),0%,VLOOKUP(A79,'Données projet'!$A$191:$I$211,7,0))</f>
        <v>0</v>
      </c>
      <c r="EV79" s="142">
        <f>EXP(-LN(2)/35)*EV78+(1-EXP(-LN(2)/35))/(LN(2)/35)*ER79*ES79*VLOOKUP('Données projet'!$B$15,'Paramètres'!$A$1:$I$89,3,0)*0.475*44/12</f>
        <v>23.3398578</v>
      </c>
      <c r="EW79" s="142">
        <f>EXP(-LN(2)/25)*EW78+(1-EXP(-LN(2)/25))/(LN(2)/25)*Calculateur!ER79*Calculateur!ET79*VLOOKUP('Données projet'!$B$15,'Paramètres'!$A$1:$I$89,3,0)*0.475*44/12</f>
        <v>0</v>
      </c>
      <c r="EX79" s="142">
        <f>EXP(-LN(2)/2)*EX78+(1-EXP(-LN(2)/2))/(LN(2)/2)*ER79*EU79*VLOOKUP('Données projet'!$B$15,'Paramètres'!$A$1:$I$89,3,0)*0.475*44/12</f>
        <v>0</v>
      </c>
      <c r="EY79" s="143">
        <f t="shared" si="22"/>
        <v>23.3398578</v>
      </c>
      <c r="EZ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1" t="str">
        <f>VLOOKUP(A79,'Données projet'!$A$217:$I$237,2,0)</f>
        <v>#N/A</v>
      </c>
      <c r="FC79" s="131" t="str">
        <f>VLOOKUP(A79,'Données projet'!$A$217:$I$237,9,0)</f>
        <v>#N/A</v>
      </c>
      <c r="FD79" s="131" t="str">
        <f t="array" ref="FD79">INDEX(FC:FC,MIN(IF(ISNUMBER(FC79:FC275),ROW(FC79:FC275),"")))</f>
        <v/>
      </c>
      <c r="FE79" s="130">
        <f>IF('Données projet'!$A$218&gt;35,FE78+FD79-FM78,IF(A79&lt;'Données projet'!$A$218,$FB$205^A79,IF(A79='Données projet'!$A$218,'Données projet'!$B$218,FE78+FD79-FM78)))</f>
        <v>0</v>
      </c>
      <c r="FF79" s="138">
        <f>FE79*VLOOKUP('Données projet'!$B$16,'Paramètres'!$A$1:$I$89,3,0)*VLOOKUP('Données projet'!$B$16,'Paramètres'!$A$1:$I$89,5,0)</f>
        <v>0</v>
      </c>
      <c r="FG79" s="130">
        <f t="shared" si="48"/>
        <v>0</v>
      </c>
      <c r="FH79" s="141">
        <f t="shared" si="23"/>
        <v>0</v>
      </c>
      <c r="FI79" s="133">
        <f t="shared" si="24"/>
        <v>293.3333333</v>
      </c>
      <c r="FJ79" s="133">
        <f>AVERAGE(OFFSET($FI$3,0,0,'Données projet'!$E$16+1,1))-AVERAGE(OFFSET($H$3,0,0,'Données projet'!$E$16+1,1))</f>
        <v>305.6252353</v>
      </c>
      <c r="FK79" s="133">
        <f t="shared" si="49"/>
        <v>331.397916</v>
      </c>
      <c r="FL79" s="134">
        <f>IF(ISNA(VLOOKUP(A79,'Données projet'!$A$217:$I$237,3,0)),0,VLOOKUP(A79,'Données projet'!$A$217:$I$237,3,0))</f>
        <v>0</v>
      </c>
      <c r="FM79" s="134">
        <f>IF(ISNA(VLOOKUP(A79,'Données projet'!$A$217:$I$237,4,0)),0,VLOOKUP(A79,'Données projet'!$A$217:$I$237,4,0))</f>
        <v>0</v>
      </c>
      <c r="FN79" s="135">
        <f>IF(ISNA(VLOOKUP(A79,'Données projet'!$A$217:$I$237,5,0)),0%,VLOOKUP(A79,'Données projet'!$A$217:$I$237,5,0)*VLOOKUP('Données projet'!$B$16,'Paramètres'!$A$1:$I$89,7,0))</f>
        <v>0</v>
      </c>
      <c r="FO79" s="135">
        <f>IF(ISNA(VLOOKUP(A79,'Données projet'!$A$217:$I$237,6,0)),0%,VLOOKUP(A79,'Données projet'!$A$217:$I$237,6,0)*VLOOKUP('Données projet'!$B$16,'Paramètres'!$A$1:$I$89,7,0))</f>
        <v>0</v>
      </c>
      <c r="FP79" s="135">
        <f>IF(ISNA(VLOOKUP(A79,'Données projet'!$A$217:$I$237,7,0)),0%,VLOOKUP(A79,'Données projet'!$A$217:$I$237,7,0))</f>
        <v>0</v>
      </c>
      <c r="FQ79" s="142">
        <f>EXP(-LN(2)/35)*FQ78+(1-EXP(-LN(2)/35))/(LN(2)/35)*FM79*FN79*VLOOKUP('Données projet'!$B$16,'Paramètres'!$A$1:$I$89,3,0)*0.475*44/12</f>
        <v>71.61126784</v>
      </c>
      <c r="FR79" s="142">
        <f>EXP(-LN(2)/25)*FR78+(1-EXP(-LN(2)/25))/(LN(2)/25)*Calculateur!FM79*Calculateur!FO79*VLOOKUP('Données projet'!$B$16,'Paramètres'!$A$1:$I$89,3,0)*0.475*44/12</f>
        <v>0</v>
      </c>
      <c r="FS79" s="142">
        <f>EXP(-LN(2)/2)*FS78+(1-EXP(-LN(2)/2))/(LN(2)/2)*FM79*FP79*VLOOKUP('Données projet'!$B$16,'Paramètres'!$A$1:$I$89,3,0)*0.475*44/12</f>
        <v>0</v>
      </c>
      <c r="FT79" s="143">
        <f t="shared" si="25"/>
        <v>71.61126784</v>
      </c>
      <c r="FU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1" t="str">
        <f>VLOOKUP(A79,'Données projet'!$A$243:$I$263,2,0)</f>
        <v>#N/A</v>
      </c>
      <c r="FX79" s="131" t="str">
        <f>VLOOKUP(A79,'Données projet'!$A$243:$I$263,9,0)</f>
        <v>#N/A</v>
      </c>
      <c r="FY79" s="131" t="str">
        <f t="array" ref="FY79">INDEX(FX:FX,MIN(IF(ISNUMBER(FX79:FX275),ROW(FX79:FX275),"")))</f>
        <v/>
      </c>
      <c r="FZ79" s="138">
        <f>IF('Données projet'!$A$244&gt;35,FZ78+FY79-GH78,IF(A79&lt;'Données projet'!$A$244,$FW$205^A79,IF(A79='Données projet'!$A$244,'Données projet'!$B$244,FZ78+FY79-GH78)))</f>
        <v>0</v>
      </c>
      <c r="GA79" s="138">
        <f>FZ79*VLOOKUP('Données projet'!$B$17,'Paramètres'!$A$1:$I$89,3,0)*VLOOKUP('Données projet'!$B$17,'Paramètres'!$A$1:$I$89,5,0)</f>
        <v>0</v>
      </c>
      <c r="GB79" s="130">
        <f t="shared" si="50"/>
        <v>0</v>
      </c>
      <c r="GC79" s="141">
        <f t="shared" si="26"/>
        <v>0</v>
      </c>
      <c r="GD79" s="133">
        <f t="shared" si="27"/>
        <v>293.3333333</v>
      </c>
      <c r="GE79" s="133">
        <f>AVERAGE(OFFSET($GD$3,0,0,'Données projet'!$E$17+1,1))-AVERAGE(OFFSET($H$3,0,0,'Données projet'!$E$17+1,1))</f>
        <v>118.7368745</v>
      </c>
      <c r="GF79" s="133">
        <f t="shared" si="51"/>
        <v>135.1233677</v>
      </c>
      <c r="GG79" s="134">
        <f>IF(ISNA(VLOOKUP(A79,'Données projet'!$A$243:$I$263,3,0)),0,VLOOKUP(A79,'Données projet'!$A$243:$I$263,3,0))</f>
        <v>0</v>
      </c>
      <c r="GH79" s="134">
        <f>IF(ISNA(VLOOKUP(A79,'Données projet'!$A$243:$I$263,4,0)),0,VLOOKUP(A79,'Données projet'!$A$243:$I$263,4,0))</f>
        <v>0</v>
      </c>
      <c r="GI79" s="135">
        <f>IF(ISNA(VLOOKUP(A79,'Données projet'!$A$243:$I$263,5,0)),0%,VLOOKUP(A79,'Données projet'!$A$243:$I$263,5,0)*VLOOKUP('Données projet'!$B$17,'Paramètres'!$A$1:$I$89,7,0))</f>
        <v>0</v>
      </c>
      <c r="GJ79" s="135">
        <f>IF(ISNA(VLOOKUP(A79,'Données projet'!$A$243:$I$263,6,0)),0%,VLOOKUP(A79,'Données projet'!$A$243:$I$263,6,0)*VLOOKUP('Données projet'!$B$17,'Paramètres'!$A$1:$I$89,7,0))</f>
        <v>0</v>
      </c>
      <c r="GK79" s="135">
        <f>IF(ISNA(VLOOKUP(A79,'Données projet'!$A$243:$I$263,7,0)),0%,VLOOKUP(A79,'Données projet'!$A$243:$I$263,7,0))</f>
        <v>0</v>
      </c>
      <c r="GL79" s="142">
        <f>EXP(-LN(2)/35)*GL78+(1-EXP(-LN(2)/35))/(LN(2)/35)*GH79*GI79*VLOOKUP('Données projet'!$B$17,'Paramètres'!$A$1:$I$89,3,0)*0.475*44/12</f>
        <v>75.65708301</v>
      </c>
      <c r="GM79" s="142">
        <f>EXP(-LN(2)/25)*GM78+(1-EXP(-LN(2)/25))/(LN(2)/25)*Calculateur!GH79*Calculateur!GJ79*VLOOKUP('Données projet'!$B$17,'Paramètres'!$A$1:$I$89,3,0)*0.475*44/12</f>
        <v>0</v>
      </c>
      <c r="GN79" s="142">
        <f>EXP(-LN(2)/2)*GN78+(1-EXP(-LN(2)/2))/(LN(2)/2)*GH79*GK79*VLOOKUP('Données projet'!$B$17,'Paramètres'!$A$1:$I$89,3,0)*0.475*44/12</f>
        <v>0</v>
      </c>
      <c r="GO79" s="142">
        <f t="shared" si="28"/>
        <v>75.65708301</v>
      </c>
      <c r="GP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1" t="str">
        <f>VLOOKUP(A79,'Données projet'!$A$269:$I$289,2,0)</f>
        <v>#N/A</v>
      </c>
      <c r="GS79" s="131" t="str">
        <f>VLOOKUP(A79,'Données projet'!$A$269:$I$289,9,0)</f>
        <v>#N/A</v>
      </c>
      <c r="GT79" s="131" t="str">
        <f t="array" ref="GT79">INDEX(GS:GS,MIN(IF(ISNUMBER(GS79:GS275),ROW(GS79:GS275),"")))</f>
        <v/>
      </c>
      <c r="GU79" s="138">
        <f>IF('Données projet'!$A$270&gt;35,GU78+GT79-HC78,IF(A79&lt;'Données projet'!$A$270,$GR$205^A79,IF(A79='Données projet'!$A$270,'Données projet'!$B$270,GU78+GT79-HC78)))</f>
        <v>0</v>
      </c>
      <c r="GV79" s="138">
        <f>GU79*VLOOKUP('Données projet'!$B$18,'Paramètres'!$A$1:$I$89,3,0)*VLOOKUP('Données projet'!$B$18,'Paramètres'!$A$1:$I$89,5,0)</f>
        <v>0</v>
      </c>
      <c r="GW79" s="130" t="str">
        <f t="shared" si="52"/>
        <v>#NUM!</v>
      </c>
      <c r="GX79" s="141" t="str">
        <f t="shared" si="29"/>
        <v>#NUM!</v>
      </c>
      <c r="GY79" s="133" t="str">
        <f t="shared" si="30"/>
        <v>#NUM!</v>
      </c>
      <c r="GZ79" s="133">
        <f>AVERAGE(OFFSET($GY$3,0,0,'Données projet'!$E$18+1,1))-AVERAGE(OFFSET($H$3,0,0,'Données projet'!$E$18+1,1))</f>
        <v>100.5427875</v>
      </c>
      <c r="HA79" s="133">
        <f t="shared" si="53"/>
        <v>92.28663609</v>
      </c>
      <c r="HB79" s="134">
        <f>IF(ISNA(VLOOKUP(A79,'Données projet'!$A$269:$I$289,3,0)),0,VLOOKUP(A79,'Données projet'!$A$269:$I$289,3,0))</f>
        <v>0</v>
      </c>
      <c r="HC79" s="134">
        <f>IF(ISNA(VLOOKUP(A79,'Données projet'!$A$269:$I$289,4,0)),0,VLOOKUP(A79,'Données projet'!$A$269:$I$289,4,0))</f>
        <v>0</v>
      </c>
      <c r="HD79" s="135">
        <f>IF(ISNA(VLOOKUP(A79,'Données projet'!$A$269:$I$289,5,0)),0%,VLOOKUP(A79,'Données projet'!$A$269:$I$289,5,0)*VLOOKUP('Données projet'!$B$18,'Paramètres'!$A$1:$I$89,7,0))</f>
        <v>0</v>
      </c>
      <c r="HE79" s="135">
        <f>IF(ISNA(VLOOKUP(A79,'Données projet'!$A$269:$I$289,6,0)),0%,VLOOKUP(A79,'Données projet'!$A$269:$I$289,6,0)*VLOOKUP('Données projet'!$B$18,'Paramètres'!$A$1:$I$89,7,0))</f>
        <v>0</v>
      </c>
      <c r="HF79" s="135">
        <f>IF(ISNA(VLOOKUP(A79,'Données projet'!$A$269:$I$289,7,0)),0%,VLOOKUP(A79,'Données projet'!$A$269:$I$289,7,0))</f>
        <v>0</v>
      </c>
      <c r="HG79" s="142">
        <f>EXP(-LN(2)/35)*HG78+(1-EXP(-LN(2)/35))/(LN(2)/35)*HC79*HD79*VLOOKUP('Données projet'!$B$18,'Paramètres'!$A$1:$I$89,3,0)*0.475*44/12</f>
        <v>51.52087746</v>
      </c>
      <c r="HH79" s="142">
        <f>EXP(-LN(2)/25)*HH78+(1-EXP(-LN(2)/25))/(LN(2)/25)*Calculateur!HC79*Calculateur!HE79*VLOOKUP('Données projet'!$B$18,'Paramètres'!$A$1:$I$89,3,0)*0.475*44/12</f>
        <v>0</v>
      </c>
      <c r="HI79" s="142">
        <f>EXP(-LN(2)/2)*HI78+(1-EXP(-LN(2)/2))/(LN(2)/2)*HC79*HF79*VLOOKUP('Données projet'!$B$18,'Paramètres'!$A$1:$I$89,3,0)*0.475*44/12</f>
        <v>0</v>
      </c>
      <c r="HJ79" s="143">
        <f t="shared" si="31"/>
        <v>51.52087746</v>
      </c>
    </row>
    <row r="80" ht="15.75" customHeight="1">
      <c r="A80" s="125">
        <f t="shared" si="32"/>
        <v>77</v>
      </c>
      <c r="B80" s="126">
        <f>'Scénario référence'!$B$16*5+'Scénario référence'!$B$17*0+'Scénario référence'!$B$18*5</f>
        <v>0</v>
      </c>
      <c r="C80" s="140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42.042</v>
      </c>
      <c r="D80" s="127">
        <f t="shared" si="33"/>
        <v>12.53830092</v>
      </c>
      <c r="E8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7">
        <f>IF(OR('Scénario référence'!$F$8&gt;0,'Scénario référence'!$F$9&gt;0),('Scénario référence'!$F$8+'Scénario référence'!$F$9)*10,0)</f>
        <v>10</v>
      </c>
      <c r="G80" s="127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</v>
      </c>
      <c r="H80" s="128">
        <f t="shared" si="1"/>
        <v>388.3940241</v>
      </c>
      <c r="I80" s="12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1" t="str">
        <f>VLOOKUP(A80,'Données projet'!$A$35:$I$55,2,0)</f>
        <v>#N/A</v>
      </c>
      <c r="L80" s="131" t="str">
        <f>VLOOKUP(A80,'Données projet'!$A$35:$I$55,9,0)</f>
        <v>#N/A</v>
      </c>
      <c r="M80" s="131" t="str">
        <f t="array" ref="M80">INDEX(L:L,MIN(IF(ISNUMBER(L80:L276),ROW(L80:L276),"")))</f>
        <v/>
      </c>
      <c r="N80" s="130">
        <f>IF('Données projet'!$A$36&gt;35,N79+M80-V79,IF(A80&lt;'Données projet'!$A$36,$K$205^A80,IF(A80='Données projet'!$A$36,'Données projet'!$B$36,N79+M80-V79)))</f>
        <v>0</v>
      </c>
      <c r="O80" s="130">
        <f>N80*VLOOKUP('Données projet'!$B$9,'Paramètres'!$A$1:$I$89,3,0)*VLOOKUP('Données projet'!$B$9,'Paramètres'!$A$1:$I$89,5,0)</f>
        <v>0</v>
      </c>
      <c r="P80" s="130">
        <f t="shared" si="34"/>
        <v>0</v>
      </c>
      <c r="Q80" s="141">
        <f t="shared" si="2"/>
        <v>0</v>
      </c>
      <c r="R80" s="133">
        <f t="shared" si="3"/>
        <v>293.3333333</v>
      </c>
      <c r="S80" s="133">
        <f>AVERAGE(OFFSET($R$3,0,0,'Données projet'!$E$9+1,1))-AVERAGE(OFFSET($H$3,0,0,'Données projet'!$E$9+1,1))</f>
        <v>126.9946492</v>
      </c>
      <c r="T80" s="133">
        <f t="shared" si="35"/>
        <v>140.039049</v>
      </c>
      <c r="U80" s="134">
        <f>IF(ISNA(VLOOKUP(A80,'Données projet'!$A$35:$I$55,3,0)),0,VLOOKUP(A80,'Données projet'!$A$35:$I$55,3,0))</f>
        <v>0</v>
      </c>
      <c r="V80" s="134">
        <f>IF(ISNA(VLOOKUP(A80,'Données projet'!$A$35:$I$55,4,0)),0,VLOOKUP(A80,'Données projet'!$A$35:$I$55,4,0))</f>
        <v>0</v>
      </c>
      <c r="W80" s="135">
        <f>IF(ISNA(VLOOKUP(A80,'Données projet'!$A$35:$I$55,5,0)),0%,VLOOKUP(A80,'Données projet'!$A$35:$I$55,5,0)*VLOOKUP('Données projet'!$B$9,'Paramètres'!$A$1:$I$89,7,0))</f>
        <v>0</v>
      </c>
      <c r="X80" s="135">
        <f>IF(ISNA(VLOOKUP(A80,'Données projet'!$A$35:$I$55,6,0)),0%,VLOOKUP(A80,'Données projet'!$A$35:$I$55,6,0)*VLOOKUP('Données projet'!$B$9,'Paramètres'!$A$1:$I$89,7,0))</f>
        <v>0</v>
      </c>
      <c r="Y80" s="135">
        <f>IF(ISNA(VLOOKUP(A80,'Données projet'!$A$35:$I$55,7,0)),0%,VLOOKUP(A80,'Données projet'!$A$35:$I$55,7,0))</f>
        <v>0</v>
      </c>
      <c r="Z80" s="142">
        <f>EXP(-LN(2)/35)*Z79+(1-EXP(-LN(2)/35))/(LN(2)/35)*V80*W80*VLOOKUP('Données projet'!$B$9,'Paramètres'!$A$1:$I$89,3,0)*0.475*44/12</f>
        <v>75.86297284</v>
      </c>
      <c r="AA80" s="142">
        <f>EXP(-LN(2)/25)*AA79+(1-EXP(-LN(2)/25))/(LN(2)/25)*Calculateur!V80*Calculateur!X80*VLOOKUP('Données projet'!$B$9,'Paramètres'!$A$1:$I$89,3,0)*0.475*44/12</f>
        <v>14.50475673</v>
      </c>
      <c r="AB80" s="142">
        <f>EXP(-LN(2)/2)*AB79+(1-EXP(-LN(2)/2))/(LN(2)/2)*V80*Y80*VLOOKUP('Données projet'!$B$9,'Paramètres'!$A$1:$I$89,3,0)*0.475*44/12</f>
        <v>0.05245122326</v>
      </c>
      <c r="AC80" s="143">
        <f t="shared" si="4"/>
        <v>90.42018079</v>
      </c>
      <c r="AD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1" t="str">
        <f>VLOOKUP(A80,'Données projet'!$A$61:$I$81,2,0)</f>
        <v>#N/A</v>
      </c>
      <c r="AG80" s="131" t="str">
        <f>VLOOKUP(A80,'Données projet'!$A$61:$I$81,9,0)</f>
        <v>#N/A</v>
      </c>
      <c r="AH80" s="131" t="str">
        <f t="array" ref="AH80">INDEX(AG:AG,MIN(IF(ISNUMBER(AG80:AG276),ROW(AG80:AG276),"")))</f>
        <v/>
      </c>
      <c r="AI80" s="130">
        <f>IF('Données projet'!$A$62&gt;35,AI79+AH80-AQ79,IF(A80&lt;'Données projet'!$A$62,$AF$205^A80,IF(A80='Données projet'!$A$62,'Données projet'!$B$62,AI79+AH80-AQ79)))</f>
        <v>0</v>
      </c>
      <c r="AJ80" s="130">
        <f>AI80*VLOOKUP('Données projet'!$B$10,'Paramètres'!$A$1:$I$89,3,0)*VLOOKUP('Données projet'!$B$10,'Paramètres'!$A$1:$I$89,5,0)</f>
        <v>0</v>
      </c>
      <c r="AK80" s="130" t="str">
        <f t="shared" si="36"/>
        <v>#NUM!</v>
      </c>
      <c r="AL80" s="141" t="str">
        <f t="shared" si="5"/>
        <v>#NUM!</v>
      </c>
      <c r="AM80" s="133" t="str">
        <f t="shared" si="6"/>
        <v>#NUM!</v>
      </c>
      <c r="AN80" s="133">
        <f>AVERAGE(OFFSET($AM$3,0,0,'Données projet'!$E$10+1,1))-AVERAGE(OFFSET($H$3,0,0,'Données projet'!$E$10+1,1))</f>
        <v>196.874484</v>
      </c>
      <c r="AO80" s="133">
        <f t="shared" si="37"/>
        <v>217.5750859</v>
      </c>
      <c r="AP80" s="134">
        <f>IF(ISNA(VLOOKUP(A80,'Données projet'!$A$61:$I$81,3,0)),0,VLOOKUP(A80,'Données projet'!$A$61:$I$81,3,0))</f>
        <v>0</v>
      </c>
      <c r="AQ80" s="134">
        <f>IF(ISNA(VLOOKUP(A80,'Données projet'!$A$61:$I$81,4,0)),0,VLOOKUP(A80,'Données projet'!$A$61:$I$81,4,0))</f>
        <v>0</v>
      </c>
      <c r="AR80" s="135">
        <f>IF(ISNA(VLOOKUP(A80,'Données projet'!$A$61:$I$81,5,0)),0%,VLOOKUP(A80,'Données projet'!$A$61:$I$81,5,0)*VLOOKUP('Données projet'!$B$10,'Paramètres'!$A$1:$I$89,7,0))</f>
        <v>0</v>
      </c>
      <c r="AS80" s="135">
        <f>IF(ISNA(VLOOKUP(A80,'Données projet'!$A$61:$I$81,6,0)),0%,VLOOKUP(A80,'Données projet'!$A$61:$I$81,6,0)*VLOOKUP('Données projet'!$B$10,'Paramètres'!$A$1:$I$89,7,0))</f>
        <v>0</v>
      </c>
      <c r="AT80" s="135">
        <f>IF(ISNA(VLOOKUP(A80,'Données projet'!$A$61:$I$81,7,0)),0%,VLOOKUP(A80,'Données projet'!$A$61:$I$81,7,0))</f>
        <v>0</v>
      </c>
      <c r="AU80" s="142">
        <f>EXP(-LN(2)/35)*AU79+(1-EXP(-LN(2)/35))/(LN(2)/35)*AQ80*AR80*VLOOKUP('Données projet'!$B$10,'Paramètres'!$A$1:$I$89,3,0)*0.475*44/12</f>
        <v>105.4473774</v>
      </c>
      <c r="AV80" s="142">
        <f>EXP(-LN(2)/25)*AV79+(1-EXP(-LN(2)/25))/(LN(2)/25)*Calculateur!AQ80*Calculateur!AS80*VLOOKUP('Données projet'!$B$10,'Paramètres'!$A$1:$I$89,3,0)*0.475*44/12</f>
        <v>22.30108285</v>
      </c>
      <c r="AW80" s="142">
        <f>EXP(-LN(2)/2)*AW79+(1-EXP(-LN(2)/2))/(LN(2)/2)*AQ80*AT80*VLOOKUP('Données projet'!$B$10,'Paramètres'!$A$1:$I$89,3,0)*0.475*44/12</f>
        <v>0.07312801771</v>
      </c>
      <c r="AX80" s="142">
        <f t="shared" si="7"/>
        <v>127.8215883</v>
      </c>
      <c r="AY80" s="13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1" t="str">
        <f>VLOOKUP(A80,'Données projet'!$A$87:$I$107,2,0)</f>
        <v>#N/A</v>
      </c>
      <c r="BB80" s="131" t="str">
        <f>VLOOKUP(A80,'Données projet'!$A$87:$I$107,9,0)</f>
        <v>#N/A</v>
      </c>
      <c r="BC80" s="131" t="str">
        <f t="array" ref="BC80">INDEX(BB:BB,MIN(IF(ISNUMBER(BB80:BB276),ROW(BB80:BB276),"")))</f>
        <v/>
      </c>
      <c r="BD80" s="130">
        <f>IF('Données projet'!$A$88&gt;35,BD79+BC80-BL79,IF(A80&lt;'Données projet'!$A$88,$BA$205^A80,IF(A80='Données projet'!$A$88,'Données projet'!$B$88,BD79+BC80-BL79)))</f>
        <v>0</v>
      </c>
      <c r="BE80" s="130">
        <f>BD80*VLOOKUP('Données projet'!$B$11,'Paramètres'!$A$1:$I$89,3,0)*VLOOKUP('Données projet'!$B$11,'Paramètres'!$A$1:$I$89,5,0)</f>
        <v>0</v>
      </c>
      <c r="BF80" s="130" t="str">
        <f t="shared" si="38"/>
        <v>#NUM!</v>
      </c>
      <c r="BG80" s="141" t="str">
        <f t="shared" si="8"/>
        <v>#NUM!</v>
      </c>
      <c r="BH80" s="133" t="str">
        <f t="shared" si="9"/>
        <v>#NUM!</v>
      </c>
      <c r="BI80" s="133">
        <f>AVERAGE(OFFSET($BH$3,0,0,'Données projet'!$E$11+1,1))-AVERAGE(OFFSET($H$3,0,0,'Données projet'!$E$11+1,1))</f>
        <v>134.0948534</v>
      </c>
      <c r="BJ80" s="133">
        <f t="shared" si="39"/>
        <v>108.4102536</v>
      </c>
      <c r="BK80" s="134">
        <f>IF(ISNA(VLOOKUP(A80,'Données projet'!$A$87:$I$107,3,0)),0,VLOOKUP(A80,'Données projet'!$A$87:$I$107,3,0))</f>
        <v>0</v>
      </c>
      <c r="BL80" s="134">
        <f>IF(ISNA(VLOOKUP(A80,'Données projet'!$A$87:$I$107,4,0)),0,VLOOKUP(A80,'Données projet'!$A$87:$I$107,4,0))</f>
        <v>0</v>
      </c>
      <c r="BM80" s="135">
        <f>IF(ISNA(VLOOKUP(A80,'Données projet'!$A$87:$I$107,5,0)),0%,VLOOKUP(A80,'Données projet'!$A$87:$I$107,5,0)*VLOOKUP('Données projet'!$B$11,'Paramètres'!$A$1:$I$89,7,0))</f>
        <v>0</v>
      </c>
      <c r="BN80" s="135">
        <f>IF(ISNA(VLOOKUP(A80,'Données projet'!$A$87:$I$107,6,0)),0%,VLOOKUP(A80,'Données projet'!$A$87:$I$107,6,0)*VLOOKUP('Données projet'!$B$11,'Paramètres'!$A$1:$I$89,7,0))</f>
        <v>0</v>
      </c>
      <c r="BO80" s="135">
        <f>IF(ISNA(VLOOKUP(A80,'Données projet'!$A$87:$I$107,7,0)),0%,VLOOKUP(A80,'Données projet'!$A$87:$I$107,7,0))</f>
        <v>0</v>
      </c>
      <c r="BP80" s="142">
        <f>EXP(-LN(2)/35)*BP79+(1-EXP(-LN(2)/35))/(LN(2)/35)*BL80*BM80*VLOOKUP('Données projet'!$B$11,'Paramètres'!$A$1:$I$89,3,0)*0.475*44/12</f>
        <v>145.8534162</v>
      </c>
      <c r="BQ80" s="142">
        <f>EXP(-LN(2)/25)*BQ79+(1-EXP(-LN(2)/25))/(LN(2)/25)*Calculateur!BL80*Calculateur!BN80*VLOOKUP('Données projet'!$B$11,'Paramètres'!$A$1:$I$89,3,0)*0.475*44/12</f>
        <v>14.06754221</v>
      </c>
      <c r="BR80" s="142">
        <f>EXP(-LN(2)/2)*BR79+(1-EXP(-LN(2)/2))/(LN(2)/2)*BL80*BO80*VLOOKUP('Données projet'!$B$11,'Paramètres'!$A$1:$I$89,3,0)*0.475*44/12</f>
        <v>0.9754228092</v>
      </c>
      <c r="BS80" s="143">
        <f t="shared" si="10"/>
        <v>160.8963812</v>
      </c>
      <c r="BT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1" t="str">
        <f>VLOOKUP(A80,'Données projet'!$A$113:$I$133,2,0)</f>
        <v>#N/A</v>
      </c>
      <c r="BW80" s="131" t="str">
        <f>VLOOKUP(A80,'Données projet'!$A$113:$I$133,9,0)</f>
        <v>#N/A</v>
      </c>
      <c r="BX80" s="131" t="str">
        <f t="array" ref="BX80">INDEX(BW:BW,MIN(IF(ISNUMBER(BW80:BW276),ROW(BW80:BW276),"")))</f>
        <v/>
      </c>
      <c r="BY80" s="130">
        <f>IF('Données projet'!$A$114&gt;35,BY79+BX80-CG79,IF(A80&lt;'Données projet'!$A$114,$BV$205^A80,IF(A80='Données projet'!$A$114,'Données projet'!$B$114,BY79+BX80-CG79)))</f>
        <v>0</v>
      </c>
      <c r="BZ80" s="130">
        <f>BY80*VLOOKUP('Données projet'!$B$12,'Paramètres'!$A$1:$I$89,3,0)*VLOOKUP('Données projet'!$B$12,'Paramètres'!$A$1:$I$89,5,0)</f>
        <v>0</v>
      </c>
      <c r="CA80" s="130" t="str">
        <f t="shared" si="40"/>
        <v>#NUM!</v>
      </c>
      <c r="CB80" s="141" t="str">
        <f t="shared" si="11"/>
        <v>#NUM!</v>
      </c>
      <c r="CC80" s="133" t="str">
        <f t="shared" si="12"/>
        <v>#NUM!</v>
      </c>
      <c r="CD80" s="133">
        <f>AVERAGE(OFFSET($CC$3,0,0,'Données projet'!$E$12+1,1))-AVERAGE(OFFSET($H$3,0,0,'Données projet'!$E$12+1,1))</f>
        <v>258.1672054</v>
      </c>
      <c r="CE80" s="133">
        <f t="shared" si="41"/>
        <v>296.0724261</v>
      </c>
      <c r="CF80" s="134">
        <f>IF(ISNA(VLOOKUP(A80,'Données projet'!$A$113:$I$133,3,0)),0,VLOOKUP(A80,'Données projet'!$A$113:$I$133,3,0))</f>
        <v>0</v>
      </c>
      <c r="CG80" s="134">
        <f>IF(ISNA(VLOOKUP(A80,'Données projet'!$A$113:$I$133,4,0)),0,VLOOKUP(A80,'Données projet'!$A$113:$I$133,4,0))</f>
        <v>0</v>
      </c>
      <c r="CH80" s="135">
        <f>IF(ISNA(VLOOKUP(A80,'Données projet'!$A$113:$I$133,5,0)),0%,VLOOKUP(A80,'Données projet'!$A$113:$I$133,5,0)*VLOOKUP('Données projet'!$B$12,'Paramètres'!$A$1:$I$89,7,0))</f>
        <v>0</v>
      </c>
      <c r="CI80" s="135">
        <f>IF(ISNA(VLOOKUP(A80,'Données projet'!$A$113:$I$133,6,0)),0%,VLOOKUP(A80,'Données projet'!$A$113:$I$133,6,0)*VLOOKUP('Données projet'!$B$12,'Paramètres'!$A$1:$I$89,7,0))</f>
        <v>0</v>
      </c>
      <c r="CJ80" s="135">
        <f>IF(ISNA(VLOOKUP(A80,'Données projet'!$A$113:$I$133,7,0)),0%,VLOOKUP(A80,'Données projet'!$A$113:$I$133,7,0))</f>
        <v>0</v>
      </c>
      <c r="CK80" s="142">
        <f>EXP(-LN(2)/35)*CK79+(1-EXP(-LN(2)/35))/(LN(2)/35)*CG80*CH80*VLOOKUP('Données projet'!$B$12,'Paramètres'!$A$1:$I$89,3,0)*0.475*44/12</f>
        <v>184.4033365</v>
      </c>
      <c r="CL80" s="142">
        <f>EXP(-LN(2)/25)*CL79+(1-EXP(-LN(2)/25))/(LN(2)/25)*Calculateur!CG80*Calculateur!CI80*VLOOKUP('Données projet'!$B$12,'Paramètres'!$A$1:$I$89,3,0)*0.475*44/12</f>
        <v>24.67526761</v>
      </c>
      <c r="CM80" s="142">
        <f>EXP(-LN(2)/2)*CM79+(1-EXP(-LN(2)/2))/(LN(2)/2)*CG80*CJ80*VLOOKUP('Données projet'!$B$12,'Paramètres'!$A$1:$I$89,3,0)*0.475*44/12</f>
        <v>0.04109341165</v>
      </c>
      <c r="CN80" s="143">
        <f t="shared" si="13"/>
        <v>209.1196975</v>
      </c>
      <c r="CO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1" t="str">
        <f>VLOOKUP(A80,'Données projet'!$A$139:$I$159,2,0)</f>
        <v>#N/A</v>
      </c>
      <c r="CR80" s="131" t="str">
        <f>VLOOKUP(A80,'Données projet'!$A$139:$I$159,9,0)</f>
        <v>#N/A</v>
      </c>
      <c r="CS80" s="130">
        <f t="array" ref="CS80">INDEX(CR:CR,MIN(IF(ISNUMBER(CR80:CR276),ROW(CR80:CR276),"")))</f>
        <v>4.6</v>
      </c>
      <c r="CT80" s="138">
        <f>IF('Données projet'!$A$140&gt;35,CT79+CS80-DB79,IF(A80&lt;'Données projet'!$A$140,$CQ$205^A80,IF(A80='Données projet'!$A$140,'Données projet'!$B$140,CT79+CS80-DB79)))</f>
        <v>178.2</v>
      </c>
      <c r="CU80" s="138">
        <f>CT80*VLOOKUP('Données projet'!$B$13,'Paramètres'!$A$1:$I$89,3,0)*VLOOKUP('Données projet'!$B$13,'Paramètres'!$A$1:$I$89,5,0)</f>
        <v>180.6948</v>
      </c>
      <c r="CV80" s="130">
        <f t="shared" si="42"/>
        <v>45.47673169</v>
      </c>
      <c r="CW80" s="141">
        <f t="shared" si="14"/>
        <v>393.9154177</v>
      </c>
      <c r="CX80" s="133">
        <f t="shared" si="15"/>
        <v>687.248751</v>
      </c>
      <c r="CY80" s="133">
        <f>AVERAGE(OFFSET($CX$3,0,0,'Données projet'!$E$13+1,1))-AVERAGE(OFFSET($H$3,0,0,'Données projet'!$E$13+1,1))</f>
        <v>223.783507</v>
      </c>
      <c r="CZ80" s="133">
        <f t="shared" si="43"/>
        <v>84.92349117</v>
      </c>
      <c r="DA80" s="134">
        <f>IF(ISNA(VLOOKUP(A80,'Données projet'!$A$139:$I$159,3,0)),0,VLOOKUP(A80,'Données projet'!$A$139:$I$159,3,0))</f>
        <v>0</v>
      </c>
      <c r="DB80" s="134">
        <f>IF(ISNA(VLOOKUP(A80,'Données projet'!$A$139:$I$159,4,0)),0,VLOOKUP(A80,'Données projet'!$A$139:$I$159,4,0))</f>
        <v>0</v>
      </c>
      <c r="DC80" s="135">
        <f>IF(ISNA(VLOOKUP(A80,'Données projet'!$A$139:$I$159,5,0)),0%,VLOOKUP(A80,'Données projet'!$A$139:$I$159,5,0)*VLOOKUP('Données projet'!$B$13,'Paramètres'!$A$1:$I$89,7,0))</f>
        <v>0</v>
      </c>
      <c r="DD80" s="135">
        <f>IF(ISNA(VLOOKUP(A80,'Données projet'!$A$139:$I$159,6,0)),0%,VLOOKUP(A80,'Données projet'!$A$139:$I$159,6,0)*VLOOKUP('Données projet'!$B$13,'Paramètres'!$A$1:$I$89,7,0))</f>
        <v>0</v>
      </c>
      <c r="DE80" s="135">
        <f>IF(ISNA(VLOOKUP(A80,'Données projet'!$A$139:$I$159,7,0)),0%,VLOOKUP(A80,'Données projet'!$A$139:$I$159,7,0))</f>
        <v>0</v>
      </c>
      <c r="DF80" s="142">
        <f>EXP(-LN(2)/35)*DF79+(1-EXP(-LN(2)/35))/(LN(2)/35)*DB80*DC80*VLOOKUP('Données projet'!$B$13,'Paramètres'!$A$1:$I$89,3,0)*0.475*44/12</f>
        <v>11.98308235</v>
      </c>
      <c r="DG80" s="142">
        <f>EXP(-LN(2)/25)*DG79+(1-EXP(-LN(2)/25))/(LN(2)/25)*Calculateur!DB80*Calculateur!DD80*VLOOKUP('Données projet'!$B$13,'Paramètres'!$A$1:$I$89,3,0)*0.475*44/12</f>
        <v>0</v>
      </c>
      <c r="DH80" s="142">
        <f>EXP(-LN(2)/2)*DH79+(1-EXP(-LN(2)/2))/(LN(2)/2)*DB80*DE80*VLOOKUP('Données projet'!$B$13,'Paramètres'!$A$1:$I$89,3,0)*0.475*44/12</f>
        <v>0</v>
      </c>
      <c r="DI80" s="143">
        <f t="shared" si="16"/>
        <v>11.98308235</v>
      </c>
      <c r="DJ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1" t="str">
        <f>VLOOKUP(A80,'Données projet'!$A$165:$I$185,2,0)</f>
        <v>#N/A</v>
      </c>
      <c r="DM80" s="131" t="str">
        <f>VLOOKUP(A80,'Données projet'!$A$165:$I$185,9,0)</f>
        <v>#N/A</v>
      </c>
      <c r="DN80" s="131">
        <f t="array" ref="DN80">INDEX(DM:DM,MIN(IF(ISNUMBER(DM80:DM276),ROW(DM80:DM276),"")))</f>
        <v>6</v>
      </c>
      <c r="DO80" s="138">
        <f>IF('Données projet'!$A$166&gt;35,DO79+DN80-DW79,IF(A80&lt;'Données projet'!$A$166,$DL$205^A80,IF(A80='Données projet'!$A$166,'Données projet'!$B$166,DO79+DN80-DW79)))</f>
        <v>243</v>
      </c>
      <c r="DP80" s="138">
        <f>DO80*VLOOKUP('Données projet'!$B$14,'Paramètres'!$A$1:$I$89,3,0)*VLOOKUP('Données projet'!$B$14,'Paramètres'!$A$1:$I$89,5,0)</f>
        <v>219.8664</v>
      </c>
      <c r="DQ80" s="130">
        <f t="shared" si="44"/>
        <v>54.08584739</v>
      </c>
      <c r="DR80" s="141">
        <f t="shared" si="17"/>
        <v>477.1334975</v>
      </c>
      <c r="DS80" s="133">
        <f t="shared" si="18"/>
        <v>770.4668309</v>
      </c>
      <c r="DT80" s="133">
        <f>AVERAGE(OFFSET($DS$3,0,0,'Données projet'!$E$14+1,1))-AVERAGE(OFFSET($H$3,0,0,'Données projet'!$E$14+1,1))</f>
        <v>287.9334714</v>
      </c>
      <c r="DU80" s="133">
        <f t="shared" si="45"/>
        <v>156.6796502</v>
      </c>
      <c r="DV80" s="134">
        <f>IF(ISNA(VLOOKUP(A80,'Données projet'!$A$165:$I$185,3,0)),0,VLOOKUP(A80,'Données projet'!$A$165:$I$185,3,0))</f>
        <v>0</v>
      </c>
      <c r="DW80" s="134">
        <f>IF(ISNA(VLOOKUP(A80,'Données projet'!$A$165:$I$185,4,0)),0,VLOOKUP(A80,'Données projet'!$A$165:$I$185,4,0))</f>
        <v>0</v>
      </c>
      <c r="DX80" s="135">
        <f>IF(ISNA(VLOOKUP(A80,'Données projet'!$A$165:$I$185,5,0)),0%,VLOOKUP(A80,'Données projet'!$A$165:$I$185,5,0)*VLOOKUP('Données projet'!$B$14,'Paramètres'!$A$1:$I$89,7,0))</f>
        <v>0</v>
      </c>
      <c r="DY80" s="135">
        <f>IF(ISNA(VLOOKUP(A80,'Données projet'!$A$165:$I$185,6,0)),0%,VLOOKUP(A80,'Données projet'!$A$165:$I$185,6,0)*VLOOKUP('Données projet'!$B$14,'Paramètres'!$A$1:$I$89,7,0))</f>
        <v>0</v>
      </c>
      <c r="DZ80" s="135">
        <f>IF(ISNA(VLOOKUP(A80,'Données projet'!$A$165:$I$185,7,0)),0%,VLOOKUP(A80,'Données projet'!$A$165:$I$185,7,0))</f>
        <v>0</v>
      </c>
      <c r="EA80" s="142">
        <f>EXP(-LN(2)/35)*EA79+(1-EXP(-LN(2)/35))/(LN(2)/35)*DW80*DX80*VLOOKUP('Données projet'!$B$14,'Paramètres'!$A$1:$I$89,3,0)*0.475*44/12</f>
        <v>18.86746634</v>
      </c>
      <c r="EB80" s="142">
        <f>EXP(-LN(2)/25)*EB79+(1-EXP(-LN(2)/25))/(LN(2)/25)*Calculateur!DW80*Calculateur!DY80*VLOOKUP('Données projet'!$B$14,'Paramètres'!$A$1:$I$89,3,0)*0.475*44/12</f>
        <v>0</v>
      </c>
      <c r="EC80" s="142">
        <f>EXP(-LN(2)/2)*EC79+(1-EXP(-LN(2)/2))/(LN(2)/2)*DW80*DZ80*VLOOKUP('Données projet'!$B$14,'Paramètres'!$A$1:$I$89,3,0)*0.475*44/12</f>
        <v>0</v>
      </c>
      <c r="ED80" s="143">
        <f t="shared" si="19"/>
        <v>18.86746634</v>
      </c>
      <c r="EE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1" t="str">
        <f>VLOOKUP(A80,'Données projet'!$A$191:$I$211,2,0)</f>
        <v>#N/A</v>
      </c>
      <c r="EH80" s="131" t="str">
        <f>VLOOKUP(A80,'Données projet'!$A$191:$I$211,9,0)</f>
        <v>#N/A</v>
      </c>
      <c r="EI80" s="131">
        <f t="array" ref="EI80">INDEX(EH:EH,MIN(IF(ISNUMBER(EH80:EH276),ROW(EH80:EH276),"")))</f>
        <v>7.4</v>
      </c>
      <c r="EJ80" s="138">
        <f>IF('Données projet'!$A$192&gt;35,EJ79+EI80-ER79,IF(A80&lt;'Données projet'!$A$192,$EG$205^A80,IF(A80='Données projet'!$A$192,'Données projet'!$B$192,EJ79+EI80-ER79)))</f>
        <v>247.8</v>
      </c>
      <c r="EK80" s="138">
        <f>EJ80*VLOOKUP('Données projet'!$B$15,'Paramètres'!$A$1:$I$89,3,0)*VLOOKUP('Données projet'!$B$15,'Paramètres'!$A$1:$I$89,5,0)</f>
        <v>181.68696</v>
      </c>
      <c r="EL80" s="130">
        <f t="shared" si="46"/>
        <v>45.69729968</v>
      </c>
      <c r="EM80" s="141">
        <f t="shared" si="20"/>
        <v>396.0275856</v>
      </c>
      <c r="EN80" s="133">
        <f t="shared" si="21"/>
        <v>689.3609189</v>
      </c>
      <c r="EO80" s="133">
        <f>AVERAGE(OFFSET($EN$3,0,0,'Données projet'!$E$15+1,1))-AVERAGE(OFFSET($H$3,0,0,'Données projet'!$E$15+1,1))</f>
        <v>130.3193339</v>
      </c>
      <c r="EP80" s="133">
        <f t="shared" si="47"/>
        <v>82.22784365</v>
      </c>
      <c r="EQ80" s="134">
        <f>IF(ISNA(VLOOKUP(A80,'Données projet'!$A$191:$I$211,3,0)),0,VLOOKUP(A80,'Données projet'!$A$191:$I$211,3,0))</f>
        <v>0</v>
      </c>
      <c r="ER80" s="134">
        <f>IF(ISNA(VLOOKUP(A80,'Données projet'!$A$191:$I$211,4,0)),0,VLOOKUP(A80,'Données projet'!$A$191:$I$211,4,0))</f>
        <v>0</v>
      </c>
      <c r="ES80" s="135">
        <f>IF(ISNA(VLOOKUP(A80,'Données projet'!$A$191:$I$211,5,0)),0%,VLOOKUP(A80,'Données projet'!$A$191:$I$211,5,0)*VLOOKUP('Données projet'!$B$15,'Paramètres'!$A$1:$I$89,7,0))</f>
        <v>0</v>
      </c>
      <c r="ET80" s="135">
        <f>IF(ISNA(VLOOKUP(A80,'Données projet'!$A$191:$I$211,6,0)),0%,VLOOKUP(A80,'Données projet'!$A$191:$I$211,6,0)*VLOOKUP('Données projet'!$B$15,'Paramètres'!$A$1:$I$89,7,0))</f>
        <v>0</v>
      </c>
      <c r="EU80" s="135">
        <f>IF(ISNA(VLOOKUP(A80,'Données projet'!$A$191:$I$211,7,0)),0%,VLOOKUP(A80,'Données projet'!$A$191:$I$211,7,0))</f>
        <v>0</v>
      </c>
      <c r="EV80" s="142">
        <f>EXP(-LN(2)/35)*EV79+(1-EXP(-LN(2)/35))/(LN(2)/35)*ER80*ES80*VLOOKUP('Données projet'!$B$15,'Paramètres'!$A$1:$I$89,3,0)*0.475*44/12</f>
        <v>22.88217742</v>
      </c>
      <c r="EW80" s="142">
        <f>EXP(-LN(2)/25)*EW79+(1-EXP(-LN(2)/25))/(LN(2)/25)*Calculateur!ER80*Calculateur!ET80*VLOOKUP('Données projet'!$B$15,'Paramètres'!$A$1:$I$89,3,0)*0.475*44/12</f>
        <v>0</v>
      </c>
      <c r="EX80" s="142">
        <f>EXP(-LN(2)/2)*EX79+(1-EXP(-LN(2)/2))/(LN(2)/2)*ER80*EU80*VLOOKUP('Données projet'!$B$15,'Paramètres'!$A$1:$I$89,3,0)*0.475*44/12</f>
        <v>0</v>
      </c>
      <c r="EY80" s="143">
        <f t="shared" si="22"/>
        <v>22.88217742</v>
      </c>
      <c r="EZ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1" t="str">
        <f>VLOOKUP(A80,'Données projet'!$A$217:$I$237,2,0)</f>
        <v>#N/A</v>
      </c>
      <c r="FC80" s="131" t="str">
        <f>VLOOKUP(A80,'Données projet'!$A$217:$I$237,9,0)</f>
        <v>#N/A</v>
      </c>
      <c r="FD80" s="131" t="str">
        <f t="array" ref="FD80">INDEX(FC:FC,MIN(IF(ISNUMBER(FC80:FC276),ROW(FC80:FC276),"")))</f>
        <v/>
      </c>
      <c r="FE80" s="130">
        <f>IF('Données projet'!$A$218&gt;35,FE79+FD80-FM79,IF(A80&lt;'Données projet'!$A$218,$FB$205^A80,IF(A80='Données projet'!$A$218,'Données projet'!$B$218,FE79+FD80-FM79)))</f>
        <v>0</v>
      </c>
      <c r="FF80" s="138">
        <f>FE80*VLOOKUP('Données projet'!$B$16,'Paramètres'!$A$1:$I$89,3,0)*VLOOKUP('Données projet'!$B$16,'Paramètres'!$A$1:$I$89,5,0)</f>
        <v>0</v>
      </c>
      <c r="FG80" s="130">
        <f t="shared" si="48"/>
        <v>0</v>
      </c>
      <c r="FH80" s="141">
        <f t="shared" si="23"/>
        <v>0</v>
      </c>
      <c r="FI80" s="133">
        <f t="shared" si="24"/>
        <v>293.3333333</v>
      </c>
      <c r="FJ80" s="133">
        <f>AVERAGE(OFFSET($FI$3,0,0,'Données projet'!$E$16+1,1))-AVERAGE(OFFSET($H$3,0,0,'Données projet'!$E$16+1,1))</f>
        <v>305.6252353</v>
      </c>
      <c r="FK80" s="133">
        <f t="shared" si="49"/>
        <v>331.397916</v>
      </c>
      <c r="FL80" s="134">
        <f>IF(ISNA(VLOOKUP(A80,'Données projet'!$A$217:$I$237,3,0)),0,VLOOKUP(A80,'Données projet'!$A$217:$I$237,3,0))</f>
        <v>0</v>
      </c>
      <c r="FM80" s="134">
        <f>IF(ISNA(VLOOKUP(A80,'Données projet'!$A$217:$I$237,4,0)),0,VLOOKUP(A80,'Données projet'!$A$217:$I$237,4,0))</f>
        <v>0</v>
      </c>
      <c r="FN80" s="135">
        <f>IF(ISNA(VLOOKUP(A80,'Données projet'!$A$217:$I$237,5,0)),0%,VLOOKUP(A80,'Données projet'!$A$217:$I$237,5,0)*VLOOKUP('Données projet'!$B$16,'Paramètres'!$A$1:$I$89,7,0))</f>
        <v>0</v>
      </c>
      <c r="FO80" s="135">
        <f>IF(ISNA(VLOOKUP(A80,'Données projet'!$A$217:$I$237,6,0)),0%,VLOOKUP(A80,'Données projet'!$A$217:$I$237,6,0)*VLOOKUP('Données projet'!$B$16,'Paramètres'!$A$1:$I$89,7,0))</f>
        <v>0</v>
      </c>
      <c r="FP80" s="135">
        <f>IF(ISNA(VLOOKUP(A80,'Données projet'!$A$217:$I$237,7,0)),0%,VLOOKUP(A80,'Données projet'!$A$217:$I$237,7,0))</f>
        <v>0</v>
      </c>
      <c r="FQ80" s="142">
        <f>EXP(-LN(2)/35)*FQ79+(1-EXP(-LN(2)/35))/(LN(2)/35)*FM80*FN80*VLOOKUP('Données projet'!$B$16,'Paramètres'!$A$1:$I$89,3,0)*0.475*44/12</f>
        <v>70.20701455</v>
      </c>
      <c r="FR80" s="142">
        <f>EXP(-LN(2)/25)*FR79+(1-EXP(-LN(2)/25))/(LN(2)/25)*Calculateur!FM80*Calculateur!FO80*VLOOKUP('Données projet'!$B$16,'Paramètres'!$A$1:$I$89,3,0)*0.475*44/12</f>
        <v>0</v>
      </c>
      <c r="FS80" s="142">
        <f>EXP(-LN(2)/2)*FS79+(1-EXP(-LN(2)/2))/(LN(2)/2)*FM80*FP80*VLOOKUP('Données projet'!$B$16,'Paramètres'!$A$1:$I$89,3,0)*0.475*44/12</f>
        <v>0</v>
      </c>
      <c r="FT80" s="143">
        <f t="shared" si="25"/>
        <v>70.20701455</v>
      </c>
      <c r="FU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1" t="str">
        <f>VLOOKUP(A80,'Données projet'!$A$243:$I$263,2,0)</f>
        <v>#N/A</v>
      </c>
      <c r="FX80" s="131" t="str">
        <f>VLOOKUP(A80,'Données projet'!$A$243:$I$263,9,0)</f>
        <v>#N/A</v>
      </c>
      <c r="FY80" s="131" t="str">
        <f t="array" ref="FY80">INDEX(FX:FX,MIN(IF(ISNUMBER(FX80:FX276),ROW(FX80:FX276),"")))</f>
        <v/>
      </c>
      <c r="FZ80" s="138">
        <f>IF('Données projet'!$A$244&gt;35,FZ79+FY80-GH79,IF(A80&lt;'Données projet'!$A$244,$FW$205^A80,IF(A80='Données projet'!$A$244,'Données projet'!$B$244,FZ79+FY80-GH79)))</f>
        <v>0</v>
      </c>
      <c r="GA80" s="138">
        <f>FZ80*VLOOKUP('Données projet'!$B$17,'Paramètres'!$A$1:$I$89,3,0)*VLOOKUP('Données projet'!$B$17,'Paramètres'!$A$1:$I$89,5,0)</f>
        <v>0</v>
      </c>
      <c r="GB80" s="130">
        <f t="shared" si="50"/>
        <v>0</v>
      </c>
      <c r="GC80" s="141">
        <f t="shared" si="26"/>
        <v>0</v>
      </c>
      <c r="GD80" s="133">
        <f t="shared" si="27"/>
        <v>293.3333333</v>
      </c>
      <c r="GE80" s="133">
        <f>AVERAGE(OFFSET($GD$3,0,0,'Données projet'!$E$17+1,1))-AVERAGE(OFFSET($H$3,0,0,'Données projet'!$E$17+1,1))</f>
        <v>118.7368745</v>
      </c>
      <c r="GF80" s="133">
        <f t="shared" si="51"/>
        <v>135.1233677</v>
      </c>
      <c r="GG80" s="134">
        <f>IF(ISNA(VLOOKUP(A80,'Données projet'!$A$243:$I$263,3,0)),0,VLOOKUP(A80,'Données projet'!$A$243:$I$263,3,0))</f>
        <v>0</v>
      </c>
      <c r="GH80" s="134">
        <f>IF(ISNA(VLOOKUP(A80,'Données projet'!$A$243:$I$263,4,0)),0,VLOOKUP(A80,'Données projet'!$A$243:$I$263,4,0))</f>
        <v>0</v>
      </c>
      <c r="GI80" s="135">
        <f>IF(ISNA(VLOOKUP(A80,'Données projet'!$A$243:$I$263,5,0)),0%,VLOOKUP(A80,'Données projet'!$A$243:$I$263,5,0)*VLOOKUP('Données projet'!$B$17,'Paramètres'!$A$1:$I$89,7,0))</f>
        <v>0</v>
      </c>
      <c r="GJ80" s="135">
        <f>IF(ISNA(VLOOKUP(A80,'Données projet'!$A$243:$I$263,6,0)),0%,VLOOKUP(A80,'Données projet'!$A$243:$I$263,6,0)*VLOOKUP('Données projet'!$B$17,'Paramètres'!$A$1:$I$89,7,0))</f>
        <v>0</v>
      </c>
      <c r="GK80" s="135">
        <f>IF(ISNA(VLOOKUP(A80,'Données projet'!$A$243:$I$263,7,0)),0%,VLOOKUP(A80,'Données projet'!$A$243:$I$263,7,0))</f>
        <v>0</v>
      </c>
      <c r="GL80" s="142">
        <f>EXP(-LN(2)/35)*GL79+(1-EXP(-LN(2)/35))/(LN(2)/35)*GH80*GI80*VLOOKUP('Données projet'!$B$17,'Paramètres'!$A$1:$I$89,3,0)*0.475*44/12</f>
        <v>74.17349375</v>
      </c>
      <c r="GM80" s="142">
        <f>EXP(-LN(2)/25)*GM79+(1-EXP(-LN(2)/25))/(LN(2)/25)*Calculateur!GH80*Calculateur!GJ80*VLOOKUP('Données projet'!$B$17,'Paramètres'!$A$1:$I$89,3,0)*0.475*44/12</f>
        <v>0</v>
      </c>
      <c r="GN80" s="142">
        <f>EXP(-LN(2)/2)*GN79+(1-EXP(-LN(2)/2))/(LN(2)/2)*GH80*GK80*VLOOKUP('Données projet'!$B$17,'Paramètres'!$A$1:$I$89,3,0)*0.475*44/12</f>
        <v>0</v>
      </c>
      <c r="GO80" s="142">
        <f t="shared" si="28"/>
        <v>74.17349375</v>
      </c>
      <c r="GP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1" t="str">
        <f>VLOOKUP(A80,'Données projet'!$A$269:$I$289,2,0)</f>
        <v>#N/A</v>
      </c>
      <c r="GS80" s="131" t="str">
        <f>VLOOKUP(A80,'Données projet'!$A$269:$I$289,9,0)</f>
        <v>#N/A</v>
      </c>
      <c r="GT80" s="131" t="str">
        <f t="array" ref="GT80">INDEX(GS:GS,MIN(IF(ISNUMBER(GS80:GS276),ROW(GS80:GS276),"")))</f>
        <v/>
      </c>
      <c r="GU80" s="138">
        <f>IF('Données projet'!$A$270&gt;35,GU79+GT80-HC79,IF(A80&lt;'Données projet'!$A$270,$GR$205^A80,IF(A80='Données projet'!$A$270,'Données projet'!$B$270,GU79+GT80-HC79)))</f>
        <v>0</v>
      </c>
      <c r="GV80" s="138">
        <f>GU80*VLOOKUP('Données projet'!$B$18,'Paramètres'!$A$1:$I$89,3,0)*VLOOKUP('Données projet'!$B$18,'Paramètres'!$A$1:$I$89,5,0)</f>
        <v>0</v>
      </c>
      <c r="GW80" s="130" t="str">
        <f t="shared" si="52"/>
        <v>#NUM!</v>
      </c>
      <c r="GX80" s="141" t="str">
        <f t="shared" si="29"/>
        <v>#NUM!</v>
      </c>
      <c r="GY80" s="133" t="str">
        <f t="shared" si="30"/>
        <v>#NUM!</v>
      </c>
      <c r="GZ80" s="133">
        <f>AVERAGE(OFFSET($GY$3,0,0,'Données projet'!$E$18+1,1))-AVERAGE(OFFSET($H$3,0,0,'Données projet'!$E$18+1,1))</f>
        <v>100.5427875</v>
      </c>
      <c r="HA80" s="133">
        <f t="shared" si="53"/>
        <v>92.28663609</v>
      </c>
      <c r="HB80" s="134">
        <f>IF(ISNA(VLOOKUP(A80,'Données projet'!$A$269:$I$289,3,0)),0,VLOOKUP(A80,'Données projet'!$A$269:$I$289,3,0))</f>
        <v>0</v>
      </c>
      <c r="HC80" s="134">
        <f>IF(ISNA(VLOOKUP(A80,'Données projet'!$A$269:$I$289,4,0)),0,VLOOKUP(A80,'Données projet'!$A$269:$I$289,4,0))</f>
        <v>0</v>
      </c>
      <c r="HD80" s="135">
        <f>IF(ISNA(VLOOKUP(A80,'Données projet'!$A$269:$I$289,5,0)),0%,VLOOKUP(A80,'Données projet'!$A$269:$I$289,5,0)*VLOOKUP('Données projet'!$B$18,'Paramètres'!$A$1:$I$89,7,0))</f>
        <v>0</v>
      </c>
      <c r="HE80" s="135">
        <f>IF(ISNA(VLOOKUP(A80,'Données projet'!$A$269:$I$289,6,0)),0%,VLOOKUP(A80,'Données projet'!$A$269:$I$289,6,0)*VLOOKUP('Données projet'!$B$18,'Paramètres'!$A$1:$I$89,7,0))</f>
        <v>0</v>
      </c>
      <c r="HF80" s="135">
        <f>IF(ISNA(VLOOKUP(A80,'Données projet'!$A$269:$I$289,7,0)),0%,VLOOKUP(A80,'Données projet'!$A$269:$I$289,7,0))</f>
        <v>0</v>
      </c>
      <c r="HG80" s="142">
        <f>EXP(-LN(2)/35)*HG79+(1-EXP(-LN(2)/35))/(LN(2)/35)*HC80*HD80*VLOOKUP('Données projet'!$B$18,'Paramètres'!$A$1:$I$89,3,0)*0.475*44/12</f>
        <v>50.51058447</v>
      </c>
      <c r="HH80" s="142">
        <f>EXP(-LN(2)/25)*HH79+(1-EXP(-LN(2)/25))/(LN(2)/25)*Calculateur!HC80*Calculateur!HE80*VLOOKUP('Données projet'!$B$18,'Paramètres'!$A$1:$I$89,3,0)*0.475*44/12</f>
        <v>0</v>
      </c>
      <c r="HI80" s="142">
        <f>EXP(-LN(2)/2)*HI79+(1-EXP(-LN(2)/2))/(LN(2)/2)*HC80*HF80*VLOOKUP('Données projet'!$B$18,'Paramètres'!$A$1:$I$89,3,0)*0.475*44/12</f>
        <v>0</v>
      </c>
      <c r="HJ80" s="143">
        <f t="shared" si="31"/>
        <v>50.51058447</v>
      </c>
    </row>
    <row r="81" ht="15.75" customHeight="1">
      <c r="A81" s="125">
        <f t="shared" si="32"/>
        <v>78</v>
      </c>
      <c r="B81" s="126">
        <f>'Scénario référence'!$B$16*5+'Scénario référence'!$B$17*0+'Scénario référence'!$B$18*5</f>
        <v>0</v>
      </c>
      <c r="C81" s="140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42.588</v>
      </c>
      <c r="D81" s="127">
        <f t="shared" si="33"/>
        <v>12.68207376</v>
      </c>
      <c r="E8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7">
        <f>IF(OR('Scénario référence'!$F$8&gt;0,'Scénario référence'!$F$9&gt;0),('Scénario référence'!$F$8+'Scénario référence'!$F$9)*10,0)</f>
        <v>10</v>
      </c>
      <c r="G81" s="127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</v>
      </c>
      <c r="H81" s="128">
        <f t="shared" si="1"/>
        <v>389.5953785</v>
      </c>
      <c r="I81" s="12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1" t="str">
        <f>VLOOKUP(A81,'Données projet'!$A$35:$I$55,2,0)</f>
        <v>#N/A</v>
      </c>
      <c r="L81" s="131" t="str">
        <f>VLOOKUP(A81,'Données projet'!$A$35:$I$55,9,0)</f>
        <v>#N/A</v>
      </c>
      <c r="M81" s="131" t="str">
        <f t="array" ref="M81">INDEX(L:L,MIN(IF(ISNUMBER(L81:L277),ROW(L81:L277),"")))</f>
        <v/>
      </c>
      <c r="N81" s="130">
        <f>IF('Données projet'!$A$36&gt;35,N80+M81-V80,IF(A81&lt;'Données projet'!$A$36,$K$205^A81,IF(A81='Données projet'!$A$36,'Données projet'!$B$36,N80+M81-V80)))</f>
        <v>0</v>
      </c>
      <c r="O81" s="130">
        <f>N81*VLOOKUP('Données projet'!$B$9,'Paramètres'!$A$1:$I$89,3,0)*VLOOKUP('Données projet'!$B$9,'Paramètres'!$A$1:$I$89,5,0)</f>
        <v>0</v>
      </c>
      <c r="P81" s="130">
        <f t="shared" si="34"/>
        <v>0</v>
      </c>
      <c r="Q81" s="141">
        <f t="shared" si="2"/>
        <v>0</v>
      </c>
      <c r="R81" s="133">
        <f t="shared" si="3"/>
        <v>293.3333333</v>
      </c>
      <c r="S81" s="133">
        <f>AVERAGE(OFFSET($R$3,0,0,'Données projet'!$E$9+1,1))-AVERAGE(OFFSET($H$3,0,0,'Données projet'!$E$9+1,1))</f>
        <v>126.9946492</v>
      </c>
      <c r="T81" s="133">
        <f t="shared" si="35"/>
        <v>140.039049</v>
      </c>
      <c r="U81" s="134">
        <f>IF(ISNA(VLOOKUP(A81,'Données projet'!$A$35:$I$55,3,0)),0,VLOOKUP(A81,'Données projet'!$A$35:$I$55,3,0))</f>
        <v>0</v>
      </c>
      <c r="V81" s="134">
        <f>IF(ISNA(VLOOKUP(A81,'Données projet'!$A$35:$I$55,4,0)),0,VLOOKUP(A81,'Données projet'!$A$35:$I$55,4,0))</f>
        <v>0</v>
      </c>
      <c r="W81" s="135">
        <f>IF(ISNA(VLOOKUP(A81,'Données projet'!$A$35:$I$55,5,0)),0%,VLOOKUP(A81,'Données projet'!$A$35:$I$55,5,0)*VLOOKUP('Données projet'!$B$9,'Paramètres'!$A$1:$I$89,7,0))</f>
        <v>0</v>
      </c>
      <c r="X81" s="135">
        <f>IF(ISNA(VLOOKUP(A81,'Données projet'!$A$35:$I$55,6,0)),0%,VLOOKUP(A81,'Données projet'!$A$35:$I$55,6,0)*VLOOKUP('Données projet'!$B$9,'Paramètres'!$A$1:$I$89,7,0))</f>
        <v>0</v>
      </c>
      <c r="Y81" s="135">
        <f>IF(ISNA(VLOOKUP(A81,'Données projet'!$A$35:$I$55,7,0)),0%,VLOOKUP(A81,'Données projet'!$A$35:$I$55,7,0))</f>
        <v>0</v>
      </c>
      <c r="Z81" s="142">
        <f>EXP(-LN(2)/35)*Z80+(1-EXP(-LN(2)/35))/(LN(2)/35)*V81*W81*VLOOKUP('Données projet'!$B$9,'Paramètres'!$A$1:$I$89,3,0)*0.475*44/12</f>
        <v>74.37534621</v>
      </c>
      <c r="AA81" s="142">
        <f>EXP(-LN(2)/25)*AA80+(1-EXP(-LN(2)/25))/(LN(2)/25)*Calculateur!V81*Calculateur!X81*VLOOKUP('Données projet'!$B$9,'Paramètres'!$A$1:$I$89,3,0)*0.475*44/12</f>
        <v>14.10812339</v>
      </c>
      <c r="AB81" s="142">
        <f>EXP(-LN(2)/2)*AB80+(1-EXP(-LN(2)/2))/(LN(2)/2)*V81*Y81*VLOOKUP('Données projet'!$B$9,'Paramètres'!$A$1:$I$89,3,0)*0.475*44/12</f>
        <v>0.03708861565</v>
      </c>
      <c r="AC81" s="143">
        <f t="shared" si="4"/>
        <v>88.52055822</v>
      </c>
      <c r="AD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1" t="str">
        <f>VLOOKUP(A81,'Données projet'!$A$61:$I$81,2,0)</f>
        <v>#N/A</v>
      </c>
      <c r="AG81" s="131" t="str">
        <f>VLOOKUP(A81,'Données projet'!$A$61:$I$81,9,0)</f>
        <v>#N/A</v>
      </c>
      <c r="AH81" s="131" t="str">
        <f t="array" ref="AH81">INDEX(AG:AG,MIN(IF(ISNUMBER(AG81:AG277),ROW(AG81:AG277),"")))</f>
        <v/>
      </c>
      <c r="AI81" s="130">
        <f>IF('Données projet'!$A$62&gt;35,AI80+AH81-AQ80,IF(A81&lt;'Données projet'!$A$62,$AF$205^A81,IF(A81='Données projet'!$A$62,'Données projet'!$B$62,AI80+AH81-AQ80)))</f>
        <v>0</v>
      </c>
      <c r="AJ81" s="130">
        <f>AI81*VLOOKUP('Données projet'!$B$10,'Paramètres'!$A$1:$I$89,3,0)*VLOOKUP('Données projet'!$B$10,'Paramètres'!$A$1:$I$89,5,0)</f>
        <v>0</v>
      </c>
      <c r="AK81" s="130" t="str">
        <f t="shared" si="36"/>
        <v>#NUM!</v>
      </c>
      <c r="AL81" s="141" t="str">
        <f t="shared" si="5"/>
        <v>#NUM!</v>
      </c>
      <c r="AM81" s="133" t="str">
        <f t="shared" si="6"/>
        <v>#NUM!</v>
      </c>
      <c r="AN81" s="133">
        <f>AVERAGE(OFFSET($AM$3,0,0,'Données projet'!$E$10+1,1))-AVERAGE(OFFSET($H$3,0,0,'Données projet'!$E$10+1,1))</f>
        <v>196.874484</v>
      </c>
      <c r="AO81" s="133">
        <f t="shared" si="37"/>
        <v>217.5750859</v>
      </c>
      <c r="AP81" s="134">
        <f>IF(ISNA(VLOOKUP(A81,'Données projet'!$A$61:$I$81,3,0)),0,VLOOKUP(A81,'Données projet'!$A$61:$I$81,3,0))</f>
        <v>0</v>
      </c>
      <c r="AQ81" s="134">
        <f>IF(ISNA(VLOOKUP(A81,'Données projet'!$A$61:$I$81,4,0)),0,VLOOKUP(A81,'Données projet'!$A$61:$I$81,4,0))</f>
        <v>0</v>
      </c>
      <c r="AR81" s="135">
        <f>IF(ISNA(VLOOKUP(A81,'Données projet'!$A$61:$I$81,5,0)),0%,VLOOKUP(A81,'Données projet'!$A$61:$I$81,5,0)*VLOOKUP('Données projet'!$B$10,'Paramètres'!$A$1:$I$89,7,0))</f>
        <v>0</v>
      </c>
      <c r="AS81" s="135">
        <f>IF(ISNA(VLOOKUP(A81,'Données projet'!$A$61:$I$81,6,0)),0%,VLOOKUP(A81,'Données projet'!$A$61:$I$81,6,0)*VLOOKUP('Données projet'!$B$10,'Paramètres'!$A$1:$I$89,7,0))</f>
        <v>0</v>
      </c>
      <c r="AT81" s="135">
        <f>IF(ISNA(VLOOKUP(A81,'Données projet'!$A$61:$I$81,7,0)),0%,VLOOKUP(A81,'Données projet'!$A$61:$I$81,7,0))</f>
        <v>0</v>
      </c>
      <c r="AU81" s="142">
        <f>EXP(-LN(2)/35)*AU80+(1-EXP(-LN(2)/35))/(LN(2)/35)*AQ81*AR81*VLOOKUP('Données projet'!$B$10,'Paramètres'!$A$1:$I$89,3,0)*0.475*44/12</f>
        <v>103.3796187</v>
      </c>
      <c r="AV81" s="142">
        <f>EXP(-LN(2)/25)*AV80+(1-EXP(-LN(2)/25))/(LN(2)/25)*Calculateur!AQ81*Calculateur!AS81*VLOOKUP('Données projet'!$B$10,'Paramètres'!$A$1:$I$89,3,0)*0.475*44/12</f>
        <v>21.69125856</v>
      </c>
      <c r="AW81" s="142">
        <f>EXP(-LN(2)/2)*AW80+(1-EXP(-LN(2)/2))/(LN(2)/2)*AQ81*AT81*VLOOKUP('Données projet'!$B$10,'Paramètres'!$A$1:$I$89,3,0)*0.475*44/12</f>
        <v>0.05170931722</v>
      </c>
      <c r="AX81" s="142">
        <f t="shared" si="7"/>
        <v>125.1225866</v>
      </c>
      <c r="AY81" s="13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1" t="str">
        <f>VLOOKUP(A81,'Données projet'!$A$87:$I$107,2,0)</f>
        <v>#N/A</v>
      </c>
      <c r="BB81" s="131" t="str">
        <f>VLOOKUP(A81,'Données projet'!$A$87:$I$107,9,0)</f>
        <v>#N/A</v>
      </c>
      <c r="BC81" s="131" t="str">
        <f t="array" ref="BC81">INDEX(BB:BB,MIN(IF(ISNUMBER(BB81:BB277),ROW(BB81:BB277),"")))</f>
        <v/>
      </c>
      <c r="BD81" s="130">
        <f>IF('Données projet'!$A$88&gt;35,BD80+BC81-BL80,IF(A81&lt;'Données projet'!$A$88,$BA$205^A81,IF(A81='Données projet'!$A$88,'Données projet'!$B$88,BD80+BC81-BL80)))</f>
        <v>0</v>
      </c>
      <c r="BE81" s="130">
        <f>BD81*VLOOKUP('Données projet'!$B$11,'Paramètres'!$A$1:$I$89,3,0)*VLOOKUP('Données projet'!$B$11,'Paramètres'!$A$1:$I$89,5,0)</f>
        <v>0</v>
      </c>
      <c r="BF81" s="130" t="str">
        <f t="shared" si="38"/>
        <v>#NUM!</v>
      </c>
      <c r="BG81" s="141" t="str">
        <f t="shared" si="8"/>
        <v>#NUM!</v>
      </c>
      <c r="BH81" s="133" t="str">
        <f t="shared" si="9"/>
        <v>#NUM!</v>
      </c>
      <c r="BI81" s="133">
        <f>AVERAGE(OFFSET($BH$3,0,0,'Données projet'!$E$11+1,1))-AVERAGE(OFFSET($H$3,0,0,'Données projet'!$E$11+1,1))</f>
        <v>134.0948534</v>
      </c>
      <c r="BJ81" s="133">
        <f t="shared" si="39"/>
        <v>108.4102536</v>
      </c>
      <c r="BK81" s="134">
        <f>IF(ISNA(VLOOKUP(A81,'Données projet'!$A$87:$I$107,3,0)),0,VLOOKUP(A81,'Données projet'!$A$87:$I$107,3,0))</f>
        <v>0</v>
      </c>
      <c r="BL81" s="134">
        <f>IF(ISNA(VLOOKUP(A81,'Données projet'!$A$87:$I$107,4,0)),0,VLOOKUP(A81,'Données projet'!$A$87:$I$107,4,0))</f>
        <v>0</v>
      </c>
      <c r="BM81" s="135">
        <f>IF(ISNA(VLOOKUP(A81,'Données projet'!$A$87:$I$107,5,0)),0%,VLOOKUP(A81,'Données projet'!$A$87:$I$107,5,0)*VLOOKUP('Données projet'!$B$11,'Paramètres'!$A$1:$I$89,7,0))</f>
        <v>0</v>
      </c>
      <c r="BN81" s="135">
        <f>IF(ISNA(VLOOKUP(A81,'Données projet'!$A$87:$I$107,6,0)),0%,VLOOKUP(A81,'Données projet'!$A$87:$I$107,6,0)*VLOOKUP('Données projet'!$B$11,'Paramètres'!$A$1:$I$89,7,0))</f>
        <v>0</v>
      </c>
      <c r="BO81" s="135">
        <f>IF(ISNA(VLOOKUP(A81,'Données projet'!$A$87:$I$107,7,0)),0%,VLOOKUP(A81,'Données projet'!$A$87:$I$107,7,0))</f>
        <v>0</v>
      </c>
      <c r="BP81" s="142">
        <f>EXP(-LN(2)/35)*BP80+(1-EXP(-LN(2)/35))/(LN(2)/35)*BL81*BM81*VLOOKUP('Données projet'!$B$11,'Paramètres'!$A$1:$I$89,3,0)*0.475*44/12</f>
        <v>142.9933197</v>
      </c>
      <c r="BQ81" s="142">
        <f>EXP(-LN(2)/25)*BQ80+(1-EXP(-LN(2)/25))/(LN(2)/25)*Calculateur!BL81*Calculateur!BN81*VLOOKUP('Données projet'!$B$11,'Paramètres'!$A$1:$I$89,3,0)*0.475*44/12</f>
        <v>13.68286453</v>
      </c>
      <c r="BR81" s="142">
        <f>EXP(-LN(2)/2)*BR80+(1-EXP(-LN(2)/2))/(LN(2)/2)*BL81*BO81*VLOOKUP('Données projet'!$B$11,'Paramètres'!$A$1:$I$89,3,0)*0.475*44/12</f>
        <v>0.6897280829</v>
      </c>
      <c r="BS81" s="143">
        <f t="shared" si="10"/>
        <v>157.3659123</v>
      </c>
      <c r="BT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1" t="str">
        <f>VLOOKUP(A81,'Données projet'!$A$113:$I$133,2,0)</f>
        <v>#N/A</v>
      </c>
      <c r="BW81" s="131" t="str">
        <f>VLOOKUP(A81,'Données projet'!$A$113:$I$133,9,0)</f>
        <v>#N/A</v>
      </c>
      <c r="BX81" s="131" t="str">
        <f t="array" ref="BX81">INDEX(BW:BW,MIN(IF(ISNUMBER(BW81:BW277),ROW(BW81:BW277),"")))</f>
        <v/>
      </c>
      <c r="BY81" s="130">
        <f>IF('Données projet'!$A$114&gt;35,BY80+BX81-CG80,IF(A81&lt;'Données projet'!$A$114,$BV$205^A81,IF(A81='Données projet'!$A$114,'Données projet'!$B$114,BY80+BX81-CG80)))</f>
        <v>0</v>
      </c>
      <c r="BZ81" s="130">
        <f>BY81*VLOOKUP('Données projet'!$B$12,'Paramètres'!$A$1:$I$89,3,0)*VLOOKUP('Données projet'!$B$12,'Paramètres'!$A$1:$I$89,5,0)</f>
        <v>0</v>
      </c>
      <c r="CA81" s="130" t="str">
        <f t="shared" si="40"/>
        <v>#NUM!</v>
      </c>
      <c r="CB81" s="141" t="str">
        <f t="shared" si="11"/>
        <v>#NUM!</v>
      </c>
      <c r="CC81" s="133" t="str">
        <f t="shared" si="12"/>
        <v>#NUM!</v>
      </c>
      <c r="CD81" s="133">
        <f>AVERAGE(OFFSET($CC$3,0,0,'Données projet'!$E$12+1,1))-AVERAGE(OFFSET($H$3,0,0,'Données projet'!$E$12+1,1))</f>
        <v>258.1672054</v>
      </c>
      <c r="CE81" s="133">
        <f t="shared" si="41"/>
        <v>296.0724261</v>
      </c>
      <c r="CF81" s="134">
        <f>IF(ISNA(VLOOKUP(A81,'Données projet'!$A$113:$I$133,3,0)),0,VLOOKUP(A81,'Données projet'!$A$113:$I$133,3,0))</f>
        <v>0</v>
      </c>
      <c r="CG81" s="134">
        <f>IF(ISNA(VLOOKUP(A81,'Données projet'!$A$113:$I$133,4,0)),0,VLOOKUP(A81,'Données projet'!$A$113:$I$133,4,0))</f>
        <v>0</v>
      </c>
      <c r="CH81" s="135">
        <f>IF(ISNA(VLOOKUP(A81,'Données projet'!$A$113:$I$133,5,0)),0%,VLOOKUP(A81,'Données projet'!$A$113:$I$133,5,0)*VLOOKUP('Données projet'!$B$12,'Paramètres'!$A$1:$I$89,7,0))</f>
        <v>0</v>
      </c>
      <c r="CI81" s="135">
        <f>IF(ISNA(VLOOKUP(A81,'Données projet'!$A$113:$I$133,6,0)),0%,VLOOKUP(A81,'Données projet'!$A$113:$I$133,6,0)*VLOOKUP('Données projet'!$B$12,'Paramètres'!$A$1:$I$89,7,0))</f>
        <v>0</v>
      </c>
      <c r="CJ81" s="135">
        <f>IF(ISNA(VLOOKUP(A81,'Données projet'!$A$113:$I$133,7,0)),0%,VLOOKUP(A81,'Données projet'!$A$113:$I$133,7,0))</f>
        <v>0</v>
      </c>
      <c r="CK81" s="142">
        <f>EXP(-LN(2)/35)*CK80+(1-EXP(-LN(2)/35))/(LN(2)/35)*CG81*CH81*VLOOKUP('Données projet'!$B$12,'Paramètres'!$A$1:$I$89,3,0)*0.475*44/12</f>
        <v>180.7872995</v>
      </c>
      <c r="CL81" s="142">
        <f>EXP(-LN(2)/25)*CL80+(1-EXP(-LN(2)/25))/(LN(2)/25)*Calculateur!CG81*Calculateur!CI81*VLOOKUP('Données projet'!$B$12,'Paramètres'!$A$1:$I$89,3,0)*0.475*44/12</f>
        <v>24.00052112</v>
      </c>
      <c r="CM81" s="142">
        <f>EXP(-LN(2)/2)*CM80+(1-EXP(-LN(2)/2))/(LN(2)/2)*CG81*CJ81*VLOOKUP('Données projet'!$B$12,'Paramètres'!$A$1:$I$89,3,0)*0.475*44/12</f>
        <v>0.02905743004</v>
      </c>
      <c r="CN81" s="143">
        <f t="shared" si="13"/>
        <v>204.8168781</v>
      </c>
      <c r="CO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1" t="str">
        <f>VLOOKUP(A81,'Données projet'!$A$139:$I$159,2,0)</f>
        <v>#N/A</v>
      </c>
      <c r="CR81" s="131" t="str">
        <f>VLOOKUP(A81,'Données projet'!$A$139:$I$159,9,0)</f>
        <v>#N/A</v>
      </c>
      <c r="CS81" s="130">
        <f t="array" ref="CS81">INDEX(CR:CR,MIN(IF(ISNUMBER(CR81:CR277),ROW(CR81:CR277),"")))</f>
        <v>4.6</v>
      </c>
      <c r="CT81" s="138">
        <f>IF('Données projet'!$A$140&gt;35,CT80+CS81-DB80,IF(A81&lt;'Données projet'!$A$140,$CQ$205^A81,IF(A81='Données projet'!$A$140,'Données projet'!$B$140,CT80+CS81-DB80)))</f>
        <v>182.8</v>
      </c>
      <c r="CU81" s="138">
        <f>CT81*VLOOKUP('Données projet'!$B$13,'Paramètres'!$A$1:$I$89,3,0)*VLOOKUP('Données projet'!$B$13,'Paramètres'!$A$1:$I$89,5,0)</f>
        <v>185.3592</v>
      </c>
      <c r="CV81" s="130">
        <f t="shared" si="42"/>
        <v>46.5124659</v>
      </c>
      <c r="CW81" s="141">
        <f t="shared" si="14"/>
        <v>403.8431514</v>
      </c>
      <c r="CX81" s="133">
        <f t="shared" si="15"/>
        <v>697.1764848</v>
      </c>
      <c r="CY81" s="133">
        <f>AVERAGE(OFFSET($CX$3,0,0,'Données projet'!$E$13+1,1))-AVERAGE(OFFSET($H$3,0,0,'Données projet'!$E$13+1,1))</f>
        <v>223.783507</v>
      </c>
      <c r="CZ81" s="133">
        <f t="shared" si="43"/>
        <v>84.92349117</v>
      </c>
      <c r="DA81" s="134">
        <f>IF(ISNA(VLOOKUP(A81,'Données projet'!$A$139:$I$159,3,0)),0,VLOOKUP(A81,'Données projet'!$A$139:$I$159,3,0))</f>
        <v>0</v>
      </c>
      <c r="DB81" s="134">
        <f>IF(ISNA(VLOOKUP(A81,'Données projet'!$A$139:$I$159,4,0)),0,VLOOKUP(A81,'Données projet'!$A$139:$I$159,4,0))</f>
        <v>0</v>
      </c>
      <c r="DC81" s="135">
        <f>IF(ISNA(VLOOKUP(A81,'Données projet'!$A$139:$I$159,5,0)),0%,VLOOKUP(A81,'Données projet'!$A$139:$I$159,5,0)*VLOOKUP('Données projet'!$B$13,'Paramètres'!$A$1:$I$89,7,0))</f>
        <v>0</v>
      </c>
      <c r="DD81" s="135">
        <f>IF(ISNA(VLOOKUP(A81,'Données projet'!$A$139:$I$159,6,0)),0%,VLOOKUP(A81,'Données projet'!$A$139:$I$159,6,0)*VLOOKUP('Données projet'!$B$13,'Paramètres'!$A$1:$I$89,7,0))</f>
        <v>0</v>
      </c>
      <c r="DE81" s="135">
        <f>IF(ISNA(VLOOKUP(A81,'Données projet'!$A$139:$I$159,7,0)),0%,VLOOKUP(A81,'Données projet'!$A$139:$I$159,7,0))</f>
        <v>0</v>
      </c>
      <c r="DF81" s="142">
        <f>EXP(-LN(2)/35)*DF80+(1-EXP(-LN(2)/35))/(LN(2)/35)*DB81*DC81*VLOOKUP('Données projet'!$B$13,'Paramètres'!$A$1:$I$89,3,0)*0.475*44/12</f>
        <v>11.74810141</v>
      </c>
      <c r="DG81" s="142">
        <f>EXP(-LN(2)/25)*DG80+(1-EXP(-LN(2)/25))/(LN(2)/25)*Calculateur!DB81*Calculateur!DD81*VLOOKUP('Données projet'!$B$13,'Paramètres'!$A$1:$I$89,3,0)*0.475*44/12</f>
        <v>0</v>
      </c>
      <c r="DH81" s="142">
        <f>EXP(-LN(2)/2)*DH80+(1-EXP(-LN(2)/2))/(LN(2)/2)*DB81*DE81*VLOOKUP('Données projet'!$B$13,'Paramètres'!$A$1:$I$89,3,0)*0.475*44/12</f>
        <v>0</v>
      </c>
      <c r="DI81" s="143">
        <f t="shared" si="16"/>
        <v>11.74810141</v>
      </c>
      <c r="DJ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1" t="str">
        <f>VLOOKUP(A81,'Données projet'!$A$165:$I$185,2,0)</f>
        <v>#N/A</v>
      </c>
      <c r="DM81" s="131" t="str">
        <f>VLOOKUP(A81,'Données projet'!$A$165:$I$185,9,0)</f>
        <v>#N/A</v>
      </c>
      <c r="DN81" s="131">
        <f t="array" ref="DN81">INDEX(DM:DM,MIN(IF(ISNUMBER(DM81:DM277),ROW(DM81:DM277),"")))</f>
        <v>6</v>
      </c>
      <c r="DO81" s="138">
        <f>IF('Données projet'!$A$166&gt;35,DO80+DN81-DW80,IF(A81&lt;'Données projet'!$A$166,$DL$205^A81,IF(A81='Données projet'!$A$166,'Données projet'!$B$166,DO80+DN81-DW80)))</f>
        <v>249</v>
      </c>
      <c r="DP81" s="138">
        <f>DO81*VLOOKUP('Données projet'!$B$14,'Paramètres'!$A$1:$I$89,3,0)*VLOOKUP('Données projet'!$B$14,'Paramètres'!$A$1:$I$89,5,0)</f>
        <v>225.2952</v>
      </c>
      <c r="DQ81" s="130">
        <f t="shared" si="44"/>
        <v>55.26417335</v>
      </c>
      <c r="DR81" s="141">
        <f t="shared" si="17"/>
        <v>488.6409086</v>
      </c>
      <c r="DS81" s="133">
        <f t="shared" si="18"/>
        <v>781.9742419</v>
      </c>
      <c r="DT81" s="133">
        <f>AVERAGE(OFFSET($DS$3,0,0,'Données projet'!$E$14+1,1))-AVERAGE(OFFSET($H$3,0,0,'Données projet'!$E$14+1,1))</f>
        <v>287.9334714</v>
      </c>
      <c r="DU81" s="133">
        <f t="shared" si="45"/>
        <v>156.6796502</v>
      </c>
      <c r="DV81" s="134">
        <f>IF(ISNA(VLOOKUP(A81,'Données projet'!$A$165:$I$185,3,0)),0,VLOOKUP(A81,'Données projet'!$A$165:$I$185,3,0))</f>
        <v>0</v>
      </c>
      <c r="DW81" s="134">
        <f>IF(ISNA(VLOOKUP(A81,'Données projet'!$A$165:$I$185,4,0)),0,VLOOKUP(A81,'Données projet'!$A$165:$I$185,4,0))</f>
        <v>0</v>
      </c>
      <c r="DX81" s="135">
        <f>IF(ISNA(VLOOKUP(A81,'Données projet'!$A$165:$I$185,5,0)),0%,VLOOKUP(A81,'Données projet'!$A$165:$I$185,5,0)*VLOOKUP('Données projet'!$B$14,'Paramètres'!$A$1:$I$89,7,0))</f>
        <v>0</v>
      </c>
      <c r="DY81" s="135">
        <f>IF(ISNA(VLOOKUP(A81,'Données projet'!$A$165:$I$185,6,0)),0%,VLOOKUP(A81,'Données projet'!$A$165:$I$185,6,0)*VLOOKUP('Données projet'!$B$14,'Paramètres'!$A$1:$I$89,7,0))</f>
        <v>0</v>
      </c>
      <c r="DZ81" s="135">
        <f>IF(ISNA(VLOOKUP(A81,'Données projet'!$A$165:$I$185,7,0)),0%,VLOOKUP(A81,'Données projet'!$A$165:$I$185,7,0))</f>
        <v>0</v>
      </c>
      <c r="EA81" s="142">
        <f>EXP(-LN(2)/35)*EA80+(1-EXP(-LN(2)/35))/(LN(2)/35)*DW81*DX81*VLOOKUP('Données projet'!$B$14,'Paramètres'!$A$1:$I$89,3,0)*0.475*44/12</f>
        <v>18.49748683</v>
      </c>
      <c r="EB81" s="142">
        <f>EXP(-LN(2)/25)*EB80+(1-EXP(-LN(2)/25))/(LN(2)/25)*Calculateur!DW81*Calculateur!DY81*VLOOKUP('Données projet'!$B$14,'Paramètres'!$A$1:$I$89,3,0)*0.475*44/12</f>
        <v>0</v>
      </c>
      <c r="EC81" s="142">
        <f>EXP(-LN(2)/2)*EC80+(1-EXP(-LN(2)/2))/(LN(2)/2)*DW81*DZ81*VLOOKUP('Données projet'!$B$14,'Paramètres'!$A$1:$I$89,3,0)*0.475*44/12</f>
        <v>0</v>
      </c>
      <c r="ED81" s="143">
        <f t="shared" si="19"/>
        <v>18.49748683</v>
      </c>
      <c r="EE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1" t="str">
        <f>VLOOKUP(A81,'Données projet'!$A$191:$I$211,2,0)</f>
        <v>#N/A</v>
      </c>
      <c r="EH81" s="131" t="str">
        <f>VLOOKUP(A81,'Données projet'!$A$191:$I$211,9,0)</f>
        <v>#N/A</v>
      </c>
      <c r="EI81" s="131">
        <f t="array" ref="EI81">INDEX(EH:EH,MIN(IF(ISNUMBER(EH81:EH277),ROW(EH81:EH277),"")))</f>
        <v>7.4</v>
      </c>
      <c r="EJ81" s="138">
        <f>IF('Données projet'!$A$192&gt;35,EJ80+EI81-ER80,IF(A81&lt;'Données projet'!$A$192,$EG$205^A81,IF(A81='Données projet'!$A$192,'Données projet'!$B$192,EJ80+EI81-ER80)))</f>
        <v>255.2</v>
      </c>
      <c r="EK81" s="138">
        <f>EJ81*VLOOKUP('Données projet'!$B$15,'Paramètres'!$A$1:$I$89,3,0)*VLOOKUP('Données projet'!$B$15,'Paramètres'!$A$1:$I$89,5,0)</f>
        <v>187.11264</v>
      </c>
      <c r="EL81" s="130">
        <f t="shared" si="46"/>
        <v>46.90103074</v>
      </c>
      <c r="EM81" s="141">
        <f t="shared" si="20"/>
        <v>407.5738099</v>
      </c>
      <c r="EN81" s="133">
        <f t="shared" si="21"/>
        <v>700.9071432</v>
      </c>
      <c r="EO81" s="133">
        <f>AVERAGE(OFFSET($EN$3,0,0,'Données projet'!$E$15+1,1))-AVERAGE(OFFSET($H$3,0,0,'Données projet'!$E$15+1,1))</f>
        <v>130.3193339</v>
      </c>
      <c r="EP81" s="133">
        <f t="shared" si="47"/>
        <v>82.22784365</v>
      </c>
      <c r="EQ81" s="134">
        <f>IF(ISNA(VLOOKUP(A81,'Données projet'!$A$191:$I$211,3,0)),0,VLOOKUP(A81,'Données projet'!$A$191:$I$211,3,0))</f>
        <v>0</v>
      </c>
      <c r="ER81" s="134">
        <f>IF(ISNA(VLOOKUP(A81,'Données projet'!$A$191:$I$211,4,0)),0,VLOOKUP(A81,'Données projet'!$A$191:$I$211,4,0))</f>
        <v>0</v>
      </c>
      <c r="ES81" s="135">
        <f>IF(ISNA(VLOOKUP(A81,'Données projet'!$A$191:$I$211,5,0)),0%,VLOOKUP(A81,'Données projet'!$A$191:$I$211,5,0)*VLOOKUP('Données projet'!$B$15,'Paramètres'!$A$1:$I$89,7,0))</f>
        <v>0</v>
      </c>
      <c r="ET81" s="135">
        <f>IF(ISNA(VLOOKUP(A81,'Données projet'!$A$191:$I$211,6,0)),0%,VLOOKUP(A81,'Données projet'!$A$191:$I$211,6,0)*VLOOKUP('Données projet'!$B$15,'Paramètres'!$A$1:$I$89,7,0))</f>
        <v>0</v>
      </c>
      <c r="EU81" s="135">
        <f>IF(ISNA(VLOOKUP(A81,'Données projet'!$A$191:$I$211,7,0)),0%,VLOOKUP(A81,'Données projet'!$A$191:$I$211,7,0))</f>
        <v>0</v>
      </c>
      <c r="EV81" s="142">
        <f>EXP(-LN(2)/35)*EV80+(1-EXP(-LN(2)/35))/(LN(2)/35)*ER81*ES81*VLOOKUP('Données projet'!$B$15,'Paramètres'!$A$1:$I$89,3,0)*0.475*44/12</f>
        <v>22.43347188</v>
      </c>
      <c r="EW81" s="142">
        <f>EXP(-LN(2)/25)*EW80+(1-EXP(-LN(2)/25))/(LN(2)/25)*Calculateur!ER81*Calculateur!ET81*VLOOKUP('Données projet'!$B$15,'Paramètres'!$A$1:$I$89,3,0)*0.475*44/12</f>
        <v>0</v>
      </c>
      <c r="EX81" s="142">
        <f>EXP(-LN(2)/2)*EX80+(1-EXP(-LN(2)/2))/(LN(2)/2)*ER81*EU81*VLOOKUP('Données projet'!$B$15,'Paramètres'!$A$1:$I$89,3,0)*0.475*44/12</f>
        <v>0</v>
      </c>
      <c r="EY81" s="143">
        <f t="shared" si="22"/>
        <v>22.43347188</v>
      </c>
      <c r="EZ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1" t="str">
        <f>VLOOKUP(A81,'Données projet'!$A$217:$I$237,2,0)</f>
        <v>#N/A</v>
      </c>
      <c r="FC81" s="131" t="str">
        <f>VLOOKUP(A81,'Données projet'!$A$217:$I$237,9,0)</f>
        <v>#N/A</v>
      </c>
      <c r="FD81" s="131" t="str">
        <f t="array" ref="FD81">INDEX(FC:FC,MIN(IF(ISNUMBER(FC81:FC277),ROW(FC81:FC277),"")))</f>
        <v/>
      </c>
      <c r="FE81" s="130">
        <f>IF('Données projet'!$A$218&gt;35,FE80+FD81-FM80,IF(A81&lt;'Données projet'!$A$218,$FB$205^A81,IF(A81='Données projet'!$A$218,'Données projet'!$B$218,FE80+FD81-FM80)))</f>
        <v>0</v>
      </c>
      <c r="FF81" s="138">
        <f>FE81*VLOOKUP('Données projet'!$B$16,'Paramètres'!$A$1:$I$89,3,0)*VLOOKUP('Données projet'!$B$16,'Paramètres'!$A$1:$I$89,5,0)</f>
        <v>0</v>
      </c>
      <c r="FG81" s="130">
        <f t="shared" si="48"/>
        <v>0</v>
      </c>
      <c r="FH81" s="141">
        <f t="shared" si="23"/>
        <v>0</v>
      </c>
      <c r="FI81" s="133">
        <f t="shared" si="24"/>
        <v>293.3333333</v>
      </c>
      <c r="FJ81" s="133">
        <f>AVERAGE(OFFSET($FI$3,0,0,'Données projet'!$E$16+1,1))-AVERAGE(OFFSET($H$3,0,0,'Données projet'!$E$16+1,1))</f>
        <v>305.6252353</v>
      </c>
      <c r="FK81" s="133">
        <f t="shared" si="49"/>
        <v>331.397916</v>
      </c>
      <c r="FL81" s="134">
        <f>IF(ISNA(VLOOKUP(A81,'Données projet'!$A$217:$I$237,3,0)),0,VLOOKUP(A81,'Données projet'!$A$217:$I$237,3,0))</f>
        <v>0</v>
      </c>
      <c r="FM81" s="134">
        <f>IF(ISNA(VLOOKUP(A81,'Données projet'!$A$217:$I$237,4,0)),0,VLOOKUP(A81,'Données projet'!$A$217:$I$237,4,0))</f>
        <v>0</v>
      </c>
      <c r="FN81" s="135">
        <f>IF(ISNA(VLOOKUP(A81,'Données projet'!$A$217:$I$237,5,0)),0%,VLOOKUP(A81,'Données projet'!$A$217:$I$237,5,0)*VLOOKUP('Données projet'!$B$16,'Paramètres'!$A$1:$I$89,7,0))</f>
        <v>0</v>
      </c>
      <c r="FO81" s="135">
        <f>IF(ISNA(VLOOKUP(A81,'Données projet'!$A$217:$I$237,6,0)),0%,VLOOKUP(A81,'Données projet'!$A$217:$I$237,6,0)*VLOOKUP('Données projet'!$B$16,'Paramètres'!$A$1:$I$89,7,0))</f>
        <v>0</v>
      </c>
      <c r="FP81" s="135">
        <f>IF(ISNA(VLOOKUP(A81,'Données projet'!$A$217:$I$237,7,0)),0%,VLOOKUP(A81,'Données projet'!$A$217:$I$237,7,0))</f>
        <v>0</v>
      </c>
      <c r="FQ81" s="142">
        <f>EXP(-LN(2)/35)*FQ80+(1-EXP(-LN(2)/35))/(LN(2)/35)*FM81*FN81*VLOOKUP('Données projet'!$B$16,'Paramètres'!$A$1:$I$89,3,0)*0.475*44/12</f>
        <v>68.83029782</v>
      </c>
      <c r="FR81" s="142">
        <f>EXP(-LN(2)/25)*FR80+(1-EXP(-LN(2)/25))/(LN(2)/25)*Calculateur!FM81*Calculateur!FO81*VLOOKUP('Données projet'!$B$16,'Paramètres'!$A$1:$I$89,3,0)*0.475*44/12</f>
        <v>0</v>
      </c>
      <c r="FS81" s="142">
        <f>EXP(-LN(2)/2)*FS80+(1-EXP(-LN(2)/2))/(LN(2)/2)*FM81*FP81*VLOOKUP('Données projet'!$B$16,'Paramètres'!$A$1:$I$89,3,0)*0.475*44/12</f>
        <v>0</v>
      </c>
      <c r="FT81" s="143">
        <f t="shared" si="25"/>
        <v>68.83029782</v>
      </c>
      <c r="FU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1" t="str">
        <f>VLOOKUP(A81,'Données projet'!$A$243:$I$263,2,0)</f>
        <v>#N/A</v>
      </c>
      <c r="FX81" s="131" t="str">
        <f>VLOOKUP(A81,'Données projet'!$A$243:$I$263,9,0)</f>
        <v>#N/A</v>
      </c>
      <c r="FY81" s="131" t="str">
        <f t="array" ref="FY81">INDEX(FX:FX,MIN(IF(ISNUMBER(FX81:FX277),ROW(FX81:FX277),"")))</f>
        <v/>
      </c>
      <c r="FZ81" s="138">
        <f>IF('Données projet'!$A$244&gt;35,FZ80+FY81-GH80,IF(A81&lt;'Données projet'!$A$244,$FW$205^A81,IF(A81='Données projet'!$A$244,'Données projet'!$B$244,FZ80+FY81-GH80)))</f>
        <v>0</v>
      </c>
      <c r="GA81" s="138">
        <f>FZ81*VLOOKUP('Données projet'!$B$17,'Paramètres'!$A$1:$I$89,3,0)*VLOOKUP('Données projet'!$B$17,'Paramètres'!$A$1:$I$89,5,0)</f>
        <v>0</v>
      </c>
      <c r="GB81" s="130">
        <f t="shared" si="50"/>
        <v>0</v>
      </c>
      <c r="GC81" s="141">
        <f t="shared" si="26"/>
        <v>0</v>
      </c>
      <c r="GD81" s="133">
        <f t="shared" si="27"/>
        <v>293.3333333</v>
      </c>
      <c r="GE81" s="133">
        <f>AVERAGE(OFFSET($GD$3,0,0,'Données projet'!$E$17+1,1))-AVERAGE(OFFSET($H$3,0,0,'Données projet'!$E$17+1,1))</f>
        <v>118.7368745</v>
      </c>
      <c r="GF81" s="133">
        <f t="shared" si="51"/>
        <v>135.1233677</v>
      </c>
      <c r="GG81" s="134">
        <f>IF(ISNA(VLOOKUP(A81,'Données projet'!$A$243:$I$263,3,0)),0,VLOOKUP(A81,'Données projet'!$A$243:$I$263,3,0))</f>
        <v>0</v>
      </c>
      <c r="GH81" s="134">
        <f>IF(ISNA(VLOOKUP(A81,'Données projet'!$A$243:$I$263,4,0)),0,VLOOKUP(A81,'Données projet'!$A$243:$I$263,4,0))</f>
        <v>0</v>
      </c>
      <c r="GI81" s="135">
        <f>IF(ISNA(VLOOKUP(A81,'Données projet'!$A$243:$I$263,5,0)),0%,VLOOKUP(A81,'Données projet'!$A$243:$I$263,5,0)*VLOOKUP('Données projet'!$B$17,'Paramètres'!$A$1:$I$89,7,0))</f>
        <v>0</v>
      </c>
      <c r="GJ81" s="135">
        <f>IF(ISNA(VLOOKUP(A81,'Données projet'!$A$243:$I$263,6,0)),0%,VLOOKUP(A81,'Données projet'!$A$243:$I$263,6,0)*VLOOKUP('Données projet'!$B$17,'Paramètres'!$A$1:$I$89,7,0))</f>
        <v>0</v>
      </c>
      <c r="GK81" s="135">
        <f>IF(ISNA(VLOOKUP(A81,'Données projet'!$A$243:$I$263,7,0)),0%,VLOOKUP(A81,'Données projet'!$A$243:$I$263,7,0))</f>
        <v>0</v>
      </c>
      <c r="GL81" s="142">
        <f>EXP(-LN(2)/35)*GL80+(1-EXP(-LN(2)/35))/(LN(2)/35)*GH81*GI81*VLOOKUP('Données projet'!$B$17,'Paramètres'!$A$1:$I$89,3,0)*0.475*44/12</f>
        <v>72.71899678</v>
      </c>
      <c r="GM81" s="142">
        <f>EXP(-LN(2)/25)*GM80+(1-EXP(-LN(2)/25))/(LN(2)/25)*Calculateur!GH81*Calculateur!GJ81*VLOOKUP('Données projet'!$B$17,'Paramètres'!$A$1:$I$89,3,0)*0.475*44/12</f>
        <v>0</v>
      </c>
      <c r="GN81" s="142">
        <f>EXP(-LN(2)/2)*GN80+(1-EXP(-LN(2)/2))/(LN(2)/2)*GH81*GK81*VLOOKUP('Données projet'!$B$17,'Paramètres'!$A$1:$I$89,3,0)*0.475*44/12</f>
        <v>0</v>
      </c>
      <c r="GO81" s="142">
        <f t="shared" si="28"/>
        <v>72.71899678</v>
      </c>
      <c r="GP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1" t="str">
        <f>VLOOKUP(A81,'Données projet'!$A$269:$I$289,2,0)</f>
        <v>#N/A</v>
      </c>
      <c r="GS81" s="131" t="str">
        <f>VLOOKUP(A81,'Données projet'!$A$269:$I$289,9,0)</f>
        <v>#N/A</v>
      </c>
      <c r="GT81" s="131" t="str">
        <f t="array" ref="GT81">INDEX(GS:GS,MIN(IF(ISNUMBER(GS81:GS277),ROW(GS81:GS277),"")))</f>
        <v/>
      </c>
      <c r="GU81" s="138">
        <f>IF('Données projet'!$A$270&gt;35,GU80+GT81-HC80,IF(A81&lt;'Données projet'!$A$270,$GR$205^A81,IF(A81='Données projet'!$A$270,'Données projet'!$B$270,GU80+GT81-HC80)))</f>
        <v>0</v>
      </c>
      <c r="GV81" s="138">
        <f>GU81*VLOOKUP('Données projet'!$B$18,'Paramètres'!$A$1:$I$89,3,0)*VLOOKUP('Données projet'!$B$18,'Paramètres'!$A$1:$I$89,5,0)</f>
        <v>0</v>
      </c>
      <c r="GW81" s="130" t="str">
        <f t="shared" si="52"/>
        <v>#NUM!</v>
      </c>
      <c r="GX81" s="141" t="str">
        <f t="shared" si="29"/>
        <v>#NUM!</v>
      </c>
      <c r="GY81" s="133" t="str">
        <f t="shared" si="30"/>
        <v>#NUM!</v>
      </c>
      <c r="GZ81" s="133">
        <f>AVERAGE(OFFSET($GY$3,0,0,'Données projet'!$E$18+1,1))-AVERAGE(OFFSET($H$3,0,0,'Données projet'!$E$18+1,1))</f>
        <v>100.5427875</v>
      </c>
      <c r="HA81" s="133">
        <f t="shared" si="53"/>
        <v>92.28663609</v>
      </c>
      <c r="HB81" s="134">
        <f>IF(ISNA(VLOOKUP(A81,'Données projet'!$A$269:$I$289,3,0)),0,VLOOKUP(A81,'Données projet'!$A$269:$I$289,3,0))</f>
        <v>0</v>
      </c>
      <c r="HC81" s="134">
        <f>IF(ISNA(VLOOKUP(A81,'Données projet'!$A$269:$I$289,4,0)),0,VLOOKUP(A81,'Données projet'!$A$269:$I$289,4,0))</f>
        <v>0</v>
      </c>
      <c r="HD81" s="135">
        <f>IF(ISNA(VLOOKUP(A81,'Données projet'!$A$269:$I$289,5,0)),0%,VLOOKUP(A81,'Données projet'!$A$269:$I$289,5,0)*VLOOKUP('Données projet'!$B$18,'Paramètres'!$A$1:$I$89,7,0))</f>
        <v>0</v>
      </c>
      <c r="HE81" s="135">
        <f>IF(ISNA(VLOOKUP(A81,'Données projet'!$A$269:$I$289,6,0)),0%,VLOOKUP(A81,'Données projet'!$A$269:$I$289,6,0)*VLOOKUP('Données projet'!$B$18,'Paramètres'!$A$1:$I$89,7,0))</f>
        <v>0</v>
      </c>
      <c r="HF81" s="135">
        <f>IF(ISNA(VLOOKUP(A81,'Données projet'!$A$269:$I$289,7,0)),0%,VLOOKUP(A81,'Données projet'!$A$269:$I$289,7,0))</f>
        <v>0</v>
      </c>
      <c r="HG81" s="142">
        <f>EXP(-LN(2)/35)*HG80+(1-EXP(-LN(2)/35))/(LN(2)/35)*HC81*HD81*VLOOKUP('Données projet'!$B$18,'Paramètres'!$A$1:$I$89,3,0)*0.475*44/12</f>
        <v>49.52010272</v>
      </c>
      <c r="HH81" s="142">
        <f>EXP(-LN(2)/25)*HH80+(1-EXP(-LN(2)/25))/(LN(2)/25)*Calculateur!HC81*Calculateur!HE81*VLOOKUP('Données projet'!$B$18,'Paramètres'!$A$1:$I$89,3,0)*0.475*44/12</f>
        <v>0</v>
      </c>
      <c r="HI81" s="142">
        <f>EXP(-LN(2)/2)*HI80+(1-EXP(-LN(2)/2))/(LN(2)/2)*HC81*HF81*VLOOKUP('Données projet'!$B$18,'Paramètres'!$A$1:$I$89,3,0)*0.475*44/12</f>
        <v>0</v>
      </c>
      <c r="HJ81" s="143">
        <f t="shared" si="31"/>
        <v>49.52010272</v>
      </c>
    </row>
    <row r="82" ht="15.75" customHeight="1">
      <c r="A82" s="125">
        <f t="shared" si="32"/>
        <v>79</v>
      </c>
      <c r="B82" s="126">
        <f>'Scénario référence'!$B$16*5+'Scénario référence'!$B$17*0+'Scénario référence'!$B$18*5</f>
        <v>0</v>
      </c>
      <c r="C82" s="140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43.134</v>
      </c>
      <c r="D82" s="127">
        <f t="shared" si="33"/>
        <v>12.82563221</v>
      </c>
      <c r="E8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7">
        <f>IF(OR('Scénario référence'!$F$8&gt;0,'Scénario référence'!$F$9&gt;0),('Scénario référence'!$F$8+'Scénario référence'!$F$9)*10,0)</f>
        <v>10</v>
      </c>
      <c r="G82" s="127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</v>
      </c>
      <c r="H82" s="128">
        <f t="shared" si="1"/>
        <v>390.7963594</v>
      </c>
      <c r="I82" s="12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1" t="str">
        <f>VLOOKUP(A82,'Données projet'!$A$35:$I$55,2,0)</f>
        <v>#N/A</v>
      </c>
      <c r="L82" s="131" t="str">
        <f>VLOOKUP(A82,'Données projet'!$A$35:$I$55,9,0)</f>
        <v>#N/A</v>
      </c>
      <c r="M82" s="131" t="str">
        <f t="array" ref="M82">INDEX(L:L,MIN(IF(ISNUMBER(L82:L278),ROW(L82:L278),"")))</f>
        <v/>
      </c>
      <c r="N82" s="130">
        <f>IF('Données projet'!$A$36&gt;35,N81+M82-V81,IF(A82&lt;'Données projet'!$A$36,$K$205^A82,IF(A82='Données projet'!$A$36,'Données projet'!$B$36,N81+M82-V81)))</f>
        <v>0</v>
      </c>
      <c r="O82" s="130">
        <f>N82*VLOOKUP('Données projet'!$B$9,'Paramètres'!$A$1:$I$89,3,0)*VLOOKUP('Données projet'!$B$9,'Paramètres'!$A$1:$I$89,5,0)</f>
        <v>0</v>
      </c>
      <c r="P82" s="130">
        <f t="shared" si="34"/>
        <v>0</v>
      </c>
      <c r="Q82" s="141">
        <f t="shared" si="2"/>
        <v>0</v>
      </c>
      <c r="R82" s="133">
        <f t="shared" si="3"/>
        <v>293.3333333</v>
      </c>
      <c r="S82" s="133">
        <f>AVERAGE(OFFSET($R$3,0,0,'Données projet'!$E$9+1,1))-AVERAGE(OFFSET($H$3,0,0,'Données projet'!$E$9+1,1))</f>
        <v>126.9946492</v>
      </c>
      <c r="T82" s="133">
        <f t="shared" si="35"/>
        <v>140.039049</v>
      </c>
      <c r="U82" s="134">
        <f>IF(ISNA(VLOOKUP(A82,'Données projet'!$A$35:$I$55,3,0)),0,VLOOKUP(A82,'Données projet'!$A$35:$I$55,3,0))</f>
        <v>0</v>
      </c>
      <c r="V82" s="134">
        <f>IF(ISNA(VLOOKUP(A82,'Données projet'!$A$35:$I$55,4,0)),0,VLOOKUP(A82,'Données projet'!$A$35:$I$55,4,0))</f>
        <v>0</v>
      </c>
      <c r="W82" s="135">
        <f>IF(ISNA(VLOOKUP(A82,'Données projet'!$A$35:$I$55,5,0)),0%,VLOOKUP(A82,'Données projet'!$A$35:$I$55,5,0)*VLOOKUP('Données projet'!$B$9,'Paramètres'!$A$1:$I$89,7,0))</f>
        <v>0</v>
      </c>
      <c r="X82" s="135">
        <f>IF(ISNA(VLOOKUP(A82,'Données projet'!$A$35:$I$55,6,0)),0%,VLOOKUP(A82,'Données projet'!$A$35:$I$55,6,0)*VLOOKUP('Données projet'!$B$9,'Paramètres'!$A$1:$I$89,7,0))</f>
        <v>0</v>
      </c>
      <c r="Y82" s="135">
        <f>IF(ISNA(VLOOKUP(A82,'Données projet'!$A$35:$I$55,7,0)),0%,VLOOKUP(A82,'Données projet'!$A$35:$I$55,7,0))</f>
        <v>0</v>
      </c>
      <c r="Z82" s="142">
        <f>EXP(-LN(2)/35)*Z81+(1-EXP(-LN(2)/35))/(LN(2)/35)*V82*W82*VLOOKUP('Données projet'!$B$9,'Paramètres'!$A$1:$I$89,3,0)*0.475*44/12</f>
        <v>72.91689104</v>
      </c>
      <c r="AA82" s="142">
        <f>EXP(-LN(2)/25)*AA81+(1-EXP(-LN(2)/25))/(LN(2)/25)*Calculateur!V82*Calculateur!X82*VLOOKUP('Données projet'!$B$9,'Paramètres'!$A$1:$I$89,3,0)*0.475*44/12</f>
        <v>13.72233602</v>
      </c>
      <c r="AB82" s="142">
        <f>EXP(-LN(2)/2)*AB81+(1-EXP(-LN(2)/2))/(LN(2)/2)*V82*Y82*VLOOKUP('Données projet'!$B$9,'Paramètres'!$A$1:$I$89,3,0)*0.475*44/12</f>
        <v>0.02622561163</v>
      </c>
      <c r="AC82" s="143">
        <f t="shared" si="4"/>
        <v>86.66545266</v>
      </c>
      <c r="AD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1" t="str">
        <f>VLOOKUP(A82,'Données projet'!$A$61:$I$81,2,0)</f>
        <v>#N/A</v>
      </c>
      <c r="AG82" s="131" t="str">
        <f>VLOOKUP(A82,'Données projet'!$A$61:$I$81,9,0)</f>
        <v>#N/A</v>
      </c>
      <c r="AH82" s="131" t="str">
        <f t="array" ref="AH82">INDEX(AG:AG,MIN(IF(ISNUMBER(AG82:AG278),ROW(AG82:AG278),"")))</f>
        <v/>
      </c>
      <c r="AI82" s="130">
        <f>IF('Données projet'!$A$62&gt;35,AI81+AH82-AQ81,IF(A82&lt;'Données projet'!$A$62,$AF$205^A82,IF(A82='Données projet'!$A$62,'Données projet'!$B$62,AI81+AH82-AQ81)))</f>
        <v>0</v>
      </c>
      <c r="AJ82" s="130">
        <f>AI82*VLOOKUP('Données projet'!$B$10,'Paramètres'!$A$1:$I$89,3,0)*VLOOKUP('Données projet'!$B$10,'Paramètres'!$A$1:$I$89,5,0)</f>
        <v>0</v>
      </c>
      <c r="AK82" s="130" t="str">
        <f t="shared" si="36"/>
        <v>#NUM!</v>
      </c>
      <c r="AL82" s="141" t="str">
        <f t="shared" si="5"/>
        <v>#NUM!</v>
      </c>
      <c r="AM82" s="133" t="str">
        <f t="shared" si="6"/>
        <v>#NUM!</v>
      </c>
      <c r="AN82" s="133">
        <f>AVERAGE(OFFSET($AM$3,0,0,'Données projet'!$E$10+1,1))-AVERAGE(OFFSET($H$3,0,0,'Données projet'!$E$10+1,1))</f>
        <v>196.874484</v>
      </c>
      <c r="AO82" s="133">
        <f t="shared" si="37"/>
        <v>217.5750859</v>
      </c>
      <c r="AP82" s="134">
        <f>IF(ISNA(VLOOKUP(A82,'Données projet'!$A$61:$I$81,3,0)),0,VLOOKUP(A82,'Données projet'!$A$61:$I$81,3,0))</f>
        <v>0</v>
      </c>
      <c r="AQ82" s="134">
        <f>IF(ISNA(VLOOKUP(A82,'Données projet'!$A$61:$I$81,4,0)),0,VLOOKUP(A82,'Données projet'!$A$61:$I$81,4,0))</f>
        <v>0</v>
      </c>
      <c r="AR82" s="135">
        <f>IF(ISNA(VLOOKUP(A82,'Données projet'!$A$61:$I$81,5,0)),0%,VLOOKUP(A82,'Données projet'!$A$61:$I$81,5,0)*VLOOKUP('Données projet'!$B$10,'Paramètres'!$A$1:$I$89,7,0))</f>
        <v>0</v>
      </c>
      <c r="AS82" s="135">
        <f>IF(ISNA(VLOOKUP(A82,'Données projet'!$A$61:$I$81,6,0)),0%,VLOOKUP(A82,'Données projet'!$A$61:$I$81,6,0)*VLOOKUP('Données projet'!$B$10,'Paramètres'!$A$1:$I$89,7,0))</f>
        <v>0</v>
      </c>
      <c r="AT82" s="135">
        <f>IF(ISNA(VLOOKUP(A82,'Données projet'!$A$61:$I$81,7,0)),0%,VLOOKUP(A82,'Données projet'!$A$61:$I$81,7,0))</f>
        <v>0</v>
      </c>
      <c r="AU82" s="142">
        <f>EXP(-LN(2)/35)*AU81+(1-EXP(-LN(2)/35))/(LN(2)/35)*AQ82*AR82*VLOOKUP('Données projet'!$B$10,'Paramètres'!$A$1:$I$89,3,0)*0.475*44/12</f>
        <v>101.3524074</v>
      </c>
      <c r="AV82" s="142">
        <f>EXP(-LN(2)/25)*AV81+(1-EXP(-LN(2)/25))/(LN(2)/25)*Calculateur!AQ82*Calculateur!AS82*VLOOKUP('Données projet'!$B$10,'Paramètres'!$A$1:$I$89,3,0)*0.475*44/12</f>
        <v>21.09810996</v>
      </c>
      <c r="AW82" s="142">
        <f>EXP(-LN(2)/2)*AW81+(1-EXP(-LN(2)/2))/(LN(2)/2)*AQ82*AT82*VLOOKUP('Données projet'!$B$10,'Paramètres'!$A$1:$I$89,3,0)*0.475*44/12</f>
        <v>0.03656400886</v>
      </c>
      <c r="AX82" s="142">
        <f t="shared" si="7"/>
        <v>122.4870814</v>
      </c>
      <c r="AY82" s="13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1" t="str">
        <f>VLOOKUP(A82,'Données projet'!$A$87:$I$107,2,0)</f>
        <v>#N/A</v>
      </c>
      <c r="BB82" s="131" t="str">
        <f>VLOOKUP(A82,'Données projet'!$A$87:$I$107,9,0)</f>
        <v>#N/A</v>
      </c>
      <c r="BC82" s="131" t="str">
        <f t="array" ref="BC82">INDEX(BB:BB,MIN(IF(ISNUMBER(BB82:BB278),ROW(BB82:BB278),"")))</f>
        <v/>
      </c>
      <c r="BD82" s="130">
        <f>IF('Données projet'!$A$88&gt;35,BD81+BC82-BL81,IF(A82&lt;'Données projet'!$A$88,$BA$205^A82,IF(A82='Données projet'!$A$88,'Données projet'!$B$88,BD81+BC82-BL81)))</f>
        <v>0</v>
      </c>
      <c r="BE82" s="130">
        <f>BD82*VLOOKUP('Données projet'!$B$11,'Paramètres'!$A$1:$I$89,3,0)*VLOOKUP('Données projet'!$B$11,'Paramètres'!$A$1:$I$89,5,0)</f>
        <v>0</v>
      </c>
      <c r="BF82" s="130" t="str">
        <f t="shared" si="38"/>
        <v>#NUM!</v>
      </c>
      <c r="BG82" s="141" t="str">
        <f t="shared" si="8"/>
        <v>#NUM!</v>
      </c>
      <c r="BH82" s="133" t="str">
        <f t="shared" si="9"/>
        <v>#NUM!</v>
      </c>
      <c r="BI82" s="133">
        <f>AVERAGE(OFFSET($BH$3,0,0,'Données projet'!$E$11+1,1))-AVERAGE(OFFSET($H$3,0,0,'Données projet'!$E$11+1,1))</f>
        <v>134.0948534</v>
      </c>
      <c r="BJ82" s="133">
        <f t="shared" si="39"/>
        <v>108.4102536</v>
      </c>
      <c r="BK82" s="134">
        <f>IF(ISNA(VLOOKUP(A82,'Données projet'!$A$87:$I$107,3,0)),0,VLOOKUP(A82,'Données projet'!$A$87:$I$107,3,0))</f>
        <v>0</v>
      </c>
      <c r="BL82" s="134">
        <f>IF(ISNA(VLOOKUP(A82,'Données projet'!$A$87:$I$107,4,0)),0,VLOOKUP(A82,'Données projet'!$A$87:$I$107,4,0))</f>
        <v>0</v>
      </c>
      <c r="BM82" s="135">
        <f>IF(ISNA(VLOOKUP(A82,'Données projet'!$A$87:$I$107,5,0)),0%,VLOOKUP(A82,'Données projet'!$A$87:$I$107,5,0)*VLOOKUP('Données projet'!$B$11,'Paramètres'!$A$1:$I$89,7,0))</f>
        <v>0</v>
      </c>
      <c r="BN82" s="135">
        <f>IF(ISNA(VLOOKUP(A82,'Données projet'!$A$87:$I$107,6,0)),0%,VLOOKUP(A82,'Données projet'!$A$87:$I$107,6,0)*VLOOKUP('Données projet'!$B$11,'Paramètres'!$A$1:$I$89,7,0))</f>
        <v>0</v>
      </c>
      <c r="BO82" s="135">
        <f>IF(ISNA(VLOOKUP(A82,'Données projet'!$A$87:$I$107,7,0)),0%,VLOOKUP(A82,'Données projet'!$A$87:$I$107,7,0))</f>
        <v>0</v>
      </c>
      <c r="BP82" s="142">
        <f>EXP(-LN(2)/35)*BP81+(1-EXP(-LN(2)/35))/(LN(2)/35)*BL82*BM82*VLOOKUP('Données projet'!$B$11,'Paramètres'!$A$1:$I$89,3,0)*0.475*44/12</f>
        <v>140.1893079</v>
      </c>
      <c r="BQ82" s="142">
        <f>EXP(-LN(2)/25)*BQ81+(1-EXP(-LN(2)/25))/(LN(2)/25)*Calculateur!BL82*Calculateur!BN82*VLOOKUP('Données projet'!$B$11,'Paramètres'!$A$1:$I$89,3,0)*0.475*44/12</f>
        <v>13.30870588</v>
      </c>
      <c r="BR82" s="142">
        <f>EXP(-LN(2)/2)*BR81+(1-EXP(-LN(2)/2))/(LN(2)/2)*BL82*BO82*VLOOKUP('Données projet'!$B$11,'Paramètres'!$A$1:$I$89,3,0)*0.475*44/12</f>
        <v>0.4877114046</v>
      </c>
      <c r="BS82" s="143">
        <f t="shared" si="10"/>
        <v>153.9857252</v>
      </c>
      <c r="BT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1" t="str">
        <f>VLOOKUP(A82,'Données projet'!$A$113:$I$133,2,0)</f>
        <v>#N/A</v>
      </c>
      <c r="BW82" s="131" t="str">
        <f>VLOOKUP(A82,'Données projet'!$A$113:$I$133,9,0)</f>
        <v>#N/A</v>
      </c>
      <c r="BX82" s="131" t="str">
        <f t="array" ref="BX82">INDEX(BW:BW,MIN(IF(ISNUMBER(BW82:BW278),ROW(BW82:BW278),"")))</f>
        <v/>
      </c>
      <c r="BY82" s="130">
        <f>IF('Données projet'!$A$114&gt;35,BY81+BX82-CG81,IF(A82&lt;'Données projet'!$A$114,$BV$205^A82,IF(A82='Données projet'!$A$114,'Données projet'!$B$114,BY81+BX82-CG81)))</f>
        <v>0</v>
      </c>
      <c r="BZ82" s="130">
        <f>BY82*VLOOKUP('Données projet'!$B$12,'Paramètres'!$A$1:$I$89,3,0)*VLOOKUP('Données projet'!$B$12,'Paramètres'!$A$1:$I$89,5,0)</f>
        <v>0</v>
      </c>
      <c r="CA82" s="130" t="str">
        <f t="shared" si="40"/>
        <v>#NUM!</v>
      </c>
      <c r="CB82" s="141" t="str">
        <f t="shared" si="11"/>
        <v>#NUM!</v>
      </c>
      <c r="CC82" s="133" t="str">
        <f t="shared" si="12"/>
        <v>#NUM!</v>
      </c>
      <c r="CD82" s="133">
        <f>AVERAGE(OFFSET($CC$3,0,0,'Données projet'!$E$12+1,1))-AVERAGE(OFFSET($H$3,0,0,'Données projet'!$E$12+1,1))</f>
        <v>258.1672054</v>
      </c>
      <c r="CE82" s="133">
        <f t="shared" si="41"/>
        <v>296.0724261</v>
      </c>
      <c r="CF82" s="134">
        <f>IF(ISNA(VLOOKUP(A82,'Données projet'!$A$113:$I$133,3,0)),0,VLOOKUP(A82,'Données projet'!$A$113:$I$133,3,0))</f>
        <v>0</v>
      </c>
      <c r="CG82" s="134">
        <f>IF(ISNA(VLOOKUP(A82,'Données projet'!$A$113:$I$133,4,0)),0,VLOOKUP(A82,'Données projet'!$A$113:$I$133,4,0))</f>
        <v>0</v>
      </c>
      <c r="CH82" s="135">
        <f>IF(ISNA(VLOOKUP(A82,'Données projet'!$A$113:$I$133,5,0)),0%,VLOOKUP(A82,'Données projet'!$A$113:$I$133,5,0)*VLOOKUP('Données projet'!$B$12,'Paramètres'!$A$1:$I$89,7,0))</f>
        <v>0</v>
      </c>
      <c r="CI82" s="135">
        <f>IF(ISNA(VLOOKUP(A82,'Données projet'!$A$113:$I$133,6,0)),0%,VLOOKUP(A82,'Données projet'!$A$113:$I$133,6,0)*VLOOKUP('Données projet'!$B$12,'Paramètres'!$A$1:$I$89,7,0))</f>
        <v>0</v>
      </c>
      <c r="CJ82" s="135">
        <f>IF(ISNA(VLOOKUP(A82,'Données projet'!$A$113:$I$133,7,0)),0%,VLOOKUP(A82,'Données projet'!$A$113:$I$133,7,0))</f>
        <v>0</v>
      </c>
      <c r="CK82" s="142">
        <f>EXP(-LN(2)/35)*CK81+(1-EXP(-LN(2)/35))/(LN(2)/35)*CG82*CH82*VLOOKUP('Données projet'!$B$12,'Paramètres'!$A$1:$I$89,3,0)*0.475*44/12</f>
        <v>177.2421708</v>
      </c>
      <c r="CL82" s="142">
        <f>EXP(-LN(2)/25)*CL81+(1-EXP(-LN(2)/25))/(LN(2)/25)*Calculateur!CG82*Calculateur!CI82*VLOOKUP('Données projet'!$B$12,'Paramètres'!$A$1:$I$89,3,0)*0.475*44/12</f>
        <v>23.3442256</v>
      </c>
      <c r="CM82" s="142">
        <f>EXP(-LN(2)/2)*CM81+(1-EXP(-LN(2)/2))/(LN(2)/2)*CG82*CJ82*VLOOKUP('Données projet'!$B$12,'Paramètres'!$A$1:$I$89,3,0)*0.475*44/12</f>
        <v>0.02054670582</v>
      </c>
      <c r="CN82" s="143">
        <f t="shared" si="13"/>
        <v>200.6069431</v>
      </c>
      <c r="CO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1" t="str">
        <f>VLOOKUP(A82,'Données projet'!$A$139:$I$159,2,0)</f>
        <v>#N/A</v>
      </c>
      <c r="CR82" s="131" t="str">
        <f>VLOOKUP(A82,'Données projet'!$A$139:$I$159,9,0)</f>
        <v>#N/A</v>
      </c>
      <c r="CS82" s="130">
        <f t="array" ref="CS82">INDEX(CR:CR,MIN(IF(ISNUMBER(CR82:CR278),ROW(CR82:CR278),"")))</f>
        <v>4.6</v>
      </c>
      <c r="CT82" s="138">
        <f>IF('Données projet'!$A$140&gt;35,CT81+CS82-DB81,IF(A82&lt;'Données projet'!$A$140,$CQ$205^A82,IF(A82='Données projet'!$A$140,'Données projet'!$B$140,CT81+CS82-DB81)))</f>
        <v>187.4</v>
      </c>
      <c r="CU82" s="138">
        <f>CT82*VLOOKUP('Données projet'!$B$13,'Paramètres'!$A$1:$I$89,3,0)*VLOOKUP('Données projet'!$B$13,'Paramètres'!$A$1:$I$89,5,0)</f>
        <v>190.0236</v>
      </c>
      <c r="CV82" s="130">
        <f t="shared" si="42"/>
        <v>47.54517044</v>
      </c>
      <c r="CW82" s="141">
        <f t="shared" si="14"/>
        <v>413.7656085</v>
      </c>
      <c r="CX82" s="133">
        <f t="shared" si="15"/>
        <v>707.0989418</v>
      </c>
      <c r="CY82" s="133">
        <f>AVERAGE(OFFSET($CX$3,0,0,'Données projet'!$E$13+1,1))-AVERAGE(OFFSET($H$3,0,0,'Données projet'!$E$13+1,1))</f>
        <v>223.783507</v>
      </c>
      <c r="CZ82" s="133">
        <f t="shared" si="43"/>
        <v>84.92349117</v>
      </c>
      <c r="DA82" s="134">
        <f>IF(ISNA(VLOOKUP(A82,'Données projet'!$A$139:$I$159,3,0)),0,VLOOKUP(A82,'Données projet'!$A$139:$I$159,3,0))</f>
        <v>0</v>
      </c>
      <c r="DB82" s="134">
        <f>IF(ISNA(VLOOKUP(A82,'Données projet'!$A$139:$I$159,4,0)),0,VLOOKUP(A82,'Données projet'!$A$139:$I$159,4,0))</f>
        <v>0</v>
      </c>
      <c r="DC82" s="135">
        <f>IF(ISNA(VLOOKUP(A82,'Données projet'!$A$139:$I$159,5,0)),0%,VLOOKUP(A82,'Données projet'!$A$139:$I$159,5,0)*VLOOKUP('Données projet'!$B$13,'Paramètres'!$A$1:$I$89,7,0))</f>
        <v>0</v>
      </c>
      <c r="DD82" s="135">
        <f>IF(ISNA(VLOOKUP(A82,'Données projet'!$A$139:$I$159,6,0)),0%,VLOOKUP(A82,'Données projet'!$A$139:$I$159,6,0)*VLOOKUP('Données projet'!$B$13,'Paramètres'!$A$1:$I$89,7,0))</f>
        <v>0</v>
      </c>
      <c r="DE82" s="135">
        <f>IF(ISNA(VLOOKUP(A82,'Données projet'!$A$139:$I$159,7,0)),0%,VLOOKUP(A82,'Données projet'!$A$139:$I$159,7,0))</f>
        <v>0</v>
      </c>
      <c r="DF82" s="142">
        <f>EXP(-LN(2)/35)*DF81+(1-EXP(-LN(2)/35))/(LN(2)/35)*DB82*DC82*VLOOKUP('Données projet'!$B$13,'Paramètres'!$A$1:$I$89,3,0)*0.475*44/12</f>
        <v>11.51772831</v>
      </c>
      <c r="DG82" s="142">
        <f>EXP(-LN(2)/25)*DG81+(1-EXP(-LN(2)/25))/(LN(2)/25)*Calculateur!DB82*Calculateur!DD82*VLOOKUP('Données projet'!$B$13,'Paramètres'!$A$1:$I$89,3,0)*0.475*44/12</f>
        <v>0</v>
      </c>
      <c r="DH82" s="142">
        <f>EXP(-LN(2)/2)*DH81+(1-EXP(-LN(2)/2))/(LN(2)/2)*DB82*DE82*VLOOKUP('Données projet'!$B$13,'Paramètres'!$A$1:$I$89,3,0)*0.475*44/12</f>
        <v>0</v>
      </c>
      <c r="DI82" s="143">
        <f t="shared" si="16"/>
        <v>11.51772831</v>
      </c>
      <c r="DJ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1" t="str">
        <f>VLOOKUP(A82,'Données projet'!$A$165:$I$185,2,0)</f>
        <v>#N/A</v>
      </c>
      <c r="DM82" s="131" t="str">
        <f>VLOOKUP(A82,'Données projet'!$A$165:$I$185,9,0)</f>
        <v>#N/A</v>
      </c>
      <c r="DN82" s="131">
        <f t="array" ref="DN82">INDEX(DM:DM,MIN(IF(ISNUMBER(DM82:DM278),ROW(DM82:DM278),"")))</f>
        <v>6</v>
      </c>
      <c r="DO82" s="138">
        <f>IF('Données projet'!$A$166&gt;35,DO81+DN82-DW81,IF(A82&lt;'Données projet'!$A$166,$DL$205^A82,IF(A82='Données projet'!$A$166,'Données projet'!$B$166,DO81+DN82-DW81)))</f>
        <v>255</v>
      </c>
      <c r="DP82" s="138">
        <f>DO82*VLOOKUP('Données projet'!$B$14,'Paramètres'!$A$1:$I$89,3,0)*VLOOKUP('Données projet'!$B$14,'Paramètres'!$A$1:$I$89,5,0)</f>
        <v>230.724</v>
      </c>
      <c r="DQ82" s="130">
        <f t="shared" si="44"/>
        <v>56.43919861</v>
      </c>
      <c r="DR82" s="141">
        <f t="shared" si="17"/>
        <v>500.1425709</v>
      </c>
      <c r="DS82" s="133">
        <f t="shared" si="18"/>
        <v>793.4759042</v>
      </c>
      <c r="DT82" s="133">
        <f>AVERAGE(OFFSET($DS$3,0,0,'Données projet'!$E$14+1,1))-AVERAGE(OFFSET($H$3,0,0,'Données projet'!$E$14+1,1))</f>
        <v>287.9334714</v>
      </c>
      <c r="DU82" s="133">
        <f t="shared" si="45"/>
        <v>156.6796502</v>
      </c>
      <c r="DV82" s="134">
        <f>IF(ISNA(VLOOKUP(A82,'Données projet'!$A$165:$I$185,3,0)),0,VLOOKUP(A82,'Données projet'!$A$165:$I$185,3,0))</f>
        <v>0</v>
      </c>
      <c r="DW82" s="134">
        <f>IF(ISNA(VLOOKUP(A82,'Données projet'!$A$165:$I$185,4,0)),0,VLOOKUP(A82,'Données projet'!$A$165:$I$185,4,0))</f>
        <v>0</v>
      </c>
      <c r="DX82" s="135">
        <f>IF(ISNA(VLOOKUP(A82,'Données projet'!$A$165:$I$185,5,0)),0%,VLOOKUP(A82,'Données projet'!$A$165:$I$185,5,0)*VLOOKUP('Données projet'!$B$14,'Paramètres'!$A$1:$I$89,7,0))</f>
        <v>0</v>
      </c>
      <c r="DY82" s="135">
        <f>IF(ISNA(VLOOKUP(A82,'Données projet'!$A$165:$I$185,6,0)),0%,VLOOKUP(A82,'Données projet'!$A$165:$I$185,6,0)*VLOOKUP('Données projet'!$B$14,'Paramètres'!$A$1:$I$89,7,0))</f>
        <v>0</v>
      </c>
      <c r="DZ82" s="135">
        <f>IF(ISNA(VLOOKUP(A82,'Données projet'!$A$165:$I$185,7,0)),0%,VLOOKUP(A82,'Données projet'!$A$165:$I$185,7,0))</f>
        <v>0</v>
      </c>
      <c r="EA82" s="142">
        <f>EXP(-LN(2)/35)*EA81+(1-EXP(-LN(2)/35))/(LN(2)/35)*DW82*DX82*VLOOKUP('Données projet'!$B$14,'Paramètres'!$A$1:$I$89,3,0)*0.475*44/12</f>
        <v>18.1347624</v>
      </c>
      <c r="EB82" s="142">
        <f>EXP(-LN(2)/25)*EB81+(1-EXP(-LN(2)/25))/(LN(2)/25)*Calculateur!DW82*Calculateur!DY82*VLOOKUP('Données projet'!$B$14,'Paramètres'!$A$1:$I$89,3,0)*0.475*44/12</f>
        <v>0</v>
      </c>
      <c r="EC82" s="142">
        <f>EXP(-LN(2)/2)*EC81+(1-EXP(-LN(2)/2))/(LN(2)/2)*DW82*DZ82*VLOOKUP('Données projet'!$B$14,'Paramètres'!$A$1:$I$89,3,0)*0.475*44/12</f>
        <v>0</v>
      </c>
      <c r="ED82" s="143">
        <f t="shared" si="19"/>
        <v>18.1347624</v>
      </c>
      <c r="EE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1" t="str">
        <f>VLOOKUP(A82,'Données projet'!$A$191:$I$211,2,0)</f>
        <v>#N/A</v>
      </c>
      <c r="EH82" s="131" t="str">
        <f>VLOOKUP(A82,'Données projet'!$A$191:$I$211,9,0)</f>
        <v>#N/A</v>
      </c>
      <c r="EI82" s="131">
        <f t="array" ref="EI82">INDEX(EH:EH,MIN(IF(ISNUMBER(EH82:EH278),ROW(EH82:EH278),"")))</f>
        <v>7.4</v>
      </c>
      <c r="EJ82" s="138">
        <f>IF('Données projet'!$A$192&gt;35,EJ81+EI82-ER81,IF(A82&lt;'Données projet'!$A$192,$EG$205^A82,IF(A82='Données projet'!$A$192,'Données projet'!$B$192,EJ81+EI82-ER81)))</f>
        <v>262.6</v>
      </c>
      <c r="EK82" s="138">
        <f>EJ82*VLOOKUP('Données projet'!$B$15,'Paramètres'!$A$1:$I$89,3,0)*VLOOKUP('Données projet'!$B$15,'Paramètres'!$A$1:$I$89,5,0)</f>
        <v>192.53832</v>
      </c>
      <c r="EL82" s="130">
        <f t="shared" si="46"/>
        <v>48.10070518</v>
      </c>
      <c r="EM82" s="141">
        <f t="shared" si="20"/>
        <v>419.1129689</v>
      </c>
      <c r="EN82" s="133">
        <f t="shared" si="21"/>
        <v>712.4463022</v>
      </c>
      <c r="EO82" s="133">
        <f>AVERAGE(OFFSET($EN$3,0,0,'Données projet'!$E$15+1,1))-AVERAGE(OFFSET($H$3,0,0,'Données projet'!$E$15+1,1))</f>
        <v>130.3193339</v>
      </c>
      <c r="EP82" s="133">
        <f t="shared" si="47"/>
        <v>82.22784365</v>
      </c>
      <c r="EQ82" s="134">
        <f>IF(ISNA(VLOOKUP(A82,'Données projet'!$A$191:$I$211,3,0)),0,VLOOKUP(A82,'Données projet'!$A$191:$I$211,3,0))</f>
        <v>0</v>
      </c>
      <c r="ER82" s="134">
        <f>IF(ISNA(VLOOKUP(A82,'Données projet'!$A$191:$I$211,4,0)),0,VLOOKUP(A82,'Données projet'!$A$191:$I$211,4,0))</f>
        <v>0</v>
      </c>
      <c r="ES82" s="135">
        <f>IF(ISNA(VLOOKUP(A82,'Données projet'!$A$191:$I$211,5,0)),0%,VLOOKUP(A82,'Données projet'!$A$191:$I$211,5,0)*VLOOKUP('Données projet'!$B$15,'Paramètres'!$A$1:$I$89,7,0))</f>
        <v>0</v>
      </c>
      <c r="ET82" s="135">
        <f>IF(ISNA(VLOOKUP(A82,'Données projet'!$A$191:$I$211,6,0)),0%,VLOOKUP(A82,'Données projet'!$A$191:$I$211,6,0)*VLOOKUP('Données projet'!$B$15,'Paramètres'!$A$1:$I$89,7,0))</f>
        <v>0</v>
      </c>
      <c r="EU82" s="135">
        <f>IF(ISNA(VLOOKUP(A82,'Données projet'!$A$191:$I$211,7,0)),0%,VLOOKUP(A82,'Données projet'!$A$191:$I$211,7,0))</f>
        <v>0</v>
      </c>
      <c r="EV82" s="142">
        <f>EXP(-LN(2)/35)*EV81+(1-EXP(-LN(2)/35))/(LN(2)/35)*ER82*ES82*VLOOKUP('Données projet'!$B$15,'Paramètres'!$A$1:$I$89,3,0)*0.475*44/12</f>
        <v>21.99356518</v>
      </c>
      <c r="EW82" s="142">
        <f>EXP(-LN(2)/25)*EW81+(1-EXP(-LN(2)/25))/(LN(2)/25)*Calculateur!ER82*Calculateur!ET82*VLOOKUP('Données projet'!$B$15,'Paramètres'!$A$1:$I$89,3,0)*0.475*44/12</f>
        <v>0</v>
      </c>
      <c r="EX82" s="142">
        <f>EXP(-LN(2)/2)*EX81+(1-EXP(-LN(2)/2))/(LN(2)/2)*ER82*EU82*VLOOKUP('Données projet'!$B$15,'Paramètres'!$A$1:$I$89,3,0)*0.475*44/12</f>
        <v>0</v>
      </c>
      <c r="EY82" s="143">
        <f t="shared" si="22"/>
        <v>21.99356518</v>
      </c>
      <c r="EZ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1" t="str">
        <f>VLOOKUP(A82,'Données projet'!$A$217:$I$237,2,0)</f>
        <v>#N/A</v>
      </c>
      <c r="FC82" s="131" t="str">
        <f>VLOOKUP(A82,'Données projet'!$A$217:$I$237,9,0)</f>
        <v>#N/A</v>
      </c>
      <c r="FD82" s="131" t="str">
        <f t="array" ref="FD82">INDEX(FC:FC,MIN(IF(ISNUMBER(FC82:FC278),ROW(FC82:FC278),"")))</f>
        <v/>
      </c>
      <c r="FE82" s="130">
        <f>IF('Données projet'!$A$218&gt;35,FE81+FD82-FM81,IF(A82&lt;'Données projet'!$A$218,$FB$205^A82,IF(A82='Données projet'!$A$218,'Données projet'!$B$218,FE81+FD82-FM81)))</f>
        <v>0</v>
      </c>
      <c r="FF82" s="138">
        <f>FE82*VLOOKUP('Données projet'!$B$16,'Paramètres'!$A$1:$I$89,3,0)*VLOOKUP('Données projet'!$B$16,'Paramètres'!$A$1:$I$89,5,0)</f>
        <v>0</v>
      </c>
      <c r="FG82" s="130">
        <f t="shared" si="48"/>
        <v>0</v>
      </c>
      <c r="FH82" s="141">
        <f t="shared" si="23"/>
        <v>0</v>
      </c>
      <c r="FI82" s="133">
        <f t="shared" si="24"/>
        <v>293.3333333</v>
      </c>
      <c r="FJ82" s="133">
        <f>AVERAGE(OFFSET($FI$3,0,0,'Données projet'!$E$16+1,1))-AVERAGE(OFFSET($H$3,0,0,'Données projet'!$E$16+1,1))</f>
        <v>305.6252353</v>
      </c>
      <c r="FK82" s="133">
        <f t="shared" si="49"/>
        <v>331.397916</v>
      </c>
      <c r="FL82" s="134">
        <f>IF(ISNA(VLOOKUP(A82,'Données projet'!$A$217:$I$237,3,0)),0,VLOOKUP(A82,'Données projet'!$A$217:$I$237,3,0))</f>
        <v>0</v>
      </c>
      <c r="FM82" s="134">
        <f>IF(ISNA(VLOOKUP(A82,'Données projet'!$A$217:$I$237,4,0)),0,VLOOKUP(A82,'Données projet'!$A$217:$I$237,4,0))</f>
        <v>0</v>
      </c>
      <c r="FN82" s="135">
        <f>IF(ISNA(VLOOKUP(A82,'Données projet'!$A$217:$I$237,5,0)),0%,VLOOKUP(A82,'Données projet'!$A$217:$I$237,5,0)*VLOOKUP('Données projet'!$B$16,'Paramètres'!$A$1:$I$89,7,0))</f>
        <v>0</v>
      </c>
      <c r="FO82" s="135">
        <f>IF(ISNA(VLOOKUP(A82,'Données projet'!$A$217:$I$237,6,0)),0%,VLOOKUP(A82,'Données projet'!$A$217:$I$237,6,0)*VLOOKUP('Données projet'!$B$16,'Paramètres'!$A$1:$I$89,7,0))</f>
        <v>0</v>
      </c>
      <c r="FP82" s="135">
        <f>IF(ISNA(VLOOKUP(A82,'Données projet'!$A$217:$I$237,7,0)),0%,VLOOKUP(A82,'Données projet'!$A$217:$I$237,7,0))</f>
        <v>0</v>
      </c>
      <c r="FQ82" s="142">
        <f>EXP(-LN(2)/35)*FQ81+(1-EXP(-LN(2)/35))/(LN(2)/35)*FM82*FN82*VLOOKUP('Données projet'!$B$16,'Paramètres'!$A$1:$I$89,3,0)*0.475*44/12</f>
        <v>67.48057766</v>
      </c>
      <c r="FR82" s="142">
        <f>EXP(-LN(2)/25)*FR81+(1-EXP(-LN(2)/25))/(LN(2)/25)*Calculateur!FM82*Calculateur!FO82*VLOOKUP('Données projet'!$B$16,'Paramètres'!$A$1:$I$89,3,0)*0.475*44/12</f>
        <v>0</v>
      </c>
      <c r="FS82" s="142">
        <f>EXP(-LN(2)/2)*FS81+(1-EXP(-LN(2)/2))/(LN(2)/2)*FM82*FP82*VLOOKUP('Données projet'!$B$16,'Paramètres'!$A$1:$I$89,3,0)*0.475*44/12</f>
        <v>0</v>
      </c>
      <c r="FT82" s="143">
        <f t="shared" si="25"/>
        <v>67.48057766</v>
      </c>
      <c r="FU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1" t="str">
        <f>VLOOKUP(A82,'Données projet'!$A$243:$I$263,2,0)</f>
        <v>#N/A</v>
      </c>
      <c r="FX82" s="131" t="str">
        <f>VLOOKUP(A82,'Données projet'!$A$243:$I$263,9,0)</f>
        <v>#N/A</v>
      </c>
      <c r="FY82" s="131" t="str">
        <f t="array" ref="FY82">INDEX(FX:FX,MIN(IF(ISNUMBER(FX82:FX278),ROW(FX82:FX278),"")))</f>
        <v/>
      </c>
      <c r="FZ82" s="138">
        <f>IF('Données projet'!$A$244&gt;35,FZ81+FY82-GH81,IF(A82&lt;'Données projet'!$A$244,$FW$205^A82,IF(A82='Données projet'!$A$244,'Données projet'!$B$244,FZ81+FY82-GH81)))</f>
        <v>0</v>
      </c>
      <c r="GA82" s="138">
        <f>FZ82*VLOOKUP('Données projet'!$B$17,'Paramètres'!$A$1:$I$89,3,0)*VLOOKUP('Données projet'!$B$17,'Paramètres'!$A$1:$I$89,5,0)</f>
        <v>0</v>
      </c>
      <c r="GB82" s="130">
        <f t="shared" si="50"/>
        <v>0</v>
      </c>
      <c r="GC82" s="141">
        <f t="shared" si="26"/>
        <v>0</v>
      </c>
      <c r="GD82" s="133">
        <f t="shared" si="27"/>
        <v>293.3333333</v>
      </c>
      <c r="GE82" s="133">
        <f>AVERAGE(OFFSET($GD$3,0,0,'Données projet'!$E$17+1,1))-AVERAGE(OFFSET($H$3,0,0,'Données projet'!$E$17+1,1))</f>
        <v>118.7368745</v>
      </c>
      <c r="GF82" s="133">
        <f t="shared" si="51"/>
        <v>135.1233677</v>
      </c>
      <c r="GG82" s="134">
        <f>IF(ISNA(VLOOKUP(A82,'Données projet'!$A$243:$I$263,3,0)),0,VLOOKUP(A82,'Données projet'!$A$243:$I$263,3,0))</f>
        <v>0</v>
      </c>
      <c r="GH82" s="134">
        <f>IF(ISNA(VLOOKUP(A82,'Données projet'!$A$243:$I$263,4,0)),0,VLOOKUP(A82,'Données projet'!$A$243:$I$263,4,0))</f>
        <v>0</v>
      </c>
      <c r="GI82" s="135">
        <f>IF(ISNA(VLOOKUP(A82,'Données projet'!$A$243:$I$263,5,0)),0%,VLOOKUP(A82,'Données projet'!$A$243:$I$263,5,0)*VLOOKUP('Données projet'!$B$17,'Paramètres'!$A$1:$I$89,7,0))</f>
        <v>0</v>
      </c>
      <c r="GJ82" s="135">
        <f>IF(ISNA(VLOOKUP(A82,'Données projet'!$A$243:$I$263,6,0)),0%,VLOOKUP(A82,'Données projet'!$A$243:$I$263,6,0)*VLOOKUP('Données projet'!$B$17,'Paramètres'!$A$1:$I$89,7,0))</f>
        <v>0</v>
      </c>
      <c r="GK82" s="135">
        <f>IF(ISNA(VLOOKUP(A82,'Données projet'!$A$243:$I$263,7,0)),0%,VLOOKUP(A82,'Données projet'!$A$243:$I$263,7,0))</f>
        <v>0</v>
      </c>
      <c r="GL82" s="142">
        <f>EXP(-LN(2)/35)*GL81+(1-EXP(-LN(2)/35))/(LN(2)/35)*GH82*GI82*VLOOKUP('Données projet'!$B$17,'Paramètres'!$A$1:$I$89,3,0)*0.475*44/12</f>
        <v>71.29302161</v>
      </c>
      <c r="GM82" s="142">
        <f>EXP(-LN(2)/25)*GM81+(1-EXP(-LN(2)/25))/(LN(2)/25)*Calculateur!GH82*Calculateur!GJ82*VLOOKUP('Données projet'!$B$17,'Paramètres'!$A$1:$I$89,3,0)*0.475*44/12</f>
        <v>0</v>
      </c>
      <c r="GN82" s="142">
        <f>EXP(-LN(2)/2)*GN81+(1-EXP(-LN(2)/2))/(LN(2)/2)*GH82*GK82*VLOOKUP('Données projet'!$B$17,'Paramètres'!$A$1:$I$89,3,0)*0.475*44/12</f>
        <v>0</v>
      </c>
      <c r="GO82" s="142">
        <f t="shared" si="28"/>
        <v>71.29302161</v>
      </c>
      <c r="GP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1" t="str">
        <f>VLOOKUP(A82,'Données projet'!$A$269:$I$289,2,0)</f>
        <v>#N/A</v>
      </c>
      <c r="GS82" s="131" t="str">
        <f>VLOOKUP(A82,'Données projet'!$A$269:$I$289,9,0)</f>
        <v>#N/A</v>
      </c>
      <c r="GT82" s="131" t="str">
        <f t="array" ref="GT82">INDEX(GS:GS,MIN(IF(ISNUMBER(GS82:GS278),ROW(GS82:GS278),"")))</f>
        <v/>
      </c>
      <c r="GU82" s="138">
        <f>IF('Données projet'!$A$270&gt;35,GU81+GT82-HC81,IF(A82&lt;'Données projet'!$A$270,$GR$205^A82,IF(A82='Données projet'!$A$270,'Données projet'!$B$270,GU81+GT82-HC81)))</f>
        <v>0</v>
      </c>
      <c r="GV82" s="138">
        <f>GU82*VLOOKUP('Données projet'!$B$18,'Paramètres'!$A$1:$I$89,3,0)*VLOOKUP('Données projet'!$B$18,'Paramètres'!$A$1:$I$89,5,0)</f>
        <v>0</v>
      </c>
      <c r="GW82" s="130" t="str">
        <f t="shared" si="52"/>
        <v>#NUM!</v>
      </c>
      <c r="GX82" s="141" t="str">
        <f t="shared" si="29"/>
        <v>#NUM!</v>
      </c>
      <c r="GY82" s="133" t="str">
        <f t="shared" si="30"/>
        <v>#NUM!</v>
      </c>
      <c r="GZ82" s="133">
        <f>AVERAGE(OFFSET($GY$3,0,0,'Données projet'!$E$18+1,1))-AVERAGE(OFFSET($H$3,0,0,'Données projet'!$E$18+1,1))</f>
        <v>100.5427875</v>
      </c>
      <c r="HA82" s="133">
        <f t="shared" si="53"/>
        <v>92.28663609</v>
      </c>
      <c r="HB82" s="134">
        <f>IF(ISNA(VLOOKUP(A82,'Données projet'!$A$269:$I$289,3,0)),0,VLOOKUP(A82,'Données projet'!$A$269:$I$289,3,0))</f>
        <v>0</v>
      </c>
      <c r="HC82" s="134">
        <f>IF(ISNA(VLOOKUP(A82,'Données projet'!$A$269:$I$289,4,0)),0,VLOOKUP(A82,'Données projet'!$A$269:$I$289,4,0))</f>
        <v>0</v>
      </c>
      <c r="HD82" s="135">
        <f>IF(ISNA(VLOOKUP(A82,'Données projet'!$A$269:$I$289,5,0)),0%,VLOOKUP(A82,'Données projet'!$A$269:$I$289,5,0)*VLOOKUP('Données projet'!$B$18,'Paramètres'!$A$1:$I$89,7,0))</f>
        <v>0</v>
      </c>
      <c r="HE82" s="135">
        <f>IF(ISNA(VLOOKUP(A82,'Données projet'!$A$269:$I$289,6,0)),0%,VLOOKUP(A82,'Données projet'!$A$269:$I$289,6,0)*VLOOKUP('Données projet'!$B$18,'Paramètres'!$A$1:$I$89,7,0))</f>
        <v>0</v>
      </c>
      <c r="HF82" s="135">
        <f>IF(ISNA(VLOOKUP(A82,'Données projet'!$A$269:$I$289,7,0)),0%,VLOOKUP(A82,'Données projet'!$A$269:$I$289,7,0))</f>
        <v>0</v>
      </c>
      <c r="HG82" s="142">
        <f>EXP(-LN(2)/35)*HG81+(1-EXP(-LN(2)/35))/(LN(2)/35)*HC82*HD82*VLOOKUP('Données projet'!$B$18,'Paramètres'!$A$1:$I$89,3,0)*0.475*44/12</f>
        <v>48.54904371</v>
      </c>
      <c r="HH82" s="142">
        <f>EXP(-LN(2)/25)*HH81+(1-EXP(-LN(2)/25))/(LN(2)/25)*Calculateur!HC82*Calculateur!HE82*VLOOKUP('Données projet'!$B$18,'Paramètres'!$A$1:$I$89,3,0)*0.475*44/12</f>
        <v>0</v>
      </c>
      <c r="HI82" s="142">
        <f>EXP(-LN(2)/2)*HI81+(1-EXP(-LN(2)/2))/(LN(2)/2)*HC82*HF82*VLOOKUP('Données projet'!$B$18,'Paramètres'!$A$1:$I$89,3,0)*0.475*44/12</f>
        <v>0</v>
      </c>
      <c r="HJ82" s="143">
        <f t="shared" si="31"/>
        <v>48.54904371</v>
      </c>
    </row>
    <row r="83" ht="15.75" customHeight="1">
      <c r="A83" s="125">
        <f t="shared" si="32"/>
        <v>80</v>
      </c>
      <c r="B83" s="126">
        <f>'Scénario référence'!$B$16*5+'Scénario référence'!$B$17*0+'Scénario référence'!$B$18*5</f>
        <v>0</v>
      </c>
      <c r="C83" s="140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43.68</v>
      </c>
      <c r="D83" s="127">
        <f t="shared" si="33"/>
        <v>12.96897928</v>
      </c>
      <c r="E8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7">
        <f>IF(OR('Scénario référence'!$F$8&gt;0,'Scénario référence'!$F$9&gt;0),('Scénario référence'!$F$8+'Scénario référence'!$F$9)*10,0)</f>
        <v>10</v>
      </c>
      <c r="G83" s="127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437.2903664</v>
      </c>
      <c r="H83" s="128">
        <f t="shared" si="1"/>
        <v>391.9969722</v>
      </c>
      <c r="I83" s="12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1" t="str">
        <f>VLOOKUP(A83,'Données projet'!$A$35:$I$55,2,0)</f>
        <v>#N/A</v>
      </c>
      <c r="L83" s="131" t="str">
        <f>VLOOKUP(A83,'Données projet'!$A$35:$I$55,9,0)</f>
        <v>#N/A</v>
      </c>
      <c r="M83" s="131" t="str">
        <f t="array" ref="M83">INDEX(L:L,MIN(IF(ISNUMBER(L83:L279),ROW(L83:L279),"")))</f>
        <v/>
      </c>
      <c r="N83" s="130">
        <f>IF('Données projet'!$A$36&gt;35,N82+M83-V82,IF(A83&lt;'Données projet'!$A$36,$K$205^A83,IF(A83='Données projet'!$A$36,'Données projet'!$B$36,N82+M83-V82)))</f>
        <v>0</v>
      </c>
      <c r="O83" s="130">
        <f>N83*VLOOKUP('Données projet'!$B$9,'Paramètres'!$A$1:$I$89,3,0)*VLOOKUP('Données projet'!$B$9,'Paramètres'!$A$1:$I$89,5,0)</f>
        <v>0</v>
      </c>
      <c r="P83" s="130">
        <f t="shared" si="34"/>
        <v>0</v>
      </c>
      <c r="Q83" s="141">
        <f t="shared" si="2"/>
        <v>0</v>
      </c>
      <c r="R83" s="133">
        <f t="shared" si="3"/>
        <v>293.3333333</v>
      </c>
      <c r="S83" s="133">
        <f>AVERAGE(OFFSET($R$3,0,0,'Données projet'!$E$9+1,1))-AVERAGE(OFFSET($H$3,0,0,'Données projet'!$E$9+1,1))</f>
        <v>126.9946492</v>
      </c>
      <c r="T83" s="133">
        <f t="shared" si="35"/>
        <v>140.039049</v>
      </c>
      <c r="U83" s="134">
        <f>IF(ISNA(VLOOKUP(A83,'Données projet'!$A$35:$I$55,3,0)),0,VLOOKUP(A83,'Données projet'!$A$35:$I$55,3,0))</f>
        <v>0</v>
      </c>
      <c r="V83" s="134">
        <f>IF(ISNA(VLOOKUP(A83,'Données projet'!$A$35:$I$55,4,0)),0,VLOOKUP(A83,'Données projet'!$A$35:$I$55,4,0))</f>
        <v>0</v>
      </c>
      <c r="W83" s="135">
        <f>IF(ISNA(VLOOKUP(A83,'Données projet'!$A$35:$I$55,5,0)),0%,VLOOKUP(A83,'Données projet'!$A$35:$I$55,5,0)*VLOOKUP('Données projet'!$B$9,'Paramètres'!$A$1:$I$89,7,0))</f>
        <v>0</v>
      </c>
      <c r="X83" s="135">
        <f>IF(ISNA(VLOOKUP(A83,'Données projet'!$A$35:$I$55,6,0)),0%,VLOOKUP(A83,'Données projet'!$A$35:$I$55,6,0)*VLOOKUP('Données projet'!$B$9,'Paramètres'!$A$1:$I$89,7,0))</f>
        <v>0</v>
      </c>
      <c r="Y83" s="135">
        <f>IF(ISNA(VLOOKUP(A83,'Données projet'!$A$35:$I$55,7,0)),0%,VLOOKUP(A83,'Données projet'!$A$35:$I$55,7,0))</f>
        <v>0</v>
      </c>
      <c r="Z83" s="142">
        <f>EXP(-LN(2)/35)*Z82+(1-EXP(-LN(2)/35))/(LN(2)/35)*V83*W83*VLOOKUP('Données projet'!$B$9,'Paramètres'!$A$1:$I$89,3,0)*0.475*44/12</f>
        <v>71.48703528</v>
      </c>
      <c r="AA83" s="142">
        <f>EXP(-LN(2)/25)*AA82+(1-EXP(-LN(2)/25))/(LN(2)/25)*Calculateur!V83*Calculateur!X83*VLOOKUP('Données projet'!$B$9,'Paramètres'!$A$1:$I$89,3,0)*0.475*44/12</f>
        <v>13.34709802</v>
      </c>
      <c r="AB83" s="142">
        <f>EXP(-LN(2)/2)*AB82+(1-EXP(-LN(2)/2))/(LN(2)/2)*V83*Y83*VLOOKUP('Données projet'!$B$9,'Paramètres'!$A$1:$I$89,3,0)*0.475*44/12</f>
        <v>0.01854430782</v>
      </c>
      <c r="AC83" s="143">
        <f t="shared" si="4"/>
        <v>84.8526776</v>
      </c>
      <c r="AD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1" t="str">
        <f>VLOOKUP(A83,'Données projet'!$A$61:$I$81,2,0)</f>
        <v>#N/A</v>
      </c>
      <c r="AG83" s="131" t="str">
        <f>VLOOKUP(A83,'Données projet'!$A$61:$I$81,9,0)</f>
        <v>#N/A</v>
      </c>
      <c r="AH83" s="131" t="str">
        <f t="array" ref="AH83">INDEX(AG:AG,MIN(IF(ISNUMBER(AG83:AG279),ROW(AG83:AG279),"")))</f>
        <v/>
      </c>
      <c r="AI83" s="130">
        <f>IF('Données projet'!$A$62&gt;35,AI82+AH83-AQ82,IF(A83&lt;'Données projet'!$A$62,$AF$205^A83,IF(A83='Données projet'!$A$62,'Données projet'!$B$62,AI82+AH83-AQ82)))</f>
        <v>0</v>
      </c>
      <c r="AJ83" s="130">
        <f>AI83*VLOOKUP('Données projet'!$B$10,'Paramètres'!$A$1:$I$89,3,0)*VLOOKUP('Données projet'!$B$10,'Paramètres'!$A$1:$I$89,5,0)</f>
        <v>0</v>
      </c>
      <c r="AK83" s="130" t="str">
        <f t="shared" si="36"/>
        <v>#NUM!</v>
      </c>
      <c r="AL83" s="141" t="str">
        <f t="shared" si="5"/>
        <v>#NUM!</v>
      </c>
      <c r="AM83" s="133" t="str">
        <f t="shared" si="6"/>
        <v>#NUM!</v>
      </c>
      <c r="AN83" s="133">
        <f>AVERAGE(OFFSET($AM$3,0,0,'Données projet'!$E$10+1,1))-AVERAGE(OFFSET($H$3,0,0,'Données projet'!$E$10+1,1))</f>
        <v>196.874484</v>
      </c>
      <c r="AO83" s="133">
        <f t="shared" si="37"/>
        <v>217.5750859</v>
      </c>
      <c r="AP83" s="134">
        <f>IF(ISNA(VLOOKUP(A83,'Données projet'!$A$61:$I$81,3,0)),0,VLOOKUP(A83,'Données projet'!$A$61:$I$81,3,0))</f>
        <v>0</v>
      </c>
      <c r="AQ83" s="134">
        <f>IF(ISNA(VLOOKUP(A83,'Données projet'!$A$61:$I$81,4,0)),0,VLOOKUP(A83,'Données projet'!$A$61:$I$81,4,0))</f>
        <v>0</v>
      </c>
      <c r="AR83" s="135">
        <f>IF(ISNA(VLOOKUP(A83,'Données projet'!$A$61:$I$81,5,0)),0%,VLOOKUP(A83,'Données projet'!$A$61:$I$81,5,0)*VLOOKUP('Données projet'!$B$10,'Paramètres'!$A$1:$I$89,7,0))</f>
        <v>0</v>
      </c>
      <c r="AS83" s="135">
        <f>IF(ISNA(VLOOKUP(A83,'Données projet'!$A$61:$I$81,6,0)),0%,VLOOKUP(A83,'Données projet'!$A$61:$I$81,6,0)*VLOOKUP('Données projet'!$B$10,'Paramètres'!$A$1:$I$89,7,0))</f>
        <v>0</v>
      </c>
      <c r="AT83" s="135">
        <f>IF(ISNA(VLOOKUP(A83,'Données projet'!$A$61:$I$81,7,0)),0%,VLOOKUP(A83,'Données projet'!$A$61:$I$81,7,0))</f>
        <v>0</v>
      </c>
      <c r="AU83" s="142">
        <f>EXP(-LN(2)/35)*AU82+(1-EXP(-LN(2)/35))/(LN(2)/35)*AQ83*AR83*VLOOKUP('Données projet'!$B$10,'Paramètres'!$A$1:$I$89,3,0)*0.475*44/12</f>
        <v>99.36494853</v>
      </c>
      <c r="AV83" s="142">
        <f>EXP(-LN(2)/25)*AV82+(1-EXP(-LN(2)/25))/(LN(2)/25)*Calculateur!AQ83*Calculateur!AS83*VLOOKUP('Données projet'!$B$10,'Paramètres'!$A$1:$I$89,3,0)*0.475*44/12</f>
        <v>20.52118103</v>
      </c>
      <c r="AW83" s="142">
        <f>EXP(-LN(2)/2)*AW82+(1-EXP(-LN(2)/2))/(LN(2)/2)*AQ83*AT83*VLOOKUP('Données projet'!$B$10,'Paramètres'!$A$1:$I$89,3,0)*0.475*44/12</f>
        <v>0.02585465861</v>
      </c>
      <c r="AX83" s="142">
        <f t="shared" si="7"/>
        <v>119.9119842</v>
      </c>
      <c r="AY83" s="13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1" t="str">
        <f>VLOOKUP(A83,'Données projet'!$A$87:$I$107,2,0)</f>
        <v>#N/A</v>
      </c>
      <c r="BB83" s="131" t="str">
        <f>VLOOKUP(A83,'Données projet'!$A$87:$I$107,9,0)</f>
        <v>#N/A</v>
      </c>
      <c r="BC83" s="131" t="str">
        <f t="array" ref="BC83">INDEX(BB:BB,MIN(IF(ISNUMBER(BB83:BB279),ROW(BB83:BB279),"")))</f>
        <v/>
      </c>
      <c r="BD83" s="130">
        <f>IF('Données projet'!$A$88&gt;35,BD82+BC83-BL82,IF(A83&lt;'Données projet'!$A$88,$BA$205^A83,IF(A83='Données projet'!$A$88,'Données projet'!$B$88,BD82+BC83-BL82)))</f>
        <v>0</v>
      </c>
      <c r="BE83" s="130">
        <f>BD83*VLOOKUP('Données projet'!$B$11,'Paramètres'!$A$1:$I$89,3,0)*VLOOKUP('Données projet'!$B$11,'Paramètres'!$A$1:$I$89,5,0)</f>
        <v>0</v>
      </c>
      <c r="BF83" s="130" t="str">
        <f t="shared" si="38"/>
        <v>#NUM!</v>
      </c>
      <c r="BG83" s="141" t="str">
        <f t="shared" si="8"/>
        <v>#NUM!</v>
      </c>
      <c r="BH83" s="133" t="str">
        <f t="shared" si="9"/>
        <v>#NUM!</v>
      </c>
      <c r="BI83" s="133">
        <f>AVERAGE(OFFSET($BH$3,0,0,'Données projet'!$E$11+1,1))-AVERAGE(OFFSET($H$3,0,0,'Données projet'!$E$11+1,1))</f>
        <v>134.0948534</v>
      </c>
      <c r="BJ83" s="133">
        <f t="shared" si="39"/>
        <v>108.4102536</v>
      </c>
      <c r="BK83" s="134">
        <f>IF(ISNA(VLOOKUP(A83,'Données projet'!$A$87:$I$107,3,0)),0,VLOOKUP(A83,'Données projet'!$A$87:$I$107,3,0))</f>
        <v>0</v>
      </c>
      <c r="BL83" s="142">
        <f>IF(ISNA(VLOOKUP(A83,'Données projet'!$A$87:$I$107,4,0)),0,VLOOKUP(A83,'Données projet'!$A$87:$I$107,4,0))</f>
        <v>0</v>
      </c>
      <c r="BM83" s="135">
        <f>IF(ISNA(VLOOKUP(A83,'Données projet'!$A$87:$I$107,5,0)),0%,VLOOKUP(A83,'Données projet'!$A$87:$I$107,5,0)*VLOOKUP('Données projet'!$B$11,'Paramètres'!$A$1:$I$89,7,0))</f>
        <v>0</v>
      </c>
      <c r="BN83" s="135">
        <f>IF(ISNA(VLOOKUP(A83,'Données projet'!$A$87:$I$107,6,0)),0%,VLOOKUP(A83,'Données projet'!$A$87:$I$107,6,0)*VLOOKUP('Données projet'!$B$11,'Paramètres'!$A$1:$I$89,7,0))</f>
        <v>0</v>
      </c>
      <c r="BO83" s="135">
        <f>IF(ISNA(VLOOKUP(A83,'Données projet'!$A$87:$I$107,7,0)),0%,VLOOKUP(A83,'Données projet'!$A$87:$I$107,7,0))</f>
        <v>0</v>
      </c>
      <c r="BP83" s="142">
        <f>EXP(-LN(2)/35)*BP82+(1-EXP(-LN(2)/35))/(LN(2)/35)*BL83*BM83*VLOOKUP('Données projet'!$B$11,'Paramètres'!$A$1:$I$89,3,0)*0.475*44/12</f>
        <v>137.4402811</v>
      </c>
      <c r="BQ83" s="142">
        <f>EXP(-LN(2)/25)*BQ82+(1-EXP(-LN(2)/25))/(LN(2)/25)*Calculateur!BL83*Calculateur!BN83*VLOOKUP('Données projet'!$B$11,'Paramètres'!$A$1:$I$89,3,0)*0.475*44/12</f>
        <v>12.94477861</v>
      </c>
      <c r="BR83" s="142">
        <f>EXP(-LN(2)/2)*BR82+(1-EXP(-LN(2)/2))/(LN(2)/2)*BL83*BO83*VLOOKUP('Données projet'!$B$11,'Paramètres'!$A$1:$I$89,3,0)*0.475*44/12</f>
        <v>0.3448640414</v>
      </c>
      <c r="BS83" s="143">
        <f t="shared" si="10"/>
        <v>150.7299237</v>
      </c>
      <c r="BT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1" t="str">
        <f>VLOOKUP(A83,'Données projet'!$A$113:$I$133,2,0)</f>
        <v>#N/A</v>
      </c>
      <c r="BW83" s="131" t="str">
        <f>VLOOKUP(A83,'Données projet'!$A$113:$I$133,9,0)</f>
        <v>#N/A</v>
      </c>
      <c r="BX83" s="131" t="str">
        <f t="array" ref="BX83">INDEX(BW:BW,MIN(IF(ISNUMBER(BW83:BW279),ROW(BW83:BW279),"")))</f>
        <v/>
      </c>
      <c r="BY83" s="130">
        <f>IF('Données projet'!$A$114&gt;35,BY82+BX83-CG82,IF(A83&lt;'Données projet'!$A$114,$BV$205^A83,IF(A83='Données projet'!$A$114,'Données projet'!$B$114,BY82+BX83-CG82)))</f>
        <v>0</v>
      </c>
      <c r="BZ83" s="130">
        <f>BY83*VLOOKUP('Données projet'!$B$12,'Paramètres'!$A$1:$I$89,3,0)*VLOOKUP('Données projet'!$B$12,'Paramètres'!$A$1:$I$89,5,0)</f>
        <v>0</v>
      </c>
      <c r="CA83" s="130" t="str">
        <f t="shared" si="40"/>
        <v>#NUM!</v>
      </c>
      <c r="CB83" s="141" t="str">
        <f t="shared" si="11"/>
        <v>#NUM!</v>
      </c>
      <c r="CC83" s="133" t="str">
        <f t="shared" si="12"/>
        <v>#NUM!</v>
      </c>
      <c r="CD83" s="133">
        <f>AVERAGE(OFFSET($CC$3,0,0,'Données projet'!$E$12+1,1))-AVERAGE(OFFSET($H$3,0,0,'Données projet'!$E$12+1,1))</f>
        <v>258.1672054</v>
      </c>
      <c r="CE83" s="133">
        <f t="shared" si="41"/>
        <v>296.0724261</v>
      </c>
      <c r="CF83" s="134">
        <f>IF(ISNA(VLOOKUP(A83,'Données projet'!$A$113:$I$133,3,0)),0,VLOOKUP(A83,'Données projet'!$A$113:$I$133,3,0))</f>
        <v>0</v>
      </c>
      <c r="CG83" s="134">
        <f>IF(ISNA(VLOOKUP(A83,'Données projet'!$A$113:$I$133,4,0)),0,VLOOKUP(A83,'Données projet'!$A$113:$I$133,4,0))</f>
        <v>0</v>
      </c>
      <c r="CH83" s="135">
        <f>IF(ISNA(VLOOKUP(A83,'Données projet'!$A$113:$I$133,5,0)),0%,VLOOKUP(A83,'Données projet'!$A$113:$I$133,5,0)*VLOOKUP('Données projet'!$B$12,'Paramètres'!$A$1:$I$89,7,0))</f>
        <v>0</v>
      </c>
      <c r="CI83" s="135">
        <f>IF(ISNA(VLOOKUP(A83,'Données projet'!$A$113:$I$133,6,0)),0%,VLOOKUP(A83,'Données projet'!$A$113:$I$133,6,0)*VLOOKUP('Données projet'!$B$12,'Paramètres'!$A$1:$I$89,7,0))</f>
        <v>0</v>
      </c>
      <c r="CJ83" s="135">
        <f>IF(ISNA(VLOOKUP(A83,'Données projet'!$A$113:$I$133,7,0)),0%,VLOOKUP(A83,'Données projet'!$A$113:$I$133,7,0))</f>
        <v>0</v>
      </c>
      <c r="CK83" s="142">
        <f>EXP(-LN(2)/35)*CK82+(1-EXP(-LN(2)/35))/(LN(2)/35)*CG83*CH83*VLOOKUP('Données projet'!$B$12,'Paramètres'!$A$1:$I$89,3,0)*0.475*44/12</f>
        <v>173.76656</v>
      </c>
      <c r="CL83" s="142">
        <f>EXP(-LN(2)/25)*CL82+(1-EXP(-LN(2)/25))/(LN(2)/25)*Calculateur!CG83*Calculateur!CI83*VLOOKUP('Données projet'!$B$12,'Paramètres'!$A$1:$I$89,3,0)*0.475*44/12</f>
        <v>22.70587653</v>
      </c>
      <c r="CM83" s="142">
        <f>EXP(-LN(2)/2)*CM82+(1-EXP(-LN(2)/2))/(LN(2)/2)*CG83*CJ83*VLOOKUP('Données projet'!$B$12,'Paramètres'!$A$1:$I$89,3,0)*0.475*44/12</f>
        <v>0.01452871502</v>
      </c>
      <c r="CN83" s="143">
        <f t="shared" si="13"/>
        <v>196.4869652</v>
      </c>
      <c r="CO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8">
        <f>VLOOKUP(A83,'Données projet'!$A$139:$I$159,2,0)</f>
        <v>192</v>
      </c>
      <c r="CR83" s="130">
        <f>VLOOKUP(A83,'Données projet'!$A$139:$I$159,9,0)</f>
        <v>4.6</v>
      </c>
      <c r="CS83" s="130">
        <f t="array" ref="CS83">INDEX(CR:CR,MIN(IF(ISNUMBER(CR83:CR279),ROW(CR83:CR279),"")))</f>
        <v>4.6</v>
      </c>
      <c r="CT83" s="138">
        <f>IF('Données projet'!$A$140&gt;35,CT82+CS83-DB82,IF(A83&lt;'Données projet'!$A$140,$CQ$205^A83,IF(A83='Données projet'!$A$140,'Données projet'!$B$140,CT82+CS83-DB82)))</f>
        <v>192</v>
      </c>
      <c r="CU83" s="138">
        <f>CT83*VLOOKUP('Données projet'!$B$13,'Paramètres'!$A$1:$I$89,3,0)*VLOOKUP('Données projet'!$B$13,'Paramètres'!$A$1:$I$89,5,0)</f>
        <v>194.688</v>
      </c>
      <c r="CV83" s="130">
        <f t="shared" si="42"/>
        <v>48.57492823</v>
      </c>
      <c r="CW83" s="141">
        <f t="shared" si="14"/>
        <v>423.6829333</v>
      </c>
      <c r="CX83" s="133">
        <f t="shared" si="15"/>
        <v>717.0162667</v>
      </c>
      <c r="CY83" s="133">
        <f>AVERAGE(OFFSET($CX$3,0,0,'Données projet'!$E$13+1,1))-AVERAGE(OFFSET($H$3,0,0,'Données projet'!$E$13+1,1))</f>
        <v>223.783507</v>
      </c>
      <c r="CZ83" s="133">
        <f t="shared" si="43"/>
        <v>84.92349117</v>
      </c>
      <c r="DA83" s="134">
        <f>IF(ISNA(VLOOKUP(A83,'Données projet'!$A$139:$I$159,3,0)),0,VLOOKUP(A83,'Données projet'!$A$139:$I$159,3,0))</f>
        <v>12</v>
      </c>
      <c r="DB83" s="144">
        <f>IF(ISNA(VLOOKUP(A83,'Données projet'!$A$139:$I$159,4,0)),0,VLOOKUP(A83,'Données projet'!$A$139:$I$159,4,0))</f>
        <v>14</v>
      </c>
      <c r="DC83" s="135">
        <f>IF(ISNA(VLOOKUP(A83,'Données projet'!$A$139:$I$159,5,0)),0%,VLOOKUP(A83,'Données projet'!$A$139:$I$159,5,0)*VLOOKUP('Données projet'!$B$13,'Paramètres'!$A$1:$I$89,7,0))</f>
        <v>0.215</v>
      </c>
      <c r="DD83" s="135">
        <f>IF(ISNA(VLOOKUP(A83,'Données projet'!$A$139:$I$159,6,0)),0%,VLOOKUP(A83,'Données projet'!$A$139:$I$159,6,0)*VLOOKUP('Données projet'!$B$13,'Paramètres'!$A$1:$I$89,7,0))</f>
        <v>0</v>
      </c>
      <c r="DE83" s="135" t="str">
        <f>IF(ISNA(VLOOKUP(A83,'Données projet'!$A$139:$I$159,7,0)),0%,VLOOKUP(A83,'Données projet'!$A$139:$I$159,7,0))</f>
        <v/>
      </c>
      <c r="DF83" s="142">
        <f>EXP(-LN(2)/35)*DF82+(1-EXP(-LN(2)/35))/(LN(2)/35)*DB83*DC83*VLOOKUP('Données projet'!$B$13,'Paramètres'!$A$1:$I$89,3,0)*0.475*44/12</f>
        <v>14.66592305</v>
      </c>
      <c r="DG83" s="142">
        <f>EXP(-LN(2)/25)*DG82+(1-EXP(-LN(2)/25))/(LN(2)/25)*Calculateur!DB83*Calculateur!DD83*VLOOKUP('Données projet'!$B$13,'Paramètres'!$A$1:$I$89,3,0)*0.475*44/12</f>
        <v>0</v>
      </c>
      <c r="DH83" s="142">
        <f>EXP(-LN(2)/2)*DH82+(1-EXP(-LN(2)/2))/(LN(2)/2)*DB83*DE83*VLOOKUP('Données projet'!$B$13,'Paramètres'!$A$1:$I$89,3,0)*0.475*44/12</f>
        <v>0</v>
      </c>
      <c r="DI83" s="143">
        <f t="shared" si="16"/>
        <v>14.66592305</v>
      </c>
      <c r="DJ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8">
        <f>VLOOKUP(A83,'Données projet'!$A$165:$I$185,2,0)</f>
        <v>261</v>
      </c>
      <c r="DM83" s="131">
        <f>VLOOKUP(A83,'Données projet'!$A$165:$I$185,9,0)</f>
        <v>6</v>
      </c>
      <c r="DN83" s="131">
        <f t="array" ref="DN83">INDEX(DM:DM,MIN(IF(ISNUMBER(DM83:DM279),ROW(DM83:DM279),"")))</f>
        <v>6</v>
      </c>
      <c r="DO83" s="138">
        <f>IF('Données projet'!$A$166&gt;35,DO82+DN83-DW82,IF(A83&lt;'Données projet'!$A$166,$DL$205^A83,IF(A83='Données projet'!$A$166,'Données projet'!$B$166,DO82+DN83-DW82)))</f>
        <v>261</v>
      </c>
      <c r="DP83" s="138">
        <f>DO83*VLOOKUP('Données projet'!$B$14,'Paramètres'!$A$1:$I$89,3,0)*VLOOKUP('Données projet'!$B$14,'Paramètres'!$A$1:$I$89,5,0)</f>
        <v>236.1528</v>
      </c>
      <c r="DQ83" s="130">
        <f t="shared" si="44"/>
        <v>57.61100977</v>
      </c>
      <c r="DR83" s="141">
        <f t="shared" si="17"/>
        <v>511.6386354</v>
      </c>
      <c r="DS83" s="133">
        <f t="shared" si="18"/>
        <v>804.9719687</v>
      </c>
      <c r="DT83" s="133">
        <f>AVERAGE(OFFSET($DS$3,0,0,'Données projet'!$E$14+1,1))-AVERAGE(OFFSET($H$3,0,0,'Données projet'!$E$14+1,1))</f>
        <v>287.9334714</v>
      </c>
      <c r="DU83" s="133">
        <f t="shared" si="45"/>
        <v>156.6796502</v>
      </c>
      <c r="DV83" s="134">
        <f>IF(ISNA(VLOOKUP(A83,'Données projet'!$A$165:$I$185,3,0)),0,VLOOKUP(A83,'Données projet'!$A$165:$I$185,3,0))</f>
        <v>13</v>
      </c>
      <c r="DW83" s="144">
        <f>IF(ISNA(VLOOKUP(A83,'Données projet'!$A$165:$I$185,4,0)),0,VLOOKUP(A83,'Données projet'!$A$165:$I$185,4,0))</f>
        <v>21</v>
      </c>
      <c r="DX83" s="135">
        <f>IF(ISNA(VLOOKUP(A83,'Données projet'!$A$165:$I$185,5,0)),0%,VLOOKUP(A83,'Données projet'!$A$165:$I$185,5,0)*VLOOKUP('Données projet'!$B$14,'Paramètres'!$A$1:$I$89,7,0))</f>
        <v>0.258</v>
      </c>
      <c r="DY83" s="135">
        <f>IF(ISNA(VLOOKUP(A83,'Données projet'!$A$165:$I$185,6,0)),0%,VLOOKUP(A83,'Données projet'!$A$165:$I$185,6,0)*VLOOKUP('Données projet'!$B$14,'Paramètres'!$A$1:$I$89,7,0))</f>
        <v>0</v>
      </c>
      <c r="DZ83" s="135" t="str">
        <f>IF(ISNA(VLOOKUP(A83,'Données projet'!$A$165:$I$185,7,0)),0%,VLOOKUP(A83,'Données projet'!$A$165:$I$185,7,0))</f>
        <v/>
      </c>
      <c r="EA83" s="142">
        <f>EXP(-LN(2)/35)*EA82+(1-EXP(-LN(2)/35))/(LN(2)/35)*DW83*DX83*VLOOKUP('Données projet'!$B$14,'Paramètres'!$A$1:$I$89,3,0)*0.475*44/12</f>
        <v>23.19839474</v>
      </c>
      <c r="EB83" s="142">
        <f>EXP(-LN(2)/25)*EB82+(1-EXP(-LN(2)/25))/(LN(2)/25)*Calculateur!DW83*Calculateur!DY83*VLOOKUP('Données projet'!$B$14,'Paramètres'!$A$1:$I$89,3,0)*0.475*44/12</f>
        <v>0</v>
      </c>
      <c r="EC83" s="142">
        <f>EXP(-LN(2)/2)*EC82+(1-EXP(-LN(2)/2))/(LN(2)/2)*DW83*DZ83*VLOOKUP('Données projet'!$B$14,'Paramètres'!$A$1:$I$89,3,0)*0.475*44/12</f>
        <v>0</v>
      </c>
      <c r="ED83" s="143">
        <f t="shared" si="19"/>
        <v>23.19839474</v>
      </c>
      <c r="EE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8">
        <f>VLOOKUP(A83,'Données projet'!$A$191:$I$211,2,0)</f>
        <v>270</v>
      </c>
      <c r="EH83" s="131">
        <f>VLOOKUP(A83,'Données projet'!$A$191:$I$211,9,0)</f>
        <v>7.4</v>
      </c>
      <c r="EI83" s="131">
        <f t="array" ref="EI83">INDEX(EH:EH,MIN(IF(ISNUMBER(EH83:EH279),ROW(EH83:EH279),"")))</f>
        <v>7.4</v>
      </c>
      <c r="EJ83" s="138">
        <f>IF('Données projet'!$A$192&gt;35,EJ82+EI83-ER82,IF(A83&lt;'Données projet'!$A$192,$EG$205^A83,IF(A83='Données projet'!$A$192,'Données projet'!$B$192,EJ82+EI83-ER82)))</f>
        <v>270</v>
      </c>
      <c r="EK83" s="138">
        <f>EJ83*VLOOKUP('Données projet'!$B$15,'Paramètres'!$A$1:$I$89,3,0)*VLOOKUP('Données projet'!$B$15,'Paramètres'!$A$1:$I$89,5,0)</f>
        <v>197.964</v>
      </c>
      <c r="EL83" s="130">
        <f t="shared" si="46"/>
        <v>49.29645044</v>
      </c>
      <c r="EM83" s="141">
        <f t="shared" si="20"/>
        <v>430.6452845</v>
      </c>
      <c r="EN83" s="133">
        <f t="shared" si="21"/>
        <v>723.9786178</v>
      </c>
      <c r="EO83" s="133">
        <f>AVERAGE(OFFSET($EN$3,0,0,'Données projet'!$E$15+1,1))-AVERAGE(OFFSET($H$3,0,0,'Données projet'!$E$15+1,1))</f>
        <v>130.3193339</v>
      </c>
      <c r="EP83" s="133">
        <f t="shared" si="47"/>
        <v>82.22784365</v>
      </c>
      <c r="EQ83" s="134">
        <f>IF(ISNA(VLOOKUP(A83,'Données projet'!$A$191:$I$211,3,0)),0,VLOOKUP(A83,'Données projet'!$A$191:$I$211,3,0))</f>
        <v>12</v>
      </c>
      <c r="ER83" s="144">
        <f>IF(ISNA(VLOOKUP(A83,'Données projet'!$A$191:$I$211,4,0)),0,VLOOKUP(A83,'Données projet'!$A$191:$I$211,4,0))</f>
        <v>270</v>
      </c>
      <c r="ES83" s="135">
        <f>IF(ISNA(VLOOKUP(A83,'Données projet'!$A$191:$I$211,5,0)),0%,VLOOKUP(A83,'Données projet'!$A$191:$I$211,5,0)*VLOOKUP('Données projet'!$B$15,'Paramètres'!$A$1:$I$89,7,0))</f>
        <v>0.387</v>
      </c>
      <c r="ET83" s="135">
        <f>IF(ISNA(VLOOKUP(A83,'Données projet'!$A$191:$I$211,6,0)),0%,VLOOKUP(A83,'Données projet'!$A$191:$I$211,6,0)*VLOOKUP('Données projet'!$B$15,'Paramètres'!$A$1:$I$89,7,0))</f>
        <v>0</v>
      </c>
      <c r="EU83" s="135" t="str">
        <f>IF(ISNA(VLOOKUP(A83,'Données projet'!$A$191:$I$211,7,0)),0%,VLOOKUP(A83,'Données projet'!$A$191:$I$211,7,0))</f>
        <v/>
      </c>
      <c r="EV83" s="142">
        <f>EXP(-LN(2)/35)*EV82+(1-EXP(-LN(2)/35))/(LN(2)/35)*ER83*ES83*VLOOKUP('Données projet'!$B$15,'Paramètres'!$A$1:$I$89,3,0)*0.475*44/12</f>
        <v>106.2546567</v>
      </c>
      <c r="EW83" s="142">
        <f>EXP(-LN(2)/25)*EW82+(1-EXP(-LN(2)/25))/(LN(2)/25)*Calculateur!ER83*Calculateur!ET83*VLOOKUP('Données projet'!$B$15,'Paramètres'!$A$1:$I$89,3,0)*0.475*44/12</f>
        <v>0</v>
      </c>
      <c r="EX83" s="142">
        <f>EXP(-LN(2)/2)*EX82+(1-EXP(-LN(2)/2))/(LN(2)/2)*ER83*EU83*VLOOKUP('Données projet'!$B$15,'Paramètres'!$A$1:$I$89,3,0)*0.475*44/12</f>
        <v>0</v>
      </c>
      <c r="EY83" s="143">
        <f t="shared" si="22"/>
        <v>106.2546567</v>
      </c>
      <c r="EZ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1" t="str">
        <f>VLOOKUP(A83,'Données projet'!$A$217:$I$237,2,0)</f>
        <v>#N/A</v>
      </c>
      <c r="FC83" s="131" t="str">
        <f>VLOOKUP(A83,'Données projet'!$A$217:$I$237,9,0)</f>
        <v>#N/A</v>
      </c>
      <c r="FD83" s="131" t="str">
        <f t="array" ref="FD83">INDEX(FC:FC,MIN(IF(ISNUMBER(FC83:FC279),ROW(FC83:FC279),"")))</f>
        <v/>
      </c>
      <c r="FE83" s="130">
        <f>IF('Données projet'!$A$218&gt;35,FE82+FD83-FM82,IF(A83&lt;'Données projet'!$A$218,$FB$205^A83,IF(A83='Données projet'!$A$218,'Données projet'!$B$218,FE82+FD83-FM82)))</f>
        <v>0</v>
      </c>
      <c r="FF83" s="138">
        <f>FE83*VLOOKUP('Données projet'!$B$16,'Paramètres'!$A$1:$I$89,3,0)*VLOOKUP('Données projet'!$B$16,'Paramètres'!$A$1:$I$89,5,0)</f>
        <v>0</v>
      </c>
      <c r="FG83" s="130">
        <f t="shared" si="48"/>
        <v>0</v>
      </c>
      <c r="FH83" s="141">
        <f t="shared" si="23"/>
        <v>0</v>
      </c>
      <c r="FI83" s="133">
        <f t="shared" si="24"/>
        <v>293.3333333</v>
      </c>
      <c r="FJ83" s="133">
        <f>AVERAGE(OFFSET($FI$3,0,0,'Données projet'!$E$16+1,1))-AVERAGE(OFFSET($H$3,0,0,'Données projet'!$E$16+1,1))</f>
        <v>305.6252353</v>
      </c>
      <c r="FK83" s="133">
        <f t="shared" si="49"/>
        <v>331.397916</v>
      </c>
      <c r="FL83" s="134">
        <f>IF(ISNA(VLOOKUP(A83,'Données projet'!$A$217:$I$237,3,0)),0,VLOOKUP(A83,'Données projet'!$A$217:$I$237,3,0))</f>
        <v>0</v>
      </c>
      <c r="FM83" s="134">
        <f>IF(ISNA(VLOOKUP(A83,'Données projet'!$A$217:$I$237,4,0)),0,VLOOKUP(A83,'Données projet'!$A$217:$I$237,4,0))</f>
        <v>0</v>
      </c>
      <c r="FN83" s="135">
        <f>IF(ISNA(VLOOKUP(A83,'Données projet'!$A$217:$I$237,5,0)),0%,VLOOKUP(A83,'Données projet'!$A$217:$I$237,5,0)*VLOOKUP('Données projet'!$B$16,'Paramètres'!$A$1:$I$89,7,0))</f>
        <v>0</v>
      </c>
      <c r="FO83" s="135">
        <f>IF(ISNA(VLOOKUP(A83,'Données projet'!$A$217:$I$237,6,0)),0%,VLOOKUP(A83,'Données projet'!$A$217:$I$237,6,0)*VLOOKUP('Données projet'!$B$16,'Paramètres'!$A$1:$I$89,7,0))</f>
        <v>0</v>
      </c>
      <c r="FP83" s="135">
        <f>IF(ISNA(VLOOKUP(A83,'Données projet'!$A$217:$I$237,7,0)),0%,VLOOKUP(A83,'Données projet'!$A$217:$I$237,7,0))</f>
        <v>0</v>
      </c>
      <c r="FQ83" s="142">
        <f>EXP(-LN(2)/35)*FQ82+(1-EXP(-LN(2)/35))/(LN(2)/35)*FM83*FN83*VLOOKUP('Données projet'!$B$16,'Paramètres'!$A$1:$I$89,3,0)*0.475*44/12</f>
        <v>66.15732469</v>
      </c>
      <c r="FR83" s="142">
        <f>EXP(-LN(2)/25)*FR82+(1-EXP(-LN(2)/25))/(LN(2)/25)*Calculateur!FM83*Calculateur!FO83*VLOOKUP('Données projet'!$B$16,'Paramètres'!$A$1:$I$89,3,0)*0.475*44/12</f>
        <v>0</v>
      </c>
      <c r="FS83" s="142">
        <f>EXP(-LN(2)/2)*FS82+(1-EXP(-LN(2)/2))/(LN(2)/2)*FM83*FP83*VLOOKUP('Données projet'!$B$16,'Paramètres'!$A$1:$I$89,3,0)*0.475*44/12</f>
        <v>0</v>
      </c>
      <c r="FT83" s="143">
        <f t="shared" si="25"/>
        <v>66.15732469</v>
      </c>
      <c r="FU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1" t="str">
        <f>VLOOKUP(A83,'Données projet'!$A$243:$I$263,2,0)</f>
        <v>#N/A</v>
      </c>
      <c r="FX83" s="131" t="str">
        <f>VLOOKUP(A83,'Données projet'!$A$243:$I$263,9,0)</f>
        <v>#N/A</v>
      </c>
      <c r="FY83" s="131" t="str">
        <f t="array" ref="FY83">INDEX(FX:FX,MIN(IF(ISNUMBER(FX83:FX279),ROW(FX83:FX279),"")))</f>
        <v/>
      </c>
      <c r="FZ83" s="138">
        <f>IF('Données projet'!$A$244&gt;35,FZ82+FY83-GH82,IF(A83&lt;'Données projet'!$A$244,$FW$205^A83,IF(A83='Données projet'!$A$244,'Données projet'!$B$244,FZ82+FY83-GH82)))</f>
        <v>0</v>
      </c>
      <c r="GA83" s="138">
        <f>FZ83*VLOOKUP('Données projet'!$B$17,'Paramètres'!$A$1:$I$89,3,0)*VLOOKUP('Données projet'!$B$17,'Paramètres'!$A$1:$I$89,5,0)</f>
        <v>0</v>
      </c>
      <c r="GB83" s="130">
        <f t="shared" si="50"/>
        <v>0</v>
      </c>
      <c r="GC83" s="141">
        <f t="shared" si="26"/>
        <v>0</v>
      </c>
      <c r="GD83" s="133">
        <f t="shared" si="27"/>
        <v>293.3333333</v>
      </c>
      <c r="GE83" s="133">
        <f>AVERAGE(OFFSET($GD$3,0,0,'Données projet'!$E$17+1,1))-AVERAGE(OFFSET($H$3,0,0,'Données projet'!$E$17+1,1))</f>
        <v>118.7368745</v>
      </c>
      <c r="GF83" s="133">
        <f t="shared" si="51"/>
        <v>135.1233677</v>
      </c>
      <c r="GG83" s="134">
        <f>IF(ISNA(VLOOKUP(A83,'Données projet'!$A$243:$I$263,3,0)),0,VLOOKUP(A83,'Données projet'!$A$243:$I$263,3,0))</f>
        <v>0</v>
      </c>
      <c r="GH83" s="134">
        <f>IF(ISNA(VLOOKUP(A83,'Données projet'!$A$243:$I$263,4,0)),0,VLOOKUP(A83,'Données projet'!$A$243:$I$263,4,0))</f>
        <v>0</v>
      </c>
      <c r="GI83" s="135">
        <f>IF(ISNA(VLOOKUP(A83,'Données projet'!$A$243:$I$263,5,0)),0%,VLOOKUP(A83,'Données projet'!$A$243:$I$263,5,0)*VLOOKUP('Données projet'!$B$17,'Paramètres'!$A$1:$I$89,7,0))</f>
        <v>0</v>
      </c>
      <c r="GJ83" s="135">
        <f>IF(ISNA(VLOOKUP(A83,'Données projet'!$A$243:$I$263,6,0)),0%,VLOOKUP(A83,'Données projet'!$A$243:$I$263,6,0)*VLOOKUP('Données projet'!$B$17,'Paramètres'!$A$1:$I$89,7,0))</f>
        <v>0</v>
      </c>
      <c r="GK83" s="135">
        <f>IF(ISNA(VLOOKUP(A83,'Données projet'!$A$243:$I$263,7,0)),0%,VLOOKUP(A83,'Données projet'!$A$243:$I$263,7,0))</f>
        <v>0</v>
      </c>
      <c r="GL83" s="142">
        <f>EXP(-LN(2)/35)*GL82+(1-EXP(-LN(2)/35))/(LN(2)/35)*GH83*GI83*VLOOKUP('Données projet'!$B$17,'Paramètres'!$A$1:$I$89,3,0)*0.475*44/12</f>
        <v>69.89500894</v>
      </c>
      <c r="GM83" s="142">
        <f>EXP(-LN(2)/25)*GM82+(1-EXP(-LN(2)/25))/(LN(2)/25)*Calculateur!GH83*Calculateur!GJ83*VLOOKUP('Données projet'!$B$17,'Paramètres'!$A$1:$I$89,3,0)*0.475*44/12</f>
        <v>0</v>
      </c>
      <c r="GN83" s="142">
        <f>EXP(-LN(2)/2)*GN82+(1-EXP(-LN(2)/2))/(LN(2)/2)*GH83*GK83*VLOOKUP('Données projet'!$B$17,'Paramètres'!$A$1:$I$89,3,0)*0.475*44/12</f>
        <v>0</v>
      </c>
      <c r="GO83" s="142">
        <f t="shared" si="28"/>
        <v>69.89500894</v>
      </c>
      <c r="GP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1" t="str">
        <f>VLOOKUP(A83,'Données projet'!$A$269:$I$289,2,0)</f>
        <v>#N/A</v>
      </c>
      <c r="GS83" s="131" t="str">
        <f>VLOOKUP(A83,'Données projet'!$A$269:$I$289,9,0)</f>
        <v>#N/A</v>
      </c>
      <c r="GT83" s="131" t="str">
        <f t="array" ref="GT83">INDEX(GS:GS,MIN(IF(ISNUMBER(GS83:GS279),ROW(GS83:GS279),"")))</f>
        <v/>
      </c>
      <c r="GU83" s="138">
        <f>IF('Données projet'!$A$270&gt;35,GU82+GT83-HC82,IF(A83&lt;'Données projet'!$A$270,$GR$205^A83,IF(A83='Données projet'!$A$270,'Données projet'!$B$270,GU82+GT83-HC82)))</f>
        <v>0</v>
      </c>
      <c r="GV83" s="138">
        <f>GU83*VLOOKUP('Données projet'!$B$18,'Paramètres'!$A$1:$I$89,3,0)*VLOOKUP('Données projet'!$B$18,'Paramètres'!$A$1:$I$89,5,0)</f>
        <v>0</v>
      </c>
      <c r="GW83" s="130" t="str">
        <f t="shared" si="52"/>
        <v>#NUM!</v>
      </c>
      <c r="GX83" s="141" t="str">
        <f t="shared" si="29"/>
        <v>#NUM!</v>
      </c>
      <c r="GY83" s="133" t="str">
        <f t="shared" si="30"/>
        <v>#NUM!</v>
      </c>
      <c r="GZ83" s="133">
        <f>AVERAGE(OFFSET($GY$3,0,0,'Données projet'!$E$18+1,1))-AVERAGE(OFFSET($H$3,0,0,'Données projet'!$E$18+1,1))</f>
        <v>100.5427875</v>
      </c>
      <c r="HA83" s="133">
        <f t="shared" si="53"/>
        <v>92.28663609</v>
      </c>
      <c r="HB83" s="134">
        <f>IF(ISNA(VLOOKUP(A83,'Données projet'!$A$269:$I$289,3,0)),0,VLOOKUP(A83,'Données projet'!$A$269:$I$289,3,0))</f>
        <v>0</v>
      </c>
      <c r="HC83" s="134">
        <f>IF(ISNA(VLOOKUP(A83,'Données projet'!$A$269:$I$289,4,0)),0,VLOOKUP(A83,'Données projet'!$A$269:$I$289,4,0))</f>
        <v>0</v>
      </c>
      <c r="HD83" s="135">
        <f>IF(ISNA(VLOOKUP(A83,'Données projet'!$A$269:$I$289,5,0)),0%,VLOOKUP(A83,'Données projet'!$A$269:$I$289,5,0)*VLOOKUP('Données projet'!$B$18,'Paramètres'!$A$1:$I$89,7,0))</f>
        <v>0</v>
      </c>
      <c r="HE83" s="135">
        <f>IF(ISNA(VLOOKUP(A83,'Données projet'!$A$269:$I$289,6,0)),0%,VLOOKUP(A83,'Données projet'!$A$269:$I$289,6,0)*VLOOKUP('Données projet'!$B$18,'Paramètres'!$A$1:$I$89,7,0))</f>
        <v>0</v>
      </c>
      <c r="HF83" s="135">
        <f>IF(ISNA(VLOOKUP(A83,'Données projet'!$A$269:$I$289,7,0)),0%,VLOOKUP(A83,'Données projet'!$A$269:$I$289,7,0))</f>
        <v>0</v>
      </c>
      <c r="HG83" s="142">
        <f>EXP(-LN(2)/35)*HG82+(1-EXP(-LN(2)/35))/(LN(2)/35)*HC83*HD83*VLOOKUP('Données projet'!$B$18,'Paramètres'!$A$1:$I$89,3,0)*0.475*44/12</f>
        <v>47.59702658</v>
      </c>
      <c r="HH83" s="142">
        <f>EXP(-LN(2)/25)*HH82+(1-EXP(-LN(2)/25))/(LN(2)/25)*Calculateur!HC83*Calculateur!HE83*VLOOKUP('Données projet'!$B$18,'Paramètres'!$A$1:$I$89,3,0)*0.475*44/12</f>
        <v>0</v>
      </c>
      <c r="HI83" s="142">
        <f>EXP(-LN(2)/2)*HI82+(1-EXP(-LN(2)/2))/(LN(2)/2)*HC83*HF83*VLOOKUP('Données projet'!$B$18,'Paramètres'!$A$1:$I$89,3,0)*0.475*44/12</f>
        <v>0</v>
      </c>
      <c r="HJ83" s="143">
        <f t="shared" si="31"/>
        <v>47.59702658</v>
      </c>
    </row>
    <row r="84" ht="15.75" customHeight="1">
      <c r="A84" s="125">
        <f t="shared" si="32"/>
        <v>81</v>
      </c>
      <c r="B84" s="126">
        <f>'Scénario référence'!$B$16*5+'Scénario référence'!$B$17*0+'Scénario référence'!$B$18*5</f>
        <v>0</v>
      </c>
      <c r="C84" s="140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44.226</v>
      </c>
      <c r="D84" s="127">
        <f t="shared" si="33"/>
        <v>13.11211793</v>
      </c>
      <c r="E8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7">
        <f>IF(OR('Scénario référence'!$F$8&gt;0,'Scénario référence'!$F$9&gt;0),('Scénario référence'!$F$8+'Scénario référence'!$F$9)*10,0)</f>
        <v>10</v>
      </c>
      <c r="G84" s="127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442.6100332</v>
      </c>
      <c r="H84" s="128">
        <f t="shared" si="1"/>
        <v>393.1972221</v>
      </c>
      <c r="I84" s="12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1" t="str">
        <f>VLOOKUP(A84,'Données projet'!$A$35:$I$55,2,0)</f>
        <v>#N/A</v>
      </c>
      <c r="L84" s="131" t="str">
        <f>VLOOKUP(A84,'Données projet'!$A$35:$I$55,9,0)</f>
        <v>#N/A</v>
      </c>
      <c r="M84" s="131" t="str">
        <f t="array" ref="M84">INDEX(L:L,MIN(IF(ISNUMBER(L84:L280),ROW(L84:L280),"")))</f>
        <v/>
      </c>
      <c r="N84" s="130">
        <f>IF('Données projet'!$A$36&gt;35,N83+M84-V83,IF(A84&lt;'Données projet'!$A$36,$K$205^A84,IF(A84='Données projet'!$A$36,'Données projet'!$B$36,N83+M84-V83)))</f>
        <v>0</v>
      </c>
      <c r="O84" s="130">
        <f>N84*VLOOKUP('Données projet'!$B$9,'Paramètres'!$A$1:$I$89,3,0)*VLOOKUP('Données projet'!$B$9,'Paramètres'!$A$1:$I$89,5,0)</f>
        <v>0</v>
      </c>
      <c r="P84" s="130">
        <f t="shared" si="34"/>
        <v>0</v>
      </c>
      <c r="Q84" s="141">
        <f t="shared" si="2"/>
        <v>0</v>
      </c>
      <c r="R84" s="133">
        <f t="shared" si="3"/>
        <v>293.3333333</v>
      </c>
      <c r="S84" s="133">
        <f>AVERAGE(OFFSET($R$3,0,0,'Données projet'!$E$9+1,1))-AVERAGE(OFFSET($H$3,0,0,'Données projet'!$E$9+1,1))</f>
        <v>126.9946492</v>
      </c>
      <c r="T84" s="133">
        <f t="shared" si="35"/>
        <v>140.039049</v>
      </c>
      <c r="U84" s="134">
        <f>IF(ISNA(VLOOKUP(A84,'Données projet'!$A$35:$I$55,3,0)),0,VLOOKUP(A84,'Données projet'!$A$35:$I$55,3,0))</f>
        <v>0</v>
      </c>
      <c r="V84" s="134">
        <f>IF(ISNA(VLOOKUP(A84,'Données projet'!$A$35:$I$55,4,0)),0,VLOOKUP(A84,'Données projet'!$A$35:$I$55,4,0))</f>
        <v>0</v>
      </c>
      <c r="W84" s="135">
        <f>IF(ISNA(VLOOKUP(A84,'Données projet'!$A$35:$I$55,5,0)),0%,VLOOKUP(A84,'Données projet'!$A$35:$I$55,5,0)*VLOOKUP('Données projet'!$B$9,'Paramètres'!$A$1:$I$89,7,0))</f>
        <v>0</v>
      </c>
      <c r="X84" s="135">
        <f>IF(ISNA(VLOOKUP(A84,'Données projet'!$A$35:$I$55,6,0)),0%,VLOOKUP(A84,'Données projet'!$A$35:$I$55,6,0)*VLOOKUP('Données projet'!$B$9,'Paramètres'!$A$1:$I$89,7,0))</f>
        <v>0</v>
      </c>
      <c r="Y84" s="135">
        <f>IF(ISNA(VLOOKUP(A84,'Données projet'!$A$35:$I$55,7,0)),0%,VLOOKUP(A84,'Données projet'!$A$35:$I$55,7,0))</f>
        <v>0</v>
      </c>
      <c r="Z84" s="142">
        <f>EXP(-LN(2)/35)*Z83+(1-EXP(-LN(2)/35))/(LN(2)/35)*V84*W84*VLOOKUP('Données projet'!$B$9,'Paramètres'!$A$1:$I$89,3,0)*0.475*44/12</f>
        <v>70.08521812</v>
      </c>
      <c r="AA84" s="142">
        <f>EXP(-LN(2)/25)*AA83+(1-EXP(-LN(2)/25))/(LN(2)/25)*Calculateur!V84*Calculateur!X84*VLOOKUP('Données projet'!$B$9,'Paramètres'!$A$1:$I$89,3,0)*0.475*44/12</f>
        <v>12.98212092</v>
      </c>
      <c r="AB84" s="142">
        <f>EXP(-LN(2)/2)*AB83+(1-EXP(-LN(2)/2))/(LN(2)/2)*V84*Y84*VLOOKUP('Données projet'!$B$9,'Paramètres'!$A$1:$I$89,3,0)*0.475*44/12</f>
        <v>0.01311280581</v>
      </c>
      <c r="AC84" s="143">
        <f t="shared" si="4"/>
        <v>83.08045184</v>
      </c>
      <c r="AD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1" t="str">
        <f>VLOOKUP(A84,'Données projet'!$A$61:$I$81,2,0)</f>
        <v>#N/A</v>
      </c>
      <c r="AG84" s="131" t="str">
        <f>VLOOKUP(A84,'Données projet'!$A$61:$I$81,9,0)</f>
        <v>#N/A</v>
      </c>
      <c r="AH84" s="131" t="str">
        <f t="array" ref="AH84">INDEX(AG:AG,MIN(IF(ISNUMBER(AG84:AG280),ROW(AG84:AG280),"")))</f>
        <v/>
      </c>
      <c r="AI84" s="130">
        <f>IF('Données projet'!$A$62&gt;35,AI83+AH84-AQ83,IF(A84&lt;'Données projet'!$A$62,$AF$205^A84,IF(A84='Données projet'!$A$62,'Données projet'!$B$62,AI83+AH84-AQ83)))</f>
        <v>0</v>
      </c>
      <c r="AJ84" s="130">
        <f>AI84*VLOOKUP('Données projet'!$B$10,'Paramètres'!$A$1:$I$89,3,0)*VLOOKUP('Données projet'!$B$10,'Paramètres'!$A$1:$I$89,5,0)</f>
        <v>0</v>
      </c>
      <c r="AK84" s="130" t="str">
        <f t="shared" si="36"/>
        <v>#NUM!</v>
      </c>
      <c r="AL84" s="141" t="str">
        <f t="shared" si="5"/>
        <v>#NUM!</v>
      </c>
      <c r="AM84" s="133" t="str">
        <f t="shared" si="6"/>
        <v>#NUM!</v>
      </c>
      <c r="AN84" s="133">
        <f>AVERAGE(OFFSET($AM$3,0,0,'Données projet'!$E$10+1,1))-AVERAGE(OFFSET($H$3,0,0,'Données projet'!$E$10+1,1))</f>
        <v>196.874484</v>
      </c>
      <c r="AO84" s="133">
        <f t="shared" si="37"/>
        <v>217.5750859</v>
      </c>
      <c r="AP84" s="134">
        <f>IF(ISNA(VLOOKUP(A84,'Données projet'!$A$61:$I$81,3,0)),0,VLOOKUP(A84,'Données projet'!$A$61:$I$81,3,0))</f>
        <v>0</v>
      </c>
      <c r="AQ84" s="134">
        <f>IF(ISNA(VLOOKUP(A84,'Données projet'!$A$61:$I$81,4,0)),0,VLOOKUP(A84,'Données projet'!$A$61:$I$81,4,0))</f>
        <v>0</v>
      </c>
      <c r="AR84" s="135">
        <f>IF(ISNA(VLOOKUP(A84,'Données projet'!$A$61:$I$81,5,0)),0%,VLOOKUP(A84,'Données projet'!$A$61:$I$81,5,0)*VLOOKUP('Données projet'!$B$10,'Paramètres'!$A$1:$I$89,7,0))</f>
        <v>0</v>
      </c>
      <c r="AS84" s="135">
        <f>IF(ISNA(VLOOKUP(A84,'Données projet'!$A$61:$I$81,6,0)),0%,VLOOKUP(A84,'Données projet'!$A$61:$I$81,6,0)*VLOOKUP('Données projet'!$B$10,'Paramètres'!$A$1:$I$89,7,0))</f>
        <v>0</v>
      </c>
      <c r="AT84" s="135">
        <f>IF(ISNA(VLOOKUP(A84,'Données projet'!$A$61:$I$81,7,0)),0%,VLOOKUP(A84,'Données projet'!$A$61:$I$81,7,0))</f>
        <v>0</v>
      </c>
      <c r="AU84" s="142">
        <f>EXP(-LN(2)/35)*AU83+(1-EXP(-LN(2)/35))/(LN(2)/35)*AQ84*AR84*VLOOKUP('Données projet'!$B$10,'Paramètres'!$A$1:$I$89,3,0)*0.475*44/12</f>
        <v>97.4164625</v>
      </c>
      <c r="AV84" s="142">
        <f>EXP(-LN(2)/25)*AV83+(1-EXP(-LN(2)/25))/(LN(2)/25)*Calculateur!AQ84*Calculateur!AS84*VLOOKUP('Données projet'!$B$10,'Paramètres'!$A$1:$I$89,3,0)*0.475*44/12</f>
        <v>19.96002826</v>
      </c>
      <c r="AW84" s="142">
        <f>EXP(-LN(2)/2)*AW83+(1-EXP(-LN(2)/2))/(LN(2)/2)*AQ84*AT84*VLOOKUP('Données projet'!$B$10,'Paramètres'!$A$1:$I$89,3,0)*0.475*44/12</f>
        <v>0.01828200443</v>
      </c>
      <c r="AX84" s="142">
        <f t="shared" si="7"/>
        <v>117.3947728</v>
      </c>
      <c r="AY84" s="13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1" t="str">
        <f>VLOOKUP(A84,'Données projet'!$A$87:$I$107,2,0)</f>
        <v>#N/A</v>
      </c>
      <c r="BB84" s="131" t="str">
        <f>VLOOKUP(A84,'Données projet'!$A$87:$I$107,9,0)</f>
        <v>#N/A</v>
      </c>
      <c r="BC84" s="131" t="str">
        <f t="array" ref="BC84">INDEX(BB:BB,MIN(IF(ISNUMBER(BB84:BB280),ROW(BB84:BB280),"")))</f>
        <v/>
      </c>
      <c r="BD84" s="130">
        <f>IF('Données projet'!$A$88&gt;35,BD83+BC84-BL83,IF(A84&lt;'Données projet'!$A$88,$BA$205^A84,IF(A84='Données projet'!$A$88,'Données projet'!$B$88,BD83+BC84-BL83)))</f>
        <v>0</v>
      </c>
      <c r="BE84" s="130">
        <f>BD84*VLOOKUP('Données projet'!$B$11,'Paramètres'!$A$1:$I$89,3,0)*VLOOKUP('Données projet'!$B$11,'Paramètres'!$A$1:$I$89,5,0)</f>
        <v>0</v>
      </c>
      <c r="BF84" s="130" t="str">
        <f t="shared" si="38"/>
        <v>#NUM!</v>
      </c>
      <c r="BG84" s="141" t="str">
        <f t="shared" si="8"/>
        <v>#NUM!</v>
      </c>
      <c r="BH84" s="133" t="str">
        <f t="shared" si="9"/>
        <v>#NUM!</v>
      </c>
      <c r="BI84" s="133">
        <f>AVERAGE(OFFSET($BH$3,0,0,'Données projet'!$E$11+1,1))-AVERAGE(OFFSET($H$3,0,0,'Données projet'!$E$11+1,1))</f>
        <v>134.0948534</v>
      </c>
      <c r="BJ84" s="133">
        <f t="shared" si="39"/>
        <v>108.4102536</v>
      </c>
      <c r="BK84" s="134">
        <f>IF(ISNA(VLOOKUP(A84,'Données projet'!$A$87:$I$107,3,0)),0,VLOOKUP(A84,'Données projet'!$A$87:$I$107,3,0))</f>
        <v>0</v>
      </c>
      <c r="BL84" s="134">
        <f>IF(ISNA(VLOOKUP(A84,'Données projet'!$A$87:$I$107,4,0)),0,VLOOKUP(A84,'Données projet'!$A$87:$I$107,4,0))</f>
        <v>0</v>
      </c>
      <c r="BM84" s="135">
        <f>IF(ISNA(VLOOKUP(A84,'Données projet'!$A$87:$I$107,5,0)),0%,VLOOKUP(A84,'Données projet'!$A$87:$I$107,5,0)*VLOOKUP('Données projet'!$B$11,'Paramètres'!$A$1:$I$89,7,0))</f>
        <v>0</v>
      </c>
      <c r="BN84" s="135">
        <f>IF(ISNA(VLOOKUP(A84,'Données projet'!$A$87:$I$107,6,0)),0%,VLOOKUP(A84,'Données projet'!$A$87:$I$107,6,0)*VLOOKUP('Données projet'!$B$11,'Paramètres'!$A$1:$I$89,7,0))</f>
        <v>0</v>
      </c>
      <c r="BO84" s="135">
        <f>IF(ISNA(VLOOKUP(A84,'Données projet'!$A$87:$I$107,7,0)),0%,VLOOKUP(A84,'Données projet'!$A$87:$I$107,7,0))</f>
        <v>0</v>
      </c>
      <c r="BP84" s="142">
        <f>EXP(-LN(2)/35)*BP83+(1-EXP(-LN(2)/35))/(LN(2)/35)*BL84*BM84*VLOOKUP('Données projet'!$B$11,'Paramètres'!$A$1:$I$89,3,0)*0.475*44/12</f>
        <v>134.745161</v>
      </c>
      <c r="BQ84" s="142">
        <f>EXP(-LN(2)/25)*BQ83+(1-EXP(-LN(2)/25))/(LN(2)/25)*Calculateur!BL84*Calculateur!BN84*VLOOKUP('Données projet'!$B$11,'Paramètres'!$A$1:$I$89,3,0)*0.475*44/12</f>
        <v>12.59080296</v>
      </c>
      <c r="BR84" s="142">
        <f>EXP(-LN(2)/2)*BR83+(1-EXP(-LN(2)/2))/(LN(2)/2)*BL84*BO84*VLOOKUP('Données projet'!$B$11,'Paramètres'!$A$1:$I$89,3,0)*0.475*44/12</f>
        <v>0.2438557023</v>
      </c>
      <c r="BS84" s="143">
        <f t="shared" si="10"/>
        <v>147.5798196</v>
      </c>
      <c r="BT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1" t="str">
        <f>VLOOKUP(A84,'Données projet'!$A$113:$I$133,2,0)</f>
        <v>#N/A</v>
      </c>
      <c r="BW84" s="131" t="str">
        <f>VLOOKUP(A84,'Données projet'!$A$113:$I$133,9,0)</f>
        <v>#N/A</v>
      </c>
      <c r="BX84" s="131" t="str">
        <f t="array" ref="BX84">INDEX(BW:BW,MIN(IF(ISNUMBER(BW84:BW280),ROW(BW84:BW280),"")))</f>
        <v/>
      </c>
      <c r="BY84" s="130">
        <f>IF('Données projet'!$A$114&gt;35,BY83+BX84-CG83,IF(A84&lt;'Données projet'!$A$114,$BV$205^A84,IF(A84='Données projet'!$A$114,'Données projet'!$B$114,BY83+BX84-CG83)))</f>
        <v>0</v>
      </c>
      <c r="BZ84" s="130">
        <f>BY84*VLOOKUP('Données projet'!$B$12,'Paramètres'!$A$1:$I$89,3,0)*VLOOKUP('Données projet'!$B$12,'Paramètres'!$A$1:$I$89,5,0)</f>
        <v>0</v>
      </c>
      <c r="CA84" s="130" t="str">
        <f t="shared" si="40"/>
        <v>#NUM!</v>
      </c>
      <c r="CB84" s="141" t="str">
        <f t="shared" si="11"/>
        <v>#NUM!</v>
      </c>
      <c r="CC84" s="133" t="str">
        <f t="shared" si="12"/>
        <v>#NUM!</v>
      </c>
      <c r="CD84" s="133">
        <f>AVERAGE(OFFSET($CC$3,0,0,'Données projet'!$E$12+1,1))-AVERAGE(OFFSET($H$3,0,0,'Données projet'!$E$12+1,1))</f>
        <v>258.1672054</v>
      </c>
      <c r="CE84" s="133">
        <f t="shared" si="41"/>
        <v>296.0724261</v>
      </c>
      <c r="CF84" s="134">
        <f>IF(ISNA(VLOOKUP(A84,'Données projet'!$A$113:$I$133,3,0)),0,VLOOKUP(A84,'Données projet'!$A$113:$I$133,3,0))</f>
        <v>0</v>
      </c>
      <c r="CG84" s="134">
        <f>IF(ISNA(VLOOKUP(A84,'Données projet'!$A$113:$I$133,4,0)),0,VLOOKUP(A84,'Données projet'!$A$113:$I$133,4,0))</f>
        <v>0</v>
      </c>
      <c r="CH84" s="135">
        <f>IF(ISNA(VLOOKUP(A84,'Données projet'!$A$113:$I$133,5,0)),0%,VLOOKUP(A84,'Données projet'!$A$113:$I$133,5,0)*VLOOKUP('Données projet'!$B$12,'Paramètres'!$A$1:$I$89,7,0))</f>
        <v>0</v>
      </c>
      <c r="CI84" s="135">
        <f>IF(ISNA(VLOOKUP(A84,'Données projet'!$A$113:$I$133,6,0)),0%,VLOOKUP(A84,'Données projet'!$A$113:$I$133,6,0)*VLOOKUP('Données projet'!$B$12,'Paramètres'!$A$1:$I$89,7,0))</f>
        <v>0</v>
      </c>
      <c r="CJ84" s="135">
        <f>IF(ISNA(VLOOKUP(A84,'Données projet'!$A$113:$I$133,7,0)),0%,VLOOKUP(A84,'Données projet'!$A$113:$I$133,7,0))</f>
        <v>0</v>
      </c>
      <c r="CK84" s="142">
        <f>EXP(-LN(2)/35)*CK83+(1-EXP(-LN(2)/35))/(LN(2)/35)*CG84*CH84*VLOOKUP('Données projet'!$B$12,'Paramètres'!$A$1:$I$89,3,0)*0.475*44/12</f>
        <v>170.3591037</v>
      </c>
      <c r="CL84" s="142">
        <f>EXP(-LN(2)/25)*CL83+(1-EXP(-LN(2)/25))/(LN(2)/25)*Calculateur!CG84*Calculateur!CI84*VLOOKUP('Données projet'!$B$12,'Paramètres'!$A$1:$I$89,3,0)*0.475*44/12</f>
        <v>22.08498314</v>
      </c>
      <c r="CM84" s="142">
        <f>EXP(-LN(2)/2)*CM83+(1-EXP(-LN(2)/2))/(LN(2)/2)*CG84*CJ84*VLOOKUP('Données projet'!$B$12,'Paramètres'!$A$1:$I$89,3,0)*0.475*44/12</f>
        <v>0.01027335291</v>
      </c>
      <c r="CN84" s="143">
        <f t="shared" si="13"/>
        <v>192.4543602</v>
      </c>
      <c r="CO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1" t="str">
        <f>VLOOKUP(A84,'Données projet'!$A$139:$I$159,2,0)</f>
        <v>#N/A</v>
      </c>
      <c r="CR84" s="131" t="str">
        <f>VLOOKUP(A84,'Données projet'!$A$139:$I$159,9,0)</f>
        <v>#N/A</v>
      </c>
      <c r="CS84" s="130">
        <f t="array" ref="CS84">INDEX(CR:CR,MIN(IF(ISNUMBER(CR84:CR280),ROW(CR84:CR280),"")))</f>
        <v>4.4</v>
      </c>
      <c r="CT84" s="138">
        <f>IF('Données projet'!$A$140&gt;35,CT83+CS84-DB83,IF(A84&lt;'Données projet'!$A$140,$CQ$205^A84,IF(A84='Données projet'!$A$140,'Données projet'!$B$140,CT83+CS84-DB83)))</f>
        <v>182.4</v>
      </c>
      <c r="CU84" s="138">
        <f>CT84*VLOOKUP('Données projet'!$B$13,'Paramètres'!$A$1:$I$89,3,0)*VLOOKUP('Données projet'!$B$13,'Paramètres'!$A$1:$I$89,5,0)</f>
        <v>184.9536</v>
      </c>
      <c r="CV84" s="130">
        <f t="shared" si="42"/>
        <v>46.42252355</v>
      </c>
      <c r="CW84" s="141">
        <f t="shared" si="14"/>
        <v>402.9800819</v>
      </c>
      <c r="CX84" s="133">
        <f t="shared" si="15"/>
        <v>696.3134152</v>
      </c>
      <c r="CY84" s="133">
        <f>AVERAGE(OFFSET($CX$3,0,0,'Données projet'!$E$13+1,1))-AVERAGE(OFFSET($H$3,0,0,'Données projet'!$E$13+1,1))</f>
        <v>223.783507</v>
      </c>
      <c r="CZ84" s="133">
        <f t="shared" si="43"/>
        <v>84.92349117</v>
      </c>
      <c r="DA84" s="134">
        <f>IF(ISNA(VLOOKUP(A84,'Données projet'!$A$139:$I$159,3,0)),0,VLOOKUP(A84,'Données projet'!$A$139:$I$159,3,0))</f>
        <v>0</v>
      </c>
      <c r="DB84" s="134">
        <f>IF(ISNA(VLOOKUP(A84,'Données projet'!$A$139:$I$159,4,0)),0,VLOOKUP(A84,'Données projet'!$A$139:$I$159,4,0))</f>
        <v>0</v>
      </c>
      <c r="DC84" s="135">
        <f>IF(ISNA(VLOOKUP(A84,'Données projet'!$A$139:$I$159,5,0)),0%,VLOOKUP(A84,'Données projet'!$A$139:$I$159,5,0)*VLOOKUP('Données projet'!$B$13,'Paramètres'!$A$1:$I$89,7,0))</f>
        <v>0</v>
      </c>
      <c r="DD84" s="135">
        <f>IF(ISNA(VLOOKUP(A84,'Données projet'!$A$139:$I$159,6,0)),0%,VLOOKUP(A84,'Données projet'!$A$139:$I$159,6,0)*VLOOKUP('Données projet'!$B$13,'Paramètres'!$A$1:$I$89,7,0))</f>
        <v>0</v>
      </c>
      <c r="DE84" s="135">
        <f>IF(ISNA(VLOOKUP(A84,'Données projet'!$A$139:$I$159,7,0)),0%,VLOOKUP(A84,'Données projet'!$A$139:$I$159,7,0))</f>
        <v>0</v>
      </c>
      <c r="DF84" s="142">
        <f>EXP(-LN(2)/35)*DF83+(1-EXP(-LN(2)/35))/(LN(2)/35)*DB84*DC84*VLOOKUP('Données projet'!$B$13,'Paramètres'!$A$1:$I$89,3,0)*0.475*44/12</f>
        <v>14.37833324</v>
      </c>
      <c r="DG84" s="142">
        <f>EXP(-LN(2)/25)*DG83+(1-EXP(-LN(2)/25))/(LN(2)/25)*Calculateur!DB84*Calculateur!DD84*VLOOKUP('Données projet'!$B$13,'Paramètres'!$A$1:$I$89,3,0)*0.475*44/12</f>
        <v>0</v>
      </c>
      <c r="DH84" s="142">
        <f>EXP(-LN(2)/2)*DH83+(1-EXP(-LN(2)/2))/(LN(2)/2)*DB84*DE84*VLOOKUP('Données projet'!$B$13,'Paramètres'!$A$1:$I$89,3,0)*0.475*44/12</f>
        <v>0</v>
      </c>
      <c r="DI84" s="143">
        <f t="shared" si="16"/>
        <v>14.37833324</v>
      </c>
      <c r="DJ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1" t="str">
        <f>VLOOKUP(A84,'Données projet'!$A$165:$I$185,2,0)</f>
        <v>#N/A</v>
      </c>
      <c r="DM84" s="131" t="str">
        <f>VLOOKUP(A84,'Données projet'!$A$165:$I$185,9,0)</f>
        <v>#N/A</v>
      </c>
      <c r="DN84" s="131">
        <f t="array" ref="DN84">INDEX(DM:DM,MIN(IF(ISNUMBER(DM84:DM280),ROW(DM84:DM280),"")))</f>
        <v>5.8</v>
      </c>
      <c r="DO84" s="138">
        <f>IF('Données projet'!$A$166&gt;35,DO83+DN84-DW83,IF(A84&lt;'Données projet'!$A$166,$DL$205^A84,IF(A84='Données projet'!$A$166,'Données projet'!$B$166,DO83+DN84-DW83)))</f>
        <v>245.8</v>
      </c>
      <c r="DP84" s="138">
        <f>DO84*VLOOKUP('Données projet'!$B$14,'Paramètres'!$A$1:$I$89,3,0)*VLOOKUP('Données projet'!$B$14,'Paramètres'!$A$1:$I$89,5,0)</f>
        <v>222.39984</v>
      </c>
      <c r="DQ84" s="130">
        <f t="shared" si="44"/>
        <v>54.63614928</v>
      </c>
      <c r="DR84" s="141">
        <f t="shared" si="17"/>
        <v>482.504348</v>
      </c>
      <c r="DS84" s="133">
        <f t="shared" si="18"/>
        <v>775.8376813</v>
      </c>
      <c r="DT84" s="133">
        <f>AVERAGE(OFFSET($DS$3,0,0,'Données projet'!$E$14+1,1))-AVERAGE(OFFSET($H$3,0,0,'Données projet'!$E$14+1,1))</f>
        <v>287.9334714</v>
      </c>
      <c r="DU84" s="133">
        <f t="shared" si="45"/>
        <v>156.6796502</v>
      </c>
      <c r="DV84" s="134">
        <f>IF(ISNA(VLOOKUP(A84,'Données projet'!$A$165:$I$185,3,0)),0,VLOOKUP(A84,'Données projet'!$A$165:$I$185,3,0))</f>
        <v>0</v>
      </c>
      <c r="DW84" s="134">
        <f>IF(ISNA(VLOOKUP(A84,'Données projet'!$A$165:$I$185,4,0)),0,VLOOKUP(A84,'Données projet'!$A$165:$I$185,4,0))</f>
        <v>0</v>
      </c>
      <c r="DX84" s="135">
        <f>IF(ISNA(VLOOKUP(A84,'Données projet'!$A$165:$I$185,5,0)),0%,VLOOKUP(A84,'Données projet'!$A$165:$I$185,5,0)*VLOOKUP('Données projet'!$B$14,'Paramètres'!$A$1:$I$89,7,0))</f>
        <v>0</v>
      </c>
      <c r="DY84" s="135">
        <f>IF(ISNA(VLOOKUP(A84,'Données projet'!$A$165:$I$185,6,0)),0%,VLOOKUP(A84,'Données projet'!$A$165:$I$185,6,0)*VLOOKUP('Données projet'!$B$14,'Paramètres'!$A$1:$I$89,7,0))</f>
        <v>0</v>
      </c>
      <c r="DZ84" s="135">
        <f>IF(ISNA(VLOOKUP(A84,'Données projet'!$A$165:$I$185,7,0)),0%,VLOOKUP(A84,'Données projet'!$A$165:$I$185,7,0))</f>
        <v>0</v>
      </c>
      <c r="EA84" s="142">
        <f>EXP(-LN(2)/35)*EA83+(1-EXP(-LN(2)/35))/(LN(2)/35)*DW84*DX84*VLOOKUP('Données projet'!$B$14,'Paramètres'!$A$1:$I$89,3,0)*0.475*44/12</f>
        <v>22.74348836</v>
      </c>
      <c r="EB84" s="142">
        <f>EXP(-LN(2)/25)*EB83+(1-EXP(-LN(2)/25))/(LN(2)/25)*Calculateur!DW84*Calculateur!DY84*VLOOKUP('Données projet'!$B$14,'Paramètres'!$A$1:$I$89,3,0)*0.475*44/12</f>
        <v>0</v>
      </c>
      <c r="EC84" s="142">
        <f>EXP(-LN(2)/2)*EC83+(1-EXP(-LN(2)/2))/(LN(2)/2)*DW84*DZ84*VLOOKUP('Données projet'!$B$14,'Paramètres'!$A$1:$I$89,3,0)*0.475*44/12</f>
        <v>0</v>
      </c>
      <c r="ED84" s="143">
        <f t="shared" si="19"/>
        <v>22.74348836</v>
      </c>
      <c r="EE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1" t="str">
        <f>VLOOKUP(A84,'Données projet'!$A$191:$I$211,2,0)</f>
        <v>#N/A</v>
      </c>
      <c r="EH84" s="131" t="str">
        <f>VLOOKUP(A84,'Données projet'!$A$191:$I$211,9,0)</f>
        <v>#N/A</v>
      </c>
      <c r="EI84" s="131" t="str">
        <f t="array" ref="EI84">INDEX(EH:EH,MIN(IF(ISNUMBER(EH84:EH280),ROW(EH84:EH280),"")))</f>
        <v/>
      </c>
      <c r="EJ84" s="138">
        <f>IF('Données projet'!$A$192&gt;35,EJ83+EI84-ER83,IF(A84&lt;'Données projet'!$A$192,$EG$205^A84,IF(A84='Données projet'!$A$192,'Données projet'!$B$192,EJ83+EI84-ER83)))</f>
        <v>0</v>
      </c>
      <c r="EK84" s="138">
        <f>EJ84*VLOOKUP('Données projet'!$B$15,'Paramètres'!$A$1:$I$89,3,0)*VLOOKUP('Données projet'!$B$15,'Paramètres'!$A$1:$I$89,5,0)</f>
        <v>0</v>
      </c>
      <c r="EL84" s="130" t="str">
        <f t="shared" si="46"/>
        <v>#NUM!</v>
      </c>
      <c r="EM84" s="141" t="str">
        <f t="shared" si="20"/>
        <v>#NUM!</v>
      </c>
      <c r="EN84" s="133" t="str">
        <f t="shared" si="21"/>
        <v>#NUM!</v>
      </c>
      <c r="EO84" s="133">
        <f>AVERAGE(OFFSET($EN$3,0,0,'Données projet'!$E$15+1,1))-AVERAGE(OFFSET($H$3,0,0,'Données projet'!$E$15+1,1))</f>
        <v>130.3193339</v>
      </c>
      <c r="EP84" s="133">
        <f t="shared" si="47"/>
        <v>82.22784365</v>
      </c>
      <c r="EQ84" s="134">
        <f>IF(ISNA(VLOOKUP(A84,'Données projet'!$A$191:$I$211,3,0)),0,VLOOKUP(A84,'Données projet'!$A$191:$I$211,3,0))</f>
        <v>0</v>
      </c>
      <c r="ER84" s="134">
        <f>IF(ISNA(VLOOKUP(A84,'Données projet'!$A$191:$I$211,4,0)),0,VLOOKUP(A84,'Données projet'!$A$191:$I$211,4,0))</f>
        <v>0</v>
      </c>
      <c r="ES84" s="135">
        <f>IF(ISNA(VLOOKUP(A84,'Données projet'!$A$191:$I$211,5,0)),0%,VLOOKUP(A84,'Données projet'!$A$191:$I$211,5,0)*VLOOKUP('Données projet'!$B$15,'Paramètres'!$A$1:$I$89,7,0))</f>
        <v>0</v>
      </c>
      <c r="ET84" s="135">
        <f>IF(ISNA(VLOOKUP(A84,'Données projet'!$A$191:$I$211,6,0)),0%,VLOOKUP(A84,'Données projet'!$A$191:$I$211,6,0)*VLOOKUP('Données projet'!$B$15,'Paramètres'!$A$1:$I$89,7,0))</f>
        <v>0</v>
      </c>
      <c r="EU84" s="135">
        <f>IF(ISNA(VLOOKUP(A84,'Données projet'!$A$191:$I$211,7,0)),0%,VLOOKUP(A84,'Données projet'!$A$191:$I$211,7,0))</f>
        <v>0</v>
      </c>
      <c r="EV84" s="142">
        <f>EXP(-LN(2)/35)*EV83+(1-EXP(-LN(2)/35))/(LN(2)/35)*ER84*ES84*VLOOKUP('Données projet'!$B$15,'Paramètres'!$A$1:$I$89,3,0)*0.475*44/12</f>
        <v>104.1710677</v>
      </c>
      <c r="EW84" s="142">
        <f>EXP(-LN(2)/25)*EW83+(1-EXP(-LN(2)/25))/(LN(2)/25)*Calculateur!ER84*Calculateur!ET84*VLOOKUP('Données projet'!$B$15,'Paramètres'!$A$1:$I$89,3,0)*0.475*44/12</f>
        <v>0</v>
      </c>
      <c r="EX84" s="142">
        <f>EXP(-LN(2)/2)*EX83+(1-EXP(-LN(2)/2))/(LN(2)/2)*ER84*EU84*VLOOKUP('Données projet'!$B$15,'Paramètres'!$A$1:$I$89,3,0)*0.475*44/12</f>
        <v>0</v>
      </c>
      <c r="EY84" s="143">
        <f t="shared" si="22"/>
        <v>104.1710677</v>
      </c>
      <c r="EZ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1" t="str">
        <f>VLOOKUP(A84,'Données projet'!$A$217:$I$237,2,0)</f>
        <v>#N/A</v>
      </c>
      <c r="FC84" s="131" t="str">
        <f>VLOOKUP(A84,'Données projet'!$A$217:$I$237,9,0)</f>
        <v>#N/A</v>
      </c>
      <c r="FD84" s="131" t="str">
        <f t="array" ref="FD84">INDEX(FC:FC,MIN(IF(ISNUMBER(FC84:FC280),ROW(FC84:FC280),"")))</f>
        <v/>
      </c>
      <c r="FE84" s="130">
        <f>IF('Données projet'!$A$218&gt;35,FE83+FD84-FM83,IF(A84&lt;'Données projet'!$A$218,$FB$205^A84,IF(A84='Données projet'!$A$218,'Données projet'!$B$218,FE83+FD84-FM83)))</f>
        <v>0</v>
      </c>
      <c r="FF84" s="138">
        <f>FE84*VLOOKUP('Données projet'!$B$16,'Paramètres'!$A$1:$I$89,3,0)*VLOOKUP('Données projet'!$B$16,'Paramètres'!$A$1:$I$89,5,0)</f>
        <v>0</v>
      </c>
      <c r="FG84" s="130">
        <f t="shared" si="48"/>
        <v>0</v>
      </c>
      <c r="FH84" s="141">
        <f t="shared" si="23"/>
        <v>0</v>
      </c>
      <c r="FI84" s="133">
        <f t="shared" si="24"/>
        <v>293.3333333</v>
      </c>
      <c r="FJ84" s="133">
        <f>AVERAGE(OFFSET($FI$3,0,0,'Données projet'!$E$16+1,1))-AVERAGE(OFFSET($H$3,0,0,'Données projet'!$E$16+1,1))</f>
        <v>305.6252353</v>
      </c>
      <c r="FK84" s="133">
        <f t="shared" si="49"/>
        <v>331.397916</v>
      </c>
      <c r="FL84" s="134">
        <f>IF(ISNA(VLOOKUP(A84,'Données projet'!$A$217:$I$237,3,0)),0,VLOOKUP(A84,'Données projet'!$A$217:$I$237,3,0))</f>
        <v>0</v>
      </c>
      <c r="FM84" s="134">
        <f>IF(ISNA(VLOOKUP(A84,'Données projet'!$A$217:$I$237,4,0)),0,VLOOKUP(A84,'Données projet'!$A$217:$I$237,4,0))</f>
        <v>0</v>
      </c>
      <c r="FN84" s="135">
        <f>IF(ISNA(VLOOKUP(A84,'Données projet'!$A$217:$I$237,5,0)),0%,VLOOKUP(A84,'Données projet'!$A$217:$I$237,5,0)*VLOOKUP('Données projet'!$B$16,'Paramètres'!$A$1:$I$89,7,0))</f>
        <v>0</v>
      </c>
      <c r="FO84" s="135">
        <f>IF(ISNA(VLOOKUP(A84,'Données projet'!$A$217:$I$237,6,0)),0%,VLOOKUP(A84,'Données projet'!$A$217:$I$237,6,0)*VLOOKUP('Données projet'!$B$16,'Paramètres'!$A$1:$I$89,7,0))</f>
        <v>0</v>
      </c>
      <c r="FP84" s="135">
        <f>IF(ISNA(VLOOKUP(A84,'Données projet'!$A$217:$I$237,7,0)),0%,VLOOKUP(A84,'Données projet'!$A$217:$I$237,7,0))</f>
        <v>0</v>
      </c>
      <c r="FQ84" s="142">
        <f>EXP(-LN(2)/35)*FQ83+(1-EXP(-LN(2)/35))/(LN(2)/35)*FM84*FN84*VLOOKUP('Données projet'!$B$16,'Paramètres'!$A$1:$I$89,3,0)*0.475*44/12</f>
        <v>64.86001991</v>
      </c>
      <c r="FR84" s="142">
        <f>EXP(-LN(2)/25)*FR83+(1-EXP(-LN(2)/25))/(LN(2)/25)*Calculateur!FM84*Calculateur!FO84*VLOOKUP('Données projet'!$B$16,'Paramètres'!$A$1:$I$89,3,0)*0.475*44/12</f>
        <v>0</v>
      </c>
      <c r="FS84" s="142">
        <f>EXP(-LN(2)/2)*FS83+(1-EXP(-LN(2)/2))/(LN(2)/2)*FM84*FP84*VLOOKUP('Données projet'!$B$16,'Paramètres'!$A$1:$I$89,3,0)*0.475*44/12</f>
        <v>0</v>
      </c>
      <c r="FT84" s="143">
        <f t="shared" si="25"/>
        <v>64.86001991</v>
      </c>
      <c r="FU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1" t="str">
        <f>VLOOKUP(A84,'Données projet'!$A$243:$I$263,2,0)</f>
        <v>#N/A</v>
      </c>
      <c r="FX84" s="131" t="str">
        <f>VLOOKUP(A84,'Données projet'!$A$243:$I$263,9,0)</f>
        <v>#N/A</v>
      </c>
      <c r="FY84" s="131" t="str">
        <f t="array" ref="FY84">INDEX(FX:FX,MIN(IF(ISNUMBER(FX84:FX280),ROW(FX84:FX280),"")))</f>
        <v/>
      </c>
      <c r="FZ84" s="138">
        <f>IF('Données projet'!$A$244&gt;35,FZ83+FY84-GH83,IF(A84&lt;'Données projet'!$A$244,$FW$205^A84,IF(A84='Données projet'!$A$244,'Données projet'!$B$244,FZ83+FY84-GH83)))</f>
        <v>0</v>
      </c>
      <c r="GA84" s="138">
        <f>FZ84*VLOOKUP('Données projet'!$B$17,'Paramètres'!$A$1:$I$89,3,0)*VLOOKUP('Données projet'!$B$17,'Paramètres'!$A$1:$I$89,5,0)</f>
        <v>0</v>
      </c>
      <c r="GB84" s="130">
        <f t="shared" si="50"/>
        <v>0</v>
      </c>
      <c r="GC84" s="141">
        <f t="shared" si="26"/>
        <v>0</v>
      </c>
      <c r="GD84" s="133">
        <f t="shared" si="27"/>
        <v>293.3333333</v>
      </c>
      <c r="GE84" s="133">
        <f>AVERAGE(OFFSET($GD$3,0,0,'Données projet'!$E$17+1,1))-AVERAGE(OFFSET($H$3,0,0,'Données projet'!$E$17+1,1))</f>
        <v>118.7368745</v>
      </c>
      <c r="GF84" s="133">
        <f t="shared" si="51"/>
        <v>135.1233677</v>
      </c>
      <c r="GG84" s="134">
        <f>IF(ISNA(VLOOKUP(A84,'Données projet'!$A$243:$I$263,3,0)),0,VLOOKUP(A84,'Données projet'!$A$243:$I$263,3,0))</f>
        <v>0</v>
      </c>
      <c r="GH84" s="134">
        <f>IF(ISNA(VLOOKUP(A84,'Données projet'!$A$243:$I$263,4,0)),0,VLOOKUP(A84,'Données projet'!$A$243:$I$263,4,0))</f>
        <v>0</v>
      </c>
      <c r="GI84" s="135">
        <f>IF(ISNA(VLOOKUP(A84,'Données projet'!$A$243:$I$263,5,0)),0%,VLOOKUP(A84,'Données projet'!$A$243:$I$263,5,0)*VLOOKUP('Données projet'!$B$17,'Paramètres'!$A$1:$I$89,7,0))</f>
        <v>0</v>
      </c>
      <c r="GJ84" s="135">
        <f>IF(ISNA(VLOOKUP(A84,'Données projet'!$A$243:$I$263,6,0)),0%,VLOOKUP(A84,'Données projet'!$A$243:$I$263,6,0)*VLOOKUP('Données projet'!$B$17,'Paramètres'!$A$1:$I$89,7,0))</f>
        <v>0</v>
      </c>
      <c r="GK84" s="135">
        <f>IF(ISNA(VLOOKUP(A84,'Données projet'!$A$243:$I$263,7,0)),0%,VLOOKUP(A84,'Données projet'!$A$243:$I$263,7,0))</f>
        <v>0</v>
      </c>
      <c r="GL84" s="142">
        <f>EXP(-LN(2)/35)*GL83+(1-EXP(-LN(2)/35))/(LN(2)/35)*GH84*GI84*VLOOKUP('Données projet'!$B$17,'Paramètres'!$A$1:$I$89,3,0)*0.475*44/12</f>
        <v>68.52441045</v>
      </c>
      <c r="GM84" s="142">
        <f>EXP(-LN(2)/25)*GM83+(1-EXP(-LN(2)/25))/(LN(2)/25)*Calculateur!GH84*Calculateur!GJ84*VLOOKUP('Données projet'!$B$17,'Paramètres'!$A$1:$I$89,3,0)*0.475*44/12</f>
        <v>0</v>
      </c>
      <c r="GN84" s="142">
        <f>EXP(-LN(2)/2)*GN83+(1-EXP(-LN(2)/2))/(LN(2)/2)*GH84*GK84*VLOOKUP('Données projet'!$B$17,'Paramètres'!$A$1:$I$89,3,0)*0.475*44/12</f>
        <v>0</v>
      </c>
      <c r="GO84" s="142">
        <f t="shared" si="28"/>
        <v>68.52441045</v>
      </c>
      <c r="GP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1" t="str">
        <f>VLOOKUP(A84,'Données projet'!$A$269:$I$289,2,0)</f>
        <v>#N/A</v>
      </c>
      <c r="GS84" s="131" t="str">
        <f>VLOOKUP(A84,'Données projet'!$A$269:$I$289,9,0)</f>
        <v>#N/A</v>
      </c>
      <c r="GT84" s="131" t="str">
        <f t="array" ref="GT84">INDEX(GS:GS,MIN(IF(ISNUMBER(GS84:GS280),ROW(GS84:GS280),"")))</f>
        <v/>
      </c>
      <c r="GU84" s="138">
        <f>IF('Données projet'!$A$270&gt;35,GU83+GT84-HC83,IF(A84&lt;'Données projet'!$A$270,$GR$205^A84,IF(A84='Données projet'!$A$270,'Données projet'!$B$270,GU83+GT84-HC83)))</f>
        <v>0</v>
      </c>
      <c r="GV84" s="138">
        <f>GU84*VLOOKUP('Données projet'!$B$18,'Paramètres'!$A$1:$I$89,3,0)*VLOOKUP('Données projet'!$B$18,'Paramètres'!$A$1:$I$89,5,0)</f>
        <v>0</v>
      </c>
      <c r="GW84" s="130" t="str">
        <f t="shared" si="52"/>
        <v>#NUM!</v>
      </c>
      <c r="GX84" s="141" t="str">
        <f t="shared" si="29"/>
        <v>#NUM!</v>
      </c>
      <c r="GY84" s="133" t="str">
        <f t="shared" si="30"/>
        <v>#NUM!</v>
      </c>
      <c r="GZ84" s="133">
        <f>AVERAGE(OFFSET($GY$3,0,0,'Données projet'!$E$18+1,1))-AVERAGE(OFFSET($H$3,0,0,'Données projet'!$E$18+1,1))</f>
        <v>100.5427875</v>
      </c>
      <c r="HA84" s="133">
        <f t="shared" si="53"/>
        <v>92.28663609</v>
      </c>
      <c r="HB84" s="134">
        <f>IF(ISNA(VLOOKUP(A84,'Données projet'!$A$269:$I$289,3,0)),0,VLOOKUP(A84,'Données projet'!$A$269:$I$289,3,0))</f>
        <v>0</v>
      </c>
      <c r="HC84" s="134">
        <f>IF(ISNA(VLOOKUP(A84,'Données projet'!$A$269:$I$289,4,0)),0,VLOOKUP(A84,'Données projet'!$A$269:$I$289,4,0))</f>
        <v>0</v>
      </c>
      <c r="HD84" s="135">
        <f>IF(ISNA(VLOOKUP(A84,'Données projet'!$A$269:$I$289,5,0)),0%,VLOOKUP(A84,'Données projet'!$A$269:$I$289,5,0)*VLOOKUP('Données projet'!$B$18,'Paramètres'!$A$1:$I$89,7,0))</f>
        <v>0</v>
      </c>
      <c r="HE84" s="135">
        <f>IF(ISNA(VLOOKUP(A84,'Données projet'!$A$269:$I$289,6,0)),0%,VLOOKUP(A84,'Données projet'!$A$269:$I$289,6,0)*VLOOKUP('Données projet'!$B$18,'Paramètres'!$A$1:$I$89,7,0))</f>
        <v>0</v>
      </c>
      <c r="HF84" s="135">
        <f>IF(ISNA(VLOOKUP(A84,'Données projet'!$A$269:$I$289,7,0)),0%,VLOOKUP(A84,'Données projet'!$A$269:$I$289,7,0))</f>
        <v>0</v>
      </c>
      <c r="HG84" s="142">
        <f>EXP(-LN(2)/35)*HG83+(1-EXP(-LN(2)/35))/(LN(2)/35)*HC84*HD84*VLOOKUP('Données projet'!$B$18,'Paramètres'!$A$1:$I$89,3,0)*0.475*44/12</f>
        <v>46.66367792</v>
      </c>
      <c r="HH84" s="142">
        <f>EXP(-LN(2)/25)*HH83+(1-EXP(-LN(2)/25))/(LN(2)/25)*Calculateur!HC84*Calculateur!HE84*VLOOKUP('Données projet'!$B$18,'Paramètres'!$A$1:$I$89,3,0)*0.475*44/12</f>
        <v>0</v>
      </c>
      <c r="HI84" s="142">
        <f>EXP(-LN(2)/2)*HI83+(1-EXP(-LN(2)/2))/(LN(2)/2)*HC84*HF84*VLOOKUP('Données projet'!$B$18,'Paramètres'!$A$1:$I$89,3,0)*0.475*44/12</f>
        <v>0</v>
      </c>
      <c r="HJ84" s="143">
        <f t="shared" si="31"/>
        <v>46.66367792</v>
      </c>
    </row>
    <row r="85" ht="15.75" customHeight="1">
      <c r="A85" s="125">
        <f t="shared" si="32"/>
        <v>82</v>
      </c>
      <c r="B85" s="126">
        <f>'Scénario référence'!$B$16*5+'Scénario référence'!$B$17*0+'Scénario référence'!$B$18*5</f>
        <v>0</v>
      </c>
      <c r="C85" s="140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44.772</v>
      </c>
      <c r="D85" s="127">
        <f t="shared" si="33"/>
        <v>13.25505103</v>
      </c>
      <c r="E8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7">
        <f>IF(OR('Scénario référence'!$F$8&gt;0,'Scénario référence'!$F$9&gt;0),('Scénario référence'!$F$8+'Scénario référence'!$F$9)*10,0)</f>
        <v>10</v>
      </c>
      <c r="G85" s="127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447.9281132</v>
      </c>
      <c r="H85" s="128">
        <f t="shared" si="1"/>
        <v>394.3971139</v>
      </c>
      <c r="I85" s="12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1" t="str">
        <f>VLOOKUP(A85,'Données projet'!$A$35:$I$55,2,0)</f>
        <v>#N/A</v>
      </c>
      <c r="L85" s="131" t="str">
        <f>VLOOKUP(A85,'Données projet'!$A$35:$I$55,9,0)</f>
        <v>#N/A</v>
      </c>
      <c r="M85" s="131" t="str">
        <f t="array" ref="M85">INDEX(L:L,MIN(IF(ISNUMBER(L85:L281),ROW(L85:L281),"")))</f>
        <v/>
      </c>
      <c r="N85" s="130">
        <f>IF('Données projet'!$A$36&gt;35,N84+M85-V84,IF(A85&lt;'Données projet'!$A$36,$K$205^A85,IF(A85='Données projet'!$A$36,'Données projet'!$B$36,N84+M85-V84)))</f>
        <v>0</v>
      </c>
      <c r="O85" s="130">
        <f>N85*VLOOKUP('Données projet'!$B$9,'Paramètres'!$A$1:$I$89,3,0)*VLOOKUP('Données projet'!$B$9,'Paramètres'!$A$1:$I$89,5,0)</f>
        <v>0</v>
      </c>
      <c r="P85" s="130">
        <f t="shared" si="34"/>
        <v>0</v>
      </c>
      <c r="Q85" s="141">
        <f t="shared" si="2"/>
        <v>0</v>
      </c>
      <c r="R85" s="133">
        <f t="shared" si="3"/>
        <v>293.3333333</v>
      </c>
      <c r="S85" s="133">
        <f>AVERAGE(OFFSET($R$3,0,0,'Données projet'!$E$9+1,1))-AVERAGE(OFFSET($H$3,0,0,'Données projet'!$E$9+1,1))</f>
        <v>126.9946492</v>
      </c>
      <c r="T85" s="133">
        <f t="shared" si="35"/>
        <v>140.039049</v>
      </c>
      <c r="U85" s="134">
        <f>IF(ISNA(VLOOKUP(A85,'Données projet'!$A$35:$I$55,3,0)),0,VLOOKUP(A85,'Données projet'!$A$35:$I$55,3,0))</f>
        <v>0</v>
      </c>
      <c r="V85" s="134">
        <f>IF(ISNA(VLOOKUP(A85,'Données projet'!$A$35:$I$55,4,0)),0,VLOOKUP(A85,'Données projet'!$A$35:$I$55,4,0))</f>
        <v>0</v>
      </c>
      <c r="W85" s="135">
        <f>IF(ISNA(VLOOKUP(A85,'Données projet'!$A$35:$I$55,5,0)),0%,VLOOKUP(A85,'Données projet'!$A$35:$I$55,5,0)*VLOOKUP('Données projet'!$B$9,'Paramètres'!$A$1:$I$89,7,0))</f>
        <v>0</v>
      </c>
      <c r="X85" s="135">
        <f>IF(ISNA(VLOOKUP(A85,'Données projet'!$A$35:$I$55,6,0)),0%,VLOOKUP(A85,'Données projet'!$A$35:$I$55,6,0)*VLOOKUP('Données projet'!$B$9,'Paramètres'!$A$1:$I$89,7,0))</f>
        <v>0</v>
      </c>
      <c r="Y85" s="135">
        <f>IF(ISNA(VLOOKUP(A85,'Données projet'!$A$35:$I$55,7,0)),0%,VLOOKUP(A85,'Données projet'!$A$35:$I$55,7,0))</f>
        <v>0</v>
      </c>
      <c r="Z85" s="142">
        <f>EXP(-LN(2)/35)*Z84+(1-EXP(-LN(2)/35))/(LN(2)/35)*V85*W85*VLOOKUP('Données projet'!$B$9,'Paramètres'!$A$1:$I$89,3,0)*0.475*44/12</f>
        <v>68.71088974</v>
      </c>
      <c r="AA85" s="142">
        <f>EXP(-LN(2)/25)*AA84+(1-EXP(-LN(2)/25))/(LN(2)/25)*Calculateur!V85*Calculateur!X85*VLOOKUP('Données projet'!$B$9,'Paramètres'!$A$1:$I$89,3,0)*0.475*44/12</f>
        <v>12.62712414</v>
      </c>
      <c r="AB85" s="142">
        <f>EXP(-LN(2)/2)*AB84+(1-EXP(-LN(2)/2))/(LN(2)/2)*V85*Y85*VLOOKUP('Données projet'!$B$9,'Paramètres'!$A$1:$I$89,3,0)*0.475*44/12</f>
        <v>0.009272153911</v>
      </c>
      <c r="AC85" s="143">
        <f t="shared" si="4"/>
        <v>81.34728603</v>
      </c>
      <c r="AD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1" t="str">
        <f>VLOOKUP(A85,'Données projet'!$A$61:$I$81,2,0)</f>
        <v>#N/A</v>
      </c>
      <c r="AG85" s="131" t="str">
        <f>VLOOKUP(A85,'Données projet'!$A$61:$I$81,9,0)</f>
        <v>#N/A</v>
      </c>
      <c r="AH85" s="131" t="str">
        <f t="array" ref="AH85">INDEX(AG:AG,MIN(IF(ISNUMBER(AG85:AG281),ROW(AG85:AG281),"")))</f>
        <v/>
      </c>
      <c r="AI85" s="130">
        <f>IF('Données projet'!$A$62&gt;35,AI84+AH85-AQ84,IF(A85&lt;'Données projet'!$A$62,$AF$205^A85,IF(A85='Données projet'!$A$62,'Données projet'!$B$62,AI84+AH85-AQ84)))</f>
        <v>0</v>
      </c>
      <c r="AJ85" s="130">
        <f>AI85*VLOOKUP('Données projet'!$B$10,'Paramètres'!$A$1:$I$89,3,0)*VLOOKUP('Données projet'!$B$10,'Paramètres'!$A$1:$I$89,5,0)</f>
        <v>0</v>
      </c>
      <c r="AK85" s="130" t="str">
        <f t="shared" si="36"/>
        <v>#NUM!</v>
      </c>
      <c r="AL85" s="141" t="str">
        <f t="shared" si="5"/>
        <v>#NUM!</v>
      </c>
      <c r="AM85" s="133" t="str">
        <f t="shared" si="6"/>
        <v>#NUM!</v>
      </c>
      <c r="AN85" s="133">
        <f>AVERAGE(OFFSET($AM$3,0,0,'Données projet'!$E$10+1,1))-AVERAGE(OFFSET($H$3,0,0,'Données projet'!$E$10+1,1))</f>
        <v>196.874484</v>
      </c>
      <c r="AO85" s="133">
        <f t="shared" si="37"/>
        <v>217.5750859</v>
      </c>
      <c r="AP85" s="134">
        <f>IF(ISNA(VLOOKUP(A85,'Données projet'!$A$61:$I$81,3,0)),0,VLOOKUP(A85,'Données projet'!$A$61:$I$81,3,0))</f>
        <v>0</v>
      </c>
      <c r="AQ85" s="134">
        <f>IF(ISNA(VLOOKUP(A85,'Données projet'!$A$61:$I$81,4,0)),0,VLOOKUP(A85,'Données projet'!$A$61:$I$81,4,0))</f>
        <v>0</v>
      </c>
      <c r="AR85" s="135">
        <f>IF(ISNA(VLOOKUP(A85,'Données projet'!$A$61:$I$81,5,0)),0%,VLOOKUP(A85,'Données projet'!$A$61:$I$81,5,0)*VLOOKUP('Données projet'!$B$10,'Paramètres'!$A$1:$I$89,7,0))</f>
        <v>0</v>
      </c>
      <c r="AS85" s="135">
        <f>IF(ISNA(VLOOKUP(A85,'Données projet'!$A$61:$I$81,6,0)),0%,VLOOKUP(A85,'Données projet'!$A$61:$I$81,6,0)*VLOOKUP('Données projet'!$B$10,'Paramètres'!$A$1:$I$89,7,0))</f>
        <v>0</v>
      </c>
      <c r="AT85" s="135">
        <f>IF(ISNA(VLOOKUP(A85,'Données projet'!$A$61:$I$81,7,0)),0%,VLOOKUP(A85,'Données projet'!$A$61:$I$81,7,0))</f>
        <v>0</v>
      </c>
      <c r="AU85" s="142">
        <f>EXP(-LN(2)/35)*AU84+(1-EXP(-LN(2)/35))/(LN(2)/35)*AQ85*AR85*VLOOKUP('Données projet'!$B$10,'Paramètres'!$A$1:$I$89,3,0)*0.475*44/12</f>
        <v>95.50618509</v>
      </c>
      <c r="AV85" s="142">
        <f>EXP(-LN(2)/25)*AV84+(1-EXP(-LN(2)/25))/(LN(2)/25)*Calculateur!AQ85*Calculateur!AS85*VLOOKUP('Données projet'!$B$10,'Paramètres'!$A$1:$I$89,3,0)*0.475*44/12</f>
        <v>19.41422023</v>
      </c>
      <c r="AW85" s="142">
        <f>EXP(-LN(2)/2)*AW84+(1-EXP(-LN(2)/2))/(LN(2)/2)*AQ85*AT85*VLOOKUP('Données projet'!$B$10,'Paramètres'!$A$1:$I$89,3,0)*0.475*44/12</f>
        <v>0.01292732931</v>
      </c>
      <c r="AX85" s="142">
        <f t="shared" si="7"/>
        <v>114.9333327</v>
      </c>
      <c r="AY85" s="13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1" t="str">
        <f>VLOOKUP(A85,'Données projet'!$A$87:$I$107,2,0)</f>
        <v>#N/A</v>
      </c>
      <c r="BB85" s="131" t="str">
        <f>VLOOKUP(A85,'Données projet'!$A$87:$I$107,9,0)</f>
        <v>#N/A</v>
      </c>
      <c r="BC85" s="131" t="str">
        <f t="array" ref="BC85">INDEX(BB:BB,MIN(IF(ISNUMBER(BB85:BB281),ROW(BB85:BB281),"")))</f>
        <v/>
      </c>
      <c r="BD85" s="130">
        <f>IF('Données projet'!$A$88&gt;35,BD84+BC85-BL84,IF(A85&lt;'Données projet'!$A$88,$BA$205^A85,IF(A85='Données projet'!$A$88,'Données projet'!$B$88,BD84+BC85-BL84)))</f>
        <v>0</v>
      </c>
      <c r="BE85" s="130">
        <f>BD85*VLOOKUP('Données projet'!$B$11,'Paramètres'!$A$1:$I$89,3,0)*VLOOKUP('Données projet'!$B$11,'Paramètres'!$A$1:$I$89,5,0)</f>
        <v>0</v>
      </c>
      <c r="BF85" s="130" t="str">
        <f t="shared" si="38"/>
        <v>#NUM!</v>
      </c>
      <c r="BG85" s="141" t="str">
        <f t="shared" si="8"/>
        <v>#NUM!</v>
      </c>
      <c r="BH85" s="133" t="str">
        <f t="shared" si="9"/>
        <v>#NUM!</v>
      </c>
      <c r="BI85" s="133">
        <f>AVERAGE(OFFSET($BH$3,0,0,'Données projet'!$E$11+1,1))-AVERAGE(OFFSET($H$3,0,0,'Données projet'!$E$11+1,1))</f>
        <v>134.0948534</v>
      </c>
      <c r="BJ85" s="133">
        <f t="shared" si="39"/>
        <v>108.4102536</v>
      </c>
      <c r="BK85" s="134">
        <f>IF(ISNA(VLOOKUP(A85,'Données projet'!$A$87:$I$107,3,0)),0,VLOOKUP(A85,'Données projet'!$A$87:$I$107,3,0))</f>
        <v>0</v>
      </c>
      <c r="BL85" s="134">
        <f>IF(ISNA(VLOOKUP(A85,'Données projet'!$A$87:$I$107,4,0)),0,VLOOKUP(A85,'Données projet'!$A$87:$I$107,4,0))</f>
        <v>0</v>
      </c>
      <c r="BM85" s="135">
        <f>IF(ISNA(VLOOKUP(A85,'Données projet'!$A$87:$I$107,5,0)),0%,VLOOKUP(A85,'Données projet'!$A$87:$I$107,5,0)*VLOOKUP('Données projet'!$B$11,'Paramètres'!$A$1:$I$89,7,0))</f>
        <v>0</v>
      </c>
      <c r="BN85" s="135">
        <f>IF(ISNA(VLOOKUP(A85,'Données projet'!$A$87:$I$107,6,0)),0%,VLOOKUP(A85,'Données projet'!$A$87:$I$107,6,0)*VLOOKUP('Données projet'!$B$11,'Paramètres'!$A$1:$I$89,7,0))</f>
        <v>0</v>
      </c>
      <c r="BO85" s="135">
        <f>IF(ISNA(VLOOKUP(A85,'Données projet'!$A$87:$I$107,7,0)),0%,VLOOKUP(A85,'Données projet'!$A$87:$I$107,7,0))</f>
        <v>0</v>
      </c>
      <c r="BP85" s="142">
        <f>EXP(-LN(2)/35)*BP84+(1-EXP(-LN(2)/35))/(LN(2)/35)*BL85*BM85*VLOOKUP('Données projet'!$B$11,'Paramètres'!$A$1:$I$89,3,0)*0.475*44/12</f>
        <v>132.1028906</v>
      </c>
      <c r="BQ85" s="142">
        <f>EXP(-LN(2)/25)*BQ84+(1-EXP(-LN(2)/25))/(LN(2)/25)*Calculateur!BL85*Calculateur!BN85*VLOOKUP('Données projet'!$B$11,'Paramètres'!$A$1:$I$89,3,0)*0.475*44/12</f>
        <v>12.24650679</v>
      </c>
      <c r="BR85" s="142">
        <f>EXP(-LN(2)/2)*BR84+(1-EXP(-LN(2)/2))/(LN(2)/2)*BL85*BO85*VLOOKUP('Données projet'!$B$11,'Paramètres'!$A$1:$I$89,3,0)*0.475*44/12</f>
        <v>0.1724320207</v>
      </c>
      <c r="BS85" s="143">
        <f t="shared" si="10"/>
        <v>144.5218294</v>
      </c>
      <c r="BT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1" t="str">
        <f>VLOOKUP(A85,'Données projet'!$A$113:$I$133,2,0)</f>
        <v>#N/A</v>
      </c>
      <c r="BW85" s="131" t="str">
        <f>VLOOKUP(A85,'Données projet'!$A$113:$I$133,9,0)</f>
        <v>#N/A</v>
      </c>
      <c r="BX85" s="131" t="str">
        <f t="array" ref="BX85">INDEX(BW:BW,MIN(IF(ISNUMBER(BW85:BW281),ROW(BW85:BW281),"")))</f>
        <v/>
      </c>
      <c r="BY85" s="130">
        <f>IF('Données projet'!$A$114&gt;35,BY84+BX85-CG84,IF(A85&lt;'Données projet'!$A$114,$BV$205^A85,IF(A85='Données projet'!$A$114,'Données projet'!$B$114,BY84+BX85-CG84)))</f>
        <v>0</v>
      </c>
      <c r="BZ85" s="130">
        <f>BY85*VLOOKUP('Données projet'!$B$12,'Paramètres'!$A$1:$I$89,3,0)*VLOOKUP('Données projet'!$B$12,'Paramètres'!$A$1:$I$89,5,0)</f>
        <v>0</v>
      </c>
      <c r="CA85" s="130" t="str">
        <f t="shared" si="40"/>
        <v>#NUM!</v>
      </c>
      <c r="CB85" s="141" t="str">
        <f t="shared" si="11"/>
        <v>#NUM!</v>
      </c>
      <c r="CC85" s="133" t="str">
        <f t="shared" si="12"/>
        <v>#NUM!</v>
      </c>
      <c r="CD85" s="133">
        <f>AVERAGE(OFFSET($CC$3,0,0,'Données projet'!$E$12+1,1))-AVERAGE(OFFSET($H$3,0,0,'Données projet'!$E$12+1,1))</f>
        <v>258.1672054</v>
      </c>
      <c r="CE85" s="133">
        <f t="shared" si="41"/>
        <v>296.0724261</v>
      </c>
      <c r="CF85" s="134">
        <f>IF(ISNA(VLOOKUP(A85,'Données projet'!$A$113:$I$133,3,0)),0,VLOOKUP(A85,'Données projet'!$A$113:$I$133,3,0))</f>
        <v>0</v>
      </c>
      <c r="CG85" s="134">
        <f>IF(ISNA(VLOOKUP(A85,'Données projet'!$A$113:$I$133,4,0)),0,VLOOKUP(A85,'Données projet'!$A$113:$I$133,4,0))</f>
        <v>0</v>
      </c>
      <c r="CH85" s="135">
        <f>IF(ISNA(VLOOKUP(A85,'Données projet'!$A$113:$I$133,5,0)),0%,VLOOKUP(A85,'Données projet'!$A$113:$I$133,5,0)*VLOOKUP('Données projet'!$B$12,'Paramètres'!$A$1:$I$89,7,0))</f>
        <v>0</v>
      </c>
      <c r="CI85" s="135">
        <f>IF(ISNA(VLOOKUP(A85,'Données projet'!$A$113:$I$133,6,0)),0%,VLOOKUP(A85,'Données projet'!$A$113:$I$133,6,0)*VLOOKUP('Données projet'!$B$12,'Paramètres'!$A$1:$I$89,7,0))</f>
        <v>0</v>
      </c>
      <c r="CJ85" s="135">
        <f>IF(ISNA(VLOOKUP(A85,'Données projet'!$A$113:$I$133,7,0)),0%,VLOOKUP(A85,'Données projet'!$A$113:$I$133,7,0))</f>
        <v>0</v>
      </c>
      <c r="CK85" s="142">
        <f>EXP(-LN(2)/35)*CK84+(1-EXP(-LN(2)/35))/(LN(2)/35)*CG85*CH85*VLOOKUP('Données projet'!$B$12,'Paramètres'!$A$1:$I$89,3,0)*0.475*44/12</f>
        <v>167.0184656</v>
      </c>
      <c r="CL85" s="142">
        <f>EXP(-LN(2)/25)*CL84+(1-EXP(-LN(2)/25))/(LN(2)/25)*Calculateur!CG85*Calculateur!CI85*VLOOKUP('Données projet'!$B$12,'Paramètres'!$A$1:$I$89,3,0)*0.475*44/12</f>
        <v>21.48106811</v>
      </c>
      <c r="CM85" s="142">
        <f>EXP(-LN(2)/2)*CM84+(1-EXP(-LN(2)/2))/(LN(2)/2)*CG85*CJ85*VLOOKUP('Données projet'!$B$12,'Paramètres'!$A$1:$I$89,3,0)*0.475*44/12</f>
        <v>0.00726435751</v>
      </c>
      <c r="CN85" s="143">
        <f t="shared" si="13"/>
        <v>188.5067981</v>
      </c>
      <c r="CO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1" t="str">
        <f>VLOOKUP(A85,'Données projet'!$A$139:$I$159,2,0)</f>
        <v>#N/A</v>
      </c>
      <c r="CR85" s="131" t="str">
        <f>VLOOKUP(A85,'Données projet'!$A$139:$I$159,9,0)</f>
        <v>#N/A</v>
      </c>
      <c r="CS85" s="130">
        <f t="array" ref="CS85">INDEX(CR:CR,MIN(IF(ISNUMBER(CR85:CR281),ROW(CR85:CR281),"")))</f>
        <v>4.4</v>
      </c>
      <c r="CT85" s="138">
        <f>IF('Données projet'!$A$140&gt;35,CT84+CS85-DB84,IF(A85&lt;'Données projet'!$A$140,$CQ$205^A85,IF(A85='Données projet'!$A$140,'Données projet'!$B$140,CT84+CS85-DB84)))</f>
        <v>186.8</v>
      </c>
      <c r="CU85" s="138">
        <f>CT85*VLOOKUP('Données projet'!$B$13,'Paramètres'!$A$1:$I$89,3,0)*VLOOKUP('Données projet'!$B$13,'Paramètres'!$A$1:$I$89,5,0)</f>
        <v>189.4152</v>
      </c>
      <c r="CV85" s="130">
        <f t="shared" si="42"/>
        <v>47.41063869</v>
      </c>
      <c r="CW85" s="141">
        <f t="shared" si="14"/>
        <v>412.471669</v>
      </c>
      <c r="CX85" s="133">
        <f t="shared" si="15"/>
        <v>705.8050024</v>
      </c>
      <c r="CY85" s="133">
        <f>AVERAGE(OFFSET($CX$3,0,0,'Données projet'!$E$13+1,1))-AVERAGE(OFFSET($H$3,0,0,'Données projet'!$E$13+1,1))</f>
        <v>223.783507</v>
      </c>
      <c r="CZ85" s="133">
        <f t="shared" si="43"/>
        <v>84.92349117</v>
      </c>
      <c r="DA85" s="134">
        <f>IF(ISNA(VLOOKUP(A85,'Données projet'!$A$139:$I$159,3,0)),0,VLOOKUP(A85,'Données projet'!$A$139:$I$159,3,0))</f>
        <v>0</v>
      </c>
      <c r="DB85" s="134">
        <f>IF(ISNA(VLOOKUP(A85,'Données projet'!$A$139:$I$159,4,0)),0,VLOOKUP(A85,'Données projet'!$A$139:$I$159,4,0))</f>
        <v>0</v>
      </c>
      <c r="DC85" s="135">
        <f>IF(ISNA(VLOOKUP(A85,'Données projet'!$A$139:$I$159,5,0)),0%,VLOOKUP(A85,'Données projet'!$A$139:$I$159,5,0)*VLOOKUP('Données projet'!$B$13,'Paramètres'!$A$1:$I$89,7,0))</f>
        <v>0</v>
      </c>
      <c r="DD85" s="135">
        <f>IF(ISNA(VLOOKUP(A85,'Données projet'!$A$139:$I$159,6,0)),0%,VLOOKUP(A85,'Données projet'!$A$139:$I$159,6,0)*VLOOKUP('Données projet'!$B$13,'Paramètres'!$A$1:$I$89,7,0))</f>
        <v>0</v>
      </c>
      <c r="DE85" s="135">
        <f>IF(ISNA(VLOOKUP(A85,'Données projet'!$A$139:$I$159,7,0)),0%,VLOOKUP(A85,'Données projet'!$A$139:$I$159,7,0))</f>
        <v>0</v>
      </c>
      <c r="DF85" s="142">
        <f>EXP(-LN(2)/35)*DF84+(1-EXP(-LN(2)/35))/(LN(2)/35)*DB85*DC85*VLOOKUP('Données projet'!$B$13,'Paramètres'!$A$1:$I$89,3,0)*0.475*44/12</f>
        <v>14.09638289</v>
      </c>
      <c r="DG85" s="142">
        <f>EXP(-LN(2)/25)*DG84+(1-EXP(-LN(2)/25))/(LN(2)/25)*Calculateur!DB85*Calculateur!DD85*VLOOKUP('Données projet'!$B$13,'Paramètres'!$A$1:$I$89,3,0)*0.475*44/12</f>
        <v>0</v>
      </c>
      <c r="DH85" s="142">
        <f>EXP(-LN(2)/2)*DH84+(1-EXP(-LN(2)/2))/(LN(2)/2)*DB85*DE85*VLOOKUP('Données projet'!$B$13,'Paramètres'!$A$1:$I$89,3,0)*0.475*44/12</f>
        <v>0</v>
      </c>
      <c r="DI85" s="143">
        <f t="shared" si="16"/>
        <v>14.09638289</v>
      </c>
      <c r="DJ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1" t="str">
        <f>VLOOKUP(A85,'Données projet'!$A$165:$I$185,2,0)</f>
        <v>#N/A</v>
      </c>
      <c r="DM85" s="131" t="str">
        <f>VLOOKUP(A85,'Données projet'!$A$165:$I$185,9,0)</f>
        <v>#N/A</v>
      </c>
      <c r="DN85" s="131">
        <f t="array" ref="DN85">INDEX(DM:DM,MIN(IF(ISNUMBER(DM85:DM281),ROW(DM85:DM281),"")))</f>
        <v>5.8</v>
      </c>
      <c r="DO85" s="138">
        <f>IF('Données projet'!$A$166&gt;35,DO84+DN85-DW84,IF(A85&lt;'Données projet'!$A$166,$DL$205^A85,IF(A85='Données projet'!$A$166,'Données projet'!$B$166,DO84+DN85-DW84)))</f>
        <v>251.6</v>
      </c>
      <c r="DP85" s="138">
        <f>DO85*VLOOKUP('Données projet'!$B$14,'Paramètres'!$A$1:$I$89,3,0)*VLOOKUP('Données projet'!$B$14,'Paramètres'!$A$1:$I$89,5,0)</f>
        <v>227.64768</v>
      </c>
      <c r="DQ85" s="130">
        <f t="shared" si="44"/>
        <v>55.77375104</v>
      </c>
      <c r="DR85" s="141">
        <f t="shared" si="17"/>
        <v>493.6256591</v>
      </c>
      <c r="DS85" s="133">
        <f t="shared" si="18"/>
        <v>786.9589924</v>
      </c>
      <c r="DT85" s="133">
        <f>AVERAGE(OFFSET($DS$3,0,0,'Données projet'!$E$14+1,1))-AVERAGE(OFFSET($H$3,0,0,'Données projet'!$E$14+1,1))</f>
        <v>287.9334714</v>
      </c>
      <c r="DU85" s="133">
        <f t="shared" si="45"/>
        <v>156.6796502</v>
      </c>
      <c r="DV85" s="134">
        <f>IF(ISNA(VLOOKUP(A85,'Données projet'!$A$165:$I$185,3,0)),0,VLOOKUP(A85,'Données projet'!$A$165:$I$185,3,0))</f>
        <v>0</v>
      </c>
      <c r="DW85" s="134">
        <f>IF(ISNA(VLOOKUP(A85,'Données projet'!$A$165:$I$185,4,0)),0,VLOOKUP(A85,'Données projet'!$A$165:$I$185,4,0))</f>
        <v>0</v>
      </c>
      <c r="DX85" s="135">
        <f>IF(ISNA(VLOOKUP(A85,'Données projet'!$A$165:$I$185,5,0)),0%,VLOOKUP(A85,'Données projet'!$A$165:$I$185,5,0)*VLOOKUP('Données projet'!$B$14,'Paramètres'!$A$1:$I$89,7,0))</f>
        <v>0</v>
      </c>
      <c r="DY85" s="135">
        <f>IF(ISNA(VLOOKUP(A85,'Données projet'!$A$165:$I$185,6,0)),0%,VLOOKUP(A85,'Données projet'!$A$165:$I$185,6,0)*VLOOKUP('Données projet'!$B$14,'Paramètres'!$A$1:$I$89,7,0))</f>
        <v>0</v>
      </c>
      <c r="DZ85" s="135">
        <f>IF(ISNA(VLOOKUP(A85,'Données projet'!$A$165:$I$185,7,0)),0%,VLOOKUP(A85,'Données projet'!$A$165:$I$185,7,0))</f>
        <v>0</v>
      </c>
      <c r="EA85" s="142">
        <f>EXP(-LN(2)/35)*EA84+(1-EXP(-LN(2)/35))/(LN(2)/35)*DW85*DX85*VLOOKUP('Données projet'!$B$14,'Paramètres'!$A$1:$I$89,3,0)*0.475*44/12</f>
        <v>22.29750243</v>
      </c>
      <c r="EB85" s="142">
        <f>EXP(-LN(2)/25)*EB84+(1-EXP(-LN(2)/25))/(LN(2)/25)*Calculateur!DW85*Calculateur!DY85*VLOOKUP('Données projet'!$B$14,'Paramètres'!$A$1:$I$89,3,0)*0.475*44/12</f>
        <v>0</v>
      </c>
      <c r="EC85" s="142">
        <f>EXP(-LN(2)/2)*EC84+(1-EXP(-LN(2)/2))/(LN(2)/2)*DW85*DZ85*VLOOKUP('Données projet'!$B$14,'Paramètres'!$A$1:$I$89,3,0)*0.475*44/12</f>
        <v>0</v>
      </c>
      <c r="ED85" s="143">
        <f t="shared" si="19"/>
        <v>22.29750243</v>
      </c>
      <c r="EE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1" t="str">
        <f>VLOOKUP(A85,'Données projet'!$A$191:$I$211,2,0)</f>
        <v>#N/A</v>
      </c>
      <c r="EH85" s="131" t="str">
        <f>VLOOKUP(A85,'Données projet'!$A$191:$I$211,9,0)</f>
        <v>#N/A</v>
      </c>
      <c r="EI85" s="131" t="str">
        <f t="array" ref="EI85">INDEX(EH:EH,MIN(IF(ISNUMBER(EH85:EH281),ROW(EH85:EH281),"")))</f>
        <v/>
      </c>
      <c r="EJ85" s="138">
        <f>IF('Données projet'!$A$192&gt;35,EJ84+EI85-ER84,IF(A85&lt;'Données projet'!$A$192,$EG$205^A85,IF(A85='Données projet'!$A$192,'Données projet'!$B$192,EJ84+EI85-ER84)))</f>
        <v>0</v>
      </c>
      <c r="EK85" s="138">
        <f>EJ85*VLOOKUP('Données projet'!$B$15,'Paramètres'!$A$1:$I$89,3,0)*VLOOKUP('Données projet'!$B$15,'Paramètres'!$A$1:$I$89,5,0)</f>
        <v>0</v>
      </c>
      <c r="EL85" s="130" t="str">
        <f t="shared" si="46"/>
        <v>#NUM!</v>
      </c>
      <c r="EM85" s="141" t="str">
        <f t="shared" si="20"/>
        <v>#NUM!</v>
      </c>
      <c r="EN85" s="133" t="str">
        <f t="shared" si="21"/>
        <v>#NUM!</v>
      </c>
      <c r="EO85" s="133">
        <f>AVERAGE(OFFSET($EN$3,0,0,'Données projet'!$E$15+1,1))-AVERAGE(OFFSET($H$3,0,0,'Données projet'!$E$15+1,1))</f>
        <v>130.3193339</v>
      </c>
      <c r="EP85" s="133">
        <f t="shared" si="47"/>
        <v>82.22784365</v>
      </c>
      <c r="EQ85" s="134">
        <f>IF(ISNA(VLOOKUP(A85,'Données projet'!$A$191:$I$211,3,0)),0,VLOOKUP(A85,'Données projet'!$A$191:$I$211,3,0))</f>
        <v>0</v>
      </c>
      <c r="ER85" s="134">
        <f>IF(ISNA(VLOOKUP(A85,'Données projet'!$A$191:$I$211,4,0)),0,VLOOKUP(A85,'Données projet'!$A$191:$I$211,4,0))</f>
        <v>0</v>
      </c>
      <c r="ES85" s="135">
        <f>IF(ISNA(VLOOKUP(A85,'Données projet'!$A$191:$I$211,5,0)),0%,VLOOKUP(A85,'Données projet'!$A$191:$I$211,5,0)*VLOOKUP('Données projet'!$B$15,'Paramètres'!$A$1:$I$89,7,0))</f>
        <v>0</v>
      </c>
      <c r="ET85" s="135">
        <f>IF(ISNA(VLOOKUP(A85,'Données projet'!$A$191:$I$211,6,0)),0%,VLOOKUP(A85,'Données projet'!$A$191:$I$211,6,0)*VLOOKUP('Données projet'!$B$15,'Paramètres'!$A$1:$I$89,7,0))</f>
        <v>0</v>
      </c>
      <c r="EU85" s="135">
        <f>IF(ISNA(VLOOKUP(A85,'Données projet'!$A$191:$I$211,7,0)),0%,VLOOKUP(A85,'Données projet'!$A$191:$I$211,7,0))</f>
        <v>0</v>
      </c>
      <c r="EV85" s="142">
        <f>EXP(-LN(2)/35)*EV84+(1-EXP(-LN(2)/35))/(LN(2)/35)*ER85*ES85*VLOOKUP('Données projet'!$B$15,'Paramètres'!$A$1:$I$89,3,0)*0.475*44/12</f>
        <v>102.1283366</v>
      </c>
      <c r="EW85" s="142">
        <f>EXP(-LN(2)/25)*EW84+(1-EXP(-LN(2)/25))/(LN(2)/25)*Calculateur!ER85*Calculateur!ET85*VLOOKUP('Données projet'!$B$15,'Paramètres'!$A$1:$I$89,3,0)*0.475*44/12</f>
        <v>0</v>
      </c>
      <c r="EX85" s="142">
        <f>EXP(-LN(2)/2)*EX84+(1-EXP(-LN(2)/2))/(LN(2)/2)*ER85*EU85*VLOOKUP('Données projet'!$B$15,'Paramètres'!$A$1:$I$89,3,0)*0.475*44/12</f>
        <v>0</v>
      </c>
      <c r="EY85" s="143">
        <f t="shared" si="22"/>
        <v>102.1283366</v>
      </c>
      <c r="EZ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1" t="str">
        <f>VLOOKUP(A85,'Données projet'!$A$217:$I$237,2,0)</f>
        <v>#N/A</v>
      </c>
      <c r="FC85" s="131" t="str">
        <f>VLOOKUP(A85,'Données projet'!$A$217:$I$237,9,0)</f>
        <v>#N/A</v>
      </c>
      <c r="FD85" s="131" t="str">
        <f t="array" ref="FD85">INDEX(FC:FC,MIN(IF(ISNUMBER(FC85:FC281),ROW(FC85:FC281),"")))</f>
        <v/>
      </c>
      <c r="FE85" s="130">
        <f>IF('Données projet'!$A$218&gt;35,FE84+FD85-FM84,IF(A85&lt;'Données projet'!$A$218,$FB$205^A85,IF(A85='Données projet'!$A$218,'Données projet'!$B$218,FE84+FD85-FM84)))</f>
        <v>0</v>
      </c>
      <c r="FF85" s="138">
        <f>FE85*VLOOKUP('Données projet'!$B$16,'Paramètres'!$A$1:$I$89,3,0)*VLOOKUP('Données projet'!$B$16,'Paramètres'!$A$1:$I$89,5,0)</f>
        <v>0</v>
      </c>
      <c r="FG85" s="130">
        <f t="shared" si="48"/>
        <v>0</v>
      </c>
      <c r="FH85" s="141">
        <f t="shared" si="23"/>
        <v>0</v>
      </c>
      <c r="FI85" s="133">
        <f t="shared" si="24"/>
        <v>293.3333333</v>
      </c>
      <c r="FJ85" s="133">
        <f>AVERAGE(OFFSET($FI$3,0,0,'Données projet'!$E$16+1,1))-AVERAGE(OFFSET($H$3,0,0,'Données projet'!$E$16+1,1))</f>
        <v>305.6252353</v>
      </c>
      <c r="FK85" s="133">
        <f t="shared" si="49"/>
        <v>331.397916</v>
      </c>
      <c r="FL85" s="134">
        <f>IF(ISNA(VLOOKUP(A85,'Données projet'!$A$217:$I$237,3,0)),0,VLOOKUP(A85,'Données projet'!$A$217:$I$237,3,0))</f>
        <v>0</v>
      </c>
      <c r="FM85" s="134">
        <f>IF(ISNA(VLOOKUP(A85,'Données projet'!$A$217:$I$237,4,0)),0,VLOOKUP(A85,'Données projet'!$A$217:$I$237,4,0))</f>
        <v>0</v>
      </c>
      <c r="FN85" s="135">
        <f>IF(ISNA(VLOOKUP(A85,'Données projet'!$A$217:$I$237,5,0)),0%,VLOOKUP(A85,'Données projet'!$A$217:$I$237,5,0)*VLOOKUP('Données projet'!$B$16,'Paramètres'!$A$1:$I$89,7,0))</f>
        <v>0</v>
      </c>
      <c r="FO85" s="135">
        <f>IF(ISNA(VLOOKUP(A85,'Données projet'!$A$217:$I$237,6,0)),0%,VLOOKUP(A85,'Données projet'!$A$217:$I$237,6,0)*VLOOKUP('Données projet'!$B$16,'Paramètres'!$A$1:$I$89,7,0))</f>
        <v>0</v>
      </c>
      <c r="FP85" s="135">
        <f>IF(ISNA(VLOOKUP(A85,'Données projet'!$A$217:$I$237,7,0)),0%,VLOOKUP(A85,'Données projet'!$A$217:$I$237,7,0))</f>
        <v>0</v>
      </c>
      <c r="FQ85" s="142">
        <f>EXP(-LN(2)/35)*FQ84+(1-EXP(-LN(2)/35))/(LN(2)/35)*FM85*FN85*VLOOKUP('Données projet'!$B$16,'Paramètres'!$A$1:$I$89,3,0)*0.475*44/12</f>
        <v>63.58815448</v>
      </c>
      <c r="FR85" s="142">
        <f>EXP(-LN(2)/25)*FR84+(1-EXP(-LN(2)/25))/(LN(2)/25)*Calculateur!FM85*Calculateur!FO85*VLOOKUP('Données projet'!$B$16,'Paramètres'!$A$1:$I$89,3,0)*0.475*44/12</f>
        <v>0</v>
      </c>
      <c r="FS85" s="142">
        <f>EXP(-LN(2)/2)*FS84+(1-EXP(-LN(2)/2))/(LN(2)/2)*FM85*FP85*VLOOKUP('Données projet'!$B$16,'Paramètres'!$A$1:$I$89,3,0)*0.475*44/12</f>
        <v>0</v>
      </c>
      <c r="FT85" s="143">
        <f t="shared" si="25"/>
        <v>63.58815448</v>
      </c>
      <c r="FU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1" t="str">
        <f>VLOOKUP(A85,'Données projet'!$A$243:$I$263,2,0)</f>
        <v>#N/A</v>
      </c>
      <c r="FX85" s="131" t="str">
        <f>VLOOKUP(A85,'Données projet'!$A$243:$I$263,9,0)</f>
        <v>#N/A</v>
      </c>
      <c r="FY85" s="131" t="str">
        <f t="array" ref="FY85">INDEX(FX:FX,MIN(IF(ISNUMBER(FX85:FX281),ROW(FX85:FX281),"")))</f>
        <v/>
      </c>
      <c r="FZ85" s="138">
        <f>IF('Données projet'!$A$244&gt;35,FZ84+FY85-GH84,IF(A85&lt;'Données projet'!$A$244,$FW$205^A85,IF(A85='Données projet'!$A$244,'Données projet'!$B$244,FZ84+FY85-GH84)))</f>
        <v>0</v>
      </c>
      <c r="GA85" s="138">
        <f>FZ85*VLOOKUP('Données projet'!$B$17,'Paramètres'!$A$1:$I$89,3,0)*VLOOKUP('Données projet'!$B$17,'Paramètres'!$A$1:$I$89,5,0)</f>
        <v>0</v>
      </c>
      <c r="GB85" s="130">
        <f t="shared" si="50"/>
        <v>0</v>
      </c>
      <c r="GC85" s="141">
        <f t="shared" si="26"/>
        <v>0</v>
      </c>
      <c r="GD85" s="133">
        <f t="shared" si="27"/>
        <v>293.3333333</v>
      </c>
      <c r="GE85" s="133">
        <f>AVERAGE(OFFSET($GD$3,0,0,'Données projet'!$E$17+1,1))-AVERAGE(OFFSET($H$3,0,0,'Données projet'!$E$17+1,1))</f>
        <v>118.7368745</v>
      </c>
      <c r="GF85" s="133">
        <f t="shared" si="51"/>
        <v>135.1233677</v>
      </c>
      <c r="GG85" s="134">
        <f>IF(ISNA(VLOOKUP(A85,'Données projet'!$A$243:$I$263,3,0)),0,VLOOKUP(A85,'Données projet'!$A$243:$I$263,3,0))</f>
        <v>0</v>
      </c>
      <c r="GH85" s="134">
        <f>IF(ISNA(VLOOKUP(A85,'Données projet'!$A$243:$I$263,4,0)),0,VLOOKUP(A85,'Données projet'!$A$243:$I$263,4,0))</f>
        <v>0</v>
      </c>
      <c r="GI85" s="135">
        <f>IF(ISNA(VLOOKUP(A85,'Données projet'!$A$243:$I$263,5,0)),0%,VLOOKUP(A85,'Données projet'!$A$243:$I$263,5,0)*VLOOKUP('Données projet'!$B$17,'Paramètres'!$A$1:$I$89,7,0))</f>
        <v>0</v>
      </c>
      <c r="GJ85" s="135">
        <f>IF(ISNA(VLOOKUP(A85,'Données projet'!$A$243:$I$263,6,0)),0%,VLOOKUP(A85,'Données projet'!$A$243:$I$263,6,0)*VLOOKUP('Données projet'!$B$17,'Paramètres'!$A$1:$I$89,7,0))</f>
        <v>0</v>
      </c>
      <c r="GK85" s="135">
        <f>IF(ISNA(VLOOKUP(A85,'Données projet'!$A$243:$I$263,7,0)),0%,VLOOKUP(A85,'Données projet'!$A$243:$I$263,7,0))</f>
        <v>0</v>
      </c>
      <c r="GL85" s="142">
        <f>EXP(-LN(2)/35)*GL84+(1-EXP(-LN(2)/35))/(LN(2)/35)*GH85*GI85*VLOOKUP('Données projet'!$B$17,'Paramètres'!$A$1:$I$89,3,0)*0.475*44/12</f>
        <v>67.18068855</v>
      </c>
      <c r="GM85" s="142">
        <f>EXP(-LN(2)/25)*GM84+(1-EXP(-LN(2)/25))/(LN(2)/25)*Calculateur!GH85*Calculateur!GJ85*VLOOKUP('Données projet'!$B$17,'Paramètres'!$A$1:$I$89,3,0)*0.475*44/12</f>
        <v>0</v>
      </c>
      <c r="GN85" s="142">
        <f>EXP(-LN(2)/2)*GN84+(1-EXP(-LN(2)/2))/(LN(2)/2)*GH85*GK85*VLOOKUP('Données projet'!$B$17,'Paramètres'!$A$1:$I$89,3,0)*0.475*44/12</f>
        <v>0</v>
      </c>
      <c r="GO85" s="142">
        <f t="shared" si="28"/>
        <v>67.18068855</v>
      </c>
      <c r="GP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1" t="str">
        <f>VLOOKUP(A85,'Données projet'!$A$269:$I$289,2,0)</f>
        <v>#N/A</v>
      </c>
      <c r="GS85" s="131" t="str">
        <f>VLOOKUP(A85,'Données projet'!$A$269:$I$289,9,0)</f>
        <v>#N/A</v>
      </c>
      <c r="GT85" s="131" t="str">
        <f t="array" ref="GT85">INDEX(GS:GS,MIN(IF(ISNUMBER(GS85:GS281),ROW(GS85:GS281),"")))</f>
        <v/>
      </c>
      <c r="GU85" s="138">
        <f>IF('Données projet'!$A$270&gt;35,GU84+GT85-HC84,IF(A85&lt;'Données projet'!$A$270,$GR$205^A85,IF(A85='Données projet'!$A$270,'Données projet'!$B$270,GU84+GT85-HC84)))</f>
        <v>0</v>
      </c>
      <c r="GV85" s="138">
        <f>GU85*VLOOKUP('Données projet'!$B$18,'Paramètres'!$A$1:$I$89,3,0)*VLOOKUP('Données projet'!$B$18,'Paramètres'!$A$1:$I$89,5,0)</f>
        <v>0</v>
      </c>
      <c r="GW85" s="130" t="str">
        <f t="shared" si="52"/>
        <v>#NUM!</v>
      </c>
      <c r="GX85" s="141" t="str">
        <f t="shared" si="29"/>
        <v>#NUM!</v>
      </c>
      <c r="GY85" s="133" t="str">
        <f t="shared" si="30"/>
        <v>#NUM!</v>
      </c>
      <c r="GZ85" s="133">
        <f>AVERAGE(OFFSET($GY$3,0,0,'Données projet'!$E$18+1,1))-AVERAGE(OFFSET($H$3,0,0,'Données projet'!$E$18+1,1))</f>
        <v>100.5427875</v>
      </c>
      <c r="HA85" s="133">
        <f t="shared" si="53"/>
        <v>92.28663609</v>
      </c>
      <c r="HB85" s="134">
        <f>IF(ISNA(VLOOKUP(A85,'Données projet'!$A$269:$I$289,3,0)),0,VLOOKUP(A85,'Données projet'!$A$269:$I$289,3,0))</f>
        <v>0</v>
      </c>
      <c r="HC85" s="134">
        <f>IF(ISNA(VLOOKUP(A85,'Données projet'!$A$269:$I$289,4,0)),0,VLOOKUP(A85,'Données projet'!$A$269:$I$289,4,0))</f>
        <v>0</v>
      </c>
      <c r="HD85" s="135">
        <f>IF(ISNA(VLOOKUP(A85,'Données projet'!$A$269:$I$289,5,0)),0%,VLOOKUP(A85,'Données projet'!$A$269:$I$289,5,0)*VLOOKUP('Données projet'!$B$18,'Paramètres'!$A$1:$I$89,7,0))</f>
        <v>0</v>
      </c>
      <c r="HE85" s="135">
        <f>IF(ISNA(VLOOKUP(A85,'Données projet'!$A$269:$I$289,6,0)),0%,VLOOKUP(A85,'Données projet'!$A$269:$I$289,6,0)*VLOOKUP('Données projet'!$B$18,'Paramètres'!$A$1:$I$89,7,0))</f>
        <v>0</v>
      </c>
      <c r="HF85" s="135">
        <f>IF(ISNA(VLOOKUP(A85,'Données projet'!$A$269:$I$289,7,0)),0%,VLOOKUP(A85,'Données projet'!$A$269:$I$289,7,0))</f>
        <v>0</v>
      </c>
      <c r="HG85" s="142">
        <f>EXP(-LN(2)/35)*HG84+(1-EXP(-LN(2)/35))/(LN(2)/35)*HC85*HD85*VLOOKUP('Données projet'!$B$18,'Paramètres'!$A$1:$I$89,3,0)*0.475*44/12</f>
        <v>45.74863165</v>
      </c>
      <c r="HH85" s="142">
        <f>EXP(-LN(2)/25)*HH84+(1-EXP(-LN(2)/25))/(LN(2)/25)*Calculateur!HC85*Calculateur!HE85*VLOOKUP('Données projet'!$B$18,'Paramètres'!$A$1:$I$89,3,0)*0.475*44/12</f>
        <v>0</v>
      </c>
      <c r="HI85" s="142">
        <f>EXP(-LN(2)/2)*HI84+(1-EXP(-LN(2)/2))/(LN(2)/2)*HC85*HF85*VLOOKUP('Données projet'!$B$18,'Paramètres'!$A$1:$I$89,3,0)*0.475*44/12</f>
        <v>0</v>
      </c>
      <c r="HJ85" s="143">
        <f t="shared" si="31"/>
        <v>45.74863165</v>
      </c>
    </row>
    <row r="86" ht="15.75" customHeight="1">
      <c r="A86" s="125">
        <f t="shared" si="32"/>
        <v>83</v>
      </c>
      <c r="B86" s="126">
        <f>'Scénario référence'!$B$16*5+'Scénario référence'!$B$17*0+'Scénario référence'!$B$18*5</f>
        <v>0</v>
      </c>
      <c r="C86" s="140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45.318</v>
      </c>
      <c r="D86" s="127">
        <f t="shared" si="33"/>
        <v>13.39778137</v>
      </c>
      <c r="E8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7">
        <f>IF(OR('Scénario référence'!$F$8&gt;0,'Scénario référence'!$F$9&gt;0),('Scénario référence'!$F$8+'Scénario référence'!$F$9)*10,0)</f>
        <v>10</v>
      </c>
      <c r="G86" s="127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453.2446281</v>
      </c>
      <c r="H86" s="128">
        <f t="shared" si="1"/>
        <v>395.5966525</v>
      </c>
      <c r="I86" s="12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1" t="str">
        <f>VLOOKUP(A86,'Données projet'!$A$35:$I$55,2,0)</f>
        <v>#N/A</v>
      </c>
      <c r="L86" s="131" t="str">
        <f>VLOOKUP(A86,'Données projet'!$A$35:$I$55,9,0)</f>
        <v>#N/A</v>
      </c>
      <c r="M86" s="131" t="str">
        <f t="array" ref="M86">INDEX(L:L,MIN(IF(ISNUMBER(L86:L282),ROW(L86:L282),"")))</f>
        <v/>
      </c>
      <c r="N86" s="130">
        <f>IF('Données projet'!$A$36&gt;35,N85+M86-V85,IF(A86&lt;'Données projet'!$A$36,$K$205^A86,IF(A86='Données projet'!$A$36,'Données projet'!$B$36,N85+M86-V85)))</f>
        <v>0</v>
      </c>
      <c r="O86" s="130">
        <f>N86*VLOOKUP('Données projet'!$B$9,'Paramètres'!$A$1:$I$89,3,0)*VLOOKUP('Données projet'!$B$9,'Paramètres'!$A$1:$I$89,5,0)</f>
        <v>0</v>
      </c>
      <c r="P86" s="130">
        <f t="shared" si="34"/>
        <v>0</v>
      </c>
      <c r="Q86" s="141">
        <f t="shared" si="2"/>
        <v>0</v>
      </c>
      <c r="R86" s="133">
        <f t="shared" si="3"/>
        <v>293.3333333</v>
      </c>
      <c r="S86" s="133">
        <f>AVERAGE(OFFSET($R$3,0,0,'Données projet'!$E$9+1,1))-AVERAGE(OFFSET($H$3,0,0,'Données projet'!$E$9+1,1))</f>
        <v>126.9946492</v>
      </c>
      <c r="T86" s="133">
        <f t="shared" si="35"/>
        <v>140.039049</v>
      </c>
      <c r="U86" s="134">
        <f>IF(ISNA(VLOOKUP(A86,'Données projet'!$A$35:$I$55,3,0)),0,VLOOKUP(A86,'Données projet'!$A$35:$I$55,3,0))</f>
        <v>0</v>
      </c>
      <c r="V86" s="134">
        <f>IF(ISNA(VLOOKUP(A86,'Données projet'!$A$35:$I$55,4,0)),0,VLOOKUP(A86,'Données projet'!$A$35:$I$55,4,0))</f>
        <v>0</v>
      </c>
      <c r="W86" s="135">
        <f>IF(ISNA(VLOOKUP(A86,'Données projet'!$A$35:$I$55,5,0)),0%,VLOOKUP(A86,'Données projet'!$A$35:$I$55,5,0)*VLOOKUP('Données projet'!$B$9,'Paramètres'!$A$1:$I$89,7,0))</f>
        <v>0</v>
      </c>
      <c r="X86" s="135">
        <f>IF(ISNA(VLOOKUP(A86,'Données projet'!$A$35:$I$55,6,0)),0%,VLOOKUP(A86,'Données projet'!$A$35:$I$55,6,0)*VLOOKUP('Données projet'!$B$9,'Paramètres'!$A$1:$I$89,7,0))</f>
        <v>0</v>
      </c>
      <c r="Y86" s="135">
        <f>IF(ISNA(VLOOKUP(A86,'Données projet'!$A$35:$I$55,7,0)),0%,VLOOKUP(A86,'Données projet'!$A$35:$I$55,7,0))</f>
        <v>0</v>
      </c>
      <c r="Z86" s="142">
        <f>EXP(-LN(2)/35)*Z85+(1-EXP(-LN(2)/35))/(LN(2)/35)*V86*W86*VLOOKUP('Données projet'!$B$9,'Paramètres'!$A$1:$I$89,3,0)*0.475*44/12</f>
        <v>67.3635111</v>
      </c>
      <c r="AA86" s="142">
        <f>EXP(-LN(2)/25)*AA85+(1-EXP(-LN(2)/25))/(LN(2)/25)*Calculateur!V86*Calculateur!X86*VLOOKUP('Données projet'!$B$9,'Paramètres'!$A$1:$I$89,3,0)*0.475*44/12</f>
        <v>12.28183477</v>
      </c>
      <c r="AB86" s="142">
        <f>EXP(-LN(2)/2)*AB85+(1-EXP(-LN(2)/2))/(LN(2)/2)*V86*Y86*VLOOKUP('Données projet'!$B$9,'Paramètres'!$A$1:$I$89,3,0)*0.475*44/12</f>
        <v>0.006556402907</v>
      </c>
      <c r="AC86" s="143">
        <f t="shared" si="4"/>
        <v>79.65190227</v>
      </c>
      <c r="AD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1" t="str">
        <f>VLOOKUP(A86,'Données projet'!$A$61:$I$81,2,0)</f>
        <v>#N/A</v>
      </c>
      <c r="AG86" s="131" t="str">
        <f>VLOOKUP(A86,'Données projet'!$A$61:$I$81,9,0)</f>
        <v>#N/A</v>
      </c>
      <c r="AH86" s="131" t="str">
        <f t="array" ref="AH86">INDEX(AG:AG,MIN(IF(ISNUMBER(AG86:AG282),ROW(AG86:AG282),"")))</f>
        <v/>
      </c>
      <c r="AI86" s="130">
        <f>IF('Données projet'!$A$62&gt;35,AI85+AH86-AQ85,IF(A86&lt;'Données projet'!$A$62,$AF$205^A86,IF(A86='Données projet'!$A$62,'Données projet'!$B$62,AI85+AH86-AQ85)))</f>
        <v>0</v>
      </c>
      <c r="AJ86" s="130">
        <f>AI86*VLOOKUP('Données projet'!$B$10,'Paramètres'!$A$1:$I$89,3,0)*VLOOKUP('Données projet'!$B$10,'Paramètres'!$A$1:$I$89,5,0)</f>
        <v>0</v>
      </c>
      <c r="AK86" s="130" t="str">
        <f t="shared" si="36"/>
        <v>#NUM!</v>
      </c>
      <c r="AL86" s="141" t="str">
        <f t="shared" si="5"/>
        <v>#NUM!</v>
      </c>
      <c r="AM86" s="133" t="str">
        <f t="shared" si="6"/>
        <v>#NUM!</v>
      </c>
      <c r="AN86" s="133">
        <f>AVERAGE(OFFSET($AM$3,0,0,'Données projet'!$E$10+1,1))-AVERAGE(OFFSET($H$3,0,0,'Données projet'!$E$10+1,1))</f>
        <v>196.874484</v>
      </c>
      <c r="AO86" s="133">
        <f t="shared" si="37"/>
        <v>217.5750859</v>
      </c>
      <c r="AP86" s="134">
        <f>IF(ISNA(VLOOKUP(A86,'Données projet'!$A$61:$I$81,3,0)),0,VLOOKUP(A86,'Données projet'!$A$61:$I$81,3,0))</f>
        <v>0</v>
      </c>
      <c r="AQ86" s="134">
        <f>IF(ISNA(VLOOKUP(A86,'Données projet'!$A$61:$I$81,4,0)),0,VLOOKUP(A86,'Données projet'!$A$61:$I$81,4,0))</f>
        <v>0</v>
      </c>
      <c r="AR86" s="135">
        <f>IF(ISNA(VLOOKUP(A86,'Données projet'!$A$61:$I$81,5,0)),0%,VLOOKUP(A86,'Données projet'!$A$61:$I$81,5,0)*VLOOKUP('Données projet'!$B$10,'Paramètres'!$A$1:$I$89,7,0))</f>
        <v>0</v>
      </c>
      <c r="AS86" s="135">
        <f>IF(ISNA(VLOOKUP(A86,'Données projet'!$A$61:$I$81,6,0)),0%,VLOOKUP(A86,'Données projet'!$A$61:$I$81,6,0)*VLOOKUP('Données projet'!$B$10,'Paramètres'!$A$1:$I$89,7,0))</f>
        <v>0</v>
      </c>
      <c r="AT86" s="135">
        <f>IF(ISNA(VLOOKUP(A86,'Données projet'!$A$61:$I$81,7,0)),0%,VLOOKUP(A86,'Données projet'!$A$61:$I$81,7,0))</f>
        <v>0</v>
      </c>
      <c r="AU86" s="142">
        <f>EXP(-LN(2)/35)*AU85+(1-EXP(-LN(2)/35))/(LN(2)/35)*AQ86*AR86*VLOOKUP('Données projet'!$B$10,'Paramètres'!$A$1:$I$89,3,0)*0.475*44/12</f>
        <v>93.63336705</v>
      </c>
      <c r="AV86" s="142">
        <f>EXP(-LN(2)/25)*AV85+(1-EXP(-LN(2)/25))/(LN(2)/25)*Calculateur!AQ86*Calculateur!AS86*VLOOKUP('Données projet'!$B$10,'Paramètres'!$A$1:$I$89,3,0)*0.475*44/12</f>
        <v>18.88333736</v>
      </c>
      <c r="AW86" s="142">
        <f>EXP(-LN(2)/2)*AW85+(1-EXP(-LN(2)/2))/(LN(2)/2)*AQ86*AT86*VLOOKUP('Données projet'!$B$10,'Paramètres'!$A$1:$I$89,3,0)*0.475*44/12</f>
        <v>0.009141002214</v>
      </c>
      <c r="AX86" s="142">
        <f t="shared" si="7"/>
        <v>112.5258454</v>
      </c>
      <c r="AY86" s="13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1" t="str">
        <f>VLOOKUP(A86,'Données projet'!$A$87:$I$107,2,0)</f>
        <v>#N/A</v>
      </c>
      <c r="BB86" s="131" t="str">
        <f>VLOOKUP(A86,'Données projet'!$A$87:$I$107,9,0)</f>
        <v>#N/A</v>
      </c>
      <c r="BC86" s="131" t="str">
        <f t="array" ref="BC86">INDEX(BB:BB,MIN(IF(ISNUMBER(BB86:BB282),ROW(BB86:BB282),"")))</f>
        <v/>
      </c>
      <c r="BD86" s="130">
        <f>IF('Données projet'!$A$88&gt;35,BD85+BC86-BL85,IF(A86&lt;'Données projet'!$A$88,$BA$205^A86,IF(A86='Données projet'!$A$88,'Données projet'!$B$88,BD85+BC86-BL85)))</f>
        <v>0</v>
      </c>
      <c r="BE86" s="130">
        <f>BD86*VLOOKUP('Données projet'!$B$11,'Paramètres'!$A$1:$I$89,3,0)*VLOOKUP('Données projet'!$B$11,'Paramètres'!$A$1:$I$89,5,0)</f>
        <v>0</v>
      </c>
      <c r="BF86" s="130" t="str">
        <f t="shared" si="38"/>
        <v>#NUM!</v>
      </c>
      <c r="BG86" s="141" t="str">
        <f t="shared" si="8"/>
        <v>#NUM!</v>
      </c>
      <c r="BH86" s="133" t="str">
        <f t="shared" si="9"/>
        <v>#NUM!</v>
      </c>
      <c r="BI86" s="133">
        <f>AVERAGE(OFFSET($BH$3,0,0,'Données projet'!$E$11+1,1))-AVERAGE(OFFSET($H$3,0,0,'Données projet'!$E$11+1,1))</f>
        <v>134.0948534</v>
      </c>
      <c r="BJ86" s="133">
        <f t="shared" si="39"/>
        <v>108.4102536</v>
      </c>
      <c r="BK86" s="134">
        <f>IF(ISNA(VLOOKUP(A86,'Données projet'!$A$87:$I$107,3,0)),0,VLOOKUP(A86,'Données projet'!$A$87:$I$107,3,0))</f>
        <v>0</v>
      </c>
      <c r="BL86" s="134">
        <f>IF(ISNA(VLOOKUP(A86,'Données projet'!$A$87:$I$107,4,0)),0,VLOOKUP(A86,'Données projet'!$A$87:$I$107,4,0))</f>
        <v>0</v>
      </c>
      <c r="BM86" s="135">
        <f>IF(ISNA(VLOOKUP(A86,'Données projet'!$A$87:$I$107,5,0)),0%,VLOOKUP(A86,'Données projet'!$A$87:$I$107,5,0)*VLOOKUP('Données projet'!$B$11,'Paramètres'!$A$1:$I$89,7,0))</f>
        <v>0</v>
      </c>
      <c r="BN86" s="135">
        <f>IF(ISNA(VLOOKUP(A86,'Données projet'!$A$87:$I$107,6,0)),0%,VLOOKUP(A86,'Données projet'!$A$87:$I$107,6,0)*VLOOKUP('Données projet'!$B$11,'Paramètres'!$A$1:$I$89,7,0))</f>
        <v>0</v>
      </c>
      <c r="BO86" s="135">
        <f>IF(ISNA(VLOOKUP(A86,'Données projet'!$A$87:$I$107,7,0)),0%,VLOOKUP(A86,'Données projet'!$A$87:$I$107,7,0))</f>
        <v>0</v>
      </c>
      <c r="BP86" s="142">
        <f>EXP(-LN(2)/35)*BP85+(1-EXP(-LN(2)/35))/(LN(2)/35)*BL86*BM86*VLOOKUP('Données projet'!$B$11,'Paramètres'!$A$1:$I$89,3,0)*0.475*44/12</f>
        <v>129.5124335</v>
      </c>
      <c r="BQ86" s="142">
        <f>EXP(-LN(2)/25)*BQ85+(1-EXP(-LN(2)/25))/(LN(2)/25)*Calculateur!BL86*Calculateur!BN86*VLOOKUP('Données projet'!$B$11,'Paramètres'!$A$1:$I$89,3,0)*0.475*44/12</f>
        <v>11.91162542</v>
      </c>
      <c r="BR86" s="142">
        <f>EXP(-LN(2)/2)*BR85+(1-EXP(-LN(2)/2))/(LN(2)/2)*BL86*BO86*VLOOKUP('Données projet'!$B$11,'Paramètres'!$A$1:$I$89,3,0)*0.475*44/12</f>
        <v>0.1219278511</v>
      </c>
      <c r="BS86" s="143">
        <f t="shared" si="10"/>
        <v>141.5459867</v>
      </c>
      <c r="BT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1" t="str">
        <f>VLOOKUP(A86,'Données projet'!$A$113:$I$133,2,0)</f>
        <v>#N/A</v>
      </c>
      <c r="BW86" s="131" t="str">
        <f>VLOOKUP(A86,'Données projet'!$A$113:$I$133,9,0)</f>
        <v>#N/A</v>
      </c>
      <c r="BX86" s="131" t="str">
        <f t="array" ref="BX86">INDEX(BW:BW,MIN(IF(ISNUMBER(BW86:BW282),ROW(BW86:BW282),"")))</f>
        <v/>
      </c>
      <c r="BY86" s="130">
        <f>IF('Données projet'!$A$114&gt;35,BY85+BX86-CG85,IF(A86&lt;'Données projet'!$A$114,$BV$205^A86,IF(A86='Données projet'!$A$114,'Données projet'!$B$114,BY85+BX86-CG85)))</f>
        <v>0</v>
      </c>
      <c r="BZ86" s="130">
        <f>BY86*VLOOKUP('Données projet'!$B$12,'Paramètres'!$A$1:$I$89,3,0)*VLOOKUP('Données projet'!$B$12,'Paramètres'!$A$1:$I$89,5,0)</f>
        <v>0</v>
      </c>
      <c r="CA86" s="130" t="str">
        <f t="shared" si="40"/>
        <v>#NUM!</v>
      </c>
      <c r="CB86" s="141" t="str">
        <f t="shared" si="11"/>
        <v>#NUM!</v>
      </c>
      <c r="CC86" s="133" t="str">
        <f t="shared" si="12"/>
        <v>#NUM!</v>
      </c>
      <c r="CD86" s="133">
        <f>AVERAGE(OFFSET($CC$3,0,0,'Données projet'!$E$12+1,1))-AVERAGE(OFFSET($H$3,0,0,'Données projet'!$E$12+1,1))</f>
        <v>258.1672054</v>
      </c>
      <c r="CE86" s="133">
        <f t="shared" si="41"/>
        <v>296.0724261</v>
      </c>
      <c r="CF86" s="134">
        <f>IF(ISNA(VLOOKUP(A86,'Données projet'!$A$113:$I$133,3,0)),0,VLOOKUP(A86,'Données projet'!$A$113:$I$133,3,0))</f>
        <v>0</v>
      </c>
      <c r="CG86" s="134">
        <f>IF(ISNA(VLOOKUP(A86,'Données projet'!$A$113:$I$133,4,0)),0,VLOOKUP(A86,'Données projet'!$A$113:$I$133,4,0))</f>
        <v>0</v>
      </c>
      <c r="CH86" s="135">
        <f>IF(ISNA(VLOOKUP(A86,'Données projet'!$A$113:$I$133,5,0)),0%,VLOOKUP(A86,'Données projet'!$A$113:$I$133,5,0)*VLOOKUP('Données projet'!$B$12,'Paramètres'!$A$1:$I$89,7,0))</f>
        <v>0</v>
      </c>
      <c r="CI86" s="135">
        <f>IF(ISNA(VLOOKUP(A86,'Données projet'!$A$113:$I$133,6,0)),0%,VLOOKUP(A86,'Données projet'!$A$113:$I$133,6,0)*VLOOKUP('Données projet'!$B$12,'Paramètres'!$A$1:$I$89,7,0))</f>
        <v>0</v>
      </c>
      <c r="CJ86" s="135">
        <f>IF(ISNA(VLOOKUP(A86,'Données projet'!$A$113:$I$133,7,0)),0%,VLOOKUP(A86,'Données projet'!$A$113:$I$133,7,0))</f>
        <v>0</v>
      </c>
      <c r="CK86" s="142">
        <f>EXP(-LN(2)/35)*CK85+(1-EXP(-LN(2)/35))/(LN(2)/35)*CG86*CH86*VLOOKUP('Données projet'!$B$12,'Paramètres'!$A$1:$I$89,3,0)*0.475*44/12</f>
        <v>163.7433354</v>
      </c>
      <c r="CL86" s="142">
        <f>EXP(-LN(2)/25)*CL85+(1-EXP(-LN(2)/25))/(LN(2)/25)*Calculateur!CG86*Calculateur!CI86*VLOOKUP('Données projet'!$B$12,'Paramètres'!$A$1:$I$89,3,0)*0.475*44/12</f>
        <v>20.89366718</v>
      </c>
      <c r="CM86" s="142">
        <f>EXP(-LN(2)/2)*CM85+(1-EXP(-LN(2)/2))/(LN(2)/2)*CG86*CJ86*VLOOKUP('Données projet'!$B$12,'Paramètres'!$A$1:$I$89,3,0)*0.475*44/12</f>
        <v>0.005136676456</v>
      </c>
      <c r="CN86" s="143">
        <f t="shared" si="13"/>
        <v>184.6421392</v>
      </c>
      <c r="CO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1" t="str">
        <f>VLOOKUP(A86,'Données projet'!$A$139:$I$159,2,0)</f>
        <v>#N/A</v>
      </c>
      <c r="CR86" s="131" t="str">
        <f>VLOOKUP(A86,'Données projet'!$A$139:$I$159,9,0)</f>
        <v>#N/A</v>
      </c>
      <c r="CS86" s="130">
        <f t="array" ref="CS86">INDEX(CR:CR,MIN(IF(ISNUMBER(CR86:CR282),ROW(CR86:CR282),"")))</f>
        <v>4.4</v>
      </c>
      <c r="CT86" s="138">
        <f>IF('Données projet'!$A$140&gt;35,CT85+CS86-DB85,IF(A86&lt;'Données projet'!$A$140,$CQ$205^A86,IF(A86='Données projet'!$A$140,'Données projet'!$B$140,CT85+CS86-DB85)))</f>
        <v>191.2</v>
      </c>
      <c r="CU86" s="138">
        <f>CT86*VLOOKUP('Données projet'!$B$13,'Paramètres'!$A$1:$I$89,3,0)*VLOOKUP('Données projet'!$B$13,'Paramètres'!$A$1:$I$89,5,0)</f>
        <v>193.8768</v>
      </c>
      <c r="CV86" s="130">
        <f t="shared" si="42"/>
        <v>48.3960481</v>
      </c>
      <c r="CW86" s="141">
        <f t="shared" si="14"/>
        <v>421.9585438</v>
      </c>
      <c r="CX86" s="133">
        <f t="shared" si="15"/>
        <v>715.2918771</v>
      </c>
      <c r="CY86" s="133">
        <f>AVERAGE(OFFSET($CX$3,0,0,'Données projet'!$E$13+1,1))-AVERAGE(OFFSET($H$3,0,0,'Données projet'!$E$13+1,1))</f>
        <v>223.783507</v>
      </c>
      <c r="CZ86" s="133">
        <f t="shared" si="43"/>
        <v>84.92349117</v>
      </c>
      <c r="DA86" s="134">
        <f>IF(ISNA(VLOOKUP(A86,'Données projet'!$A$139:$I$159,3,0)),0,VLOOKUP(A86,'Données projet'!$A$139:$I$159,3,0))</f>
        <v>0</v>
      </c>
      <c r="DB86" s="134">
        <f>IF(ISNA(VLOOKUP(A86,'Données projet'!$A$139:$I$159,4,0)),0,VLOOKUP(A86,'Données projet'!$A$139:$I$159,4,0))</f>
        <v>0</v>
      </c>
      <c r="DC86" s="135">
        <f>IF(ISNA(VLOOKUP(A86,'Données projet'!$A$139:$I$159,5,0)),0%,VLOOKUP(A86,'Données projet'!$A$139:$I$159,5,0)*VLOOKUP('Données projet'!$B$13,'Paramètres'!$A$1:$I$89,7,0))</f>
        <v>0</v>
      </c>
      <c r="DD86" s="135">
        <f>IF(ISNA(VLOOKUP(A86,'Données projet'!$A$139:$I$159,6,0)),0%,VLOOKUP(A86,'Données projet'!$A$139:$I$159,6,0)*VLOOKUP('Données projet'!$B$13,'Paramètres'!$A$1:$I$89,7,0))</f>
        <v>0</v>
      </c>
      <c r="DE86" s="135">
        <f>IF(ISNA(VLOOKUP(A86,'Données projet'!$A$139:$I$159,7,0)),0%,VLOOKUP(A86,'Données projet'!$A$139:$I$159,7,0))</f>
        <v>0</v>
      </c>
      <c r="DF86" s="142">
        <f>EXP(-LN(2)/35)*DF85+(1-EXP(-LN(2)/35))/(LN(2)/35)*DB86*DC86*VLOOKUP('Données projet'!$B$13,'Paramètres'!$A$1:$I$89,3,0)*0.475*44/12</f>
        <v>13.81996142</v>
      </c>
      <c r="DG86" s="142">
        <f>EXP(-LN(2)/25)*DG85+(1-EXP(-LN(2)/25))/(LN(2)/25)*Calculateur!DB86*Calculateur!DD86*VLOOKUP('Données projet'!$B$13,'Paramètres'!$A$1:$I$89,3,0)*0.475*44/12</f>
        <v>0</v>
      </c>
      <c r="DH86" s="142">
        <f>EXP(-LN(2)/2)*DH85+(1-EXP(-LN(2)/2))/(LN(2)/2)*DB86*DE86*VLOOKUP('Données projet'!$B$13,'Paramètres'!$A$1:$I$89,3,0)*0.475*44/12</f>
        <v>0</v>
      </c>
      <c r="DI86" s="143">
        <f t="shared" si="16"/>
        <v>13.81996142</v>
      </c>
      <c r="DJ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1" t="str">
        <f>VLOOKUP(A86,'Données projet'!$A$165:$I$185,2,0)</f>
        <v>#N/A</v>
      </c>
      <c r="DM86" s="131" t="str">
        <f>VLOOKUP(A86,'Données projet'!$A$165:$I$185,9,0)</f>
        <v>#N/A</v>
      </c>
      <c r="DN86" s="131">
        <f t="array" ref="DN86">INDEX(DM:DM,MIN(IF(ISNUMBER(DM86:DM282),ROW(DM86:DM282),"")))</f>
        <v>5.8</v>
      </c>
      <c r="DO86" s="138">
        <f>IF('Données projet'!$A$166&gt;35,DO85+DN86-DW85,IF(A86&lt;'Données projet'!$A$166,$DL$205^A86,IF(A86='Données projet'!$A$166,'Données projet'!$B$166,DO85+DN86-DW85)))</f>
        <v>257.4</v>
      </c>
      <c r="DP86" s="138">
        <f>DO86*VLOOKUP('Données projet'!$B$14,'Paramètres'!$A$1:$I$89,3,0)*VLOOKUP('Données projet'!$B$14,'Paramètres'!$A$1:$I$89,5,0)</f>
        <v>232.89552</v>
      </c>
      <c r="DQ86" s="130">
        <f t="shared" si="44"/>
        <v>56.90830406</v>
      </c>
      <c r="DR86" s="141">
        <f t="shared" si="17"/>
        <v>504.7416602</v>
      </c>
      <c r="DS86" s="133">
        <f t="shared" si="18"/>
        <v>798.0749936</v>
      </c>
      <c r="DT86" s="133">
        <f>AVERAGE(OFFSET($DS$3,0,0,'Données projet'!$E$14+1,1))-AVERAGE(OFFSET($H$3,0,0,'Données projet'!$E$14+1,1))</f>
        <v>287.9334714</v>
      </c>
      <c r="DU86" s="133">
        <f t="shared" si="45"/>
        <v>156.6796502</v>
      </c>
      <c r="DV86" s="134">
        <f>IF(ISNA(VLOOKUP(A86,'Données projet'!$A$165:$I$185,3,0)),0,VLOOKUP(A86,'Données projet'!$A$165:$I$185,3,0))</f>
        <v>0</v>
      </c>
      <c r="DW86" s="134">
        <f>IF(ISNA(VLOOKUP(A86,'Données projet'!$A$165:$I$185,4,0)),0,VLOOKUP(A86,'Données projet'!$A$165:$I$185,4,0))</f>
        <v>0</v>
      </c>
      <c r="DX86" s="135">
        <f>IF(ISNA(VLOOKUP(A86,'Données projet'!$A$165:$I$185,5,0)),0%,VLOOKUP(A86,'Données projet'!$A$165:$I$185,5,0)*VLOOKUP('Données projet'!$B$14,'Paramètres'!$A$1:$I$89,7,0))</f>
        <v>0</v>
      </c>
      <c r="DY86" s="135">
        <f>IF(ISNA(VLOOKUP(A86,'Données projet'!$A$165:$I$185,6,0)),0%,VLOOKUP(A86,'Données projet'!$A$165:$I$185,6,0)*VLOOKUP('Données projet'!$B$14,'Paramètres'!$A$1:$I$89,7,0))</f>
        <v>0</v>
      </c>
      <c r="DZ86" s="135">
        <f>IF(ISNA(VLOOKUP(A86,'Données projet'!$A$165:$I$185,7,0)),0%,VLOOKUP(A86,'Données projet'!$A$165:$I$185,7,0))</f>
        <v>0</v>
      </c>
      <c r="EA86" s="142">
        <f>EXP(-LN(2)/35)*EA85+(1-EXP(-LN(2)/35))/(LN(2)/35)*DW86*DX86*VLOOKUP('Données projet'!$B$14,'Paramètres'!$A$1:$I$89,3,0)*0.475*44/12</f>
        <v>21.86026201</v>
      </c>
      <c r="EB86" s="142">
        <f>EXP(-LN(2)/25)*EB85+(1-EXP(-LN(2)/25))/(LN(2)/25)*Calculateur!DW86*Calculateur!DY86*VLOOKUP('Données projet'!$B$14,'Paramètres'!$A$1:$I$89,3,0)*0.475*44/12</f>
        <v>0</v>
      </c>
      <c r="EC86" s="142">
        <f>EXP(-LN(2)/2)*EC85+(1-EXP(-LN(2)/2))/(LN(2)/2)*DW86*DZ86*VLOOKUP('Données projet'!$B$14,'Paramètres'!$A$1:$I$89,3,0)*0.475*44/12</f>
        <v>0</v>
      </c>
      <c r="ED86" s="143">
        <f t="shared" si="19"/>
        <v>21.86026201</v>
      </c>
      <c r="EE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1" t="str">
        <f>VLOOKUP(A86,'Données projet'!$A$191:$I$211,2,0)</f>
        <v>#N/A</v>
      </c>
      <c r="EH86" s="131" t="str">
        <f>VLOOKUP(A86,'Données projet'!$A$191:$I$211,9,0)</f>
        <v>#N/A</v>
      </c>
      <c r="EI86" s="131" t="str">
        <f t="array" ref="EI86">INDEX(EH:EH,MIN(IF(ISNUMBER(EH86:EH282),ROW(EH86:EH282),"")))</f>
        <v/>
      </c>
      <c r="EJ86" s="138">
        <f>IF('Données projet'!$A$192&gt;35,EJ85+EI86-ER85,IF(A86&lt;'Données projet'!$A$192,$EG$205^A86,IF(A86='Données projet'!$A$192,'Données projet'!$B$192,EJ85+EI86-ER85)))</f>
        <v>0</v>
      </c>
      <c r="EK86" s="138">
        <f>EJ86*VLOOKUP('Données projet'!$B$15,'Paramètres'!$A$1:$I$89,3,0)*VLOOKUP('Données projet'!$B$15,'Paramètres'!$A$1:$I$89,5,0)</f>
        <v>0</v>
      </c>
      <c r="EL86" s="130" t="str">
        <f t="shared" si="46"/>
        <v>#NUM!</v>
      </c>
      <c r="EM86" s="141" t="str">
        <f t="shared" si="20"/>
        <v>#NUM!</v>
      </c>
      <c r="EN86" s="133" t="str">
        <f t="shared" si="21"/>
        <v>#NUM!</v>
      </c>
      <c r="EO86" s="133">
        <f>AVERAGE(OFFSET($EN$3,0,0,'Données projet'!$E$15+1,1))-AVERAGE(OFFSET($H$3,0,0,'Données projet'!$E$15+1,1))</f>
        <v>130.3193339</v>
      </c>
      <c r="EP86" s="133">
        <f t="shared" si="47"/>
        <v>82.22784365</v>
      </c>
      <c r="EQ86" s="134">
        <f>IF(ISNA(VLOOKUP(A86,'Données projet'!$A$191:$I$211,3,0)),0,VLOOKUP(A86,'Données projet'!$A$191:$I$211,3,0))</f>
        <v>0</v>
      </c>
      <c r="ER86" s="134">
        <f>IF(ISNA(VLOOKUP(A86,'Données projet'!$A$191:$I$211,4,0)),0,VLOOKUP(A86,'Données projet'!$A$191:$I$211,4,0))</f>
        <v>0</v>
      </c>
      <c r="ES86" s="135">
        <f>IF(ISNA(VLOOKUP(A86,'Données projet'!$A$191:$I$211,5,0)),0%,VLOOKUP(A86,'Données projet'!$A$191:$I$211,5,0)*VLOOKUP('Données projet'!$B$15,'Paramètres'!$A$1:$I$89,7,0))</f>
        <v>0</v>
      </c>
      <c r="ET86" s="135">
        <f>IF(ISNA(VLOOKUP(A86,'Données projet'!$A$191:$I$211,6,0)),0%,VLOOKUP(A86,'Données projet'!$A$191:$I$211,6,0)*VLOOKUP('Données projet'!$B$15,'Paramètres'!$A$1:$I$89,7,0))</f>
        <v>0</v>
      </c>
      <c r="EU86" s="135">
        <f>IF(ISNA(VLOOKUP(A86,'Données projet'!$A$191:$I$211,7,0)),0%,VLOOKUP(A86,'Données projet'!$A$191:$I$211,7,0))</f>
        <v>0</v>
      </c>
      <c r="EV86" s="142">
        <f>EXP(-LN(2)/35)*EV85+(1-EXP(-LN(2)/35))/(LN(2)/35)*ER86*ES86*VLOOKUP('Données projet'!$B$15,'Paramètres'!$A$1:$I$89,3,0)*0.475*44/12</f>
        <v>100.1256622</v>
      </c>
      <c r="EW86" s="142">
        <f>EXP(-LN(2)/25)*EW85+(1-EXP(-LN(2)/25))/(LN(2)/25)*Calculateur!ER86*Calculateur!ET86*VLOOKUP('Données projet'!$B$15,'Paramètres'!$A$1:$I$89,3,0)*0.475*44/12</f>
        <v>0</v>
      </c>
      <c r="EX86" s="142">
        <f>EXP(-LN(2)/2)*EX85+(1-EXP(-LN(2)/2))/(LN(2)/2)*ER86*EU86*VLOOKUP('Données projet'!$B$15,'Paramètres'!$A$1:$I$89,3,0)*0.475*44/12</f>
        <v>0</v>
      </c>
      <c r="EY86" s="143">
        <f t="shared" si="22"/>
        <v>100.1256622</v>
      </c>
      <c r="EZ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1" t="str">
        <f>VLOOKUP(A86,'Données projet'!$A$217:$I$237,2,0)</f>
        <v>#N/A</v>
      </c>
      <c r="FC86" s="131" t="str">
        <f>VLOOKUP(A86,'Données projet'!$A$217:$I$237,9,0)</f>
        <v>#N/A</v>
      </c>
      <c r="FD86" s="131" t="str">
        <f t="array" ref="FD86">INDEX(FC:FC,MIN(IF(ISNUMBER(FC86:FC282),ROW(FC86:FC282),"")))</f>
        <v/>
      </c>
      <c r="FE86" s="130">
        <f>IF('Données projet'!$A$218&gt;35,FE85+FD86-FM85,IF(A86&lt;'Données projet'!$A$218,$FB$205^A86,IF(A86='Données projet'!$A$218,'Données projet'!$B$218,FE85+FD86-FM85)))</f>
        <v>0</v>
      </c>
      <c r="FF86" s="138">
        <f>FE86*VLOOKUP('Données projet'!$B$16,'Paramètres'!$A$1:$I$89,3,0)*VLOOKUP('Données projet'!$B$16,'Paramètres'!$A$1:$I$89,5,0)</f>
        <v>0</v>
      </c>
      <c r="FG86" s="130">
        <f t="shared" si="48"/>
        <v>0</v>
      </c>
      <c r="FH86" s="141">
        <f t="shared" si="23"/>
        <v>0</v>
      </c>
      <c r="FI86" s="133">
        <f t="shared" si="24"/>
        <v>293.3333333</v>
      </c>
      <c r="FJ86" s="133">
        <f>AVERAGE(OFFSET($FI$3,0,0,'Données projet'!$E$16+1,1))-AVERAGE(OFFSET($H$3,0,0,'Données projet'!$E$16+1,1))</f>
        <v>305.6252353</v>
      </c>
      <c r="FK86" s="133">
        <f t="shared" si="49"/>
        <v>331.397916</v>
      </c>
      <c r="FL86" s="134">
        <f>IF(ISNA(VLOOKUP(A86,'Données projet'!$A$217:$I$237,3,0)),0,VLOOKUP(A86,'Données projet'!$A$217:$I$237,3,0))</f>
        <v>0</v>
      </c>
      <c r="FM86" s="134">
        <f>IF(ISNA(VLOOKUP(A86,'Données projet'!$A$217:$I$237,4,0)),0,VLOOKUP(A86,'Données projet'!$A$217:$I$237,4,0))</f>
        <v>0</v>
      </c>
      <c r="FN86" s="135">
        <f>IF(ISNA(VLOOKUP(A86,'Données projet'!$A$217:$I$237,5,0)),0%,VLOOKUP(A86,'Données projet'!$A$217:$I$237,5,0)*VLOOKUP('Données projet'!$B$16,'Paramètres'!$A$1:$I$89,7,0))</f>
        <v>0</v>
      </c>
      <c r="FO86" s="135">
        <f>IF(ISNA(VLOOKUP(A86,'Données projet'!$A$217:$I$237,6,0)),0%,VLOOKUP(A86,'Données projet'!$A$217:$I$237,6,0)*VLOOKUP('Données projet'!$B$16,'Paramètres'!$A$1:$I$89,7,0))</f>
        <v>0</v>
      </c>
      <c r="FP86" s="135">
        <f>IF(ISNA(VLOOKUP(A86,'Données projet'!$A$217:$I$237,7,0)),0%,VLOOKUP(A86,'Données projet'!$A$217:$I$237,7,0))</f>
        <v>0</v>
      </c>
      <c r="FQ86" s="142">
        <f>EXP(-LN(2)/35)*FQ85+(1-EXP(-LN(2)/35))/(LN(2)/35)*FM86*FN86*VLOOKUP('Données projet'!$B$16,'Paramètres'!$A$1:$I$89,3,0)*0.475*44/12</f>
        <v>62.34122955</v>
      </c>
      <c r="FR86" s="142">
        <f>EXP(-LN(2)/25)*FR85+(1-EXP(-LN(2)/25))/(LN(2)/25)*Calculateur!FM86*Calculateur!FO86*VLOOKUP('Données projet'!$B$16,'Paramètres'!$A$1:$I$89,3,0)*0.475*44/12</f>
        <v>0</v>
      </c>
      <c r="FS86" s="142">
        <f>EXP(-LN(2)/2)*FS85+(1-EXP(-LN(2)/2))/(LN(2)/2)*FM86*FP86*VLOOKUP('Données projet'!$B$16,'Paramètres'!$A$1:$I$89,3,0)*0.475*44/12</f>
        <v>0</v>
      </c>
      <c r="FT86" s="143">
        <f t="shared" si="25"/>
        <v>62.34122955</v>
      </c>
      <c r="FU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1" t="str">
        <f>VLOOKUP(A86,'Données projet'!$A$243:$I$263,2,0)</f>
        <v>#N/A</v>
      </c>
      <c r="FX86" s="131" t="str">
        <f>VLOOKUP(A86,'Données projet'!$A$243:$I$263,9,0)</f>
        <v>#N/A</v>
      </c>
      <c r="FY86" s="131" t="str">
        <f t="array" ref="FY86">INDEX(FX:FX,MIN(IF(ISNUMBER(FX86:FX282),ROW(FX86:FX282),"")))</f>
        <v/>
      </c>
      <c r="FZ86" s="138">
        <f>IF('Données projet'!$A$244&gt;35,FZ85+FY86-GH85,IF(A86&lt;'Données projet'!$A$244,$FW$205^A86,IF(A86='Données projet'!$A$244,'Données projet'!$B$244,FZ85+FY86-GH85)))</f>
        <v>0</v>
      </c>
      <c r="GA86" s="138">
        <f>FZ86*VLOOKUP('Données projet'!$B$17,'Paramètres'!$A$1:$I$89,3,0)*VLOOKUP('Données projet'!$B$17,'Paramètres'!$A$1:$I$89,5,0)</f>
        <v>0</v>
      </c>
      <c r="GB86" s="130">
        <f t="shared" si="50"/>
        <v>0</v>
      </c>
      <c r="GC86" s="141">
        <f t="shared" si="26"/>
        <v>0</v>
      </c>
      <c r="GD86" s="133">
        <f t="shared" si="27"/>
        <v>293.3333333</v>
      </c>
      <c r="GE86" s="133">
        <f>AVERAGE(OFFSET($GD$3,0,0,'Données projet'!$E$17+1,1))-AVERAGE(OFFSET($H$3,0,0,'Données projet'!$E$17+1,1))</f>
        <v>118.7368745</v>
      </c>
      <c r="GF86" s="133">
        <f t="shared" si="51"/>
        <v>135.1233677</v>
      </c>
      <c r="GG86" s="134">
        <f>IF(ISNA(VLOOKUP(A86,'Données projet'!$A$243:$I$263,3,0)),0,VLOOKUP(A86,'Données projet'!$A$243:$I$263,3,0))</f>
        <v>0</v>
      </c>
      <c r="GH86" s="134">
        <f>IF(ISNA(VLOOKUP(A86,'Données projet'!$A$243:$I$263,4,0)),0,VLOOKUP(A86,'Données projet'!$A$243:$I$263,4,0))</f>
        <v>0</v>
      </c>
      <c r="GI86" s="135">
        <f>IF(ISNA(VLOOKUP(A86,'Données projet'!$A$243:$I$263,5,0)),0%,VLOOKUP(A86,'Données projet'!$A$243:$I$263,5,0)*VLOOKUP('Données projet'!$B$17,'Paramètres'!$A$1:$I$89,7,0))</f>
        <v>0</v>
      </c>
      <c r="GJ86" s="135">
        <f>IF(ISNA(VLOOKUP(A86,'Données projet'!$A$243:$I$263,6,0)),0%,VLOOKUP(A86,'Données projet'!$A$243:$I$263,6,0)*VLOOKUP('Données projet'!$B$17,'Paramètres'!$A$1:$I$89,7,0))</f>
        <v>0</v>
      </c>
      <c r="GK86" s="135">
        <f>IF(ISNA(VLOOKUP(A86,'Données projet'!$A$243:$I$263,7,0)),0%,VLOOKUP(A86,'Données projet'!$A$243:$I$263,7,0))</f>
        <v>0</v>
      </c>
      <c r="GL86" s="142">
        <f>EXP(-LN(2)/35)*GL85+(1-EXP(-LN(2)/35))/(LN(2)/35)*GH86*GI86*VLOOKUP('Données projet'!$B$17,'Paramètres'!$A$1:$I$89,3,0)*0.475*44/12</f>
        <v>65.86331623</v>
      </c>
      <c r="GM86" s="142">
        <f>EXP(-LN(2)/25)*GM85+(1-EXP(-LN(2)/25))/(LN(2)/25)*Calculateur!GH86*Calculateur!GJ86*VLOOKUP('Données projet'!$B$17,'Paramètres'!$A$1:$I$89,3,0)*0.475*44/12</f>
        <v>0</v>
      </c>
      <c r="GN86" s="142">
        <f>EXP(-LN(2)/2)*GN85+(1-EXP(-LN(2)/2))/(LN(2)/2)*GH86*GK86*VLOOKUP('Données projet'!$B$17,'Paramètres'!$A$1:$I$89,3,0)*0.475*44/12</f>
        <v>0</v>
      </c>
      <c r="GO86" s="142">
        <f t="shared" si="28"/>
        <v>65.86331623</v>
      </c>
      <c r="GP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1" t="str">
        <f>VLOOKUP(A86,'Données projet'!$A$269:$I$289,2,0)</f>
        <v>#N/A</v>
      </c>
      <c r="GS86" s="131" t="str">
        <f>VLOOKUP(A86,'Données projet'!$A$269:$I$289,9,0)</f>
        <v>#N/A</v>
      </c>
      <c r="GT86" s="131" t="str">
        <f t="array" ref="GT86">INDEX(GS:GS,MIN(IF(ISNUMBER(GS86:GS282),ROW(GS86:GS282),"")))</f>
        <v/>
      </c>
      <c r="GU86" s="138">
        <f>IF('Données projet'!$A$270&gt;35,GU85+GT86-HC85,IF(A86&lt;'Données projet'!$A$270,$GR$205^A86,IF(A86='Données projet'!$A$270,'Données projet'!$B$270,GU85+GT86-HC85)))</f>
        <v>0</v>
      </c>
      <c r="GV86" s="138">
        <f>GU86*VLOOKUP('Données projet'!$B$18,'Paramètres'!$A$1:$I$89,3,0)*VLOOKUP('Données projet'!$B$18,'Paramètres'!$A$1:$I$89,5,0)</f>
        <v>0</v>
      </c>
      <c r="GW86" s="130" t="str">
        <f t="shared" si="52"/>
        <v>#NUM!</v>
      </c>
      <c r="GX86" s="141" t="str">
        <f t="shared" si="29"/>
        <v>#NUM!</v>
      </c>
      <c r="GY86" s="133" t="str">
        <f t="shared" si="30"/>
        <v>#NUM!</v>
      </c>
      <c r="GZ86" s="133">
        <f>AVERAGE(OFFSET($GY$3,0,0,'Données projet'!$E$18+1,1))-AVERAGE(OFFSET($H$3,0,0,'Données projet'!$E$18+1,1))</f>
        <v>100.5427875</v>
      </c>
      <c r="HA86" s="133">
        <f t="shared" si="53"/>
        <v>92.28663609</v>
      </c>
      <c r="HB86" s="134">
        <f>IF(ISNA(VLOOKUP(A86,'Données projet'!$A$269:$I$289,3,0)),0,VLOOKUP(A86,'Données projet'!$A$269:$I$289,3,0))</f>
        <v>0</v>
      </c>
      <c r="HC86" s="134">
        <f>IF(ISNA(VLOOKUP(A86,'Données projet'!$A$269:$I$289,4,0)),0,VLOOKUP(A86,'Données projet'!$A$269:$I$289,4,0))</f>
        <v>0</v>
      </c>
      <c r="HD86" s="135">
        <f>IF(ISNA(VLOOKUP(A86,'Données projet'!$A$269:$I$289,5,0)),0%,VLOOKUP(A86,'Données projet'!$A$269:$I$289,5,0)*VLOOKUP('Données projet'!$B$18,'Paramètres'!$A$1:$I$89,7,0))</f>
        <v>0</v>
      </c>
      <c r="HE86" s="135">
        <f>IF(ISNA(VLOOKUP(A86,'Données projet'!$A$269:$I$289,6,0)),0%,VLOOKUP(A86,'Données projet'!$A$269:$I$289,6,0)*VLOOKUP('Données projet'!$B$18,'Paramètres'!$A$1:$I$89,7,0))</f>
        <v>0</v>
      </c>
      <c r="HF86" s="135">
        <f>IF(ISNA(VLOOKUP(A86,'Données projet'!$A$269:$I$289,7,0)),0%,VLOOKUP(A86,'Données projet'!$A$269:$I$289,7,0))</f>
        <v>0</v>
      </c>
      <c r="HG86" s="142">
        <f>EXP(-LN(2)/35)*HG85+(1-EXP(-LN(2)/35))/(LN(2)/35)*HC86*HD86*VLOOKUP('Données projet'!$B$18,'Paramètres'!$A$1:$I$89,3,0)*0.475*44/12</f>
        <v>44.85152889</v>
      </c>
      <c r="HH86" s="142">
        <f>EXP(-LN(2)/25)*HH85+(1-EXP(-LN(2)/25))/(LN(2)/25)*Calculateur!HC86*Calculateur!HE86*VLOOKUP('Données projet'!$B$18,'Paramètres'!$A$1:$I$89,3,0)*0.475*44/12</f>
        <v>0</v>
      </c>
      <c r="HI86" s="142">
        <f>EXP(-LN(2)/2)*HI85+(1-EXP(-LN(2)/2))/(LN(2)/2)*HC86*HF86*VLOOKUP('Données projet'!$B$18,'Paramètres'!$A$1:$I$89,3,0)*0.475*44/12</f>
        <v>0</v>
      </c>
      <c r="HJ86" s="143">
        <f t="shared" si="31"/>
        <v>44.85152889</v>
      </c>
    </row>
    <row r="87" ht="15.75" customHeight="1">
      <c r="A87" s="125">
        <f t="shared" si="32"/>
        <v>84</v>
      </c>
      <c r="B87" s="126">
        <f>'Scénario référence'!$B$16*5+'Scénario référence'!$B$17*0+'Scénario référence'!$B$18*5</f>
        <v>0</v>
      </c>
      <c r="C87" s="140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45.864</v>
      </c>
      <c r="D87" s="127">
        <f t="shared" si="33"/>
        <v>13.54031167</v>
      </c>
      <c r="E8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7">
        <f>IF(OR('Scénario référence'!$F$8&gt;0,'Scénario référence'!$F$9&gt;0),('Scénario référence'!$F$8+'Scénario référence'!$F$9)*10,0)</f>
        <v>10</v>
      </c>
      <c r="G87" s="127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458.5595989</v>
      </c>
      <c r="H87" s="128">
        <f t="shared" si="1"/>
        <v>396.7958428</v>
      </c>
      <c r="I87" s="12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1" t="str">
        <f>VLOOKUP(A87,'Données projet'!$A$35:$I$55,2,0)</f>
        <v>#N/A</v>
      </c>
      <c r="L87" s="131" t="str">
        <f>VLOOKUP(A87,'Données projet'!$A$35:$I$55,9,0)</f>
        <v>#N/A</v>
      </c>
      <c r="M87" s="131" t="str">
        <f t="array" ref="M87">INDEX(L:L,MIN(IF(ISNUMBER(L87:L283),ROW(L87:L283),"")))</f>
        <v/>
      </c>
      <c r="N87" s="130">
        <f>IF('Données projet'!$A$36&gt;35,N86+M87-V86,IF(A87&lt;'Données projet'!$A$36,$K$205^A87,IF(A87='Données projet'!$A$36,'Données projet'!$B$36,N86+M87-V86)))</f>
        <v>0</v>
      </c>
      <c r="O87" s="130">
        <f>N87*VLOOKUP('Données projet'!$B$9,'Paramètres'!$A$1:$I$89,3,0)*VLOOKUP('Données projet'!$B$9,'Paramètres'!$A$1:$I$89,5,0)</f>
        <v>0</v>
      </c>
      <c r="P87" s="130">
        <f t="shared" si="34"/>
        <v>0</v>
      </c>
      <c r="Q87" s="141">
        <f t="shared" si="2"/>
        <v>0</v>
      </c>
      <c r="R87" s="133">
        <f t="shared" si="3"/>
        <v>293.3333333</v>
      </c>
      <c r="S87" s="133">
        <f>AVERAGE(OFFSET($R$3,0,0,'Données projet'!$E$9+1,1))-AVERAGE(OFFSET($H$3,0,0,'Données projet'!$E$9+1,1))</f>
        <v>126.9946492</v>
      </c>
      <c r="T87" s="133">
        <f t="shared" si="35"/>
        <v>140.039049</v>
      </c>
      <c r="U87" s="134">
        <f>IF(ISNA(VLOOKUP(A87,'Données projet'!$A$35:$I$55,3,0)),0,VLOOKUP(A87,'Données projet'!$A$35:$I$55,3,0))</f>
        <v>0</v>
      </c>
      <c r="V87" s="134">
        <f>IF(ISNA(VLOOKUP(A87,'Données projet'!$A$35:$I$55,4,0)),0,VLOOKUP(A87,'Données projet'!$A$35:$I$55,4,0))</f>
        <v>0</v>
      </c>
      <c r="W87" s="135">
        <f>IF(ISNA(VLOOKUP(A87,'Données projet'!$A$35:$I$55,5,0)),0%,VLOOKUP(A87,'Données projet'!$A$35:$I$55,5,0)*VLOOKUP('Données projet'!$B$9,'Paramètres'!$A$1:$I$89,7,0))</f>
        <v>0</v>
      </c>
      <c r="X87" s="135">
        <f>IF(ISNA(VLOOKUP(A87,'Données projet'!$A$35:$I$55,6,0)),0%,VLOOKUP(A87,'Données projet'!$A$35:$I$55,6,0)*VLOOKUP('Données projet'!$B$9,'Paramètres'!$A$1:$I$89,7,0))</f>
        <v>0</v>
      </c>
      <c r="Y87" s="135">
        <f>IF(ISNA(VLOOKUP(A87,'Données projet'!$A$35:$I$55,7,0)),0%,VLOOKUP(A87,'Données projet'!$A$35:$I$55,7,0))</f>
        <v>0</v>
      </c>
      <c r="Z87" s="142">
        <f>EXP(-LN(2)/35)*Z86+(1-EXP(-LN(2)/35))/(LN(2)/35)*V87*W87*VLOOKUP('Données projet'!$B$9,'Paramètres'!$A$1:$I$89,3,0)*0.475*44/12</f>
        <v>66.04255374</v>
      </c>
      <c r="AA87" s="142">
        <f>EXP(-LN(2)/25)*AA86+(1-EXP(-LN(2)/25))/(LN(2)/25)*Calculateur!V87*Calculateur!X87*VLOOKUP('Données projet'!$B$9,'Paramètres'!$A$1:$I$89,3,0)*0.475*44/12</f>
        <v>11.94598735</v>
      </c>
      <c r="AB87" s="142">
        <f>EXP(-LN(2)/2)*AB86+(1-EXP(-LN(2)/2))/(LN(2)/2)*V87*Y87*VLOOKUP('Données projet'!$B$9,'Paramètres'!$A$1:$I$89,3,0)*0.475*44/12</f>
        <v>0.004636076956</v>
      </c>
      <c r="AC87" s="143">
        <f t="shared" si="4"/>
        <v>77.99317716</v>
      </c>
      <c r="AD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1" t="str">
        <f>VLOOKUP(A87,'Données projet'!$A$61:$I$81,2,0)</f>
        <v>#N/A</v>
      </c>
      <c r="AG87" s="131" t="str">
        <f>VLOOKUP(A87,'Données projet'!$A$61:$I$81,9,0)</f>
        <v>#N/A</v>
      </c>
      <c r="AH87" s="131" t="str">
        <f t="array" ref="AH87">INDEX(AG:AG,MIN(IF(ISNUMBER(AG87:AG283),ROW(AG87:AG283),"")))</f>
        <v/>
      </c>
      <c r="AI87" s="130">
        <f>IF('Données projet'!$A$62&gt;35,AI86+AH87-AQ86,IF(A87&lt;'Données projet'!$A$62,$AF$205^A87,IF(A87='Données projet'!$A$62,'Données projet'!$B$62,AI86+AH87-AQ86)))</f>
        <v>0</v>
      </c>
      <c r="AJ87" s="130">
        <f>AI87*VLOOKUP('Données projet'!$B$10,'Paramètres'!$A$1:$I$89,3,0)*VLOOKUP('Données projet'!$B$10,'Paramètres'!$A$1:$I$89,5,0)</f>
        <v>0</v>
      </c>
      <c r="AK87" s="130" t="str">
        <f t="shared" si="36"/>
        <v>#NUM!</v>
      </c>
      <c r="AL87" s="141" t="str">
        <f t="shared" si="5"/>
        <v>#NUM!</v>
      </c>
      <c r="AM87" s="133" t="str">
        <f t="shared" si="6"/>
        <v>#NUM!</v>
      </c>
      <c r="AN87" s="133">
        <f>AVERAGE(OFFSET($AM$3,0,0,'Données projet'!$E$10+1,1))-AVERAGE(OFFSET($H$3,0,0,'Données projet'!$E$10+1,1))</f>
        <v>196.874484</v>
      </c>
      <c r="AO87" s="133">
        <f t="shared" si="37"/>
        <v>217.5750859</v>
      </c>
      <c r="AP87" s="134">
        <f>IF(ISNA(VLOOKUP(A87,'Données projet'!$A$61:$I$81,3,0)),0,VLOOKUP(A87,'Données projet'!$A$61:$I$81,3,0))</f>
        <v>0</v>
      </c>
      <c r="AQ87" s="134">
        <f>IF(ISNA(VLOOKUP(A87,'Données projet'!$A$61:$I$81,4,0)),0,VLOOKUP(A87,'Données projet'!$A$61:$I$81,4,0))</f>
        <v>0</v>
      </c>
      <c r="AR87" s="135">
        <f>IF(ISNA(VLOOKUP(A87,'Données projet'!$A$61:$I$81,5,0)),0%,VLOOKUP(A87,'Données projet'!$A$61:$I$81,5,0)*VLOOKUP('Données projet'!$B$10,'Paramètres'!$A$1:$I$89,7,0))</f>
        <v>0</v>
      </c>
      <c r="AS87" s="135">
        <f>IF(ISNA(VLOOKUP(A87,'Données projet'!$A$61:$I$81,6,0)),0%,VLOOKUP(A87,'Données projet'!$A$61:$I$81,6,0)*VLOOKUP('Données projet'!$B$10,'Paramètres'!$A$1:$I$89,7,0))</f>
        <v>0</v>
      </c>
      <c r="AT87" s="135">
        <f>IF(ISNA(VLOOKUP(A87,'Données projet'!$A$61:$I$81,7,0)),0%,VLOOKUP(A87,'Données projet'!$A$61:$I$81,7,0))</f>
        <v>0</v>
      </c>
      <c r="AU87" s="142">
        <f>EXP(-LN(2)/35)*AU86+(1-EXP(-LN(2)/35))/(LN(2)/35)*AQ87*AR87*VLOOKUP('Données projet'!$B$10,'Paramètres'!$A$1:$I$89,3,0)*0.475*44/12</f>
        <v>91.79727383</v>
      </c>
      <c r="AV87" s="142">
        <f>EXP(-LN(2)/25)*AV86+(1-EXP(-LN(2)/25))/(LN(2)/25)*Calculateur!AQ87*Calculateur!AS87*VLOOKUP('Données projet'!$B$10,'Paramètres'!$A$1:$I$89,3,0)*0.475*44/12</f>
        <v>18.36697151</v>
      </c>
      <c r="AW87" s="142">
        <f>EXP(-LN(2)/2)*AW86+(1-EXP(-LN(2)/2))/(LN(2)/2)*AQ87*AT87*VLOOKUP('Données projet'!$B$10,'Paramètres'!$A$1:$I$89,3,0)*0.475*44/12</f>
        <v>0.006463664653</v>
      </c>
      <c r="AX87" s="142">
        <f t="shared" si="7"/>
        <v>110.170709</v>
      </c>
      <c r="AY87" s="13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1" t="str">
        <f>VLOOKUP(A87,'Données projet'!$A$87:$I$107,2,0)</f>
        <v>#N/A</v>
      </c>
      <c r="BB87" s="131" t="str">
        <f>VLOOKUP(A87,'Données projet'!$A$87:$I$107,9,0)</f>
        <v>#N/A</v>
      </c>
      <c r="BC87" s="131" t="str">
        <f t="array" ref="BC87">INDEX(BB:BB,MIN(IF(ISNUMBER(BB87:BB283),ROW(BB87:BB283),"")))</f>
        <v/>
      </c>
      <c r="BD87" s="130">
        <f>IF('Données projet'!$A$88&gt;35,BD86+BC87-BL86,IF(A87&lt;'Données projet'!$A$88,$BA$205^A87,IF(A87='Données projet'!$A$88,'Données projet'!$B$88,BD86+BC87-BL86)))</f>
        <v>0</v>
      </c>
      <c r="BE87" s="130">
        <f>BD87*VLOOKUP('Données projet'!$B$11,'Paramètres'!$A$1:$I$89,3,0)*VLOOKUP('Données projet'!$B$11,'Paramètres'!$A$1:$I$89,5,0)</f>
        <v>0</v>
      </c>
      <c r="BF87" s="130" t="str">
        <f t="shared" si="38"/>
        <v>#NUM!</v>
      </c>
      <c r="BG87" s="141" t="str">
        <f t="shared" si="8"/>
        <v>#NUM!</v>
      </c>
      <c r="BH87" s="133" t="str">
        <f t="shared" si="9"/>
        <v>#NUM!</v>
      </c>
      <c r="BI87" s="133">
        <f>AVERAGE(OFFSET($BH$3,0,0,'Données projet'!$E$11+1,1))-AVERAGE(OFFSET($H$3,0,0,'Données projet'!$E$11+1,1))</f>
        <v>134.0948534</v>
      </c>
      <c r="BJ87" s="133">
        <f t="shared" si="39"/>
        <v>108.4102536</v>
      </c>
      <c r="BK87" s="134">
        <f>IF(ISNA(VLOOKUP(A87,'Données projet'!$A$87:$I$107,3,0)),0,VLOOKUP(A87,'Données projet'!$A$87:$I$107,3,0))</f>
        <v>0</v>
      </c>
      <c r="BL87" s="134">
        <f>IF(ISNA(VLOOKUP(A87,'Données projet'!$A$87:$I$107,4,0)),0,VLOOKUP(A87,'Données projet'!$A$87:$I$107,4,0))</f>
        <v>0</v>
      </c>
      <c r="BM87" s="135">
        <f>IF(ISNA(VLOOKUP(A87,'Données projet'!$A$87:$I$107,5,0)),0%,VLOOKUP(A87,'Données projet'!$A$87:$I$107,5,0)*VLOOKUP('Données projet'!$B$11,'Paramètres'!$A$1:$I$89,7,0))</f>
        <v>0</v>
      </c>
      <c r="BN87" s="135">
        <f>IF(ISNA(VLOOKUP(A87,'Données projet'!$A$87:$I$107,6,0)),0%,VLOOKUP(A87,'Données projet'!$A$87:$I$107,6,0)*VLOOKUP('Données projet'!$B$11,'Paramètres'!$A$1:$I$89,7,0))</f>
        <v>0</v>
      </c>
      <c r="BO87" s="135">
        <f>IF(ISNA(VLOOKUP(A87,'Données projet'!$A$87:$I$107,7,0)),0%,VLOOKUP(A87,'Données projet'!$A$87:$I$107,7,0))</f>
        <v>0</v>
      </c>
      <c r="BP87" s="142">
        <f>EXP(-LN(2)/35)*BP86+(1-EXP(-LN(2)/35))/(LN(2)/35)*BL87*BM87*VLOOKUP('Données projet'!$B$11,'Paramètres'!$A$1:$I$89,3,0)*0.475*44/12</f>
        <v>126.9727736</v>
      </c>
      <c r="BQ87" s="142">
        <f>EXP(-LN(2)/25)*BQ86+(1-EXP(-LN(2)/25))/(LN(2)/25)*Calculateur!BL87*Calculateur!BN87*VLOOKUP('Données projet'!$B$11,'Paramètres'!$A$1:$I$89,3,0)*0.475*44/12</f>
        <v>11.5859014</v>
      </c>
      <c r="BR87" s="142">
        <f>EXP(-LN(2)/2)*BR86+(1-EXP(-LN(2)/2))/(LN(2)/2)*BL87*BO87*VLOOKUP('Données projet'!$B$11,'Paramètres'!$A$1:$I$89,3,0)*0.475*44/12</f>
        <v>0.08621601036</v>
      </c>
      <c r="BS87" s="143">
        <f t="shared" si="10"/>
        <v>138.644891</v>
      </c>
      <c r="BT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1" t="str">
        <f>VLOOKUP(A87,'Données projet'!$A$113:$I$133,2,0)</f>
        <v>#N/A</v>
      </c>
      <c r="BW87" s="131" t="str">
        <f>VLOOKUP(A87,'Données projet'!$A$113:$I$133,9,0)</f>
        <v>#N/A</v>
      </c>
      <c r="BX87" s="131" t="str">
        <f t="array" ref="BX87">INDEX(BW:BW,MIN(IF(ISNUMBER(BW87:BW283),ROW(BW87:BW283),"")))</f>
        <v/>
      </c>
      <c r="BY87" s="130">
        <f>IF('Données projet'!$A$114&gt;35,BY86+BX87-CG86,IF(A87&lt;'Données projet'!$A$114,$BV$205^A87,IF(A87='Données projet'!$A$114,'Données projet'!$B$114,BY86+BX87-CG86)))</f>
        <v>0</v>
      </c>
      <c r="BZ87" s="130">
        <f>BY87*VLOOKUP('Données projet'!$B$12,'Paramètres'!$A$1:$I$89,3,0)*VLOOKUP('Données projet'!$B$12,'Paramètres'!$A$1:$I$89,5,0)</f>
        <v>0</v>
      </c>
      <c r="CA87" s="130" t="str">
        <f t="shared" si="40"/>
        <v>#NUM!</v>
      </c>
      <c r="CB87" s="141" t="str">
        <f t="shared" si="11"/>
        <v>#NUM!</v>
      </c>
      <c r="CC87" s="133" t="str">
        <f t="shared" si="12"/>
        <v>#NUM!</v>
      </c>
      <c r="CD87" s="133">
        <f>AVERAGE(OFFSET($CC$3,0,0,'Données projet'!$E$12+1,1))-AVERAGE(OFFSET($H$3,0,0,'Données projet'!$E$12+1,1))</f>
        <v>258.1672054</v>
      </c>
      <c r="CE87" s="133">
        <f t="shared" si="41"/>
        <v>296.0724261</v>
      </c>
      <c r="CF87" s="134">
        <f>IF(ISNA(VLOOKUP(A87,'Données projet'!$A$113:$I$133,3,0)),0,VLOOKUP(A87,'Données projet'!$A$113:$I$133,3,0))</f>
        <v>0</v>
      </c>
      <c r="CG87" s="134">
        <f>IF(ISNA(VLOOKUP(A87,'Données projet'!$A$113:$I$133,4,0)),0,VLOOKUP(A87,'Données projet'!$A$113:$I$133,4,0))</f>
        <v>0</v>
      </c>
      <c r="CH87" s="135">
        <f>IF(ISNA(VLOOKUP(A87,'Données projet'!$A$113:$I$133,5,0)),0%,VLOOKUP(A87,'Données projet'!$A$113:$I$133,5,0)*VLOOKUP('Données projet'!$B$12,'Paramètres'!$A$1:$I$89,7,0))</f>
        <v>0</v>
      </c>
      <c r="CI87" s="135">
        <f>IF(ISNA(VLOOKUP(A87,'Données projet'!$A$113:$I$133,6,0)),0%,VLOOKUP(A87,'Données projet'!$A$113:$I$133,6,0)*VLOOKUP('Données projet'!$B$12,'Paramètres'!$A$1:$I$89,7,0))</f>
        <v>0</v>
      </c>
      <c r="CJ87" s="135">
        <f>IF(ISNA(VLOOKUP(A87,'Données projet'!$A$113:$I$133,7,0)),0%,VLOOKUP(A87,'Données projet'!$A$113:$I$133,7,0))</f>
        <v>0</v>
      </c>
      <c r="CK87" s="142">
        <f>EXP(-LN(2)/35)*CK86+(1-EXP(-LN(2)/35))/(LN(2)/35)*CG87*CH87*VLOOKUP('Données projet'!$B$12,'Paramètres'!$A$1:$I$89,3,0)*0.475*44/12</f>
        <v>160.5324284</v>
      </c>
      <c r="CL87" s="142">
        <f>EXP(-LN(2)/25)*CL86+(1-EXP(-LN(2)/25))/(LN(2)/25)*Calculateur!CG87*Calculateur!CI87*VLOOKUP('Données projet'!$B$12,'Paramètres'!$A$1:$I$89,3,0)*0.475*44/12</f>
        <v>20.32232875</v>
      </c>
      <c r="CM87" s="142">
        <f>EXP(-LN(2)/2)*CM86+(1-EXP(-LN(2)/2))/(LN(2)/2)*CG87*CJ87*VLOOKUP('Données projet'!$B$12,'Paramètres'!$A$1:$I$89,3,0)*0.475*44/12</f>
        <v>0.003632178755</v>
      </c>
      <c r="CN87" s="143">
        <f t="shared" si="13"/>
        <v>180.8583894</v>
      </c>
      <c r="CO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1" t="str">
        <f>VLOOKUP(A87,'Données projet'!$A$139:$I$159,2,0)</f>
        <v>#N/A</v>
      </c>
      <c r="CR87" s="131" t="str">
        <f>VLOOKUP(A87,'Données projet'!$A$139:$I$159,9,0)</f>
        <v>#N/A</v>
      </c>
      <c r="CS87" s="130">
        <f t="array" ref="CS87">INDEX(CR:CR,MIN(IF(ISNUMBER(CR87:CR283),ROW(CR87:CR283),"")))</f>
        <v>4.4</v>
      </c>
      <c r="CT87" s="138">
        <f>IF('Données projet'!$A$140&gt;35,CT86+CS87-DB86,IF(A87&lt;'Données projet'!$A$140,$CQ$205^A87,IF(A87='Données projet'!$A$140,'Données projet'!$B$140,CT86+CS87-DB86)))</f>
        <v>195.6</v>
      </c>
      <c r="CU87" s="138">
        <f>CT87*VLOOKUP('Données projet'!$B$13,'Paramètres'!$A$1:$I$89,3,0)*VLOOKUP('Données projet'!$B$13,'Paramètres'!$A$1:$I$89,5,0)</f>
        <v>198.3384</v>
      </c>
      <c r="CV87" s="130">
        <f t="shared" si="42"/>
        <v>49.37882122</v>
      </c>
      <c r="CW87" s="141">
        <f t="shared" si="14"/>
        <v>431.440827</v>
      </c>
      <c r="CX87" s="133">
        <f t="shared" si="15"/>
        <v>724.7741603</v>
      </c>
      <c r="CY87" s="133">
        <f>AVERAGE(OFFSET($CX$3,0,0,'Données projet'!$E$13+1,1))-AVERAGE(OFFSET($H$3,0,0,'Données projet'!$E$13+1,1))</f>
        <v>223.783507</v>
      </c>
      <c r="CZ87" s="133">
        <f t="shared" si="43"/>
        <v>84.92349117</v>
      </c>
      <c r="DA87" s="134">
        <f>IF(ISNA(VLOOKUP(A87,'Données projet'!$A$139:$I$159,3,0)),0,VLOOKUP(A87,'Données projet'!$A$139:$I$159,3,0))</f>
        <v>0</v>
      </c>
      <c r="DB87" s="134">
        <f>IF(ISNA(VLOOKUP(A87,'Données projet'!$A$139:$I$159,4,0)),0,VLOOKUP(A87,'Données projet'!$A$139:$I$159,4,0))</f>
        <v>0</v>
      </c>
      <c r="DC87" s="135">
        <f>IF(ISNA(VLOOKUP(A87,'Données projet'!$A$139:$I$159,5,0)),0%,VLOOKUP(A87,'Données projet'!$A$139:$I$159,5,0)*VLOOKUP('Données projet'!$B$13,'Paramètres'!$A$1:$I$89,7,0))</f>
        <v>0</v>
      </c>
      <c r="DD87" s="135">
        <f>IF(ISNA(VLOOKUP(A87,'Données projet'!$A$139:$I$159,6,0)),0%,VLOOKUP(A87,'Données projet'!$A$139:$I$159,6,0)*VLOOKUP('Données projet'!$B$13,'Paramètres'!$A$1:$I$89,7,0))</f>
        <v>0</v>
      </c>
      <c r="DE87" s="135">
        <f>IF(ISNA(VLOOKUP(A87,'Données projet'!$A$139:$I$159,7,0)),0%,VLOOKUP(A87,'Données projet'!$A$139:$I$159,7,0))</f>
        <v>0</v>
      </c>
      <c r="DF87" s="142">
        <f>EXP(-LN(2)/35)*DF86+(1-EXP(-LN(2)/35))/(LN(2)/35)*DB87*DC87*VLOOKUP('Données projet'!$B$13,'Paramètres'!$A$1:$I$89,3,0)*0.475*44/12</f>
        <v>13.54896041</v>
      </c>
      <c r="DG87" s="142">
        <f>EXP(-LN(2)/25)*DG86+(1-EXP(-LN(2)/25))/(LN(2)/25)*Calculateur!DB87*Calculateur!DD87*VLOOKUP('Données projet'!$B$13,'Paramètres'!$A$1:$I$89,3,0)*0.475*44/12</f>
        <v>0</v>
      </c>
      <c r="DH87" s="142">
        <f>EXP(-LN(2)/2)*DH86+(1-EXP(-LN(2)/2))/(LN(2)/2)*DB87*DE87*VLOOKUP('Données projet'!$B$13,'Paramètres'!$A$1:$I$89,3,0)*0.475*44/12</f>
        <v>0</v>
      </c>
      <c r="DI87" s="143">
        <f t="shared" si="16"/>
        <v>13.54896041</v>
      </c>
      <c r="DJ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1" t="str">
        <f>VLOOKUP(A87,'Données projet'!$A$165:$I$185,2,0)</f>
        <v>#N/A</v>
      </c>
      <c r="DM87" s="131" t="str">
        <f>VLOOKUP(A87,'Données projet'!$A$165:$I$185,9,0)</f>
        <v>#N/A</v>
      </c>
      <c r="DN87" s="131">
        <f t="array" ref="DN87">INDEX(DM:DM,MIN(IF(ISNUMBER(DM87:DM283),ROW(DM87:DM283),"")))</f>
        <v>5.8</v>
      </c>
      <c r="DO87" s="138">
        <f>IF('Données projet'!$A$166&gt;35,DO86+DN87-DW86,IF(A87&lt;'Données projet'!$A$166,$DL$205^A87,IF(A87='Données projet'!$A$166,'Données projet'!$B$166,DO86+DN87-DW86)))</f>
        <v>263.2</v>
      </c>
      <c r="DP87" s="138">
        <f>DO87*VLOOKUP('Données projet'!$B$14,'Paramètres'!$A$1:$I$89,3,0)*VLOOKUP('Données projet'!$B$14,'Paramètres'!$A$1:$I$89,5,0)</f>
        <v>238.14336</v>
      </c>
      <c r="DQ87" s="130">
        <f t="shared" si="44"/>
        <v>58.03988497</v>
      </c>
      <c r="DR87" s="141">
        <f t="shared" si="17"/>
        <v>515.852485</v>
      </c>
      <c r="DS87" s="133">
        <f t="shared" si="18"/>
        <v>809.1858183</v>
      </c>
      <c r="DT87" s="133">
        <f>AVERAGE(OFFSET($DS$3,0,0,'Données projet'!$E$14+1,1))-AVERAGE(OFFSET($H$3,0,0,'Données projet'!$E$14+1,1))</f>
        <v>287.9334714</v>
      </c>
      <c r="DU87" s="133">
        <f t="shared" si="45"/>
        <v>156.6796502</v>
      </c>
      <c r="DV87" s="134">
        <f>IF(ISNA(VLOOKUP(A87,'Données projet'!$A$165:$I$185,3,0)),0,VLOOKUP(A87,'Données projet'!$A$165:$I$185,3,0))</f>
        <v>0</v>
      </c>
      <c r="DW87" s="134">
        <f>IF(ISNA(VLOOKUP(A87,'Données projet'!$A$165:$I$185,4,0)),0,VLOOKUP(A87,'Données projet'!$A$165:$I$185,4,0))</f>
        <v>0</v>
      </c>
      <c r="DX87" s="135">
        <f>IF(ISNA(VLOOKUP(A87,'Données projet'!$A$165:$I$185,5,0)),0%,VLOOKUP(A87,'Données projet'!$A$165:$I$185,5,0)*VLOOKUP('Données projet'!$B$14,'Paramètres'!$A$1:$I$89,7,0))</f>
        <v>0</v>
      </c>
      <c r="DY87" s="135">
        <f>IF(ISNA(VLOOKUP(A87,'Données projet'!$A$165:$I$185,6,0)),0%,VLOOKUP(A87,'Données projet'!$A$165:$I$185,6,0)*VLOOKUP('Données projet'!$B$14,'Paramètres'!$A$1:$I$89,7,0))</f>
        <v>0</v>
      </c>
      <c r="DZ87" s="135">
        <f>IF(ISNA(VLOOKUP(A87,'Données projet'!$A$165:$I$185,7,0)),0%,VLOOKUP(A87,'Données projet'!$A$165:$I$185,7,0))</f>
        <v>0</v>
      </c>
      <c r="EA87" s="142">
        <f>EXP(-LN(2)/35)*EA86+(1-EXP(-LN(2)/35))/(LN(2)/35)*DW87*DX87*VLOOKUP('Données projet'!$B$14,'Paramètres'!$A$1:$I$89,3,0)*0.475*44/12</f>
        <v>21.4315956</v>
      </c>
      <c r="EB87" s="142">
        <f>EXP(-LN(2)/25)*EB86+(1-EXP(-LN(2)/25))/(LN(2)/25)*Calculateur!DW87*Calculateur!DY87*VLOOKUP('Données projet'!$B$14,'Paramètres'!$A$1:$I$89,3,0)*0.475*44/12</f>
        <v>0</v>
      </c>
      <c r="EC87" s="142">
        <f>EXP(-LN(2)/2)*EC86+(1-EXP(-LN(2)/2))/(LN(2)/2)*DW87*DZ87*VLOOKUP('Données projet'!$B$14,'Paramètres'!$A$1:$I$89,3,0)*0.475*44/12</f>
        <v>0</v>
      </c>
      <c r="ED87" s="143">
        <f t="shared" si="19"/>
        <v>21.4315956</v>
      </c>
      <c r="EE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1" t="str">
        <f>VLOOKUP(A87,'Données projet'!$A$191:$I$211,2,0)</f>
        <v>#N/A</v>
      </c>
      <c r="EH87" s="131" t="str">
        <f>VLOOKUP(A87,'Données projet'!$A$191:$I$211,9,0)</f>
        <v>#N/A</v>
      </c>
      <c r="EI87" s="131" t="str">
        <f t="array" ref="EI87">INDEX(EH:EH,MIN(IF(ISNUMBER(EH87:EH283),ROW(EH87:EH283),"")))</f>
        <v/>
      </c>
      <c r="EJ87" s="138">
        <f>IF('Données projet'!$A$192&gt;35,EJ86+EI87-ER86,IF(A87&lt;'Données projet'!$A$192,$EG$205^A87,IF(A87='Données projet'!$A$192,'Données projet'!$B$192,EJ86+EI87-ER86)))</f>
        <v>0</v>
      </c>
      <c r="EK87" s="138">
        <f>EJ87*VLOOKUP('Données projet'!$B$15,'Paramètres'!$A$1:$I$89,3,0)*VLOOKUP('Données projet'!$B$15,'Paramètres'!$A$1:$I$89,5,0)</f>
        <v>0</v>
      </c>
      <c r="EL87" s="130" t="str">
        <f t="shared" si="46"/>
        <v>#NUM!</v>
      </c>
      <c r="EM87" s="141" t="str">
        <f t="shared" si="20"/>
        <v>#NUM!</v>
      </c>
      <c r="EN87" s="133" t="str">
        <f t="shared" si="21"/>
        <v>#NUM!</v>
      </c>
      <c r="EO87" s="133">
        <f>AVERAGE(OFFSET($EN$3,0,0,'Données projet'!$E$15+1,1))-AVERAGE(OFFSET($H$3,0,0,'Données projet'!$E$15+1,1))</f>
        <v>130.3193339</v>
      </c>
      <c r="EP87" s="133">
        <f t="shared" si="47"/>
        <v>82.22784365</v>
      </c>
      <c r="EQ87" s="134">
        <f>IF(ISNA(VLOOKUP(A87,'Données projet'!$A$191:$I$211,3,0)),0,VLOOKUP(A87,'Données projet'!$A$191:$I$211,3,0))</f>
        <v>0</v>
      </c>
      <c r="ER87" s="134">
        <f>IF(ISNA(VLOOKUP(A87,'Données projet'!$A$191:$I$211,4,0)),0,VLOOKUP(A87,'Données projet'!$A$191:$I$211,4,0))</f>
        <v>0</v>
      </c>
      <c r="ES87" s="135">
        <f>IF(ISNA(VLOOKUP(A87,'Données projet'!$A$191:$I$211,5,0)),0%,VLOOKUP(A87,'Données projet'!$A$191:$I$211,5,0)*VLOOKUP('Données projet'!$B$15,'Paramètres'!$A$1:$I$89,7,0))</f>
        <v>0</v>
      </c>
      <c r="ET87" s="135">
        <f>IF(ISNA(VLOOKUP(A87,'Données projet'!$A$191:$I$211,6,0)),0%,VLOOKUP(A87,'Données projet'!$A$191:$I$211,6,0)*VLOOKUP('Données projet'!$B$15,'Paramètres'!$A$1:$I$89,7,0))</f>
        <v>0</v>
      </c>
      <c r="EU87" s="135">
        <f>IF(ISNA(VLOOKUP(A87,'Données projet'!$A$191:$I$211,7,0)),0%,VLOOKUP(A87,'Données projet'!$A$191:$I$211,7,0))</f>
        <v>0</v>
      </c>
      <c r="EV87" s="142">
        <f>EXP(-LN(2)/35)*EV86+(1-EXP(-LN(2)/35))/(LN(2)/35)*ER87*ES87*VLOOKUP('Données projet'!$B$15,'Paramètres'!$A$1:$I$89,3,0)*0.475*44/12</f>
        <v>98.16225901</v>
      </c>
      <c r="EW87" s="142">
        <f>EXP(-LN(2)/25)*EW86+(1-EXP(-LN(2)/25))/(LN(2)/25)*Calculateur!ER87*Calculateur!ET87*VLOOKUP('Données projet'!$B$15,'Paramètres'!$A$1:$I$89,3,0)*0.475*44/12</f>
        <v>0</v>
      </c>
      <c r="EX87" s="142">
        <f>EXP(-LN(2)/2)*EX86+(1-EXP(-LN(2)/2))/(LN(2)/2)*ER87*EU87*VLOOKUP('Données projet'!$B$15,'Paramètres'!$A$1:$I$89,3,0)*0.475*44/12</f>
        <v>0</v>
      </c>
      <c r="EY87" s="143">
        <f t="shared" si="22"/>
        <v>98.16225901</v>
      </c>
      <c r="EZ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1" t="str">
        <f>VLOOKUP(A87,'Données projet'!$A$217:$I$237,2,0)</f>
        <v>#N/A</v>
      </c>
      <c r="FC87" s="131" t="str">
        <f>VLOOKUP(A87,'Données projet'!$A$217:$I$237,9,0)</f>
        <v>#N/A</v>
      </c>
      <c r="FD87" s="131" t="str">
        <f t="array" ref="FD87">INDEX(FC:FC,MIN(IF(ISNUMBER(FC87:FC283),ROW(FC87:FC283),"")))</f>
        <v/>
      </c>
      <c r="FE87" s="130">
        <f>IF('Données projet'!$A$218&gt;35,FE86+FD87-FM86,IF(A87&lt;'Données projet'!$A$218,$FB$205^A87,IF(A87='Données projet'!$A$218,'Données projet'!$B$218,FE86+FD87-FM86)))</f>
        <v>0</v>
      </c>
      <c r="FF87" s="138">
        <f>FE87*VLOOKUP('Données projet'!$B$16,'Paramètres'!$A$1:$I$89,3,0)*VLOOKUP('Données projet'!$B$16,'Paramètres'!$A$1:$I$89,5,0)</f>
        <v>0</v>
      </c>
      <c r="FG87" s="130">
        <f t="shared" si="48"/>
        <v>0</v>
      </c>
      <c r="FH87" s="141">
        <f t="shared" si="23"/>
        <v>0</v>
      </c>
      <c r="FI87" s="133">
        <f t="shared" si="24"/>
        <v>293.3333333</v>
      </c>
      <c r="FJ87" s="133">
        <f>AVERAGE(OFFSET($FI$3,0,0,'Données projet'!$E$16+1,1))-AVERAGE(OFFSET($H$3,0,0,'Données projet'!$E$16+1,1))</f>
        <v>305.6252353</v>
      </c>
      <c r="FK87" s="133">
        <f t="shared" si="49"/>
        <v>331.397916</v>
      </c>
      <c r="FL87" s="134">
        <f>IF(ISNA(VLOOKUP(A87,'Données projet'!$A$217:$I$237,3,0)),0,VLOOKUP(A87,'Données projet'!$A$217:$I$237,3,0))</f>
        <v>0</v>
      </c>
      <c r="FM87" s="134">
        <f>IF(ISNA(VLOOKUP(A87,'Données projet'!$A$217:$I$237,4,0)),0,VLOOKUP(A87,'Données projet'!$A$217:$I$237,4,0))</f>
        <v>0</v>
      </c>
      <c r="FN87" s="135">
        <f>IF(ISNA(VLOOKUP(A87,'Données projet'!$A$217:$I$237,5,0)),0%,VLOOKUP(A87,'Données projet'!$A$217:$I$237,5,0)*VLOOKUP('Données projet'!$B$16,'Paramètres'!$A$1:$I$89,7,0))</f>
        <v>0</v>
      </c>
      <c r="FO87" s="135">
        <f>IF(ISNA(VLOOKUP(A87,'Données projet'!$A$217:$I$237,6,0)),0%,VLOOKUP(A87,'Données projet'!$A$217:$I$237,6,0)*VLOOKUP('Données projet'!$B$16,'Paramètres'!$A$1:$I$89,7,0))</f>
        <v>0</v>
      </c>
      <c r="FP87" s="135">
        <f>IF(ISNA(VLOOKUP(A87,'Données projet'!$A$217:$I$237,7,0)),0%,VLOOKUP(A87,'Données projet'!$A$217:$I$237,7,0))</f>
        <v>0</v>
      </c>
      <c r="FQ87" s="142">
        <f>EXP(-LN(2)/35)*FQ86+(1-EXP(-LN(2)/35))/(LN(2)/35)*FM87*FN87*VLOOKUP('Données projet'!$B$16,'Paramètres'!$A$1:$I$89,3,0)*0.475*44/12</f>
        <v>61.11875607</v>
      </c>
      <c r="FR87" s="142">
        <f>EXP(-LN(2)/25)*FR86+(1-EXP(-LN(2)/25))/(LN(2)/25)*Calculateur!FM87*Calculateur!FO87*VLOOKUP('Données projet'!$B$16,'Paramètres'!$A$1:$I$89,3,0)*0.475*44/12</f>
        <v>0</v>
      </c>
      <c r="FS87" s="142">
        <f>EXP(-LN(2)/2)*FS86+(1-EXP(-LN(2)/2))/(LN(2)/2)*FM87*FP87*VLOOKUP('Données projet'!$B$16,'Paramètres'!$A$1:$I$89,3,0)*0.475*44/12</f>
        <v>0</v>
      </c>
      <c r="FT87" s="143">
        <f t="shared" si="25"/>
        <v>61.11875607</v>
      </c>
      <c r="FU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1" t="str">
        <f>VLOOKUP(A87,'Données projet'!$A$243:$I$263,2,0)</f>
        <v>#N/A</v>
      </c>
      <c r="FX87" s="131" t="str">
        <f>VLOOKUP(A87,'Données projet'!$A$243:$I$263,9,0)</f>
        <v>#N/A</v>
      </c>
      <c r="FY87" s="131" t="str">
        <f t="array" ref="FY87">INDEX(FX:FX,MIN(IF(ISNUMBER(FX87:FX283),ROW(FX87:FX283),"")))</f>
        <v/>
      </c>
      <c r="FZ87" s="138">
        <f>IF('Données projet'!$A$244&gt;35,FZ86+FY87-GH86,IF(A87&lt;'Données projet'!$A$244,$FW$205^A87,IF(A87='Données projet'!$A$244,'Données projet'!$B$244,FZ86+FY87-GH86)))</f>
        <v>0</v>
      </c>
      <c r="GA87" s="138">
        <f>FZ87*VLOOKUP('Données projet'!$B$17,'Paramètres'!$A$1:$I$89,3,0)*VLOOKUP('Données projet'!$B$17,'Paramètres'!$A$1:$I$89,5,0)</f>
        <v>0</v>
      </c>
      <c r="GB87" s="130">
        <f t="shared" si="50"/>
        <v>0</v>
      </c>
      <c r="GC87" s="141">
        <f t="shared" si="26"/>
        <v>0</v>
      </c>
      <c r="GD87" s="133">
        <f t="shared" si="27"/>
        <v>293.3333333</v>
      </c>
      <c r="GE87" s="133">
        <f>AVERAGE(OFFSET($GD$3,0,0,'Données projet'!$E$17+1,1))-AVERAGE(OFFSET($H$3,0,0,'Données projet'!$E$17+1,1))</f>
        <v>118.7368745</v>
      </c>
      <c r="GF87" s="133">
        <f t="shared" si="51"/>
        <v>135.1233677</v>
      </c>
      <c r="GG87" s="134">
        <f>IF(ISNA(VLOOKUP(A87,'Données projet'!$A$243:$I$263,3,0)),0,VLOOKUP(A87,'Données projet'!$A$243:$I$263,3,0))</f>
        <v>0</v>
      </c>
      <c r="GH87" s="134">
        <f>IF(ISNA(VLOOKUP(A87,'Données projet'!$A$243:$I$263,4,0)),0,VLOOKUP(A87,'Données projet'!$A$243:$I$263,4,0))</f>
        <v>0</v>
      </c>
      <c r="GI87" s="135">
        <f>IF(ISNA(VLOOKUP(A87,'Données projet'!$A$243:$I$263,5,0)),0%,VLOOKUP(A87,'Données projet'!$A$243:$I$263,5,0)*VLOOKUP('Données projet'!$B$17,'Paramètres'!$A$1:$I$89,7,0))</f>
        <v>0</v>
      </c>
      <c r="GJ87" s="135">
        <f>IF(ISNA(VLOOKUP(A87,'Données projet'!$A$243:$I$263,6,0)),0%,VLOOKUP(A87,'Données projet'!$A$243:$I$263,6,0)*VLOOKUP('Données projet'!$B$17,'Paramètres'!$A$1:$I$89,7,0))</f>
        <v>0</v>
      </c>
      <c r="GK87" s="135">
        <f>IF(ISNA(VLOOKUP(A87,'Données projet'!$A$243:$I$263,7,0)),0%,VLOOKUP(A87,'Données projet'!$A$243:$I$263,7,0))</f>
        <v>0</v>
      </c>
      <c r="GL87" s="142">
        <f>EXP(-LN(2)/35)*GL86+(1-EXP(-LN(2)/35))/(LN(2)/35)*GH87*GI87*VLOOKUP('Données projet'!$B$17,'Paramètres'!$A$1:$I$89,3,0)*0.475*44/12</f>
        <v>64.57177677</v>
      </c>
      <c r="GM87" s="142">
        <f>EXP(-LN(2)/25)*GM86+(1-EXP(-LN(2)/25))/(LN(2)/25)*Calculateur!GH87*Calculateur!GJ87*VLOOKUP('Données projet'!$B$17,'Paramètres'!$A$1:$I$89,3,0)*0.475*44/12</f>
        <v>0</v>
      </c>
      <c r="GN87" s="142">
        <f>EXP(-LN(2)/2)*GN86+(1-EXP(-LN(2)/2))/(LN(2)/2)*GH87*GK87*VLOOKUP('Données projet'!$B$17,'Paramètres'!$A$1:$I$89,3,0)*0.475*44/12</f>
        <v>0</v>
      </c>
      <c r="GO87" s="142">
        <f t="shared" si="28"/>
        <v>64.57177677</v>
      </c>
      <c r="GP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1" t="str">
        <f>VLOOKUP(A87,'Données projet'!$A$269:$I$289,2,0)</f>
        <v>#N/A</v>
      </c>
      <c r="GS87" s="131" t="str">
        <f>VLOOKUP(A87,'Données projet'!$A$269:$I$289,9,0)</f>
        <v>#N/A</v>
      </c>
      <c r="GT87" s="131" t="str">
        <f t="array" ref="GT87">INDEX(GS:GS,MIN(IF(ISNUMBER(GS87:GS283),ROW(GS87:GS283),"")))</f>
        <v/>
      </c>
      <c r="GU87" s="138">
        <f>IF('Données projet'!$A$270&gt;35,GU86+GT87-HC86,IF(A87&lt;'Données projet'!$A$270,$GR$205^A87,IF(A87='Données projet'!$A$270,'Données projet'!$B$270,GU86+GT87-HC86)))</f>
        <v>0</v>
      </c>
      <c r="GV87" s="138">
        <f>GU87*VLOOKUP('Données projet'!$B$18,'Paramètres'!$A$1:$I$89,3,0)*VLOOKUP('Données projet'!$B$18,'Paramètres'!$A$1:$I$89,5,0)</f>
        <v>0</v>
      </c>
      <c r="GW87" s="130" t="str">
        <f t="shared" si="52"/>
        <v>#NUM!</v>
      </c>
      <c r="GX87" s="141" t="str">
        <f t="shared" si="29"/>
        <v>#NUM!</v>
      </c>
      <c r="GY87" s="133" t="str">
        <f t="shared" si="30"/>
        <v>#NUM!</v>
      </c>
      <c r="GZ87" s="133">
        <f>AVERAGE(OFFSET($GY$3,0,0,'Données projet'!$E$18+1,1))-AVERAGE(OFFSET($H$3,0,0,'Données projet'!$E$18+1,1))</f>
        <v>100.5427875</v>
      </c>
      <c r="HA87" s="133">
        <f t="shared" si="53"/>
        <v>92.28663609</v>
      </c>
      <c r="HB87" s="134">
        <f>IF(ISNA(VLOOKUP(A87,'Données projet'!$A$269:$I$289,3,0)),0,VLOOKUP(A87,'Données projet'!$A$269:$I$289,3,0))</f>
        <v>0</v>
      </c>
      <c r="HC87" s="134">
        <f>IF(ISNA(VLOOKUP(A87,'Données projet'!$A$269:$I$289,4,0)),0,VLOOKUP(A87,'Données projet'!$A$269:$I$289,4,0))</f>
        <v>0</v>
      </c>
      <c r="HD87" s="135">
        <f>IF(ISNA(VLOOKUP(A87,'Données projet'!$A$269:$I$289,5,0)),0%,VLOOKUP(A87,'Données projet'!$A$269:$I$289,5,0)*VLOOKUP('Données projet'!$B$18,'Paramètres'!$A$1:$I$89,7,0))</f>
        <v>0</v>
      </c>
      <c r="HE87" s="135">
        <f>IF(ISNA(VLOOKUP(A87,'Données projet'!$A$269:$I$289,6,0)),0%,VLOOKUP(A87,'Données projet'!$A$269:$I$289,6,0)*VLOOKUP('Données projet'!$B$18,'Paramètres'!$A$1:$I$89,7,0))</f>
        <v>0</v>
      </c>
      <c r="HF87" s="135">
        <f>IF(ISNA(VLOOKUP(A87,'Données projet'!$A$269:$I$289,7,0)),0%,VLOOKUP(A87,'Données projet'!$A$269:$I$289,7,0))</f>
        <v>0</v>
      </c>
      <c r="HG87" s="142">
        <f>EXP(-LN(2)/35)*HG86+(1-EXP(-LN(2)/35))/(LN(2)/35)*HC87*HD87*VLOOKUP('Données projet'!$B$18,'Paramètres'!$A$1:$I$89,3,0)*0.475*44/12</f>
        <v>43.97201777</v>
      </c>
      <c r="HH87" s="142">
        <f>EXP(-LN(2)/25)*HH86+(1-EXP(-LN(2)/25))/(LN(2)/25)*Calculateur!HC87*Calculateur!HE87*VLOOKUP('Données projet'!$B$18,'Paramètres'!$A$1:$I$89,3,0)*0.475*44/12</f>
        <v>0</v>
      </c>
      <c r="HI87" s="142">
        <f>EXP(-LN(2)/2)*HI86+(1-EXP(-LN(2)/2))/(LN(2)/2)*HC87*HF87*VLOOKUP('Données projet'!$B$18,'Paramètres'!$A$1:$I$89,3,0)*0.475*44/12</f>
        <v>0</v>
      </c>
      <c r="HJ87" s="143">
        <f t="shared" si="31"/>
        <v>43.97201777</v>
      </c>
    </row>
    <row r="88" ht="15.75" customHeight="1">
      <c r="A88" s="125">
        <f t="shared" si="32"/>
        <v>85</v>
      </c>
      <c r="B88" s="126">
        <f>'Scénario référence'!$B$16*5+'Scénario référence'!$B$17*0+'Scénario référence'!$B$18*5</f>
        <v>0</v>
      </c>
      <c r="C88" s="140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46.41</v>
      </c>
      <c r="D88" s="127">
        <f t="shared" si="33"/>
        <v>13.68264461</v>
      </c>
      <c r="E8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7">
        <f>IF(OR('Scénario référence'!$F$8&gt;0,'Scénario référence'!$F$9&gt;0),('Scénario référence'!$F$8+'Scénario référence'!$F$9)*10,0)</f>
        <v>10</v>
      </c>
      <c r="G88" s="127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463.8730461</v>
      </c>
      <c r="H88" s="128">
        <f t="shared" si="1"/>
        <v>397.9946894</v>
      </c>
      <c r="I88" s="12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1" t="str">
        <f>VLOOKUP(A88,'Données projet'!$A$35:$I$55,2,0)</f>
        <v>#N/A</v>
      </c>
      <c r="L88" s="131" t="str">
        <f>VLOOKUP(A88,'Données projet'!$A$35:$I$55,9,0)</f>
        <v>#N/A</v>
      </c>
      <c r="M88" s="131" t="str">
        <f t="array" ref="M88">INDEX(L:L,MIN(IF(ISNUMBER(L88:L284),ROW(L88:L284),"")))</f>
        <v/>
      </c>
      <c r="N88" s="130">
        <f>IF('Données projet'!$A$36&gt;35,N87+M88-V87,IF(A88&lt;'Données projet'!$A$36,$K$205^A88,IF(A88='Données projet'!$A$36,'Données projet'!$B$36,N87+M88-V87)))</f>
        <v>0</v>
      </c>
      <c r="O88" s="130">
        <f>N88*VLOOKUP('Données projet'!$B$9,'Paramètres'!$A$1:$I$89,3,0)*VLOOKUP('Données projet'!$B$9,'Paramètres'!$A$1:$I$89,5,0)</f>
        <v>0</v>
      </c>
      <c r="P88" s="130">
        <f t="shared" si="34"/>
        <v>0</v>
      </c>
      <c r="Q88" s="141">
        <f t="shared" si="2"/>
        <v>0</v>
      </c>
      <c r="R88" s="133">
        <f t="shared" si="3"/>
        <v>293.3333333</v>
      </c>
      <c r="S88" s="133">
        <f>AVERAGE(OFFSET($R$3,0,0,'Données projet'!$E$9+1,1))-AVERAGE(OFFSET($H$3,0,0,'Données projet'!$E$9+1,1))</f>
        <v>126.9946492</v>
      </c>
      <c r="T88" s="133">
        <f t="shared" si="35"/>
        <v>140.039049</v>
      </c>
      <c r="U88" s="134">
        <f>IF(ISNA(VLOOKUP(A88,'Données projet'!$A$35:$I$55,3,0)),0,VLOOKUP(A88,'Données projet'!$A$35:$I$55,3,0))</f>
        <v>0</v>
      </c>
      <c r="V88" s="134">
        <f>IF(ISNA(VLOOKUP(A88,'Données projet'!$A$35:$I$55,4,0)),0,VLOOKUP(A88,'Données projet'!$A$35:$I$55,4,0))</f>
        <v>0</v>
      </c>
      <c r="W88" s="135">
        <f>IF(ISNA(VLOOKUP(A88,'Données projet'!$A$35:$I$55,5,0)),0%,VLOOKUP(A88,'Données projet'!$A$35:$I$55,5,0)*VLOOKUP('Données projet'!$B$9,'Paramètres'!$A$1:$I$89,7,0))</f>
        <v>0</v>
      </c>
      <c r="X88" s="135">
        <f>IF(ISNA(VLOOKUP(A88,'Données projet'!$A$35:$I$55,6,0)),0%,VLOOKUP(A88,'Données projet'!$A$35:$I$55,6,0)*VLOOKUP('Données projet'!$B$9,'Paramètres'!$A$1:$I$89,7,0))</f>
        <v>0</v>
      </c>
      <c r="Y88" s="135">
        <f>IF(ISNA(VLOOKUP(A88,'Données projet'!$A$35:$I$55,7,0)),0%,VLOOKUP(A88,'Données projet'!$A$35:$I$55,7,0))</f>
        <v>0</v>
      </c>
      <c r="Z88" s="142">
        <f>EXP(-LN(2)/35)*Z87+(1-EXP(-LN(2)/35))/(LN(2)/35)*V88*W88*VLOOKUP('Données projet'!$B$9,'Paramètres'!$A$1:$I$89,3,0)*0.475*44/12</f>
        <v>64.74749954</v>
      </c>
      <c r="AA88" s="142">
        <f>EXP(-LN(2)/25)*AA87+(1-EXP(-LN(2)/25))/(LN(2)/25)*Calculateur!V88*Calculateur!X88*VLOOKUP('Données projet'!$B$9,'Paramètres'!$A$1:$I$89,3,0)*0.475*44/12</f>
        <v>11.6193237</v>
      </c>
      <c r="AB88" s="142">
        <f>EXP(-LN(2)/2)*AB87+(1-EXP(-LN(2)/2))/(LN(2)/2)*V88*Y88*VLOOKUP('Données projet'!$B$9,'Paramètres'!$A$1:$I$89,3,0)*0.475*44/12</f>
        <v>0.003278201453</v>
      </c>
      <c r="AC88" s="143">
        <f t="shared" si="4"/>
        <v>76.37010144</v>
      </c>
      <c r="AD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1" t="str">
        <f>VLOOKUP(A88,'Données projet'!$A$61:$I$81,2,0)</f>
        <v>#N/A</v>
      </c>
      <c r="AG88" s="131" t="str">
        <f>VLOOKUP(A88,'Données projet'!$A$61:$I$81,9,0)</f>
        <v>#N/A</v>
      </c>
      <c r="AH88" s="131" t="str">
        <f t="array" ref="AH88">INDEX(AG:AG,MIN(IF(ISNUMBER(AG88:AG284),ROW(AG88:AG284),"")))</f>
        <v/>
      </c>
      <c r="AI88" s="130">
        <f>IF('Données projet'!$A$62&gt;35,AI87+AH88-AQ87,IF(A88&lt;'Données projet'!$A$62,$AF$205^A88,IF(A88='Données projet'!$A$62,'Données projet'!$B$62,AI87+AH88-AQ87)))</f>
        <v>0</v>
      </c>
      <c r="AJ88" s="130">
        <f>AI88*VLOOKUP('Données projet'!$B$10,'Paramètres'!$A$1:$I$89,3,0)*VLOOKUP('Données projet'!$B$10,'Paramètres'!$A$1:$I$89,5,0)</f>
        <v>0</v>
      </c>
      <c r="AK88" s="130" t="str">
        <f t="shared" si="36"/>
        <v>#NUM!</v>
      </c>
      <c r="AL88" s="141" t="str">
        <f t="shared" si="5"/>
        <v>#NUM!</v>
      </c>
      <c r="AM88" s="133" t="str">
        <f t="shared" si="6"/>
        <v>#NUM!</v>
      </c>
      <c r="AN88" s="133">
        <f>AVERAGE(OFFSET($AM$3,0,0,'Données projet'!$E$10+1,1))-AVERAGE(OFFSET($H$3,0,0,'Données projet'!$E$10+1,1))</f>
        <v>196.874484</v>
      </c>
      <c r="AO88" s="133">
        <f t="shared" si="37"/>
        <v>217.5750859</v>
      </c>
      <c r="AP88" s="134">
        <f>IF(ISNA(VLOOKUP(A88,'Données projet'!$A$61:$I$81,3,0)),0,VLOOKUP(A88,'Données projet'!$A$61:$I$81,3,0))</f>
        <v>0</v>
      </c>
      <c r="AQ88" s="134">
        <f>IF(ISNA(VLOOKUP(A88,'Données projet'!$A$61:$I$81,4,0)),0,VLOOKUP(A88,'Données projet'!$A$61:$I$81,4,0))</f>
        <v>0</v>
      </c>
      <c r="AR88" s="135">
        <f>IF(ISNA(VLOOKUP(A88,'Données projet'!$A$61:$I$81,5,0)),0%,VLOOKUP(A88,'Données projet'!$A$61:$I$81,5,0)*VLOOKUP('Données projet'!$B$10,'Paramètres'!$A$1:$I$89,7,0))</f>
        <v>0</v>
      </c>
      <c r="AS88" s="135">
        <f>IF(ISNA(VLOOKUP(A88,'Données projet'!$A$61:$I$81,6,0)),0%,VLOOKUP(A88,'Données projet'!$A$61:$I$81,6,0)*VLOOKUP('Données projet'!$B$10,'Paramètres'!$A$1:$I$89,7,0))</f>
        <v>0</v>
      </c>
      <c r="AT88" s="135">
        <f>IF(ISNA(VLOOKUP(A88,'Données projet'!$A$61:$I$81,7,0)),0%,VLOOKUP(A88,'Données projet'!$A$61:$I$81,7,0))</f>
        <v>0</v>
      </c>
      <c r="AU88" s="142">
        <f>EXP(-LN(2)/35)*AU87+(1-EXP(-LN(2)/35))/(LN(2)/35)*AQ88*AR88*VLOOKUP('Données projet'!$B$10,'Paramètres'!$A$1:$I$89,3,0)*0.475*44/12</f>
        <v>89.99718528</v>
      </c>
      <c r="AV88" s="142">
        <f>EXP(-LN(2)/25)*AV87+(1-EXP(-LN(2)/25))/(LN(2)/25)*Calculateur!AQ88*Calculateur!AS88*VLOOKUP('Données projet'!$B$10,'Paramètres'!$A$1:$I$89,3,0)*0.475*44/12</f>
        <v>17.86472571</v>
      </c>
      <c r="AW88" s="142">
        <f>EXP(-LN(2)/2)*AW87+(1-EXP(-LN(2)/2))/(LN(2)/2)*AQ88*AT88*VLOOKUP('Données projet'!$B$10,'Paramètres'!$A$1:$I$89,3,0)*0.475*44/12</f>
        <v>0.004570501107</v>
      </c>
      <c r="AX88" s="142">
        <f t="shared" si="7"/>
        <v>107.8664815</v>
      </c>
      <c r="AY88" s="13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1" t="str">
        <f>VLOOKUP(A88,'Données projet'!$A$87:$I$107,2,0)</f>
        <v>#N/A</v>
      </c>
      <c r="BB88" s="131" t="str">
        <f>VLOOKUP(A88,'Données projet'!$A$87:$I$107,9,0)</f>
        <v>#N/A</v>
      </c>
      <c r="BC88" s="131" t="str">
        <f t="array" ref="BC88">INDEX(BB:BB,MIN(IF(ISNUMBER(BB88:BB284),ROW(BB88:BB284),"")))</f>
        <v/>
      </c>
      <c r="BD88" s="130">
        <f>IF('Données projet'!$A$88&gt;35,BD87+BC88-BL87,IF(A88&lt;'Données projet'!$A$88,$BA$205^A88,IF(A88='Données projet'!$A$88,'Données projet'!$B$88,BD87+BC88-BL87)))</f>
        <v>0</v>
      </c>
      <c r="BE88" s="130">
        <f>BD88*VLOOKUP('Données projet'!$B$11,'Paramètres'!$A$1:$I$89,3,0)*VLOOKUP('Données projet'!$B$11,'Paramètres'!$A$1:$I$89,5,0)</f>
        <v>0</v>
      </c>
      <c r="BF88" s="130" t="str">
        <f t="shared" si="38"/>
        <v>#NUM!</v>
      </c>
      <c r="BG88" s="141" t="str">
        <f t="shared" si="8"/>
        <v>#NUM!</v>
      </c>
      <c r="BH88" s="133" t="str">
        <f t="shared" si="9"/>
        <v>#NUM!</v>
      </c>
      <c r="BI88" s="133">
        <f>AVERAGE(OFFSET($BH$3,0,0,'Données projet'!$E$11+1,1))-AVERAGE(OFFSET($H$3,0,0,'Données projet'!$E$11+1,1))</f>
        <v>134.0948534</v>
      </c>
      <c r="BJ88" s="133">
        <f t="shared" si="39"/>
        <v>108.4102536</v>
      </c>
      <c r="BK88" s="134">
        <f>IF(ISNA(VLOOKUP(A88,'Données projet'!$A$87:$I$107,3,0)),0,VLOOKUP(A88,'Données projet'!$A$87:$I$107,3,0))</f>
        <v>0</v>
      </c>
      <c r="BL88" s="134">
        <f>IF(ISNA(VLOOKUP(A88,'Données projet'!$A$87:$I$107,4,0)),0,VLOOKUP(A88,'Données projet'!$A$87:$I$107,4,0))</f>
        <v>0</v>
      </c>
      <c r="BM88" s="135">
        <f>IF(ISNA(VLOOKUP(A88,'Données projet'!$A$87:$I$107,5,0)),0%,VLOOKUP(A88,'Données projet'!$A$87:$I$107,5,0)*VLOOKUP('Données projet'!$B$11,'Paramètres'!$A$1:$I$89,7,0))</f>
        <v>0</v>
      </c>
      <c r="BN88" s="135">
        <f>IF(ISNA(VLOOKUP(A88,'Données projet'!$A$87:$I$107,6,0)),0%,VLOOKUP(A88,'Données projet'!$A$87:$I$107,6,0)*VLOOKUP('Données projet'!$B$11,'Paramètres'!$A$1:$I$89,7,0))</f>
        <v>0</v>
      </c>
      <c r="BO88" s="135">
        <f>IF(ISNA(VLOOKUP(A88,'Données projet'!$A$87:$I$107,7,0)),0%,VLOOKUP(A88,'Données projet'!$A$87:$I$107,7,0))</f>
        <v>0</v>
      </c>
      <c r="BP88" s="142">
        <f>EXP(-LN(2)/35)*BP87+(1-EXP(-LN(2)/35))/(LN(2)/35)*BL88*BM88*VLOOKUP('Données projet'!$B$11,'Paramètres'!$A$1:$I$89,3,0)*0.475*44/12</f>
        <v>124.482915</v>
      </c>
      <c r="BQ88" s="142">
        <f>EXP(-LN(2)/25)*BQ87+(1-EXP(-LN(2)/25))/(LN(2)/25)*Calculateur!BL88*Calculateur!BN88*VLOOKUP('Données projet'!$B$11,'Paramètres'!$A$1:$I$89,3,0)*0.475*44/12</f>
        <v>11.26908431</v>
      </c>
      <c r="BR88" s="142">
        <f>EXP(-LN(2)/2)*BR87+(1-EXP(-LN(2)/2))/(LN(2)/2)*BL88*BO88*VLOOKUP('Données projet'!$B$11,'Paramètres'!$A$1:$I$89,3,0)*0.475*44/12</f>
        <v>0.06096392557</v>
      </c>
      <c r="BS88" s="143">
        <f t="shared" si="10"/>
        <v>135.8129632</v>
      </c>
      <c r="BT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1" t="str">
        <f>VLOOKUP(A88,'Données projet'!$A$113:$I$133,2,0)</f>
        <v>#N/A</v>
      </c>
      <c r="BW88" s="131" t="str">
        <f>VLOOKUP(A88,'Données projet'!$A$113:$I$133,9,0)</f>
        <v>#N/A</v>
      </c>
      <c r="BX88" s="131" t="str">
        <f t="array" ref="BX88">INDEX(BW:BW,MIN(IF(ISNUMBER(BW88:BW284),ROW(BW88:BW284),"")))</f>
        <v/>
      </c>
      <c r="BY88" s="130">
        <f>IF('Données projet'!$A$114&gt;35,BY87+BX88-CG87,IF(A88&lt;'Données projet'!$A$114,$BV$205^A88,IF(A88='Données projet'!$A$114,'Données projet'!$B$114,BY87+BX88-CG87)))</f>
        <v>0</v>
      </c>
      <c r="BZ88" s="130">
        <f>BY88*VLOOKUP('Données projet'!$B$12,'Paramètres'!$A$1:$I$89,3,0)*VLOOKUP('Données projet'!$B$12,'Paramètres'!$A$1:$I$89,5,0)</f>
        <v>0</v>
      </c>
      <c r="CA88" s="130" t="str">
        <f t="shared" si="40"/>
        <v>#NUM!</v>
      </c>
      <c r="CB88" s="141" t="str">
        <f t="shared" si="11"/>
        <v>#NUM!</v>
      </c>
      <c r="CC88" s="133" t="str">
        <f t="shared" si="12"/>
        <v>#NUM!</v>
      </c>
      <c r="CD88" s="133">
        <f>AVERAGE(OFFSET($CC$3,0,0,'Données projet'!$E$12+1,1))-AVERAGE(OFFSET($H$3,0,0,'Données projet'!$E$12+1,1))</f>
        <v>258.1672054</v>
      </c>
      <c r="CE88" s="133">
        <f t="shared" si="41"/>
        <v>296.0724261</v>
      </c>
      <c r="CF88" s="134">
        <f>IF(ISNA(VLOOKUP(A88,'Données projet'!$A$113:$I$133,3,0)),0,VLOOKUP(A88,'Données projet'!$A$113:$I$133,3,0))</f>
        <v>0</v>
      </c>
      <c r="CG88" s="134">
        <f>IF(ISNA(VLOOKUP(A88,'Données projet'!$A$113:$I$133,4,0)),0,VLOOKUP(A88,'Données projet'!$A$113:$I$133,4,0))</f>
        <v>0</v>
      </c>
      <c r="CH88" s="135">
        <f>IF(ISNA(VLOOKUP(A88,'Données projet'!$A$113:$I$133,5,0)),0%,VLOOKUP(A88,'Données projet'!$A$113:$I$133,5,0)*VLOOKUP('Données projet'!$B$12,'Paramètres'!$A$1:$I$89,7,0))</f>
        <v>0</v>
      </c>
      <c r="CI88" s="135">
        <f>IF(ISNA(VLOOKUP(A88,'Données projet'!$A$113:$I$133,6,0)),0%,VLOOKUP(A88,'Données projet'!$A$113:$I$133,6,0)*VLOOKUP('Données projet'!$B$12,'Paramètres'!$A$1:$I$89,7,0))</f>
        <v>0</v>
      </c>
      <c r="CJ88" s="135">
        <f>IF(ISNA(VLOOKUP(A88,'Données projet'!$A$113:$I$133,7,0)),0%,VLOOKUP(A88,'Données projet'!$A$113:$I$133,7,0))</f>
        <v>0</v>
      </c>
      <c r="CK88" s="142">
        <f>EXP(-LN(2)/35)*CK87+(1-EXP(-LN(2)/35))/(LN(2)/35)*CG88*CH88*VLOOKUP('Données projet'!$B$12,'Paramètres'!$A$1:$I$89,3,0)*0.475*44/12</f>
        <v>157.3844854</v>
      </c>
      <c r="CL88" s="142">
        <f>EXP(-LN(2)/25)*CL87+(1-EXP(-LN(2)/25))/(LN(2)/25)*Calculateur!CG88*Calculateur!CI88*VLOOKUP('Données projet'!$B$12,'Paramètres'!$A$1:$I$89,3,0)*0.475*44/12</f>
        <v>19.7666136</v>
      </c>
      <c r="CM88" s="142">
        <f>EXP(-LN(2)/2)*CM87+(1-EXP(-LN(2)/2))/(LN(2)/2)*CG88*CJ88*VLOOKUP('Données projet'!$B$12,'Paramètres'!$A$1:$I$89,3,0)*0.475*44/12</f>
        <v>0.002568338228</v>
      </c>
      <c r="CN88" s="143">
        <f t="shared" si="13"/>
        <v>177.1536674</v>
      </c>
      <c r="CO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8">
        <f>VLOOKUP(A88,'Données projet'!$A$139:$I$159,2,0)</f>
        <v>200</v>
      </c>
      <c r="CR88" s="130">
        <f>VLOOKUP(A88,'Données projet'!$A$139:$I$159,9,0)</f>
        <v>4.4</v>
      </c>
      <c r="CS88" s="130">
        <f t="array" ref="CS88">INDEX(CR:CR,MIN(IF(ISNUMBER(CR88:CR284),ROW(CR88:CR284),"")))</f>
        <v>4.4</v>
      </c>
      <c r="CT88" s="138">
        <f>IF('Données projet'!$A$140&gt;35,CT87+CS88-DB87,IF(A88&lt;'Données projet'!$A$140,$CQ$205^A88,IF(A88='Données projet'!$A$140,'Données projet'!$B$140,CT87+CS88-DB87)))</f>
        <v>200</v>
      </c>
      <c r="CU88" s="138">
        <f>CT88*VLOOKUP('Données projet'!$B$13,'Paramètres'!$A$1:$I$89,3,0)*VLOOKUP('Données projet'!$B$13,'Paramètres'!$A$1:$I$89,5,0)</f>
        <v>202.8</v>
      </c>
      <c r="CV88" s="130">
        <f t="shared" si="42"/>
        <v>50.35902418</v>
      </c>
      <c r="CW88" s="141">
        <f t="shared" si="14"/>
        <v>440.9186338</v>
      </c>
      <c r="CX88" s="133">
        <f t="shared" si="15"/>
        <v>734.2519671</v>
      </c>
      <c r="CY88" s="133">
        <f>AVERAGE(OFFSET($CX$3,0,0,'Données projet'!$E$13+1,1))-AVERAGE(OFFSET($H$3,0,0,'Données projet'!$E$13+1,1))</f>
        <v>223.783507</v>
      </c>
      <c r="CZ88" s="133">
        <f t="shared" si="43"/>
        <v>84.92349117</v>
      </c>
      <c r="DA88" s="134">
        <f>IF(ISNA(VLOOKUP(A88,'Données projet'!$A$139:$I$159,3,0)),0,VLOOKUP(A88,'Données projet'!$A$139:$I$159,3,0))</f>
        <v>13</v>
      </c>
      <c r="DB88" s="144">
        <f>IF(ISNA(VLOOKUP(A88,'Données projet'!$A$139:$I$159,4,0)),0,VLOOKUP(A88,'Données projet'!$A$139:$I$159,4,0))</f>
        <v>14</v>
      </c>
      <c r="DC88" s="135">
        <f>IF(ISNA(VLOOKUP(A88,'Données projet'!$A$139:$I$159,5,0)),0%,VLOOKUP(A88,'Données projet'!$A$139:$I$159,5,0)*VLOOKUP('Données projet'!$B$13,'Paramètres'!$A$1:$I$89,7,0))</f>
        <v>0.258</v>
      </c>
      <c r="DD88" s="135">
        <f>IF(ISNA(VLOOKUP(A88,'Données projet'!$A$139:$I$159,6,0)),0%,VLOOKUP(A88,'Données projet'!$A$139:$I$159,6,0)*VLOOKUP('Données projet'!$B$13,'Paramètres'!$A$1:$I$89,7,0))</f>
        <v>0</v>
      </c>
      <c r="DE88" s="135" t="str">
        <f>IF(ISNA(VLOOKUP(A88,'Données projet'!$A$139:$I$159,7,0)),0%,VLOOKUP(A88,'Données projet'!$A$139:$I$159,7,0))</f>
        <v/>
      </c>
      <c r="DF88" s="142">
        <f>EXP(-LN(2)/35)*DF87+(1-EXP(-LN(2)/35))/(LN(2)/35)*DB88*DC88*VLOOKUP('Données projet'!$B$13,'Paramètres'!$A$1:$I$89,3,0)*0.475*44/12</f>
        <v>17.332134</v>
      </c>
      <c r="DG88" s="142">
        <f>EXP(-LN(2)/25)*DG87+(1-EXP(-LN(2)/25))/(LN(2)/25)*Calculateur!DB88*Calculateur!DD88*VLOOKUP('Données projet'!$B$13,'Paramètres'!$A$1:$I$89,3,0)*0.475*44/12</f>
        <v>0</v>
      </c>
      <c r="DH88" s="142">
        <f>EXP(-LN(2)/2)*DH87+(1-EXP(-LN(2)/2))/(LN(2)/2)*DB88*DE88*VLOOKUP('Données projet'!$B$13,'Paramètres'!$A$1:$I$89,3,0)*0.475*44/12</f>
        <v>0</v>
      </c>
      <c r="DI88" s="143">
        <f t="shared" si="16"/>
        <v>17.332134</v>
      </c>
      <c r="DJ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8">
        <f>VLOOKUP(A88,'Données projet'!$A$165:$I$185,2,0)</f>
        <v>269</v>
      </c>
      <c r="DM88" s="131">
        <f>VLOOKUP(A88,'Données projet'!$A$165:$I$185,9,0)</f>
        <v>5.8</v>
      </c>
      <c r="DN88" s="131">
        <f t="array" ref="DN88">INDEX(DM:DM,MIN(IF(ISNUMBER(DM88:DM284),ROW(DM88:DM284),"")))</f>
        <v>5.8</v>
      </c>
      <c r="DO88" s="138">
        <f>IF('Données projet'!$A$166&gt;35,DO87+DN88-DW87,IF(A88&lt;'Données projet'!$A$166,$DL$205^A88,IF(A88='Données projet'!$A$166,'Données projet'!$B$166,DO87+DN88-DW87)))</f>
        <v>269</v>
      </c>
      <c r="DP88" s="138">
        <f>DO88*VLOOKUP('Données projet'!$B$14,'Paramètres'!$A$1:$I$89,3,0)*VLOOKUP('Données projet'!$B$14,'Paramètres'!$A$1:$I$89,5,0)</f>
        <v>243.3912</v>
      </c>
      <c r="DQ88" s="130">
        <f t="shared" si="44"/>
        <v>59.16856679</v>
      </c>
      <c r="DR88" s="141">
        <f t="shared" si="17"/>
        <v>526.9582605</v>
      </c>
      <c r="DS88" s="133">
        <f t="shared" si="18"/>
        <v>820.2915938</v>
      </c>
      <c r="DT88" s="133">
        <f>AVERAGE(OFFSET($DS$3,0,0,'Données projet'!$E$14+1,1))-AVERAGE(OFFSET($H$3,0,0,'Données projet'!$E$14+1,1))</f>
        <v>287.9334714</v>
      </c>
      <c r="DU88" s="133">
        <f t="shared" si="45"/>
        <v>156.6796502</v>
      </c>
      <c r="DV88" s="134">
        <f>IF(ISNA(VLOOKUP(A88,'Données projet'!$A$165:$I$185,3,0)),0,VLOOKUP(A88,'Données projet'!$A$165:$I$185,3,0))</f>
        <v>14</v>
      </c>
      <c r="DW88" s="144">
        <f>IF(ISNA(VLOOKUP(A88,'Données projet'!$A$165:$I$185,4,0)),0,VLOOKUP(A88,'Données projet'!$A$165:$I$185,4,0))</f>
        <v>21</v>
      </c>
      <c r="DX88" s="135">
        <f>IF(ISNA(VLOOKUP(A88,'Données projet'!$A$165:$I$185,5,0)),0%,VLOOKUP(A88,'Données projet'!$A$165:$I$185,5,0)*VLOOKUP('Données projet'!$B$14,'Paramètres'!$A$1:$I$89,7,0))</f>
        <v>0.258</v>
      </c>
      <c r="DY88" s="135">
        <f>IF(ISNA(VLOOKUP(A88,'Données projet'!$A$165:$I$185,6,0)),0%,VLOOKUP(A88,'Données projet'!$A$165:$I$185,6,0)*VLOOKUP('Données projet'!$B$14,'Paramètres'!$A$1:$I$89,7,0))</f>
        <v>0</v>
      </c>
      <c r="DZ88" s="135" t="str">
        <f>IF(ISNA(VLOOKUP(A88,'Données projet'!$A$165:$I$185,7,0)),0%,VLOOKUP(A88,'Données projet'!$A$165:$I$185,7,0))</f>
        <v/>
      </c>
      <c r="EA88" s="142">
        <f>EXP(-LN(2)/35)*EA87+(1-EXP(-LN(2)/35))/(LN(2)/35)*DW88*DX88*VLOOKUP('Données projet'!$B$14,'Paramètres'!$A$1:$I$89,3,0)*0.475*44/12</f>
        <v>26.43057905</v>
      </c>
      <c r="EB88" s="142">
        <f>EXP(-LN(2)/25)*EB87+(1-EXP(-LN(2)/25))/(LN(2)/25)*Calculateur!DW88*Calculateur!DY88*VLOOKUP('Données projet'!$B$14,'Paramètres'!$A$1:$I$89,3,0)*0.475*44/12</f>
        <v>0</v>
      </c>
      <c r="EC88" s="142">
        <f>EXP(-LN(2)/2)*EC87+(1-EXP(-LN(2)/2))/(LN(2)/2)*DW88*DZ88*VLOOKUP('Données projet'!$B$14,'Paramètres'!$A$1:$I$89,3,0)*0.475*44/12</f>
        <v>0</v>
      </c>
      <c r="ED88" s="143">
        <f t="shared" si="19"/>
        <v>26.43057905</v>
      </c>
      <c r="EE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1" t="str">
        <f>VLOOKUP(A88,'Données projet'!$A$191:$I$211,2,0)</f>
        <v>#N/A</v>
      </c>
      <c r="EH88" s="131" t="str">
        <f>VLOOKUP(A88,'Données projet'!$A$191:$I$211,9,0)</f>
        <v>#N/A</v>
      </c>
      <c r="EI88" s="131" t="str">
        <f t="array" ref="EI88">INDEX(EH:EH,MIN(IF(ISNUMBER(EH88:EH284),ROW(EH88:EH284),"")))</f>
        <v/>
      </c>
      <c r="EJ88" s="138">
        <f>IF('Données projet'!$A$192&gt;35,EJ87+EI88-ER87,IF(A88&lt;'Données projet'!$A$192,$EG$205^A88,IF(A88='Données projet'!$A$192,'Données projet'!$B$192,EJ87+EI88-ER87)))</f>
        <v>0</v>
      </c>
      <c r="EK88" s="138">
        <f>EJ88*VLOOKUP('Données projet'!$B$15,'Paramètres'!$A$1:$I$89,3,0)*VLOOKUP('Données projet'!$B$15,'Paramètres'!$A$1:$I$89,5,0)</f>
        <v>0</v>
      </c>
      <c r="EL88" s="130" t="str">
        <f t="shared" si="46"/>
        <v>#NUM!</v>
      </c>
      <c r="EM88" s="141" t="str">
        <f t="shared" si="20"/>
        <v>#NUM!</v>
      </c>
      <c r="EN88" s="133" t="str">
        <f t="shared" si="21"/>
        <v>#NUM!</v>
      </c>
      <c r="EO88" s="133">
        <f>AVERAGE(OFFSET($EN$3,0,0,'Données projet'!$E$15+1,1))-AVERAGE(OFFSET($H$3,0,0,'Données projet'!$E$15+1,1))</f>
        <v>130.3193339</v>
      </c>
      <c r="EP88" s="133">
        <f t="shared" si="47"/>
        <v>82.22784365</v>
      </c>
      <c r="EQ88" s="134">
        <f>IF(ISNA(VLOOKUP(A88,'Données projet'!$A$191:$I$211,3,0)),0,VLOOKUP(A88,'Données projet'!$A$191:$I$211,3,0))</f>
        <v>0</v>
      </c>
      <c r="ER88" s="134">
        <f>IF(ISNA(VLOOKUP(A88,'Données projet'!$A$191:$I$211,4,0)),0,VLOOKUP(A88,'Données projet'!$A$191:$I$211,4,0))</f>
        <v>0</v>
      </c>
      <c r="ES88" s="135">
        <f>IF(ISNA(VLOOKUP(A88,'Données projet'!$A$191:$I$211,5,0)),0%,VLOOKUP(A88,'Données projet'!$A$191:$I$211,5,0)*VLOOKUP('Données projet'!$B$15,'Paramètres'!$A$1:$I$89,7,0))</f>
        <v>0</v>
      </c>
      <c r="ET88" s="135">
        <f>IF(ISNA(VLOOKUP(A88,'Données projet'!$A$191:$I$211,6,0)),0%,VLOOKUP(A88,'Données projet'!$A$191:$I$211,6,0)*VLOOKUP('Données projet'!$B$15,'Paramètres'!$A$1:$I$89,7,0))</f>
        <v>0</v>
      </c>
      <c r="EU88" s="135">
        <f>IF(ISNA(VLOOKUP(A88,'Données projet'!$A$191:$I$211,7,0)),0%,VLOOKUP(A88,'Données projet'!$A$191:$I$211,7,0))</f>
        <v>0</v>
      </c>
      <c r="EV88" s="142">
        <f>EXP(-LN(2)/35)*EV87+(1-EXP(-LN(2)/35))/(LN(2)/35)*ER88*ES88*VLOOKUP('Données projet'!$B$15,'Paramètres'!$A$1:$I$89,3,0)*0.475*44/12</f>
        <v>96.23735698</v>
      </c>
      <c r="EW88" s="142">
        <f>EXP(-LN(2)/25)*EW87+(1-EXP(-LN(2)/25))/(LN(2)/25)*Calculateur!ER88*Calculateur!ET88*VLOOKUP('Données projet'!$B$15,'Paramètres'!$A$1:$I$89,3,0)*0.475*44/12</f>
        <v>0</v>
      </c>
      <c r="EX88" s="142">
        <f>EXP(-LN(2)/2)*EX87+(1-EXP(-LN(2)/2))/(LN(2)/2)*ER88*EU88*VLOOKUP('Données projet'!$B$15,'Paramètres'!$A$1:$I$89,3,0)*0.475*44/12</f>
        <v>0</v>
      </c>
      <c r="EY88" s="143">
        <f t="shared" si="22"/>
        <v>96.23735698</v>
      </c>
      <c r="EZ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1" t="str">
        <f>VLOOKUP(A88,'Données projet'!$A$217:$I$237,2,0)</f>
        <v>#N/A</v>
      </c>
      <c r="FC88" s="131" t="str">
        <f>VLOOKUP(A88,'Données projet'!$A$217:$I$237,9,0)</f>
        <v>#N/A</v>
      </c>
      <c r="FD88" s="131" t="str">
        <f t="array" ref="FD88">INDEX(FC:FC,MIN(IF(ISNUMBER(FC88:FC284),ROW(FC88:FC284),"")))</f>
        <v/>
      </c>
      <c r="FE88" s="130">
        <f>IF('Données projet'!$A$218&gt;35,FE87+FD88-FM87,IF(A88&lt;'Données projet'!$A$218,$FB$205^A88,IF(A88='Données projet'!$A$218,'Données projet'!$B$218,FE87+FD88-FM87)))</f>
        <v>0</v>
      </c>
      <c r="FF88" s="138">
        <f>FE88*VLOOKUP('Données projet'!$B$16,'Paramètres'!$A$1:$I$89,3,0)*VLOOKUP('Données projet'!$B$16,'Paramètres'!$A$1:$I$89,5,0)</f>
        <v>0</v>
      </c>
      <c r="FG88" s="130">
        <f t="shared" si="48"/>
        <v>0</v>
      </c>
      <c r="FH88" s="141">
        <f t="shared" si="23"/>
        <v>0</v>
      </c>
      <c r="FI88" s="133">
        <f t="shared" si="24"/>
        <v>293.3333333</v>
      </c>
      <c r="FJ88" s="133">
        <f>AVERAGE(OFFSET($FI$3,0,0,'Données projet'!$E$16+1,1))-AVERAGE(OFFSET($H$3,0,0,'Données projet'!$E$16+1,1))</f>
        <v>305.6252353</v>
      </c>
      <c r="FK88" s="133">
        <f t="shared" si="49"/>
        <v>331.397916</v>
      </c>
      <c r="FL88" s="134">
        <f>IF(ISNA(VLOOKUP(A88,'Données projet'!$A$217:$I$237,3,0)),0,VLOOKUP(A88,'Données projet'!$A$217:$I$237,3,0))</f>
        <v>0</v>
      </c>
      <c r="FM88" s="134">
        <f>IF(ISNA(VLOOKUP(A88,'Données projet'!$A$217:$I$237,4,0)),0,VLOOKUP(A88,'Données projet'!$A$217:$I$237,4,0))</f>
        <v>0</v>
      </c>
      <c r="FN88" s="135">
        <f>IF(ISNA(VLOOKUP(A88,'Données projet'!$A$217:$I$237,5,0)),0%,VLOOKUP(A88,'Données projet'!$A$217:$I$237,5,0)*VLOOKUP('Données projet'!$B$16,'Paramètres'!$A$1:$I$89,7,0))</f>
        <v>0</v>
      </c>
      <c r="FO88" s="135">
        <f>IF(ISNA(VLOOKUP(A88,'Données projet'!$A$217:$I$237,6,0)),0%,VLOOKUP(A88,'Données projet'!$A$217:$I$237,6,0)*VLOOKUP('Données projet'!$B$16,'Paramètres'!$A$1:$I$89,7,0))</f>
        <v>0</v>
      </c>
      <c r="FP88" s="135">
        <f>IF(ISNA(VLOOKUP(A88,'Données projet'!$A$217:$I$237,7,0)),0%,VLOOKUP(A88,'Données projet'!$A$217:$I$237,7,0))</f>
        <v>0</v>
      </c>
      <c r="FQ88" s="142">
        <f>EXP(-LN(2)/35)*FQ87+(1-EXP(-LN(2)/35))/(LN(2)/35)*FM88*FN88*VLOOKUP('Données projet'!$B$16,'Paramètres'!$A$1:$I$89,3,0)*0.475*44/12</f>
        <v>59.92025454</v>
      </c>
      <c r="FR88" s="142">
        <f>EXP(-LN(2)/25)*FR87+(1-EXP(-LN(2)/25))/(LN(2)/25)*Calculateur!FM88*Calculateur!FO88*VLOOKUP('Données projet'!$B$16,'Paramètres'!$A$1:$I$89,3,0)*0.475*44/12</f>
        <v>0</v>
      </c>
      <c r="FS88" s="142">
        <f>EXP(-LN(2)/2)*FS87+(1-EXP(-LN(2)/2))/(LN(2)/2)*FM88*FP88*VLOOKUP('Données projet'!$B$16,'Paramètres'!$A$1:$I$89,3,0)*0.475*44/12</f>
        <v>0</v>
      </c>
      <c r="FT88" s="143">
        <f t="shared" si="25"/>
        <v>59.92025454</v>
      </c>
      <c r="FU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1" t="str">
        <f>VLOOKUP(A88,'Données projet'!$A$243:$I$263,2,0)</f>
        <v>#N/A</v>
      </c>
      <c r="FX88" s="131" t="str">
        <f>VLOOKUP(A88,'Données projet'!$A$243:$I$263,9,0)</f>
        <v>#N/A</v>
      </c>
      <c r="FY88" s="131" t="str">
        <f t="array" ref="FY88">INDEX(FX:FX,MIN(IF(ISNUMBER(FX88:FX284),ROW(FX88:FX284),"")))</f>
        <v/>
      </c>
      <c r="FZ88" s="138">
        <f>IF('Données projet'!$A$244&gt;35,FZ87+FY88-GH87,IF(A88&lt;'Données projet'!$A$244,$FW$205^A88,IF(A88='Données projet'!$A$244,'Données projet'!$B$244,FZ87+FY88-GH87)))</f>
        <v>0</v>
      </c>
      <c r="GA88" s="138">
        <f>FZ88*VLOOKUP('Données projet'!$B$17,'Paramètres'!$A$1:$I$89,3,0)*VLOOKUP('Données projet'!$B$17,'Paramètres'!$A$1:$I$89,5,0)</f>
        <v>0</v>
      </c>
      <c r="GB88" s="130">
        <f t="shared" si="50"/>
        <v>0</v>
      </c>
      <c r="GC88" s="141">
        <f t="shared" si="26"/>
        <v>0</v>
      </c>
      <c r="GD88" s="133">
        <f t="shared" si="27"/>
        <v>293.3333333</v>
      </c>
      <c r="GE88" s="133">
        <f>AVERAGE(OFFSET($GD$3,0,0,'Données projet'!$E$17+1,1))-AVERAGE(OFFSET($H$3,0,0,'Données projet'!$E$17+1,1))</f>
        <v>118.7368745</v>
      </c>
      <c r="GF88" s="133">
        <f t="shared" si="51"/>
        <v>135.1233677</v>
      </c>
      <c r="GG88" s="134">
        <f>IF(ISNA(VLOOKUP(A88,'Données projet'!$A$243:$I$263,3,0)),0,VLOOKUP(A88,'Données projet'!$A$243:$I$263,3,0))</f>
        <v>0</v>
      </c>
      <c r="GH88" s="134">
        <f>IF(ISNA(VLOOKUP(A88,'Données projet'!$A$243:$I$263,4,0)),0,VLOOKUP(A88,'Données projet'!$A$243:$I$263,4,0))</f>
        <v>0</v>
      </c>
      <c r="GI88" s="135">
        <f>IF(ISNA(VLOOKUP(A88,'Données projet'!$A$243:$I$263,5,0)),0%,VLOOKUP(A88,'Données projet'!$A$243:$I$263,5,0)*VLOOKUP('Données projet'!$B$17,'Paramètres'!$A$1:$I$89,7,0))</f>
        <v>0</v>
      </c>
      <c r="GJ88" s="135">
        <f>IF(ISNA(VLOOKUP(A88,'Données projet'!$A$243:$I$263,6,0)),0%,VLOOKUP(A88,'Données projet'!$A$243:$I$263,6,0)*VLOOKUP('Données projet'!$B$17,'Paramètres'!$A$1:$I$89,7,0))</f>
        <v>0</v>
      </c>
      <c r="GK88" s="135">
        <f>IF(ISNA(VLOOKUP(A88,'Données projet'!$A$243:$I$263,7,0)),0%,VLOOKUP(A88,'Données projet'!$A$243:$I$263,7,0))</f>
        <v>0</v>
      </c>
      <c r="GL88" s="142">
        <f>EXP(-LN(2)/35)*GL87+(1-EXP(-LN(2)/35))/(LN(2)/35)*GH88*GI88*VLOOKUP('Données projet'!$B$17,'Paramètres'!$A$1:$I$89,3,0)*0.475*44/12</f>
        <v>63.30556361</v>
      </c>
      <c r="GM88" s="142">
        <f>EXP(-LN(2)/25)*GM87+(1-EXP(-LN(2)/25))/(LN(2)/25)*Calculateur!GH88*Calculateur!GJ88*VLOOKUP('Données projet'!$B$17,'Paramètres'!$A$1:$I$89,3,0)*0.475*44/12</f>
        <v>0</v>
      </c>
      <c r="GN88" s="142">
        <f>EXP(-LN(2)/2)*GN87+(1-EXP(-LN(2)/2))/(LN(2)/2)*GH88*GK88*VLOOKUP('Données projet'!$B$17,'Paramètres'!$A$1:$I$89,3,0)*0.475*44/12</f>
        <v>0</v>
      </c>
      <c r="GO88" s="142">
        <f t="shared" si="28"/>
        <v>63.30556361</v>
      </c>
      <c r="GP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1" t="str">
        <f>VLOOKUP(A88,'Données projet'!$A$269:$I$289,2,0)</f>
        <v>#N/A</v>
      </c>
      <c r="GS88" s="131" t="str">
        <f>VLOOKUP(A88,'Données projet'!$A$269:$I$289,9,0)</f>
        <v>#N/A</v>
      </c>
      <c r="GT88" s="131" t="str">
        <f t="array" ref="GT88">INDEX(GS:GS,MIN(IF(ISNUMBER(GS88:GS284),ROW(GS88:GS284),"")))</f>
        <v/>
      </c>
      <c r="GU88" s="138">
        <f>IF('Données projet'!$A$270&gt;35,GU87+GT88-HC87,IF(A88&lt;'Données projet'!$A$270,$GR$205^A88,IF(A88='Données projet'!$A$270,'Données projet'!$B$270,GU87+GT88-HC87)))</f>
        <v>0</v>
      </c>
      <c r="GV88" s="138">
        <f>GU88*VLOOKUP('Données projet'!$B$18,'Paramètres'!$A$1:$I$89,3,0)*VLOOKUP('Données projet'!$B$18,'Paramètres'!$A$1:$I$89,5,0)</f>
        <v>0</v>
      </c>
      <c r="GW88" s="130" t="str">
        <f t="shared" si="52"/>
        <v>#NUM!</v>
      </c>
      <c r="GX88" s="141" t="str">
        <f t="shared" si="29"/>
        <v>#NUM!</v>
      </c>
      <c r="GY88" s="133" t="str">
        <f t="shared" si="30"/>
        <v>#NUM!</v>
      </c>
      <c r="GZ88" s="133">
        <f>AVERAGE(OFFSET($GY$3,0,0,'Données projet'!$E$18+1,1))-AVERAGE(OFFSET($H$3,0,0,'Données projet'!$E$18+1,1))</f>
        <v>100.5427875</v>
      </c>
      <c r="HA88" s="133">
        <f t="shared" si="53"/>
        <v>92.28663609</v>
      </c>
      <c r="HB88" s="134">
        <f>IF(ISNA(VLOOKUP(A88,'Données projet'!$A$269:$I$289,3,0)),0,VLOOKUP(A88,'Données projet'!$A$269:$I$289,3,0))</f>
        <v>0</v>
      </c>
      <c r="HC88" s="134">
        <f>IF(ISNA(VLOOKUP(A88,'Données projet'!$A$269:$I$289,4,0)),0,VLOOKUP(A88,'Données projet'!$A$269:$I$289,4,0))</f>
        <v>0</v>
      </c>
      <c r="HD88" s="135">
        <f>IF(ISNA(VLOOKUP(A88,'Données projet'!$A$269:$I$289,5,0)),0%,VLOOKUP(A88,'Données projet'!$A$269:$I$289,5,0)*VLOOKUP('Données projet'!$B$18,'Paramètres'!$A$1:$I$89,7,0))</f>
        <v>0</v>
      </c>
      <c r="HE88" s="135">
        <f>IF(ISNA(VLOOKUP(A88,'Données projet'!$A$269:$I$289,6,0)),0%,VLOOKUP(A88,'Données projet'!$A$269:$I$289,6,0)*VLOOKUP('Données projet'!$B$18,'Paramètres'!$A$1:$I$89,7,0))</f>
        <v>0</v>
      </c>
      <c r="HF88" s="135">
        <f>IF(ISNA(VLOOKUP(A88,'Données projet'!$A$269:$I$289,7,0)),0%,VLOOKUP(A88,'Données projet'!$A$269:$I$289,7,0))</f>
        <v>0</v>
      </c>
      <c r="HG88" s="142">
        <f>EXP(-LN(2)/35)*HG87+(1-EXP(-LN(2)/35))/(LN(2)/35)*HC88*HD88*VLOOKUP('Données projet'!$B$18,'Paramètres'!$A$1:$I$89,3,0)*0.475*44/12</f>
        <v>43.10975332</v>
      </c>
      <c r="HH88" s="142">
        <f>EXP(-LN(2)/25)*HH87+(1-EXP(-LN(2)/25))/(LN(2)/25)*Calculateur!HC88*Calculateur!HE88*VLOOKUP('Données projet'!$B$18,'Paramètres'!$A$1:$I$89,3,0)*0.475*44/12</f>
        <v>0</v>
      </c>
      <c r="HI88" s="142">
        <f>EXP(-LN(2)/2)*HI87+(1-EXP(-LN(2)/2))/(LN(2)/2)*HC88*HF88*VLOOKUP('Données projet'!$B$18,'Paramètres'!$A$1:$I$89,3,0)*0.475*44/12</f>
        <v>0</v>
      </c>
      <c r="HJ88" s="143">
        <f t="shared" si="31"/>
        <v>43.10975332</v>
      </c>
    </row>
    <row r="89" ht="15.75" customHeight="1">
      <c r="A89" s="125">
        <f t="shared" si="32"/>
        <v>86</v>
      </c>
      <c r="B89" s="126">
        <f>'Scénario référence'!$B$16*5+'Scénario référence'!$B$17*0+'Scénario référence'!$B$18*5</f>
        <v>0</v>
      </c>
      <c r="C89" s="140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46.956</v>
      </c>
      <c r="D89" s="127">
        <f t="shared" si="33"/>
        <v>13.82478276</v>
      </c>
      <c r="E8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7">
        <f>IF(OR('Scénario référence'!$F$8&gt;0,'Scénario référence'!$F$9&gt;0),('Scénario référence'!$F$8+'Scénario référence'!$F$9)*10,0)</f>
        <v>10</v>
      </c>
      <c r="G89" s="127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469.1849897</v>
      </c>
      <c r="H89" s="128">
        <f t="shared" si="1"/>
        <v>399.1931966</v>
      </c>
      <c r="I89" s="12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1" t="str">
        <f>VLOOKUP(A89,'Données projet'!$A$35:$I$55,2,0)</f>
        <v>#N/A</v>
      </c>
      <c r="L89" s="131" t="str">
        <f>VLOOKUP(A89,'Données projet'!$A$35:$I$55,9,0)</f>
        <v>#N/A</v>
      </c>
      <c r="M89" s="131" t="str">
        <f t="array" ref="M89">INDEX(L:L,MIN(IF(ISNUMBER(L89:L285),ROW(L89:L285),"")))</f>
        <v/>
      </c>
      <c r="N89" s="130">
        <f>IF('Données projet'!$A$36&gt;35,N88+M89-V88,IF(A89&lt;'Données projet'!$A$36,$K$205^A89,IF(A89='Données projet'!$A$36,'Données projet'!$B$36,N88+M89-V88)))</f>
        <v>0</v>
      </c>
      <c r="O89" s="130">
        <f>N89*VLOOKUP('Données projet'!$B$9,'Paramètres'!$A$1:$I$89,3,0)*VLOOKUP('Données projet'!$B$9,'Paramètres'!$A$1:$I$89,5,0)</f>
        <v>0</v>
      </c>
      <c r="P89" s="130">
        <f t="shared" si="34"/>
        <v>0</v>
      </c>
      <c r="Q89" s="141">
        <f t="shared" si="2"/>
        <v>0</v>
      </c>
      <c r="R89" s="133">
        <f t="shared" si="3"/>
        <v>293.3333333</v>
      </c>
      <c r="S89" s="133">
        <f>AVERAGE(OFFSET($R$3,0,0,'Données projet'!$E$9+1,1))-AVERAGE(OFFSET($H$3,0,0,'Données projet'!$E$9+1,1))</f>
        <v>126.9946492</v>
      </c>
      <c r="T89" s="133">
        <f t="shared" si="35"/>
        <v>140.039049</v>
      </c>
      <c r="U89" s="134">
        <f>IF(ISNA(VLOOKUP(A89,'Données projet'!$A$35:$I$55,3,0)),0,VLOOKUP(A89,'Données projet'!$A$35:$I$55,3,0))</f>
        <v>0</v>
      </c>
      <c r="V89" s="134">
        <f>IF(ISNA(VLOOKUP(A89,'Données projet'!$A$35:$I$55,4,0)),0,VLOOKUP(A89,'Données projet'!$A$35:$I$55,4,0))</f>
        <v>0</v>
      </c>
      <c r="W89" s="135">
        <f>IF(ISNA(VLOOKUP(A89,'Données projet'!$A$35:$I$55,5,0)),0%,VLOOKUP(A89,'Données projet'!$A$35:$I$55,5,0)*VLOOKUP('Données projet'!$B$9,'Paramètres'!$A$1:$I$89,7,0))</f>
        <v>0</v>
      </c>
      <c r="X89" s="135">
        <f>IF(ISNA(VLOOKUP(A89,'Données projet'!$A$35:$I$55,6,0)),0%,VLOOKUP(A89,'Données projet'!$A$35:$I$55,6,0)*VLOOKUP('Données projet'!$B$9,'Paramètres'!$A$1:$I$89,7,0))</f>
        <v>0</v>
      </c>
      <c r="Y89" s="135">
        <f>IF(ISNA(VLOOKUP(A89,'Données projet'!$A$35:$I$55,7,0)),0%,VLOOKUP(A89,'Données projet'!$A$35:$I$55,7,0))</f>
        <v>0</v>
      </c>
      <c r="Z89" s="142">
        <f>EXP(-LN(2)/35)*Z88+(1-EXP(-LN(2)/35))/(LN(2)/35)*V89*W89*VLOOKUP('Données projet'!$B$9,'Paramètres'!$A$1:$I$89,3,0)*0.475*44/12</f>
        <v>63.47784057</v>
      </c>
      <c r="AA89" s="142">
        <f>EXP(-LN(2)/25)*AA88+(1-EXP(-LN(2)/25))/(LN(2)/25)*Calculateur!V89*Calculateur!X89*VLOOKUP('Données projet'!$B$9,'Paramètres'!$A$1:$I$89,3,0)*0.475*44/12</f>
        <v>11.30159268</v>
      </c>
      <c r="AB89" s="142">
        <f>EXP(-LN(2)/2)*AB88+(1-EXP(-LN(2)/2))/(LN(2)/2)*V89*Y89*VLOOKUP('Données projet'!$B$9,'Paramètres'!$A$1:$I$89,3,0)*0.475*44/12</f>
        <v>0.002318038478</v>
      </c>
      <c r="AC89" s="143">
        <f t="shared" si="4"/>
        <v>74.78175128</v>
      </c>
      <c r="AD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1" t="str">
        <f>VLOOKUP(A89,'Données projet'!$A$61:$I$81,2,0)</f>
        <v>#N/A</v>
      </c>
      <c r="AG89" s="131" t="str">
        <f>VLOOKUP(A89,'Données projet'!$A$61:$I$81,9,0)</f>
        <v>#N/A</v>
      </c>
      <c r="AH89" s="131" t="str">
        <f t="array" ref="AH89">INDEX(AG:AG,MIN(IF(ISNUMBER(AG89:AG285),ROW(AG89:AG285),"")))</f>
        <v/>
      </c>
      <c r="AI89" s="130">
        <f>IF('Données projet'!$A$62&gt;35,AI88+AH89-AQ88,IF(A89&lt;'Données projet'!$A$62,$AF$205^A89,IF(A89='Données projet'!$A$62,'Données projet'!$B$62,AI88+AH89-AQ88)))</f>
        <v>0</v>
      </c>
      <c r="AJ89" s="130">
        <f>AI89*VLOOKUP('Données projet'!$B$10,'Paramètres'!$A$1:$I$89,3,0)*VLOOKUP('Données projet'!$B$10,'Paramètres'!$A$1:$I$89,5,0)</f>
        <v>0</v>
      </c>
      <c r="AK89" s="130" t="str">
        <f t="shared" si="36"/>
        <v>#NUM!</v>
      </c>
      <c r="AL89" s="141" t="str">
        <f t="shared" si="5"/>
        <v>#NUM!</v>
      </c>
      <c r="AM89" s="133" t="str">
        <f t="shared" si="6"/>
        <v>#NUM!</v>
      </c>
      <c r="AN89" s="133">
        <f>AVERAGE(OFFSET($AM$3,0,0,'Données projet'!$E$10+1,1))-AVERAGE(OFFSET($H$3,0,0,'Données projet'!$E$10+1,1))</f>
        <v>196.874484</v>
      </c>
      <c r="AO89" s="133">
        <f t="shared" si="37"/>
        <v>217.5750859</v>
      </c>
      <c r="AP89" s="134">
        <f>IF(ISNA(VLOOKUP(A89,'Données projet'!$A$61:$I$81,3,0)),0,VLOOKUP(A89,'Données projet'!$A$61:$I$81,3,0))</f>
        <v>0</v>
      </c>
      <c r="AQ89" s="134">
        <f>IF(ISNA(VLOOKUP(A89,'Données projet'!$A$61:$I$81,4,0)),0,VLOOKUP(A89,'Données projet'!$A$61:$I$81,4,0))</f>
        <v>0</v>
      </c>
      <c r="AR89" s="135">
        <f>IF(ISNA(VLOOKUP(A89,'Données projet'!$A$61:$I$81,5,0)),0%,VLOOKUP(A89,'Données projet'!$A$61:$I$81,5,0)*VLOOKUP('Données projet'!$B$10,'Paramètres'!$A$1:$I$89,7,0))</f>
        <v>0</v>
      </c>
      <c r="AS89" s="135">
        <f>IF(ISNA(VLOOKUP(A89,'Données projet'!$A$61:$I$81,6,0)),0%,VLOOKUP(A89,'Données projet'!$A$61:$I$81,6,0)*VLOOKUP('Données projet'!$B$10,'Paramètres'!$A$1:$I$89,7,0))</f>
        <v>0</v>
      </c>
      <c r="AT89" s="135">
        <f>IF(ISNA(VLOOKUP(A89,'Données projet'!$A$61:$I$81,7,0)),0%,VLOOKUP(A89,'Données projet'!$A$61:$I$81,7,0))</f>
        <v>0</v>
      </c>
      <c r="AU89" s="142">
        <f>EXP(-LN(2)/35)*AU88+(1-EXP(-LN(2)/35))/(LN(2)/35)*AQ89*AR89*VLOOKUP('Données projet'!$B$10,'Paramètres'!$A$1:$I$89,3,0)*0.475*44/12</f>
        <v>88.23239537</v>
      </c>
      <c r="AV89" s="142">
        <f>EXP(-LN(2)/25)*AV88+(1-EXP(-LN(2)/25))/(LN(2)/25)*Calculateur!AQ89*Calculateur!AS89*VLOOKUP('Données projet'!$B$10,'Paramètres'!$A$1:$I$89,3,0)*0.475*44/12</f>
        <v>17.37621384</v>
      </c>
      <c r="AW89" s="142">
        <f>EXP(-LN(2)/2)*AW88+(1-EXP(-LN(2)/2))/(LN(2)/2)*AQ89*AT89*VLOOKUP('Données projet'!$B$10,'Paramètres'!$A$1:$I$89,3,0)*0.475*44/12</f>
        <v>0.003231832326</v>
      </c>
      <c r="AX89" s="142">
        <f t="shared" si="7"/>
        <v>105.611841</v>
      </c>
      <c r="AY89" s="13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1" t="str">
        <f>VLOOKUP(A89,'Données projet'!$A$87:$I$107,2,0)</f>
        <v>#N/A</v>
      </c>
      <c r="BB89" s="131" t="str">
        <f>VLOOKUP(A89,'Données projet'!$A$87:$I$107,9,0)</f>
        <v>#N/A</v>
      </c>
      <c r="BC89" s="131" t="str">
        <f t="array" ref="BC89">INDEX(BB:BB,MIN(IF(ISNUMBER(BB89:BB285),ROW(BB89:BB285),"")))</f>
        <v/>
      </c>
      <c r="BD89" s="130">
        <f>IF('Données projet'!$A$88&gt;35,BD88+BC89-BL88,IF(A89&lt;'Données projet'!$A$88,$BA$205^A89,IF(A89='Données projet'!$A$88,'Données projet'!$B$88,BD88+BC89-BL88)))</f>
        <v>0</v>
      </c>
      <c r="BE89" s="130">
        <f>BD89*VLOOKUP('Données projet'!$B$11,'Paramètres'!$A$1:$I$89,3,0)*VLOOKUP('Données projet'!$B$11,'Paramètres'!$A$1:$I$89,5,0)</f>
        <v>0</v>
      </c>
      <c r="BF89" s="130" t="str">
        <f t="shared" si="38"/>
        <v>#NUM!</v>
      </c>
      <c r="BG89" s="141" t="str">
        <f t="shared" si="8"/>
        <v>#NUM!</v>
      </c>
      <c r="BH89" s="133" t="str">
        <f t="shared" si="9"/>
        <v>#NUM!</v>
      </c>
      <c r="BI89" s="133">
        <f>AVERAGE(OFFSET($BH$3,0,0,'Données projet'!$E$11+1,1))-AVERAGE(OFFSET($H$3,0,0,'Données projet'!$E$11+1,1))</f>
        <v>134.0948534</v>
      </c>
      <c r="BJ89" s="133">
        <f t="shared" si="39"/>
        <v>108.4102536</v>
      </c>
      <c r="BK89" s="134">
        <f>IF(ISNA(VLOOKUP(A89,'Données projet'!$A$87:$I$107,3,0)),0,VLOOKUP(A89,'Données projet'!$A$87:$I$107,3,0))</f>
        <v>0</v>
      </c>
      <c r="BL89" s="134">
        <f>IF(ISNA(VLOOKUP(A89,'Données projet'!$A$87:$I$107,4,0)),0,VLOOKUP(A89,'Données projet'!$A$87:$I$107,4,0))</f>
        <v>0</v>
      </c>
      <c r="BM89" s="135">
        <f>IF(ISNA(VLOOKUP(A89,'Données projet'!$A$87:$I$107,5,0)),0%,VLOOKUP(A89,'Données projet'!$A$87:$I$107,5,0)*VLOOKUP('Données projet'!$B$11,'Paramètres'!$A$1:$I$89,7,0))</f>
        <v>0</v>
      </c>
      <c r="BN89" s="135">
        <f>IF(ISNA(VLOOKUP(A89,'Données projet'!$A$87:$I$107,6,0)),0%,VLOOKUP(A89,'Données projet'!$A$87:$I$107,6,0)*VLOOKUP('Données projet'!$B$11,'Paramètres'!$A$1:$I$89,7,0))</f>
        <v>0</v>
      </c>
      <c r="BO89" s="135">
        <f>IF(ISNA(VLOOKUP(A89,'Données projet'!$A$87:$I$107,7,0)),0%,VLOOKUP(A89,'Données projet'!$A$87:$I$107,7,0))</f>
        <v>0</v>
      </c>
      <c r="BP89" s="142">
        <f>EXP(-LN(2)/35)*BP88+(1-EXP(-LN(2)/35))/(LN(2)/35)*BL89*BM89*VLOOKUP('Données projet'!$B$11,'Paramètres'!$A$1:$I$89,3,0)*0.475*44/12</f>
        <v>122.0418809</v>
      </c>
      <c r="BQ89" s="142">
        <f>EXP(-LN(2)/25)*BQ88+(1-EXP(-LN(2)/25))/(LN(2)/25)*Calculateur!BL89*Calculateur!BN89*VLOOKUP('Données projet'!$B$11,'Paramètres'!$A$1:$I$89,3,0)*0.475*44/12</f>
        <v>10.96093061</v>
      </c>
      <c r="BR89" s="142">
        <f>EXP(-LN(2)/2)*BR88+(1-EXP(-LN(2)/2))/(LN(2)/2)*BL89*BO89*VLOOKUP('Données projet'!$B$11,'Paramètres'!$A$1:$I$89,3,0)*0.475*44/12</f>
        <v>0.04310800518</v>
      </c>
      <c r="BS89" s="143">
        <f t="shared" si="10"/>
        <v>133.0459196</v>
      </c>
      <c r="BT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1" t="str">
        <f>VLOOKUP(A89,'Données projet'!$A$113:$I$133,2,0)</f>
        <v>#N/A</v>
      </c>
      <c r="BW89" s="131" t="str">
        <f>VLOOKUP(A89,'Données projet'!$A$113:$I$133,9,0)</f>
        <v>#N/A</v>
      </c>
      <c r="BX89" s="131" t="str">
        <f t="array" ref="BX89">INDEX(BW:BW,MIN(IF(ISNUMBER(BW89:BW285),ROW(BW89:BW285),"")))</f>
        <v/>
      </c>
      <c r="BY89" s="130">
        <f>IF('Données projet'!$A$114&gt;35,BY88+BX89-CG88,IF(A89&lt;'Données projet'!$A$114,$BV$205^A89,IF(A89='Données projet'!$A$114,'Données projet'!$B$114,BY88+BX89-CG88)))</f>
        <v>0</v>
      </c>
      <c r="BZ89" s="130">
        <f>BY89*VLOOKUP('Données projet'!$B$12,'Paramètres'!$A$1:$I$89,3,0)*VLOOKUP('Données projet'!$B$12,'Paramètres'!$A$1:$I$89,5,0)</f>
        <v>0</v>
      </c>
      <c r="CA89" s="130" t="str">
        <f t="shared" si="40"/>
        <v>#NUM!</v>
      </c>
      <c r="CB89" s="141" t="str">
        <f t="shared" si="11"/>
        <v>#NUM!</v>
      </c>
      <c r="CC89" s="133" t="str">
        <f t="shared" si="12"/>
        <v>#NUM!</v>
      </c>
      <c r="CD89" s="133">
        <f>AVERAGE(OFFSET($CC$3,0,0,'Données projet'!$E$12+1,1))-AVERAGE(OFFSET($H$3,0,0,'Données projet'!$E$12+1,1))</f>
        <v>258.1672054</v>
      </c>
      <c r="CE89" s="133">
        <f t="shared" si="41"/>
        <v>296.0724261</v>
      </c>
      <c r="CF89" s="134">
        <f>IF(ISNA(VLOOKUP(A89,'Données projet'!$A$113:$I$133,3,0)),0,VLOOKUP(A89,'Données projet'!$A$113:$I$133,3,0))</f>
        <v>0</v>
      </c>
      <c r="CG89" s="134">
        <f>IF(ISNA(VLOOKUP(A89,'Données projet'!$A$113:$I$133,4,0)),0,VLOOKUP(A89,'Données projet'!$A$113:$I$133,4,0))</f>
        <v>0</v>
      </c>
      <c r="CH89" s="135">
        <f>IF(ISNA(VLOOKUP(A89,'Données projet'!$A$113:$I$133,5,0)),0%,VLOOKUP(A89,'Données projet'!$A$113:$I$133,5,0)*VLOOKUP('Données projet'!$B$12,'Paramètres'!$A$1:$I$89,7,0))</f>
        <v>0</v>
      </c>
      <c r="CI89" s="135">
        <f>IF(ISNA(VLOOKUP(A89,'Données projet'!$A$113:$I$133,6,0)),0%,VLOOKUP(A89,'Données projet'!$A$113:$I$133,6,0)*VLOOKUP('Données projet'!$B$12,'Paramètres'!$A$1:$I$89,7,0))</f>
        <v>0</v>
      </c>
      <c r="CJ89" s="135">
        <f>IF(ISNA(VLOOKUP(A89,'Données projet'!$A$113:$I$133,7,0)),0%,VLOOKUP(A89,'Données projet'!$A$113:$I$133,7,0))</f>
        <v>0</v>
      </c>
      <c r="CK89" s="142">
        <f>EXP(-LN(2)/35)*CK88+(1-EXP(-LN(2)/35))/(LN(2)/35)*CG89*CH89*VLOOKUP('Données projet'!$B$12,'Paramètres'!$A$1:$I$89,3,0)*0.475*44/12</f>
        <v>154.2982717</v>
      </c>
      <c r="CL89" s="142">
        <f>EXP(-LN(2)/25)*CL88+(1-EXP(-LN(2)/25))/(LN(2)/25)*Calculateur!CG89*Calculateur!CI89*VLOOKUP('Données projet'!$B$12,'Paramètres'!$A$1:$I$89,3,0)*0.475*44/12</f>
        <v>19.22609451</v>
      </c>
      <c r="CM89" s="142">
        <f>EXP(-LN(2)/2)*CM88+(1-EXP(-LN(2)/2))/(LN(2)/2)*CG89*CJ89*VLOOKUP('Données projet'!$B$12,'Paramètres'!$A$1:$I$89,3,0)*0.475*44/12</f>
        <v>0.001816089377</v>
      </c>
      <c r="CN89" s="143">
        <f t="shared" si="13"/>
        <v>173.5261823</v>
      </c>
      <c r="CO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1" t="str">
        <f>VLOOKUP(A89,'Données projet'!$A$139:$I$159,2,0)</f>
        <v>#N/A</v>
      </c>
      <c r="CR89" s="131" t="str">
        <f>VLOOKUP(A89,'Données projet'!$A$139:$I$159,9,0)</f>
        <v>#N/A</v>
      </c>
      <c r="CS89" s="130">
        <f t="array" ref="CS89">INDEX(CR:CR,MIN(IF(ISNUMBER(CR89:CR285),ROW(CR89:CR285),"")))</f>
        <v>4.2</v>
      </c>
      <c r="CT89" s="138">
        <f>IF('Données projet'!$A$140&gt;35,CT88+CS89-DB88,IF(A89&lt;'Données projet'!$A$140,$CQ$205^A89,IF(A89='Données projet'!$A$140,'Données projet'!$B$140,CT88+CS89-DB88)))</f>
        <v>190.2</v>
      </c>
      <c r="CU89" s="138">
        <f>CT89*VLOOKUP('Données projet'!$B$13,'Paramètres'!$A$1:$I$89,3,0)*VLOOKUP('Données projet'!$B$13,'Paramètres'!$A$1:$I$89,5,0)</f>
        <v>192.8628</v>
      </c>
      <c r="CV89" s="130">
        <f t="shared" si="42"/>
        <v>48.17232535</v>
      </c>
      <c r="CW89" s="141">
        <f t="shared" si="14"/>
        <v>419.8028433</v>
      </c>
      <c r="CX89" s="133">
        <f t="shared" si="15"/>
        <v>713.1361766</v>
      </c>
      <c r="CY89" s="133">
        <f>AVERAGE(OFFSET($CX$3,0,0,'Données projet'!$E$13+1,1))-AVERAGE(OFFSET($H$3,0,0,'Données projet'!$E$13+1,1))</f>
        <v>223.783507</v>
      </c>
      <c r="CZ89" s="133">
        <f t="shared" si="43"/>
        <v>84.92349117</v>
      </c>
      <c r="DA89" s="134">
        <f>IF(ISNA(VLOOKUP(A89,'Données projet'!$A$139:$I$159,3,0)),0,VLOOKUP(A89,'Données projet'!$A$139:$I$159,3,0))</f>
        <v>0</v>
      </c>
      <c r="DB89" s="134">
        <f>IF(ISNA(VLOOKUP(A89,'Données projet'!$A$139:$I$159,4,0)),0,VLOOKUP(A89,'Données projet'!$A$139:$I$159,4,0))</f>
        <v>0</v>
      </c>
      <c r="DC89" s="135">
        <f>IF(ISNA(VLOOKUP(A89,'Données projet'!$A$139:$I$159,5,0)),0%,VLOOKUP(A89,'Données projet'!$A$139:$I$159,5,0)*VLOOKUP('Données projet'!$B$13,'Paramètres'!$A$1:$I$89,7,0))</f>
        <v>0</v>
      </c>
      <c r="DD89" s="135">
        <f>IF(ISNA(VLOOKUP(A89,'Données projet'!$A$139:$I$159,6,0)),0%,VLOOKUP(A89,'Données projet'!$A$139:$I$159,6,0)*VLOOKUP('Données projet'!$B$13,'Paramètres'!$A$1:$I$89,7,0))</f>
        <v>0</v>
      </c>
      <c r="DE89" s="135">
        <f>IF(ISNA(VLOOKUP(A89,'Données projet'!$A$139:$I$159,7,0)),0%,VLOOKUP(A89,'Données projet'!$A$139:$I$159,7,0))</f>
        <v>0</v>
      </c>
      <c r="DF89" s="142">
        <f>EXP(-LN(2)/35)*DF88+(1-EXP(-LN(2)/35))/(LN(2)/35)*DB89*DC89*VLOOKUP('Données projet'!$B$13,'Paramètres'!$A$1:$I$89,3,0)*0.475*44/12</f>
        <v>16.99226142</v>
      </c>
      <c r="DG89" s="142">
        <f>EXP(-LN(2)/25)*DG88+(1-EXP(-LN(2)/25))/(LN(2)/25)*Calculateur!DB89*Calculateur!DD89*VLOOKUP('Données projet'!$B$13,'Paramètres'!$A$1:$I$89,3,0)*0.475*44/12</f>
        <v>0</v>
      </c>
      <c r="DH89" s="142">
        <f>EXP(-LN(2)/2)*DH88+(1-EXP(-LN(2)/2))/(LN(2)/2)*DB89*DE89*VLOOKUP('Données projet'!$B$13,'Paramètres'!$A$1:$I$89,3,0)*0.475*44/12</f>
        <v>0</v>
      </c>
      <c r="DI89" s="143">
        <f t="shared" si="16"/>
        <v>16.99226142</v>
      </c>
      <c r="DJ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1" t="str">
        <f>VLOOKUP(A89,'Données projet'!$A$165:$I$185,2,0)</f>
        <v>#N/A</v>
      </c>
      <c r="DM89" s="131" t="str">
        <f>VLOOKUP(A89,'Données projet'!$A$165:$I$185,9,0)</f>
        <v>#N/A</v>
      </c>
      <c r="DN89" s="131">
        <f t="array" ref="DN89">INDEX(DM:DM,MIN(IF(ISNUMBER(DM89:DM285),ROW(DM89:DM285),"")))</f>
        <v>5.4</v>
      </c>
      <c r="DO89" s="138">
        <f>IF('Données projet'!$A$166&gt;35,DO88+DN89-DW88,IF(A89&lt;'Données projet'!$A$166,$DL$205^A89,IF(A89='Données projet'!$A$166,'Données projet'!$B$166,DO88+DN89-DW88)))</f>
        <v>253.4</v>
      </c>
      <c r="DP89" s="138">
        <f>DO89*VLOOKUP('Données projet'!$B$14,'Paramètres'!$A$1:$I$89,3,0)*VLOOKUP('Données projet'!$B$14,'Paramètres'!$A$1:$I$89,5,0)</f>
        <v>229.27632</v>
      </c>
      <c r="DQ89" s="130">
        <f t="shared" si="44"/>
        <v>56.12617631</v>
      </c>
      <c r="DR89" s="141">
        <f t="shared" si="17"/>
        <v>497.0760144</v>
      </c>
      <c r="DS89" s="133">
        <f t="shared" si="18"/>
        <v>790.4093477</v>
      </c>
      <c r="DT89" s="133">
        <f>AVERAGE(OFFSET($DS$3,0,0,'Données projet'!$E$14+1,1))-AVERAGE(OFFSET($H$3,0,0,'Données projet'!$E$14+1,1))</f>
        <v>287.9334714</v>
      </c>
      <c r="DU89" s="133">
        <f t="shared" si="45"/>
        <v>156.6796502</v>
      </c>
      <c r="DV89" s="134">
        <f>IF(ISNA(VLOOKUP(A89,'Données projet'!$A$165:$I$185,3,0)),0,VLOOKUP(A89,'Données projet'!$A$165:$I$185,3,0))</f>
        <v>0</v>
      </c>
      <c r="DW89" s="134">
        <f>IF(ISNA(VLOOKUP(A89,'Données projet'!$A$165:$I$185,4,0)),0,VLOOKUP(A89,'Données projet'!$A$165:$I$185,4,0))</f>
        <v>0</v>
      </c>
      <c r="DX89" s="135">
        <f>IF(ISNA(VLOOKUP(A89,'Données projet'!$A$165:$I$185,5,0)),0%,VLOOKUP(A89,'Données projet'!$A$165:$I$185,5,0)*VLOOKUP('Données projet'!$B$14,'Paramètres'!$A$1:$I$89,7,0))</f>
        <v>0</v>
      </c>
      <c r="DY89" s="135">
        <f>IF(ISNA(VLOOKUP(A89,'Données projet'!$A$165:$I$185,6,0)),0%,VLOOKUP(A89,'Données projet'!$A$165:$I$185,6,0)*VLOOKUP('Données projet'!$B$14,'Paramètres'!$A$1:$I$89,7,0))</f>
        <v>0</v>
      </c>
      <c r="DZ89" s="135">
        <f>IF(ISNA(VLOOKUP(A89,'Données projet'!$A$165:$I$185,7,0)),0%,VLOOKUP(A89,'Données projet'!$A$165:$I$185,7,0))</f>
        <v>0</v>
      </c>
      <c r="EA89" s="142">
        <f>EXP(-LN(2)/35)*EA88+(1-EXP(-LN(2)/35))/(LN(2)/35)*DW89*DX89*VLOOKUP('Données projet'!$B$14,'Paramètres'!$A$1:$I$89,3,0)*0.475*44/12</f>
        <v>25.91229152</v>
      </c>
      <c r="EB89" s="142">
        <f>EXP(-LN(2)/25)*EB88+(1-EXP(-LN(2)/25))/(LN(2)/25)*Calculateur!DW89*Calculateur!DY89*VLOOKUP('Données projet'!$B$14,'Paramètres'!$A$1:$I$89,3,0)*0.475*44/12</f>
        <v>0</v>
      </c>
      <c r="EC89" s="142">
        <f>EXP(-LN(2)/2)*EC88+(1-EXP(-LN(2)/2))/(LN(2)/2)*DW89*DZ89*VLOOKUP('Données projet'!$B$14,'Paramètres'!$A$1:$I$89,3,0)*0.475*44/12</f>
        <v>0</v>
      </c>
      <c r="ED89" s="143">
        <f t="shared" si="19"/>
        <v>25.91229152</v>
      </c>
      <c r="EE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1" t="str">
        <f>VLOOKUP(A89,'Données projet'!$A$191:$I$211,2,0)</f>
        <v>#N/A</v>
      </c>
      <c r="EH89" s="131" t="str">
        <f>VLOOKUP(A89,'Données projet'!$A$191:$I$211,9,0)</f>
        <v>#N/A</v>
      </c>
      <c r="EI89" s="131" t="str">
        <f t="array" ref="EI89">INDEX(EH:EH,MIN(IF(ISNUMBER(EH89:EH285),ROW(EH89:EH285),"")))</f>
        <v/>
      </c>
      <c r="EJ89" s="138">
        <f>IF('Données projet'!$A$192&gt;35,EJ88+EI89-ER88,IF(A89&lt;'Données projet'!$A$192,$EG$205^A89,IF(A89='Données projet'!$A$192,'Données projet'!$B$192,EJ88+EI89-ER88)))</f>
        <v>0</v>
      </c>
      <c r="EK89" s="138">
        <f>EJ89*VLOOKUP('Données projet'!$B$15,'Paramètres'!$A$1:$I$89,3,0)*VLOOKUP('Données projet'!$B$15,'Paramètres'!$A$1:$I$89,5,0)</f>
        <v>0</v>
      </c>
      <c r="EL89" s="130" t="str">
        <f t="shared" si="46"/>
        <v>#NUM!</v>
      </c>
      <c r="EM89" s="141" t="str">
        <f t="shared" si="20"/>
        <v>#NUM!</v>
      </c>
      <c r="EN89" s="133" t="str">
        <f t="shared" si="21"/>
        <v>#NUM!</v>
      </c>
      <c r="EO89" s="133">
        <f>AVERAGE(OFFSET($EN$3,0,0,'Données projet'!$E$15+1,1))-AVERAGE(OFFSET($H$3,0,0,'Données projet'!$E$15+1,1))</f>
        <v>130.3193339</v>
      </c>
      <c r="EP89" s="133">
        <f t="shared" si="47"/>
        <v>82.22784365</v>
      </c>
      <c r="EQ89" s="134">
        <f>IF(ISNA(VLOOKUP(A89,'Données projet'!$A$191:$I$211,3,0)),0,VLOOKUP(A89,'Données projet'!$A$191:$I$211,3,0))</f>
        <v>0</v>
      </c>
      <c r="ER89" s="134">
        <f>IF(ISNA(VLOOKUP(A89,'Données projet'!$A$191:$I$211,4,0)),0,VLOOKUP(A89,'Données projet'!$A$191:$I$211,4,0))</f>
        <v>0</v>
      </c>
      <c r="ES89" s="135">
        <f>IF(ISNA(VLOOKUP(A89,'Données projet'!$A$191:$I$211,5,0)),0%,VLOOKUP(A89,'Données projet'!$A$191:$I$211,5,0)*VLOOKUP('Données projet'!$B$15,'Paramètres'!$A$1:$I$89,7,0))</f>
        <v>0</v>
      </c>
      <c r="ET89" s="135">
        <f>IF(ISNA(VLOOKUP(A89,'Données projet'!$A$191:$I$211,6,0)),0%,VLOOKUP(A89,'Données projet'!$A$191:$I$211,6,0)*VLOOKUP('Données projet'!$B$15,'Paramètres'!$A$1:$I$89,7,0))</f>
        <v>0</v>
      </c>
      <c r="EU89" s="135">
        <f>IF(ISNA(VLOOKUP(A89,'Données projet'!$A$191:$I$211,7,0)),0%,VLOOKUP(A89,'Données projet'!$A$191:$I$211,7,0))</f>
        <v>0</v>
      </c>
      <c r="EV89" s="142">
        <f>EXP(-LN(2)/35)*EV88+(1-EXP(-LN(2)/35))/(LN(2)/35)*ER89*ES89*VLOOKUP('Données projet'!$B$15,'Paramètres'!$A$1:$I$89,3,0)*0.475*44/12</f>
        <v>94.35020111</v>
      </c>
      <c r="EW89" s="142">
        <f>EXP(-LN(2)/25)*EW88+(1-EXP(-LN(2)/25))/(LN(2)/25)*Calculateur!ER89*Calculateur!ET89*VLOOKUP('Données projet'!$B$15,'Paramètres'!$A$1:$I$89,3,0)*0.475*44/12</f>
        <v>0</v>
      </c>
      <c r="EX89" s="142">
        <f>EXP(-LN(2)/2)*EX88+(1-EXP(-LN(2)/2))/(LN(2)/2)*ER89*EU89*VLOOKUP('Données projet'!$B$15,'Paramètres'!$A$1:$I$89,3,0)*0.475*44/12</f>
        <v>0</v>
      </c>
      <c r="EY89" s="143">
        <f t="shared" si="22"/>
        <v>94.35020111</v>
      </c>
      <c r="EZ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1" t="str">
        <f>VLOOKUP(A89,'Données projet'!$A$217:$I$237,2,0)</f>
        <v>#N/A</v>
      </c>
      <c r="FC89" s="131" t="str">
        <f>VLOOKUP(A89,'Données projet'!$A$217:$I$237,9,0)</f>
        <v>#N/A</v>
      </c>
      <c r="FD89" s="131" t="str">
        <f t="array" ref="FD89">INDEX(FC:FC,MIN(IF(ISNUMBER(FC89:FC285),ROW(FC89:FC285),"")))</f>
        <v/>
      </c>
      <c r="FE89" s="130">
        <f>IF('Données projet'!$A$218&gt;35,FE88+FD89-FM88,IF(A89&lt;'Données projet'!$A$218,$FB$205^A89,IF(A89='Données projet'!$A$218,'Données projet'!$B$218,FE88+FD89-FM88)))</f>
        <v>0</v>
      </c>
      <c r="FF89" s="138">
        <f>FE89*VLOOKUP('Données projet'!$B$16,'Paramètres'!$A$1:$I$89,3,0)*VLOOKUP('Données projet'!$B$16,'Paramètres'!$A$1:$I$89,5,0)</f>
        <v>0</v>
      </c>
      <c r="FG89" s="130">
        <f t="shared" si="48"/>
        <v>0</v>
      </c>
      <c r="FH89" s="141">
        <f t="shared" si="23"/>
        <v>0</v>
      </c>
      <c r="FI89" s="133">
        <f t="shared" si="24"/>
        <v>293.3333333</v>
      </c>
      <c r="FJ89" s="133">
        <f>AVERAGE(OFFSET($FI$3,0,0,'Données projet'!$E$16+1,1))-AVERAGE(OFFSET($H$3,0,0,'Données projet'!$E$16+1,1))</f>
        <v>305.6252353</v>
      </c>
      <c r="FK89" s="133">
        <f t="shared" si="49"/>
        <v>331.397916</v>
      </c>
      <c r="FL89" s="134">
        <f>IF(ISNA(VLOOKUP(A89,'Données projet'!$A$217:$I$237,3,0)),0,VLOOKUP(A89,'Données projet'!$A$217:$I$237,3,0))</f>
        <v>0</v>
      </c>
      <c r="FM89" s="134">
        <f>IF(ISNA(VLOOKUP(A89,'Données projet'!$A$217:$I$237,4,0)),0,VLOOKUP(A89,'Données projet'!$A$217:$I$237,4,0))</f>
        <v>0</v>
      </c>
      <c r="FN89" s="135">
        <f>IF(ISNA(VLOOKUP(A89,'Données projet'!$A$217:$I$237,5,0)),0%,VLOOKUP(A89,'Données projet'!$A$217:$I$237,5,0)*VLOOKUP('Données projet'!$B$16,'Paramètres'!$A$1:$I$89,7,0))</f>
        <v>0</v>
      </c>
      <c r="FO89" s="135">
        <f>IF(ISNA(VLOOKUP(A89,'Données projet'!$A$217:$I$237,6,0)),0%,VLOOKUP(A89,'Données projet'!$A$217:$I$237,6,0)*VLOOKUP('Données projet'!$B$16,'Paramètres'!$A$1:$I$89,7,0))</f>
        <v>0</v>
      </c>
      <c r="FP89" s="135">
        <f>IF(ISNA(VLOOKUP(A89,'Données projet'!$A$217:$I$237,7,0)),0%,VLOOKUP(A89,'Données projet'!$A$217:$I$237,7,0))</f>
        <v>0</v>
      </c>
      <c r="FQ89" s="142">
        <f>EXP(-LN(2)/35)*FQ88+(1-EXP(-LN(2)/35))/(LN(2)/35)*FM89*FN89*VLOOKUP('Données projet'!$B$16,'Paramètres'!$A$1:$I$89,3,0)*0.475*44/12</f>
        <v>58.74525489</v>
      </c>
      <c r="FR89" s="142">
        <f>EXP(-LN(2)/25)*FR88+(1-EXP(-LN(2)/25))/(LN(2)/25)*Calculateur!FM89*Calculateur!FO89*VLOOKUP('Données projet'!$B$16,'Paramètres'!$A$1:$I$89,3,0)*0.475*44/12</f>
        <v>0</v>
      </c>
      <c r="FS89" s="142">
        <f>EXP(-LN(2)/2)*FS88+(1-EXP(-LN(2)/2))/(LN(2)/2)*FM89*FP89*VLOOKUP('Données projet'!$B$16,'Paramètres'!$A$1:$I$89,3,0)*0.475*44/12</f>
        <v>0</v>
      </c>
      <c r="FT89" s="143">
        <f t="shared" si="25"/>
        <v>58.74525489</v>
      </c>
      <c r="FU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1" t="str">
        <f>VLOOKUP(A89,'Données projet'!$A$243:$I$263,2,0)</f>
        <v>#N/A</v>
      </c>
      <c r="FX89" s="131" t="str">
        <f>VLOOKUP(A89,'Données projet'!$A$243:$I$263,9,0)</f>
        <v>#N/A</v>
      </c>
      <c r="FY89" s="131" t="str">
        <f t="array" ref="FY89">INDEX(FX:FX,MIN(IF(ISNUMBER(FX89:FX285),ROW(FX89:FX285),"")))</f>
        <v/>
      </c>
      <c r="FZ89" s="138">
        <f>IF('Données projet'!$A$244&gt;35,FZ88+FY89-GH88,IF(A89&lt;'Données projet'!$A$244,$FW$205^A89,IF(A89='Données projet'!$A$244,'Données projet'!$B$244,FZ88+FY89-GH88)))</f>
        <v>0</v>
      </c>
      <c r="GA89" s="138">
        <f>FZ89*VLOOKUP('Données projet'!$B$17,'Paramètres'!$A$1:$I$89,3,0)*VLOOKUP('Données projet'!$B$17,'Paramètres'!$A$1:$I$89,5,0)</f>
        <v>0</v>
      </c>
      <c r="GB89" s="130">
        <f t="shared" si="50"/>
        <v>0</v>
      </c>
      <c r="GC89" s="141">
        <f t="shared" si="26"/>
        <v>0</v>
      </c>
      <c r="GD89" s="133">
        <f t="shared" si="27"/>
        <v>293.3333333</v>
      </c>
      <c r="GE89" s="133">
        <f>AVERAGE(OFFSET($GD$3,0,0,'Données projet'!$E$17+1,1))-AVERAGE(OFFSET($H$3,0,0,'Données projet'!$E$17+1,1))</f>
        <v>118.7368745</v>
      </c>
      <c r="GF89" s="133">
        <f t="shared" si="51"/>
        <v>135.1233677</v>
      </c>
      <c r="GG89" s="134">
        <f>IF(ISNA(VLOOKUP(A89,'Données projet'!$A$243:$I$263,3,0)),0,VLOOKUP(A89,'Données projet'!$A$243:$I$263,3,0))</f>
        <v>0</v>
      </c>
      <c r="GH89" s="134">
        <f>IF(ISNA(VLOOKUP(A89,'Données projet'!$A$243:$I$263,4,0)),0,VLOOKUP(A89,'Données projet'!$A$243:$I$263,4,0))</f>
        <v>0</v>
      </c>
      <c r="GI89" s="135">
        <f>IF(ISNA(VLOOKUP(A89,'Données projet'!$A$243:$I$263,5,0)),0%,VLOOKUP(A89,'Données projet'!$A$243:$I$263,5,0)*VLOOKUP('Données projet'!$B$17,'Paramètres'!$A$1:$I$89,7,0))</f>
        <v>0</v>
      </c>
      <c r="GJ89" s="135">
        <f>IF(ISNA(VLOOKUP(A89,'Données projet'!$A$243:$I$263,6,0)),0%,VLOOKUP(A89,'Données projet'!$A$243:$I$263,6,0)*VLOOKUP('Données projet'!$B$17,'Paramètres'!$A$1:$I$89,7,0))</f>
        <v>0</v>
      </c>
      <c r="GK89" s="135">
        <f>IF(ISNA(VLOOKUP(A89,'Données projet'!$A$243:$I$263,7,0)),0%,VLOOKUP(A89,'Données projet'!$A$243:$I$263,7,0))</f>
        <v>0</v>
      </c>
      <c r="GL89" s="142">
        <f>EXP(-LN(2)/35)*GL88+(1-EXP(-LN(2)/35))/(LN(2)/35)*GH89*GI89*VLOOKUP('Données projet'!$B$17,'Paramètres'!$A$1:$I$89,3,0)*0.475*44/12</f>
        <v>62.06418012</v>
      </c>
      <c r="GM89" s="142">
        <f>EXP(-LN(2)/25)*GM88+(1-EXP(-LN(2)/25))/(LN(2)/25)*Calculateur!GH89*Calculateur!GJ89*VLOOKUP('Données projet'!$B$17,'Paramètres'!$A$1:$I$89,3,0)*0.475*44/12</f>
        <v>0</v>
      </c>
      <c r="GN89" s="142">
        <f>EXP(-LN(2)/2)*GN88+(1-EXP(-LN(2)/2))/(LN(2)/2)*GH89*GK89*VLOOKUP('Données projet'!$B$17,'Paramètres'!$A$1:$I$89,3,0)*0.475*44/12</f>
        <v>0</v>
      </c>
      <c r="GO89" s="142">
        <f t="shared" si="28"/>
        <v>62.06418012</v>
      </c>
      <c r="GP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1" t="str">
        <f>VLOOKUP(A89,'Données projet'!$A$269:$I$289,2,0)</f>
        <v>#N/A</v>
      </c>
      <c r="GS89" s="131" t="str">
        <f>VLOOKUP(A89,'Données projet'!$A$269:$I$289,9,0)</f>
        <v>#N/A</v>
      </c>
      <c r="GT89" s="131" t="str">
        <f t="array" ref="GT89">INDEX(GS:GS,MIN(IF(ISNUMBER(GS89:GS285),ROW(GS89:GS285),"")))</f>
        <v/>
      </c>
      <c r="GU89" s="138">
        <f>IF('Données projet'!$A$270&gt;35,GU88+GT89-HC88,IF(A89&lt;'Données projet'!$A$270,$GR$205^A89,IF(A89='Données projet'!$A$270,'Données projet'!$B$270,GU88+GT89-HC88)))</f>
        <v>0</v>
      </c>
      <c r="GV89" s="138">
        <f>GU89*VLOOKUP('Données projet'!$B$18,'Paramètres'!$A$1:$I$89,3,0)*VLOOKUP('Données projet'!$B$18,'Paramètres'!$A$1:$I$89,5,0)</f>
        <v>0</v>
      </c>
      <c r="GW89" s="130" t="str">
        <f t="shared" si="52"/>
        <v>#NUM!</v>
      </c>
      <c r="GX89" s="141" t="str">
        <f t="shared" si="29"/>
        <v>#NUM!</v>
      </c>
      <c r="GY89" s="133" t="str">
        <f t="shared" si="30"/>
        <v>#NUM!</v>
      </c>
      <c r="GZ89" s="133">
        <f>AVERAGE(OFFSET($GY$3,0,0,'Données projet'!$E$18+1,1))-AVERAGE(OFFSET($H$3,0,0,'Données projet'!$E$18+1,1))</f>
        <v>100.5427875</v>
      </c>
      <c r="HA89" s="133">
        <f t="shared" si="53"/>
        <v>92.28663609</v>
      </c>
      <c r="HB89" s="134">
        <f>IF(ISNA(VLOOKUP(A89,'Données projet'!$A$269:$I$289,3,0)),0,VLOOKUP(A89,'Données projet'!$A$269:$I$289,3,0))</f>
        <v>0</v>
      </c>
      <c r="HC89" s="134">
        <f>IF(ISNA(VLOOKUP(A89,'Données projet'!$A$269:$I$289,4,0)),0,VLOOKUP(A89,'Données projet'!$A$269:$I$289,4,0))</f>
        <v>0</v>
      </c>
      <c r="HD89" s="135">
        <f>IF(ISNA(VLOOKUP(A89,'Données projet'!$A$269:$I$289,5,0)),0%,VLOOKUP(A89,'Données projet'!$A$269:$I$289,5,0)*VLOOKUP('Données projet'!$B$18,'Paramètres'!$A$1:$I$89,7,0))</f>
        <v>0</v>
      </c>
      <c r="HE89" s="135">
        <f>IF(ISNA(VLOOKUP(A89,'Données projet'!$A$269:$I$289,6,0)),0%,VLOOKUP(A89,'Données projet'!$A$269:$I$289,6,0)*VLOOKUP('Données projet'!$B$18,'Paramètres'!$A$1:$I$89,7,0))</f>
        <v>0</v>
      </c>
      <c r="HF89" s="135">
        <f>IF(ISNA(VLOOKUP(A89,'Données projet'!$A$269:$I$289,7,0)),0%,VLOOKUP(A89,'Données projet'!$A$269:$I$289,7,0))</f>
        <v>0</v>
      </c>
      <c r="HG89" s="142">
        <f>EXP(-LN(2)/35)*HG88+(1-EXP(-LN(2)/35))/(LN(2)/35)*HC89*HD89*VLOOKUP('Données projet'!$B$18,'Paramètres'!$A$1:$I$89,3,0)*0.475*44/12</f>
        <v>42.26439735</v>
      </c>
      <c r="HH89" s="142">
        <f>EXP(-LN(2)/25)*HH88+(1-EXP(-LN(2)/25))/(LN(2)/25)*Calculateur!HC89*Calculateur!HE89*VLOOKUP('Données projet'!$B$18,'Paramètres'!$A$1:$I$89,3,0)*0.475*44/12</f>
        <v>0</v>
      </c>
      <c r="HI89" s="142">
        <f>EXP(-LN(2)/2)*HI88+(1-EXP(-LN(2)/2))/(LN(2)/2)*HC89*HF89*VLOOKUP('Données projet'!$B$18,'Paramètres'!$A$1:$I$89,3,0)*0.475*44/12</f>
        <v>0</v>
      </c>
      <c r="HJ89" s="143">
        <f t="shared" si="31"/>
        <v>42.26439735</v>
      </c>
    </row>
    <row r="90" ht="15.75" customHeight="1">
      <c r="A90" s="125">
        <f t="shared" si="32"/>
        <v>87</v>
      </c>
      <c r="B90" s="126">
        <f>'Scénario référence'!$B$16*5+'Scénario référence'!$B$17*0+'Scénario référence'!$B$18*5</f>
        <v>0</v>
      </c>
      <c r="C90" s="140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47.502</v>
      </c>
      <c r="D90" s="127">
        <f t="shared" si="33"/>
        <v>13.96672865</v>
      </c>
      <c r="E9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7">
        <f>IF(OR('Scénario référence'!$F$8&gt;0,'Scénario référence'!$F$9&gt;0),('Scénario référence'!$F$8+'Scénario référence'!$F$9)*10,0)</f>
        <v>10</v>
      </c>
      <c r="G90" s="127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</v>
      </c>
      <c r="H90" s="128">
        <f t="shared" si="1"/>
        <v>400.3913691</v>
      </c>
      <c r="I90" s="12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1" t="str">
        <f>VLOOKUP(A90,'Données projet'!$A$35:$I$55,2,0)</f>
        <v>#N/A</v>
      </c>
      <c r="L90" s="131" t="str">
        <f>VLOOKUP(A90,'Données projet'!$A$35:$I$55,9,0)</f>
        <v>#N/A</v>
      </c>
      <c r="M90" s="131" t="str">
        <f t="array" ref="M90">INDEX(L:L,MIN(IF(ISNUMBER(L90:L286),ROW(L90:L286),"")))</f>
        <v/>
      </c>
      <c r="N90" s="130">
        <f>IF('Données projet'!$A$36&gt;35,N89+M90-V89,IF(A90&lt;'Données projet'!$A$36,$K$205^A90,IF(A90='Données projet'!$A$36,'Données projet'!$B$36,N89+M90-V89)))</f>
        <v>0</v>
      </c>
      <c r="O90" s="130">
        <f>N90*VLOOKUP('Données projet'!$B$9,'Paramètres'!$A$1:$I$89,3,0)*VLOOKUP('Données projet'!$B$9,'Paramètres'!$A$1:$I$89,5,0)</f>
        <v>0</v>
      </c>
      <c r="P90" s="130">
        <f t="shared" si="34"/>
        <v>0</v>
      </c>
      <c r="Q90" s="141">
        <f t="shared" si="2"/>
        <v>0</v>
      </c>
      <c r="R90" s="133">
        <f t="shared" si="3"/>
        <v>293.3333333</v>
      </c>
      <c r="S90" s="133">
        <f>AVERAGE(OFFSET($R$3,0,0,'Données projet'!$E$9+1,1))-AVERAGE(OFFSET($H$3,0,0,'Données projet'!$E$9+1,1))</f>
        <v>126.9946492</v>
      </c>
      <c r="T90" s="133">
        <f t="shared" si="35"/>
        <v>140.039049</v>
      </c>
      <c r="U90" s="134">
        <f>IF(ISNA(VLOOKUP(A90,'Données projet'!$A$35:$I$55,3,0)),0,VLOOKUP(A90,'Données projet'!$A$35:$I$55,3,0))</f>
        <v>0</v>
      </c>
      <c r="V90" s="134">
        <f>IF(ISNA(VLOOKUP(A90,'Données projet'!$A$35:$I$55,4,0)),0,VLOOKUP(A90,'Données projet'!$A$35:$I$55,4,0))</f>
        <v>0</v>
      </c>
      <c r="W90" s="135">
        <f>IF(ISNA(VLOOKUP(A90,'Données projet'!$A$35:$I$55,5,0)),0%,VLOOKUP(A90,'Données projet'!$A$35:$I$55,5,0)*VLOOKUP('Données projet'!$B$9,'Paramètres'!$A$1:$I$89,7,0))</f>
        <v>0</v>
      </c>
      <c r="X90" s="135">
        <f>IF(ISNA(VLOOKUP(A90,'Données projet'!$A$35:$I$55,6,0)),0%,VLOOKUP(A90,'Données projet'!$A$35:$I$55,6,0)*VLOOKUP('Données projet'!$B$9,'Paramètres'!$A$1:$I$89,7,0))</f>
        <v>0</v>
      </c>
      <c r="Y90" s="135">
        <f>IF(ISNA(VLOOKUP(A90,'Données projet'!$A$35:$I$55,7,0)),0%,VLOOKUP(A90,'Données projet'!$A$35:$I$55,7,0))</f>
        <v>0</v>
      </c>
      <c r="Z90" s="142">
        <f>EXP(-LN(2)/35)*Z89+(1-EXP(-LN(2)/35))/(LN(2)/35)*V90*W90*VLOOKUP('Données projet'!$B$9,'Paramètres'!$A$1:$I$89,3,0)*0.475*44/12</f>
        <v>62.23307883</v>
      </c>
      <c r="AA90" s="142">
        <f>EXP(-LN(2)/25)*AA89+(1-EXP(-LN(2)/25))/(LN(2)/25)*Calculateur!V90*Calculateur!X90*VLOOKUP('Données projet'!$B$9,'Paramètres'!$A$1:$I$89,3,0)*0.475*44/12</f>
        <v>10.99255003</v>
      </c>
      <c r="AB90" s="142">
        <f>EXP(-LN(2)/2)*AB89+(1-EXP(-LN(2)/2))/(LN(2)/2)*V90*Y90*VLOOKUP('Données projet'!$B$9,'Paramètres'!$A$1:$I$89,3,0)*0.475*44/12</f>
        <v>0.001639100727</v>
      </c>
      <c r="AC90" s="143">
        <f t="shared" si="4"/>
        <v>73.22726796</v>
      </c>
      <c r="AD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1" t="str">
        <f>VLOOKUP(A90,'Données projet'!$A$61:$I$81,2,0)</f>
        <v>#N/A</v>
      </c>
      <c r="AG90" s="131" t="str">
        <f>VLOOKUP(A90,'Données projet'!$A$61:$I$81,9,0)</f>
        <v>#N/A</v>
      </c>
      <c r="AH90" s="131" t="str">
        <f t="array" ref="AH90">INDEX(AG:AG,MIN(IF(ISNUMBER(AG90:AG286),ROW(AG90:AG286),"")))</f>
        <v/>
      </c>
      <c r="AI90" s="130">
        <f>IF('Données projet'!$A$62&gt;35,AI89+AH90-AQ89,IF(A90&lt;'Données projet'!$A$62,$AF$205^A90,IF(A90='Données projet'!$A$62,'Données projet'!$B$62,AI89+AH90-AQ89)))</f>
        <v>0</v>
      </c>
      <c r="AJ90" s="130">
        <f>AI90*VLOOKUP('Données projet'!$B$10,'Paramètres'!$A$1:$I$89,3,0)*VLOOKUP('Données projet'!$B$10,'Paramètres'!$A$1:$I$89,5,0)</f>
        <v>0</v>
      </c>
      <c r="AK90" s="130" t="str">
        <f t="shared" si="36"/>
        <v>#NUM!</v>
      </c>
      <c r="AL90" s="141" t="str">
        <f t="shared" si="5"/>
        <v>#NUM!</v>
      </c>
      <c r="AM90" s="133" t="str">
        <f t="shared" si="6"/>
        <v>#NUM!</v>
      </c>
      <c r="AN90" s="133">
        <f>AVERAGE(OFFSET($AM$3,0,0,'Données projet'!$E$10+1,1))-AVERAGE(OFFSET($H$3,0,0,'Données projet'!$E$10+1,1))</f>
        <v>196.874484</v>
      </c>
      <c r="AO90" s="133">
        <f t="shared" si="37"/>
        <v>217.5750859</v>
      </c>
      <c r="AP90" s="134">
        <f>IF(ISNA(VLOOKUP(A90,'Données projet'!$A$61:$I$81,3,0)),0,VLOOKUP(A90,'Données projet'!$A$61:$I$81,3,0))</f>
        <v>0</v>
      </c>
      <c r="AQ90" s="134">
        <f>IF(ISNA(VLOOKUP(A90,'Données projet'!$A$61:$I$81,4,0)),0,VLOOKUP(A90,'Données projet'!$A$61:$I$81,4,0))</f>
        <v>0</v>
      </c>
      <c r="AR90" s="135">
        <f>IF(ISNA(VLOOKUP(A90,'Données projet'!$A$61:$I$81,5,0)),0%,VLOOKUP(A90,'Données projet'!$A$61:$I$81,5,0)*VLOOKUP('Données projet'!$B$10,'Paramètres'!$A$1:$I$89,7,0))</f>
        <v>0</v>
      </c>
      <c r="AS90" s="135">
        <f>IF(ISNA(VLOOKUP(A90,'Données projet'!$A$61:$I$81,6,0)),0%,VLOOKUP(A90,'Données projet'!$A$61:$I$81,6,0)*VLOOKUP('Données projet'!$B$10,'Paramètres'!$A$1:$I$89,7,0))</f>
        <v>0</v>
      </c>
      <c r="AT90" s="135">
        <f>IF(ISNA(VLOOKUP(A90,'Données projet'!$A$61:$I$81,7,0)),0%,VLOOKUP(A90,'Données projet'!$A$61:$I$81,7,0))</f>
        <v>0</v>
      </c>
      <c r="AU90" s="142">
        <f>EXP(-LN(2)/35)*AU89+(1-EXP(-LN(2)/35))/(LN(2)/35)*AQ90*AR90*VLOOKUP('Données projet'!$B$10,'Paramètres'!$A$1:$I$89,3,0)*0.475*44/12</f>
        <v>86.50221192</v>
      </c>
      <c r="AV90" s="142">
        <f>EXP(-LN(2)/25)*AV89+(1-EXP(-LN(2)/25))/(LN(2)/25)*Calculateur!AQ90*Calculateur!AS90*VLOOKUP('Données projet'!$B$10,'Paramètres'!$A$1:$I$89,3,0)*0.475*44/12</f>
        <v>16.90106036</v>
      </c>
      <c r="AW90" s="142">
        <f>EXP(-LN(2)/2)*AW89+(1-EXP(-LN(2)/2))/(LN(2)/2)*AQ90*AT90*VLOOKUP('Données projet'!$B$10,'Paramètres'!$A$1:$I$89,3,0)*0.475*44/12</f>
        <v>0.002285250554</v>
      </c>
      <c r="AX90" s="142">
        <f t="shared" si="7"/>
        <v>103.4055575</v>
      </c>
      <c r="AY90" s="13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1" t="str">
        <f>VLOOKUP(A90,'Données projet'!$A$87:$I$107,2,0)</f>
        <v>#N/A</v>
      </c>
      <c r="BB90" s="131" t="str">
        <f>VLOOKUP(A90,'Données projet'!$A$87:$I$107,9,0)</f>
        <v>#N/A</v>
      </c>
      <c r="BC90" s="131" t="str">
        <f t="array" ref="BC90">INDEX(BB:BB,MIN(IF(ISNUMBER(BB90:BB286),ROW(BB90:BB286),"")))</f>
        <v/>
      </c>
      <c r="BD90" s="130">
        <f>IF('Données projet'!$A$88&gt;35,BD89+BC90-BL89,IF(A90&lt;'Données projet'!$A$88,$BA$205^A90,IF(A90='Données projet'!$A$88,'Données projet'!$B$88,BD89+BC90-BL89)))</f>
        <v>0</v>
      </c>
      <c r="BE90" s="130">
        <f>BD90*VLOOKUP('Données projet'!$B$11,'Paramètres'!$A$1:$I$89,3,0)*VLOOKUP('Données projet'!$B$11,'Paramètres'!$A$1:$I$89,5,0)</f>
        <v>0</v>
      </c>
      <c r="BF90" s="130" t="str">
        <f t="shared" si="38"/>
        <v>#NUM!</v>
      </c>
      <c r="BG90" s="141" t="str">
        <f t="shared" si="8"/>
        <v>#NUM!</v>
      </c>
      <c r="BH90" s="133" t="str">
        <f t="shared" si="9"/>
        <v>#NUM!</v>
      </c>
      <c r="BI90" s="133">
        <f>AVERAGE(OFFSET($BH$3,0,0,'Données projet'!$E$11+1,1))-AVERAGE(OFFSET($H$3,0,0,'Données projet'!$E$11+1,1))</f>
        <v>134.0948534</v>
      </c>
      <c r="BJ90" s="133">
        <f t="shared" si="39"/>
        <v>108.4102536</v>
      </c>
      <c r="BK90" s="134">
        <f>IF(ISNA(VLOOKUP(A90,'Données projet'!$A$87:$I$107,3,0)),0,VLOOKUP(A90,'Données projet'!$A$87:$I$107,3,0))</f>
        <v>0</v>
      </c>
      <c r="BL90" s="134">
        <f>IF(ISNA(VLOOKUP(A90,'Données projet'!$A$87:$I$107,4,0)),0,VLOOKUP(A90,'Données projet'!$A$87:$I$107,4,0))</f>
        <v>0</v>
      </c>
      <c r="BM90" s="135">
        <f>IF(ISNA(VLOOKUP(A90,'Données projet'!$A$87:$I$107,5,0)),0%,VLOOKUP(A90,'Données projet'!$A$87:$I$107,5,0)*VLOOKUP('Données projet'!$B$11,'Paramètres'!$A$1:$I$89,7,0))</f>
        <v>0</v>
      </c>
      <c r="BN90" s="135">
        <f>IF(ISNA(VLOOKUP(A90,'Données projet'!$A$87:$I$107,6,0)),0%,VLOOKUP(A90,'Données projet'!$A$87:$I$107,6,0)*VLOOKUP('Données projet'!$B$11,'Paramètres'!$A$1:$I$89,7,0))</f>
        <v>0</v>
      </c>
      <c r="BO90" s="135">
        <f>IF(ISNA(VLOOKUP(A90,'Données projet'!$A$87:$I$107,7,0)),0%,VLOOKUP(A90,'Données projet'!$A$87:$I$107,7,0))</f>
        <v>0</v>
      </c>
      <c r="BP90" s="142">
        <f>EXP(-LN(2)/35)*BP89+(1-EXP(-LN(2)/35))/(LN(2)/35)*BL90*BM90*VLOOKUP('Données projet'!$B$11,'Paramètres'!$A$1:$I$89,3,0)*0.475*44/12</f>
        <v>119.6487141</v>
      </c>
      <c r="BQ90" s="142">
        <f>EXP(-LN(2)/25)*BQ89+(1-EXP(-LN(2)/25))/(LN(2)/25)*Calculateur!BL90*Calculateur!BN90*VLOOKUP('Données projet'!$B$11,'Paramètres'!$A$1:$I$89,3,0)*0.475*44/12</f>
        <v>10.66120339</v>
      </c>
      <c r="BR90" s="142">
        <f>EXP(-LN(2)/2)*BR89+(1-EXP(-LN(2)/2))/(LN(2)/2)*BL90*BO90*VLOOKUP('Données projet'!$B$11,'Paramètres'!$A$1:$I$89,3,0)*0.475*44/12</f>
        <v>0.03048196279</v>
      </c>
      <c r="BS90" s="143">
        <f t="shared" si="10"/>
        <v>130.3403995</v>
      </c>
      <c r="BT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1" t="str">
        <f>VLOOKUP(A90,'Données projet'!$A$113:$I$133,2,0)</f>
        <v>#N/A</v>
      </c>
      <c r="BW90" s="131" t="str">
        <f>VLOOKUP(A90,'Données projet'!$A$113:$I$133,9,0)</f>
        <v>#N/A</v>
      </c>
      <c r="BX90" s="131" t="str">
        <f t="array" ref="BX90">INDEX(BW:BW,MIN(IF(ISNUMBER(BW90:BW286),ROW(BW90:BW286),"")))</f>
        <v/>
      </c>
      <c r="BY90" s="130">
        <f>IF('Données projet'!$A$114&gt;35,BY89+BX90-CG89,IF(A90&lt;'Données projet'!$A$114,$BV$205^A90,IF(A90='Données projet'!$A$114,'Données projet'!$B$114,BY89+BX90-CG89)))</f>
        <v>0</v>
      </c>
      <c r="BZ90" s="130">
        <f>BY90*VLOOKUP('Données projet'!$B$12,'Paramètres'!$A$1:$I$89,3,0)*VLOOKUP('Données projet'!$B$12,'Paramètres'!$A$1:$I$89,5,0)</f>
        <v>0</v>
      </c>
      <c r="CA90" s="130" t="str">
        <f t="shared" si="40"/>
        <v>#NUM!</v>
      </c>
      <c r="CB90" s="141" t="str">
        <f t="shared" si="11"/>
        <v>#NUM!</v>
      </c>
      <c r="CC90" s="133" t="str">
        <f t="shared" si="12"/>
        <v>#NUM!</v>
      </c>
      <c r="CD90" s="133">
        <f>AVERAGE(OFFSET($CC$3,0,0,'Données projet'!$E$12+1,1))-AVERAGE(OFFSET($H$3,0,0,'Données projet'!$E$12+1,1))</f>
        <v>258.1672054</v>
      </c>
      <c r="CE90" s="133">
        <f t="shared" si="41"/>
        <v>296.0724261</v>
      </c>
      <c r="CF90" s="134">
        <f>IF(ISNA(VLOOKUP(A90,'Données projet'!$A$113:$I$133,3,0)),0,VLOOKUP(A90,'Données projet'!$A$113:$I$133,3,0))</f>
        <v>0</v>
      </c>
      <c r="CG90" s="134">
        <f>IF(ISNA(VLOOKUP(A90,'Données projet'!$A$113:$I$133,4,0)),0,VLOOKUP(A90,'Données projet'!$A$113:$I$133,4,0))</f>
        <v>0</v>
      </c>
      <c r="CH90" s="135">
        <f>IF(ISNA(VLOOKUP(A90,'Données projet'!$A$113:$I$133,5,0)),0%,VLOOKUP(A90,'Données projet'!$A$113:$I$133,5,0)*VLOOKUP('Données projet'!$B$12,'Paramètres'!$A$1:$I$89,7,0))</f>
        <v>0</v>
      </c>
      <c r="CI90" s="135">
        <f>IF(ISNA(VLOOKUP(A90,'Données projet'!$A$113:$I$133,6,0)),0%,VLOOKUP(A90,'Données projet'!$A$113:$I$133,6,0)*VLOOKUP('Données projet'!$B$12,'Paramètres'!$A$1:$I$89,7,0))</f>
        <v>0</v>
      </c>
      <c r="CJ90" s="135">
        <f>IF(ISNA(VLOOKUP(A90,'Données projet'!$A$113:$I$133,7,0)),0%,VLOOKUP(A90,'Données projet'!$A$113:$I$133,7,0))</f>
        <v>0</v>
      </c>
      <c r="CK90" s="142">
        <f>EXP(-LN(2)/35)*CK89+(1-EXP(-LN(2)/35))/(LN(2)/35)*CG90*CH90*VLOOKUP('Données projet'!$B$12,'Paramètres'!$A$1:$I$89,3,0)*0.475*44/12</f>
        <v>151.2725767</v>
      </c>
      <c r="CL90" s="142">
        <f>EXP(-LN(2)/25)*CL89+(1-EXP(-LN(2)/25))/(LN(2)/25)*Calculateur!CG90*Calculateur!CI90*VLOOKUP('Données projet'!$B$12,'Paramètres'!$A$1:$I$89,3,0)*0.475*44/12</f>
        <v>18.70035595</v>
      </c>
      <c r="CM90" s="142">
        <f>EXP(-LN(2)/2)*CM89+(1-EXP(-LN(2)/2))/(LN(2)/2)*CG90*CJ90*VLOOKUP('Données projet'!$B$12,'Paramètres'!$A$1:$I$89,3,0)*0.475*44/12</f>
        <v>0.001284169114</v>
      </c>
      <c r="CN90" s="143">
        <f t="shared" si="13"/>
        <v>169.9742168</v>
      </c>
      <c r="CO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1" t="str">
        <f>VLOOKUP(A90,'Données projet'!$A$139:$I$159,2,0)</f>
        <v>#N/A</v>
      </c>
      <c r="CR90" s="131" t="str">
        <f>VLOOKUP(A90,'Données projet'!$A$139:$I$159,9,0)</f>
        <v>#N/A</v>
      </c>
      <c r="CS90" s="130">
        <f t="array" ref="CS90">INDEX(CR:CR,MIN(IF(ISNUMBER(CR90:CR286),ROW(CR90:CR286),"")))</f>
        <v>4.2</v>
      </c>
      <c r="CT90" s="138">
        <f>IF('Données projet'!$A$140&gt;35,CT89+CS90-DB89,IF(A90&lt;'Données projet'!$A$140,$CQ$205^A90,IF(A90='Données projet'!$A$140,'Données projet'!$B$140,CT89+CS90-DB89)))</f>
        <v>194.4</v>
      </c>
      <c r="CU90" s="138">
        <f>CT90*VLOOKUP('Données projet'!$B$13,'Paramètres'!$A$1:$I$89,3,0)*VLOOKUP('Données projet'!$B$13,'Paramètres'!$A$1:$I$89,5,0)</f>
        <v>197.1216</v>
      </c>
      <c r="CV90" s="130">
        <f t="shared" si="42"/>
        <v>49.1110498</v>
      </c>
      <c r="CW90" s="141">
        <f t="shared" si="14"/>
        <v>428.8551984</v>
      </c>
      <c r="CX90" s="133">
        <f t="shared" si="15"/>
        <v>722.1885317</v>
      </c>
      <c r="CY90" s="133">
        <f>AVERAGE(OFFSET($CX$3,0,0,'Données projet'!$E$13+1,1))-AVERAGE(OFFSET($H$3,0,0,'Données projet'!$E$13+1,1))</f>
        <v>223.783507</v>
      </c>
      <c r="CZ90" s="133">
        <f t="shared" si="43"/>
        <v>84.92349117</v>
      </c>
      <c r="DA90" s="134">
        <f>IF(ISNA(VLOOKUP(A90,'Données projet'!$A$139:$I$159,3,0)),0,VLOOKUP(A90,'Données projet'!$A$139:$I$159,3,0))</f>
        <v>0</v>
      </c>
      <c r="DB90" s="134">
        <f>IF(ISNA(VLOOKUP(A90,'Données projet'!$A$139:$I$159,4,0)),0,VLOOKUP(A90,'Données projet'!$A$139:$I$159,4,0))</f>
        <v>0</v>
      </c>
      <c r="DC90" s="135">
        <f>IF(ISNA(VLOOKUP(A90,'Données projet'!$A$139:$I$159,5,0)),0%,VLOOKUP(A90,'Données projet'!$A$139:$I$159,5,0)*VLOOKUP('Données projet'!$B$13,'Paramètres'!$A$1:$I$89,7,0))</f>
        <v>0</v>
      </c>
      <c r="DD90" s="135">
        <f>IF(ISNA(VLOOKUP(A90,'Données projet'!$A$139:$I$159,6,0)),0%,VLOOKUP(A90,'Données projet'!$A$139:$I$159,6,0)*VLOOKUP('Données projet'!$B$13,'Paramètres'!$A$1:$I$89,7,0))</f>
        <v>0</v>
      </c>
      <c r="DE90" s="135">
        <f>IF(ISNA(VLOOKUP(A90,'Données projet'!$A$139:$I$159,7,0)),0%,VLOOKUP(A90,'Données projet'!$A$139:$I$159,7,0))</f>
        <v>0</v>
      </c>
      <c r="DF90" s="142">
        <f>EXP(-LN(2)/35)*DF89+(1-EXP(-LN(2)/35))/(LN(2)/35)*DB90*DC90*VLOOKUP('Données projet'!$B$13,'Paramètres'!$A$1:$I$89,3,0)*0.475*44/12</f>
        <v>16.65905354</v>
      </c>
      <c r="DG90" s="142">
        <f>EXP(-LN(2)/25)*DG89+(1-EXP(-LN(2)/25))/(LN(2)/25)*Calculateur!DB90*Calculateur!DD90*VLOOKUP('Données projet'!$B$13,'Paramètres'!$A$1:$I$89,3,0)*0.475*44/12</f>
        <v>0</v>
      </c>
      <c r="DH90" s="142">
        <f>EXP(-LN(2)/2)*DH89+(1-EXP(-LN(2)/2))/(LN(2)/2)*DB90*DE90*VLOOKUP('Données projet'!$B$13,'Paramètres'!$A$1:$I$89,3,0)*0.475*44/12</f>
        <v>0</v>
      </c>
      <c r="DI90" s="143">
        <f t="shared" si="16"/>
        <v>16.65905354</v>
      </c>
      <c r="DJ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1" t="str">
        <f>VLOOKUP(A90,'Données projet'!$A$165:$I$185,2,0)</f>
        <v>#N/A</v>
      </c>
      <c r="DM90" s="131" t="str">
        <f>VLOOKUP(A90,'Données projet'!$A$165:$I$185,9,0)</f>
        <v>#N/A</v>
      </c>
      <c r="DN90" s="131">
        <f t="array" ref="DN90">INDEX(DM:DM,MIN(IF(ISNUMBER(DM90:DM286),ROW(DM90:DM286),"")))</f>
        <v>5.4</v>
      </c>
      <c r="DO90" s="138">
        <f>IF('Données projet'!$A$166&gt;35,DO89+DN90-DW89,IF(A90&lt;'Données projet'!$A$166,$DL$205^A90,IF(A90='Données projet'!$A$166,'Données projet'!$B$166,DO89+DN90-DW89)))</f>
        <v>258.8</v>
      </c>
      <c r="DP90" s="138">
        <f>DO90*VLOOKUP('Données projet'!$B$14,'Paramètres'!$A$1:$I$89,3,0)*VLOOKUP('Données projet'!$B$14,'Paramètres'!$A$1:$I$89,5,0)</f>
        <v>234.16224</v>
      </c>
      <c r="DQ90" s="130">
        <f t="shared" si="44"/>
        <v>57.18171358</v>
      </c>
      <c r="DR90" s="141">
        <f t="shared" si="17"/>
        <v>507.4240525</v>
      </c>
      <c r="DS90" s="133">
        <f t="shared" si="18"/>
        <v>800.7573858</v>
      </c>
      <c r="DT90" s="133">
        <f>AVERAGE(OFFSET($DS$3,0,0,'Données projet'!$E$14+1,1))-AVERAGE(OFFSET($H$3,0,0,'Données projet'!$E$14+1,1))</f>
        <v>287.9334714</v>
      </c>
      <c r="DU90" s="133">
        <f t="shared" si="45"/>
        <v>156.6796502</v>
      </c>
      <c r="DV90" s="134">
        <f>IF(ISNA(VLOOKUP(A90,'Données projet'!$A$165:$I$185,3,0)),0,VLOOKUP(A90,'Données projet'!$A$165:$I$185,3,0))</f>
        <v>0</v>
      </c>
      <c r="DW90" s="134">
        <f>IF(ISNA(VLOOKUP(A90,'Données projet'!$A$165:$I$185,4,0)),0,VLOOKUP(A90,'Données projet'!$A$165:$I$185,4,0))</f>
        <v>0</v>
      </c>
      <c r="DX90" s="135">
        <f>IF(ISNA(VLOOKUP(A90,'Données projet'!$A$165:$I$185,5,0)),0%,VLOOKUP(A90,'Données projet'!$A$165:$I$185,5,0)*VLOOKUP('Données projet'!$B$14,'Paramètres'!$A$1:$I$89,7,0))</f>
        <v>0</v>
      </c>
      <c r="DY90" s="135">
        <f>IF(ISNA(VLOOKUP(A90,'Données projet'!$A$165:$I$185,6,0)),0%,VLOOKUP(A90,'Données projet'!$A$165:$I$185,6,0)*VLOOKUP('Données projet'!$B$14,'Paramètres'!$A$1:$I$89,7,0))</f>
        <v>0</v>
      </c>
      <c r="DZ90" s="135">
        <f>IF(ISNA(VLOOKUP(A90,'Données projet'!$A$165:$I$185,7,0)),0%,VLOOKUP(A90,'Données projet'!$A$165:$I$185,7,0))</f>
        <v>0</v>
      </c>
      <c r="EA90" s="142">
        <f>EXP(-LN(2)/35)*EA89+(1-EXP(-LN(2)/35))/(LN(2)/35)*DW90*DX90*VLOOKUP('Données projet'!$B$14,'Paramètres'!$A$1:$I$89,3,0)*0.475*44/12</f>
        <v>25.40416729</v>
      </c>
      <c r="EB90" s="142">
        <f>EXP(-LN(2)/25)*EB89+(1-EXP(-LN(2)/25))/(LN(2)/25)*Calculateur!DW90*Calculateur!DY90*VLOOKUP('Données projet'!$B$14,'Paramètres'!$A$1:$I$89,3,0)*0.475*44/12</f>
        <v>0</v>
      </c>
      <c r="EC90" s="142">
        <f>EXP(-LN(2)/2)*EC89+(1-EXP(-LN(2)/2))/(LN(2)/2)*DW90*DZ90*VLOOKUP('Données projet'!$B$14,'Paramètres'!$A$1:$I$89,3,0)*0.475*44/12</f>
        <v>0</v>
      </c>
      <c r="ED90" s="143">
        <f t="shared" si="19"/>
        <v>25.40416729</v>
      </c>
      <c r="EE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1" t="str">
        <f>VLOOKUP(A90,'Données projet'!$A$191:$I$211,2,0)</f>
        <v>#N/A</v>
      </c>
      <c r="EH90" s="131" t="str">
        <f>VLOOKUP(A90,'Données projet'!$A$191:$I$211,9,0)</f>
        <v>#N/A</v>
      </c>
      <c r="EI90" s="131" t="str">
        <f t="array" ref="EI90">INDEX(EH:EH,MIN(IF(ISNUMBER(EH90:EH286),ROW(EH90:EH286),"")))</f>
        <v/>
      </c>
      <c r="EJ90" s="138">
        <f>IF('Données projet'!$A$192&gt;35,EJ89+EI90-ER89,IF(A90&lt;'Données projet'!$A$192,$EG$205^A90,IF(A90='Données projet'!$A$192,'Données projet'!$B$192,EJ89+EI90-ER89)))</f>
        <v>0</v>
      </c>
      <c r="EK90" s="138">
        <f>EJ90*VLOOKUP('Données projet'!$B$15,'Paramètres'!$A$1:$I$89,3,0)*VLOOKUP('Données projet'!$B$15,'Paramètres'!$A$1:$I$89,5,0)</f>
        <v>0</v>
      </c>
      <c r="EL90" s="130" t="str">
        <f t="shared" si="46"/>
        <v>#NUM!</v>
      </c>
      <c r="EM90" s="141" t="str">
        <f t="shared" si="20"/>
        <v>#NUM!</v>
      </c>
      <c r="EN90" s="133" t="str">
        <f t="shared" si="21"/>
        <v>#NUM!</v>
      </c>
      <c r="EO90" s="133">
        <f>AVERAGE(OFFSET($EN$3,0,0,'Données projet'!$E$15+1,1))-AVERAGE(OFFSET($H$3,0,0,'Données projet'!$E$15+1,1))</f>
        <v>130.3193339</v>
      </c>
      <c r="EP90" s="133">
        <f t="shared" si="47"/>
        <v>82.22784365</v>
      </c>
      <c r="EQ90" s="134">
        <f>IF(ISNA(VLOOKUP(A90,'Données projet'!$A$191:$I$211,3,0)),0,VLOOKUP(A90,'Données projet'!$A$191:$I$211,3,0))</f>
        <v>0</v>
      </c>
      <c r="ER90" s="134">
        <f>IF(ISNA(VLOOKUP(A90,'Données projet'!$A$191:$I$211,4,0)),0,VLOOKUP(A90,'Données projet'!$A$191:$I$211,4,0))</f>
        <v>0</v>
      </c>
      <c r="ES90" s="135">
        <f>IF(ISNA(VLOOKUP(A90,'Données projet'!$A$191:$I$211,5,0)),0%,VLOOKUP(A90,'Données projet'!$A$191:$I$211,5,0)*VLOOKUP('Données projet'!$B$15,'Paramètres'!$A$1:$I$89,7,0))</f>
        <v>0</v>
      </c>
      <c r="ET90" s="135">
        <f>IF(ISNA(VLOOKUP(A90,'Données projet'!$A$191:$I$211,6,0)),0%,VLOOKUP(A90,'Données projet'!$A$191:$I$211,6,0)*VLOOKUP('Données projet'!$B$15,'Paramètres'!$A$1:$I$89,7,0))</f>
        <v>0</v>
      </c>
      <c r="EU90" s="135">
        <f>IF(ISNA(VLOOKUP(A90,'Données projet'!$A$191:$I$211,7,0)),0%,VLOOKUP(A90,'Données projet'!$A$191:$I$211,7,0))</f>
        <v>0</v>
      </c>
      <c r="EV90" s="142">
        <f>EXP(-LN(2)/35)*EV89+(1-EXP(-LN(2)/35))/(LN(2)/35)*ER90*ES90*VLOOKUP('Données projet'!$B$15,'Paramètres'!$A$1:$I$89,3,0)*0.475*44/12</f>
        <v>92.50005121</v>
      </c>
      <c r="EW90" s="142">
        <f>EXP(-LN(2)/25)*EW89+(1-EXP(-LN(2)/25))/(LN(2)/25)*Calculateur!ER90*Calculateur!ET90*VLOOKUP('Données projet'!$B$15,'Paramètres'!$A$1:$I$89,3,0)*0.475*44/12</f>
        <v>0</v>
      </c>
      <c r="EX90" s="142">
        <f>EXP(-LN(2)/2)*EX89+(1-EXP(-LN(2)/2))/(LN(2)/2)*ER90*EU90*VLOOKUP('Données projet'!$B$15,'Paramètres'!$A$1:$I$89,3,0)*0.475*44/12</f>
        <v>0</v>
      </c>
      <c r="EY90" s="143">
        <f t="shared" si="22"/>
        <v>92.50005121</v>
      </c>
      <c r="EZ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1" t="str">
        <f>VLOOKUP(A90,'Données projet'!$A$217:$I$237,2,0)</f>
        <v>#N/A</v>
      </c>
      <c r="FC90" s="131" t="str">
        <f>VLOOKUP(A90,'Données projet'!$A$217:$I$237,9,0)</f>
        <v>#N/A</v>
      </c>
      <c r="FD90" s="131" t="str">
        <f t="array" ref="FD90">INDEX(FC:FC,MIN(IF(ISNUMBER(FC90:FC286),ROW(FC90:FC286),"")))</f>
        <v/>
      </c>
      <c r="FE90" s="130">
        <f>IF('Données projet'!$A$218&gt;35,FE89+FD90-FM89,IF(A90&lt;'Données projet'!$A$218,$FB$205^A90,IF(A90='Données projet'!$A$218,'Données projet'!$B$218,FE89+FD90-FM89)))</f>
        <v>0</v>
      </c>
      <c r="FF90" s="138">
        <f>FE90*VLOOKUP('Données projet'!$B$16,'Paramètres'!$A$1:$I$89,3,0)*VLOOKUP('Données projet'!$B$16,'Paramètres'!$A$1:$I$89,5,0)</f>
        <v>0</v>
      </c>
      <c r="FG90" s="130">
        <f t="shared" si="48"/>
        <v>0</v>
      </c>
      <c r="FH90" s="141">
        <f t="shared" si="23"/>
        <v>0</v>
      </c>
      <c r="FI90" s="133">
        <f t="shared" si="24"/>
        <v>293.3333333</v>
      </c>
      <c r="FJ90" s="133">
        <f>AVERAGE(OFFSET($FI$3,0,0,'Données projet'!$E$16+1,1))-AVERAGE(OFFSET($H$3,0,0,'Données projet'!$E$16+1,1))</f>
        <v>305.6252353</v>
      </c>
      <c r="FK90" s="133">
        <f t="shared" si="49"/>
        <v>331.397916</v>
      </c>
      <c r="FL90" s="134">
        <f>IF(ISNA(VLOOKUP(A90,'Données projet'!$A$217:$I$237,3,0)),0,VLOOKUP(A90,'Données projet'!$A$217:$I$237,3,0))</f>
        <v>0</v>
      </c>
      <c r="FM90" s="134">
        <f>IF(ISNA(VLOOKUP(A90,'Données projet'!$A$217:$I$237,4,0)),0,VLOOKUP(A90,'Données projet'!$A$217:$I$237,4,0))</f>
        <v>0</v>
      </c>
      <c r="FN90" s="135">
        <f>IF(ISNA(VLOOKUP(A90,'Données projet'!$A$217:$I$237,5,0)),0%,VLOOKUP(A90,'Données projet'!$A$217:$I$237,5,0)*VLOOKUP('Données projet'!$B$16,'Paramètres'!$A$1:$I$89,7,0))</f>
        <v>0</v>
      </c>
      <c r="FO90" s="135">
        <f>IF(ISNA(VLOOKUP(A90,'Données projet'!$A$217:$I$237,6,0)),0%,VLOOKUP(A90,'Données projet'!$A$217:$I$237,6,0)*VLOOKUP('Données projet'!$B$16,'Paramètres'!$A$1:$I$89,7,0))</f>
        <v>0</v>
      </c>
      <c r="FP90" s="135">
        <f>IF(ISNA(VLOOKUP(A90,'Données projet'!$A$217:$I$237,7,0)),0%,VLOOKUP(A90,'Données projet'!$A$217:$I$237,7,0))</f>
        <v>0</v>
      </c>
      <c r="FQ90" s="142">
        <f>EXP(-LN(2)/35)*FQ89+(1-EXP(-LN(2)/35))/(LN(2)/35)*FM90*FN90*VLOOKUP('Données projet'!$B$16,'Paramètres'!$A$1:$I$89,3,0)*0.475*44/12</f>
        <v>57.59329628</v>
      </c>
      <c r="FR90" s="142">
        <f>EXP(-LN(2)/25)*FR89+(1-EXP(-LN(2)/25))/(LN(2)/25)*Calculateur!FM90*Calculateur!FO90*VLOOKUP('Données projet'!$B$16,'Paramètres'!$A$1:$I$89,3,0)*0.475*44/12</f>
        <v>0</v>
      </c>
      <c r="FS90" s="142">
        <f>EXP(-LN(2)/2)*FS89+(1-EXP(-LN(2)/2))/(LN(2)/2)*FM90*FP90*VLOOKUP('Données projet'!$B$16,'Paramètres'!$A$1:$I$89,3,0)*0.475*44/12</f>
        <v>0</v>
      </c>
      <c r="FT90" s="143">
        <f t="shared" si="25"/>
        <v>57.59329628</v>
      </c>
      <c r="FU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1" t="str">
        <f>VLOOKUP(A90,'Données projet'!$A$243:$I$263,2,0)</f>
        <v>#N/A</v>
      </c>
      <c r="FX90" s="131" t="str">
        <f>VLOOKUP(A90,'Données projet'!$A$243:$I$263,9,0)</f>
        <v>#N/A</v>
      </c>
      <c r="FY90" s="131" t="str">
        <f t="array" ref="FY90">INDEX(FX:FX,MIN(IF(ISNUMBER(FX90:FX286),ROW(FX90:FX286),"")))</f>
        <v/>
      </c>
      <c r="FZ90" s="138">
        <f>IF('Données projet'!$A$244&gt;35,FZ89+FY90-GH89,IF(A90&lt;'Données projet'!$A$244,$FW$205^A90,IF(A90='Données projet'!$A$244,'Données projet'!$B$244,FZ89+FY90-GH89)))</f>
        <v>0</v>
      </c>
      <c r="GA90" s="138">
        <f>FZ90*VLOOKUP('Données projet'!$B$17,'Paramètres'!$A$1:$I$89,3,0)*VLOOKUP('Données projet'!$B$17,'Paramètres'!$A$1:$I$89,5,0)</f>
        <v>0</v>
      </c>
      <c r="GB90" s="130">
        <f t="shared" si="50"/>
        <v>0</v>
      </c>
      <c r="GC90" s="141">
        <f t="shared" si="26"/>
        <v>0</v>
      </c>
      <c r="GD90" s="133">
        <f t="shared" si="27"/>
        <v>293.3333333</v>
      </c>
      <c r="GE90" s="133">
        <f>AVERAGE(OFFSET($GD$3,0,0,'Données projet'!$E$17+1,1))-AVERAGE(OFFSET($H$3,0,0,'Données projet'!$E$17+1,1))</f>
        <v>118.7368745</v>
      </c>
      <c r="GF90" s="133">
        <f t="shared" si="51"/>
        <v>135.1233677</v>
      </c>
      <c r="GG90" s="134">
        <f>IF(ISNA(VLOOKUP(A90,'Données projet'!$A$243:$I$263,3,0)),0,VLOOKUP(A90,'Données projet'!$A$243:$I$263,3,0))</f>
        <v>0</v>
      </c>
      <c r="GH90" s="134">
        <f>IF(ISNA(VLOOKUP(A90,'Données projet'!$A$243:$I$263,4,0)),0,VLOOKUP(A90,'Données projet'!$A$243:$I$263,4,0))</f>
        <v>0</v>
      </c>
      <c r="GI90" s="135">
        <f>IF(ISNA(VLOOKUP(A90,'Données projet'!$A$243:$I$263,5,0)),0%,VLOOKUP(A90,'Données projet'!$A$243:$I$263,5,0)*VLOOKUP('Données projet'!$B$17,'Paramètres'!$A$1:$I$89,7,0))</f>
        <v>0</v>
      </c>
      <c r="GJ90" s="135">
        <f>IF(ISNA(VLOOKUP(A90,'Données projet'!$A$243:$I$263,6,0)),0%,VLOOKUP(A90,'Données projet'!$A$243:$I$263,6,0)*VLOOKUP('Données projet'!$B$17,'Paramètres'!$A$1:$I$89,7,0))</f>
        <v>0</v>
      </c>
      <c r="GK90" s="135">
        <f>IF(ISNA(VLOOKUP(A90,'Données projet'!$A$243:$I$263,7,0)),0%,VLOOKUP(A90,'Données projet'!$A$243:$I$263,7,0))</f>
        <v>0</v>
      </c>
      <c r="GL90" s="142">
        <f>EXP(-LN(2)/35)*GL89+(1-EXP(-LN(2)/35))/(LN(2)/35)*GH90*GI90*VLOOKUP('Données projet'!$B$17,'Paramètres'!$A$1:$I$89,3,0)*0.475*44/12</f>
        <v>60.84713941</v>
      </c>
      <c r="GM90" s="142">
        <f>EXP(-LN(2)/25)*GM89+(1-EXP(-LN(2)/25))/(LN(2)/25)*Calculateur!GH90*Calculateur!GJ90*VLOOKUP('Données projet'!$B$17,'Paramètres'!$A$1:$I$89,3,0)*0.475*44/12</f>
        <v>0</v>
      </c>
      <c r="GN90" s="142">
        <f>EXP(-LN(2)/2)*GN89+(1-EXP(-LN(2)/2))/(LN(2)/2)*GH90*GK90*VLOOKUP('Données projet'!$B$17,'Paramètres'!$A$1:$I$89,3,0)*0.475*44/12</f>
        <v>0</v>
      </c>
      <c r="GO90" s="142">
        <f t="shared" si="28"/>
        <v>60.84713941</v>
      </c>
      <c r="GP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1" t="str">
        <f>VLOOKUP(A90,'Données projet'!$A$269:$I$289,2,0)</f>
        <v>#N/A</v>
      </c>
      <c r="GS90" s="131" t="str">
        <f>VLOOKUP(A90,'Données projet'!$A$269:$I$289,9,0)</f>
        <v>#N/A</v>
      </c>
      <c r="GT90" s="131" t="str">
        <f t="array" ref="GT90">INDEX(GS:GS,MIN(IF(ISNUMBER(GS90:GS286),ROW(GS90:GS286),"")))</f>
        <v/>
      </c>
      <c r="GU90" s="138">
        <f>IF('Données projet'!$A$270&gt;35,GU89+GT90-HC89,IF(A90&lt;'Données projet'!$A$270,$GR$205^A90,IF(A90='Données projet'!$A$270,'Données projet'!$B$270,GU89+GT90-HC89)))</f>
        <v>0</v>
      </c>
      <c r="GV90" s="138">
        <f>GU90*VLOOKUP('Données projet'!$B$18,'Paramètres'!$A$1:$I$89,3,0)*VLOOKUP('Données projet'!$B$18,'Paramètres'!$A$1:$I$89,5,0)</f>
        <v>0</v>
      </c>
      <c r="GW90" s="130" t="str">
        <f t="shared" si="52"/>
        <v>#NUM!</v>
      </c>
      <c r="GX90" s="141" t="str">
        <f t="shared" si="29"/>
        <v>#NUM!</v>
      </c>
      <c r="GY90" s="133" t="str">
        <f t="shared" si="30"/>
        <v>#NUM!</v>
      </c>
      <c r="GZ90" s="133">
        <f>AVERAGE(OFFSET($GY$3,0,0,'Données projet'!$E$18+1,1))-AVERAGE(OFFSET($H$3,0,0,'Données projet'!$E$18+1,1))</f>
        <v>100.5427875</v>
      </c>
      <c r="HA90" s="133">
        <f t="shared" si="53"/>
        <v>92.28663609</v>
      </c>
      <c r="HB90" s="134">
        <f>IF(ISNA(VLOOKUP(A90,'Données projet'!$A$269:$I$289,3,0)),0,VLOOKUP(A90,'Données projet'!$A$269:$I$289,3,0))</f>
        <v>0</v>
      </c>
      <c r="HC90" s="134">
        <f>IF(ISNA(VLOOKUP(A90,'Données projet'!$A$269:$I$289,4,0)),0,VLOOKUP(A90,'Données projet'!$A$269:$I$289,4,0))</f>
        <v>0</v>
      </c>
      <c r="HD90" s="135">
        <f>IF(ISNA(VLOOKUP(A90,'Données projet'!$A$269:$I$289,5,0)),0%,VLOOKUP(A90,'Données projet'!$A$269:$I$289,5,0)*VLOOKUP('Données projet'!$B$18,'Paramètres'!$A$1:$I$89,7,0))</f>
        <v>0</v>
      </c>
      <c r="HE90" s="135">
        <f>IF(ISNA(VLOOKUP(A90,'Données projet'!$A$269:$I$289,6,0)),0%,VLOOKUP(A90,'Données projet'!$A$269:$I$289,6,0)*VLOOKUP('Données projet'!$B$18,'Paramètres'!$A$1:$I$89,7,0))</f>
        <v>0</v>
      </c>
      <c r="HF90" s="135">
        <f>IF(ISNA(VLOOKUP(A90,'Données projet'!$A$269:$I$289,7,0)),0%,VLOOKUP(A90,'Données projet'!$A$269:$I$289,7,0))</f>
        <v>0</v>
      </c>
      <c r="HG90" s="142">
        <f>EXP(-LN(2)/35)*HG89+(1-EXP(-LN(2)/35))/(LN(2)/35)*HC90*HD90*VLOOKUP('Données projet'!$B$18,'Paramètres'!$A$1:$I$89,3,0)*0.475*44/12</f>
        <v>41.4356183</v>
      </c>
      <c r="HH90" s="142">
        <f>EXP(-LN(2)/25)*HH89+(1-EXP(-LN(2)/25))/(LN(2)/25)*Calculateur!HC90*Calculateur!HE90*VLOOKUP('Données projet'!$B$18,'Paramètres'!$A$1:$I$89,3,0)*0.475*44/12</f>
        <v>0</v>
      </c>
      <c r="HI90" s="142">
        <f>EXP(-LN(2)/2)*HI89+(1-EXP(-LN(2)/2))/(LN(2)/2)*HC90*HF90*VLOOKUP('Données projet'!$B$18,'Paramètres'!$A$1:$I$89,3,0)*0.475*44/12</f>
        <v>0</v>
      </c>
      <c r="HJ90" s="143">
        <f t="shared" si="31"/>
        <v>41.4356183</v>
      </c>
    </row>
    <row r="91" ht="15.75" customHeight="1">
      <c r="A91" s="125">
        <f t="shared" si="32"/>
        <v>88</v>
      </c>
      <c r="B91" s="126">
        <f>'Scénario référence'!$B$16*5+'Scénario référence'!$B$17*0+'Scénario référence'!$B$18*5</f>
        <v>0</v>
      </c>
      <c r="C91" s="140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48.048</v>
      </c>
      <c r="D91" s="127">
        <f t="shared" si="33"/>
        <v>14.10848475</v>
      </c>
      <c r="E9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7">
        <f>IF(OR('Scénario référence'!$F$8&gt;0,'Scénario référence'!$F$9&gt;0),('Scénario référence'!$F$8+'Scénario référence'!$F$9)*10,0)</f>
        <v>10</v>
      </c>
      <c r="G91" s="127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479.8044437</v>
      </c>
      <c r="H91" s="128">
        <f t="shared" si="1"/>
        <v>401.5892109</v>
      </c>
      <c r="I91" s="12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1" t="str">
        <f>VLOOKUP(A91,'Données projet'!$A$35:$I$55,2,0)</f>
        <v>#N/A</v>
      </c>
      <c r="L91" s="131" t="str">
        <f>VLOOKUP(A91,'Données projet'!$A$35:$I$55,9,0)</f>
        <v>#N/A</v>
      </c>
      <c r="M91" s="131" t="str">
        <f t="array" ref="M91">INDEX(L:L,MIN(IF(ISNUMBER(L91:L287),ROW(L91:L287),"")))</f>
        <v/>
      </c>
      <c r="N91" s="130">
        <f>IF('Données projet'!$A$36&gt;35,N90+M91-V90,IF(A91&lt;'Données projet'!$A$36,$K$205^A91,IF(A91='Données projet'!$A$36,'Données projet'!$B$36,N90+M91-V90)))</f>
        <v>0</v>
      </c>
      <c r="O91" s="130">
        <f>N91*VLOOKUP('Données projet'!$B$9,'Paramètres'!$A$1:$I$89,3,0)*VLOOKUP('Données projet'!$B$9,'Paramètres'!$A$1:$I$89,5,0)</f>
        <v>0</v>
      </c>
      <c r="P91" s="130">
        <f t="shared" si="34"/>
        <v>0</v>
      </c>
      <c r="Q91" s="141">
        <f t="shared" si="2"/>
        <v>0</v>
      </c>
      <c r="R91" s="133">
        <f t="shared" si="3"/>
        <v>293.3333333</v>
      </c>
      <c r="S91" s="133">
        <f>AVERAGE(OFFSET($R$3,0,0,'Données projet'!$E$9+1,1))-AVERAGE(OFFSET($H$3,0,0,'Données projet'!$E$9+1,1))</f>
        <v>126.9946492</v>
      </c>
      <c r="T91" s="133">
        <f t="shared" si="35"/>
        <v>140.039049</v>
      </c>
      <c r="U91" s="134">
        <f>IF(ISNA(VLOOKUP(A91,'Données projet'!$A$35:$I$55,3,0)),0,VLOOKUP(A91,'Données projet'!$A$35:$I$55,3,0))</f>
        <v>0</v>
      </c>
      <c r="V91" s="134">
        <f>IF(ISNA(VLOOKUP(A91,'Données projet'!$A$35:$I$55,4,0)),0,VLOOKUP(A91,'Données projet'!$A$35:$I$55,4,0))</f>
        <v>0</v>
      </c>
      <c r="W91" s="135">
        <f>IF(ISNA(VLOOKUP(A91,'Données projet'!$A$35:$I$55,5,0)),0%,VLOOKUP(A91,'Données projet'!$A$35:$I$55,5,0)*VLOOKUP('Données projet'!$B$9,'Paramètres'!$A$1:$I$89,7,0))</f>
        <v>0</v>
      </c>
      <c r="X91" s="135">
        <f>IF(ISNA(VLOOKUP(A91,'Données projet'!$A$35:$I$55,6,0)),0%,VLOOKUP(A91,'Données projet'!$A$35:$I$55,6,0)*VLOOKUP('Données projet'!$B$9,'Paramètres'!$A$1:$I$89,7,0))</f>
        <v>0</v>
      </c>
      <c r="Y91" s="135">
        <f>IF(ISNA(VLOOKUP(A91,'Données projet'!$A$35:$I$55,7,0)),0%,VLOOKUP(A91,'Données projet'!$A$35:$I$55,7,0))</f>
        <v>0</v>
      </c>
      <c r="Z91" s="142">
        <f>EXP(-LN(2)/35)*Z90+(1-EXP(-LN(2)/35))/(LN(2)/35)*V91*W91*VLOOKUP('Données projet'!$B$9,'Paramètres'!$A$1:$I$89,3,0)*0.475*44/12</f>
        <v>61.01272611</v>
      </c>
      <c r="AA91" s="142">
        <f>EXP(-LN(2)/25)*AA90+(1-EXP(-LN(2)/25))/(LN(2)/25)*Calculateur!V91*Calculateur!X91*VLOOKUP('Données projet'!$B$9,'Paramètres'!$A$1:$I$89,3,0)*0.475*44/12</f>
        <v>10.69195817</v>
      </c>
      <c r="AB91" s="142">
        <f>EXP(-LN(2)/2)*AB90+(1-EXP(-LN(2)/2))/(LN(2)/2)*V91*Y91*VLOOKUP('Données projet'!$B$9,'Paramètres'!$A$1:$I$89,3,0)*0.475*44/12</f>
        <v>0.001159019239</v>
      </c>
      <c r="AC91" s="143">
        <f t="shared" si="4"/>
        <v>71.70584331</v>
      </c>
      <c r="AD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1" t="str">
        <f>VLOOKUP(A91,'Données projet'!$A$61:$I$81,2,0)</f>
        <v>#N/A</v>
      </c>
      <c r="AG91" s="131" t="str">
        <f>VLOOKUP(A91,'Données projet'!$A$61:$I$81,9,0)</f>
        <v>#N/A</v>
      </c>
      <c r="AH91" s="131" t="str">
        <f t="array" ref="AH91">INDEX(AG:AG,MIN(IF(ISNUMBER(AG91:AG287),ROW(AG91:AG287),"")))</f>
        <v/>
      </c>
      <c r="AI91" s="130">
        <f>IF('Données projet'!$A$62&gt;35,AI90+AH91-AQ90,IF(A91&lt;'Données projet'!$A$62,$AF$205^A91,IF(A91='Données projet'!$A$62,'Données projet'!$B$62,AI90+AH91-AQ90)))</f>
        <v>0</v>
      </c>
      <c r="AJ91" s="130">
        <f>AI91*VLOOKUP('Données projet'!$B$10,'Paramètres'!$A$1:$I$89,3,0)*VLOOKUP('Données projet'!$B$10,'Paramètres'!$A$1:$I$89,5,0)</f>
        <v>0</v>
      </c>
      <c r="AK91" s="130" t="str">
        <f t="shared" si="36"/>
        <v>#NUM!</v>
      </c>
      <c r="AL91" s="141" t="str">
        <f t="shared" si="5"/>
        <v>#NUM!</v>
      </c>
      <c r="AM91" s="133" t="str">
        <f t="shared" si="6"/>
        <v>#NUM!</v>
      </c>
      <c r="AN91" s="133">
        <f>AVERAGE(OFFSET($AM$3,0,0,'Données projet'!$E$10+1,1))-AVERAGE(OFFSET($H$3,0,0,'Données projet'!$E$10+1,1))</f>
        <v>196.874484</v>
      </c>
      <c r="AO91" s="133">
        <f t="shared" si="37"/>
        <v>217.5750859</v>
      </c>
      <c r="AP91" s="134">
        <f>IF(ISNA(VLOOKUP(A91,'Données projet'!$A$61:$I$81,3,0)),0,VLOOKUP(A91,'Données projet'!$A$61:$I$81,3,0))</f>
        <v>0</v>
      </c>
      <c r="AQ91" s="134">
        <f>IF(ISNA(VLOOKUP(A91,'Données projet'!$A$61:$I$81,4,0)),0,VLOOKUP(A91,'Données projet'!$A$61:$I$81,4,0))</f>
        <v>0</v>
      </c>
      <c r="AR91" s="135">
        <f>IF(ISNA(VLOOKUP(A91,'Données projet'!$A$61:$I$81,5,0)),0%,VLOOKUP(A91,'Données projet'!$A$61:$I$81,5,0)*VLOOKUP('Données projet'!$B$10,'Paramètres'!$A$1:$I$89,7,0))</f>
        <v>0</v>
      </c>
      <c r="AS91" s="135">
        <f>IF(ISNA(VLOOKUP(A91,'Données projet'!$A$61:$I$81,6,0)),0%,VLOOKUP(A91,'Données projet'!$A$61:$I$81,6,0)*VLOOKUP('Données projet'!$B$10,'Paramètres'!$A$1:$I$89,7,0))</f>
        <v>0</v>
      </c>
      <c r="AT91" s="135">
        <f>IF(ISNA(VLOOKUP(A91,'Données projet'!$A$61:$I$81,7,0)),0%,VLOOKUP(A91,'Données projet'!$A$61:$I$81,7,0))</f>
        <v>0</v>
      </c>
      <c r="AU91" s="142">
        <f>EXP(-LN(2)/35)*AU90+(1-EXP(-LN(2)/35))/(LN(2)/35)*AQ91*AR91*VLOOKUP('Données projet'!$B$10,'Paramètres'!$A$1:$I$89,3,0)*0.475*44/12</f>
        <v>84.8059563</v>
      </c>
      <c r="AV91" s="142">
        <f>EXP(-LN(2)/25)*AV90+(1-EXP(-LN(2)/25))/(LN(2)/25)*Calculateur!AQ91*Calculateur!AS91*VLOOKUP('Données projet'!$B$10,'Paramètres'!$A$1:$I$89,3,0)*0.475*44/12</f>
        <v>16.43889998</v>
      </c>
      <c r="AW91" s="142">
        <f>EXP(-LN(2)/2)*AW90+(1-EXP(-LN(2)/2))/(LN(2)/2)*AQ91*AT91*VLOOKUP('Données projet'!$B$10,'Paramètres'!$A$1:$I$89,3,0)*0.475*44/12</f>
        <v>0.001615916163</v>
      </c>
      <c r="AX91" s="142">
        <f t="shared" si="7"/>
        <v>101.2464722</v>
      </c>
      <c r="AY91" s="13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1" t="str">
        <f>VLOOKUP(A91,'Données projet'!$A$87:$I$107,2,0)</f>
        <v>#N/A</v>
      </c>
      <c r="BB91" s="131" t="str">
        <f>VLOOKUP(A91,'Données projet'!$A$87:$I$107,9,0)</f>
        <v>#N/A</v>
      </c>
      <c r="BC91" s="131" t="str">
        <f t="array" ref="BC91">INDEX(BB:BB,MIN(IF(ISNUMBER(BB91:BB287),ROW(BB91:BB287),"")))</f>
        <v/>
      </c>
      <c r="BD91" s="130">
        <f>IF('Données projet'!$A$88&gt;35,BD90+BC91-BL90,IF(A91&lt;'Données projet'!$A$88,$BA$205^A91,IF(A91='Données projet'!$A$88,'Données projet'!$B$88,BD90+BC91-BL90)))</f>
        <v>0</v>
      </c>
      <c r="BE91" s="130">
        <f>BD91*VLOOKUP('Données projet'!$B$11,'Paramètres'!$A$1:$I$89,3,0)*VLOOKUP('Données projet'!$B$11,'Paramètres'!$A$1:$I$89,5,0)</f>
        <v>0</v>
      </c>
      <c r="BF91" s="130" t="str">
        <f t="shared" si="38"/>
        <v>#NUM!</v>
      </c>
      <c r="BG91" s="141" t="str">
        <f t="shared" si="8"/>
        <v>#NUM!</v>
      </c>
      <c r="BH91" s="133" t="str">
        <f t="shared" si="9"/>
        <v>#NUM!</v>
      </c>
      <c r="BI91" s="133">
        <f>AVERAGE(OFFSET($BH$3,0,0,'Données projet'!$E$11+1,1))-AVERAGE(OFFSET($H$3,0,0,'Données projet'!$E$11+1,1))</f>
        <v>134.0948534</v>
      </c>
      <c r="BJ91" s="133">
        <f t="shared" si="39"/>
        <v>108.4102536</v>
      </c>
      <c r="BK91" s="134">
        <f>IF(ISNA(VLOOKUP(A91,'Données projet'!$A$87:$I$107,3,0)),0,VLOOKUP(A91,'Données projet'!$A$87:$I$107,3,0))</f>
        <v>0</v>
      </c>
      <c r="BL91" s="134">
        <f>IF(ISNA(VLOOKUP(A91,'Données projet'!$A$87:$I$107,4,0)),0,VLOOKUP(A91,'Données projet'!$A$87:$I$107,4,0))</f>
        <v>0</v>
      </c>
      <c r="BM91" s="135">
        <f>IF(ISNA(VLOOKUP(A91,'Données projet'!$A$87:$I$107,5,0)),0%,VLOOKUP(A91,'Données projet'!$A$87:$I$107,5,0)*VLOOKUP('Données projet'!$B$11,'Paramètres'!$A$1:$I$89,7,0))</f>
        <v>0</v>
      </c>
      <c r="BN91" s="135">
        <f>IF(ISNA(VLOOKUP(A91,'Données projet'!$A$87:$I$107,6,0)),0%,VLOOKUP(A91,'Données projet'!$A$87:$I$107,6,0)*VLOOKUP('Données projet'!$B$11,'Paramètres'!$A$1:$I$89,7,0))</f>
        <v>0</v>
      </c>
      <c r="BO91" s="135">
        <f>IF(ISNA(VLOOKUP(A91,'Données projet'!$A$87:$I$107,7,0)),0%,VLOOKUP(A91,'Données projet'!$A$87:$I$107,7,0))</f>
        <v>0</v>
      </c>
      <c r="BP91" s="142">
        <f>EXP(-LN(2)/35)*BP90+(1-EXP(-LN(2)/35))/(LN(2)/35)*BL91*BM91*VLOOKUP('Données projet'!$B$11,'Paramètres'!$A$1:$I$89,3,0)*0.475*44/12</f>
        <v>117.3024758</v>
      </c>
      <c r="BQ91" s="142">
        <f>EXP(-LN(2)/25)*BQ90+(1-EXP(-LN(2)/25))/(LN(2)/25)*Calculateur!BL91*Calculateur!BN91*VLOOKUP('Données projet'!$B$11,'Paramètres'!$A$1:$I$89,3,0)*0.475*44/12</f>
        <v>10.36967222</v>
      </c>
      <c r="BR91" s="142">
        <f>EXP(-LN(2)/2)*BR90+(1-EXP(-LN(2)/2))/(LN(2)/2)*BL91*BO91*VLOOKUP('Données projet'!$B$11,'Paramètres'!$A$1:$I$89,3,0)*0.475*44/12</f>
        <v>0.02155400259</v>
      </c>
      <c r="BS91" s="143">
        <f t="shared" si="10"/>
        <v>127.693702</v>
      </c>
      <c r="BT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1" t="str">
        <f>VLOOKUP(A91,'Données projet'!$A$113:$I$133,2,0)</f>
        <v>#N/A</v>
      </c>
      <c r="BW91" s="131" t="str">
        <f>VLOOKUP(A91,'Données projet'!$A$113:$I$133,9,0)</f>
        <v>#N/A</v>
      </c>
      <c r="BX91" s="131" t="str">
        <f t="array" ref="BX91">INDEX(BW:BW,MIN(IF(ISNUMBER(BW91:BW287),ROW(BW91:BW287),"")))</f>
        <v/>
      </c>
      <c r="BY91" s="130">
        <f>IF('Données projet'!$A$114&gt;35,BY90+BX91-CG90,IF(A91&lt;'Données projet'!$A$114,$BV$205^A91,IF(A91='Données projet'!$A$114,'Données projet'!$B$114,BY90+BX91-CG90)))</f>
        <v>0</v>
      </c>
      <c r="BZ91" s="130">
        <f>BY91*VLOOKUP('Données projet'!$B$12,'Paramètres'!$A$1:$I$89,3,0)*VLOOKUP('Données projet'!$B$12,'Paramètres'!$A$1:$I$89,5,0)</f>
        <v>0</v>
      </c>
      <c r="CA91" s="130" t="str">
        <f t="shared" si="40"/>
        <v>#NUM!</v>
      </c>
      <c r="CB91" s="141" t="str">
        <f t="shared" si="11"/>
        <v>#NUM!</v>
      </c>
      <c r="CC91" s="133" t="str">
        <f t="shared" si="12"/>
        <v>#NUM!</v>
      </c>
      <c r="CD91" s="133">
        <f>AVERAGE(OFFSET($CC$3,0,0,'Données projet'!$E$12+1,1))-AVERAGE(OFFSET($H$3,0,0,'Données projet'!$E$12+1,1))</f>
        <v>258.1672054</v>
      </c>
      <c r="CE91" s="133">
        <f t="shared" si="41"/>
        <v>296.0724261</v>
      </c>
      <c r="CF91" s="134">
        <f>IF(ISNA(VLOOKUP(A91,'Données projet'!$A$113:$I$133,3,0)),0,VLOOKUP(A91,'Données projet'!$A$113:$I$133,3,0))</f>
        <v>0</v>
      </c>
      <c r="CG91" s="134">
        <f>IF(ISNA(VLOOKUP(A91,'Données projet'!$A$113:$I$133,4,0)),0,VLOOKUP(A91,'Données projet'!$A$113:$I$133,4,0))</f>
        <v>0</v>
      </c>
      <c r="CH91" s="135">
        <f>IF(ISNA(VLOOKUP(A91,'Données projet'!$A$113:$I$133,5,0)),0%,VLOOKUP(A91,'Données projet'!$A$113:$I$133,5,0)*VLOOKUP('Données projet'!$B$12,'Paramètres'!$A$1:$I$89,7,0))</f>
        <v>0</v>
      </c>
      <c r="CI91" s="135">
        <f>IF(ISNA(VLOOKUP(A91,'Données projet'!$A$113:$I$133,6,0)),0%,VLOOKUP(A91,'Données projet'!$A$113:$I$133,6,0)*VLOOKUP('Données projet'!$B$12,'Paramètres'!$A$1:$I$89,7,0))</f>
        <v>0</v>
      </c>
      <c r="CJ91" s="135">
        <f>IF(ISNA(VLOOKUP(A91,'Données projet'!$A$113:$I$133,7,0)),0%,VLOOKUP(A91,'Données projet'!$A$113:$I$133,7,0))</f>
        <v>0</v>
      </c>
      <c r="CK91" s="142">
        <f>EXP(-LN(2)/35)*CK90+(1-EXP(-LN(2)/35))/(LN(2)/35)*CG91*CH91*VLOOKUP('Données projet'!$B$12,'Paramètres'!$A$1:$I$89,3,0)*0.475*44/12</f>
        <v>148.3062137</v>
      </c>
      <c r="CL91" s="142">
        <f>EXP(-LN(2)/25)*CL90+(1-EXP(-LN(2)/25))/(LN(2)/25)*Calculateur!CG91*Calculateur!CI91*VLOOKUP('Données projet'!$B$12,'Paramètres'!$A$1:$I$89,3,0)*0.475*44/12</f>
        <v>18.18899373</v>
      </c>
      <c r="CM91" s="142">
        <f>EXP(-LN(2)/2)*CM90+(1-EXP(-LN(2)/2))/(LN(2)/2)*CG91*CJ91*VLOOKUP('Données projet'!$B$12,'Paramètres'!$A$1:$I$89,3,0)*0.475*44/12</f>
        <v>0.0009080446887</v>
      </c>
      <c r="CN91" s="143">
        <f t="shared" si="13"/>
        <v>166.4961155</v>
      </c>
      <c r="CO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1" t="str">
        <f>VLOOKUP(A91,'Données projet'!$A$139:$I$159,2,0)</f>
        <v>#N/A</v>
      </c>
      <c r="CR91" s="131" t="str">
        <f>VLOOKUP(A91,'Données projet'!$A$139:$I$159,9,0)</f>
        <v>#N/A</v>
      </c>
      <c r="CS91" s="130">
        <f t="array" ref="CS91">INDEX(CR:CR,MIN(IF(ISNUMBER(CR91:CR287),ROW(CR91:CR287),"")))</f>
        <v>4.2</v>
      </c>
      <c r="CT91" s="138">
        <f>IF('Données projet'!$A$140&gt;35,CT90+CS91-DB90,IF(A91&lt;'Données projet'!$A$140,$CQ$205^A91,IF(A91='Données projet'!$A$140,'Données projet'!$B$140,CT90+CS91-DB90)))</f>
        <v>198.6</v>
      </c>
      <c r="CU91" s="138">
        <f>CT91*VLOOKUP('Données projet'!$B$13,'Paramètres'!$A$1:$I$89,3,0)*VLOOKUP('Données projet'!$B$13,'Paramètres'!$A$1:$I$89,5,0)</f>
        <v>201.3804</v>
      </c>
      <c r="CV91" s="130">
        <f t="shared" si="42"/>
        <v>50.04741631</v>
      </c>
      <c r="CW91" s="141">
        <f t="shared" si="14"/>
        <v>437.9034467</v>
      </c>
      <c r="CX91" s="133">
        <f t="shared" si="15"/>
        <v>731.2367801</v>
      </c>
      <c r="CY91" s="133">
        <f>AVERAGE(OFFSET($CX$3,0,0,'Données projet'!$E$13+1,1))-AVERAGE(OFFSET($H$3,0,0,'Données projet'!$E$13+1,1))</f>
        <v>223.783507</v>
      </c>
      <c r="CZ91" s="133">
        <f t="shared" si="43"/>
        <v>84.92349117</v>
      </c>
      <c r="DA91" s="134">
        <f>IF(ISNA(VLOOKUP(A91,'Données projet'!$A$139:$I$159,3,0)),0,VLOOKUP(A91,'Données projet'!$A$139:$I$159,3,0))</f>
        <v>0</v>
      </c>
      <c r="DB91" s="134">
        <f>IF(ISNA(VLOOKUP(A91,'Données projet'!$A$139:$I$159,4,0)),0,VLOOKUP(A91,'Données projet'!$A$139:$I$159,4,0))</f>
        <v>0</v>
      </c>
      <c r="DC91" s="135">
        <f>IF(ISNA(VLOOKUP(A91,'Données projet'!$A$139:$I$159,5,0)),0%,VLOOKUP(A91,'Données projet'!$A$139:$I$159,5,0)*VLOOKUP('Données projet'!$B$13,'Paramètres'!$A$1:$I$89,7,0))</f>
        <v>0</v>
      </c>
      <c r="DD91" s="135">
        <f>IF(ISNA(VLOOKUP(A91,'Données projet'!$A$139:$I$159,6,0)),0%,VLOOKUP(A91,'Données projet'!$A$139:$I$159,6,0)*VLOOKUP('Données projet'!$B$13,'Paramètres'!$A$1:$I$89,7,0))</f>
        <v>0</v>
      </c>
      <c r="DE91" s="135">
        <f>IF(ISNA(VLOOKUP(A91,'Données projet'!$A$139:$I$159,7,0)),0%,VLOOKUP(A91,'Données projet'!$A$139:$I$159,7,0))</f>
        <v>0</v>
      </c>
      <c r="DF91" s="142">
        <f>EXP(-LN(2)/35)*DF90+(1-EXP(-LN(2)/35))/(LN(2)/35)*DB91*DC91*VLOOKUP('Données projet'!$B$13,'Paramètres'!$A$1:$I$89,3,0)*0.475*44/12</f>
        <v>16.33237966</v>
      </c>
      <c r="DG91" s="142">
        <f>EXP(-LN(2)/25)*DG90+(1-EXP(-LN(2)/25))/(LN(2)/25)*Calculateur!DB91*Calculateur!DD91*VLOOKUP('Données projet'!$B$13,'Paramètres'!$A$1:$I$89,3,0)*0.475*44/12</f>
        <v>0</v>
      </c>
      <c r="DH91" s="142">
        <f>EXP(-LN(2)/2)*DH90+(1-EXP(-LN(2)/2))/(LN(2)/2)*DB91*DE91*VLOOKUP('Données projet'!$B$13,'Paramètres'!$A$1:$I$89,3,0)*0.475*44/12</f>
        <v>0</v>
      </c>
      <c r="DI91" s="143">
        <f t="shared" si="16"/>
        <v>16.33237966</v>
      </c>
      <c r="DJ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1" t="str">
        <f>VLOOKUP(A91,'Données projet'!$A$165:$I$185,2,0)</f>
        <v>#N/A</v>
      </c>
      <c r="DM91" s="131" t="str">
        <f>VLOOKUP(A91,'Données projet'!$A$165:$I$185,9,0)</f>
        <v>#N/A</v>
      </c>
      <c r="DN91" s="131">
        <f t="array" ref="DN91">INDEX(DM:DM,MIN(IF(ISNUMBER(DM91:DM287),ROW(DM91:DM287),"")))</f>
        <v>5.4</v>
      </c>
      <c r="DO91" s="138">
        <f>IF('Données projet'!$A$166&gt;35,DO90+DN91-DW90,IF(A91&lt;'Données projet'!$A$166,$DL$205^A91,IF(A91='Données projet'!$A$166,'Données projet'!$B$166,DO90+DN91-DW90)))</f>
        <v>264.2</v>
      </c>
      <c r="DP91" s="138">
        <f>DO91*VLOOKUP('Données projet'!$B$14,'Paramètres'!$A$1:$I$89,3,0)*VLOOKUP('Données projet'!$B$14,'Paramètres'!$A$1:$I$89,5,0)</f>
        <v>239.04816</v>
      </c>
      <c r="DQ91" s="130">
        <f t="shared" si="44"/>
        <v>58.23469013</v>
      </c>
      <c r="DR91" s="141">
        <f t="shared" si="17"/>
        <v>517.7676306</v>
      </c>
      <c r="DS91" s="133">
        <f t="shared" si="18"/>
        <v>811.100964</v>
      </c>
      <c r="DT91" s="133">
        <f>AVERAGE(OFFSET($DS$3,0,0,'Données projet'!$E$14+1,1))-AVERAGE(OFFSET($H$3,0,0,'Données projet'!$E$14+1,1))</f>
        <v>287.9334714</v>
      </c>
      <c r="DU91" s="133">
        <f t="shared" si="45"/>
        <v>156.6796502</v>
      </c>
      <c r="DV91" s="134">
        <f>IF(ISNA(VLOOKUP(A91,'Données projet'!$A$165:$I$185,3,0)),0,VLOOKUP(A91,'Données projet'!$A$165:$I$185,3,0))</f>
        <v>0</v>
      </c>
      <c r="DW91" s="134">
        <f>IF(ISNA(VLOOKUP(A91,'Données projet'!$A$165:$I$185,4,0)),0,VLOOKUP(A91,'Données projet'!$A$165:$I$185,4,0))</f>
        <v>0</v>
      </c>
      <c r="DX91" s="135">
        <f>IF(ISNA(VLOOKUP(A91,'Données projet'!$A$165:$I$185,5,0)),0%,VLOOKUP(A91,'Données projet'!$A$165:$I$185,5,0)*VLOOKUP('Données projet'!$B$14,'Paramètres'!$A$1:$I$89,7,0))</f>
        <v>0</v>
      </c>
      <c r="DY91" s="135">
        <f>IF(ISNA(VLOOKUP(A91,'Données projet'!$A$165:$I$185,6,0)),0%,VLOOKUP(A91,'Données projet'!$A$165:$I$185,6,0)*VLOOKUP('Données projet'!$B$14,'Paramètres'!$A$1:$I$89,7,0))</f>
        <v>0</v>
      </c>
      <c r="DZ91" s="135">
        <f>IF(ISNA(VLOOKUP(A91,'Données projet'!$A$165:$I$185,7,0)),0%,VLOOKUP(A91,'Données projet'!$A$165:$I$185,7,0))</f>
        <v>0</v>
      </c>
      <c r="EA91" s="142">
        <f>EXP(-LN(2)/35)*EA90+(1-EXP(-LN(2)/35))/(LN(2)/35)*DW91*DX91*VLOOKUP('Données projet'!$B$14,'Paramètres'!$A$1:$I$89,3,0)*0.475*44/12</f>
        <v>24.90600706</v>
      </c>
      <c r="EB91" s="142">
        <f>EXP(-LN(2)/25)*EB90+(1-EXP(-LN(2)/25))/(LN(2)/25)*Calculateur!DW91*Calculateur!DY91*VLOOKUP('Données projet'!$B$14,'Paramètres'!$A$1:$I$89,3,0)*0.475*44/12</f>
        <v>0</v>
      </c>
      <c r="EC91" s="142">
        <f>EXP(-LN(2)/2)*EC90+(1-EXP(-LN(2)/2))/(LN(2)/2)*DW91*DZ91*VLOOKUP('Données projet'!$B$14,'Paramètres'!$A$1:$I$89,3,0)*0.475*44/12</f>
        <v>0</v>
      </c>
      <c r="ED91" s="143">
        <f t="shared" si="19"/>
        <v>24.90600706</v>
      </c>
      <c r="EE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1" t="str">
        <f>VLOOKUP(A91,'Données projet'!$A$191:$I$211,2,0)</f>
        <v>#N/A</v>
      </c>
      <c r="EH91" s="131" t="str">
        <f>VLOOKUP(A91,'Données projet'!$A$191:$I$211,9,0)</f>
        <v>#N/A</v>
      </c>
      <c r="EI91" s="131" t="str">
        <f t="array" ref="EI91">INDEX(EH:EH,MIN(IF(ISNUMBER(EH91:EH287),ROW(EH91:EH287),"")))</f>
        <v/>
      </c>
      <c r="EJ91" s="138">
        <f>IF('Données projet'!$A$192&gt;35,EJ90+EI91-ER90,IF(A91&lt;'Données projet'!$A$192,$EG$205^A91,IF(A91='Données projet'!$A$192,'Données projet'!$B$192,EJ90+EI91-ER90)))</f>
        <v>0</v>
      </c>
      <c r="EK91" s="138">
        <f>EJ91*VLOOKUP('Données projet'!$B$15,'Paramètres'!$A$1:$I$89,3,0)*VLOOKUP('Données projet'!$B$15,'Paramètres'!$A$1:$I$89,5,0)</f>
        <v>0</v>
      </c>
      <c r="EL91" s="130" t="str">
        <f t="shared" si="46"/>
        <v>#NUM!</v>
      </c>
      <c r="EM91" s="141" t="str">
        <f t="shared" si="20"/>
        <v>#NUM!</v>
      </c>
      <c r="EN91" s="133" t="str">
        <f t="shared" si="21"/>
        <v>#NUM!</v>
      </c>
      <c r="EO91" s="133">
        <f>AVERAGE(OFFSET($EN$3,0,0,'Données projet'!$E$15+1,1))-AVERAGE(OFFSET($H$3,0,0,'Données projet'!$E$15+1,1))</f>
        <v>130.3193339</v>
      </c>
      <c r="EP91" s="133">
        <f t="shared" si="47"/>
        <v>82.22784365</v>
      </c>
      <c r="EQ91" s="134">
        <f>IF(ISNA(VLOOKUP(A91,'Données projet'!$A$191:$I$211,3,0)),0,VLOOKUP(A91,'Données projet'!$A$191:$I$211,3,0))</f>
        <v>0</v>
      </c>
      <c r="ER91" s="134">
        <f>IF(ISNA(VLOOKUP(A91,'Données projet'!$A$191:$I$211,4,0)),0,VLOOKUP(A91,'Données projet'!$A$191:$I$211,4,0))</f>
        <v>0</v>
      </c>
      <c r="ES91" s="135">
        <f>IF(ISNA(VLOOKUP(A91,'Données projet'!$A$191:$I$211,5,0)),0%,VLOOKUP(A91,'Données projet'!$A$191:$I$211,5,0)*VLOOKUP('Données projet'!$B$15,'Paramètres'!$A$1:$I$89,7,0))</f>
        <v>0</v>
      </c>
      <c r="ET91" s="135">
        <f>IF(ISNA(VLOOKUP(A91,'Données projet'!$A$191:$I$211,6,0)),0%,VLOOKUP(A91,'Données projet'!$A$191:$I$211,6,0)*VLOOKUP('Données projet'!$B$15,'Paramètres'!$A$1:$I$89,7,0))</f>
        <v>0</v>
      </c>
      <c r="EU91" s="135">
        <f>IF(ISNA(VLOOKUP(A91,'Données projet'!$A$191:$I$211,7,0)),0%,VLOOKUP(A91,'Données projet'!$A$191:$I$211,7,0))</f>
        <v>0</v>
      </c>
      <c r="EV91" s="142">
        <f>EXP(-LN(2)/35)*EV90+(1-EXP(-LN(2)/35))/(LN(2)/35)*ER91*ES91*VLOOKUP('Données projet'!$B$15,'Paramètres'!$A$1:$I$89,3,0)*0.475*44/12</f>
        <v>90.68618163</v>
      </c>
      <c r="EW91" s="142">
        <f>EXP(-LN(2)/25)*EW90+(1-EXP(-LN(2)/25))/(LN(2)/25)*Calculateur!ER91*Calculateur!ET91*VLOOKUP('Données projet'!$B$15,'Paramètres'!$A$1:$I$89,3,0)*0.475*44/12</f>
        <v>0</v>
      </c>
      <c r="EX91" s="142">
        <f>EXP(-LN(2)/2)*EX90+(1-EXP(-LN(2)/2))/(LN(2)/2)*ER91*EU91*VLOOKUP('Données projet'!$B$15,'Paramètres'!$A$1:$I$89,3,0)*0.475*44/12</f>
        <v>0</v>
      </c>
      <c r="EY91" s="143">
        <f t="shared" si="22"/>
        <v>90.68618163</v>
      </c>
      <c r="EZ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1" t="str">
        <f>VLOOKUP(A91,'Données projet'!$A$217:$I$237,2,0)</f>
        <v>#N/A</v>
      </c>
      <c r="FC91" s="131" t="str">
        <f>VLOOKUP(A91,'Données projet'!$A$217:$I$237,9,0)</f>
        <v>#N/A</v>
      </c>
      <c r="FD91" s="131" t="str">
        <f t="array" ref="FD91">INDEX(FC:FC,MIN(IF(ISNUMBER(FC91:FC287),ROW(FC91:FC287),"")))</f>
        <v/>
      </c>
      <c r="FE91" s="130">
        <f>IF('Données projet'!$A$218&gt;35,FE90+FD91-FM90,IF(A91&lt;'Données projet'!$A$218,$FB$205^A91,IF(A91='Données projet'!$A$218,'Données projet'!$B$218,FE90+FD91-FM90)))</f>
        <v>0</v>
      </c>
      <c r="FF91" s="138">
        <f>FE91*VLOOKUP('Données projet'!$B$16,'Paramètres'!$A$1:$I$89,3,0)*VLOOKUP('Données projet'!$B$16,'Paramètres'!$A$1:$I$89,5,0)</f>
        <v>0</v>
      </c>
      <c r="FG91" s="130">
        <f t="shared" si="48"/>
        <v>0</v>
      </c>
      <c r="FH91" s="141">
        <f t="shared" si="23"/>
        <v>0</v>
      </c>
      <c r="FI91" s="133">
        <f t="shared" si="24"/>
        <v>293.3333333</v>
      </c>
      <c r="FJ91" s="133">
        <f>AVERAGE(OFFSET($FI$3,0,0,'Données projet'!$E$16+1,1))-AVERAGE(OFFSET($H$3,0,0,'Données projet'!$E$16+1,1))</f>
        <v>305.6252353</v>
      </c>
      <c r="FK91" s="133">
        <f t="shared" si="49"/>
        <v>331.397916</v>
      </c>
      <c r="FL91" s="134">
        <f>IF(ISNA(VLOOKUP(A91,'Données projet'!$A$217:$I$237,3,0)),0,VLOOKUP(A91,'Données projet'!$A$217:$I$237,3,0))</f>
        <v>0</v>
      </c>
      <c r="FM91" s="134">
        <f>IF(ISNA(VLOOKUP(A91,'Données projet'!$A$217:$I$237,4,0)),0,VLOOKUP(A91,'Données projet'!$A$217:$I$237,4,0))</f>
        <v>0</v>
      </c>
      <c r="FN91" s="135">
        <f>IF(ISNA(VLOOKUP(A91,'Données projet'!$A$217:$I$237,5,0)),0%,VLOOKUP(A91,'Données projet'!$A$217:$I$237,5,0)*VLOOKUP('Données projet'!$B$16,'Paramètres'!$A$1:$I$89,7,0))</f>
        <v>0</v>
      </c>
      <c r="FO91" s="135">
        <f>IF(ISNA(VLOOKUP(A91,'Données projet'!$A$217:$I$237,6,0)),0%,VLOOKUP(A91,'Données projet'!$A$217:$I$237,6,0)*VLOOKUP('Données projet'!$B$16,'Paramètres'!$A$1:$I$89,7,0))</f>
        <v>0</v>
      </c>
      <c r="FP91" s="135">
        <f>IF(ISNA(VLOOKUP(A91,'Données projet'!$A$217:$I$237,7,0)),0%,VLOOKUP(A91,'Données projet'!$A$217:$I$237,7,0))</f>
        <v>0</v>
      </c>
      <c r="FQ91" s="142">
        <f>EXP(-LN(2)/35)*FQ90+(1-EXP(-LN(2)/35))/(LN(2)/35)*FM91*FN91*VLOOKUP('Données projet'!$B$16,'Paramètres'!$A$1:$I$89,3,0)*0.475*44/12</f>
        <v>56.46392687</v>
      </c>
      <c r="FR91" s="142">
        <f>EXP(-LN(2)/25)*FR90+(1-EXP(-LN(2)/25))/(LN(2)/25)*Calculateur!FM91*Calculateur!FO91*VLOOKUP('Données projet'!$B$16,'Paramètres'!$A$1:$I$89,3,0)*0.475*44/12</f>
        <v>0</v>
      </c>
      <c r="FS91" s="142">
        <f>EXP(-LN(2)/2)*FS90+(1-EXP(-LN(2)/2))/(LN(2)/2)*FM91*FP91*VLOOKUP('Données projet'!$B$16,'Paramètres'!$A$1:$I$89,3,0)*0.475*44/12</f>
        <v>0</v>
      </c>
      <c r="FT91" s="143">
        <f t="shared" si="25"/>
        <v>56.46392687</v>
      </c>
      <c r="FU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1" t="str">
        <f>VLOOKUP(A91,'Données projet'!$A$243:$I$263,2,0)</f>
        <v>#N/A</v>
      </c>
      <c r="FX91" s="131" t="str">
        <f>VLOOKUP(A91,'Données projet'!$A$243:$I$263,9,0)</f>
        <v>#N/A</v>
      </c>
      <c r="FY91" s="131" t="str">
        <f t="array" ref="FY91">INDEX(FX:FX,MIN(IF(ISNUMBER(FX91:FX287),ROW(FX91:FX287),"")))</f>
        <v/>
      </c>
      <c r="FZ91" s="138">
        <f>IF('Données projet'!$A$244&gt;35,FZ90+FY91-GH90,IF(A91&lt;'Données projet'!$A$244,$FW$205^A91,IF(A91='Données projet'!$A$244,'Données projet'!$B$244,FZ90+FY91-GH90)))</f>
        <v>0</v>
      </c>
      <c r="GA91" s="138">
        <f>FZ91*VLOOKUP('Données projet'!$B$17,'Paramètres'!$A$1:$I$89,3,0)*VLOOKUP('Données projet'!$B$17,'Paramètres'!$A$1:$I$89,5,0)</f>
        <v>0</v>
      </c>
      <c r="GB91" s="130">
        <f t="shared" si="50"/>
        <v>0</v>
      </c>
      <c r="GC91" s="141">
        <f t="shared" si="26"/>
        <v>0</v>
      </c>
      <c r="GD91" s="133">
        <f t="shared" si="27"/>
        <v>293.3333333</v>
      </c>
      <c r="GE91" s="133">
        <f>AVERAGE(OFFSET($GD$3,0,0,'Données projet'!$E$17+1,1))-AVERAGE(OFFSET($H$3,0,0,'Données projet'!$E$17+1,1))</f>
        <v>118.7368745</v>
      </c>
      <c r="GF91" s="133">
        <f t="shared" si="51"/>
        <v>135.1233677</v>
      </c>
      <c r="GG91" s="134">
        <f>IF(ISNA(VLOOKUP(A91,'Données projet'!$A$243:$I$263,3,0)),0,VLOOKUP(A91,'Données projet'!$A$243:$I$263,3,0))</f>
        <v>0</v>
      </c>
      <c r="GH91" s="134">
        <f>IF(ISNA(VLOOKUP(A91,'Données projet'!$A$243:$I$263,4,0)),0,VLOOKUP(A91,'Données projet'!$A$243:$I$263,4,0))</f>
        <v>0</v>
      </c>
      <c r="GI91" s="135">
        <f>IF(ISNA(VLOOKUP(A91,'Données projet'!$A$243:$I$263,5,0)),0%,VLOOKUP(A91,'Données projet'!$A$243:$I$263,5,0)*VLOOKUP('Données projet'!$B$17,'Paramètres'!$A$1:$I$89,7,0))</f>
        <v>0</v>
      </c>
      <c r="GJ91" s="135">
        <f>IF(ISNA(VLOOKUP(A91,'Données projet'!$A$243:$I$263,6,0)),0%,VLOOKUP(A91,'Données projet'!$A$243:$I$263,6,0)*VLOOKUP('Données projet'!$B$17,'Paramètres'!$A$1:$I$89,7,0))</f>
        <v>0</v>
      </c>
      <c r="GK91" s="135">
        <f>IF(ISNA(VLOOKUP(A91,'Données projet'!$A$243:$I$263,7,0)),0%,VLOOKUP(A91,'Données projet'!$A$243:$I$263,7,0))</f>
        <v>0</v>
      </c>
      <c r="GL91" s="142">
        <f>EXP(-LN(2)/35)*GL90+(1-EXP(-LN(2)/35))/(LN(2)/35)*GH91*GI91*VLOOKUP('Données projet'!$B$17,'Paramètres'!$A$1:$I$89,3,0)*0.475*44/12</f>
        <v>59.65396412</v>
      </c>
      <c r="GM91" s="142">
        <f>EXP(-LN(2)/25)*GM90+(1-EXP(-LN(2)/25))/(LN(2)/25)*Calculateur!GH91*Calculateur!GJ91*VLOOKUP('Données projet'!$B$17,'Paramètres'!$A$1:$I$89,3,0)*0.475*44/12</f>
        <v>0</v>
      </c>
      <c r="GN91" s="142">
        <f>EXP(-LN(2)/2)*GN90+(1-EXP(-LN(2)/2))/(LN(2)/2)*GH91*GK91*VLOOKUP('Données projet'!$B$17,'Paramètres'!$A$1:$I$89,3,0)*0.475*44/12</f>
        <v>0</v>
      </c>
      <c r="GO91" s="142">
        <f t="shared" si="28"/>
        <v>59.65396412</v>
      </c>
      <c r="GP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1" t="str">
        <f>VLOOKUP(A91,'Données projet'!$A$269:$I$289,2,0)</f>
        <v>#N/A</v>
      </c>
      <c r="GS91" s="131" t="str">
        <f>VLOOKUP(A91,'Données projet'!$A$269:$I$289,9,0)</f>
        <v>#N/A</v>
      </c>
      <c r="GT91" s="131" t="str">
        <f t="array" ref="GT91">INDEX(GS:GS,MIN(IF(ISNUMBER(GS91:GS287),ROW(GS91:GS287),"")))</f>
        <v/>
      </c>
      <c r="GU91" s="138">
        <f>IF('Données projet'!$A$270&gt;35,GU90+GT91-HC90,IF(A91&lt;'Données projet'!$A$270,$GR$205^A91,IF(A91='Données projet'!$A$270,'Données projet'!$B$270,GU90+GT91-HC90)))</f>
        <v>0</v>
      </c>
      <c r="GV91" s="138">
        <f>GU91*VLOOKUP('Données projet'!$B$18,'Paramètres'!$A$1:$I$89,3,0)*VLOOKUP('Données projet'!$B$18,'Paramètres'!$A$1:$I$89,5,0)</f>
        <v>0</v>
      </c>
      <c r="GW91" s="130" t="str">
        <f t="shared" si="52"/>
        <v>#NUM!</v>
      </c>
      <c r="GX91" s="141" t="str">
        <f t="shared" si="29"/>
        <v>#NUM!</v>
      </c>
      <c r="GY91" s="133" t="str">
        <f t="shared" si="30"/>
        <v>#NUM!</v>
      </c>
      <c r="GZ91" s="133">
        <f>AVERAGE(OFFSET($GY$3,0,0,'Données projet'!$E$18+1,1))-AVERAGE(OFFSET($H$3,0,0,'Données projet'!$E$18+1,1))</f>
        <v>100.5427875</v>
      </c>
      <c r="HA91" s="133">
        <f t="shared" si="53"/>
        <v>92.28663609</v>
      </c>
      <c r="HB91" s="134">
        <f>IF(ISNA(VLOOKUP(A91,'Données projet'!$A$269:$I$289,3,0)),0,VLOOKUP(A91,'Données projet'!$A$269:$I$289,3,0))</f>
        <v>0</v>
      </c>
      <c r="HC91" s="134">
        <f>IF(ISNA(VLOOKUP(A91,'Données projet'!$A$269:$I$289,4,0)),0,VLOOKUP(A91,'Données projet'!$A$269:$I$289,4,0))</f>
        <v>0</v>
      </c>
      <c r="HD91" s="135">
        <f>IF(ISNA(VLOOKUP(A91,'Données projet'!$A$269:$I$289,5,0)),0%,VLOOKUP(A91,'Données projet'!$A$269:$I$289,5,0)*VLOOKUP('Données projet'!$B$18,'Paramètres'!$A$1:$I$89,7,0))</f>
        <v>0</v>
      </c>
      <c r="HE91" s="135">
        <f>IF(ISNA(VLOOKUP(A91,'Données projet'!$A$269:$I$289,6,0)),0%,VLOOKUP(A91,'Données projet'!$A$269:$I$289,6,0)*VLOOKUP('Données projet'!$B$18,'Paramètres'!$A$1:$I$89,7,0))</f>
        <v>0</v>
      </c>
      <c r="HF91" s="135">
        <f>IF(ISNA(VLOOKUP(A91,'Données projet'!$A$269:$I$289,7,0)),0%,VLOOKUP(A91,'Données projet'!$A$269:$I$289,7,0))</f>
        <v>0</v>
      </c>
      <c r="HG91" s="142">
        <f>EXP(-LN(2)/35)*HG90+(1-EXP(-LN(2)/35))/(LN(2)/35)*HC91*HD91*VLOOKUP('Données projet'!$B$18,'Paramètres'!$A$1:$I$89,3,0)*0.475*44/12</f>
        <v>40.6230911</v>
      </c>
      <c r="HH91" s="142">
        <f>EXP(-LN(2)/25)*HH90+(1-EXP(-LN(2)/25))/(LN(2)/25)*Calculateur!HC91*Calculateur!HE91*VLOOKUP('Données projet'!$B$18,'Paramètres'!$A$1:$I$89,3,0)*0.475*44/12</f>
        <v>0</v>
      </c>
      <c r="HI91" s="142">
        <f>EXP(-LN(2)/2)*HI90+(1-EXP(-LN(2)/2))/(LN(2)/2)*HC91*HF91*VLOOKUP('Données projet'!$B$18,'Paramètres'!$A$1:$I$89,3,0)*0.475*44/12</f>
        <v>0</v>
      </c>
      <c r="HJ91" s="143">
        <f t="shared" si="31"/>
        <v>40.6230911</v>
      </c>
    </row>
    <row r="92" ht="15.75" customHeight="1">
      <c r="A92" s="125">
        <f t="shared" si="32"/>
        <v>89</v>
      </c>
      <c r="B92" s="126">
        <f>'Scénario référence'!$B$16*5+'Scénario référence'!$B$17*0+'Scénario référence'!$B$18*5</f>
        <v>0</v>
      </c>
      <c r="C92" s="140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48.594</v>
      </c>
      <c r="D92" s="127">
        <f t="shared" si="33"/>
        <v>14.25005347</v>
      </c>
      <c r="E9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7">
        <f>IF(OR('Scénario référence'!$F$8&gt;0,'Scénario référence'!$F$9&gt;0),('Scénario référence'!$F$8+'Scénario référence'!$F$9)*10,0)</f>
        <v>10</v>
      </c>
      <c r="G92" s="127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485.1119917</v>
      </c>
      <c r="H92" s="128">
        <f t="shared" si="1"/>
        <v>402.7867265</v>
      </c>
      <c r="I92" s="12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1" t="str">
        <f>VLOOKUP(A92,'Données projet'!$A$35:$I$55,2,0)</f>
        <v>#N/A</v>
      </c>
      <c r="L92" s="131" t="str">
        <f>VLOOKUP(A92,'Données projet'!$A$35:$I$55,9,0)</f>
        <v>#N/A</v>
      </c>
      <c r="M92" s="131" t="str">
        <f t="array" ref="M92">INDEX(L:L,MIN(IF(ISNUMBER(L92:L288),ROW(L92:L288),"")))</f>
        <v/>
      </c>
      <c r="N92" s="130">
        <f>IF('Données projet'!$A$36&gt;35,N91+M92-V91,IF(A92&lt;'Données projet'!$A$36,$K$205^A92,IF(A92='Données projet'!$A$36,'Données projet'!$B$36,N91+M92-V91)))</f>
        <v>0</v>
      </c>
      <c r="O92" s="130">
        <f>N92*VLOOKUP('Données projet'!$B$9,'Paramètres'!$A$1:$I$89,3,0)*VLOOKUP('Données projet'!$B$9,'Paramètres'!$A$1:$I$89,5,0)</f>
        <v>0</v>
      </c>
      <c r="P92" s="130">
        <f t="shared" si="34"/>
        <v>0</v>
      </c>
      <c r="Q92" s="141">
        <f t="shared" si="2"/>
        <v>0</v>
      </c>
      <c r="R92" s="133">
        <f t="shared" si="3"/>
        <v>293.3333333</v>
      </c>
      <c r="S92" s="133">
        <f>AVERAGE(OFFSET($R$3,0,0,'Données projet'!$E$9+1,1))-AVERAGE(OFFSET($H$3,0,0,'Données projet'!$E$9+1,1))</f>
        <v>126.9946492</v>
      </c>
      <c r="T92" s="133">
        <f t="shared" si="35"/>
        <v>140.039049</v>
      </c>
      <c r="U92" s="134">
        <f>IF(ISNA(VLOOKUP(A92,'Données projet'!$A$35:$I$55,3,0)),0,VLOOKUP(A92,'Données projet'!$A$35:$I$55,3,0))</f>
        <v>0</v>
      </c>
      <c r="V92" s="134">
        <f>IF(ISNA(VLOOKUP(A92,'Données projet'!$A$35:$I$55,4,0)),0,VLOOKUP(A92,'Données projet'!$A$35:$I$55,4,0))</f>
        <v>0</v>
      </c>
      <c r="W92" s="135">
        <f>IF(ISNA(VLOOKUP(A92,'Données projet'!$A$35:$I$55,5,0)),0%,VLOOKUP(A92,'Données projet'!$A$35:$I$55,5,0)*VLOOKUP('Données projet'!$B$9,'Paramètres'!$A$1:$I$89,7,0))</f>
        <v>0</v>
      </c>
      <c r="X92" s="135">
        <f>IF(ISNA(VLOOKUP(A92,'Données projet'!$A$35:$I$55,6,0)),0%,VLOOKUP(A92,'Données projet'!$A$35:$I$55,6,0)*VLOOKUP('Données projet'!$B$9,'Paramètres'!$A$1:$I$89,7,0))</f>
        <v>0</v>
      </c>
      <c r="Y92" s="135">
        <f>IF(ISNA(VLOOKUP(A92,'Données projet'!$A$35:$I$55,7,0)),0%,VLOOKUP(A92,'Données projet'!$A$35:$I$55,7,0))</f>
        <v>0</v>
      </c>
      <c r="Z92" s="142">
        <f>EXP(-LN(2)/35)*Z91+(1-EXP(-LN(2)/35))/(LN(2)/35)*V92*W92*VLOOKUP('Données projet'!$B$9,'Paramètres'!$A$1:$I$89,3,0)*0.475*44/12</f>
        <v>59.81630377</v>
      </c>
      <c r="AA92" s="142">
        <f>EXP(-LN(2)/25)*AA91+(1-EXP(-LN(2)/25))/(LN(2)/25)*Calculateur!V92*Calculateur!X92*VLOOKUP('Données projet'!$B$9,'Paramètres'!$A$1:$I$89,3,0)*0.475*44/12</f>
        <v>10.39958602</v>
      </c>
      <c r="AB92" s="142">
        <f>EXP(-LN(2)/2)*AB91+(1-EXP(-LN(2)/2))/(LN(2)/2)*V92*Y92*VLOOKUP('Données projet'!$B$9,'Paramètres'!$A$1:$I$89,3,0)*0.475*44/12</f>
        <v>0.0008195503634</v>
      </c>
      <c r="AC92" s="143">
        <f t="shared" si="4"/>
        <v>70.21670933</v>
      </c>
      <c r="AD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1" t="str">
        <f>VLOOKUP(A92,'Données projet'!$A$61:$I$81,2,0)</f>
        <v>#N/A</v>
      </c>
      <c r="AG92" s="131" t="str">
        <f>VLOOKUP(A92,'Données projet'!$A$61:$I$81,9,0)</f>
        <v>#N/A</v>
      </c>
      <c r="AH92" s="131" t="str">
        <f t="array" ref="AH92">INDEX(AG:AG,MIN(IF(ISNUMBER(AG92:AG288),ROW(AG92:AG288),"")))</f>
        <v/>
      </c>
      <c r="AI92" s="130">
        <f>IF('Données projet'!$A$62&gt;35,AI91+AH92-AQ91,IF(A92&lt;'Données projet'!$A$62,$AF$205^A92,IF(A92='Données projet'!$A$62,'Données projet'!$B$62,AI91+AH92-AQ91)))</f>
        <v>0</v>
      </c>
      <c r="AJ92" s="130">
        <f>AI92*VLOOKUP('Données projet'!$B$10,'Paramètres'!$A$1:$I$89,3,0)*VLOOKUP('Données projet'!$B$10,'Paramètres'!$A$1:$I$89,5,0)</f>
        <v>0</v>
      </c>
      <c r="AK92" s="130" t="str">
        <f t="shared" si="36"/>
        <v>#NUM!</v>
      </c>
      <c r="AL92" s="141" t="str">
        <f t="shared" si="5"/>
        <v>#NUM!</v>
      </c>
      <c r="AM92" s="133" t="str">
        <f t="shared" si="6"/>
        <v>#NUM!</v>
      </c>
      <c r="AN92" s="133">
        <f>AVERAGE(OFFSET($AM$3,0,0,'Données projet'!$E$10+1,1))-AVERAGE(OFFSET($H$3,0,0,'Données projet'!$E$10+1,1))</f>
        <v>196.874484</v>
      </c>
      <c r="AO92" s="133">
        <f t="shared" si="37"/>
        <v>217.5750859</v>
      </c>
      <c r="AP92" s="134">
        <f>IF(ISNA(VLOOKUP(A92,'Données projet'!$A$61:$I$81,3,0)),0,VLOOKUP(A92,'Données projet'!$A$61:$I$81,3,0))</f>
        <v>0</v>
      </c>
      <c r="AQ92" s="134">
        <f>IF(ISNA(VLOOKUP(A92,'Données projet'!$A$61:$I$81,4,0)),0,VLOOKUP(A92,'Données projet'!$A$61:$I$81,4,0))</f>
        <v>0</v>
      </c>
      <c r="AR92" s="135">
        <f>IF(ISNA(VLOOKUP(A92,'Données projet'!$A$61:$I$81,5,0)),0%,VLOOKUP(A92,'Données projet'!$A$61:$I$81,5,0)*VLOOKUP('Données projet'!$B$10,'Paramètres'!$A$1:$I$89,7,0))</f>
        <v>0</v>
      </c>
      <c r="AS92" s="135">
        <f>IF(ISNA(VLOOKUP(A92,'Données projet'!$A$61:$I$81,6,0)),0%,VLOOKUP(A92,'Données projet'!$A$61:$I$81,6,0)*VLOOKUP('Données projet'!$B$10,'Paramètres'!$A$1:$I$89,7,0))</f>
        <v>0</v>
      </c>
      <c r="AT92" s="135">
        <f>IF(ISNA(VLOOKUP(A92,'Données projet'!$A$61:$I$81,7,0)),0%,VLOOKUP(A92,'Données projet'!$A$61:$I$81,7,0))</f>
        <v>0</v>
      </c>
      <c r="AU92" s="142">
        <f>EXP(-LN(2)/35)*AU91+(1-EXP(-LN(2)/35))/(LN(2)/35)*AQ92*AR92*VLOOKUP('Données projet'!$B$10,'Paramètres'!$A$1:$I$89,3,0)*0.475*44/12</f>
        <v>83.14296323</v>
      </c>
      <c r="AV92" s="142">
        <f>EXP(-LN(2)/25)*AV91+(1-EXP(-LN(2)/25))/(LN(2)/25)*Calculateur!AQ92*Calculateur!AS92*VLOOKUP('Données projet'!$B$10,'Paramètres'!$A$1:$I$89,3,0)*0.475*44/12</f>
        <v>15.98937739</v>
      </c>
      <c r="AW92" s="142">
        <f>EXP(-LN(2)/2)*AW91+(1-EXP(-LN(2)/2))/(LN(2)/2)*AQ92*AT92*VLOOKUP('Données projet'!$B$10,'Paramètres'!$A$1:$I$89,3,0)*0.475*44/12</f>
        <v>0.001142625277</v>
      </c>
      <c r="AX92" s="142">
        <f t="shared" si="7"/>
        <v>99.13348324</v>
      </c>
      <c r="AY92" s="13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1" t="str">
        <f>VLOOKUP(A92,'Données projet'!$A$87:$I$107,2,0)</f>
        <v>#N/A</v>
      </c>
      <c r="BB92" s="131" t="str">
        <f>VLOOKUP(A92,'Données projet'!$A$87:$I$107,9,0)</f>
        <v>#N/A</v>
      </c>
      <c r="BC92" s="131" t="str">
        <f t="array" ref="BC92">INDEX(BB:BB,MIN(IF(ISNUMBER(BB92:BB288),ROW(BB92:BB288),"")))</f>
        <v/>
      </c>
      <c r="BD92" s="130">
        <f>IF('Données projet'!$A$88&gt;35,BD91+BC92-BL91,IF(A92&lt;'Données projet'!$A$88,$BA$205^A92,IF(A92='Données projet'!$A$88,'Données projet'!$B$88,BD91+BC92-BL91)))</f>
        <v>0</v>
      </c>
      <c r="BE92" s="130">
        <f>BD92*VLOOKUP('Données projet'!$B$11,'Paramètres'!$A$1:$I$89,3,0)*VLOOKUP('Données projet'!$B$11,'Paramètres'!$A$1:$I$89,5,0)</f>
        <v>0</v>
      </c>
      <c r="BF92" s="130" t="str">
        <f t="shared" si="38"/>
        <v>#NUM!</v>
      </c>
      <c r="BG92" s="141" t="str">
        <f t="shared" si="8"/>
        <v>#NUM!</v>
      </c>
      <c r="BH92" s="133" t="str">
        <f t="shared" si="9"/>
        <v>#NUM!</v>
      </c>
      <c r="BI92" s="133">
        <f>AVERAGE(OFFSET($BH$3,0,0,'Données projet'!$E$11+1,1))-AVERAGE(OFFSET($H$3,0,0,'Données projet'!$E$11+1,1))</f>
        <v>134.0948534</v>
      </c>
      <c r="BJ92" s="133">
        <f t="shared" si="39"/>
        <v>108.4102536</v>
      </c>
      <c r="BK92" s="134">
        <f>IF(ISNA(VLOOKUP(A92,'Données projet'!$A$87:$I$107,3,0)),0,VLOOKUP(A92,'Données projet'!$A$87:$I$107,3,0))</f>
        <v>0</v>
      </c>
      <c r="BL92" s="134">
        <f>IF(ISNA(VLOOKUP(A92,'Données projet'!$A$87:$I$107,4,0)),0,VLOOKUP(A92,'Données projet'!$A$87:$I$107,4,0))</f>
        <v>0</v>
      </c>
      <c r="BM92" s="135">
        <f>IF(ISNA(VLOOKUP(A92,'Données projet'!$A$87:$I$107,5,0)),0%,VLOOKUP(A92,'Données projet'!$A$87:$I$107,5,0)*VLOOKUP('Données projet'!$B$11,'Paramètres'!$A$1:$I$89,7,0))</f>
        <v>0</v>
      </c>
      <c r="BN92" s="135">
        <f>IF(ISNA(VLOOKUP(A92,'Données projet'!$A$87:$I$107,6,0)),0%,VLOOKUP(A92,'Données projet'!$A$87:$I$107,6,0)*VLOOKUP('Données projet'!$B$11,'Paramètres'!$A$1:$I$89,7,0))</f>
        <v>0</v>
      </c>
      <c r="BO92" s="135">
        <f>IF(ISNA(VLOOKUP(A92,'Données projet'!$A$87:$I$107,7,0)),0%,VLOOKUP(A92,'Données projet'!$A$87:$I$107,7,0))</f>
        <v>0</v>
      </c>
      <c r="BP92" s="142">
        <f>EXP(-LN(2)/35)*BP91+(1-EXP(-LN(2)/35))/(LN(2)/35)*BL92*BM92*VLOOKUP('Données projet'!$B$11,'Paramètres'!$A$1:$I$89,3,0)*0.475*44/12</f>
        <v>115.0022458</v>
      </c>
      <c r="BQ92" s="142">
        <f>EXP(-LN(2)/25)*BQ91+(1-EXP(-LN(2)/25))/(LN(2)/25)*Calculateur!BL92*Calculateur!BN92*VLOOKUP('Données projet'!$B$11,'Paramètres'!$A$1:$I$89,3,0)*0.475*44/12</f>
        <v>10.08611299</v>
      </c>
      <c r="BR92" s="142">
        <f>EXP(-LN(2)/2)*BR91+(1-EXP(-LN(2)/2))/(LN(2)/2)*BL92*BO92*VLOOKUP('Données projet'!$B$11,'Paramètres'!$A$1:$I$89,3,0)*0.475*44/12</f>
        <v>0.01524098139</v>
      </c>
      <c r="BS92" s="143">
        <f t="shared" si="10"/>
        <v>125.1035998</v>
      </c>
      <c r="BT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1" t="str">
        <f>VLOOKUP(A92,'Données projet'!$A$113:$I$133,2,0)</f>
        <v>#N/A</v>
      </c>
      <c r="BW92" s="131" t="str">
        <f>VLOOKUP(A92,'Données projet'!$A$113:$I$133,9,0)</f>
        <v>#N/A</v>
      </c>
      <c r="BX92" s="131" t="str">
        <f t="array" ref="BX92">INDEX(BW:BW,MIN(IF(ISNUMBER(BW92:BW288),ROW(BW92:BW288),"")))</f>
        <v/>
      </c>
      <c r="BY92" s="130">
        <f>IF('Données projet'!$A$114&gt;35,BY91+BX92-CG91,IF(A92&lt;'Données projet'!$A$114,$BV$205^A92,IF(A92='Données projet'!$A$114,'Données projet'!$B$114,BY91+BX92-CG91)))</f>
        <v>0</v>
      </c>
      <c r="BZ92" s="130">
        <f>BY92*VLOOKUP('Données projet'!$B$12,'Paramètres'!$A$1:$I$89,3,0)*VLOOKUP('Données projet'!$B$12,'Paramètres'!$A$1:$I$89,5,0)</f>
        <v>0</v>
      </c>
      <c r="CA92" s="130" t="str">
        <f t="shared" si="40"/>
        <v>#NUM!</v>
      </c>
      <c r="CB92" s="141" t="str">
        <f t="shared" si="11"/>
        <v>#NUM!</v>
      </c>
      <c r="CC92" s="133" t="str">
        <f t="shared" si="12"/>
        <v>#NUM!</v>
      </c>
      <c r="CD92" s="133">
        <f>AVERAGE(OFFSET($CC$3,0,0,'Données projet'!$E$12+1,1))-AVERAGE(OFFSET($H$3,0,0,'Données projet'!$E$12+1,1))</f>
        <v>258.1672054</v>
      </c>
      <c r="CE92" s="133">
        <f t="shared" si="41"/>
        <v>296.0724261</v>
      </c>
      <c r="CF92" s="134">
        <f>IF(ISNA(VLOOKUP(A92,'Données projet'!$A$113:$I$133,3,0)),0,VLOOKUP(A92,'Données projet'!$A$113:$I$133,3,0))</f>
        <v>0</v>
      </c>
      <c r="CG92" s="134">
        <f>IF(ISNA(VLOOKUP(A92,'Données projet'!$A$113:$I$133,4,0)),0,VLOOKUP(A92,'Données projet'!$A$113:$I$133,4,0))</f>
        <v>0</v>
      </c>
      <c r="CH92" s="135">
        <f>IF(ISNA(VLOOKUP(A92,'Données projet'!$A$113:$I$133,5,0)),0%,VLOOKUP(A92,'Données projet'!$A$113:$I$133,5,0)*VLOOKUP('Données projet'!$B$12,'Paramètres'!$A$1:$I$89,7,0))</f>
        <v>0</v>
      </c>
      <c r="CI92" s="135">
        <f>IF(ISNA(VLOOKUP(A92,'Données projet'!$A$113:$I$133,6,0)),0%,VLOOKUP(A92,'Données projet'!$A$113:$I$133,6,0)*VLOOKUP('Données projet'!$B$12,'Paramètres'!$A$1:$I$89,7,0))</f>
        <v>0</v>
      </c>
      <c r="CJ92" s="135">
        <f>IF(ISNA(VLOOKUP(A92,'Données projet'!$A$113:$I$133,7,0)),0%,VLOOKUP(A92,'Données projet'!$A$113:$I$133,7,0))</f>
        <v>0</v>
      </c>
      <c r="CK92" s="142">
        <f>EXP(-LN(2)/35)*CK91+(1-EXP(-LN(2)/35))/(LN(2)/35)*CG92*CH92*VLOOKUP('Données projet'!$B$12,'Paramètres'!$A$1:$I$89,3,0)*0.475*44/12</f>
        <v>145.3980193</v>
      </c>
      <c r="CL92" s="142">
        <f>EXP(-LN(2)/25)*CL91+(1-EXP(-LN(2)/25))/(LN(2)/25)*Calculateur!CG92*Calculateur!CI92*VLOOKUP('Données projet'!$B$12,'Paramètres'!$A$1:$I$89,3,0)*0.475*44/12</f>
        <v>17.69161474</v>
      </c>
      <c r="CM92" s="142">
        <f>EXP(-LN(2)/2)*CM91+(1-EXP(-LN(2)/2))/(LN(2)/2)*CG92*CJ92*VLOOKUP('Données projet'!$B$12,'Paramètres'!$A$1:$I$89,3,0)*0.475*44/12</f>
        <v>0.000642084557</v>
      </c>
      <c r="CN92" s="143">
        <f t="shared" si="13"/>
        <v>163.0902761</v>
      </c>
      <c r="CO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1" t="str">
        <f>VLOOKUP(A92,'Données projet'!$A$139:$I$159,2,0)</f>
        <v>#N/A</v>
      </c>
      <c r="CR92" s="131" t="str">
        <f>VLOOKUP(A92,'Données projet'!$A$139:$I$159,9,0)</f>
        <v>#N/A</v>
      </c>
      <c r="CS92" s="130">
        <f t="array" ref="CS92">INDEX(CR:CR,MIN(IF(ISNUMBER(CR92:CR288),ROW(CR92:CR288),"")))</f>
        <v>4.2</v>
      </c>
      <c r="CT92" s="138">
        <f>IF('Données projet'!$A$140&gt;35,CT91+CS92-DB91,IF(A92&lt;'Données projet'!$A$140,$CQ$205^A92,IF(A92='Données projet'!$A$140,'Données projet'!$B$140,CT91+CS92-DB91)))</f>
        <v>202.8</v>
      </c>
      <c r="CU92" s="138">
        <f>CT92*VLOOKUP('Données projet'!$B$13,'Paramètres'!$A$1:$I$89,3,0)*VLOOKUP('Données projet'!$B$13,'Paramètres'!$A$1:$I$89,5,0)</f>
        <v>205.6392</v>
      </c>
      <c r="CV92" s="130">
        <f t="shared" si="42"/>
        <v>50.98148049</v>
      </c>
      <c r="CW92" s="141">
        <f t="shared" si="14"/>
        <v>446.9476852</v>
      </c>
      <c r="CX92" s="133">
        <f t="shared" si="15"/>
        <v>740.2810185</v>
      </c>
      <c r="CY92" s="133">
        <f>AVERAGE(OFFSET($CX$3,0,0,'Données projet'!$E$13+1,1))-AVERAGE(OFFSET($H$3,0,0,'Données projet'!$E$13+1,1))</f>
        <v>223.783507</v>
      </c>
      <c r="CZ92" s="133">
        <f t="shared" si="43"/>
        <v>84.92349117</v>
      </c>
      <c r="DA92" s="134">
        <f>IF(ISNA(VLOOKUP(A92,'Données projet'!$A$139:$I$159,3,0)),0,VLOOKUP(A92,'Données projet'!$A$139:$I$159,3,0))</f>
        <v>0</v>
      </c>
      <c r="DB92" s="134">
        <f>IF(ISNA(VLOOKUP(A92,'Données projet'!$A$139:$I$159,4,0)),0,VLOOKUP(A92,'Données projet'!$A$139:$I$159,4,0))</f>
        <v>0</v>
      </c>
      <c r="DC92" s="135">
        <f>IF(ISNA(VLOOKUP(A92,'Données projet'!$A$139:$I$159,5,0)),0%,VLOOKUP(A92,'Données projet'!$A$139:$I$159,5,0)*VLOOKUP('Données projet'!$B$13,'Paramètres'!$A$1:$I$89,7,0))</f>
        <v>0</v>
      </c>
      <c r="DD92" s="135">
        <f>IF(ISNA(VLOOKUP(A92,'Données projet'!$A$139:$I$159,6,0)),0%,VLOOKUP(A92,'Données projet'!$A$139:$I$159,6,0)*VLOOKUP('Données projet'!$B$13,'Paramètres'!$A$1:$I$89,7,0))</f>
        <v>0</v>
      </c>
      <c r="DE92" s="135">
        <f>IF(ISNA(VLOOKUP(A92,'Données projet'!$A$139:$I$159,7,0)),0%,VLOOKUP(A92,'Données projet'!$A$139:$I$159,7,0))</f>
        <v>0</v>
      </c>
      <c r="DF92" s="142">
        <f>EXP(-LN(2)/35)*DF91+(1-EXP(-LN(2)/35))/(LN(2)/35)*DB92*DC92*VLOOKUP('Données projet'!$B$13,'Paramètres'!$A$1:$I$89,3,0)*0.475*44/12</f>
        <v>16.01211166</v>
      </c>
      <c r="DG92" s="142">
        <f>EXP(-LN(2)/25)*DG91+(1-EXP(-LN(2)/25))/(LN(2)/25)*Calculateur!DB92*Calculateur!DD92*VLOOKUP('Données projet'!$B$13,'Paramètres'!$A$1:$I$89,3,0)*0.475*44/12</f>
        <v>0</v>
      </c>
      <c r="DH92" s="142">
        <f>EXP(-LN(2)/2)*DH91+(1-EXP(-LN(2)/2))/(LN(2)/2)*DB92*DE92*VLOOKUP('Données projet'!$B$13,'Paramètres'!$A$1:$I$89,3,0)*0.475*44/12</f>
        <v>0</v>
      </c>
      <c r="DI92" s="143">
        <f t="shared" si="16"/>
        <v>16.01211166</v>
      </c>
      <c r="DJ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1" t="str">
        <f>VLOOKUP(A92,'Données projet'!$A$165:$I$185,2,0)</f>
        <v>#N/A</v>
      </c>
      <c r="DM92" s="131" t="str">
        <f>VLOOKUP(A92,'Données projet'!$A$165:$I$185,9,0)</f>
        <v>#N/A</v>
      </c>
      <c r="DN92" s="131">
        <f t="array" ref="DN92">INDEX(DM:DM,MIN(IF(ISNUMBER(DM92:DM288),ROW(DM92:DM288),"")))</f>
        <v>5.4</v>
      </c>
      <c r="DO92" s="138">
        <f>IF('Données projet'!$A$166&gt;35,DO91+DN92-DW91,IF(A92&lt;'Données projet'!$A$166,$DL$205^A92,IF(A92='Données projet'!$A$166,'Données projet'!$B$166,DO91+DN92-DW91)))</f>
        <v>269.6</v>
      </c>
      <c r="DP92" s="138">
        <f>DO92*VLOOKUP('Données projet'!$B$14,'Paramètres'!$A$1:$I$89,3,0)*VLOOKUP('Données projet'!$B$14,'Paramètres'!$A$1:$I$89,5,0)</f>
        <v>243.93408</v>
      </c>
      <c r="DQ92" s="130">
        <f t="shared" si="44"/>
        <v>59.28516433</v>
      </c>
      <c r="DR92" s="141">
        <f t="shared" si="17"/>
        <v>528.1068505</v>
      </c>
      <c r="DS92" s="133">
        <f t="shared" si="18"/>
        <v>821.4401839</v>
      </c>
      <c r="DT92" s="133">
        <f>AVERAGE(OFFSET($DS$3,0,0,'Données projet'!$E$14+1,1))-AVERAGE(OFFSET($H$3,0,0,'Données projet'!$E$14+1,1))</f>
        <v>287.9334714</v>
      </c>
      <c r="DU92" s="133">
        <f t="shared" si="45"/>
        <v>156.6796502</v>
      </c>
      <c r="DV92" s="134">
        <f>IF(ISNA(VLOOKUP(A92,'Données projet'!$A$165:$I$185,3,0)),0,VLOOKUP(A92,'Données projet'!$A$165:$I$185,3,0))</f>
        <v>0</v>
      </c>
      <c r="DW92" s="134">
        <f>IF(ISNA(VLOOKUP(A92,'Données projet'!$A$165:$I$185,4,0)),0,VLOOKUP(A92,'Données projet'!$A$165:$I$185,4,0))</f>
        <v>0</v>
      </c>
      <c r="DX92" s="135">
        <f>IF(ISNA(VLOOKUP(A92,'Données projet'!$A$165:$I$185,5,0)),0%,VLOOKUP(A92,'Données projet'!$A$165:$I$185,5,0)*VLOOKUP('Données projet'!$B$14,'Paramètres'!$A$1:$I$89,7,0))</f>
        <v>0</v>
      </c>
      <c r="DY92" s="135">
        <f>IF(ISNA(VLOOKUP(A92,'Données projet'!$A$165:$I$185,6,0)),0%,VLOOKUP(A92,'Données projet'!$A$165:$I$185,6,0)*VLOOKUP('Données projet'!$B$14,'Paramètres'!$A$1:$I$89,7,0))</f>
        <v>0</v>
      </c>
      <c r="DZ92" s="135">
        <f>IF(ISNA(VLOOKUP(A92,'Données projet'!$A$165:$I$185,7,0)),0%,VLOOKUP(A92,'Données projet'!$A$165:$I$185,7,0))</f>
        <v>0</v>
      </c>
      <c r="EA92" s="142">
        <f>EXP(-LN(2)/35)*EA91+(1-EXP(-LN(2)/35))/(LN(2)/35)*DW92*DX92*VLOOKUP('Données projet'!$B$14,'Paramètres'!$A$1:$I$89,3,0)*0.475*44/12</f>
        <v>24.41761546</v>
      </c>
      <c r="EB92" s="142">
        <f>EXP(-LN(2)/25)*EB91+(1-EXP(-LN(2)/25))/(LN(2)/25)*Calculateur!DW92*Calculateur!DY92*VLOOKUP('Données projet'!$B$14,'Paramètres'!$A$1:$I$89,3,0)*0.475*44/12</f>
        <v>0</v>
      </c>
      <c r="EC92" s="142">
        <f>EXP(-LN(2)/2)*EC91+(1-EXP(-LN(2)/2))/(LN(2)/2)*DW92*DZ92*VLOOKUP('Données projet'!$B$14,'Paramètres'!$A$1:$I$89,3,0)*0.475*44/12</f>
        <v>0</v>
      </c>
      <c r="ED92" s="143">
        <f t="shared" si="19"/>
        <v>24.41761546</v>
      </c>
      <c r="EE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1" t="str">
        <f>VLOOKUP(A92,'Données projet'!$A$191:$I$211,2,0)</f>
        <v>#N/A</v>
      </c>
      <c r="EH92" s="131" t="str">
        <f>VLOOKUP(A92,'Données projet'!$A$191:$I$211,9,0)</f>
        <v>#N/A</v>
      </c>
      <c r="EI92" s="131" t="str">
        <f t="array" ref="EI92">INDEX(EH:EH,MIN(IF(ISNUMBER(EH92:EH288),ROW(EH92:EH288),"")))</f>
        <v/>
      </c>
      <c r="EJ92" s="138">
        <f>IF('Données projet'!$A$192&gt;35,EJ91+EI92-ER91,IF(A92&lt;'Données projet'!$A$192,$EG$205^A92,IF(A92='Données projet'!$A$192,'Données projet'!$B$192,EJ91+EI92-ER91)))</f>
        <v>0</v>
      </c>
      <c r="EK92" s="138">
        <f>EJ92*VLOOKUP('Données projet'!$B$15,'Paramètres'!$A$1:$I$89,3,0)*VLOOKUP('Données projet'!$B$15,'Paramètres'!$A$1:$I$89,5,0)</f>
        <v>0</v>
      </c>
      <c r="EL92" s="130" t="str">
        <f t="shared" si="46"/>
        <v>#NUM!</v>
      </c>
      <c r="EM92" s="141" t="str">
        <f t="shared" si="20"/>
        <v>#NUM!</v>
      </c>
      <c r="EN92" s="133" t="str">
        <f t="shared" si="21"/>
        <v>#NUM!</v>
      </c>
      <c r="EO92" s="133">
        <f>AVERAGE(OFFSET($EN$3,0,0,'Données projet'!$E$15+1,1))-AVERAGE(OFFSET($H$3,0,0,'Données projet'!$E$15+1,1))</f>
        <v>130.3193339</v>
      </c>
      <c r="EP92" s="133">
        <f t="shared" si="47"/>
        <v>82.22784365</v>
      </c>
      <c r="EQ92" s="134">
        <f>IF(ISNA(VLOOKUP(A92,'Données projet'!$A$191:$I$211,3,0)),0,VLOOKUP(A92,'Données projet'!$A$191:$I$211,3,0))</f>
        <v>0</v>
      </c>
      <c r="ER92" s="134">
        <f>IF(ISNA(VLOOKUP(A92,'Données projet'!$A$191:$I$211,4,0)),0,VLOOKUP(A92,'Données projet'!$A$191:$I$211,4,0))</f>
        <v>0</v>
      </c>
      <c r="ES92" s="135">
        <f>IF(ISNA(VLOOKUP(A92,'Données projet'!$A$191:$I$211,5,0)),0%,VLOOKUP(A92,'Données projet'!$A$191:$I$211,5,0)*VLOOKUP('Données projet'!$B$15,'Paramètres'!$A$1:$I$89,7,0))</f>
        <v>0</v>
      </c>
      <c r="ET92" s="135">
        <f>IF(ISNA(VLOOKUP(A92,'Données projet'!$A$191:$I$211,6,0)),0%,VLOOKUP(A92,'Données projet'!$A$191:$I$211,6,0)*VLOOKUP('Données projet'!$B$15,'Paramètres'!$A$1:$I$89,7,0))</f>
        <v>0</v>
      </c>
      <c r="EU92" s="135">
        <f>IF(ISNA(VLOOKUP(A92,'Données projet'!$A$191:$I$211,7,0)),0%,VLOOKUP(A92,'Données projet'!$A$191:$I$211,7,0))</f>
        <v>0</v>
      </c>
      <c r="EV92" s="142">
        <f>EXP(-LN(2)/35)*EV91+(1-EXP(-LN(2)/35))/(LN(2)/35)*ER92*ES92*VLOOKUP('Données projet'!$B$15,'Paramètres'!$A$1:$I$89,3,0)*0.475*44/12</f>
        <v>88.90788092</v>
      </c>
      <c r="EW92" s="142">
        <f>EXP(-LN(2)/25)*EW91+(1-EXP(-LN(2)/25))/(LN(2)/25)*Calculateur!ER92*Calculateur!ET92*VLOOKUP('Données projet'!$B$15,'Paramètres'!$A$1:$I$89,3,0)*0.475*44/12</f>
        <v>0</v>
      </c>
      <c r="EX92" s="142">
        <f>EXP(-LN(2)/2)*EX91+(1-EXP(-LN(2)/2))/(LN(2)/2)*ER92*EU92*VLOOKUP('Données projet'!$B$15,'Paramètres'!$A$1:$I$89,3,0)*0.475*44/12</f>
        <v>0</v>
      </c>
      <c r="EY92" s="143">
        <f t="shared" si="22"/>
        <v>88.90788092</v>
      </c>
      <c r="EZ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1" t="str">
        <f>VLOOKUP(A92,'Données projet'!$A$217:$I$237,2,0)</f>
        <v>#N/A</v>
      </c>
      <c r="FC92" s="131" t="str">
        <f>VLOOKUP(A92,'Données projet'!$A$217:$I$237,9,0)</f>
        <v>#N/A</v>
      </c>
      <c r="FD92" s="131" t="str">
        <f t="array" ref="FD92">INDEX(FC:FC,MIN(IF(ISNUMBER(FC92:FC288),ROW(FC92:FC288),"")))</f>
        <v/>
      </c>
      <c r="FE92" s="130">
        <f>IF('Données projet'!$A$218&gt;35,FE91+FD92-FM91,IF(A92&lt;'Données projet'!$A$218,$FB$205^A92,IF(A92='Données projet'!$A$218,'Données projet'!$B$218,FE91+FD92-FM91)))</f>
        <v>0</v>
      </c>
      <c r="FF92" s="138">
        <f>FE92*VLOOKUP('Données projet'!$B$16,'Paramètres'!$A$1:$I$89,3,0)*VLOOKUP('Données projet'!$B$16,'Paramètres'!$A$1:$I$89,5,0)</f>
        <v>0</v>
      </c>
      <c r="FG92" s="130">
        <f t="shared" si="48"/>
        <v>0</v>
      </c>
      <c r="FH92" s="141">
        <f t="shared" si="23"/>
        <v>0</v>
      </c>
      <c r="FI92" s="133">
        <f t="shared" si="24"/>
        <v>293.3333333</v>
      </c>
      <c r="FJ92" s="133">
        <f>AVERAGE(OFFSET($FI$3,0,0,'Données projet'!$E$16+1,1))-AVERAGE(OFFSET($H$3,0,0,'Données projet'!$E$16+1,1))</f>
        <v>305.6252353</v>
      </c>
      <c r="FK92" s="133">
        <f t="shared" si="49"/>
        <v>331.397916</v>
      </c>
      <c r="FL92" s="134">
        <f>IF(ISNA(VLOOKUP(A92,'Données projet'!$A$217:$I$237,3,0)),0,VLOOKUP(A92,'Données projet'!$A$217:$I$237,3,0))</f>
        <v>0</v>
      </c>
      <c r="FM92" s="134">
        <f>IF(ISNA(VLOOKUP(A92,'Données projet'!$A$217:$I$237,4,0)),0,VLOOKUP(A92,'Données projet'!$A$217:$I$237,4,0))</f>
        <v>0</v>
      </c>
      <c r="FN92" s="135">
        <f>IF(ISNA(VLOOKUP(A92,'Données projet'!$A$217:$I$237,5,0)),0%,VLOOKUP(A92,'Données projet'!$A$217:$I$237,5,0)*VLOOKUP('Données projet'!$B$16,'Paramètres'!$A$1:$I$89,7,0))</f>
        <v>0</v>
      </c>
      <c r="FO92" s="135">
        <f>IF(ISNA(VLOOKUP(A92,'Données projet'!$A$217:$I$237,6,0)),0%,VLOOKUP(A92,'Données projet'!$A$217:$I$237,6,0)*VLOOKUP('Données projet'!$B$16,'Paramètres'!$A$1:$I$89,7,0))</f>
        <v>0</v>
      </c>
      <c r="FP92" s="135">
        <f>IF(ISNA(VLOOKUP(A92,'Données projet'!$A$217:$I$237,7,0)),0%,VLOOKUP(A92,'Données projet'!$A$217:$I$237,7,0))</f>
        <v>0</v>
      </c>
      <c r="FQ92" s="142">
        <f>EXP(-LN(2)/35)*FQ91+(1-EXP(-LN(2)/35))/(LN(2)/35)*FM92*FN92*VLOOKUP('Données projet'!$B$16,'Paramètres'!$A$1:$I$89,3,0)*0.475*44/12</f>
        <v>55.3567037</v>
      </c>
      <c r="FR92" s="142">
        <f>EXP(-LN(2)/25)*FR91+(1-EXP(-LN(2)/25))/(LN(2)/25)*Calculateur!FM92*Calculateur!FO92*VLOOKUP('Données projet'!$B$16,'Paramètres'!$A$1:$I$89,3,0)*0.475*44/12</f>
        <v>0</v>
      </c>
      <c r="FS92" s="142">
        <f>EXP(-LN(2)/2)*FS91+(1-EXP(-LN(2)/2))/(LN(2)/2)*FM92*FP92*VLOOKUP('Données projet'!$B$16,'Paramètres'!$A$1:$I$89,3,0)*0.475*44/12</f>
        <v>0</v>
      </c>
      <c r="FT92" s="143">
        <f t="shared" si="25"/>
        <v>55.3567037</v>
      </c>
      <c r="FU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1" t="str">
        <f>VLOOKUP(A92,'Données projet'!$A$243:$I$263,2,0)</f>
        <v>#N/A</v>
      </c>
      <c r="FX92" s="131" t="str">
        <f>VLOOKUP(A92,'Données projet'!$A$243:$I$263,9,0)</f>
        <v>#N/A</v>
      </c>
      <c r="FY92" s="131" t="str">
        <f t="array" ref="FY92">INDEX(FX:FX,MIN(IF(ISNUMBER(FX92:FX288),ROW(FX92:FX288),"")))</f>
        <v/>
      </c>
      <c r="FZ92" s="138">
        <f>IF('Données projet'!$A$244&gt;35,FZ91+FY92-GH91,IF(A92&lt;'Données projet'!$A$244,$FW$205^A92,IF(A92='Données projet'!$A$244,'Données projet'!$B$244,FZ91+FY92-GH91)))</f>
        <v>0</v>
      </c>
      <c r="GA92" s="138">
        <f>FZ92*VLOOKUP('Données projet'!$B$17,'Paramètres'!$A$1:$I$89,3,0)*VLOOKUP('Données projet'!$B$17,'Paramètres'!$A$1:$I$89,5,0)</f>
        <v>0</v>
      </c>
      <c r="GB92" s="130">
        <f t="shared" si="50"/>
        <v>0</v>
      </c>
      <c r="GC92" s="141">
        <f t="shared" si="26"/>
        <v>0</v>
      </c>
      <c r="GD92" s="133">
        <f t="shared" si="27"/>
        <v>293.3333333</v>
      </c>
      <c r="GE92" s="133">
        <f>AVERAGE(OFFSET($GD$3,0,0,'Données projet'!$E$17+1,1))-AVERAGE(OFFSET($H$3,0,0,'Données projet'!$E$17+1,1))</f>
        <v>118.7368745</v>
      </c>
      <c r="GF92" s="133">
        <f t="shared" si="51"/>
        <v>135.1233677</v>
      </c>
      <c r="GG92" s="134">
        <f>IF(ISNA(VLOOKUP(A92,'Données projet'!$A$243:$I$263,3,0)),0,VLOOKUP(A92,'Données projet'!$A$243:$I$263,3,0))</f>
        <v>0</v>
      </c>
      <c r="GH92" s="134">
        <f>IF(ISNA(VLOOKUP(A92,'Données projet'!$A$243:$I$263,4,0)),0,VLOOKUP(A92,'Données projet'!$A$243:$I$263,4,0))</f>
        <v>0</v>
      </c>
      <c r="GI92" s="135">
        <f>IF(ISNA(VLOOKUP(A92,'Données projet'!$A$243:$I$263,5,0)),0%,VLOOKUP(A92,'Données projet'!$A$243:$I$263,5,0)*VLOOKUP('Données projet'!$B$17,'Paramètres'!$A$1:$I$89,7,0))</f>
        <v>0</v>
      </c>
      <c r="GJ92" s="135">
        <f>IF(ISNA(VLOOKUP(A92,'Données projet'!$A$243:$I$263,6,0)),0%,VLOOKUP(A92,'Données projet'!$A$243:$I$263,6,0)*VLOOKUP('Données projet'!$B$17,'Paramètres'!$A$1:$I$89,7,0))</f>
        <v>0</v>
      </c>
      <c r="GK92" s="135">
        <f>IF(ISNA(VLOOKUP(A92,'Données projet'!$A$243:$I$263,7,0)),0%,VLOOKUP(A92,'Données projet'!$A$243:$I$263,7,0))</f>
        <v>0</v>
      </c>
      <c r="GL92" s="142">
        <f>EXP(-LN(2)/35)*GL91+(1-EXP(-LN(2)/35))/(LN(2)/35)*GH92*GI92*VLOOKUP('Données projet'!$B$17,'Paramètres'!$A$1:$I$89,3,0)*0.475*44/12</f>
        <v>58.48418626</v>
      </c>
      <c r="GM92" s="142">
        <f>EXP(-LN(2)/25)*GM91+(1-EXP(-LN(2)/25))/(LN(2)/25)*Calculateur!GH92*Calculateur!GJ92*VLOOKUP('Données projet'!$B$17,'Paramètres'!$A$1:$I$89,3,0)*0.475*44/12</f>
        <v>0</v>
      </c>
      <c r="GN92" s="142">
        <f>EXP(-LN(2)/2)*GN91+(1-EXP(-LN(2)/2))/(LN(2)/2)*GH92*GK92*VLOOKUP('Données projet'!$B$17,'Paramètres'!$A$1:$I$89,3,0)*0.475*44/12</f>
        <v>0</v>
      </c>
      <c r="GO92" s="142">
        <f t="shared" si="28"/>
        <v>58.48418626</v>
      </c>
      <c r="GP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1" t="str">
        <f>VLOOKUP(A92,'Données projet'!$A$269:$I$289,2,0)</f>
        <v>#N/A</v>
      </c>
      <c r="GS92" s="131" t="str">
        <f>VLOOKUP(A92,'Données projet'!$A$269:$I$289,9,0)</f>
        <v>#N/A</v>
      </c>
      <c r="GT92" s="131" t="str">
        <f t="array" ref="GT92">INDEX(GS:GS,MIN(IF(ISNUMBER(GS92:GS288),ROW(GS92:GS288),"")))</f>
        <v/>
      </c>
      <c r="GU92" s="138">
        <f>IF('Données projet'!$A$270&gt;35,GU91+GT92-HC91,IF(A92&lt;'Données projet'!$A$270,$GR$205^A92,IF(A92='Données projet'!$A$270,'Données projet'!$B$270,GU91+GT92-HC91)))</f>
        <v>0</v>
      </c>
      <c r="GV92" s="138">
        <f>GU92*VLOOKUP('Données projet'!$B$18,'Paramètres'!$A$1:$I$89,3,0)*VLOOKUP('Données projet'!$B$18,'Paramètres'!$A$1:$I$89,5,0)</f>
        <v>0</v>
      </c>
      <c r="GW92" s="130" t="str">
        <f t="shared" si="52"/>
        <v>#NUM!</v>
      </c>
      <c r="GX92" s="141" t="str">
        <f t="shared" si="29"/>
        <v>#NUM!</v>
      </c>
      <c r="GY92" s="133" t="str">
        <f t="shared" si="30"/>
        <v>#NUM!</v>
      </c>
      <c r="GZ92" s="133">
        <f>AVERAGE(OFFSET($GY$3,0,0,'Données projet'!$E$18+1,1))-AVERAGE(OFFSET($H$3,0,0,'Données projet'!$E$18+1,1))</f>
        <v>100.5427875</v>
      </c>
      <c r="HA92" s="133">
        <f t="shared" si="53"/>
        <v>92.28663609</v>
      </c>
      <c r="HB92" s="134">
        <f>IF(ISNA(VLOOKUP(A92,'Données projet'!$A$269:$I$289,3,0)),0,VLOOKUP(A92,'Données projet'!$A$269:$I$289,3,0))</f>
        <v>0</v>
      </c>
      <c r="HC92" s="134">
        <f>IF(ISNA(VLOOKUP(A92,'Données projet'!$A$269:$I$289,4,0)),0,VLOOKUP(A92,'Données projet'!$A$269:$I$289,4,0))</f>
        <v>0</v>
      </c>
      <c r="HD92" s="135">
        <f>IF(ISNA(VLOOKUP(A92,'Données projet'!$A$269:$I$289,5,0)),0%,VLOOKUP(A92,'Données projet'!$A$269:$I$289,5,0)*VLOOKUP('Données projet'!$B$18,'Paramètres'!$A$1:$I$89,7,0))</f>
        <v>0</v>
      </c>
      <c r="HE92" s="135">
        <f>IF(ISNA(VLOOKUP(A92,'Données projet'!$A$269:$I$289,6,0)),0%,VLOOKUP(A92,'Données projet'!$A$269:$I$289,6,0)*VLOOKUP('Données projet'!$B$18,'Paramètres'!$A$1:$I$89,7,0))</f>
        <v>0</v>
      </c>
      <c r="HF92" s="135">
        <f>IF(ISNA(VLOOKUP(A92,'Données projet'!$A$269:$I$289,7,0)),0%,VLOOKUP(A92,'Données projet'!$A$269:$I$289,7,0))</f>
        <v>0</v>
      </c>
      <c r="HG92" s="142">
        <f>EXP(-LN(2)/35)*HG91+(1-EXP(-LN(2)/35))/(LN(2)/35)*HC92*HD92*VLOOKUP('Données projet'!$B$18,'Paramètres'!$A$1:$I$89,3,0)*0.475*44/12</f>
        <v>39.82649706</v>
      </c>
      <c r="HH92" s="142">
        <f>EXP(-LN(2)/25)*HH91+(1-EXP(-LN(2)/25))/(LN(2)/25)*Calculateur!HC92*Calculateur!HE92*VLOOKUP('Données projet'!$B$18,'Paramètres'!$A$1:$I$89,3,0)*0.475*44/12</f>
        <v>0</v>
      </c>
      <c r="HI92" s="142">
        <f>EXP(-LN(2)/2)*HI91+(1-EXP(-LN(2)/2))/(LN(2)/2)*HC92*HF92*VLOOKUP('Données projet'!$B$18,'Paramètres'!$A$1:$I$89,3,0)*0.475*44/12</f>
        <v>0</v>
      </c>
      <c r="HJ92" s="143">
        <f t="shared" si="31"/>
        <v>39.82649706</v>
      </c>
    </row>
    <row r="93" ht="15.75" customHeight="1">
      <c r="A93" s="125">
        <f t="shared" si="32"/>
        <v>90</v>
      </c>
      <c r="B93" s="126">
        <f>'Scénario référence'!$B$16*5+'Scénario référence'!$B$17*0+'Scénario référence'!$B$18*5</f>
        <v>0</v>
      </c>
      <c r="C93" s="140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49.14</v>
      </c>
      <c r="D93" s="127">
        <f t="shared" si="33"/>
        <v>14.39143715</v>
      </c>
      <c r="E9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7">
        <f>IF(OR('Scénario référence'!$F$8&gt;0,'Scénario référence'!$F$9&gt;0),('Scénario référence'!$F$8+'Scénario référence'!$F$9)*10,0)</f>
        <v>10</v>
      </c>
      <c r="G93" s="127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</v>
      </c>
      <c r="H93" s="128">
        <f t="shared" si="1"/>
        <v>403.9839197</v>
      </c>
      <c r="I93" s="12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1" t="str">
        <f>VLOOKUP(A93,'Données projet'!$A$35:$I$55,2,0)</f>
        <v>#N/A</v>
      </c>
      <c r="L93" s="131" t="str">
        <f>VLOOKUP(A93,'Données projet'!$A$35:$I$55,9,0)</f>
        <v>#N/A</v>
      </c>
      <c r="M93" s="131" t="str">
        <f t="array" ref="M93">INDEX(L:L,MIN(IF(ISNUMBER(L93:L289),ROW(L93:L289),"")))</f>
        <v/>
      </c>
      <c r="N93" s="130">
        <f>IF('Données projet'!$A$36&gt;35,N92+M93-V92,IF(A93&lt;'Données projet'!$A$36,$K$205^A93,IF(A93='Données projet'!$A$36,'Données projet'!$B$36,N92+M93-V92)))</f>
        <v>0</v>
      </c>
      <c r="O93" s="130">
        <f>N93*VLOOKUP('Données projet'!$B$9,'Paramètres'!$A$1:$I$89,3,0)*VLOOKUP('Données projet'!$B$9,'Paramètres'!$A$1:$I$89,5,0)</f>
        <v>0</v>
      </c>
      <c r="P93" s="130">
        <f t="shared" si="34"/>
        <v>0</v>
      </c>
      <c r="Q93" s="141">
        <f t="shared" si="2"/>
        <v>0</v>
      </c>
      <c r="R93" s="133">
        <f t="shared" si="3"/>
        <v>293.3333333</v>
      </c>
      <c r="S93" s="133">
        <f>AVERAGE(OFFSET($R$3,0,0,'Données projet'!$E$9+1,1))-AVERAGE(OFFSET($H$3,0,0,'Données projet'!$E$9+1,1))</f>
        <v>126.9946492</v>
      </c>
      <c r="T93" s="133">
        <f t="shared" si="35"/>
        <v>140.039049</v>
      </c>
      <c r="U93" s="134">
        <f>IF(ISNA(VLOOKUP(A93,'Données projet'!$A$35:$I$55,3,0)),0,VLOOKUP(A93,'Données projet'!$A$35:$I$55,3,0))</f>
        <v>0</v>
      </c>
      <c r="V93" s="134">
        <f>IF(ISNA(VLOOKUP(A93,'Données projet'!$A$35:$I$55,4,0)),0,VLOOKUP(A93,'Données projet'!$A$35:$I$55,4,0))</f>
        <v>0</v>
      </c>
      <c r="W93" s="135">
        <f>IF(ISNA(VLOOKUP(A93,'Données projet'!$A$35:$I$55,5,0)),0%,VLOOKUP(A93,'Données projet'!$A$35:$I$55,5,0)*VLOOKUP('Données projet'!$B$9,'Paramètres'!$A$1:$I$89,7,0))</f>
        <v>0</v>
      </c>
      <c r="X93" s="135">
        <f>IF(ISNA(VLOOKUP(A93,'Données projet'!$A$35:$I$55,6,0)),0%,VLOOKUP(A93,'Données projet'!$A$35:$I$55,6,0)*VLOOKUP('Données projet'!$B$9,'Paramètres'!$A$1:$I$89,7,0))</f>
        <v>0</v>
      </c>
      <c r="Y93" s="135">
        <f>IF(ISNA(VLOOKUP(A93,'Données projet'!$A$35:$I$55,7,0)),0%,VLOOKUP(A93,'Données projet'!$A$35:$I$55,7,0))</f>
        <v>0</v>
      </c>
      <c r="Z93" s="142">
        <f>EXP(-LN(2)/35)*Z92+(1-EXP(-LN(2)/35))/(LN(2)/35)*V93*W93*VLOOKUP('Données projet'!$B$9,'Paramètres'!$A$1:$I$89,3,0)*0.475*44/12</f>
        <v>58.64334253</v>
      </c>
      <c r="AA93" s="142">
        <f>EXP(-LN(2)/25)*AA92+(1-EXP(-LN(2)/25))/(LN(2)/25)*Calculateur!V93*Calculateur!X93*VLOOKUP('Données projet'!$B$9,'Paramètres'!$A$1:$I$89,3,0)*0.475*44/12</f>
        <v>10.11520879</v>
      </c>
      <c r="AB93" s="142">
        <f>EXP(-LN(2)/2)*AB92+(1-EXP(-LN(2)/2))/(LN(2)/2)*V93*Y93*VLOOKUP('Données projet'!$B$9,'Paramètres'!$A$1:$I$89,3,0)*0.475*44/12</f>
        <v>0.0005795096195</v>
      </c>
      <c r="AC93" s="143">
        <f t="shared" si="4"/>
        <v>68.75913083</v>
      </c>
      <c r="AD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1" t="str">
        <f>VLOOKUP(A93,'Données projet'!$A$61:$I$81,2,0)</f>
        <v>#N/A</v>
      </c>
      <c r="AG93" s="131" t="str">
        <f>VLOOKUP(A93,'Données projet'!$A$61:$I$81,9,0)</f>
        <v>#N/A</v>
      </c>
      <c r="AH93" s="131" t="str">
        <f t="array" ref="AH93">INDEX(AG:AG,MIN(IF(ISNUMBER(AG93:AG289),ROW(AG93:AG289),"")))</f>
        <v/>
      </c>
      <c r="AI93" s="130">
        <f>IF('Données projet'!$A$62&gt;35,AI92+AH93-AQ92,IF(A93&lt;'Données projet'!$A$62,$AF$205^A93,IF(A93='Données projet'!$A$62,'Données projet'!$B$62,AI92+AH93-AQ92)))</f>
        <v>0</v>
      </c>
      <c r="AJ93" s="130">
        <f>AI93*VLOOKUP('Données projet'!$B$10,'Paramètres'!$A$1:$I$89,3,0)*VLOOKUP('Données projet'!$B$10,'Paramètres'!$A$1:$I$89,5,0)</f>
        <v>0</v>
      </c>
      <c r="AK93" s="130" t="str">
        <f t="shared" si="36"/>
        <v>#NUM!</v>
      </c>
      <c r="AL93" s="141" t="str">
        <f t="shared" si="5"/>
        <v>#NUM!</v>
      </c>
      <c r="AM93" s="133" t="str">
        <f t="shared" si="6"/>
        <v>#NUM!</v>
      </c>
      <c r="AN93" s="133">
        <f>AVERAGE(OFFSET($AM$3,0,0,'Données projet'!$E$10+1,1))-AVERAGE(OFFSET($H$3,0,0,'Données projet'!$E$10+1,1))</f>
        <v>196.874484</v>
      </c>
      <c r="AO93" s="133">
        <f t="shared" si="37"/>
        <v>217.5750859</v>
      </c>
      <c r="AP93" s="134">
        <f>IF(ISNA(VLOOKUP(A93,'Données projet'!$A$61:$I$81,3,0)),0,VLOOKUP(A93,'Données projet'!$A$61:$I$81,3,0))</f>
        <v>0</v>
      </c>
      <c r="AQ93" s="134">
        <f>IF(ISNA(VLOOKUP(A93,'Données projet'!$A$61:$I$81,4,0)),0,VLOOKUP(A93,'Données projet'!$A$61:$I$81,4,0))</f>
        <v>0</v>
      </c>
      <c r="AR93" s="135">
        <f>IF(ISNA(VLOOKUP(A93,'Données projet'!$A$61:$I$81,5,0)),0%,VLOOKUP(A93,'Données projet'!$A$61:$I$81,5,0)*VLOOKUP('Données projet'!$B$10,'Paramètres'!$A$1:$I$89,7,0))</f>
        <v>0</v>
      </c>
      <c r="AS93" s="135">
        <f>IF(ISNA(VLOOKUP(A93,'Données projet'!$A$61:$I$81,6,0)),0%,VLOOKUP(A93,'Données projet'!$A$61:$I$81,6,0)*VLOOKUP('Données projet'!$B$10,'Paramètres'!$A$1:$I$89,7,0))</f>
        <v>0</v>
      </c>
      <c r="AT93" s="135">
        <f>IF(ISNA(VLOOKUP(A93,'Données projet'!$A$61:$I$81,7,0)),0%,VLOOKUP(A93,'Données projet'!$A$61:$I$81,7,0))</f>
        <v>0</v>
      </c>
      <c r="AU93" s="142">
        <f>EXP(-LN(2)/35)*AU92+(1-EXP(-LN(2)/35))/(LN(2)/35)*AQ93*AR93*VLOOKUP('Données projet'!$B$10,'Paramètres'!$A$1:$I$89,3,0)*0.475*44/12</f>
        <v>81.51258043</v>
      </c>
      <c r="AV93" s="142">
        <f>EXP(-LN(2)/25)*AV92+(1-EXP(-LN(2)/25))/(LN(2)/25)*Calculateur!AQ93*Calculateur!AS93*VLOOKUP('Données projet'!$B$10,'Paramètres'!$A$1:$I$89,3,0)*0.475*44/12</f>
        <v>15.55214703</v>
      </c>
      <c r="AW93" s="142">
        <f>EXP(-LN(2)/2)*AW92+(1-EXP(-LN(2)/2))/(LN(2)/2)*AQ93*AT93*VLOOKUP('Données projet'!$B$10,'Paramètres'!$A$1:$I$89,3,0)*0.475*44/12</f>
        <v>0.0008079580816</v>
      </c>
      <c r="AX93" s="142">
        <f t="shared" si="7"/>
        <v>97.06553541</v>
      </c>
      <c r="AY93" s="13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1" t="str">
        <f>VLOOKUP(A93,'Données projet'!$A$87:$I$107,2,0)</f>
        <v>#N/A</v>
      </c>
      <c r="BB93" s="131" t="str">
        <f>VLOOKUP(A93,'Données projet'!$A$87:$I$107,9,0)</f>
        <v>#N/A</v>
      </c>
      <c r="BC93" s="131" t="str">
        <f t="array" ref="BC93">INDEX(BB:BB,MIN(IF(ISNUMBER(BB93:BB289),ROW(BB93:BB289),"")))</f>
        <v/>
      </c>
      <c r="BD93" s="130">
        <f>IF('Données projet'!$A$88&gt;35,BD92+BC93-BL92,IF(A93&lt;'Données projet'!$A$88,$BA$205^A93,IF(A93='Données projet'!$A$88,'Données projet'!$B$88,BD92+BC93-BL92)))</f>
        <v>0</v>
      </c>
      <c r="BE93" s="130">
        <f>BD93*VLOOKUP('Données projet'!$B$11,'Paramètres'!$A$1:$I$89,3,0)*VLOOKUP('Données projet'!$B$11,'Paramètres'!$A$1:$I$89,5,0)</f>
        <v>0</v>
      </c>
      <c r="BF93" s="130" t="str">
        <f t="shared" si="38"/>
        <v>#NUM!</v>
      </c>
      <c r="BG93" s="141" t="str">
        <f t="shared" si="8"/>
        <v>#NUM!</v>
      </c>
      <c r="BH93" s="133" t="str">
        <f t="shared" si="9"/>
        <v>#NUM!</v>
      </c>
      <c r="BI93" s="133">
        <f>AVERAGE(OFFSET($BH$3,0,0,'Données projet'!$E$11+1,1))-AVERAGE(OFFSET($H$3,0,0,'Données projet'!$E$11+1,1))</f>
        <v>134.0948534</v>
      </c>
      <c r="BJ93" s="133">
        <f t="shared" si="39"/>
        <v>108.4102536</v>
      </c>
      <c r="BK93" s="134">
        <f>IF(ISNA(VLOOKUP(A93,'Données projet'!$A$87:$I$107,3,0)),0,VLOOKUP(A93,'Données projet'!$A$87:$I$107,3,0))</f>
        <v>0</v>
      </c>
      <c r="BL93" s="134">
        <f>IF(ISNA(VLOOKUP(A93,'Données projet'!$A$87:$I$107,4,0)),0,VLOOKUP(A93,'Données projet'!$A$87:$I$107,4,0))</f>
        <v>0</v>
      </c>
      <c r="BM93" s="135">
        <f>IF(ISNA(VLOOKUP(A93,'Données projet'!$A$87:$I$107,5,0)),0%,VLOOKUP(A93,'Données projet'!$A$87:$I$107,5,0)*VLOOKUP('Données projet'!$B$11,'Paramètres'!$A$1:$I$89,7,0))</f>
        <v>0</v>
      </c>
      <c r="BN93" s="135">
        <f>IF(ISNA(VLOOKUP(A93,'Données projet'!$A$87:$I$107,6,0)),0%,VLOOKUP(A93,'Données projet'!$A$87:$I$107,6,0)*VLOOKUP('Données projet'!$B$11,'Paramètres'!$A$1:$I$89,7,0))</f>
        <v>0</v>
      </c>
      <c r="BO93" s="135">
        <f>IF(ISNA(VLOOKUP(A93,'Données projet'!$A$87:$I$107,7,0)),0%,VLOOKUP(A93,'Données projet'!$A$87:$I$107,7,0))</f>
        <v>0</v>
      </c>
      <c r="BP93" s="142">
        <f>EXP(-LN(2)/35)*BP92+(1-EXP(-LN(2)/35))/(LN(2)/35)*BL93*BM93*VLOOKUP('Données projet'!$B$11,'Paramètres'!$A$1:$I$89,3,0)*0.475*44/12</f>
        <v>112.7471219</v>
      </c>
      <c r="BQ93" s="142">
        <f>EXP(-LN(2)/25)*BQ92+(1-EXP(-LN(2)/25))/(LN(2)/25)*Calculateur!BL93*Calculateur!BN93*VLOOKUP('Données projet'!$B$11,'Paramètres'!$A$1:$I$89,3,0)*0.475*44/12</f>
        <v>9.810307697</v>
      </c>
      <c r="BR93" s="142">
        <f>EXP(-LN(2)/2)*BR92+(1-EXP(-LN(2)/2))/(LN(2)/2)*BL93*BO93*VLOOKUP('Données projet'!$B$11,'Paramètres'!$A$1:$I$89,3,0)*0.475*44/12</f>
        <v>0.01077700129</v>
      </c>
      <c r="BS93" s="143">
        <f t="shared" si="10"/>
        <v>122.5682066</v>
      </c>
      <c r="BT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1" t="str">
        <f>VLOOKUP(A93,'Données projet'!$A$113:$I$133,2,0)</f>
        <v>#N/A</v>
      </c>
      <c r="BW93" s="131" t="str">
        <f>VLOOKUP(A93,'Données projet'!$A$113:$I$133,9,0)</f>
        <v>#N/A</v>
      </c>
      <c r="BX93" s="131" t="str">
        <f t="array" ref="BX93">INDEX(BW:BW,MIN(IF(ISNUMBER(BW93:BW289),ROW(BW93:BW289),"")))</f>
        <v/>
      </c>
      <c r="BY93" s="130">
        <f>IF('Données projet'!$A$114&gt;35,BY92+BX93-CG92,IF(A93&lt;'Données projet'!$A$114,$BV$205^A93,IF(A93='Données projet'!$A$114,'Données projet'!$B$114,BY92+BX93-CG92)))</f>
        <v>0</v>
      </c>
      <c r="BZ93" s="130">
        <f>BY93*VLOOKUP('Données projet'!$B$12,'Paramètres'!$A$1:$I$89,3,0)*VLOOKUP('Données projet'!$B$12,'Paramètres'!$A$1:$I$89,5,0)</f>
        <v>0</v>
      </c>
      <c r="CA93" s="130" t="str">
        <f t="shared" si="40"/>
        <v>#NUM!</v>
      </c>
      <c r="CB93" s="141" t="str">
        <f t="shared" si="11"/>
        <v>#NUM!</v>
      </c>
      <c r="CC93" s="133" t="str">
        <f t="shared" si="12"/>
        <v>#NUM!</v>
      </c>
      <c r="CD93" s="133">
        <f>AVERAGE(OFFSET($CC$3,0,0,'Données projet'!$E$12+1,1))-AVERAGE(OFFSET($H$3,0,0,'Données projet'!$E$12+1,1))</f>
        <v>258.1672054</v>
      </c>
      <c r="CE93" s="133">
        <f t="shared" si="41"/>
        <v>296.0724261</v>
      </c>
      <c r="CF93" s="134">
        <f>IF(ISNA(VLOOKUP(A93,'Données projet'!$A$113:$I$133,3,0)),0,VLOOKUP(A93,'Données projet'!$A$113:$I$133,3,0))</f>
        <v>0</v>
      </c>
      <c r="CG93" s="134">
        <f>IF(ISNA(VLOOKUP(A93,'Données projet'!$A$113:$I$133,4,0)),0,VLOOKUP(A93,'Données projet'!$A$113:$I$133,4,0))</f>
        <v>0</v>
      </c>
      <c r="CH93" s="135">
        <f>IF(ISNA(VLOOKUP(A93,'Données projet'!$A$113:$I$133,5,0)),0%,VLOOKUP(A93,'Données projet'!$A$113:$I$133,5,0)*VLOOKUP('Données projet'!$B$12,'Paramètres'!$A$1:$I$89,7,0))</f>
        <v>0</v>
      </c>
      <c r="CI93" s="135">
        <f>IF(ISNA(VLOOKUP(A93,'Données projet'!$A$113:$I$133,6,0)),0%,VLOOKUP(A93,'Données projet'!$A$113:$I$133,6,0)*VLOOKUP('Données projet'!$B$12,'Paramètres'!$A$1:$I$89,7,0))</f>
        <v>0</v>
      </c>
      <c r="CJ93" s="135">
        <f>IF(ISNA(VLOOKUP(A93,'Données projet'!$A$113:$I$133,7,0)),0%,VLOOKUP(A93,'Données projet'!$A$113:$I$133,7,0))</f>
        <v>0</v>
      </c>
      <c r="CK93" s="142">
        <f>EXP(-LN(2)/35)*CK92+(1-EXP(-LN(2)/35))/(LN(2)/35)*CG93*CH93*VLOOKUP('Données projet'!$B$12,'Paramètres'!$A$1:$I$89,3,0)*0.475*44/12</f>
        <v>142.5468528</v>
      </c>
      <c r="CL93" s="142">
        <f>EXP(-LN(2)/25)*CL92+(1-EXP(-LN(2)/25))/(LN(2)/25)*Calculateur!CG93*Calculateur!CI93*VLOOKUP('Données projet'!$B$12,'Paramètres'!$A$1:$I$89,3,0)*0.475*44/12</f>
        <v>17.20783661</v>
      </c>
      <c r="CM93" s="142">
        <f>EXP(-LN(2)/2)*CM92+(1-EXP(-LN(2)/2))/(LN(2)/2)*CG93*CJ93*VLOOKUP('Données projet'!$B$12,'Paramètres'!$A$1:$I$89,3,0)*0.475*44/12</f>
        <v>0.0004540223444</v>
      </c>
      <c r="CN93" s="143">
        <f t="shared" si="13"/>
        <v>159.7551435</v>
      </c>
      <c r="CO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8">
        <f>VLOOKUP(A93,'Données projet'!$A$139:$I$159,2,0)</f>
        <v>207</v>
      </c>
      <c r="CR93" s="130">
        <f>VLOOKUP(A93,'Données projet'!$A$139:$I$159,9,0)</f>
        <v>4.2</v>
      </c>
      <c r="CS93" s="130">
        <f t="array" ref="CS93">INDEX(CR:CR,MIN(IF(ISNUMBER(CR93:CR289),ROW(CR93:CR289),"")))</f>
        <v>4.2</v>
      </c>
      <c r="CT93" s="138">
        <f>IF('Données projet'!$A$140&gt;35,CT92+CS93-DB92,IF(A93&lt;'Données projet'!$A$140,$CQ$205^A93,IF(A93='Données projet'!$A$140,'Données projet'!$B$140,CT92+CS93-DB92)))</f>
        <v>207</v>
      </c>
      <c r="CU93" s="138">
        <f>CT93*VLOOKUP('Données projet'!$B$13,'Paramètres'!$A$1:$I$89,3,0)*VLOOKUP('Données projet'!$B$13,'Paramètres'!$A$1:$I$89,5,0)</f>
        <v>209.898</v>
      </c>
      <c r="CV93" s="130">
        <f t="shared" si="42"/>
        <v>51.9132955</v>
      </c>
      <c r="CW93" s="141">
        <f t="shared" si="14"/>
        <v>455.9880063</v>
      </c>
      <c r="CX93" s="133">
        <f t="shared" si="15"/>
        <v>749.3213397</v>
      </c>
      <c r="CY93" s="133">
        <f>AVERAGE(OFFSET($CX$3,0,0,'Données projet'!$E$13+1,1))-AVERAGE(OFFSET($H$3,0,0,'Données projet'!$E$13+1,1))</f>
        <v>223.783507</v>
      </c>
      <c r="CZ93" s="133">
        <f t="shared" si="43"/>
        <v>84.92349117</v>
      </c>
      <c r="DA93" s="134">
        <f>IF(ISNA(VLOOKUP(A93,'Données projet'!$A$139:$I$159,3,0)),0,VLOOKUP(A93,'Données projet'!$A$139:$I$159,3,0))</f>
        <v>14</v>
      </c>
      <c r="DB93" s="144">
        <f>IF(ISNA(VLOOKUP(A93,'Données projet'!$A$139:$I$159,4,0)),0,VLOOKUP(A93,'Données projet'!$A$139:$I$159,4,0))</f>
        <v>14</v>
      </c>
      <c r="DC93" s="135">
        <f>IF(ISNA(VLOOKUP(A93,'Données projet'!$A$139:$I$159,5,0)),0%,VLOOKUP(A93,'Données projet'!$A$139:$I$159,5,0)*VLOOKUP('Données projet'!$B$13,'Paramètres'!$A$1:$I$89,7,0))</f>
        <v>0.258</v>
      </c>
      <c r="DD93" s="135">
        <f>IF(ISNA(VLOOKUP(A93,'Données projet'!$A$139:$I$159,6,0)),0%,VLOOKUP(A93,'Données projet'!$A$139:$I$159,6,0)*VLOOKUP('Données projet'!$B$13,'Paramètres'!$A$1:$I$89,7,0))</f>
        <v>0</v>
      </c>
      <c r="DE93" s="135" t="str">
        <f>IF(ISNA(VLOOKUP(A93,'Données projet'!$A$139:$I$159,7,0)),0%,VLOOKUP(A93,'Données projet'!$A$139:$I$159,7,0))</f>
        <v/>
      </c>
      <c r="DF93" s="142">
        <f>EXP(-LN(2)/35)*DF92+(1-EXP(-LN(2)/35))/(LN(2)/35)*DB93*DC93*VLOOKUP('Données projet'!$B$13,'Paramètres'!$A$1:$I$89,3,0)*0.475*44/12</f>
        <v>19.74698435</v>
      </c>
      <c r="DG93" s="142">
        <f>EXP(-LN(2)/25)*DG92+(1-EXP(-LN(2)/25))/(LN(2)/25)*Calculateur!DB93*Calculateur!DD93*VLOOKUP('Données projet'!$B$13,'Paramètres'!$A$1:$I$89,3,0)*0.475*44/12</f>
        <v>0</v>
      </c>
      <c r="DH93" s="142">
        <f>EXP(-LN(2)/2)*DH92+(1-EXP(-LN(2)/2))/(LN(2)/2)*DB93*DE93*VLOOKUP('Données projet'!$B$13,'Paramètres'!$A$1:$I$89,3,0)*0.475*44/12</f>
        <v>0</v>
      </c>
      <c r="DI93" s="143">
        <f t="shared" si="16"/>
        <v>19.74698435</v>
      </c>
      <c r="DJ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8">
        <f>VLOOKUP(A93,'Données projet'!$A$165:$I$185,2,0)</f>
        <v>275</v>
      </c>
      <c r="DM93" s="131">
        <f>VLOOKUP(A93,'Données projet'!$A$165:$I$185,9,0)</f>
        <v>5.4</v>
      </c>
      <c r="DN93" s="131">
        <f t="array" ref="DN93">INDEX(DM:DM,MIN(IF(ISNUMBER(DM93:DM289),ROW(DM93:DM289),"")))</f>
        <v>5.4</v>
      </c>
      <c r="DO93" s="138">
        <f>IF('Données projet'!$A$166&gt;35,DO92+DN93-DW92,IF(A93&lt;'Données projet'!$A$166,$DL$205^A93,IF(A93='Données projet'!$A$166,'Données projet'!$B$166,DO92+DN93-DW92)))</f>
        <v>275</v>
      </c>
      <c r="DP93" s="138">
        <f>DO93*VLOOKUP('Données projet'!$B$14,'Paramètres'!$A$1:$I$89,3,0)*VLOOKUP('Données projet'!$B$14,'Paramètres'!$A$1:$I$89,5,0)</f>
        <v>248.82</v>
      </c>
      <c r="DQ93" s="130">
        <f t="shared" si="44"/>
        <v>60.33319208</v>
      </c>
      <c r="DR93" s="141">
        <f t="shared" si="17"/>
        <v>538.4418095</v>
      </c>
      <c r="DS93" s="133">
        <f t="shared" si="18"/>
        <v>831.7751429</v>
      </c>
      <c r="DT93" s="133">
        <f>AVERAGE(OFFSET($DS$3,0,0,'Données projet'!$E$14+1,1))-AVERAGE(OFFSET($H$3,0,0,'Données projet'!$E$14+1,1))</f>
        <v>287.9334714</v>
      </c>
      <c r="DU93" s="133">
        <f t="shared" si="45"/>
        <v>156.6796502</v>
      </c>
      <c r="DV93" s="134">
        <f>IF(ISNA(VLOOKUP(A93,'Données projet'!$A$165:$I$185,3,0)),0,VLOOKUP(A93,'Données projet'!$A$165:$I$185,3,0))</f>
        <v>15</v>
      </c>
      <c r="DW93" s="144">
        <f>IF(ISNA(VLOOKUP(A93,'Données projet'!$A$165:$I$185,4,0)),0,VLOOKUP(A93,'Données projet'!$A$165:$I$185,4,0))</f>
        <v>21</v>
      </c>
      <c r="DX93" s="135">
        <f>IF(ISNA(VLOOKUP(A93,'Données projet'!$A$165:$I$185,5,0)),0%,VLOOKUP(A93,'Données projet'!$A$165:$I$185,5,0)*VLOOKUP('Données projet'!$B$14,'Paramètres'!$A$1:$I$89,7,0))</f>
        <v>0.301</v>
      </c>
      <c r="DY93" s="135">
        <f>IF(ISNA(VLOOKUP(A93,'Données projet'!$A$165:$I$185,6,0)),0%,VLOOKUP(A93,'Données projet'!$A$165:$I$185,6,0)*VLOOKUP('Données projet'!$B$14,'Paramètres'!$A$1:$I$89,7,0))</f>
        <v>0</v>
      </c>
      <c r="DZ93" s="135" t="str">
        <f>IF(ISNA(VLOOKUP(A93,'Données projet'!$A$165:$I$185,7,0)),0%,VLOOKUP(A93,'Données projet'!$A$165:$I$185,7,0))</f>
        <v/>
      </c>
      <c r="EA93" s="142">
        <f>EXP(-LN(2)/35)*EA92+(1-EXP(-LN(2)/35))/(LN(2)/35)*DW93*DX93*VLOOKUP('Données projet'!$B$14,'Paramètres'!$A$1:$I$89,3,0)*0.475*44/12</f>
        <v>30.26125221</v>
      </c>
      <c r="EB93" s="142">
        <f>EXP(-LN(2)/25)*EB92+(1-EXP(-LN(2)/25))/(LN(2)/25)*Calculateur!DW93*Calculateur!DY93*VLOOKUP('Données projet'!$B$14,'Paramètres'!$A$1:$I$89,3,0)*0.475*44/12</f>
        <v>0</v>
      </c>
      <c r="EC93" s="142">
        <f>EXP(-LN(2)/2)*EC92+(1-EXP(-LN(2)/2))/(LN(2)/2)*DW93*DZ93*VLOOKUP('Données projet'!$B$14,'Paramètres'!$A$1:$I$89,3,0)*0.475*44/12</f>
        <v>0</v>
      </c>
      <c r="ED93" s="143">
        <f t="shared" si="19"/>
        <v>30.26125221</v>
      </c>
      <c r="EE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1" t="str">
        <f>VLOOKUP(A93,'Données projet'!$A$191:$I$211,2,0)</f>
        <v>#N/A</v>
      </c>
      <c r="EH93" s="131" t="str">
        <f>VLOOKUP(A93,'Données projet'!$A$191:$I$211,9,0)</f>
        <v>#N/A</v>
      </c>
      <c r="EI93" s="131" t="str">
        <f t="array" ref="EI93">INDEX(EH:EH,MIN(IF(ISNUMBER(EH93:EH289),ROW(EH93:EH289),"")))</f>
        <v/>
      </c>
      <c r="EJ93" s="138">
        <f>IF('Données projet'!$A$192&gt;35,EJ92+EI93-ER92,IF(A93&lt;'Données projet'!$A$192,$EG$205^A93,IF(A93='Données projet'!$A$192,'Données projet'!$B$192,EJ92+EI93-ER92)))</f>
        <v>0</v>
      </c>
      <c r="EK93" s="138">
        <f>EJ93*VLOOKUP('Données projet'!$B$15,'Paramètres'!$A$1:$I$89,3,0)*VLOOKUP('Données projet'!$B$15,'Paramètres'!$A$1:$I$89,5,0)</f>
        <v>0</v>
      </c>
      <c r="EL93" s="130" t="str">
        <f t="shared" si="46"/>
        <v>#NUM!</v>
      </c>
      <c r="EM93" s="141" t="str">
        <f t="shared" si="20"/>
        <v>#NUM!</v>
      </c>
      <c r="EN93" s="133" t="str">
        <f t="shared" si="21"/>
        <v>#NUM!</v>
      </c>
      <c r="EO93" s="133">
        <f>AVERAGE(OFFSET($EN$3,0,0,'Données projet'!$E$15+1,1))-AVERAGE(OFFSET($H$3,0,0,'Données projet'!$E$15+1,1))</f>
        <v>130.3193339</v>
      </c>
      <c r="EP93" s="133">
        <f t="shared" si="47"/>
        <v>82.22784365</v>
      </c>
      <c r="EQ93" s="134">
        <f>IF(ISNA(VLOOKUP(A93,'Données projet'!$A$191:$I$211,3,0)),0,VLOOKUP(A93,'Données projet'!$A$191:$I$211,3,0))</f>
        <v>0</v>
      </c>
      <c r="ER93" s="134">
        <f>IF(ISNA(VLOOKUP(A93,'Données projet'!$A$191:$I$211,4,0)),0,VLOOKUP(A93,'Données projet'!$A$191:$I$211,4,0))</f>
        <v>0</v>
      </c>
      <c r="ES93" s="135">
        <f>IF(ISNA(VLOOKUP(A93,'Données projet'!$A$191:$I$211,5,0)),0%,VLOOKUP(A93,'Données projet'!$A$191:$I$211,5,0)*VLOOKUP('Données projet'!$B$15,'Paramètres'!$A$1:$I$89,7,0))</f>
        <v>0</v>
      </c>
      <c r="ET93" s="135">
        <f>IF(ISNA(VLOOKUP(A93,'Données projet'!$A$191:$I$211,6,0)),0%,VLOOKUP(A93,'Données projet'!$A$191:$I$211,6,0)*VLOOKUP('Données projet'!$B$15,'Paramètres'!$A$1:$I$89,7,0))</f>
        <v>0</v>
      </c>
      <c r="EU93" s="135">
        <f>IF(ISNA(VLOOKUP(A93,'Données projet'!$A$191:$I$211,7,0)),0%,VLOOKUP(A93,'Données projet'!$A$191:$I$211,7,0))</f>
        <v>0</v>
      </c>
      <c r="EV93" s="142">
        <f>EXP(-LN(2)/35)*EV92+(1-EXP(-LN(2)/35))/(LN(2)/35)*ER93*ES93*VLOOKUP('Données projet'!$B$15,'Paramètres'!$A$1:$I$89,3,0)*0.475*44/12</f>
        <v>87.1644516</v>
      </c>
      <c r="EW93" s="142">
        <f>EXP(-LN(2)/25)*EW92+(1-EXP(-LN(2)/25))/(LN(2)/25)*Calculateur!ER93*Calculateur!ET93*VLOOKUP('Données projet'!$B$15,'Paramètres'!$A$1:$I$89,3,0)*0.475*44/12</f>
        <v>0</v>
      </c>
      <c r="EX93" s="142">
        <f>EXP(-LN(2)/2)*EX92+(1-EXP(-LN(2)/2))/(LN(2)/2)*ER93*EU93*VLOOKUP('Données projet'!$B$15,'Paramètres'!$A$1:$I$89,3,0)*0.475*44/12</f>
        <v>0</v>
      </c>
      <c r="EY93" s="143">
        <f t="shared" si="22"/>
        <v>87.1644516</v>
      </c>
      <c r="EZ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1" t="str">
        <f>VLOOKUP(A93,'Données projet'!$A$217:$I$237,2,0)</f>
        <v>#N/A</v>
      </c>
      <c r="FC93" s="131" t="str">
        <f>VLOOKUP(A93,'Données projet'!$A$217:$I$237,9,0)</f>
        <v>#N/A</v>
      </c>
      <c r="FD93" s="131" t="str">
        <f t="array" ref="FD93">INDEX(FC:FC,MIN(IF(ISNUMBER(FC93:FC289),ROW(FC93:FC289),"")))</f>
        <v/>
      </c>
      <c r="FE93" s="130">
        <f>IF('Données projet'!$A$218&gt;35,FE92+FD93-FM92,IF(A93&lt;'Données projet'!$A$218,$FB$205^A93,IF(A93='Données projet'!$A$218,'Données projet'!$B$218,FE92+FD93-FM92)))</f>
        <v>0</v>
      </c>
      <c r="FF93" s="138">
        <f>FE93*VLOOKUP('Données projet'!$B$16,'Paramètres'!$A$1:$I$89,3,0)*VLOOKUP('Données projet'!$B$16,'Paramètres'!$A$1:$I$89,5,0)</f>
        <v>0</v>
      </c>
      <c r="FG93" s="130">
        <f t="shared" si="48"/>
        <v>0</v>
      </c>
      <c r="FH93" s="141">
        <f t="shared" si="23"/>
        <v>0</v>
      </c>
      <c r="FI93" s="133">
        <f t="shared" si="24"/>
        <v>293.3333333</v>
      </c>
      <c r="FJ93" s="133">
        <f>AVERAGE(OFFSET($FI$3,0,0,'Données projet'!$E$16+1,1))-AVERAGE(OFFSET($H$3,0,0,'Données projet'!$E$16+1,1))</f>
        <v>305.6252353</v>
      </c>
      <c r="FK93" s="133">
        <f t="shared" si="49"/>
        <v>331.397916</v>
      </c>
      <c r="FL93" s="134">
        <f>IF(ISNA(VLOOKUP(A93,'Données projet'!$A$217:$I$237,3,0)),0,VLOOKUP(A93,'Données projet'!$A$217:$I$237,3,0))</f>
        <v>0</v>
      </c>
      <c r="FM93" s="134">
        <f>IF(ISNA(VLOOKUP(A93,'Données projet'!$A$217:$I$237,4,0)),0,VLOOKUP(A93,'Données projet'!$A$217:$I$237,4,0))</f>
        <v>0</v>
      </c>
      <c r="FN93" s="135">
        <f>IF(ISNA(VLOOKUP(A93,'Données projet'!$A$217:$I$237,5,0)),0%,VLOOKUP(A93,'Données projet'!$A$217:$I$237,5,0)*VLOOKUP('Données projet'!$B$16,'Paramètres'!$A$1:$I$89,7,0))</f>
        <v>0</v>
      </c>
      <c r="FO93" s="135">
        <f>IF(ISNA(VLOOKUP(A93,'Données projet'!$A$217:$I$237,6,0)),0%,VLOOKUP(A93,'Données projet'!$A$217:$I$237,6,0)*VLOOKUP('Données projet'!$B$16,'Paramètres'!$A$1:$I$89,7,0))</f>
        <v>0</v>
      </c>
      <c r="FP93" s="135">
        <f>IF(ISNA(VLOOKUP(A93,'Données projet'!$A$217:$I$237,7,0)),0%,VLOOKUP(A93,'Données projet'!$A$217:$I$237,7,0))</f>
        <v>0</v>
      </c>
      <c r="FQ93" s="142">
        <f>EXP(-LN(2)/35)*FQ92+(1-EXP(-LN(2)/35))/(LN(2)/35)*FM93*FN93*VLOOKUP('Données projet'!$B$16,'Paramètres'!$A$1:$I$89,3,0)*0.475*44/12</f>
        <v>54.2711925</v>
      </c>
      <c r="FR93" s="142">
        <f>EXP(-LN(2)/25)*FR92+(1-EXP(-LN(2)/25))/(LN(2)/25)*Calculateur!FM93*Calculateur!FO93*VLOOKUP('Données projet'!$B$16,'Paramètres'!$A$1:$I$89,3,0)*0.475*44/12</f>
        <v>0</v>
      </c>
      <c r="FS93" s="142">
        <f>EXP(-LN(2)/2)*FS92+(1-EXP(-LN(2)/2))/(LN(2)/2)*FM93*FP93*VLOOKUP('Données projet'!$B$16,'Paramètres'!$A$1:$I$89,3,0)*0.475*44/12</f>
        <v>0</v>
      </c>
      <c r="FT93" s="143">
        <f t="shared" si="25"/>
        <v>54.2711925</v>
      </c>
      <c r="FU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1" t="str">
        <f>VLOOKUP(A93,'Données projet'!$A$243:$I$263,2,0)</f>
        <v>#N/A</v>
      </c>
      <c r="FX93" s="131" t="str">
        <f>VLOOKUP(A93,'Données projet'!$A$243:$I$263,9,0)</f>
        <v>#N/A</v>
      </c>
      <c r="FY93" s="131" t="str">
        <f t="array" ref="FY93">INDEX(FX:FX,MIN(IF(ISNUMBER(FX93:FX289),ROW(FX93:FX289),"")))</f>
        <v/>
      </c>
      <c r="FZ93" s="138">
        <f>IF('Données projet'!$A$244&gt;35,FZ92+FY93-GH92,IF(A93&lt;'Données projet'!$A$244,$FW$205^A93,IF(A93='Données projet'!$A$244,'Données projet'!$B$244,FZ92+FY93-GH92)))</f>
        <v>0</v>
      </c>
      <c r="GA93" s="138">
        <f>FZ93*VLOOKUP('Données projet'!$B$17,'Paramètres'!$A$1:$I$89,3,0)*VLOOKUP('Données projet'!$B$17,'Paramètres'!$A$1:$I$89,5,0)</f>
        <v>0</v>
      </c>
      <c r="GB93" s="130">
        <f t="shared" si="50"/>
        <v>0</v>
      </c>
      <c r="GC93" s="141">
        <f t="shared" si="26"/>
        <v>0</v>
      </c>
      <c r="GD93" s="133">
        <f t="shared" si="27"/>
        <v>293.3333333</v>
      </c>
      <c r="GE93" s="133">
        <f>AVERAGE(OFFSET($GD$3,0,0,'Données projet'!$E$17+1,1))-AVERAGE(OFFSET($H$3,0,0,'Données projet'!$E$17+1,1))</f>
        <v>118.7368745</v>
      </c>
      <c r="GF93" s="133">
        <f t="shared" si="51"/>
        <v>135.1233677</v>
      </c>
      <c r="GG93" s="134">
        <f>IF(ISNA(VLOOKUP(A93,'Données projet'!$A$243:$I$263,3,0)),0,VLOOKUP(A93,'Données projet'!$A$243:$I$263,3,0))</f>
        <v>0</v>
      </c>
      <c r="GH93" s="134">
        <f>IF(ISNA(VLOOKUP(A93,'Données projet'!$A$243:$I$263,4,0)),0,VLOOKUP(A93,'Données projet'!$A$243:$I$263,4,0))</f>
        <v>0</v>
      </c>
      <c r="GI93" s="135">
        <f>IF(ISNA(VLOOKUP(A93,'Données projet'!$A$243:$I$263,5,0)),0%,VLOOKUP(A93,'Données projet'!$A$243:$I$263,5,0)*VLOOKUP('Données projet'!$B$17,'Paramètres'!$A$1:$I$89,7,0))</f>
        <v>0</v>
      </c>
      <c r="GJ93" s="135">
        <f>IF(ISNA(VLOOKUP(A93,'Données projet'!$A$243:$I$263,6,0)),0%,VLOOKUP(A93,'Données projet'!$A$243:$I$263,6,0)*VLOOKUP('Données projet'!$B$17,'Paramètres'!$A$1:$I$89,7,0))</f>
        <v>0</v>
      </c>
      <c r="GK93" s="135">
        <f>IF(ISNA(VLOOKUP(A93,'Données projet'!$A$243:$I$263,7,0)),0%,VLOOKUP(A93,'Données projet'!$A$243:$I$263,7,0))</f>
        <v>0</v>
      </c>
      <c r="GL93" s="142">
        <f>EXP(-LN(2)/35)*GL92+(1-EXP(-LN(2)/35))/(LN(2)/35)*GH93*GI93*VLOOKUP('Données projet'!$B$17,'Paramètres'!$A$1:$I$89,3,0)*0.475*44/12</f>
        <v>57.33734704</v>
      </c>
      <c r="GM93" s="142">
        <f>EXP(-LN(2)/25)*GM92+(1-EXP(-LN(2)/25))/(LN(2)/25)*Calculateur!GH93*Calculateur!GJ93*VLOOKUP('Données projet'!$B$17,'Paramètres'!$A$1:$I$89,3,0)*0.475*44/12</f>
        <v>0</v>
      </c>
      <c r="GN93" s="142">
        <f>EXP(-LN(2)/2)*GN92+(1-EXP(-LN(2)/2))/(LN(2)/2)*GH93*GK93*VLOOKUP('Données projet'!$B$17,'Paramètres'!$A$1:$I$89,3,0)*0.475*44/12</f>
        <v>0</v>
      </c>
      <c r="GO93" s="142">
        <f t="shared" si="28"/>
        <v>57.33734704</v>
      </c>
      <c r="GP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1" t="str">
        <f>VLOOKUP(A93,'Données projet'!$A$269:$I$289,2,0)</f>
        <v>#N/A</v>
      </c>
      <c r="GS93" s="131" t="str">
        <f>VLOOKUP(A93,'Données projet'!$A$269:$I$289,9,0)</f>
        <v>#N/A</v>
      </c>
      <c r="GT93" s="131" t="str">
        <f t="array" ref="GT93">INDEX(GS:GS,MIN(IF(ISNUMBER(GS93:GS289),ROW(GS93:GS289),"")))</f>
        <v/>
      </c>
      <c r="GU93" s="138">
        <f>IF('Données projet'!$A$270&gt;35,GU92+GT93-HC92,IF(A93&lt;'Données projet'!$A$270,$GR$205^A93,IF(A93='Données projet'!$A$270,'Données projet'!$B$270,GU92+GT93-HC92)))</f>
        <v>0</v>
      </c>
      <c r="GV93" s="138">
        <f>GU93*VLOOKUP('Données projet'!$B$18,'Paramètres'!$A$1:$I$89,3,0)*VLOOKUP('Données projet'!$B$18,'Paramètres'!$A$1:$I$89,5,0)</f>
        <v>0</v>
      </c>
      <c r="GW93" s="130" t="str">
        <f t="shared" si="52"/>
        <v>#NUM!</v>
      </c>
      <c r="GX93" s="141" t="str">
        <f t="shared" si="29"/>
        <v>#NUM!</v>
      </c>
      <c r="GY93" s="133" t="str">
        <f t="shared" si="30"/>
        <v>#NUM!</v>
      </c>
      <c r="GZ93" s="133">
        <f>AVERAGE(OFFSET($GY$3,0,0,'Données projet'!$E$18+1,1))-AVERAGE(OFFSET($H$3,0,0,'Données projet'!$E$18+1,1))</f>
        <v>100.5427875</v>
      </c>
      <c r="HA93" s="133">
        <f t="shared" si="53"/>
        <v>92.28663609</v>
      </c>
      <c r="HB93" s="134">
        <f>IF(ISNA(VLOOKUP(A93,'Données projet'!$A$269:$I$289,3,0)),0,VLOOKUP(A93,'Données projet'!$A$269:$I$289,3,0))</f>
        <v>0</v>
      </c>
      <c r="HC93" s="134">
        <f>IF(ISNA(VLOOKUP(A93,'Données projet'!$A$269:$I$289,4,0)),0,VLOOKUP(A93,'Données projet'!$A$269:$I$289,4,0))</f>
        <v>0</v>
      </c>
      <c r="HD93" s="135">
        <f>IF(ISNA(VLOOKUP(A93,'Données projet'!$A$269:$I$289,5,0)),0%,VLOOKUP(A93,'Données projet'!$A$269:$I$289,5,0)*VLOOKUP('Données projet'!$B$18,'Paramètres'!$A$1:$I$89,7,0))</f>
        <v>0</v>
      </c>
      <c r="HE93" s="135">
        <f>IF(ISNA(VLOOKUP(A93,'Données projet'!$A$269:$I$289,6,0)),0%,VLOOKUP(A93,'Données projet'!$A$269:$I$289,6,0)*VLOOKUP('Données projet'!$B$18,'Paramètres'!$A$1:$I$89,7,0))</f>
        <v>0</v>
      </c>
      <c r="HF93" s="135">
        <f>IF(ISNA(VLOOKUP(A93,'Données projet'!$A$269:$I$289,7,0)),0%,VLOOKUP(A93,'Données projet'!$A$269:$I$289,7,0))</f>
        <v>0</v>
      </c>
      <c r="HG93" s="142">
        <f>EXP(-LN(2)/35)*HG92+(1-EXP(-LN(2)/35))/(LN(2)/35)*HC93*HD93*VLOOKUP('Données projet'!$B$18,'Paramètres'!$A$1:$I$89,3,0)*0.475*44/12</f>
        <v>39.04552374</v>
      </c>
      <c r="HH93" s="142">
        <f>EXP(-LN(2)/25)*HH92+(1-EXP(-LN(2)/25))/(LN(2)/25)*Calculateur!HC93*Calculateur!HE93*VLOOKUP('Données projet'!$B$18,'Paramètres'!$A$1:$I$89,3,0)*0.475*44/12</f>
        <v>0</v>
      </c>
      <c r="HI93" s="142">
        <f>EXP(-LN(2)/2)*HI92+(1-EXP(-LN(2)/2))/(LN(2)/2)*HC93*HF93*VLOOKUP('Données projet'!$B$18,'Paramètres'!$A$1:$I$89,3,0)*0.475*44/12</f>
        <v>0</v>
      </c>
      <c r="HJ93" s="143">
        <f t="shared" si="31"/>
        <v>39.04552374</v>
      </c>
    </row>
    <row r="94" ht="15.75" customHeight="1">
      <c r="A94" s="125">
        <f t="shared" si="32"/>
        <v>91</v>
      </c>
      <c r="B94" s="126">
        <f>'Scénario référence'!$B$16*5+'Scénario référence'!$B$17*0+'Scénario référence'!$B$18*5</f>
        <v>0</v>
      </c>
      <c r="C94" s="140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49.686</v>
      </c>
      <c r="D94" s="127">
        <f t="shared" si="33"/>
        <v>14.53263809</v>
      </c>
      <c r="E9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7">
        <f>IF(OR('Scénario référence'!$F$8&gt;0,'Scénario référence'!$F$9&gt;0),('Scénario référence'!$F$8+'Scénario référence'!$F$9)*10,0)</f>
        <v>10</v>
      </c>
      <c r="G94" s="127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</v>
      </c>
      <c r="H94" s="128">
        <f t="shared" si="1"/>
        <v>405.1807947</v>
      </c>
      <c r="I94" s="12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1" t="str">
        <f>VLOOKUP(A94,'Données projet'!$A$35:$I$55,2,0)</f>
        <v>#N/A</v>
      </c>
      <c r="L94" s="131" t="str">
        <f>VLOOKUP(A94,'Données projet'!$A$35:$I$55,9,0)</f>
        <v>#N/A</v>
      </c>
      <c r="M94" s="131" t="str">
        <f t="array" ref="M94">INDEX(L:L,MIN(IF(ISNUMBER(L94:L290),ROW(L94:L290),"")))</f>
        <v/>
      </c>
      <c r="N94" s="130">
        <f>IF('Données projet'!$A$36&gt;35,N93+M94-V93,IF(A94&lt;'Données projet'!$A$36,$K$205^A94,IF(A94='Données projet'!$A$36,'Données projet'!$B$36,N93+M94-V93)))</f>
        <v>0</v>
      </c>
      <c r="O94" s="130">
        <f>N94*VLOOKUP('Données projet'!$B$9,'Paramètres'!$A$1:$I$89,3,0)*VLOOKUP('Données projet'!$B$9,'Paramètres'!$A$1:$I$89,5,0)</f>
        <v>0</v>
      </c>
      <c r="P94" s="130">
        <f t="shared" si="34"/>
        <v>0</v>
      </c>
      <c r="Q94" s="141">
        <f t="shared" si="2"/>
        <v>0</v>
      </c>
      <c r="R94" s="133">
        <f t="shared" si="3"/>
        <v>293.3333333</v>
      </c>
      <c r="S94" s="133">
        <f>AVERAGE(OFFSET($R$3,0,0,'Données projet'!$E$9+1,1))-AVERAGE(OFFSET($H$3,0,0,'Données projet'!$E$9+1,1))</f>
        <v>126.9946492</v>
      </c>
      <c r="T94" s="133">
        <f t="shared" si="35"/>
        <v>140.039049</v>
      </c>
      <c r="U94" s="134">
        <f>IF(ISNA(VLOOKUP(A94,'Données projet'!$A$35:$I$55,3,0)),0,VLOOKUP(A94,'Données projet'!$A$35:$I$55,3,0))</f>
        <v>0</v>
      </c>
      <c r="V94" s="134">
        <f>IF(ISNA(VLOOKUP(A94,'Données projet'!$A$35:$I$55,4,0)),0,VLOOKUP(A94,'Données projet'!$A$35:$I$55,4,0))</f>
        <v>0</v>
      </c>
      <c r="W94" s="135">
        <f>IF(ISNA(VLOOKUP(A94,'Données projet'!$A$35:$I$55,5,0)),0%,VLOOKUP(A94,'Données projet'!$A$35:$I$55,5,0)*VLOOKUP('Données projet'!$B$9,'Paramètres'!$A$1:$I$89,7,0))</f>
        <v>0</v>
      </c>
      <c r="X94" s="135">
        <f>IF(ISNA(VLOOKUP(A94,'Données projet'!$A$35:$I$55,6,0)),0%,VLOOKUP(A94,'Données projet'!$A$35:$I$55,6,0)*VLOOKUP('Données projet'!$B$9,'Paramètres'!$A$1:$I$89,7,0))</f>
        <v>0</v>
      </c>
      <c r="Y94" s="135">
        <f>IF(ISNA(VLOOKUP(A94,'Données projet'!$A$35:$I$55,7,0)),0%,VLOOKUP(A94,'Données projet'!$A$35:$I$55,7,0))</f>
        <v>0</v>
      </c>
      <c r="Z94" s="142">
        <f>EXP(-LN(2)/35)*Z93+(1-EXP(-LN(2)/35))/(LN(2)/35)*V94*W94*VLOOKUP('Données projet'!$B$9,'Paramètres'!$A$1:$I$89,3,0)*0.475*44/12</f>
        <v>57.49338236</v>
      </c>
      <c r="AA94" s="142">
        <f>EXP(-LN(2)/25)*AA93+(1-EXP(-LN(2)/25))/(LN(2)/25)*Calculateur!V94*Calculateur!X94*VLOOKUP('Données projet'!$B$9,'Paramètres'!$A$1:$I$89,3,0)*0.475*44/12</f>
        <v>9.838607873</v>
      </c>
      <c r="AB94" s="142">
        <f>EXP(-LN(2)/2)*AB93+(1-EXP(-LN(2)/2))/(LN(2)/2)*V94*Y94*VLOOKUP('Données projet'!$B$9,'Paramètres'!$A$1:$I$89,3,0)*0.475*44/12</f>
        <v>0.0004097751817</v>
      </c>
      <c r="AC94" s="143">
        <f t="shared" si="4"/>
        <v>67.3324</v>
      </c>
      <c r="AD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1" t="str">
        <f>VLOOKUP(A94,'Données projet'!$A$61:$I$81,2,0)</f>
        <v>#N/A</v>
      </c>
      <c r="AG94" s="131" t="str">
        <f>VLOOKUP(A94,'Données projet'!$A$61:$I$81,9,0)</f>
        <v>#N/A</v>
      </c>
      <c r="AH94" s="131" t="str">
        <f t="array" ref="AH94">INDEX(AG:AG,MIN(IF(ISNUMBER(AG94:AG290),ROW(AG94:AG290),"")))</f>
        <v/>
      </c>
      <c r="AI94" s="130">
        <f>IF('Données projet'!$A$62&gt;35,AI93+AH94-AQ93,IF(A94&lt;'Données projet'!$A$62,$AF$205^A94,IF(A94='Données projet'!$A$62,'Données projet'!$B$62,AI93+AH94-AQ93)))</f>
        <v>0</v>
      </c>
      <c r="AJ94" s="130">
        <f>AI94*VLOOKUP('Données projet'!$B$10,'Paramètres'!$A$1:$I$89,3,0)*VLOOKUP('Données projet'!$B$10,'Paramètres'!$A$1:$I$89,5,0)</f>
        <v>0</v>
      </c>
      <c r="AK94" s="130" t="str">
        <f t="shared" si="36"/>
        <v>#NUM!</v>
      </c>
      <c r="AL94" s="141" t="str">
        <f t="shared" si="5"/>
        <v>#NUM!</v>
      </c>
      <c r="AM94" s="133" t="str">
        <f t="shared" si="6"/>
        <v>#NUM!</v>
      </c>
      <c r="AN94" s="133">
        <f>AVERAGE(OFFSET($AM$3,0,0,'Données projet'!$E$10+1,1))-AVERAGE(OFFSET($H$3,0,0,'Données projet'!$E$10+1,1))</f>
        <v>196.874484</v>
      </c>
      <c r="AO94" s="133">
        <f t="shared" si="37"/>
        <v>217.5750859</v>
      </c>
      <c r="AP94" s="134">
        <f>IF(ISNA(VLOOKUP(A94,'Données projet'!$A$61:$I$81,3,0)),0,VLOOKUP(A94,'Données projet'!$A$61:$I$81,3,0))</f>
        <v>0</v>
      </c>
      <c r="AQ94" s="134">
        <f>IF(ISNA(VLOOKUP(A94,'Données projet'!$A$61:$I$81,4,0)),0,VLOOKUP(A94,'Données projet'!$A$61:$I$81,4,0))</f>
        <v>0</v>
      </c>
      <c r="AR94" s="135">
        <f>IF(ISNA(VLOOKUP(A94,'Données projet'!$A$61:$I$81,5,0)),0%,VLOOKUP(A94,'Données projet'!$A$61:$I$81,5,0)*VLOOKUP('Données projet'!$B$10,'Paramètres'!$A$1:$I$89,7,0))</f>
        <v>0</v>
      </c>
      <c r="AS94" s="135">
        <f>IF(ISNA(VLOOKUP(A94,'Données projet'!$A$61:$I$81,6,0)),0%,VLOOKUP(A94,'Données projet'!$A$61:$I$81,6,0)*VLOOKUP('Données projet'!$B$10,'Paramètres'!$A$1:$I$89,7,0))</f>
        <v>0</v>
      </c>
      <c r="AT94" s="135">
        <f>IF(ISNA(VLOOKUP(A94,'Données projet'!$A$61:$I$81,7,0)),0%,VLOOKUP(A94,'Données projet'!$A$61:$I$81,7,0))</f>
        <v>0</v>
      </c>
      <c r="AU94" s="142">
        <f>EXP(-LN(2)/35)*AU93+(1-EXP(-LN(2)/35))/(LN(2)/35)*AQ94*AR94*VLOOKUP('Données projet'!$B$10,'Paramètres'!$A$1:$I$89,3,0)*0.475*44/12</f>
        <v>79.91416844</v>
      </c>
      <c r="AV94" s="142">
        <f>EXP(-LN(2)/25)*AV93+(1-EXP(-LN(2)/25))/(LN(2)/25)*Calculateur!AQ94*Calculateur!AS94*VLOOKUP('Données projet'!$B$10,'Paramètres'!$A$1:$I$89,3,0)*0.475*44/12</f>
        <v>15.12687275</v>
      </c>
      <c r="AW94" s="142">
        <f>EXP(-LN(2)/2)*AW93+(1-EXP(-LN(2)/2))/(LN(2)/2)*AQ94*AT94*VLOOKUP('Données projet'!$B$10,'Paramètres'!$A$1:$I$89,3,0)*0.475*44/12</f>
        <v>0.0005713126384</v>
      </c>
      <c r="AX94" s="142">
        <f t="shared" si="7"/>
        <v>95.04161251</v>
      </c>
      <c r="AY94" s="13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1" t="str">
        <f>VLOOKUP(A94,'Données projet'!$A$87:$I$107,2,0)</f>
        <v>#N/A</v>
      </c>
      <c r="BB94" s="131" t="str">
        <f>VLOOKUP(A94,'Données projet'!$A$87:$I$107,9,0)</f>
        <v>#N/A</v>
      </c>
      <c r="BC94" s="131" t="str">
        <f t="array" ref="BC94">INDEX(BB:BB,MIN(IF(ISNUMBER(BB94:BB290),ROW(BB94:BB290),"")))</f>
        <v/>
      </c>
      <c r="BD94" s="130">
        <f>IF('Données projet'!$A$88&gt;35,BD93+BC94-BL93,IF(A94&lt;'Données projet'!$A$88,$BA$205^A94,IF(A94='Données projet'!$A$88,'Données projet'!$B$88,BD93+BC94-BL93)))</f>
        <v>0</v>
      </c>
      <c r="BE94" s="130">
        <f>BD94*VLOOKUP('Données projet'!$B$11,'Paramètres'!$A$1:$I$89,3,0)*VLOOKUP('Données projet'!$B$11,'Paramètres'!$A$1:$I$89,5,0)</f>
        <v>0</v>
      </c>
      <c r="BF94" s="130" t="str">
        <f t="shared" si="38"/>
        <v>#NUM!</v>
      </c>
      <c r="BG94" s="141" t="str">
        <f t="shared" si="8"/>
        <v>#NUM!</v>
      </c>
      <c r="BH94" s="133" t="str">
        <f t="shared" si="9"/>
        <v>#NUM!</v>
      </c>
      <c r="BI94" s="133">
        <f>AVERAGE(OFFSET($BH$3,0,0,'Données projet'!$E$11+1,1))-AVERAGE(OFFSET($H$3,0,0,'Données projet'!$E$11+1,1))</f>
        <v>134.0948534</v>
      </c>
      <c r="BJ94" s="133">
        <f t="shared" si="39"/>
        <v>108.4102536</v>
      </c>
      <c r="BK94" s="134">
        <f>IF(ISNA(VLOOKUP(A94,'Données projet'!$A$87:$I$107,3,0)),0,VLOOKUP(A94,'Données projet'!$A$87:$I$107,3,0))</f>
        <v>0</v>
      </c>
      <c r="BL94" s="134">
        <f>IF(ISNA(VLOOKUP(A94,'Données projet'!$A$87:$I$107,4,0)),0,VLOOKUP(A94,'Données projet'!$A$87:$I$107,4,0))</f>
        <v>0</v>
      </c>
      <c r="BM94" s="135">
        <f>IF(ISNA(VLOOKUP(A94,'Données projet'!$A$87:$I$107,5,0)),0%,VLOOKUP(A94,'Données projet'!$A$87:$I$107,5,0)*VLOOKUP('Données projet'!$B$11,'Paramètres'!$A$1:$I$89,7,0))</f>
        <v>0</v>
      </c>
      <c r="BN94" s="135">
        <f>IF(ISNA(VLOOKUP(A94,'Données projet'!$A$87:$I$107,6,0)),0%,VLOOKUP(A94,'Données projet'!$A$87:$I$107,6,0)*VLOOKUP('Données projet'!$B$11,'Paramètres'!$A$1:$I$89,7,0))</f>
        <v>0</v>
      </c>
      <c r="BO94" s="135">
        <f>IF(ISNA(VLOOKUP(A94,'Données projet'!$A$87:$I$107,7,0)),0%,VLOOKUP(A94,'Données projet'!$A$87:$I$107,7,0))</f>
        <v>0</v>
      </c>
      <c r="BP94" s="142">
        <f>EXP(-LN(2)/35)*BP93+(1-EXP(-LN(2)/35))/(LN(2)/35)*BL94*BM94*VLOOKUP('Données projet'!$B$11,'Paramètres'!$A$1:$I$89,3,0)*0.475*44/12</f>
        <v>110.5362196</v>
      </c>
      <c r="BQ94" s="142">
        <f>EXP(-LN(2)/25)*BQ93+(1-EXP(-LN(2)/25))/(LN(2)/25)*Calculateur!BL94*Calculateur!BN94*VLOOKUP('Données projet'!$B$11,'Paramètres'!$A$1:$I$89,3,0)*0.475*44/12</f>
        <v>9.542044318</v>
      </c>
      <c r="BR94" s="142">
        <f>EXP(-LN(2)/2)*BR93+(1-EXP(-LN(2)/2))/(LN(2)/2)*BL94*BO94*VLOOKUP('Données projet'!$B$11,'Paramètres'!$A$1:$I$89,3,0)*0.475*44/12</f>
        <v>0.007620490697</v>
      </c>
      <c r="BS94" s="143">
        <f t="shared" si="10"/>
        <v>120.0858844</v>
      </c>
      <c r="BT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1" t="str">
        <f>VLOOKUP(A94,'Données projet'!$A$113:$I$133,2,0)</f>
        <v>#N/A</v>
      </c>
      <c r="BW94" s="131" t="str">
        <f>VLOOKUP(A94,'Données projet'!$A$113:$I$133,9,0)</f>
        <v>#N/A</v>
      </c>
      <c r="BX94" s="131" t="str">
        <f t="array" ref="BX94">INDEX(BW:BW,MIN(IF(ISNUMBER(BW94:BW290),ROW(BW94:BW290),"")))</f>
        <v/>
      </c>
      <c r="BY94" s="130">
        <f>IF('Données projet'!$A$114&gt;35,BY93+BX94-CG93,IF(A94&lt;'Données projet'!$A$114,$BV$205^A94,IF(A94='Données projet'!$A$114,'Données projet'!$B$114,BY93+BX94-CG93)))</f>
        <v>0</v>
      </c>
      <c r="BZ94" s="130">
        <f>BY94*VLOOKUP('Données projet'!$B$12,'Paramètres'!$A$1:$I$89,3,0)*VLOOKUP('Données projet'!$B$12,'Paramètres'!$A$1:$I$89,5,0)</f>
        <v>0</v>
      </c>
      <c r="CA94" s="130" t="str">
        <f t="shared" si="40"/>
        <v>#NUM!</v>
      </c>
      <c r="CB94" s="141" t="str">
        <f t="shared" si="11"/>
        <v>#NUM!</v>
      </c>
      <c r="CC94" s="133" t="str">
        <f t="shared" si="12"/>
        <v>#NUM!</v>
      </c>
      <c r="CD94" s="133">
        <f>AVERAGE(OFFSET($CC$3,0,0,'Données projet'!$E$12+1,1))-AVERAGE(OFFSET($H$3,0,0,'Données projet'!$E$12+1,1))</f>
        <v>258.1672054</v>
      </c>
      <c r="CE94" s="133">
        <f t="shared" si="41"/>
        <v>296.0724261</v>
      </c>
      <c r="CF94" s="134">
        <f>IF(ISNA(VLOOKUP(A94,'Données projet'!$A$113:$I$133,3,0)),0,VLOOKUP(A94,'Données projet'!$A$113:$I$133,3,0))</f>
        <v>0</v>
      </c>
      <c r="CG94" s="134">
        <f>IF(ISNA(VLOOKUP(A94,'Données projet'!$A$113:$I$133,4,0)),0,VLOOKUP(A94,'Données projet'!$A$113:$I$133,4,0))</f>
        <v>0</v>
      </c>
      <c r="CH94" s="135">
        <f>IF(ISNA(VLOOKUP(A94,'Données projet'!$A$113:$I$133,5,0)),0%,VLOOKUP(A94,'Données projet'!$A$113:$I$133,5,0)*VLOOKUP('Données projet'!$B$12,'Paramètres'!$A$1:$I$89,7,0))</f>
        <v>0</v>
      </c>
      <c r="CI94" s="135">
        <f>IF(ISNA(VLOOKUP(A94,'Données projet'!$A$113:$I$133,6,0)),0%,VLOOKUP(A94,'Données projet'!$A$113:$I$133,6,0)*VLOOKUP('Données projet'!$B$12,'Paramètres'!$A$1:$I$89,7,0))</f>
        <v>0</v>
      </c>
      <c r="CJ94" s="135">
        <f>IF(ISNA(VLOOKUP(A94,'Données projet'!$A$113:$I$133,7,0)),0%,VLOOKUP(A94,'Données projet'!$A$113:$I$133,7,0))</f>
        <v>0</v>
      </c>
      <c r="CK94" s="142">
        <f>EXP(-LN(2)/35)*CK93+(1-EXP(-LN(2)/35))/(LN(2)/35)*CG94*CH94*VLOOKUP('Données projet'!$B$12,'Paramètres'!$A$1:$I$89,3,0)*0.475*44/12</f>
        <v>139.751596</v>
      </c>
      <c r="CL94" s="142">
        <f>EXP(-LN(2)/25)*CL93+(1-EXP(-LN(2)/25))/(LN(2)/25)*Calculateur!CG94*Calculateur!CI94*VLOOKUP('Données projet'!$B$12,'Paramètres'!$A$1:$I$89,3,0)*0.475*44/12</f>
        <v>16.73728741</v>
      </c>
      <c r="CM94" s="142">
        <f>EXP(-LN(2)/2)*CM93+(1-EXP(-LN(2)/2))/(LN(2)/2)*CG94*CJ94*VLOOKUP('Données projet'!$B$12,'Paramètres'!$A$1:$I$89,3,0)*0.475*44/12</f>
        <v>0.0003210422785</v>
      </c>
      <c r="CN94" s="143">
        <f t="shared" si="13"/>
        <v>156.4892044</v>
      </c>
      <c r="CO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1" t="str">
        <f>VLOOKUP(A94,'Données projet'!$A$139:$I$159,2,0)</f>
        <v>#N/A</v>
      </c>
      <c r="CR94" s="131" t="str">
        <f>VLOOKUP(A94,'Données projet'!$A$139:$I$159,9,0)</f>
        <v>#N/A</v>
      </c>
      <c r="CS94" s="130">
        <f t="array" ref="CS94">INDEX(CR:CR,MIN(IF(ISNUMBER(CR94:CR290),ROW(CR94:CR290),"")))</f>
        <v>2.3</v>
      </c>
      <c r="CT94" s="138">
        <f>IF('Données projet'!$A$140&gt;35,CT93+CS94-DB93,IF(A94&lt;'Données projet'!$A$140,$CQ$205^A94,IF(A94='Données projet'!$A$140,'Données projet'!$B$140,CT93+CS94-DB93)))</f>
        <v>195.3</v>
      </c>
      <c r="CU94" s="138">
        <f>CT94*VLOOKUP('Données projet'!$B$13,'Paramètres'!$A$1:$I$89,3,0)*VLOOKUP('Données projet'!$B$13,'Paramètres'!$A$1:$I$89,5,0)</f>
        <v>198.0342</v>
      </c>
      <c r="CV94" s="130">
        <f t="shared" si="42"/>
        <v>49.31189634</v>
      </c>
      <c r="CW94" s="141">
        <f t="shared" si="14"/>
        <v>430.7944511</v>
      </c>
      <c r="CX94" s="133">
        <f t="shared" si="15"/>
        <v>724.1277845</v>
      </c>
      <c r="CY94" s="133">
        <f>AVERAGE(OFFSET($CX$3,0,0,'Données projet'!$E$13+1,1))-AVERAGE(OFFSET($H$3,0,0,'Données projet'!$E$13+1,1))</f>
        <v>223.783507</v>
      </c>
      <c r="CZ94" s="133">
        <f t="shared" si="43"/>
        <v>84.92349117</v>
      </c>
      <c r="DA94" s="134">
        <f>IF(ISNA(VLOOKUP(A94,'Données projet'!$A$139:$I$159,3,0)),0,VLOOKUP(A94,'Données projet'!$A$139:$I$159,3,0))</f>
        <v>0</v>
      </c>
      <c r="DB94" s="134">
        <f>IF(ISNA(VLOOKUP(A94,'Données projet'!$A$139:$I$159,4,0)),0,VLOOKUP(A94,'Données projet'!$A$139:$I$159,4,0))</f>
        <v>0</v>
      </c>
      <c r="DC94" s="135">
        <f>IF(ISNA(VLOOKUP(A94,'Données projet'!$A$139:$I$159,5,0)),0%,VLOOKUP(A94,'Données projet'!$A$139:$I$159,5,0)*VLOOKUP('Données projet'!$B$13,'Paramètres'!$A$1:$I$89,7,0))</f>
        <v>0</v>
      </c>
      <c r="DD94" s="135">
        <f>IF(ISNA(VLOOKUP(A94,'Données projet'!$A$139:$I$159,6,0)),0%,VLOOKUP(A94,'Données projet'!$A$139:$I$159,6,0)*VLOOKUP('Données projet'!$B$13,'Paramètres'!$A$1:$I$89,7,0))</f>
        <v>0</v>
      </c>
      <c r="DE94" s="135">
        <f>IF(ISNA(VLOOKUP(A94,'Données projet'!$A$139:$I$159,7,0)),0%,VLOOKUP(A94,'Données projet'!$A$139:$I$159,7,0))</f>
        <v>0</v>
      </c>
      <c r="DF94" s="142">
        <f>EXP(-LN(2)/35)*DF93+(1-EXP(-LN(2)/35))/(LN(2)/35)*DB94*DC94*VLOOKUP('Données projet'!$B$13,'Paramètres'!$A$1:$I$89,3,0)*0.475*44/12</f>
        <v>19.35975803</v>
      </c>
      <c r="DG94" s="142">
        <f>EXP(-LN(2)/25)*DG93+(1-EXP(-LN(2)/25))/(LN(2)/25)*Calculateur!DB94*Calculateur!DD94*VLOOKUP('Données projet'!$B$13,'Paramètres'!$A$1:$I$89,3,0)*0.475*44/12</f>
        <v>0</v>
      </c>
      <c r="DH94" s="142">
        <f>EXP(-LN(2)/2)*DH93+(1-EXP(-LN(2)/2))/(LN(2)/2)*DB94*DE94*VLOOKUP('Données projet'!$B$13,'Paramètres'!$A$1:$I$89,3,0)*0.475*44/12</f>
        <v>0</v>
      </c>
      <c r="DI94" s="143">
        <f t="shared" si="16"/>
        <v>19.35975803</v>
      </c>
      <c r="DJ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1" t="str">
        <f>VLOOKUP(A94,'Données projet'!$A$165:$I$185,2,0)</f>
        <v>#N/A</v>
      </c>
      <c r="DM94" s="131" t="str">
        <f>VLOOKUP(A94,'Données projet'!$A$165:$I$185,9,0)</f>
        <v>#N/A</v>
      </c>
      <c r="DN94" s="131">
        <f t="array" ref="DN94">INDEX(DM:DM,MIN(IF(ISNUMBER(DM94:DM290),ROW(DM94:DM290),"")))</f>
        <v>2.8</v>
      </c>
      <c r="DO94" s="138">
        <f>IF('Données projet'!$A$166&gt;35,DO93+DN94-DW93,IF(A94&lt;'Données projet'!$A$166,$DL$205^A94,IF(A94='Données projet'!$A$166,'Données projet'!$B$166,DO93+DN94-DW93)))</f>
        <v>256.8</v>
      </c>
      <c r="DP94" s="138">
        <f>DO94*VLOOKUP('Données projet'!$B$14,'Paramètres'!$A$1:$I$89,3,0)*VLOOKUP('Données projet'!$B$14,'Paramètres'!$A$1:$I$89,5,0)</f>
        <v>232.35264</v>
      </c>
      <c r="DQ94" s="130">
        <f t="shared" si="44"/>
        <v>56.79107561</v>
      </c>
      <c r="DR94" s="141">
        <f t="shared" si="17"/>
        <v>503.5919714</v>
      </c>
      <c r="DS94" s="133">
        <f t="shared" si="18"/>
        <v>796.9253047</v>
      </c>
      <c r="DT94" s="133">
        <f>AVERAGE(OFFSET($DS$3,0,0,'Données projet'!$E$14+1,1))-AVERAGE(OFFSET($H$3,0,0,'Données projet'!$E$14+1,1))</f>
        <v>287.9334714</v>
      </c>
      <c r="DU94" s="133">
        <f t="shared" si="45"/>
        <v>156.6796502</v>
      </c>
      <c r="DV94" s="134">
        <f>IF(ISNA(VLOOKUP(A94,'Données projet'!$A$165:$I$185,3,0)),0,VLOOKUP(A94,'Données projet'!$A$165:$I$185,3,0))</f>
        <v>0</v>
      </c>
      <c r="DW94" s="134">
        <f>IF(ISNA(VLOOKUP(A94,'Données projet'!$A$165:$I$185,4,0)),0,VLOOKUP(A94,'Données projet'!$A$165:$I$185,4,0))</f>
        <v>0</v>
      </c>
      <c r="DX94" s="135">
        <f>IF(ISNA(VLOOKUP(A94,'Données projet'!$A$165:$I$185,5,0)),0%,VLOOKUP(A94,'Données projet'!$A$165:$I$185,5,0)*VLOOKUP('Données projet'!$B$14,'Paramètres'!$A$1:$I$89,7,0))</f>
        <v>0</v>
      </c>
      <c r="DY94" s="135">
        <f>IF(ISNA(VLOOKUP(A94,'Données projet'!$A$165:$I$185,6,0)),0%,VLOOKUP(A94,'Données projet'!$A$165:$I$185,6,0)*VLOOKUP('Données projet'!$B$14,'Paramètres'!$A$1:$I$89,7,0))</f>
        <v>0</v>
      </c>
      <c r="DZ94" s="135">
        <f>IF(ISNA(VLOOKUP(A94,'Données projet'!$A$165:$I$185,7,0)),0%,VLOOKUP(A94,'Données projet'!$A$165:$I$185,7,0))</f>
        <v>0</v>
      </c>
      <c r="EA94" s="142">
        <f>EXP(-LN(2)/35)*EA93+(1-EXP(-LN(2)/35))/(LN(2)/35)*DW94*DX94*VLOOKUP('Données projet'!$B$14,'Paramètres'!$A$1:$I$89,3,0)*0.475*44/12</f>
        <v>29.66784751</v>
      </c>
      <c r="EB94" s="142">
        <f>EXP(-LN(2)/25)*EB93+(1-EXP(-LN(2)/25))/(LN(2)/25)*Calculateur!DW94*Calculateur!DY94*VLOOKUP('Données projet'!$B$14,'Paramètres'!$A$1:$I$89,3,0)*0.475*44/12</f>
        <v>0</v>
      </c>
      <c r="EC94" s="142">
        <f>EXP(-LN(2)/2)*EC93+(1-EXP(-LN(2)/2))/(LN(2)/2)*DW94*DZ94*VLOOKUP('Données projet'!$B$14,'Paramètres'!$A$1:$I$89,3,0)*0.475*44/12</f>
        <v>0</v>
      </c>
      <c r="ED94" s="143">
        <f t="shared" si="19"/>
        <v>29.66784751</v>
      </c>
      <c r="EE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1" t="str">
        <f>VLOOKUP(A94,'Données projet'!$A$191:$I$211,2,0)</f>
        <v>#N/A</v>
      </c>
      <c r="EH94" s="131" t="str">
        <f>VLOOKUP(A94,'Données projet'!$A$191:$I$211,9,0)</f>
        <v>#N/A</v>
      </c>
      <c r="EI94" s="131" t="str">
        <f t="array" ref="EI94">INDEX(EH:EH,MIN(IF(ISNUMBER(EH94:EH290),ROW(EH94:EH290),"")))</f>
        <v/>
      </c>
      <c r="EJ94" s="138">
        <f>IF('Données projet'!$A$192&gt;35,EJ93+EI94-ER93,IF(A94&lt;'Données projet'!$A$192,$EG$205^A94,IF(A94='Données projet'!$A$192,'Données projet'!$B$192,EJ93+EI94-ER93)))</f>
        <v>0</v>
      </c>
      <c r="EK94" s="138">
        <f>EJ94*VLOOKUP('Données projet'!$B$15,'Paramètres'!$A$1:$I$89,3,0)*VLOOKUP('Données projet'!$B$15,'Paramètres'!$A$1:$I$89,5,0)</f>
        <v>0</v>
      </c>
      <c r="EL94" s="130" t="str">
        <f t="shared" si="46"/>
        <v>#NUM!</v>
      </c>
      <c r="EM94" s="141" t="str">
        <f t="shared" si="20"/>
        <v>#NUM!</v>
      </c>
      <c r="EN94" s="133" t="str">
        <f t="shared" si="21"/>
        <v>#NUM!</v>
      </c>
      <c r="EO94" s="133">
        <f>AVERAGE(OFFSET($EN$3,0,0,'Données projet'!$E$15+1,1))-AVERAGE(OFFSET($H$3,0,0,'Données projet'!$E$15+1,1))</f>
        <v>130.3193339</v>
      </c>
      <c r="EP94" s="133">
        <f t="shared" si="47"/>
        <v>82.22784365</v>
      </c>
      <c r="EQ94" s="134">
        <f>IF(ISNA(VLOOKUP(A94,'Données projet'!$A$191:$I$211,3,0)),0,VLOOKUP(A94,'Données projet'!$A$191:$I$211,3,0))</f>
        <v>0</v>
      </c>
      <c r="ER94" s="134">
        <f>IF(ISNA(VLOOKUP(A94,'Données projet'!$A$191:$I$211,4,0)),0,VLOOKUP(A94,'Données projet'!$A$191:$I$211,4,0))</f>
        <v>0</v>
      </c>
      <c r="ES94" s="135">
        <f>IF(ISNA(VLOOKUP(A94,'Données projet'!$A$191:$I$211,5,0)),0%,VLOOKUP(A94,'Données projet'!$A$191:$I$211,5,0)*VLOOKUP('Données projet'!$B$15,'Paramètres'!$A$1:$I$89,7,0))</f>
        <v>0</v>
      </c>
      <c r="ET94" s="135">
        <f>IF(ISNA(VLOOKUP(A94,'Données projet'!$A$191:$I$211,6,0)),0%,VLOOKUP(A94,'Données projet'!$A$191:$I$211,6,0)*VLOOKUP('Données projet'!$B$15,'Paramètres'!$A$1:$I$89,7,0))</f>
        <v>0</v>
      </c>
      <c r="EU94" s="135">
        <f>IF(ISNA(VLOOKUP(A94,'Données projet'!$A$191:$I$211,7,0)),0%,VLOOKUP(A94,'Données projet'!$A$191:$I$211,7,0))</f>
        <v>0</v>
      </c>
      <c r="EV94" s="142">
        <f>EXP(-LN(2)/35)*EV93+(1-EXP(-LN(2)/35))/(LN(2)/35)*ER94*ES94*VLOOKUP('Données projet'!$B$15,'Paramètres'!$A$1:$I$89,3,0)*0.475*44/12</f>
        <v>85.45520987</v>
      </c>
      <c r="EW94" s="142">
        <f>EXP(-LN(2)/25)*EW93+(1-EXP(-LN(2)/25))/(LN(2)/25)*Calculateur!ER94*Calculateur!ET94*VLOOKUP('Données projet'!$B$15,'Paramètres'!$A$1:$I$89,3,0)*0.475*44/12</f>
        <v>0</v>
      </c>
      <c r="EX94" s="142">
        <f>EXP(-LN(2)/2)*EX93+(1-EXP(-LN(2)/2))/(LN(2)/2)*ER94*EU94*VLOOKUP('Données projet'!$B$15,'Paramètres'!$A$1:$I$89,3,0)*0.475*44/12</f>
        <v>0</v>
      </c>
      <c r="EY94" s="143">
        <f t="shared" si="22"/>
        <v>85.45520987</v>
      </c>
      <c r="EZ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1" t="str">
        <f>VLOOKUP(A94,'Données projet'!$A$217:$I$237,2,0)</f>
        <v>#N/A</v>
      </c>
      <c r="FC94" s="131" t="str">
        <f>VLOOKUP(A94,'Données projet'!$A$217:$I$237,9,0)</f>
        <v>#N/A</v>
      </c>
      <c r="FD94" s="131" t="str">
        <f t="array" ref="FD94">INDEX(FC:FC,MIN(IF(ISNUMBER(FC94:FC290),ROW(FC94:FC290),"")))</f>
        <v/>
      </c>
      <c r="FE94" s="130">
        <f>IF('Données projet'!$A$218&gt;35,FE93+FD94-FM93,IF(A94&lt;'Données projet'!$A$218,$FB$205^A94,IF(A94='Données projet'!$A$218,'Données projet'!$B$218,FE93+FD94-FM93)))</f>
        <v>0</v>
      </c>
      <c r="FF94" s="138">
        <f>FE94*VLOOKUP('Données projet'!$B$16,'Paramètres'!$A$1:$I$89,3,0)*VLOOKUP('Données projet'!$B$16,'Paramètres'!$A$1:$I$89,5,0)</f>
        <v>0</v>
      </c>
      <c r="FG94" s="130">
        <f t="shared" si="48"/>
        <v>0</v>
      </c>
      <c r="FH94" s="141">
        <f t="shared" si="23"/>
        <v>0</v>
      </c>
      <c r="FI94" s="133">
        <f t="shared" si="24"/>
        <v>293.3333333</v>
      </c>
      <c r="FJ94" s="133">
        <f>AVERAGE(OFFSET($FI$3,0,0,'Données projet'!$E$16+1,1))-AVERAGE(OFFSET($H$3,0,0,'Données projet'!$E$16+1,1))</f>
        <v>305.6252353</v>
      </c>
      <c r="FK94" s="133">
        <f t="shared" si="49"/>
        <v>331.397916</v>
      </c>
      <c r="FL94" s="134">
        <f>IF(ISNA(VLOOKUP(A94,'Données projet'!$A$217:$I$237,3,0)),0,VLOOKUP(A94,'Données projet'!$A$217:$I$237,3,0))</f>
        <v>0</v>
      </c>
      <c r="FM94" s="134">
        <f>IF(ISNA(VLOOKUP(A94,'Données projet'!$A$217:$I$237,4,0)),0,VLOOKUP(A94,'Données projet'!$A$217:$I$237,4,0))</f>
        <v>0</v>
      </c>
      <c r="FN94" s="135">
        <f>IF(ISNA(VLOOKUP(A94,'Données projet'!$A$217:$I$237,5,0)),0%,VLOOKUP(A94,'Données projet'!$A$217:$I$237,5,0)*VLOOKUP('Données projet'!$B$16,'Paramètres'!$A$1:$I$89,7,0))</f>
        <v>0</v>
      </c>
      <c r="FO94" s="135">
        <f>IF(ISNA(VLOOKUP(A94,'Données projet'!$A$217:$I$237,6,0)),0%,VLOOKUP(A94,'Données projet'!$A$217:$I$237,6,0)*VLOOKUP('Données projet'!$B$16,'Paramètres'!$A$1:$I$89,7,0))</f>
        <v>0</v>
      </c>
      <c r="FP94" s="135">
        <f>IF(ISNA(VLOOKUP(A94,'Données projet'!$A$217:$I$237,7,0)),0%,VLOOKUP(A94,'Données projet'!$A$217:$I$237,7,0))</f>
        <v>0</v>
      </c>
      <c r="FQ94" s="142">
        <f>EXP(-LN(2)/35)*FQ93+(1-EXP(-LN(2)/35))/(LN(2)/35)*FM94*FN94*VLOOKUP('Données projet'!$B$16,'Paramètres'!$A$1:$I$89,3,0)*0.475*44/12</f>
        <v>53.20696752</v>
      </c>
      <c r="FR94" s="142">
        <f>EXP(-LN(2)/25)*FR93+(1-EXP(-LN(2)/25))/(LN(2)/25)*Calculateur!FM94*Calculateur!FO94*VLOOKUP('Données projet'!$B$16,'Paramètres'!$A$1:$I$89,3,0)*0.475*44/12</f>
        <v>0</v>
      </c>
      <c r="FS94" s="142">
        <f>EXP(-LN(2)/2)*FS93+(1-EXP(-LN(2)/2))/(LN(2)/2)*FM94*FP94*VLOOKUP('Données projet'!$B$16,'Paramètres'!$A$1:$I$89,3,0)*0.475*44/12</f>
        <v>0</v>
      </c>
      <c r="FT94" s="143">
        <f t="shared" si="25"/>
        <v>53.20696752</v>
      </c>
      <c r="FU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1" t="str">
        <f>VLOOKUP(A94,'Données projet'!$A$243:$I$263,2,0)</f>
        <v>#N/A</v>
      </c>
      <c r="FX94" s="131" t="str">
        <f>VLOOKUP(A94,'Données projet'!$A$243:$I$263,9,0)</f>
        <v>#N/A</v>
      </c>
      <c r="FY94" s="131" t="str">
        <f t="array" ref="FY94">INDEX(FX:FX,MIN(IF(ISNUMBER(FX94:FX290),ROW(FX94:FX290),"")))</f>
        <v/>
      </c>
      <c r="FZ94" s="138">
        <f>IF('Données projet'!$A$244&gt;35,FZ93+FY94-GH93,IF(A94&lt;'Données projet'!$A$244,$FW$205^A94,IF(A94='Données projet'!$A$244,'Données projet'!$B$244,FZ93+FY94-GH93)))</f>
        <v>0</v>
      </c>
      <c r="GA94" s="138">
        <f>FZ94*VLOOKUP('Données projet'!$B$17,'Paramètres'!$A$1:$I$89,3,0)*VLOOKUP('Données projet'!$B$17,'Paramètres'!$A$1:$I$89,5,0)</f>
        <v>0</v>
      </c>
      <c r="GB94" s="130">
        <f t="shared" si="50"/>
        <v>0</v>
      </c>
      <c r="GC94" s="141">
        <f t="shared" si="26"/>
        <v>0</v>
      </c>
      <c r="GD94" s="133">
        <f t="shared" si="27"/>
        <v>293.3333333</v>
      </c>
      <c r="GE94" s="133">
        <f>AVERAGE(OFFSET($GD$3,0,0,'Données projet'!$E$17+1,1))-AVERAGE(OFFSET($H$3,0,0,'Données projet'!$E$17+1,1))</f>
        <v>118.7368745</v>
      </c>
      <c r="GF94" s="133">
        <f t="shared" si="51"/>
        <v>135.1233677</v>
      </c>
      <c r="GG94" s="134">
        <f>IF(ISNA(VLOOKUP(A94,'Données projet'!$A$243:$I$263,3,0)),0,VLOOKUP(A94,'Données projet'!$A$243:$I$263,3,0))</f>
        <v>0</v>
      </c>
      <c r="GH94" s="134">
        <f>IF(ISNA(VLOOKUP(A94,'Données projet'!$A$243:$I$263,4,0)),0,VLOOKUP(A94,'Données projet'!$A$243:$I$263,4,0))</f>
        <v>0</v>
      </c>
      <c r="GI94" s="135">
        <f>IF(ISNA(VLOOKUP(A94,'Données projet'!$A$243:$I$263,5,0)),0%,VLOOKUP(A94,'Données projet'!$A$243:$I$263,5,0)*VLOOKUP('Données projet'!$B$17,'Paramètres'!$A$1:$I$89,7,0))</f>
        <v>0</v>
      </c>
      <c r="GJ94" s="135">
        <f>IF(ISNA(VLOOKUP(A94,'Données projet'!$A$243:$I$263,6,0)),0%,VLOOKUP(A94,'Données projet'!$A$243:$I$263,6,0)*VLOOKUP('Données projet'!$B$17,'Paramètres'!$A$1:$I$89,7,0))</f>
        <v>0</v>
      </c>
      <c r="GK94" s="135">
        <f>IF(ISNA(VLOOKUP(A94,'Données projet'!$A$243:$I$263,7,0)),0%,VLOOKUP(A94,'Données projet'!$A$243:$I$263,7,0))</f>
        <v>0</v>
      </c>
      <c r="GL94" s="142">
        <f>EXP(-LN(2)/35)*GL93+(1-EXP(-LN(2)/35))/(LN(2)/35)*GH94*GI94*VLOOKUP('Données projet'!$B$17,'Paramètres'!$A$1:$I$89,3,0)*0.475*44/12</f>
        <v>56.21299664</v>
      </c>
      <c r="GM94" s="142">
        <f>EXP(-LN(2)/25)*GM93+(1-EXP(-LN(2)/25))/(LN(2)/25)*Calculateur!GH94*Calculateur!GJ94*VLOOKUP('Données projet'!$B$17,'Paramètres'!$A$1:$I$89,3,0)*0.475*44/12</f>
        <v>0</v>
      </c>
      <c r="GN94" s="142">
        <f>EXP(-LN(2)/2)*GN93+(1-EXP(-LN(2)/2))/(LN(2)/2)*GH94*GK94*VLOOKUP('Données projet'!$B$17,'Paramètres'!$A$1:$I$89,3,0)*0.475*44/12</f>
        <v>0</v>
      </c>
      <c r="GO94" s="142">
        <f t="shared" si="28"/>
        <v>56.21299664</v>
      </c>
      <c r="GP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1" t="str">
        <f>VLOOKUP(A94,'Données projet'!$A$269:$I$289,2,0)</f>
        <v>#N/A</v>
      </c>
      <c r="GS94" s="131" t="str">
        <f>VLOOKUP(A94,'Données projet'!$A$269:$I$289,9,0)</f>
        <v>#N/A</v>
      </c>
      <c r="GT94" s="131" t="str">
        <f t="array" ref="GT94">INDEX(GS:GS,MIN(IF(ISNUMBER(GS94:GS290),ROW(GS94:GS290),"")))</f>
        <v/>
      </c>
      <c r="GU94" s="138">
        <f>IF('Données projet'!$A$270&gt;35,GU93+GT94-HC93,IF(A94&lt;'Données projet'!$A$270,$GR$205^A94,IF(A94='Données projet'!$A$270,'Données projet'!$B$270,GU93+GT94-HC93)))</f>
        <v>0</v>
      </c>
      <c r="GV94" s="138">
        <f>GU94*VLOOKUP('Données projet'!$B$18,'Paramètres'!$A$1:$I$89,3,0)*VLOOKUP('Données projet'!$B$18,'Paramètres'!$A$1:$I$89,5,0)</f>
        <v>0</v>
      </c>
      <c r="GW94" s="130" t="str">
        <f t="shared" si="52"/>
        <v>#NUM!</v>
      </c>
      <c r="GX94" s="141" t="str">
        <f t="shared" si="29"/>
        <v>#NUM!</v>
      </c>
      <c r="GY94" s="133" t="str">
        <f t="shared" si="30"/>
        <v>#NUM!</v>
      </c>
      <c r="GZ94" s="133">
        <f>AVERAGE(OFFSET($GY$3,0,0,'Données projet'!$E$18+1,1))-AVERAGE(OFFSET($H$3,0,0,'Données projet'!$E$18+1,1))</f>
        <v>100.5427875</v>
      </c>
      <c r="HA94" s="133">
        <f t="shared" si="53"/>
        <v>92.28663609</v>
      </c>
      <c r="HB94" s="134">
        <f>IF(ISNA(VLOOKUP(A94,'Données projet'!$A$269:$I$289,3,0)),0,VLOOKUP(A94,'Données projet'!$A$269:$I$289,3,0))</f>
        <v>0</v>
      </c>
      <c r="HC94" s="134">
        <f>IF(ISNA(VLOOKUP(A94,'Données projet'!$A$269:$I$289,4,0)),0,VLOOKUP(A94,'Données projet'!$A$269:$I$289,4,0))</f>
        <v>0</v>
      </c>
      <c r="HD94" s="135">
        <f>IF(ISNA(VLOOKUP(A94,'Données projet'!$A$269:$I$289,5,0)),0%,VLOOKUP(A94,'Données projet'!$A$269:$I$289,5,0)*VLOOKUP('Données projet'!$B$18,'Paramètres'!$A$1:$I$89,7,0))</f>
        <v>0</v>
      </c>
      <c r="HE94" s="135">
        <f>IF(ISNA(VLOOKUP(A94,'Données projet'!$A$269:$I$289,6,0)),0%,VLOOKUP(A94,'Données projet'!$A$269:$I$289,6,0)*VLOOKUP('Données projet'!$B$18,'Paramètres'!$A$1:$I$89,7,0))</f>
        <v>0</v>
      </c>
      <c r="HF94" s="135">
        <f>IF(ISNA(VLOOKUP(A94,'Données projet'!$A$269:$I$289,7,0)),0%,VLOOKUP(A94,'Données projet'!$A$269:$I$289,7,0))</f>
        <v>0</v>
      </c>
      <c r="HG94" s="142">
        <f>EXP(-LN(2)/35)*HG93+(1-EXP(-LN(2)/35))/(LN(2)/35)*HC94*HD94*VLOOKUP('Données projet'!$B$18,'Paramètres'!$A$1:$I$89,3,0)*0.475*44/12</f>
        <v>38.27986484</v>
      </c>
      <c r="HH94" s="142">
        <f>EXP(-LN(2)/25)*HH93+(1-EXP(-LN(2)/25))/(LN(2)/25)*Calculateur!HC94*Calculateur!HE94*VLOOKUP('Données projet'!$B$18,'Paramètres'!$A$1:$I$89,3,0)*0.475*44/12</f>
        <v>0</v>
      </c>
      <c r="HI94" s="142">
        <f>EXP(-LN(2)/2)*HI93+(1-EXP(-LN(2)/2))/(LN(2)/2)*HC94*HF94*VLOOKUP('Données projet'!$B$18,'Paramètres'!$A$1:$I$89,3,0)*0.475*44/12</f>
        <v>0</v>
      </c>
      <c r="HJ94" s="143">
        <f t="shared" si="31"/>
        <v>38.27986484</v>
      </c>
    </row>
    <row r="95" ht="15.75" customHeight="1">
      <c r="A95" s="125">
        <f t="shared" si="32"/>
        <v>92</v>
      </c>
      <c r="B95" s="126">
        <f>'Scénario référence'!$B$16*5+'Scénario référence'!$B$17*0+'Scénario référence'!$B$18*5</f>
        <v>0</v>
      </c>
      <c r="C95" s="140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95" s="127">
        <f t="shared" si="33"/>
        <v>14.67365852</v>
      </c>
      <c r="E9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7">
        <f>IF(OR('Scénario référence'!$F$8&gt;0,'Scénario référence'!$F$9&gt;0),('Scénario référence'!$F$8+'Scénario référence'!$F$9)*10,0)</f>
        <v>10</v>
      </c>
      <c r="G95" s="127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501.026136</v>
      </c>
      <c r="H95" s="128">
        <f t="shared" si="1"/>
        <v>406.3773553</v>
      </c>
      <c r="I95" s="12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1" t="str">
        <f>VLOOKUP(A95,'Données projet'!$A$35:$I$55,2,0)</f>
        <v>#N/A</v>
      </c>
      <c r="L95" s="131" t="str">
        <f>VLOOKUP(A95,'Données projet'!$A$35:$I$55,9,0)</f>
        <v>#N/A</v>
      </c>
      <c r="M95" s="131" t="str">
        <f t="array" ref="M95">INDEX(L:L,MIN(IF(ISNUMBER(L95:L291),ROW(L95:L291),"")))</f>
        <v/>
      </c>
      <c r="N95" s="130">
        <f>IF('Données projet'!$A$36&gt;35,N94+M95-V94,IF(A95&lt;'Données projet'!$A$36,$K$205^A95,IF(A95='Données projet'!$A$36,'Données projet'!$B$36,N94+M95-V94)))</f>
        <v>0</v>
      </c>
      <c r="O95" s="130">
        <f>N95*VLOOKUP('Données projet'!$B$9,'Paramètres'!$A$1:$I$89,3,0)*VLOOKUP('Données projet'!$B$9,'Paramètres'!$A$1:$I$89,5,0)</f>
        <v>0</v>
      </c>
      <c r="P95" s="130">
        <f t="shared" si="34"/>
        <v>0</v>
      </c>
      <c r="Q95" s="141">
        <f t="shared" si="2"/>
        <v>0</v>
      </c>
      <c r="R95" s="133">
        <f t="shared" si="3"/>
        <v>293.3333333</v>
      </c>
      <c r="S95" s="133">
        <f>AVERAGE(OFFSET($R$3,0,0,'Données projet'!$E$9+1,1))-AVERAGE(OFFSET($H$3,0,0,'Données projet'!$E$9+1,1))</f>
        <v>126.9946492</v>
      </c>
      <c r="T95" s="133">
        <f t="shared" si="35"/>
        <v>140.039049</v>
      </c>
      <c r="U95" s="134">
        <f>IF(ISNA(VLOOKUP(A95,'Données projet'!$A$35:$I$55,3,0)),0,VLOOKUP(A95,'Données projet'!$A$35:$I$55,3,0))</f>
        <v>0</v>
      </c>
      <c r="V95" s="134">
        <f>IF(ISNA(VLOOKUP(A95,'Données projet'!$A$35:$I$55,4,0)),0,VLOOKUP(A95,'Données projet'!$A$35:$I$55,4,0))</f>
        <v>0</v>
      </c>
      <c r="W95" s="135">
        <f>IF(ISNA(VLOOKUP(A95,'Données projet'!$A$35:$I$55,5,0)),0%,VLOOKUP(A95,'Données projet'!$A$35:$I$55,5,0)*VLOOKUP('Données projet'!$B$9,'Paramètres'!$A$1:$I$89,7,0))</f>
        <v>0</v>
      </c>
      <c r="X95" s="135">
        <f>IF(ISNA(VLOOKUP(A95,'Données projet'!$A$35:$I$55,6,0)),0%,VLOOKUP(A95,'Données projet'!$A$35:$I$55,6,0)*VLOOKUP('Données projet'!$B$9,'Paramètres'!$A$1:$I$89,7,0))</f>
        <v>0</v>
      </c>
      <c r="Y95" s="135">
        <f>IF(ISNA(VLOOKUP(A95,'Données projet'!$A$35:$I$55,7,0)),0%,VLOOKUP(A95,'Données projet'!$A$35:$I$55,7,0))</f>
        <v>0</v>
      </c>
      <c r="Z95" s="142">
        <f>EXP(-LN(2)/35)*Z94+(1-EXP(-LN(2)/35))/(LN(2)/35)*V95*W95*VLOOKUP('Données projet'!$B$9,'Paramètres'!$A$1:$I$89,3,0)*0.475*44/12</f>
        <v>56.3659722</v>
      </c>
      <c r="AA95" s="142">
        <f>EXP(-LN(2)/25)*AA94+(1-EXP(-LN(2)/25))/(LN(2)/25)*Calculateur!V95*Calculateur!X95*VLOOKUP('Données projet'!$B$9,'Paramètres'!$A$1:$I$89,3,0)*0.475*44/12</f>
        <v>9.569570623</v>
      </c>
      <c r="AB95" s="142">
        <f>EXP(-LN(2)/2)*AB94+(1-EXP(-LN(2)/2))/(LN(2)/2)*V95*Y95*VLOOKUP('Données projet'!$B$9,'Paramètres'!$A$1:$I$89,3,0)*0.475*44/12</f>
        <v>0.0002897548097</v>
      </c>
      <c r="AC95" s="143">
        <f t="shared" si="4"/>
        <v>65.93583257</v>
      </c>
      <c r="AD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1" t="str">
        <f>VLOOKUP(A95,'Données projet'!$A$61:$I$81,2,0)</f>
        <v>#N/A</v>
      </c>
      <c r="AG95" s="131" t="str">
        <f>VLOOKUP(A95,'Données projet'!$A$61:$I$81,9,0)</f>
        <v>#N/A</v>
      </c>
      <c r="AH95" s="131" t="str">
        <f t="array" ref="AH95">INDEX(AG:AG,MIN(IF(ISNUMBER(AG95:AG291),ROW(AG95:AG291),"")))</f>
        <v/>
      </c>
      <c r="AI95" s="130">
        <f>IF('Données projet'!$A$62&gt;35,AI94+AH95-AQ94,IF(A95&lt;'Données projet'!$A$62,$AF$205^A95,IF(A95='Données projet'!$A$62,'Données projet'!$B$62,AI94+AH95-AQ94)))</f>
        <v>0</v>
      </c>
      <c r="AJ95" s="130">
        <f>AI95*VLOOKUP('Données projet'!$B$10,'Paramètres'!$A$1:$I$89,3,0)*VLOOKUP('Données projet'!$B$10,'Paramètres'!$A$1:$I$89,5,0)</f>
        <v>0</v>
      </c>
      <c r="AK95" s="130" t="str">
        <f t="shared" si="36"/>
        <v>#NUM!</v>
      </c>
      <c r="AL95" s="141" t="str">
        <f t="shared" si="5"/>
        <v>#NUM!</v>
      </c>
      <c r="AM95" s="133" t="str">
        <f t="shared" si="6"/>
        <v>#NUM!</v>
      </c>
      <c r="AN95" s="133">
        <f>AVERAGE(OFFSET($AM$3,0,0,'Données projet'!$E$10+1,1))-AVERAGE(OFFSET($H$3,0,0,'Données projet'!$E$10+1,1))</f>
        <v>196.874484</v>
      </c>
      <c r="AO95" s="133">
        <f t="shared" si="37"/>
        <v>217.5750859</v>
      </c>
      <c r="AP95" s="134">
        <f>IF(ISNA(VLOOKUP(A95,'Données projet'!$A$61:$I$81,3,0)),0,VLOOKUP(A95,'Données projet'!$A$61:$I$81,3,0))</f>
        <v>0</v>
      </c>
      <c r="AQ95" s="134">
        <f>IF(ISNA(VLOOKUP(A95,'Données projet'!$A$61:$I$81,4,0)),0,VLOOKUP(A95,'Données projet'!$A$61:$I$81,4,0))</f>
        <v>0</v>
      </c>
      <c r="AR95" s="135">
        <f>IF(ISNA(VLOOKUP(A95,'Données projet'!$A$61:$I$81,5,0)),0%,VLOOKUP(A95,'Données projet'!$A$61:$I$81,5,0)*VLOOKUP('Données projet'!$B$10,'Paramètres'!$A$1:$I$89,7,0))</f>
        <v>0</v>
      </c>
      <c r="AS95" s="135">
        <f>IF(ISNA(VLOOKUP(A95,'Données projet'!$A$61:$I$81,6,0)),0%,VLOOKUP(A95,'Données projet'!$A$61:$I$81,6,0)*VLOOKUP('Données projet'!$B$10,'Paramètres'!$A$1:$I$89,7,0))</f>
        <v>0</v>
      </c>
      <c r="AT95" s="135">
        <f>IF(ISNA(VLOOKUP(A95,'Données projet'!$A$61:$I$81,7,0)),0%,VLOOKUP(A95,'Données projet'!$A$61:$I$81,7,0))</f>
        <v>0</v>
      </c>
      <c r="AU95" s="142">
        <f>EXP(-LN(2)/35)*AU94+(1-EXP(-LN(2)/35))/(LN(2)/35)*AQ95*AR95*VLOOKUP('Données projet'!$B$10,'Paramètres'!$A$1:$I$89,3,0)*0.475*44/12</f>
        <v>78.34710034</v>
      </c>
      <c r="AV95" s="142">
        <f>EXP(-LN(2)/25)*AV94+(1-EXP(-LN(2)/25))/(LN(2)/25)*Calculateur!AQ95*Calculateur!AS95*VLOOKUP('Données projet'!$B$10,'Paramètres'!$A$1:$I$89,3,0)*0.475*44/12</f>
        <v>14.71322762</v>
      </c>
      <c r="AW95" s="142">
        <f>EXP(-LN(2)/2)*AW94+(1-EXP(-LN(2)/2))/(LN(2)/2)*AQ95*AT95*VLOOKUP('Données projet'!$B$10,'Paramètres'!$A$1:$I$89,3,0)*0.475*44/12</f>
        <v>0.0004039790408</v>
      </c>
      <c r="AX95" s="142">
        <f t="shared" si="7"/>
        <v>93.06073194</v>
      </c>
      <c r="AY95" s="13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1" t="str">
        <f>VLOOKUP(A95,'Données projet'!$A$87:$I$107,2,0)</f>
        <v>#N/A</v>
      </c>
      <c r="BB95" s="131" t="str">
        <f>VLOOKUP(A95,'Données projet'!$A$87:$I$107,9,0)</f>
        <v>#N/A</v>
      </c>
      <c r="BC95" s="131" t="str">
        <f t="array" ref="BC95">INDEX(BB:BB,MIN(IF(ISNUMBER(BB95:BB291),ROW(BB95:BB291),"")))</f>
        <v/>
      </c>
      <c r="BD95" s="130">
        <f>IF('Données projet'!$A$88&gt;35,BD94+BC95-BL94,IF(A95&lt;'Données projet'!$A$88,$BA$205^A95,IF(A95='Données projet'!$A$88,'Données projet'!$B$88,BD94+BC95-BL94)))</f>
        <v>0</v>
      </c>
      <c r="BE95" s="130">
        <f>BD95*VLOOKUP('Données projet'!$B$11,'Paramètres'!$A$1:$I$89,3,0)*VLOOKUP('Données projet'!$B$11,'Paramètres'!$A$1:$I$89,5,0)</f>
        <v>0</v>
      </c>
      <c r="BF95" s="130" t="str">
        <f t="shared" si="38"/>
        <v>#NUM!</v>
      </c>
      <c r="BG95" s="141" t="str">
        <f t="shared" si="8"/>
        <v>#NUM!</v>
      </c>
      <c r="BH95" s="133" t="str">
        <f t="shared" si="9"/>
        <v>#NUM!</v>
      </c>
      <c r="BI95" s="133">
        <f>AVERAGE(OFFSET($BH$3,0,0,'Données projet'!$E$11+1,1))-AVERAGE(OFFSET($H$3,0,0,'Données projet'!$E$11+1,1))</f>
        <v>134.0948534</v>
      </c>
      <c r="BJ95" s="133">
        <f t="shared" si="39"/>
        <v>108.4102536</v>
      </c>
      <c r="BK95" s="134">
        <f>IF(ISNA(VLOOKUP(A95,'Données projet'!$A$87:$I$107,3,0)),0,VLOOKUP(A95,'Données projet'!$A$87:$I$107,3,0))</f>
        <v>0</v>
      </c>
      <c r="BL95" s="134">
        <f>IF(ISNA(VLOOKUP(A95,'Données projet'!$A$87:$I$107,4,0)),0,VLOOKUP(A95,'Données projet'!$A$87:$I$107,4,0))</f>
        <v>0</v>
      </c>
      <c r="BM95" s="135">
        <f>IF(ISNA(VLOOKUP(A95,'Données projet'!$A$87:$I$107,5,0)),0%,VLOOKUP(A95,'Données projet'!$A$87:$I$107,5,0)*VLOOKUP('Données projet'!$B$11,'Paramètres'!$A$1:$I$89,7,0))</f>
        <v>0</v>
      </c>
      <c r="BN95" s="135">
        <f>IF(ISNA(VLOOKUP(A95,'Données projet'!$A$87:$I$107,6,0)),0%,VLOOKUP(A95,'Données projet'!$A$87:$I$107,6,0)*VLOOKUP('Données projet'!$B$11,'Paramètres'!$A$1:$I$89,7,0))</f>
        <v>0</v>
      </c>
      <c r="BO95" s="135">
        <f>IF(ISNA(VLOOKUP(A95,'Données projet'!$A$87:$I$107,7,0)),0%,VLOOKUP(A95,'Données projet'!$A$87:$I$107,7,0))</f>
        <v>0</v>
      </c>
      <c r="BP95" s="142">
        <f>EXP(-LN(2)/35)*BP94+(1-EXP(-LN(2)/35))/(LN(2)/35)*BL95*BM95*VLOOKUP('Données projet'!$B$11,'Paramètres'!$A$1:$I$89,3,0)*0.475*44/12</f>
        <v>108.3686718</v>
      </c>
      <c r="BQ95" s="142">
        <f>EXP(-LN(2)/25)*BQ94+(1-EXP(-LN(2)/25))/(LN(2)/25)*Calculateur!BL95*Calculateur!BN95*VLOOKUP('Données projet'!$B$11,'Paramètres'!$A$1:$I$89,3,0)*0.475*44/12</f>
        <v>9.281116614</v>
      </c>
      <c r="BR95" s="142">
        <f>EXP(-LN(2)/2)*BR94+(1-EXP(-LN(2)/2))/(LN(2)/2)*BL95*BO95*VLOOKUP('Données projet'!$B$11,'Paramètres'!$A$1:$I$89,3,0)*0.475*44/12</f>
        <v>0.005388500647</v>
      </c>
      <c r="BS95" s="143">
        <f t="shared" si="10"/>
        <v>117.6551769</v>
      </c>
      <c r="BT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1" t="str">
        <f>VLOOKUP(A95,'Données projet'!$A$113:$I$133,2,0)</f>
        <v>#N/A</v>
      </c>
      <c r="BW95" s="131" t="str">
        <f>VLOOKUP(A95,'Données projet'!$A$113:$I$133,9,0)</f>
        <v>#N/A</v>
      </c>
      <c r="BX95" s="131" t="str">
        <f t="array" ref="BX95">INDEX(BW:BW,MIN(IF(ISNUMBER(BW95:BW291),ROW(BW95:BW291),"")))</f>
        <v/>
      </c>
      <c r="BY95" s="130">
        <f>IF('Données projet'!$A$114&gt;35,BY94+BX95-CG94,IF(A95&lt;'Données projet'!$A$114,$BV$205^A95,IF(A95='Données projet'!$A$114,'Données projet'!$B$114,BY94+BX95-CG94)))</f>
        <v>0</v>
      </c>
      <c r="BZ95" s="130">
        <f>BY95*VLOOKUP('Données projet'!$B$12,'Paramètres'!$A$1:$I$89,3,0)*VLOOKUP('Données projet'!$B$12,'Paramètres'!$A$1:$I$89,5,0)</f>
        <v>0</v>
      </c>
      <c r="CA95" s="130" t="str">
        <f t="shared" si="40"/>
        <v>#NUM!</v>
      </c>
      <c r="CB95" s="141" t="str">
        <f t="shared" si="11"/>
        <v>#NUM!</v>
      </c>
      <c r="CC95" s="133" t="str">
        <f t="shared" si="12"/>
        <v>#NUM!</v>
      </c>
      <c r="CD95" s="133">
        <f>AVERAGE(OFFSET($CC$3,0,0,'Données projet'!$E$12+1,1))-AVERAGE(OFFSET($H$3,0,0,'Données projet'!$E$12+1,1))</f>
        <v>258.1672054</v>
      </c>
      <c r="CE95" s="133">
        <f t="shared" si="41"/>
        <v>296.0724261</v>
      </c>
      <c r="CF95" s="134">
        <f>IF(ISNA(VLOOKUP(A95,'Données projet'!$A$113:$I$133,3,0)),0,VLOOKUP(A95,'Données projet'!$A$113:$I$133,3,0))</f>
        <v>0</v>
      </c>
      <c r="CG95" s="134">
        <f>IF(ISNA(VLOOKUP(A95,'Données projet'!$A$113:$I$133,4,0)),0,VLOOKUP(A95,'Données projet'!$A$113:$I$133,4,0))</f>
        <v>0</v>
      </c>
      <c r="CH95" s="135">
        <f>IF(ISNA(VLOOKUP(A95,'Données projet'!$A$113:$I$133,5,0)),0%,VLOOKUP(A95,'Données projet'!$A$113:$I$133,5,0)*VLOOKUP('Données projet'!$B$12,'Paramètres'!$A$1:$I$89,7,0))</f>
        <v>0</v>
      </c>
      <c r="CI95" s="135">
        <f>IF(ISNA(VLOOKUP(A95,'Données projet'!$A$113:$I$133,6,0)),0%,VLOOKUP(A95,'Données projet'!$A$113:$I$133,6,0)*VLOOKUP('Données projet'!$B$12,'Paramètres'!$A$1:$I$89,7,0))</f>
        <v>0</v>
      </c>
      <c r="CJ95" s="135">
        <f>IF(ISNA(VLOOKUP(A95,'Données projet'!$A$113:$I$133,7,0)),0%,VLOOKUP(A95,'Données projet'!$A$113:$I$133,7,0))</f>
        <v>0</v>
      </c>
      <c r="CK95" s="142">
        <f>EXP(-LN(2)/35)*CK94+(1-EXP(-LN(2)/35))/(LN(2)/35)*CG95*CH95*VLOOKUP('Données projet'!$B$12,'Paramètres'!$A$1:$I$89,3,0)*0.475*44/12</f>
        <v>137.0111524</v>
      </c>
      <c r="CL95" s="142">
        <f>EXP(-LN(2)/25)*CL94+(1-EXP(-LN(2)/25))/(LN(2)/25)*Calculateur!CG95*Calculateur!CI95*VLOOKUP('Données projet'!$B$12,'Paramètres'!$A$1:$I$89,3,0)*0.475*44/12</f>
        <v>16.2796054</v>
      </c>
      <c r="CM95" s="142">
        <f>EXP(-LN(2)/2)*CM94+(1-EXP(-LN(2)/2))/(LN(2)/2)*CG95*CJ95*VLOOKUP('Données projet'!$B$12,'Paramètres'!$A$1:$I$89,3,0)*0.475*44/12</f>
        <v>0.0002270111722</v>
      </c>
      <c r="CN95" s="143">
        <f t="shared" si="13"/>
        <v>153.2909849</v>
      </c>
      <c r="CO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1" t="str">
        <f>VLOOKUP(A95,'Données projet'!$A$139:$I$159,2,0)</f>
        <v>#N/A</v>
      </c>
      <c r="CR95" s="131" t="str">
        <f>VLOOKUP(A95,'Données projet'!$A$139:$I$159,9,0)</f>
        <v>#N/A</v>
      </c>
      <c r="CS95" s="130">
        <f t="array" ref="CS95">INDEX(CR:CR,MIN(IF(ISNUMBER(CR95:CR291),ROW(CR95:CR291),"")))</f>
        <v>2.3</v>
      </c>
      <c r="CT95" s="138">
        <f>IF('Données projet'!$A$140&gt;35,CT94+CS95-DB94,IF(A95&lt;'Données projet'!$A$140,$CQ$205^A95,IF(A95='Données projet'!$A$140,'Données projet'!$B$140,CT94+CS95-DB94)))</f>
        <v>197.6</v>
      </c>
      <c r="CU95" s="138">
        <f>CT95*VLOOKUP('Données projet'!$B$13,'Paramètres'!$A$1:$I$89,3,0)*VLOOKUP('Données projet'!$B$13,'Paramètres'!$A$1:$I$89,5,0)</f>
        <v>200.3664</v>
      </c>
      <c r="CV95" s="130">
        <f t="shared" si="42"/>
        <v>49.82468278</v>
      </c>
      <c r="CW95" s="141">
        <f t="shared" si="14"/>
        <v>435.7494692</v>
      </c>
      <c r="CX95" s="133">
        <f t="shared" si="15"/>
        <v>729.0828025</v>
      </c>
      <c r="CY95" s="133">
        <f>AVERAGE(OFFSET($CX$3,0,0,'Données projet'!$E$13+1,1))-AVERAGE(OFFSET($H$3,0,0,'Données projet'!$E$13+1,1))</f>
        <v>223.783507</v>
      </c>
      <c r="CZ95" s="133">
        <f t="shared" si="43"/>
        <v>84.92349117</v>
      </c>
      <c r="DA95" s="134">
        <f>IF(ISNA(VLOOKUP(A95,'Données projet'!$A$139:$I$159,3,0)),0,VLOOKUP(A95,'Données projet'!$A$139:$I$159,3,0))</f>
        <v>0</v>
      </c>
      <c r="DB95" s="134">
        <f>IF(ISNA(VLOOKUP(A95,'Données projet'!$A$139:$I$159,4,0)),0,VLOOKUP(A95,'Données projet'!$A$139:$I$159,4,0))</f>
        <v>0</v>
      </c>
      <c r="DC95" s="135">
        <f>IF(ISNA(VLOOKUP(A95,'Données projet'!$A$139:$I$159,5,0)),0%,VLOOKUP(A95,'Données projet'!$A$139:$I$159,5,0)*VLOOKUP('Données projet'!$B$13,'Paramètres'!$A$1:$I$89,7,0))</f>
        <v>0</v>
      </c>
      <c r="DD95" s="135">
        <f>IF(ISNA(VLOOKUP(A95,'Données projet'!$A$139:$I$159,6,0)),0%,VLOOKUP(A95,'Données projet'!$A$139:$I$159,6,0)*VLOOKUP('Données projet'!$B$13,'Paramètres'!$A$1:$I$89,7,0))</f>
        <v>0</v>
      </c>
      <c r="DE95" s="135">
        <f>IF(ISNA(VLOOKUP(A95,'Données projet'!$A$139:$I$159,7,0)),0%,VLOOKUP(A95,'Données projet'!$A$139:$I$159,7,0))</f>
        <v>0</v>
      </c>
      <c r="DF95" s="142">
        <f>EXP(-LN(2)/35)*DF94+(1-EXP(-LN(2)/35))/(LN(2)/35)*DB95*DC95*VLOOKUP('Données projet'!$B$13,'Paramètres'!$A$1:$I$89,3,0)*0.475*44/12</f>
        <v>18.98012499</v>
      </c>
      <c r="DG95" s="142">
        <f>EXP(-LN(2)/25)*DG94+(1-EXP(-LN(2)/25))/(LN(2)/25)*Calculateur!DB95*Calculateur!DD95*VLOOKUP('Données projet'!$B$13,'Paramètres'!$A$1:$I$89,3,0)*0.475*44/12</f>
        <v>0</v>
      </c>
      <c r="DH95" s="142">
        <f>EXP(-LN(2)/2)*DH94+(1-EXP(-LN(2)/2))/(LN(2)/2)*DB95*DE95*VLOOKUP('Données projet'!$B$13,'Paramètres'!$A$1:$I$89,3,0)*0.475*44/12</f>
        <v>0</v>
      </c>
      <c r="DI95" s="143">
        <f t="shared" si="16"/>
        <v>18.98012499</v>
      </c>
      <c r="DJ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1" t="str">
        <f>VLOOKUP(A95,'Données projet'!$A$165:$I$185,2,0)</f>
        <v>#N/A</v>
      </c>
      <c r="DM95" s="131" t="str">
        <f>VLOOKUP(A95,'Données projet'!$A$165:$I$185,9,0)</f>
        <v>#N/A</v>
      </c>
      <c r="DN95" s="131">
        <f t="array" ref="DN95">INDEX(DM:DM,MIN(IF(ISNUMBER(DM95:DM291),ROW(DM95:DM291),"")))</f>
        <v>2.8</v>
      </c>
      <c r="DO95" s="138">
        <f>IF('Données projet'!$A$166&gt;35,DO94+DN95-DW94,IF(A95&lt;'Données projet'!$A$166,$DL$205^A95,IF(A95='Données projet'!$A$166,'Données projet'!$B$166,DO94+DN95-DW94)))</f>
        <v>259.6</v>
      </c>
      <c r="DP95" s="138">
        <f>DO95*VLOOKUP('Données projet'!$B$14,'Paramètres'!$A$1:$I$89,3,0)*VLOOKUP('Données projet'!$B$14,'Paramètres'!$A$1:$I$89,5,0)</f>
        <v>234.88608</v>
      </c>
      <c r="DQ95" s="130">
        <f t="shared" si="44"/>
        <v>57.33787025</v>
      </c>
      <c r="DR95" s="141">
        <f t="shared" si="17"/>
        <v>508.9567133</v>
      </c>
      <c r="DS95" s="133">
        <f t="shared" si="18"/>
        <v>802.2900467</v>
      </c>
      <c r="DT95" s="133">
        <f>AVERAGE(OFFSET($DS$3,0,0,'Données projet'!$E$14+1,1))-AVERAGE(OFFSET($H$3,0,0,'Données projet'!$E$14+1,1))</f>
        <v>287.9334714</v>
      </c>
      <c r="DU95" s="133">
        <f t="shared" si="45"/>
        <v>156.6796502</v>
      </c>
      <c r="DV95" s="134">
        <f>IF(ISNA(VLOOKUP(A95,'Données projet'!$A$165:$I$185,3,0)),0,VLOOKUP(A95,'Données projet'!$A$165:$I$185,3,0))</f>
        <v>0</v>
      </c>
      <c r="DW95" s="134">
        <f>IF(ISNA(VLOOKUP(A95,'Données projet'!$A$165:$I$185,4,0)),0,VLOOKUP(A95,'Données projet'!$A$165:$I$185,4,0))</f>
        <v>0</v>
      </c>
      <c r="DX95" s="135">
        <f>IF(ISNA(VLOOKUP(A95,'Données projet'!$A$165:$I$185,5,0)),0%,VLOOKUP(A95,'Données projet'!$A$165:$I$185,5,0)*VLOOKUP('Données projet'!$B$14,'Paramètres'!$A$1:$I$89,7,0))</f>
        <v>0</v>
      </c>
      <c r="DY95" s="135">
        <f>IF(ISNA(VLOOKUP(A95,'Données projet'!$A$165:$I$185,6,0)),0%,VLOOKUP(A95,'Données projet'!$A$165:$I$185,6,0)*VLOOKUP('Données projet'!$B$14,'Paramètres'!$A$1:$I$89,7,0))</f>
        <v>0</v>
      </c>
      <c r="DZ95" s="135">
        <f>IF(ISNA(VLOOKUP(A95,'Données projet'!$A$165:$I$185,7,0)),0%,VLOOKUP(A95,'Données projet'!$A$165:$I$185,7,0))</f>
        <v>0</v>
      </c>
      <c r="EA95" s="142">
        <f>EXP(-LN(2)/35)*EA94+(1-EXP(-LN(2)/35))/(LN(2)/35)*DW95*DX95*VLOOKUP('Données projet'!$B$14,'Paramètres'!$A$1:$I$89,3,0)*0.475*44/12</f>
        <v>29.08607912</v>
      </c>
      <c r="EB95" s="142">
        <f>EXP(-LN(2)/25)*EB94+(1-EXP(-LN(2)/25))/(LN(2)/25)*Calculateur!DW95*Calculateur!DY95*VLOOKUP('Données projet'!$B$14,'Paramètres'!$A$1:$I$89,3,0)*0.475*44/12</f>
        <v>0</v>
      </c>
      <c r="EC95" s="142">
        <f>EXP(-LN(2)/2)*EC94+(1-EXP(-LN(2)/2))/(LN(2)/2)*DW95*DZ95*VLOOKUP('Données projet'!$B$14,'Paramètres'!$A$1:$I$89,3,0)*0.475*44/12</f>
        <v>0</v>
      </c>
      <c r="ED95" s="143">
        <f t="shared" si="19"/>
        <v>29.08607912</v>
      </c>
      <c r="EE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1" t="str">
        <f>VLOOKUP(A95,'Données projet'!$A$191:$I$211,2,0)</f>
        <v>#N/A</v>
      </c>
      <c r="EH95" s="131" t="str">
        <f>VLOOKUP(A95,'Données projet'!$A$191:$I$211,9,0)</f>
        <v>#N/A</v>
      </c>
      <c r="EI95" s="131" t="str">
        <f t="array" ref="EI95">INDEX(EH:EH,MIN(IF(ISNUMBER(EH95:EH291),ROW(EH95:EH291),"")))</f>
        <v/>
      </c>
      <c r="EJ95" s="138">
        <f>IF('Données projet'!$A$192&gt;35,EJ94+EI95-ER94,IF(A95&lt;'Données projet'!$A$192,$EG$205^A95,IF(A95='Données projet'!$A$192,'Données projet'!$B$192,EJ94+EI95-ER94)))</f>
        <v>0</v>
      </c>
      <c r="EK95" s="138">
        <f>EJ95*VLOOKUP('Données projet'!$B$15,'Paramètres'!$A$1:$I$89,3,0)*VLOOKUP('Données projet'!$B$15,'Paramètres'!$A$1:$I$89,5,0)</f>
        <v>0</v>
      </c>
      <c r="EL95" s="130" t="str">
        <f t="shared" si="46"/>
        <v>#NUM!</v>
      </c>
      <c r="EM95" s="141" t="str">
        <f t="shared" si="20"/>
        <v>#NUM!</v>
      </c>
      <c r="EN95" s="133" t="str">
        <f t="shared" si="21"/>
        <v>#NUM!</v>
      </c>
      <c r="EO95" s="133">
        <f>AVERAGE(OFFSET($EN$3,0,0,'Données projet'!$E$15+1,1))-AVERAGE(OFFSET($H$3,0,0,'Données projet'!$E$15+1,1))</f>
        <v>130.3193339</v>
      </c>
      <c r="EP95" s="133">
        <f t="shared" si="47"/>
        <v>82.22784365</v>
      </c>
      <c r="EQ95" s="134">
        <f>IF(ISNA(VLOOKUP(A95,'Données projet'!$A$191:$I$211,3,0)),0,VLOOKUP(A95,'Données projet'!$A$191:$I$211,3,0))</f>
        <v>0</v>
      </c>
      <c r="ER95" s="134">
        <f>IF(ISNA(VLOOKUP(A95,'Données projet'!$A$191:$I$211,4,0)),0,VLOOKUP(A95,'Données projet'!$A$191:$I$211,4,0))</f>
        <v>0</v>
      </c>
      <c r="ES95" s="135">
        <f>IF(ISNA(VLOOKUP(A95,'Données projet'!$A$191:$I$211,5,0)),0%,VLOOKUP(A95,'Données projet'!$A$191:$I$211,5,0)*VLOOKUP('Données projet'!$B$15,'Paramètres'!$A$1:$I$89,7,0))</f>
        <v>0</v>
      </c>
      <c r="ET95" s="135">
        <f>IF(ISNA(VLOOKUP(A95,'Données projet'!$A$191:$I$211,6,0)),0%,VLOOKUP(A95,'Données projet'!$A$191:$I$211,6,0)*VLOOKUP('Données projet'!$B$15,'Paramètres'!$A$1:$I$89,7,0))</f>
        <v>0</v>
      </c>
      <c r="EU95" s="135">
        <f>IF(ISNA(VLOOKUP(A95,'Données projet'!$A$191:$I$211,7,0)),0%,VLOOKUP(A95,'Données projet'!$A$191:$I$211,7,0))</f>
        <v>0</v>
      </c>
      <c r="EV95" s="142">
        <f>EXP(-LN(2)/35)*EV94+(1-EXP(-LN(2)/35))/(LN(2)/35)*ER95*ES95*VLOOKUP('Données projet'!$B$15,'Paramètres'!$A$1:$I$89,3,0)*0.475*44/12</f>
        <v>83.77948533</v>
      </c>
      <c r="EW95" s="142">
        <f>EXP(-LN(2)/25)*EW94+(1-EXP(-LN(2)/25))/(LN(2)/25)*Calculateur!ER95*Calculateur!ET95*VLOOKUP('Données projet'!$B$15,'Paramètres'!$A$1:$I$89,3,0)*0.475*44/12</f>
        <v>0</v>
      </c>
      <c r="EX95" s="142">
        <f>EXP(-LN(2)/2)*EX94+(1-EXP(-LN(2)/2))/(LN(2)/2)*ER95*EU95*VLOOKUP('Données projet'!$B$15,'Paramètres'!$A$1:$I$89,3,0)*0.475*44/12</f>
        <v>0</v>
      </c>
      <c r="EY95" s="143">
        <f t="shared" si="22"/>
        <v>83.77948533</v>
      </c>
      <c r="EZ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1" t="str">
        <f>VLOOKUP(A95,'Données projet'!$A$217:$I$237,2,0)</f>
        <v>#N/A</v>
      </c>
      <c r="FC95" s="131" t="str">
        <f>VLOOKUP(A95,'Données projet'!$A$217:$I$237,9,0)</f>
        <v>#N/A</v>
      </c>
      <c r="FD95" s="131" t="str">
        <f t="array" ref="FD95">INDEX(FC:FC,MIN(IF(ISNUMBER(FC95:FC291),ROW(FC95:FC291),"")))</f>
        <v/>
      </c>
      <c r="FE95" s="130">
        <f>IF('Données projet'!$A$218&gt;35,FE94+FD95-FM94,IF(A95&lt;'Données projet'!$A$218,$FB$205^A95,IF(A95='Données projet'!$A$218,'Données projet'!$B$218,FE94+FD95-FM94)))</f>
        <v>0</v>
      </c>
      <c r="FF95" s="138">
        <f>FE95*VLOOKUP('Données projet'!$B$16,'Paramètres'!$A$1:$I$89,3,0)*VLOOKUP('Données projet'!$B$16,'Paramètres'!$A$1:$I$89,5,0)</f>
        <v>0</v>
      </c>
      <c r="FG95" s="130">
        <f t="shared" si="48"/>
        <v>0</v>
      </c>
      <c r="FH95" s="141">
        <f t="shared" si="23"/>
        <v>0</v>
      </c>
      <c r="FI95" s="133">
        <f t="shared" si="24"/>
        <v>293.3333333</v>
      </c>
      <c r="FJ95" s="133">
        <f>AVERAGE(OFFSET($FI$3,0,0,'Données projet'!$E$16+1,1))-AVERAGE(OFFSET($H$3,0,0,'Données projet'!$E$16+1,1))</f>
        <v>305.6252353</v>
      </c>
      <c r="FK95" s="133">
        <f t="shared" si="49"/>
        <v>331.397916</v>
      </c>
      <c r="FL95" s="134">
        <f>IF(ISNA(VLOOKUP(A95,'Données projet'!$A$217:$I$237,3,0)),0,VLOOKUP(A95,'Données projet'!$A$217:$I$237,3,0))</f>
        <v>0</v>
      </c>
      <c r="FM95" s="134">
        <f>IF(ISNA(VLOOKUP(A95,'Données projet'!$A$217:$I$237,4,0)),0,VLOOKUP(A95,'Données projet'!$A$217:$I$237,4,0))</f>
        <v>0</v>
      </c>
      <c r="FN95" s="135">
        <f>IF(ISNA(VLOOKUP(A95,'Données projet'!$A$217:$I$237,5,0)),0%,VLOOKUP(A95,'Données projet'!$A$217:$I$237,5,0)*VLOOKUP('Données projet'!$B$16,'Paramètres'!$A$1:$I$89,7,0))</f>
        <v>0</v>
      </c>
      <c r="FO95" s="135">
        <f>IF(ISNA(VLOOKUP(A95,'Données projet'!$A$217:$I$237,6,0)),0%,VLOOKUP(A95,'Données projet'!$A$217:$I$237,6,0)*VLOOKUP('Données projet'!$B$16,'Paramètres'!$A$1:$I$89,7,0))</f>
        <v>0</v>
      </c>
      <c r="FP95" s="135">
        <f>IF(ISNA(VLOOKUP(A95,'Données projet'!$A$217:$I$237,7,0)),0%,VLOOKUP(A95,'Données projet'!$A$217:$I$237,7,0))</f>
        <v>0</v>
      </c>
      <c r="FQ95" s="142">
        <f>EXP(-LN(2)/35)*FQ94+(1-EXP(-LN(2)/35))/(LN(2)/35)*FM95*FN95*VLOOKUP('Données projet'!$B$16,'Paramètres'!$A$1:$I$89,3,0)*0.475*44/12</f>
        <v>52.16361134</v>
      </c>
      <c r="FR95" s="142">
        <f>EXP(-LN(2)/25)*FR94+(1-EXP(-LN(2)/25))/(LN(2)/25)*Calculateur!FM95*Calculateur!FO95*VLOOKUP('Données projet'!$B$16,'Paramètres'!$A$1:$I$89,3,0)*0.475*44/12</f>
        <v>0</v>
      </c>
      <c r="FS95" s="142">
        <f>EXP(-LN(2)/2)*FS94+(1-EXP(-LN(2)/2))/(LN(2)/2)*FM95*FP95*VLOOKUP('Données projet'!$B$16,'Paramètres'!$A$1:$I$89,3,0)*0.475*44/12</f>
        <v>0</v>
      </c>
      <c r="FT95" s="143">
        <f t="shared" si="25"/>
        <v>52.16361134</v>
      </c>
      <c r="FU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1" t="str">
        <f>VLOOKUP(A95,'Données projet'!$A$243:$I$263,2,0)</f>
        <v>#N/A</v>
      </c>
      <c r="FX95" s="131" t="str">
        <f>VLOOKUP(A95,'Données projet'!$A$243:$I$263,9,0)</f>
        <v>#N/A</v>
      </c>
      <c r="FY95" s="131" t="str">
        <f t="array" ref="FY95">INDEX(FX:FX,MIN(IF(ISNUMBER(FX95:FX291),ROW(FX95:FX291),"")))</f>
        <v/>
      </c>
      <c r="FZ95" s="138">
        <f>IF('Données projet'!$A$244&gt;35,FZ94+FY95-GH94,IF(A95&lt;'Données projet'!$A$244,$FW$205^A95,IF(A95='Données projet'!$A$244,'Données projet'!$B$244,FZ94+FY95-GH94)))</f>
        <v>0</v>
      </c>
      <c r="GA95" s="138">
        <f>FZ95*VLOOKUP('Données projet'!$B$17,'Paramètres'!$A$1:$I$89,3,0)*VLOOKUP('Données projet'!$B$17,'Paramètres'!$A$1:$I$89,5,0)</f>
        <v>0</v>
      </c>
      <c r="GB95" s="130">
        <f t="shared" si="50"/>
        <v>0</v>
      </c>
      <c r="GC95" s="141">
        <f t="shared" si="26"/>
        <v>0</v>
      </c>
      <c r="GD95" s="133">
        <f t="shared" si="27"/>
        <v>293.3333333</v>
      </c>
      <c r="GE95" s="133">
        <f>AVERAGE(OFFSET($GD$3,0,0,'Données projet'!$E$17+1,1))-AVERAGE(OFFSET($H$3,0,0,'Données projet'!$E$17+1,1))</f>
        <v>118.7368745</v>
      </c>
      <c r="GF95" s="133">
        <f t="shared" si="51"/>
        <v>135.1233677</v>
      </c>
      <c r="GG95" s="134">
        <f>IF(ISNA(VLOOKUP(A95,'Données projet'!$A$243:$I$263,3,0)),0,VLOOKUP(A95,'Données projet'!$A$243:$I$263,3,0))</f>
        <v>0</v>
      </c>
      <c r="GH95" s="134">
        <f>IF(ISNA(VLOOKUP(A95,'Données projet'!$A$243:$I$263,4,0)),0,VLOOKUP(A95,'Données projet'!$A$243:$I$263,4,0))</f>
        <v>0</v>
      </c>
      <c r="GI95" s="135">
        <f>IF(ISNA(VLOOKUP(A95,'Données projet'!$A$243:$I$263,5,0)),0%,VLOOKUP(A95,'Données projet'!$A$243:$I$263,5,0)*VLOOKUP('Données projet'!$B$17,'Paramètres'!$A$1:$I$89,7,0))</f>
        <v>0</v>
      </c>
      <c r="GJ95" s="135">
        <f>IF(ISNA(VLOOKUP(A95,'Données projet'!$A$243:$I$263,6,0)),0%,VLOOKUP(A95,'Données projet'!$A$243:$I$263,6,0)*VLOOKUP('Données projet'!$B$17,'Paramètres'!$A$1:$I$89,7,0))</f>
        <v>0</v>
      </c>
      <c r="GK95" s="135">
        <f>IF(ISNA(VLOOKUP(A95,'Données projet'!$A$243:$I$263,7,0)),0%,VLOOKUP(A95,'Données projet'!$A$243:$I$263,7,0))</f>
        <v>0</v>
      </c>
      <c r="GL95" s="142">
        <f>EXP(-LN(2)/35)*GL94+(1-EXP(-LN(2)/35))/(LN(2)/35)*GH95*GI95*VLOOKUP('Données projet'!$B$17,'Paramètres'!$A$1:$I$89,3,0)*0.475*44/12</f>
        <v>55.11069406</v>
      </c>
      <c r="GM95" s="142">
        <f>EXP(-LN(2)/25)*GM94+(1-EXP(-LN(2)/25))/(LN(2)/25)*Calculateur!GH95*Calculateur!GJ95*VLOOKUP('Données projet'!$B$17,'Paramètres'!$A$1:$I$89,3,0)*0.475*44/12</f>
        <v>0</v>
      </c>
      <c r="GN95" s="142">
        <f>EXP(-LN(2)/2)*GN94+(1-EXP(-LN(2)/2))/(LN(2)/2)*GH95*GK95*VLOOKUP('Données projet'!$B$17,'Paramètres'!$A$1:$I$89,3,0)*0.475*44/12</f>
        <v>0</v>
      </c>
      <c r="GO95" s="142">
        <f t="shared" si="28"/>
        <v>55.11069406</v>
      </c>
      <c r="GP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1" t="str">
        <f>VLOOKUP(A95,'Données projet'!$A$269:$I$289,2,0)</f>
        <v>#N/A</v>
      </c>
      <c r="GS95" s="131" t="str">
        <f>VLOOKUP(A95,'Données projet'!$A$269:$I$289,9,0)</f>
        <v>#N/A</v>
      </c>
      <c r="GT95" s="131" t="str">
        <f t="array" ref="GT95">INDEX(GS:GS,MIN(IF(ISNUMBER(GS95:GS291),ROW(GS95:GS291),"")))</f>
        <v/>
      </c>
      <c r="GU95" s="138">
        <f>IF('Données projet'!$A$270&gt;35,GU94+GT95-HC94,IF(A95&lt;'Données projet'!$A$270,$GR$205^A95,IF(A95='Données projet'!$A$270,'Données projet'!$B$270,GU94+GT95-HC94)))</f>
        <v>0</v>
      </c>
      <c r="GV95" s="138">
        <f>GU95*VLOOKUP('Données projet'!$B$18,'Paramètres'!$A$1:$I$89,3,0)*VLOOKUP('Données projet'!$B$18,'Paramètres'!$A$1:$I$89,5,0)</f>
        <v>0</v>
      </c>
      <c r="GW95" s="130" t="str">
        <f t="shared" si="52"/>
        <v>#NUM!</v>
      </c>
      <c r="GX95" s="141" t="str">
        <f t="shared" si="29"/>
        <v>#NUM!</v>
      </c>
      <c r="GY95" s="133" t="str">
        <f t="shared" si="30"/>
        <v>#NUM!</v>
      </c>
      <c r="GZ95" s="133">
        <f>AVERAGE(OFFSET($GY$3,0,0,'Données projet'!$E$18+1,1))-AVERAGE(OFFSET($H$3,0,0,'Données projet'!$E$18+1,1))</f>
        <v>100.5427875</v>
      </c>
      <c r="HA95" s="133">
        <f t="shared" si="53"/>
        <v>92.28663609</v>
      </c>
      <c r="HB95" s="134">
        <f>IF(ISNA(VLOOKUP(A95,'Données projet'!$A$269:$I$289,3,0)),0,VLOOKUP(A95,'Données projet'!$A$269:$I$289,3,0))</f>
        <v>0</v>
      </c>
      <c r="HC95" s="134">
        <f>IF(ISNA(VLOOKUP(A95,'Données projet'!$A$269:$I$289,4,0)),0,VLOOKUP(A95,'Données projet'!$A$269:$I$289,4,0))</f>
        <v>0</v>
      </c>
      <c r="HD95" s="135">
        <f>IF(ISNA(VLOOKUP(A95,'Données projet'!$A$269:$I$289,5,0)),0%,VLOOKUP(A95,'Données projet'!$A$269:$I$289,5,0)*VLOOKUP('Données projet'!$B$18,'Paramètres'!$A$1:$I$89,7,0))</f>
        <v>0</v>
      </c>
      <c r="HE95" s="135">
        <f>IF(ISNA(VLOOKUP(A95,'Données projet'!$A$269:$I$289,6,0)),0%,VLOOKUP(A95,'Données projet'!$A$269:$I$289,6,0)*VLOOKUP('Données projet'!$B$18,'Paramètres'!$A$1:$I$89,7,0))</f>
        <v>0</v>
      </c>
      <c r="HF95" s="135">
        <f>IF(ISNA(VLOOKUP(A95,'Données projet'!$A$269:$I$289,7,0)),0%,VLOOKUP(A95,'Données projet'!$A$269:$I$289,7,0))</f>
        <v>0</v>
      </c>
      <c r="HG95" s="142">
        <f>EXP(-LN(2)/35)*HG94+(1-EXP(-LN(2)/35))/(LN(2)/35)*HC95*HD95*VLOOKUP('Données projet'!$B$18,'Paramètres'!$A$1:$I$89,3,0)*0.475*44/12</f>
        <v>37.52922004</v>
      </c>
      <c r="HH95" s="142">
        <f>EXP(-LN(2)/25)*HH94+(1-EXP(-LN(2)/25))/(LN(2)/25)*Calculateur!HC95*Calculateur!HE95*VLOOKUP('Données projet'!$B$18,'Paramètres'!$A$1:$I$89,3,0)*0.475*44/12</f>
        <v>0</v>
      </c>
      <c r="HI95" s="142">
        <f>EXP(-LN(2)/2)*HI94+(1-EXP(-LN(2)/2))/(LN(2)/2)*HC95*HF95*VLOOKUP('Données projet'!$B$18,'Paramètres'!$A$1:$I$89,3,0)*0.475*44/12</f>
        <v>0</v>
      </c>
      <c r="HJ95" s="143">
        <f t="shared" si="31"/>
        <v>37.52922004</v>
      </c>
    </row>
    <row r="96" ht="15.75" customHeight="1">
      <c r="A96" s="125">
        <f t="shared" si="32"/>
        <v>93</v>
      </c>
      <c r="B96" s="126">
        <f>'Scénario référence'!$B$16*5+'Scénario référence'!$B$17*0+'Scénario référence'!$B$18*5</f>
        <v>0</v>
      </c>
      <c r="C96" s="140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50.778</v>
      </c>
      <c r="D96" s="127">
        <f t="shared" si="33"/>
        <v>14.81450065</v>
      </c>
      <c r="E9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7">
        <f>IF(OR('Scénario référence'!$F$8&gt;0,'Scénario référence'!$F$9&gt;0),('Scénario référence'!$F$8+'Scénario référence'!$F$9)*10,0)</f>
        <v>10</v>
      </c>
      <c r="G96" s="127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506.3280752</v>
      </c>
      <c r="H96" s="128">
        <f t="shared" si="1"/>
        <v>407.5736053</v>
      </c>
      <c r="I96" s="12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1" t="str">
        <f>VLOOKUP(A96,'Données projet'!$A$35:$I$55,2,0)</f>
        <v>#N/A</v>
      </c>
      <c r="L96" s="131" t="str">
        <f>VLOOKUP(A96,'Données projet'!$A$35:$I$55,9,0)</f>
        <v>#N/A</v>
      </c>
      <c r="M96" s="131" t="str">
        <f t="array" ref="M96">INDEX(L:L,MIN(IF(ISNUMBER(L96:L292),ROW(L96:L292),"")))</f>
        <v/>
      </c>
      <c r="N96" s="130">
        <f>IF('Données projet'!$A$36&gt;35,N95+M96-V95,IF(A96&lt;'Données projet'!$A$36,$K$205^A96,IF(A96='Données projet'!$A$36,'Données projet'!$B$36,N95+M96-V95)))</f>
        <v>0</v>
      </c>
      <c r="O96" s="130">
        <f>N96*VLOOKUP('Données projet'!$B$9,'Paramètres'!$A$1:$I$89,3,0)*VLOOKUP('Données projet'!$B$9,'Paramètres'!$A$1:$I$89,5,0)</f>
        <v>0</v>
      </c>
      <c r="P96" s="130">
        <f t="shared" si="34"/>
        <v>0</v>
      </c>
      <c r="Q96" s="141">
        <f t="shared" si="2"/>
        <v>0</v>
      </c>
      <c r="R96" s="133">
        <f t="shared" si="3"/>
        <v>293.3333333</v>
      </c>
      <c r="S96" s="133">
        <f>AVERAGE(OFFSET($R$3,0,0,'Données projet'!$E$9+1,1))-AVERAGE(OFFSET($H$3,0,0,'Données projet'!$E$9+1,1))</f>
        <v>126.9946492</v>
      </c>
      <c r="T96" s="133">
        <f t="shared" si="35"/>
        <v>140.039049</v>
      </c>
      <c r="U96" s="134">
        <f>IF(ISNA(VLOOKUP(A96,'Données projet'!$A$35:$I$55,3,0)),0,VLOOKUP(A96,'Données projet'!$A$35:$I$55,3,0))</f>
        <v>0</v>
      </c>
      <c r="V96" s="134">
        <f>IF(ISNA(VLOOKUP(A96,'Données projet'!$A$35:$I$55,4,0)),0,VLOOKUP(A96,'Données projet'!$A$35:$I$55,4,0))</f>
        <v>0</v>
      </c>
      <c r="W96" s="135">
        <f>IF(ISNA(VLOOKUP(A96,'Données projet'!$A$35:$I$55,5,0)),0%,VLOOKUP(A96,'Données projet'!$A$35:$I$55,5,0)*VLOOKUP('Données projet'!$B$9,'Paramètres'!$A$1:$I$89,7,0))</f>
        <v>0</v>
      </c>
      <c r="X96" s="135">
        <f>IF(ISNA(VLOOKUP(A96,'Données projet'!$A$35:$I$55,6,0)),0%,VLOOKUP(A96,'Données projet'!$A$35:$I$55,6,0)*VLOOKUP('Données projet'!$B$9,'Paramètres'!$A$1:$I$89,7,0))</f>
        <v>0</v>
      </c>
      <c r="Y96" s="135">
        <f>IF(ISNA(VLOOKUP(A96,'Données projet'!$A$35:$I$55,7,0)),0%,VLOOKUP(A96,'Données projet'!$A$35:$I$55,7,0))</f>
        <v>0</v>
      </c>
      <c r="Z96" s="142">
        <f>EXP(-LN(2)/35)*Z95+(1-EXP(-LN(2)/35))/(LN(2)/35)*V96*W96*VLOOKUP('Données projet'!$B$9,'Paramètres'!$A$1:$I$89,3,0)*0.475*44/12</f>
        <v>55.26066986</v>
      </c>
      <c r="AA96" s="142">
        <f>EXP(-LN(2)/25)*AA95+(1-EXP(-LN(2)/25))/(LN(2)/25)*Calculateur!V96*Calculateur!X96*VLOOKUP('Données projet'!$B$9,'Paramètres'!$A$1:$I$89,3,0)*0.475*44/12</f>
        <v>9.307890211</v>
      </c>
      <c r="AB96" s="142">
        <f>EXP(-LN(2)/2)*AB95+(1-EXP(-LN(2)/2))/(LN(2)/2)*V96*Y96*VLOOKUP('Données projet'!$B$9,'Paramètres'!$A$1:$I$89,3,0)*0.475*44/12</f>
        <v>0.0002048875908</v>
      </c>
      <c r="AC96" s="143">
        <f t="shared" si="4"/>
        <v>64.56876496</v>
      </c>
      <c r="AD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1" t="str">
        <f>VLOOKUP(A96,'Données projet'!$A$61:$I$81,2,0)</f>
        <v>#N/A</v>
      </c>
      <c r="AG96" s="131" t="str">
        <f>VLOOKUP(A96,'Données projet'!$A$61:$I$81,9,0)</f>
        <v>#N/A</v>
      </c>
      <c r="AH96" s="131" t="str">
        <f t="array" ref="AH96">INDEX(AG:AG,MIN(IF(ISNUMBER(AG96:AG292),ROW(AG96:AG292),"")))</f>
        <v/>
      </c>
      <c r="AI96" s="130">
        <f>IF('Données projet'!$A$62&gt;35,AI95+AH96-AQ95,IF(A96&lt;'Données projet'!$A$62,$AF$205^A96,IF(A96='Données projet'!$A$62,'Données projet'!$B$62,AI95+AH96-AQ95)))</f>
        <v>0</v>
      </c>
      <c r="AJ96" s="130">
        <f>AI96*VLOOKUP('Données projet'!$B$10,'Paramètres'!$A$1:$I$89,3,0)*VLOOKUP('Données projet'!$B$10,'Paramètres'!$A$1:$I$89,5,0)</f>
        <v>0</v>
      </c>
      <c r="AK96" s="130" t="str">
        <f t="shared" si="36"/>
        <v>#NUM!</v>
      </c>
      <c r="AL96" s="141" t="str">
        <f t="shared" si="5"/>
        <v>#NUM!</v>
      </c>
      <c r="AM96" s="133" t="str">
        <f t="shared" si="6"/>
        <v>#NUM!</v>
      </c>
      <c r="AN96" s="133">
        <f>AVERAGE(OFFSET($AM$3,0,0,'Données projet'!$E$10+1,1))-AVERAGE(OFFSET($H$3,0,0,'Données projet'!$E$10+1,1))</f>
        <v>196.874484</v>
      </c>
      <c r="AO96" s="133">
        <f t="shared" si="37"/>
        <v>217.5750859</v>
      </c>
      <c r="AP96" s="134">
        <f>IF(ISNA(VLOOKUP(A96,'Données projet'!$A$61:$I$81,3,0)),0,VLOOKUP(A96,'Données projet'!$A$61:$I$81,3,0))</f>
        <v>0</v>
      </c>
      <c r="AQ96" s="134">
        <f>IF(ISNA(VLOOKUP(A96,'Données projet'!$A$61:$I$81,4,0)),0,VLOOKUP(A96,'Données projet'!$A$61:$I$81,4,0))</f>
        <v>0</v>
      </c>
      <c r="AR96" s="135">
        <f>IF(ISNA(VLOOKUP(A96,'Données projet'!$A$61:$I$81,5,0)),0%,VLOOKUP(A96,'Données projet'!$A$61:$I$81,5,0)*VLOOKUP('Données projet'!$B$10,'Paramètres'!$A$1:$I$89,7,0))</f>
        <v>0</v>
      </c>
      <c r="AS96" s="135">
        <f>IF(ISNA(VLOOKUP(A96,'Données projet'!$A$61:$I$81,6,0)),0%,VLOOKUP(A96,'Données projet'!$A$61:$I$81,6,0)*VLOOKUP('Données projet'!$B$10,'Paramètres'!$A$1:$I$89,7,0))</f>
        <v>0</v>
      </c>
      <c r="AT96" s="135">
        <f>IF(ISNA(VLOOKUP(A96,'Données projet'!$A$61:$I$81,7,0)),0%,VLOOKUP(A96,'Données projet'!$A$61:$I$81,7,0))</f>
        <v>0</v>
      </c>
      <c r="AU96" s="142">
        <f>EXP(-LN(2)/35)*AU95+(1-EXP(-LN(2)/35))/(LN(2)/35)*AQ96*AR96*VLOOKUP('Données projet'!$B$10,'Paramètres'!$A$1:$I$89,3,0)*0.475*44/12</f>
        <v>76.81076149</v>
      </c>
      <c r="AV96" s="142">
        <f>EXP(-LN(2)/25)*AV95+(1-EXP(-LN(2)/25))/(LN(2)/25)*Calculateur!AQ96*Calculateur!AS96*VLOOKUP('Données projet'!$B$10,'Paramètres'!$A$1:$I$89,3,0)*0.475*44/12</f>
        <v>14.31089363</v>
      </c>
      <c r="AW96" s="142">
        <f>EXP(-LN(2)/2)*AW95+(1-EXP(-LN(2)/2))/(LN(2)/2)*AQ96*AT96*VLOOKUP('Données projet'!$B$10,'Paramètres'!$A$1:$I$89,3,0)*0.475*44/12</f>
        <v>0.0002856563192</v>
      </c>
      <c r="AX96" s="142">
        <f t="shared" si="7"/>
        <v>91.12194078</v>
      </c>
      <c r="AY96" s="13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1" t="str">
        <f>VLOOKUP(A96,'Données projet'!$A$87:$I$107,2,0)</f>
        <v>#N/A</v>
      </c>
      <c r="BB96" s="131" t="str">
        <f>VLOOKUP(A96,'Données projet'!$A$87:$I$107,9,0)</f>
        <v>#N/A</v>
      </c>
      <c r="BC96" s="131" t="str">
        <f t="array" ref="BC96">INDEX(BB:BB,MIN(IF(ISNUMBER(BB96:BB292),ROW(BB96:BB292),"")))</f>
        <v/>
      </c>
      <c r="BD96" s="130">
        <f>IF('Données projet'!$A$88&gt;35,BD95+BC96-BL95,IF(A96&lt;'Données projet'!$A$88,$BA$205^A96,IF(A96='Données projet'!$A$88,'Données projet'!$B$88,BD95+BC96-BL95)))</f>
        <v>0</v>
      </c>
      <c r="BE96" s="130">
        <f>BD96*VLOOKUP('Données projet'!$B$11,'Paramètres'!$A$1:$I$89,3,0)*VLOOKUP('Données projet'!$B$11,'Paramètres'!$A$1:$I$89,5,0)</f>
        <v>0</v>
      </c>
      <c r="BF96" s="130" t="str">
        <f t="shared" si="38"/>
        <v>#NUM!</v>
      </c>
      <c r="BG96" s="141" t="str">
        <f t="shared" si="8"/>
        <v>#NUM!</v>
      </c>
      <c r="BH96" s="133" t="str">
        <f t="shared" si="9"/>
        <v>#NUM!</v>
      </c>
      <c r="BI96" s="133">
        <f>AVERAGE(OFFSET($BH$3,0,0,'Données projet'!$E$11+1,1))-AVERAGE(OFFSET($H$3,0,0,'Données projet'!$E$11+1,1))</f>
        <v>134.0948534</v>
      </c>
      <c r="BJ96" s="133">
        <f t="shared" si="39"/>
        <v>108.4102536</v>
      </c>
      <c r="BK96" s="134">
        <f>IF(ISNA(VLOOKUP(A96,'Données projet'!$A$87:$I$107,3,0)),0,VLOOKUP(A96,'Données projet'!$A$87:$I$107,3,0))</f>
        <v>0</v>
      </c>
      <c r="BL96" s="134">
        <f>IF(ISNA(VLOOKUP(A96,'Données projet'!$A$87:$I$107,4,0)),0,VLOOKUP(A96,'Données projet'!$A$87:$I$107,4,0))</f>
        <v>0</v>
      </c>
      <c r="BM96" s="135">
        <f>IF(ISNA(VLOOKUP(A96,'Données projet'!$A$87:$I$107,5,0)),0%,VLOOKUP(A96,'Données projet'!$A$87:$I$107,5,0)*VLOOKUP('Données projet'!$B$11,'Paramètres'!$A$1:$I$89,7,0))</f>
        <v>0</v>
      </c>
      <c r="BN96" s="135">
        <f>IF(ISNA(VLOOKUP(A96,'Données projet'!$A$87:$I$107,6,0)),0%,VLOOKUP(A96,'Données projet'!$A$87:$I$107,6,0)*VLOOKUP('Données projet'!$B$11,'Paramètres'!$A$1:$I$89,7,0))</f>
        <v>0</v>
      </c>
      <c r="BO96" s="135">
        <f>IF(ISNA(VLOOKUP(A96,'Données projet'!$A$87:$I$107,7,0)),0%,VLOOKUP(A96,'Données projet'!$A$87:$I$107,7,0))</f>
        <v>0</v>
      </c>
      <c r="BP96" s="142">
        <f>EXP(-LN(2)/35)*BP95+(1-EXP(-LN(2)/35))/(LN(2)/35)*BL96*BM96*VLOOKUP('Données projet'!$B$11,'Paramètres'!$A$1:$I$89,3,0)*0.475*44/12</f>
        <v>106.2436282</v>
      </c>
      <c r="BQ96" s="142">
        <f>EXP(-LN(2)/25)*BQ95+(1-EXP(-LN(2)/25))/(LN(2)/25)*Calculateur!BL96*Calculateur!BN96*VLOOKUP('Données projet'!$B$11,'Paramètres'!$A$1:$I$89,3,0)*0.475*44/12</f>
        <v>9.027323992</v>
      </c>
      <c r="BR96" s="142">
        <f>EXP(-LN(2)/2)*BR95+(1-EXP(-LN(2)/2))/(LN(2)/2)*BL96*BO96*VLOOKUP('Données projet'!$B$11,'Paramètres'!$A$1:$I$89,3,0)*0.475*44/12</f>
        <v>0.003810245348</v>
      </c>
      <c r="BS96" s="143">
        <f t="shared" si="10"/>
        <v>115.2747624</v>
      </c>
      <c r="BT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1" t="str">
        <f>VLOOKUP(A96,'Données projet'!$A$113:$I$133,2,0)</f>
        <v>#N/A</v>
      </c>
      <c r="BW96" s="131" t="str">
        <f>VLOOKUP(A96,'Données projet'!$A$113:$I$133,9,0)</f>
        <v>#N/A</v>
      </c>
      <c r="BX96" s="131" t="str">
        <f t="array" ref="BX96">INDEX(BW:BW,MIN(IF(ISNUMBER(BW96:BW292),ROW(BW96:BW292),"")))</f>
        <v/>
      </c>
      <c r="BY96" s="130">
        <f>IF('Données projet'!$A$114&gt;35,BY95+BX96-CG95,IF(A96&lt;'Données projet'!$A$114,$BV$205^A96,IF(A96='Données projet'!$A$114,'Données projet'!$B$114,BY95+BX96-CG95)))</f>
        <v>0</v>
      </c>
      <c r="BZ96" s="130">
        <f>BY96*VLOOKUP('Données projet'!$B$12,'Paramètres'!$A$1:$I$89,3,0)*VLOOKUP('Données projet'!$B$12,'Paramètres'!$A$1:$I$89,5,0)</f>
        <v>0</v>
      </c>
      <c r="CA96" s="130" t="str">
        <f t="shared" si="40"/>
        <v>#NUM!</v>
      </c>
      <c r="CB96" s="141" t="str">
        <f t="shared" si="11"/>
        <v>#NUM!</v>
      </c>
      <c r="CC96" s="133" t="str">
        <f t="shared" si="12"/>
        <v>#NUM!</v>
      </c>
      <c r="CD96" s="133">
        <f>AVERAGE(OFFSET($CC$3,0,0,'Données projet'!$E$12+1,1))-AVERAGE(OFFSET($H$3,0,0,'Données projet'!$E$12+1,1))</f>
        <v>258.1672054</v>
      </c>
      <c r="CE96" s="133">
        <f t="shared" si="41"/>
        <v>296.0724261</v>
      </c>
      <c r="CF96" s="134">
        <f>IF(ISNA(VLOOKUP(A96,'Données projet'!$A$113:$I$133,3,0)),0,VLOOKUP(A96,'Données projet'!$A$113:$I$133,3,0))</f>
        <v>0</v>
      </c>
      <c r="CG96" s="134">
        <f>IF(ISNA(VLOOKUP(A96,'Données projet'!$A$113:$I$133,4,0)),0,VLOOKUP(A96,'Données projet'!$A$113:$I$133,4,0))</f>
        <v>0</v>
      </c>
      <c r="CH96" s="135">
        <f>IF(ISNA(VLOOKUP(A96,'Données projet'!$A$113:$I$133,5,0)),0%,VLOOKUP(A96,'Données projet'!$A$113:$I$133,5,0)*VLOOKUP('Données projet'!$B$12,'Paramètres'!$A$1:$I$89,7,0))</f>
        <v>0</v>
      </c>
      <c r="CI96" s="135">
        <f>IF(ISNA(VLOOKUP(A96,'Données projet'!$A$113:$I$133,6,0)),0%,VLOOKUP(A96,'Données projet'!$A$113:$I$133,6,0)*VLOOKUP('Données projet'!$B$12,'Paramètres'!$A$1:$I$89,7,0))</f>
        <v>0</v>
      </c>
      <c r="CJ96" s="135">
        <f>IF(ISNA(VLOOKUP(A96,'Données projet'!$A$113:$I$133,7,0)),0%,VLOOKUP(A96,'Données projet'!$A$113:$I$133,7,0))</f>
        <v>0</v>
      </c>
      <c r="CK96" s="142">
        <f>EXP(-LN(2)/35)*CK95+(1-EXP(-LN(2)/35))/(LN(2)/35)*CG96*CH96*VLOOKUP('Données projet'!$B$12,'Paramètres'!$A$1:$I$89,3,0)*0.475*44/12</f>
        <v>134.3244473</v>
      </c>
      <c r="CL96" s="142">
        <f>EXP(-LN(2)/25)*CL95+(1-EXP(-LN(2)/25))/(LN(2)/25)*Calculateur!CG96*Calculateur!CI96*VLOOKUP('Données projet'!$B$12,'Paramètres'!$A$1:$I$89,3,0)*0.475*44/12</f>
        <v>15.83443874</v>
      </c>
      <c r="CM96" s="142">
        <f>EXP(-LN(2)/2)*CM95+(1-EXP(-LN(2)/2))/(LN(2)/2)*CG96*CJ96*VLOOKUP('Données projet'!$B$12,'Paramètres'!$A$1:$I$89,3,0)*0.475*44/12</f>
        <v>0.0001605211393</v>
      </c>
      <c r="CN96" s="143">
        <f t="shared" si="13"/>
        <v>150.1590466</v>
      </c>
      <c r="CO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1" t="str">
        <f>VLOOKUP(A96,'Données projet'!$A$139:$I$159,2,0)</f>
        <v>#N/A</v>
      </c>
      <c r="CR96" s="131" t="str">
        <f>VLOOKUP(A96,'Données projet'!$A$139:$I$159,9,0)</f>
        <v>#N/A</v>
      </c>
      <c r="CS96" s="130">
        <f t="array" ref="CS96">INDEX(CR:CR,MIN(IF(ISNUMBER(CR96:CR292),ROW(CR96:CR292),"")))</f>
        <v>2.3</v>
      </c>
      <c r="CT96" s="138">
        <f>IF('Données projet'!$A$140&gt;35,CT95+CS96-DB95,IF(A96&lt;'Données projet'!$A$140,$CQ$205^A96,IF(A96='Données projet'!$A$140,'Données projet'!$B$140,CT95+CS96-DB95)))</f>
        <v>199.9</v>
      </c>
      <c r="CU96" s="138">
        <f>CT96*VLOOKUP('Données projet'!$B$13,'Paramètres'!$A$1:$I$89,3,0)*VLOOKUP('Données projet'!$B$13,'Paramètres'!$A$1:$I$89,5,0)</f>
        <v>202.6986</v>
      </c>
      <c r="CV96" s="130">
        <f t="shared" si="42"/>
        <v>50.33677491</v>
      </c>
      <c r="CW96" s="141">
        <f t="shared" si="14"/>
        <v>440.703278</v>
      </c>
      <c r="CX96" s="133">
        <f t="shared" si="15"/>
        <v>734.0366113</v>
      </c>
      <c r="CY96" s="133">
        <f>AVERAGE(OFFSET($CX$3,0,0,'Données projet'!$E$13+1,1))-AVERAGE(OFFSET($H$3,0,0,'Données projet'!$E$13+1,1))</f>
        <v>223.783507</v>
      </c>
      <c r="CZ96" s="133">
        <f t="shared" si="43"/>
        <v>84.92349117</v>
      </c>
      <c r="DA96" s="134">
        <f>IF(ISNA(VLOOKUP(A96,'Données projet'!$A$139:$I$159,3,0)),0,VLOOKUP(A96,'Données projet'!$A$139:$I$159,3,0))</f>
        <v>0</v>
      </c>
      <c r="DB96" s="134">
        <f>IF(ISNA(VLOOKUP(A96,'Données projet'!$A$139:$I$159,4,0)),0,VLOOKUP(A96,'Données projet'!$A$139:$I$159,4,0))</f>
        <v>0</v>
      </c>
      <c r="DC96" s="135">
        <f>IF(ISNA(VLOOKUP(A96,'Données projet'!$A$139:$I$159,5,0)),0%,VLOOKUP(A96,'Données projet'!$A$139:$I$159,5,0)*VLOOKUP('Données projet'!$B$13,'Paramètres'!$A$1:$I$89,7,0))</f>
        <v>0</v>
      </c>
      <c r="DD96" s="135">
        <f>IF(ISNA(VLOOKUP(A96,'Données projet'!$A$139:$I$159,6,0)),0%,VLOOKUP(A96,'Données projet'!$A$139:$I$159,6,0)*VLOOKUP('Données projet'!$B$13,'Paramètres'!$A$1:$I$89,7,0))</f>
        <v>0</v>
      </c>
      <c r="DE96" s="135">
        <f>IF(ISNA(VLOOKUP(A96,'Données projet'!$A$139:$I$159,7,0)),0%,VLOOKUP(A96,'Données projet'!$A$139:$I$159,7,0))</f>
        <v>0</v>
      </c>
      <c r="DF96" s="142">
        <f>EXP(-LN(2)/35)*DF95+(1-EXP(-LN(2)/35))/(LN(2)/35)*DB96*DC96*VLOOKUP('Données projet'!$B$13,'Paramètres'!$A$1:$I$89,3,0)*0.475*44/12</f>
        <v>18.60793631</v>
      </c>
      <c r="DG96" s="142">
        <f>EXP(-LN(2)/25)*DG95+(1-EXP(-LN(2)/25))/(LN(2)/25)*Calculateur!DB96*Calculateur!DD96*VLOOKUP('Données projet'!$B$13,'Paramètres'!$A$1:$I$89,3,0)*0.475*44/12</f>
        <v>0</v>
      </c>
      <c r="DH96" s="142">
        <f>EXP(-LN(2)/2)*DH95+(1-EXP(-LN(2)/2))/(LN(2)/2)*DB96*DE96*VLOOKUP('Données projet'!$B$13,'Paramètres'!$A$1:$I$89,3,0)*0.475*44/12</f>
        <v>0</v>
      </c>
      <c r="DI96" s="143">
        <f t="shared" si="16"/>
        <v>18.60793631</v>
      </c>
      <c r="DJ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1" t="str">
        <f>VLOOKUP(A96,'Données projet'!$A$165:$I$185,2,0)</f>
        <v>#N/A</v>
      </c>
      <c r="DM96" s="131" t="str">
        <f>VLOOKUP(A96,'Données projet'!$A$165:$I$185,9,0)</f>
        <v>#N/A</v>
      </c>
      <c r="DN96" s="131">
        <f t="array" ref="DN96">INDEX(DM:DM,MIN(IF(ISNUMBER(DM96:DM292),ROW(DM96:DM292),"")))</f>
        <v>2.8</v>
      </c>
      <c r="DO96" s="138">
        <f>IF('Données projet'!$A$166&gt;35,DO95+DN96-DW95,IF(A96&lt;'Données projet'!$A$166,$DL$205^A96,IF(A96='Données projet'!$A$166,'Données projet'!$B$166,DO95+DN96-DW95)))</f>
        <v>262.4</v>
      </c>
      <c r="DP96" s="138">
        <f>DO96*VLOOKUP('Données projet'!$B$14,'Paramètres'!$A$1:$I$89,3,0)*VLOOKUP('Données projet'!$B$14,'Paramètres'!$A$1:$I$89,5,0)</f>
        <v>237.41952</v>
      </c>
      <c r="DQ96" s="130">
        <f t="shared" si="44"/>
        <v>57.88397881</v>
      </c>
      <c r="DR96" s="141">
        <f t="shared" si="17"/>
        <v>514.3202604</v>
      </c>
      <c r="DS96" s="133">
        <f t="shared" si="18"/>
        <v>807.6535938</v>
      </c>
      <c r="DT96" s="133">
        <f>AVERAGE(OFFSET($DS$3,0,0,'Données projet'!$E$14+1,1))-AVERAGE(OFFSET($H$3,0,0,'Données projet'!$E$14+1,1))</f>
        <v>287.9334714</v>
      </c>
      <c r="DU96" s="133">
        <f t="shared" si="45"/>
        <v>156.6796502</v>
      </c>
      <c r="DV96" s="134">
        <f>IF(ISNA(VLOOKUP(A96,'Données projet'!$A$165:$I$185,3,0)),0,VLOOKUP(A96,'Données projet'!$A$165:$I$185,3,0))</f>
        <v>0</v>
      </c>
      <c r="DW96" s="134">
        <f>IF(ISNA(VLOOKUP(A96,'Données projet'!$A$165:$I$185,4,0)),0,VLOOKUP(A96,'Données projet'!$A$165:$I$185,4,0))</f>
        <v>0</v>
      </c>
      <c r="DX96" s="135">
        <f>IF(ISNA(VLOOKUP(A96,'Données projet'!$A$165:$I$185,5,0)),0%,VLOOKUP(A96,'Données projet'!$A$165:$I$185,5,0)*VLOOKUP('Données projet'!$B$14,'Paramètres'!$A$1:$I$89,7,0))</f>
        <v>0</v>
      </c>
      <c r="DY96" s="135">
        <f>IF(ISNA(VLOOKUP(A96,'Données projet'!$A$165:$I$185,6,0)),0%,VLOOKUP(A96,'Données projet'!$A$165:$I$185,6,0)*VLOOKUP('Données projet'!$B$14,'Paramètres'!$A$1:$I$89,7,0))</f>
        <v>0</v>
      </c>
      <c r="DZ96" s="135">
        <f>IF(ISNA(VLOOKUP(A96,'Données projet'!$A$165:$I$185,7,0)),0%,VLOOKUP(A96,'Données projet'!$A$165:$I$185,7,0))</f>
        <v>0</v>
      </c>
      <c r="EA96" s="142">
        <f>EXP(-LN(2)/35)*EA95+(1-EXP(-LN(2)/35))/(LN(2)/35)*DW96*DX96*VLOOKUP('Données projet'!$B$14,'Paramètres'!$A$1:$I$89,3,0)*0.475*44/12</f>
        <v>28.51571884</v>
      </c>
      <c r="EB96" s="142">
        <f>EXP(-LN(2)/25)*EB95+(1-EXP(-LN(2)/25))/(LN(2)/25)*Calculateur!DW96*Calculateur!DY96*VLOOKUP('Données projet'!$B$14,'Paramètres'!$A$1:$I$89,3,0)*0.475*44/12</f>
        <v>0</v>
      </c>
      <c r="EC96" s="142">
        <f>EXP(-LN(2)/2)*EC95+(1-EXP(-LN(2)/2))/(LN(2)/2)*DW96*DZ96*VLOOKUP('Données projet'!$B$14,'Paramètres'!$A$1:$I$89,3,0)*0.475*44/12</f>
        <v>0</v>
      </c>
      <c r="ED96" s="143">
        <f t="shared" si="19"/>
        <v>28.51571884</v>
      </c>
      <c r="EE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1" t="str">
        <f>VLOOKUP(A96,'Données projet'!$A$191:$I$211,2,0)</f>
        <v>#N/A</v>
      </c>
      <c r="EH96" s="131" t="str">
        <f>VLOOKUP(A96,'Données projet'!$A$191:$I$211,9,0)</f>
        <v>#N/A</v>
      </c>
      <c r="EI96" s="131" t="str">
        <f t="array" ref="EI96">INDEX(EH:EH,MIN(IF(ISNUMBER(EH96:EH292),ROW(EH96:EH292),"")))</f>
        <v/>
      </c>
      <c r="EJ96" s="138">
        <f>IF('Données projet'!$A$192&gt;35,EJ95+EI96-ER95,IF(A96&lt;'Données projet'!$A$192,$EG$205^A96,IF(A96='Données projet'!$A$192,'Données projet'!$B$192,EJ95+EI96-ER95)))</f>
        <v>0</v>
      </c>
      <c r="EK96" s="138">
        <f>EJ96*VLOOKUP('Données projet'!$B$15,'Paramètres'!$A$1:$I$89,3,0)*VLOOKUP('Données projet'!$B$15,'Paramètres'!$A$1:$I$89,5,0)</f>
        <v>0</v>
      </c>
      <c r="EL96" s="130" t="str">
        <f t="shared" si="46"/>
        <v>#NUM!</v>
      </c>
      <c r="EM96" s="141" t="str">
        <f t="shared" si="20"/>
        <v>#NUM!</v>
      </c>
      <c r="EN96" s="133" t="str">
        <f t="shared" si="21"/>
        <v>#NUM!</v>
      </c>
      <c r="EO96" s="133">
        <f>AVERAGE(OFFSET($EN$3,0,0,'Données projet'!$E$15+1,1))-AVERAGE(OFFSET($H$3,0,0,'Données projet'!$E$15+1,1))</f>
        <v>130.3193339</v>
      </c>
      <c r="EP96" s="133">
        <f t="shared" si="47"/>
        <v>82.22784365</v>
      </c>
      <c r="EQ96" s="134">
        <f>IF(ISNA(VLOOKUP(A96,'Données projet'!$A$191:$I$211,3,0)),0,VLOOKUP(A96,'Données projet'!$A$191:$I$211,3,0))</f>
        <v>0</v>
      </c>
      <c r="ER96" s="134">
        <f>IF(ISNA(VLOOKUP(A96,'Données projet'!$A$191:$I$211,4,0)),0,VLOOKUP(A96,'Données projet'!$A$191:$I$211,4,0))</f>
        <v>0</v>
      </c>
      <c r="ES96" s="135">
        <f>IF(ISNA(VLOOKUP(A96,'Données projet'!$A$191:$I$211,5,0)),0%,VLOOKUP(A96,'Données projet'!$A$191:$I$211,5,0)*VLOOKUP('Données projet'!$B$15,'Paramètres'!$A$1:$I$89,7,0))</f>
        <v>0</v>
      </c>
      <c r="ET96" s="135">
        <f>IF(ISNA(VLOOKUP(A96,'Données projet'!$A$191:$I$211,6,0)),0%,VLOOKUP(A96,'Données projet'!$A$191:$I$211,6,0)*VLOOKUP('Données projet'!$B$15,'Paramètres'!$A$1:$I$89,7,0))</f>
        <v>0</v>
      </c>
      <c r="EU96" s="135">
        <f>IF(ISNA(VLOOKUP(A96,'Données projet'!$A$191:$I$211,7,0)),0%,VLOOKUP(A96,'Données projet'!$A$191:$I$211,7,0))</f>
        <v>0</v>
      </c>
      <c r="EV96" s="142">
        <f>EXP(-LN(2)/35)*EV95+(1-EXP(-LN(2)/35))/(LN(2)/35)*ER96*ES96*VLOOKUP('Données projet'!$B$15,'Paramètres'!$A$1:$I$89,3,0)*0.475*44/12</f>
        <v>82.13662072</v>
      </c>
      <c r="EW96" s="142">
        <f>EXP(-LN(2)/25)*EW95+(1-EXP(-LN(2)/25))/(LN(2)/25)*Calculateur!ER96*Calculateur!ET96*VLOOKUP('Données projet'!$B$15,'Paramètres'!$A$1:$I$89,3,0)*0.475*44/12</f>
        <v>0</v>
      </c>
      <c r="EX96" s="142">
        <f>EXP(-LN(2)/2)*EX95+(1-EXP(-LN(2)/2))/(LN(2)/2)*ER96*EU96*VLOOKUP('Données projet'!$B$15,'Paramètres'!$A$1:$I$89,3,0)*0.475*44/12</f>
        <v>0</v>
      </c>
      <c r="EY96" s="143">
        <f t="shared" si="22"/>
        <v>82.13662072</v>
      </c>
      <c r="EZ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1" t="str">
        <f>VLOOKUP(A96,'Données projet'!$A$217:$I$237,2,0)</f>
        <v>#N/A</v>
      </c>
      <c r="FC96" s="131" t="str">
        <f>VLOOKUP(A96,'Données projet'!$A$217:$I$237,9,0)</f>
        <v>#N/A</v>
      </c>
      <c r="FD96" s="131" t="str">
        <f t="array" ref="FD96">INDEX(FC:FC,MIN(IF(ISNUMBER(FC96:FC292),ROW(FC96:FC292),"")))</f>
        <v/>
      </c>
      <c r="FE96" s="130">
        <f>IF('Données projet'!$A$218&gt;35,FE95+FD96-FM95,IF(A96&lt;'Données projet'!$A$218,$FB$205^A96,IF(A96='Données projet'!$A$218,'Données projet'!$B$218,FE95+FD96-FM95)))</f>
        <v>0</v>
      </c>
      <c r="FF96" s="138">
        <f>FE96*VLOOKUP('Données projet'!$B$16,'Paramètres'!$A$1:$I$89,3,0)*VLOOKUP('Données projet'!$B$16,'Paramètres'!$A$1:$I$89,5,0)</f>
        <v>0</v>
      </c>
      <c r="FG96" s="130">
        <f t="shared" si="48"/>
        <v>0</v>
      </c>
      <c r="FH96" s="141">
        <f t="shared" si="23"/>
        <v>0</v>
      </c>
      <c r="FI96" s="133">
        <f t="shared" si="24"/>
        <v>293.3333333</v>
      </c>
      <c r="FJ96" s="133">
        <f>AVERAGE(OFFSET($FI$3,0,0,'Données projet'!$E$16+1,1))-AVERAGE(OFFSET($H$3,0,0,'Données projet'!$E$16+1,1))</f>
        <v>305.6252353</v>
      </c>
      <c r="FK96" s="133">
        <f t="shared" si="49"/>
        <v>331.397916</v>
      </c>
      <c r="FL96" s="134">
        <f>IF(ISNA(VLOOKUP(A96,'Données projet'!$A$217:$I$237,3,0)),0,VLOOKUP(A96,'Données projet'!$A$217:$I$237,3,0))</f>
        <v>0</v>
      </c>
      <c r="FM96" s="134">
        <f>IF(ISNA(VLOOKUP(A96,'Données projet'!$A$217:$I$237,4,0)),0,VLOOKUP(A96,'Données projet'!$A$217:$I$237,4,0))</f>
        <v>0</v>
      </c>
      <c r="FN96" s="135">
        <f>IF(ISNA(VLOOKUP(A96,'Données projet'!$A$217:$I$237,5,0)),0%,VLOOKUP(A96,'Données projet'!$A$217:$I$237,5,0)*VLOOKUP('Données projet'!$B$16,'Paramètres'!$A$1:$I$89,7,0))</f>
        <v>0</v>
      </c>
      <c r="FO96" s="135">
        <f>IF(ISNA(VLOOKUP(A96,'Données projet'!$A$217:$I$237,6,0)),0%,VLOOKUP(A96,'Données projet'!$A$217:$I$237,6,0)*VLOOKUP('Données projet'!$B$16,'Paramètres'!$A$1:$I$89,7,0))</f>
        <v>0</v>
      </c>
      <c r="FP96" s="135">
        <f>IF(ISNA(VLOOKUP(A96,'Données projet'!$A$217:$I$237,7,0)),0%,VLOOKUP(A96,'Données projet'!$A$217:$I$237,7,0))</f>
        <v>0</v>
      </c>
      <c r="FQ96" s="142">
        <f>EXP(-LN(2)/35)*FQ95+(1-EXP(-LN(2)/35))/(LN(2)/35)*FM96*FN96*VLOOKUP('Données projet'!$B$16,'Paramètres'!$A$1:$I$89,3,0)*0.475*44/12</f>
        <v>51.14071474</v>
      </c>
      <c r="FR96" s="142">
        <f>EXP(-LN(2)/25)*FR95+(1-EXP(-LN(2)/25))/(LN(2)/25)*Calculateur!FM96*Calculateur!FO96*VLOOKUP('Données projet'!$B$16,'Paramètres'!$A$1:$I$89,3,0)*0.475*44/12</f>
        <v>0</v>
      </c>
      <c r="FS96" s="142">
        <f>EXP(-LN(2)/2)*FS95+(1-EXP(-LN(2)/2))/(LN(2)/2)*FM96*FP96*VLOOKUP('Données projet'!$B$16,'Paramètres'!$A$1:$I$89,3,0)*0.475*44/12</f>
        <v>0</v>
      </c>
      <c r="FT96" s="143">
        <f t="shared" si="25"/>
        <v>51.14071474</v>
      </c>
      <c r="FU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1" t="str">
        <f>VLOOKUP(A96,'Données projet'!$A$243:$I$263,2,0)</f>
        <v>#N/A</v>
      </c>
      <c r="FX96" s="131" t="str">
        <f>VLOOKUP(A96,'Données projet'!$A$243:$I$263,9,0)</f>
        <v>#N/A</v>
      </c>
      <c r="FY96" s="131" t="str">
        <f t="array" ref="FY96">INDEX(FX:FX,MIN(IF(ISNUMBER(FX96:FX292),ROW(FX96:FX292),"")))</f>
        <v/>
      </c>
      <c r="FZ96" s="138">
        <f>IF('Données projet'!$A$244&gt;35,FZ95+FY96-GH95,IF(A96&lt;'Données projet'!$A$244,$FW$205^A96,IF(A96='Données projet'!$A$244,'Données projet'!$B$244,FZ95+FY96-GH95)))</f>
        <v>0</v>
      </c>
      <c r="GA96" s="138">
        <f>FZ96*VLOOKUP('Données projet'!$B$17,'Paramètres'!$A$1:$I$89,3,0)*VLOOKUP('Données projet'!$B$17,'Paramètres'!$A$1:$I$89,5,0)</f>
        <v>0</v>
      </c>
      <c r="GB96" s="130">
        <f t="shared" si="50"/>
        <v>0</v>
      </c>
      <c r="GC96" s="141">
        <f t="shared" si="26"/>
        <v>0</v>
      </c>
      <c r="GD96" s="133">
        <f t="shared" si="27"/>
        <v>293.3333333</v>
      </c>
      <c r="GE96" s="133">
        <f>AVERAGE(OFFSET($GD$3,0,0,'Données projet'!$E$17+1,1))-AVERAGE(OFFSET($H$3,0,0,'Données projet'!$E$17+1,1))</f>
        <v>118.7368745</v>
      </c>
      <c r="GF96" s="133">
        <f t="shared" si="51"/>
        <v>135.1233677</v>
      </c>
      <c r="GG96" s="134">
        <f>IF(ISNA(VLOOKUP(A96,'Données projet'!$A$243:$I$263,3,0)),0,VLOOKUP(A96,'Données projet'!$A$243:$I$263,3,0))</f>
        <v>0</v>
      </c>
      <c r="GH96" s="134">
        <f>IF(ISNA(VLOOKUP(A96,'Données projet'!$A$243:$I$263,4,0)),0,VLOOKUP(A96,'Données projet'!$A$243:$I$263,4,0))</f>
        <v>0</v>
      </c>
      <c r="GI96" s="135">
        <f>IF(ISNA(VLOOKUP(A96,'Données projet'!$A$243:$I$263,5,0)),0%,VLOOKUP(A96,'Données projet'!$A$243:$I$263,5,0)*VLOOKUP('Données projet'!$B$17,'Paramètres'!$A$1:$I$89,7,0))</f>
        <v>0</v>
      </c>
      <c r="GJ96" s="135">
        <f>IF(ISNA(VLOOKUP(A96,'Données projet'!$A$243:$I$263,6,0)),0%,VLOOKUP(A96,'Données projet'!$A$243:$I$263,6,0)*VLOOKUP('Données projet'!$B$17,'Paramètres'!$A$1:$I$89,7,0))</f>
        <v>0</v>
      </c>
      <c r="GK96" s="135">
        <f>IF(ISNA(VLOOKUP(A96,'Données projet'!$A$243:$I$263,7,0)),0%,VLOOKUP(A96,'Données projet'!$A$243:$I$263,7,0))</f>
        <v>0</v>
      </c>
      <c r="GL96" s="142">
        <f>EXP(-LN(2)/35)*GL95+(1-EXP(-LN(2)/35))/(LN(2)/35)*GH96*GI96*VLOOKUP('Données projet'!$B$17,'Paramètres'!$A$1:$I$89,3,0)*0.475*44/12</f>
        <v>54.03000697</v>
      </c>
      <c r="GM96" s="142">
        <f>EXP(-LN(2)/25)*GM95+(1-EXP(-LN(2)/25))/(LN(2)/25)*Calculateur!GH96*Calculateur!GJ96*VLOOKUP('Données projet'!$B$17,'Paramètres'!$A$1:$I$89,3,0)*0.475*44/12</f>
        <v>0</v>
      </c>
      <c r="GN96" s="142">
        <f>EXP(-LN(2)/2)*GN95+(1-EXP(-LN(2)/2))/(LN(2)/2)*GH96*GK96*VLOOKUP('Données projet'!$B$17,'Paramètres'!$A$1:$I$89,3,0)*0.475*44/12</f>
        <v>0</v>
      </c>
      <c r="GO96" s="142">
        <f t="shared" si="28"/>
        <v>54.03000697</v>
      </c>
      <c r="GP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1" t="str">
        <f>VLOOKUP(A96,'Données projet'!$A$269:$I$289,2,0)</f>
        <v>#N/A</v>
      </c>
      <c r="GS96" s="131" t="str">
        <f>VLOOKUP(A96,'Données projet'!$A$269:$I$289,9,0)</f>
        <v>#N/A</v>
      </c>
      <c r="GT96" s="131" t="str">
        <f t="array" ref="GT96">INDEX(GS:GS,MIN(IF(ISNUMBER(GS96:GS292),ROW(GS96:GS292),"")))</f>
        <v/>
      </c>
      <c r="GU96" s="138">
        <f>IF('Données projet'!$A$270&gt;35,GU95+GT96-HC95,IF(A96&lt;'Données projet'!$A$270,$GR$205^A96,IF(A96='Données projet'!$A$270,'Données projet'!$B$270,GU95+GT96-HC95)))</f>
        <v>0</v>
      </c>
      <c r="GV96" s="138">
        <f>GU96*VLOOKUP('Données projet'!$B$18,'Paramètres'!$A$1:$I$89,3,0)*VLOOKUP('Données projet'!$B$18,'Paramètres'!$A$1:$I$89,5,0)</f>
        <v>0</v>
      </c>
      <c r="GW96" s="130" t="str">
        <f t="shared" si="52"/>
        <v>#NUM!</v>
      </c>
      <c r="GX96" s="141" t="str">
        <f t="shared" si="29"/>
        <v>#NUM!</v>
      </c>
      <c r="GY96" s="133" t="str">
        <f t="shared" si="30"/>
        <v>#NUM!</v>
      </c>
      <c r="GZ96" s="133">
        <f>AVERAGE(OFFSET($GY$3,0,0,'Données projet'!$E$18+1,1))-AVERAGE(OFFSET($H$3,0,0,'Données projet'!$E$18+1,1))</f>
        <v>100.5427875</v>
      </c>
      <c r="HA96" s="133">
        <f t="shared" si="53"/>
        <v>92.28663609</v>
      </c>
      <c r="HB96" s="134">
        <f>IF(ISNA(VLOOKUP(A96,'Données projet'!$A$269:$I$289,3,0)),0,VLOOKUP(A96,'Données projet'!$A$269:$I$289,3,0))</f>
        <v>0</v>
      </c>
      <c r="HC96" s="134">
        <f>IF(ISNA(VLOOKUP(A96,'Données projet'!$A$269:$I$289,4,0)),0,VLOOKUP(A96,'Données projet'!$A$269:$I$289,4,0))</f>
        <v>0</v>
      </c>
      <c r="HD96" s="135">
        <f>IF(ISNA(VLOOKUP(A96,'Données projet'!$A$269:$I$289,5,0)),0%,VLOOKUP(A96,'Données projet'!$A$269:$I$289,5,0)*VLOOKUP('Données projet'!$B$18,'Paramètres'!$A$1:$I$89,7,0))</f>
        <v>0</v>
      </c>
      <c r="HE96" s="135">
        <f>IF(ISNA(VLOOKUP(A96,'Données projet'!$A$269:$I$289,6,0)),0%,VLOOKUP(A96,'Données projet'!$A$269:$I$289,6,0)*VLOOKUP('Données projet'!$B$18,'Paramètres'!$A$1:$I$89,7,0))</f>
        <v>0</v>
      </c>
      <c r="HF96" s="135">
        <f>IF(ISNA(VLOOKUP(A96,'Données projet'!$A$269:$I$289,7,0)),0%,VLOOKUP(A96,'Données projet'!$A$269:$I$289,7,0))</f>
        <v>0</v>
      </c>
      <c r="HG96" s="142">
        <f>EXP(-LN(2)/35)*HG95+(1-EXP(-LN(2)/35))/(LN(2)/35)*HC96*HD96*VLOOKUP('Données projet'!$B$18,'Paramètres'!$A$1:$I$89,3,0)*0.475*44/12</f>
        <v>36.79329492</v>
      </c>
      <c r="HH96" s="142">
        <f>EXP(-LN(2)/25)*HH95+(1-EXP(-LN(2)/25))/(LN(2)/25)*Calculateur!HC96*Calculateur!HE96*VLOOKUP('Données projet'!$B$18,'Paramètres'!$A$1:$I$89,3,0)*0.475*44/12</f>
        <v>0</v>
      </c>
      <c r="HI96" s="142">
        <f>EXP(-LN(2)/2)*HI95+(1-EXP(-LN(2)/2))/(LN(2)/2)*HC96*HF96*VLOOKUP('Données projet'!$B$18,'Paramètres'!$A$1:$I$89,3,0)*0.475*44/12</f>
        <v>0</v>
      </c>
      <c r="HJ96" s="143">
        <f t="shared" si="31"/>
        <v>36.79329492</v>
      </c>
    </row>
    <row r="97" ht="15.75" customHeight="1">
      <c r="A97" s="125">
        <f t="shared" si="32"/>
        <v>94</v>
      </c>
      <c r="B97" s="126">
        <f>'Scénario référence'!$B$16*5+'Scénario référence'!$B$17*0+'Scénario référence'!$B$18*5</f>
        <v>0</v>
      </c>
      <c r="C97" s="140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51.324</v>
      </c>
      <c r="D97" s="127">
        <f t="shared" si="33"/>
        <v>14.9551666</v>
      </c>
      <c r="E9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7">
        <f>IF(OR('Scénario référence'!$F$8&gt;0,'Scénario référence'!$F$9&gt;0),('Scénario référence'!$F$8+'Scénario référence'!$F$9)*10,0)</f>
        <v>10</v>
      </c>
      <c r="G97" s="127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511.6286545</v>
      </c>
      <c r="H97" s="128">
        <f t="shared" si="1"/>
        <v>408.7695485</v>
      </c>
      <c r="I97" s="12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1" t="str">
        <f>VLOOKUP(A97,'Données projet'!$A$35:$I$55,2,0)</f>
        <v>#N/A</v>
      </c>
      <c r="L97" s="131" t="str">
        <f>VLOOKUP(A97,'Données projet'!$A$35:$I$55,9,0)</f>
        <v>#N/A</v>
      </c>
      <c r="M97" s="131" t="str">
        <f t="array" ref="M97">INDEX(L:L,MIN(IF(ISNUMBER(L97:L293),ROW(L97:L293),"")))</f>
        <v/>
      </c>
      <c r="N97" s="130">
        <f>IF('Données projet'!$A$36&gt;35,N96+M97-V96,IF(A97&lt;'Données projet'!$A$36,$K$205^A97,IF(A97='Données projet'!$A$36,'Données projet'!$B$36,N96+M97-V96)))</f>
        <v>0</v>
      </c>
      <c r="O97" s="130">
        <f>N97*VLOOKUP('Données projet'!$B$9,'Paramètres'!$A$1:$I$89,3,0)*VLOOKUP('Données projet'!$B$9,'Paramètres'!$A$1:$I$89,5,0)</f>
        <v>0</v>
      </c>
      <c r="P97" s="130">
        <f t="shared" si="34"/>
        <v>0</v>
      </c>
      <c r="Q97" s="141">
        <f t="shared" si="2"/>
        <v>0</v>
      </c>
      <c r="R97" s="133">
        <f t="shared" si="3"/>
        <v>293.3333333</v>
      </c>
      <c r="S97" s="133">
        <f>AVERAGE(OFFSET($R$3,0,0,'Données projet'!$E$9+1,1))-AVERAGE(OFFSET($H$3,0,0,'Données projet'!$E$9+1,1))</f>
        <v>126.9946492</v>
      </c>
      <c r="T97" s="133">
        <f t="shared" si="35"/>
        <v>140.039049</v>
      </c>
      <c r="U97" s="134">
        <f>IF(ISNA(VLOOKUP(A97,'Données projet'!$A$35:$I$55,3,0)),0,VLOOKUP(A97,'Données projet'!$A$35:$I$55,3,0))</f>
        <v>0</v>
      </c>
      <c r="V97" s="134">
        <f>IF(ISNA(VLOOKUP(A97,'Données projet'!$A$35:$I$55,4,0)),0,VLOOKUP(A97,'Données projet'!$A$35:$I$55,4,0))</f>
        <v>0</v>
      </c>
      <c r="W97" s="135">
        <f>IF(ISNA(VLOOKUP(A97,'Données projet'!$A$35:$I$55,5,0)),0%,VLOOKUP(A97,'Données projet'!$A$35:$I$55,5,0)*VLOOKUP('Données projet'!$B$9,'Paramètres'!$A$1:$I$89,7,0))</f>
        <v>0</v>
      </c>
      <c r="X97" s="135">
        <f>IF(ISNA(VLOOKUP(A97,'Données projet'!$A$35:$I$55,6,0)),0%,VLOOKUP(A97,'Données projet'!$A$35:$I$55,6,0)*VLOOKUP('Données projet'!$B$9,'Paramètres'!$A$1:$I$89,7,0))</f>
        <v>0</v>
      </c>
      <c r="Y97" s="135">
        <f>IF(ISNA(VLOOKUP(A97,'Données projet'!$A$35:$I$55,7,0)),0%,VLOOKUP(A97,'Données projet'!$A$35:$I$55,7,0))</f>
        <v>0</v>
      </c>
      <c r="Z97" s="142">
        <f>EXP(-LN(2)/35)*Z96+(1-EXP(-LN(2)/35))/(LN(2)/35)*V97*W97*VLOOKUP('Données projet'!$B$9,'Paramètres'!$A$1:$I$89,3,0)*0.475*44/12</f>
        <v>54.17704183</v>
      </c>
      <c r="AA97" s="142">
        <f>EXP(-LN(2)/25)*AA96+(1-EXP(-LN(2)/25))/(LN(2)/25)*Calculateur!V97*Calculateur!X97*VLOOKUP('Données projet'!$B$9,'Paramètres'!$A$1:$I$89,3,0)*0.475*44/12</f>
        <v>9.053365464</v>
      </c>
      <c r="AB97" s="142">
        <f>EXP(-LN(2)/2)*AB96+(1-EXP(-LN(2)/2))/(LN(2)/2)*V97*Y97*VLOOKUP('Données projet'!$B$9,'Paramètres'!$A$1:$I$89,3,0)*0.475*44/12</f>
        <v>0.0001448774049</v>
      </c>
      <c r="AC97" s="143">
        <f t="shared" si="4"/>
        <v>63.23055217</v>
      </c>
      <c r="AD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1" t="str">
        <f>VLOOKUP(A97,'Données projet'!$A$61:$I$81,2,0)</f>
        <v>#N/A</v>
      </c>
      <c r="AG97" s="131" t="str">
        <f>VLOOKUP(A97,'Données projet'!$A$61:$I$81,9,0)</f>
        <v>#N/A</v>
      </c>
      <c r="AH97" s="131" t="str">
        <f t="array" ref="AH97">INDEX(AG:AG,MIN(IF(ISNUMBER(AG97:AG293),ROW(AG97:AG293),"")))</f>
        <v/>
      </c>
      <c r="AI97" s="130">
        <f>IF('Données projet'!$A$62&gt;35,AI96+AH97-AQ96,IF(A97&lt;'Données projet'!$A$62,$AF$205^A97,IF(A97='Données projet'!$A$62,'Données projet'!$B$62,AI96+AH97-AQ96)))</f>
        <v>0</v>
      </c>
      <c r="AJ97" s="130">
        <f>AI97*VLOOKUP('Données projet'!$B$10,'Paramètres'!$A$1:$I$89,3,0)*VLOOKUP('Données projet'!$B$10,'Paramètres'!$A$1:$I$89,5,0)</f>
        <v>0</v>
      </c>
      <c r="AK97" s="130" t="str">
        <f t="shared" si="36"/>
        <v>#NUM!</v>
      </c>
      <c r="AL97" s="141" t="str">
        <f t="shared" si="5"/>
        <v>#NUM!</v>
      </c>
      <c r="AM97" s="133" t="str">
        <f t="shared" si="6"/>
        <v>#NUM!</v>
      </c>
      <c r="AN97" s="133">
        <f>AVERAGE(OFFSET($AM$3,0,0,'Données projet'!$E$10+1,1))-AVERAGE(OFFSET($H$3,0,0,'Données projet'!$E$10+1,1))</f>
        <v>196.874484</v>
      </c>
      <c r="AO97" s="133">
        <f t="shared" si="37"/>
        <v>217.5750859</v>
      </c>
      <c r="AP97" s="134">
        <f>IF(ISNA(VLOOKUP(A97,'Données projet'!$A$61:$I$81,3,0)),0,VLOOKUP(A97,'Données projet'!$A$61:$I$81,3,0))</f>
        <v>0</v>
      </c>
      <c r="AQ97" s="134">
        <f>IF(ISNA(VLOOKUP(A97,'Données projet'!$A$61:$I$81,4,0)),0,VLOOKUP(A97,'Données projet'!$A$61:$I$81,4,0))</f>
        <v>0</v>
      </c>
      <c r="AR97" s="135">
        <f>IF(ISNA(VLOOKUP(A97,'Données projet'!$A$61:$I$81,5,0)),0%,VLOOKUP(A97,'Données projet'!$A$61:$I$81,5,0)*VLOOKUP('Données projet'!$B$10,'Paramètres'!$A$1:$I$89,7,0))</f>
        <v>0</v>
      </c>
      <c r="AS97" s="135">
        <f>IF(ISNA(VLOOKUP(A97,'Données projet'!$A$61:$I$81,6,0)),0%,VLOOKUP(A97,'Données projet'!$A$61:$I$81,6,0)*VLOOKUP('Données projet'!$B$10,'Paramètres'!$A$1:$I$89,7,0))</f>
        <v>0</v>
      </c>
      <c r="AT97" s="135">
        <f>IF(ISNA(VLOOKUP(A97,'Données projet'!$A$61:$I$81,7,0)),0%,VLOOKUP(A97,'Données projet'!$A$61:$I$81,7,0))</f>
        <v>0</v>
      </c>
      <c r="AU97" s="142">
        <f>EXP(-LN(2)/35)*AU96+(1-EXP(-LN(2)/35))/(LN(2)/35)*AQ97*AR97*VLOOKUP('Données projet'!$B$10,'Paramètres'!$A$1:$I$89,3,0)*0.475*44/12</f>
        <v>75.30454931</v>
      </c>
      <c r="AV97" s="142">
        <f>EXP(-LN(2)/25)*AV96+(1-EXP(-LN(2)/25))/(LN(2)/25)*Calculateur!AQ97*Calculateur!AS97*VLOOKUP('Données projet'!$B$10,'Paramètres'!$A$1:$I$89,3,0)*0.475*44/12</f>
        <v>13.9195615</v>
      </c>
      <c r="AW97" s="142">
        <f>EXP(-LN(2)/2)*AW96+(1-EXP(-LN(2)/2))/(LN(2)/2)*AQ97*AT97*VLOOKUP('Données projet'!$B$10,'Paramètres'!$A$1:$I$89,3,0)*0.475*44/12</f>
        <v>0.0002019895204</v>
      </c>
      <c r="AX97" s="142">
        <f t="shared" si="7"/>
        <v>89.2243128</v>
      </c>
      <c r="AY97" s="13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1" t="str">
        <f>VLOOKUP(A97,'Données projet'!$A$87:$I$107,2,0)</f>
        <v>#N/A</v>
      </c>
      <c r="BB97" s="131" t="str">
        <f>VLOOKUP(A97,'Données projet'!$A$87:$I$107,9,0)</f>
        <v>#N/A</v>
      </c>
      <c r="BC97" s="131" t="str">
        <f t="array" ref="BC97">INDEX(BB:BB,MIN(IF(ISNUMBER(BB97:BB293),ROW(BB97:BB293),"")))</f>
        <v/>
      </c>
      <c r="BD97" s="130">
        <f>IF('Données projet'!$A$88&gt;35,BD96+BC97-BL96,IF(A97&lt;'Données projet'!$A$88,$BA$205^A97,IF(A97='Données projet'!$A$88,'Données projet'!$B$88,BD96+BC97-BL96)))</f>
        <v>0</v>
      </c>
      <c r="BE97" s="130">
        <f>BD97*VLOOKUP('Données projet'!$B$11,'Paramètres'!$A$1:$I$89,3,0)*VLOOKUP('Données projet'!$B$11,'Paramètres'!$A$1:$I$89,5,0)</f>
        <v>0</v>
      </c>
      <c r="BF97" s="130" t="str">
        <f t="shared" si="38"/>
        <v>#NUM!</v>
      </c>
      <c r="BG97" s="141" t="str">
        <f t="shared" si="8"/>
        <v>#NUM!</v>
      </c>
      <c r="BH97" s="133" t="str">
        <f t="shared" si="9"/>
        <v>#NUM!</v>
      </c>
      <c r="BI97" s="133">
        <f>AVERAGE(OFFSET($BH$3,0,0,'Données projet'!$E$11+1,1))-AVERAGE(OFFSET($H$3,0,0,'Données projet'!$E$11+1,1))</f>
        <v>134.0948534</v>
      </c>
      <c r="BJ97" s="133">
        <f t="shared" si="39"/>
        <v>108.4102536</v>
      </c>
      <c r="BK97" s="134">
        <f>IF(ISNA(VLOOKUP(A97,'Données projet'!$A$87:$I$107,3,0)),0,VLOOKUP(A97,'Données projet'!$A$87:$I$107,3,0))</f>
        <v>0</v>
      </c>
      <c r="BL97" s="134">
        <f>IF(ISNA(VLOOKUP(A97,'Données projet'!$A$87:$I$107,4,0)),0,VLOOKUP(A97,'Données projet'!$A$87:$I$107,4,0))</f>
        <v>0</v>
      </c>
      <c r="BM97" s="135">
        <f>IF(ISNA(VLOOKUP(A97,'Données projet'!$A$87:$I$107,5,0)),0%,VLOOKUP(A97,'Données projet'!$A$87:$I$107,5,0)*VLOOKUP('Données projet'!$B$11,'Paramètres'!$A$1:$I$89,7,0))</f>
        <v>0</v>
      </c>
      <c r="BN97" s="135">
        <f>IF(ISNA(VLOOKUP(A97,'Données projet'!$A$87:$I$107,6,0)),0%,VLOOKUP(A97,'Données projet'!$A$87:$I$107,6,0)*VLOOKUP('Données projet'!$B$11,'Paramètres'!$A$1:$I$89,7,0))</f>
        <v>0</v>
      </c>
      <c r="BO97" s="135">
        <f>IF(ISNA(VLOOKUP(A97,'Données projet'!$A$87:$I$107,7,0)),0%,VLOOKUP(A97,'Données projet'!$A$87:$I$107,7,0))</f>
        <v>0</v>
      </c>
      <c r="BP97" s="142">
        <f>EXP(-LN(2)/35)*BP96+(1-EXP(-LN(2)/35))/(LN(2)/35)*BL97*BM97*VLOOKUP('Données projet'!$B$11,'Paramètres'!$A$1:$I$89,3,0)*0.475*44/12</f>
        <v>104.1602555</v>
      </c>
      <c r="BQ97" s="142">
        <f>EXP(-LN(2)/25)*BQ96+(1-EXP(-LN(2)/25))/(LN(2)/25)*Calculateur!BL97*Calculateur!BN97*VLOOKUP('Données projet'!$B$11,'Paramètres'!$A$1:$I$89,3,0)*0.475*44/12</f>
        <v>8.780471343</v>
      </c>
      <c r="BR97" s="142">
        <f>EXP(-LN(2)/2)*BR96+(1-EXP(-LN(2)/2))/(LN(2)/2)*BL97*BO97*VLOOKUP('Données projet'!$B$11,'Paramètres'!$A$1:$I$89,3,0)*0.475*44/12</f>
        <v>0.002694250324</v>
      </c>
      <c r="BS97" s="143">
        <f t="shared" si="10"/>
        <v>112.9434211</v>
      </c>
      <c r="BT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1" t="str">
        <f>VLOOKUP(A97,'Données projet'!$A$113:$I$133,2,0)</f>
        <v>#N/A</v>
      </c>
      <c r="BW97" s="131" t="str">
        <f>VLOOKUP(A97,'Données projet'!$A$113:$I$133,9,0)</f>
        <v>#N/A</v>
      </c>
      <c r="BX97" s="131" t="str">
        <f t="array" ref="BX97">INDEX(BW:BW,MIN(IF(ISNUMBER(BW97:BW293),ROW(BW97:BW293),"")))</f>
        <v/>
      </c>
      <c r="BY97" s="130">
        <f>IF('Données projet'!$A$114&gt;35,BY96+BX97-CG96,IF(A97&lt;'Données projet'!$A$114,$BV$205^A97,IF(A97='Données projet'!$A$114,'Données projet'!$B$114,BY96+BX97-CG96)))</f>
        <v>0</v>
      </c>
      <c r="BZ97" s="130">
        <f>BY97*VLOOKUP('Données projet'!$B$12,'Paramètres'!$A$1:$I$89,3,0)*VLOOKUP('Données projet'!$B$12,'Paramètres'!$A$1:$I$89,5,0)</f>
        <v>0</v>
      </c>
      <c r="CA97" s="130" t="str">
        <f t="shared" si="40"/>
        <v>#NUM!</v>
      </c>
      <c r="CB97" s="141" t="str">
        <f t="shared" si="11"/>
        <v>#NUM!</v>
      </c>
      <c r="CC97" s="133" t="str">
        <f t="shared" si="12"/>
        <v>#NUM!</v>
      </c>
      <c r="CD97" s="133">
        <f>AVERAGE(OFFSET($CC$3,0,0,'Données projet'!$E$12+1,1))-AVERAGE(OFFSET($H$3,0,0,'Données projet'!$E$12+1,1))</f>
        <v>258.1672054</v>
      </c>
      <c r="CE97" s="133">
        <f t="shared" si="41"/>
        <v>296.0724261</v>
      </c>
      <c r="CF97" s="134">
        <f>IF(ISNA(VLOOKUP(A97,'Données projet'!$A$113:$I$133,3,0)),0,VLOOKUP(A97,'Données projet'!$A$113:$I$133,3,0))</f>
        <v>0</v>
      </c>
      <c r="CG97" s="134">
        <f>IF(ISNA(VLOOKUP(A97,'Données projet'!$A$113:$I$133,4,0)),0,VLOOKUP(A97,'Données projet'!$A$113:$I$133,4,0))</f>
        <v>0</v>
      </c>
      <c r="CH97" s="135">
        <f>IF(ISNA(VLOOKUP(A97,'Données projet'!$A$113:$I$133,5,0)),0%,VLOOKUP(A97,'Données projet'!$A$113:$I$133,5,0)*VLOOKUP('Données projet'!$B$12,'Paramètres'!$A$1:$I$89,7,0))</f>
        <v>0</v>
      </c>
      <c r="CI97" s="135">
        <f>IF(ISNA(VLOOKUP(A97,'Données projet'!$A$113:$I$133,6,0)),0%,VLOOKUP(A97,'Données projet'!$A$113:$I$133,6,0)*VLOOKUP('Données projet'!$B$12,'Paramètres'!$A$1:$I$89,7,0))</f>
        <v>0</v>
      </c>
      <c r="CJ97" s="135">
        <f>IF(ISNA(VLOOKUP(A97,'Données projet'!$A$113:$I$133,7,0)),0%,VLOOKUP(A97,'Données projet'!$A$113:$I$133,7,0))</f>
        <v>0</v>
      </c>
      <c r="CK97" s="142">
        <f>EXP(-LN(2)/35)*CK96+(1-EXP(-LN(2)/35))/(LN(2)/35)*CG97*CH97*VLOOKUP('Données projet'!$B$12,'Paramètres'!$A$1:$I$89,3,0)*0.475*44/12</f>
        <v>131.6904268</v>
      </c>
      <c r="CL97" s="142">
        <f>EXP(-LN(2)/25)*CL96+(1-EXP(-LN(2)/25))/(LN(2)/25)*Calculateur!CG97*Calculateur!CI97*VLOOKUP('Données projet'!$B$12,'Paramètres'!$A$1:$I$89,3,0)*0.475*44/12</f>
        <v>15.40144518</v>
      </c>
      <c r="CM97" s="142">
        <f>EXP(-LN(2)/2)*CM96+(1-EXP(-LN(2)/2))/(LN(2)/2)*CG97*CJ97*VLOOKUP('Données projet'!$B$12,'Paramètres'!$A$1:$I$89,3,0)*0.475*44/12</f>
        <v>0.0001135055861</v>
      </c>
      <c r="CN97" s="143">
        <f t="shared" si="13"/>
        <v>147.0919855</v>
      </c>
      <c r="CO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1" t="str">
        <f>VLOOKUP(A97,'Données projet'!$A$139:$I$159,2,0)</f>
        <v>#N/A</v>
      </c>
      <c r="CR97" s="131" t="str">
        <f>VLOOKUP(A97,'Données projet'!$A$139:$I$159,9,0)</f>
        <v>#N/A</v>
      </c>
      <c r="CS97" s="130">
        <f t="array" ref="CS97">INDEX(CR:CR,MIN(IF(ISNUMBER(CR97:CR293),ROW(CR97:CR293),"")))</f>
        <v>2.3</v>
      </c>
      <c r="CT97" s="138">
        <f>IF('Données projet'!$A$140&gt;35,CT96+CS97-DB96,IF(A97&lt;'Données projet'!$A$140,$CQ$205^A97,IF(A97='Données projet'!$A$140,'Données projet'!$B$140,CT96+CS97-DB96)))</f>
        <v>202.2</v>
      </c>
      <c r="CU97" s="138">
        <f>CT97*VLOOKUP('Données projet'!$B$13,'Paramètres'!$A$1:$I$89,3,0)*VLOOKUP('Données projet'!$B$13,'Paramètres'!$A$1:$I$89,5,0)</f>
        <v>205.0308</v>
      </c>
      <c r="CV97" s="130">
        <f t="shared" si="42"/>
        <v>50.84818167</v>
      </c>
      <c r="CW97" s="141">
        <f t="shared" si="14"/>
        <v>445.6558931</v>
      </c>
      <c r="CX97" s="133">
        <f t="shared" si="15"/>
        <v>738.9892264</v>
      </c>
      <c r="CY97" s="133">
        <f>AVERAGE(OFFSET($CX$3,0,0,'Données projet'!$E$13+1,1))-AVERAGE(OFFSET($H$3,0,0,'Données projet'!$E$13+1,1))</f>
        <v>223.783507</v>
      </c>
      <c r="CZ97" s="133">
        <f t="shared" si="43"/>
        <v>84.92349117</v>
      </c>
      <c r="DA97" s="134">
        <f>IF(ISNA(VLOOKUP(A97,'Données projet'!$A$139:$I$159,3,0)),0,VLOOKUP(A97,'Données projet'!$A$139:$I$159,3,0))</f>
        <v>0</v>
      </c>
      <c r="DB97" s="134">
        <f>IF(ISNA(VLOOKUP(A97,'Données projet'!$A$139:$I$159,4,0)),0,VLOOKUP(A97,'Données projet'!$A$139:$I$159,4,0))</f>
        <v>0</v>
      </c>
      <c r="DC97" s="135">
        <f>IF(ISNA(VLOOKUP(A97,'Données projet'!$A$139:$I$159,5,0)),0%,VLOOKUP(A97,'Données projet'!$A$139:$I$159,5,0)*VLOOKUP('Données projet'!$B$13,'Paramètres'!$A$1:$I$89,7,0))</f>
        <v>0</v>
      </c>
      <c r="DD97" s="135">
        <f>IF(ISNA(VLOOKUP(A97,'Données projet'!$A$139:$I$159,6,0)),0%,VLOOKUP(A97,'Données projet'!$A$139:$I$159,6,0)*VLOOKUP('Données projet'!$B$13,'Paramètres'!$A$1:$I$89,7,0))</f>
        <v>0</v>
      </c>
      <c r="DE97" s="135">
        <f>IF(ISNA(VLOOKUP(A97,'Données projet'!$A$139:$I$159,7,0)),0%,VLOOKUP(A97,'Données projet'!$A$139:$I$159,7,0))</f>
        <v>0</v>
      </c>
      <c r="DF97" s="142">
        <f>EXP(-LN(2)/35)*DF96+(1-EXP(-LN(2)/35))/(LN(2)/35)*DB97*DC97*VLOOKUP('Données projet'!$B$13,'Paramètres'!$A$1:$I$89,3,0)*0.475*44/12</f>
        <v>18.24304603</v>
      </c>
      <c r="DG97" s="142">
        <f>EXP(-LN(2)/25)*DG96+(1-EXP(-LN(2)/25))/(LN(2)/25)*Calculateur!DB97*Calculateur!DD97*VLOOKUP('Données projet'!$B$13,'Paramètres'!$A$1:$I$89,3,0)*0.475*44/12</f>
        <v>0</v>
      </c>
      <c r="DH97" s="142">
        <f>EXP(-LN(2)/2)*DH96+(1-EXP(-LN(2)/2))/(LN(2)/2)*DB97*DE97*VLOOKUP('Données projet'!$B$13,'Paramètres'!$A$1:$I$89,3,0)*0.475*44/12</f>
        <v>0</v>
      </c>
      <c r="DI97" s="143">
        <f t="shared" si="16"/>
        <v>18.24304603</v>
      </c>
      <c r="DJ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1" t="str">
        <f>VLOOKUP(A97,'Données projet'!$A$165:$I$185,2,0)</f>
        <v>#N/A</v>
      </c>
      <c r="DM97" s="131" t="str">
        <f>VLOOKUP(A97,'Données projet'!$A$165:$I$185,9,0)</f>
        <v>#N/A</v>
      </c>
      <c r="DN97" s="131">
        <f t="array" ref="DN97">INDEX(DM:DM,MIN(IF(ISNUMBER(DM97:DM293),ROW(DM97:DM293),"")))</f>
        <v>2.8</v>
      </c>
      <c r="DO97" s="138">
        <f>IF('Données projet'!$A$166&gt;35,DO96+DN97-DW96,IF(A97&lt;'Données projet'!$A$166,$DL$205^A97,IF(A97='Données projet'!$A$166,'Données projet'!$B$166,DO96+DN97-DW96)))</f>
        <v>265.2</v>
      </c>
      <c r="DP97" s="138">
        <f>DO97*VLOOKUP('Données projet'!$B$14,'Paramètres'!$A$1:$I$89,3,0)*VLOOKUP('Données projet'!$B$14,'Paramètres'!$A$1:$I$89,5,0)</f>
        <v>239.95296</v>
      </c>
      <c r="DQ97" s="130">
        <f t="shared" si="44"/>
        <v>58.42940948</v>
      </c>
      <c r="DR97" s="141">
        <f t="shared" si="17"/>
        <v>519.6826268</v>
      </c>
      <c r="DS97" s="133">
        <f t="shared" si="18"/>
        <v>813.0159602</v>
      </c>
      <c r="DT97" s="133">
        <f>AVERAGE(OFFSET($DS$3,0,0,'Données projet'!$E$14+1,1))-AVERAGE(OFFSET($H$3,0,0,'Données projet'!$E$14+1,1))</f>
        <v>287.9334714</v>
      </c>
      <c r="DU97" s="133">
        <f t="shared" si="45"/>
        <v>156.6796502</v>
      </c>
      <c r="DV97" s="134">
        <f>IF(ISNA(VLOOKUP(A97,'Données projet'!$A$165:$I$185,3,0)),0,VLOOKUP(A97,'Données projet'!$A$165:$I$185,3,0))</f>
        <v>0</v>
      </c>
      <c r="DW97" s="134">
        <f>IF(ISNA(VLOOKUP(A97,'Données projet'!$A$165:$I$185,4,0)),0,VLOOKUP(A97,'Données projet'!$A$165:$I$185,4,0))</f>
        <v>0</v>
      </c>
      <c r="DX97" s="135">
        <f>IF(ISNA(VLOOKUP(A97,'Données projet'!$A$165:$I$185,5,0)),0%,VLOOKUP(A97,'Données projet'!$A$165:$I$185,5,0)*VLOOKUP('Données projet'!$B$14,'Paramètres'!$A$1:$I$89,7,0))</f>
        <v>0</v>
      </c>
      <c r="DY97" s="135">
        <f>IF(ISNA(VLOOKUP(A97,'Données projet'!$A$165:$I$185,6,0)),0%,VLOOKUP(A97,'Données projet'!$A$165:$I$185,6,0)*VLOOKUP('Données projet'!$B$14,'Paramètres'!$A$1:$I$89,7,0))</f>
        <v>0</v>
      </c>
      <c r="DZ97" s="135">
        <f>IF(ISNA(VLOOKUP(A97,'Données projet'!$A$165:$I$185,7,0)),0%,VLOOKUP(A97,'Données projet'!$A$165:$I$185,7,0))</f>
        <v>0</v>
      </c>
      <c r="EA97" s="142">
        <f>EXP(-LN(2)/35)*EA96+(1-EXP(-LN(2)/35))/(LN(2)/35)*DW97*DX97*VLOOKUP('Données projet'!$B$14,'Paramètres'!$A$1:$I$89,3,0)*0.475*44/12</f>
        <v>27.95654299</v>
      </c>
      <c r="EB97" s="142">
        <f>EXP(-LN(2)/25)*EB96+(1-EXP(-LN(2)/25))/(LN(2)/25)*Calculateur!DW97*Calculateur!DY97*VLOOKUP('Données projet'!$B$14,'Paramètres'!$A$1:$I$89,3,0)*0.475*44/12</f>
        <v>0</v>
      </c>
      <c r="EC97" s="142">
        <f>EXP(-LN(2)/2)*EC96+(1-EXP(-LN(2)/2))/(LN(2)/2)*DW97*DZ97*VLOOKUP('Données projet'!$B$14,'Paramètres'!$A$1:$I$89,3,0)*0.475*44/12</f>
        <v>0</v>
      </c>
      <c r="ED97" s="143">
        <f t="shared" si="19"/>
        <v>27.95654299</v>
      </c>
      <c r="EE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1" t="str">
        <f>VLOOKUP(A97,'Données projet'!$A$191:$I$211,2,0)</f>
        <v>#N/A</v>
      </c>
      <c r="EH97" s="131" t="str">
        <f>VLOOKUP(A97,'Données projet'!$A$191:$I$211,9,0)</f>
        <v>#N/A</v>
      </c>
      <c r="EI97" s="131" t="str">
        <f t="array" ref="EI97">INDEX(EH:EH,MIN(IF(ISNUMBER(EH97:EH293),ROW(EH97:EH293),"")))</f>
        <v/>
      </c>
      <c r="EJ97" s="138">
        <f>IF('Données projet'!$A$192&gt;35,EJ96+EI97-ER96,IF(A97&lt;'Données projet'!$A$192,$EG$205^A97,IF(A97='Données projet'!$A$192,'Données projet'!$B$192,EJ96+EI97-ER96)))</f>
        <v>0</v>
      </c>
      <c r="EK97" s="138">
        <f>EJ97*VLOOKUP('Données projet'!$B$15,'Paramètres'!$A$1:$I$89,3,0)*VLOOKUP('Données projet'!$B$15,'Paramètres'!$A$1:$I$89,5,0)</f>
        <v>0</v>
      </c>
      <c r="EL97" s="130" t="str">
        <f t="shared" si="46"/>
        <v>#NUM!</v>
      </c>
      <c r="EM97" s="141" t="str">
        <f t="shared" si="20"/>
        <v>#NUM!</v>
      </c>
      <c r="EN97" s="133" t="str">
        <f t="shared" si="21"/>
        <v>#NUM!</v>
      </c>
      <c r="EO97" s="133">
        <f>AVERAGE(OFFSET($EN$3,0,0,'Données projet'!$E$15+1,1))-AVERAGE(OFFSET($H$3,0,0,'Données projet'!$E$15+1,1))</f>
        <v>130.3193339</v>
      </c>
      <c r="EP97" s="133">
        <f t="shared" si="47"/>
        <v>82.22784365</v>
      </c>
      <c r="EQ97" s="134">
        <f>IF(ISNA(VLOOKUP(A97,'Données projet'!$A$191:$I$211,3,0)),0,VLOOKUP(A97,'Données projet'!$A$191:$I$211,3,0))</f>
        <v>0</v>
      </c>
      <c r="ER97" s="134">
        <f>IF(ISNA(VLOOKUP(A97,'Données projet'!$A$191:$I$211,4,0)),0,VLOOKUP(A97,'Données projet'!$A$191:$I$211,4,0))</f>
        <v>0</v>
      </c>
      <c r="ES97" s="135">
        <f>IF(ISNA(VLOOKUP(A97,'Données projet'!$A$191:$I$211,5,0)),0%,VLOOKUP(A97,'Données projet'!$A$191:$I$211,5,0)*VLOOKUP('Données projet'!$B$15,'Paramètres'!$A$1:$I$89,7,0))</f>
        <v>0</v>
      </c>
      <c r="ET97" s="135">
        <f>IF(ISNA(VLOOKUP(A97,'Données projet'!$A$191:$I$211,6,0)),0%,VLOOKUP(A97,'Données projet'!$A$191:$I$211,6,0)*VLOOKUP('Données projet'!$B$15,'Paramètres'!$A$1:$I$89,7,0))</f>
        <v>0</v>
      </c>
      <c r="EU97" s="135">
        <f>IF(ISNA(VLOOKUP(A97,'Données projet'!$A$191:$I$211,7,0)),0%,VLOOKUP(A97,'Données projet'!$A$191:$I$211,7,0))</f>
        <v>0</v>
      </c>
      <c r="EV97" s="142">
        <f>EXP(-LN(2)/35)*EV96+(1-EXP(-LN(2)/35))/(LN(2)/35)*ER97*ES97*VLOOKUP('Données projet'!$B$15,'Paramètres'!$A$1:$I$89,3,0)*0.475*44/12</f>
        <v>80.52597169</v>
      </c>
      <c r="EW97" s="142">
        <f>EXP(-LN(2)/25)*EW96+(1-EXP(-LN(2)/25))/(LN(2)/25)*Calculateur!ER97*Calculateur!ET97*VLOOKUP('Données projet'!$B$15,'Paramètres'!$A$1:$I$89,3,0)*0.475*44/12</f>
        <v>0</v>
      </c>
      <c r="EX97" s="142">
        <f>EXP(-LN(2)/2)*EX96+(1-EXP(-LN(2)/2))/(LN(2)/2)*ER97*EU97*VLOOKUP('Données projet'!$B$15,'Paramètres'!$A$1:$I$89,3,0)*0.475*44/12</f>
        <v>0</v>
      </c>
      <c r="EY97" s="143">
        <f t="shared" si="22"/>
        <v>80.52597169</v>
      </c>
      <c r="EZ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1" t="str">
        <f>VLOOKUP(A97,'Données projet'!$A$217:$I$237,2,0)</f>
        <v>#N/A</v>
      </c>
      <c r="FC97" s="131" t="str">
        <f>VLOOKUP(A97,'Données projet'!$A$217:$I$237,9,0)</f>
        <v>#N/A</v>
      </c>
      <c r="FD97" s="131" t="str">
        <f t="array" ref="FD97">INDEX(FC:FC,MIN(IF(ISNUMBER(FC97:FC293),ROW(FC97:FC293),"")))</f>
        <v/>
      </c>
      <c r="FE97" s="130">
        <f>IF('Données projet'!$A$218&gt;35,FE96+FD97-FM96,IF(A97&lt;'Données projet'!$A$218,$FB$205^A97,IF(A97='Données projet'!$A$218,'Données projet'!$B$218,FE96+FD97-FM96)))</f>
        <v>0</v>
      </c>
      <c r="FF97" s="138">
        <f>FE97*VLOOKUP('Données projet'!$B$16,'Paramètres'!$A$1:$I$89,3,0)*VLOOKUP('Données projet'!$B$16,'Paramètres'!$A$1:$I$89,5,0)</f>
        <v>0</v>
      </c>
      <c r="FG97" s="130">
        <f t="shared" si="48"/>
        <v>0</v>
      </c>
      <c r="FH97" s="141">
        <f t="shared" si="23"/>
        <v>0</v>
      </c>
      <c r="FI97" s="133">
        <f t="shared" si="24"/>
        <v>293.3333333</v>
      </c>
      <c r="FJ97" s="133">
        <f>AVERAGE(OFFSET($FI$3,0,0,'Données projet'!$E$16+1,1))-AVERAGE(OFFSET($H$3,0,0,'Données projet'!$E$16+1,1))</f>
        <v>305.6252353</v>
      </c>
      <c r="FK97" s="133">
        <f t="shared" si="49"/>
        <v>331.397916</v>
      </c>
      <c r="FL97" s="134">
        <f>IF(ISNA(VLOOKUP(A97,'Données projet'!$A$217:$I$237,3,0)),0,VLOOKUP(A97,'Données projet'!$A$217:$I$237,3,0))</f>
        <v>0</v>
      </c>
      <c r="FM97" s="134">
        <f>IF(ISNA(VLOOKUP(A97,'Données projet'!$A$217:$I$237,4,0)),0,VLOOKUP(A97,'Données projet'!$A$217:$I$237,4,0))</f>
        <v>0</v>
      </c>
      <c r="FN97" s="135">
        <f>IF(ISNA(VLOOKUP(A97,'Données projet'!$A$217:$I$237,5,0)),0%,VLOOKUP(A97,'Données projet'!$A$217:$I$237,5,0)*VLOOKUP('Données projet'!$B$16,'Paramètres'!$A$1:$I$89,7,0))</f>
        <v>0</v>
      </c>
      <c r="FO97" s="135">
        <f>IF(ISNA(VLOOKUP(A97,'Données projet'!$A$217:$I$237,6,0)),0%,VLOOKUP(A97,'Données projet'!$A$217:$I$237,6,0)*VLOOKUP('Données projet'!$B$16,'Paramètres'!$A$1:$I$89,7,0))</f>
        <v>0</v>
      </c>
      <c r="FP97" s="135">
        <f>IF(ISNA(VLOOKUP(A97,'Données projet'!$A$217:$I$237,7,0)),0%,VLOOKUP(A97,'Données projet'!$A$217:$I$237,7,0))</f>
        <v>0</v>
      </c>
      <c r="FQ97" s="142">
        <f>EXP(-LN(2)/35)*FQ96+(1-EXP(-LN(2)/35))/(LN(2)/35)*FM97*FN97*VLOOKUP('Données projet'!$B$16,'Paramètres'!$A$1:$I$89,3,0)*0.475*44/12</f>
        <v>50.13787652</v>
      </c>
      <c r="FR97" s="142">
        <f>EXP(-LN(2)/25)*FR96+(1-EXP(-LN(2)/25))/(LN(2)/25)*Calculateur!FM97*Calculateur!FO97*VLOOKUP('Données projet'!$B$16,'Paramètres'!$A$1:$I$89,3,0)*0.475*44/12</f>
        <v>0</v>
      </c>
      <c r="FS97" s="142">
        <f>EXP(-LN(2)/2)*FS96+(1-EXP(-LN(2)/2))/(LN(2)/2)*FM97*FP97*VLOOKUP('Données projet'!$B$16,'Paramètres'!$A$1:$I$89,3,0)*0.475*44/12</f>
        <v>0</v>
      </c>
      <c r="FT97" s="143">
        <f t="shared" si="25"/>
        <v>50.13787652</v>
      </c>
      <c r="FU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1" t="str">
        <f>VLOOKUP(A97,'Données projet'!$A$243:$I$263,2,0)</f>
        <v>#N/A</v>
      </c>
      <c r="FX97" s="131" t="str">
        <f>VLOOKUP(A97,'Données projet'!$A$243:$I$263,9,0)</f>
        <v>#N/A</v>
      </c>
      <c r="FY97" s="131" t="str">
        <f t="array" ref="FY97">INDEX(FX:FX,MIN(IF(ISNUMBER(FX97:FX293),ROW(FX97:FX293),"")))</f>
        <v/>
      </c>
      <c r="FZ97" s="138">
        <f>IF('Données projet'!$A$244&gt;35,FZ96+FY97-GH96,IF(A97&lt;'Données projet'!$A$244,$FW$205^A97,IF(A97='Données projet'!$A$244,'Données projet'!$B$244,FZ96+FY97-GH96)))</f>
        <v>0</v>
      </c>
      <c r="GA97" s="138">
        <f>FZ97*VLOOKUP('Données projet'!$B$17,'Paramètres'!$A$1:$I$89,3,0)*VLOOKUP('Données projet'!$B$17,'Paramètres'!$A$1:$I$89,5,0)</f>
        <v>0</v>
      </c>
      <c r="GB97" s="130">
        <f t="shared" si="50"/>
        <v>0</v>
      </c>
      <c r="GC97" s="141">
        <f t="shared" si="26"/>
        <v>0</v>
      </c>
      <c r="GD97" s="133">
        <f t="shared" si="27"/>
        <v>293.3333333</v>
      </c>
      <c r="GE97" s="133">
        <f>AVERAGE(OFFSET($GD$3,0,0,'Données projet'!$E$17+1,1))-AVERAGE(OFFSET($H$3,0,0,'Données projet'!$E$17+1,1))</f>
        <v>118.7368745</v>
      </c>
      <c r="GF97" s="133">
        <f t="shared" si="51"/>
        <v>135.1233677</v>
      </c>
      <c r="GG97" s="134">
        <f>IF(ISNA(VLOOKUP(A97,'Données projet'!$A$243:$I$263,3,0)),0,VLOOKUP(A97,'Données projet'!$A$243:$I$263,3,0))</f>
        <v>0</v>
      </c>
      <c r="GH97" s="134">
        <f>IF(ISNA(VLOOKUP(A97,'Données projet'!$A$243:$I$263,4,0)),0,VLOOKUP(A97,'Données projet'!$A$243:$I$263,4,0))</f>
        <v>0</v>
      </c>
      <c r="GI97" s="135">
        <f>IF(ISNA(VLOOKUP(A97,'Données projet'!$A$243:$I$263,5,0)),0%,VLOOKUP(A97,'Données projet'!$A$243:$I$263,5,0)*VLOOKUP('Données projet'!$B$17,'Paramètres'!$A$1:$I$89,7,0))</f>
        <v>0</v>
      </c>
      <c r="GJ97" s="135">
        <f>IF(ISNA(VLOOKUP(A97,'Données projet'!$A$243:$I$263,6,0)),0%,VLOOKUP(A97,'Données projet'!$A$243:$I$263,6,0)*VLOOKUP('Données projet'!$B$17,'Paramètres'!$A$1:$I$89,7,0))</f>
        <v>0</v>
      </c>
      <c r="GK97" s="135">
        <f>IF(ISNA(VLOOKUP(A97,'Données projet'!$A$243:$I$263,7,0)),0%,VLOOKUP(A97,'Données projet'!$A$243:$I$263,7,0))</f>
        <v>0</v>
      </c>
      <c r="GL97" s="142">
        <f>EXP(-LN(2)/35)*GL96+(1-EXP(-LN(2)/35))/(LN(2)/35)*GH97*GI97*VLOOKUP('Données projet'!$B$17,'Paramètres'!$A$1:$I$89,3,0)*0.475*44/12</f>
        <v>52.97051148</v>
      </c>
      <c r="GM97" s="142">
        <f>EXP(-LN(2)/25)*GM96+(1-EXP(-LN(2)/25))/(LN(2)/25)*Calculateur!GH97*Calculateur!GJ97*VLOOKUP('Données projet'!$B$17,'Paramètres'!$A$1:$I$89,3,0)*0.475*44/12</f>
        <v>0</v>
      </c>
      <c r="GN97" s="142">
        <f>EXP(-LN(2)/2)*GN96+(1-EXP(-LN(2)/2))/(LN(2)/2)*GH97*GK97*VLOOKUP('Données projet'!$B$17,'Paramètres'!$A$1:$I$89,3,0)*0.475*44/12</f>
        <v>0</v>
      </c>
      <c r="GO97" s="142">
        <f t="shared" si="28"/>
        <v>52.97051148</v>
      </c>
      <c r="GP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1" t="str">
        <f>VLOOKUP(A97,'Données projet'!$A$269:$I$289,2,0)</f>
        <v>#N/A</v>
      </c>
      <c r="GS97" s="131" t="str">
        <f>VLOOKUP(A97,'Données projet'!$A$269:$I$289,9,0)</f>
        <v>#N/A</v>
      </c>
      <c r="GT97" s="131" t="str">
        <f t="array" ref="GT97">INDEX(GS:GS,MIN(IF(ISNUMBER(GS97:GS293),ROW(GS97:GS293),"")))</f>
        <v/>
      </c>
      <c r="GU97" s="138">
        <f>IF('Données projet'!$A$270&gt;35,GU96+GT97-HC96,IF(A97&lt;'Données projet'!$A$270,$GR$205^A97,IF(A97='Données projet'!$A$270,'Données projet'!$B$270,GU96+GT97-HC96)))</f>
        <v>0</v>
      </c>
      <c r="GV97" s="138">
        <f>GU97*VLOOKUP('Données projet'!$B$18,'Paramètres'!$A$1:$I$89,3,0)*VLOOKUP('Données projet'!$B$18,'Paramètres'!$A$1:$I$89,5,0)</f>
        <v>0</v>
      </c>
      <c r="GW97" s="130" t="str">
        <f t="shared" si="52"/>
        <v>#NUM!</v>
      </c>
      <c r="GX97" s="141" t="str">
        <f t="shared" si="29"/>
        <v>#NUM!</v>
      </c>
      <c r="GY97" s="133" t="str">
        <f t="shared" si="30"/>
        <v>#NUM!</v>
      </c>
      <c r="GZ97" s="133">
        <f>AVERAGE(OFFSET($GY$3,0,0,'Données projet'!$E$18+1,1))-AVERAGE(OFFSET($H$3,0,0,'Données projet'!$E$18+1,1))</f>
        <v>100.5427875</v>
      </c>
      <c r="HA97" s="133">
        <f t="shared" si="53"/>
        <v>92.28663609</v>
      </c>
      <c r="HB97" s="134">
        <f>IF(ISNA(VLOOKUP(A97,'Données projet'!$A$269:$I$289,3,0)),0,VLOOKUP(A97,'Données projet'!$A$269:$I$289,3,0))</f>
        <v>0</v>
      </c>
      <c r="HC97" s="134">
        <f>IF(ISNA(VLOOKUP(A97,'Données projet'!$A$269:$I$289,4,0)),0,VLOOKUP(A97,'Données projet'!$A$269:$I$289,4,0))</f>
        <v>0</v>
      </c>
      <c r="HD97" s="135">
        <f>IF(ISNA(VLOOKUP(A97,'Données projet'!$A$269:$I$289,5,0)),0%,VLOOKUP(A97,'Données projet'!$A$269:$I$289,5,0)*VLOOKUP('Données projet'!$B$18,'Paramètres'!$A$1:$I$89,7,0))</f>
        <v>0</v>
      </c>
      <c r="HE97" s="135">
        <f>IF(ISNA(VLOOKUP(A97,'Données projet'!$A$269:$I$289,6,0)),0%,VLOOKUP(A97,'Données projet'!$A$269:$I$289,6,0)*VLOOKUP('Données projet'!$B$18,'Paramètres'!$A$1:$I$89,7,0))</f>
        <v>0</v>
      </c>
      <c r="HF97" s="135">
        <f>IF(ISNA(VLOOKUP(A97,'Données projet'!$A$269:$I$289,7,0)),0%,VLOOKUP(A97,'Données projet'!$A$269:$I$289,7,0))</f>
        <v>0</v>
      </c>
      <c r="HG97" s="142">
        <f>EXP(-LN(2)/35)*HG96+(1-EXP(-LN(2)/35))/(LN(2)/35)*HC97*HD97*VLOOKUP('Données projet'!$B$18,'Paramètres'!$A$1:$I$89,3,0)*0.475*44/12</f>
        <v>36.07180085</v>
      </c>
      <c r="HH97" s="142">
        <f>EXP(-LN(2)/25)*HH96+(1-EXP(-LN(2)/25))/(LN(2)/25)*Calculateur!HC97*Calculateur!HE97*VLOOKUP('Données projet'!$B$18,'Paramètres'!$A$1:$I$89,3,0)*0.475*44/12</f>
        <v>0</v>
      </c>
      <c r="HI97" s="142">
        <f>EXP(-LN(2)/2)*HI96+(1-EXP(-LN(2)/2))/(LN(2)/2)*HC97*HF97*VLOOKUP('Données projet'!$B$18,'Paramètres'!$A$1:$I$89,3,0)*0.475*44/12</f>
        <v>0</v>
      </c>
      <c r="HJ97" s="143">
        <f t="shared" si="31"/>
        <v>36.07180085</v>
      </c>
    </row>
    <row r="98" ht="15.75" customHeight="1">
      <c r="A98" s="125">
        <f t="shared" si="32"/>
        <v>95</v>
      </c>
      <c r="B98" s="126">
        <f>'Scénario référence'!$B$16*5+'Scénario référence'!$B$17*0+'Scénario référence'!$B$18*5</f>
        <v>0</v>
      </c>
      <c r="C98" s="140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51.87</v>
      </c>
      <c r="D98" s="127">
        <f t="shared" si="33"/>
        <v>15.09565847</v>
      </c>
      <c r="E9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7">
        <f>IF(OR('Scénario référence'!$F$8&gt;0,'Scénario référence'!$F$9&gt;0),('Scénario référence'!$F$8+'Scénario référence'!$F$9)*10,0)</f>
        <v>10</v>
      </c>
      <c r="G98" s="127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</v>
      </c>
      <c r="H98" s="128">
        <f t="shared" si="1"/>
        <v>409.9651885</v>
      </c>
      <c r="I98" s="12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1" t="str">
        <f>VLOOKUP(A98,'Données projet'!$A$35:$I$55,2,0)</f>
        <v>#N/A</v>
      </c>
      <c r="L98" s="131" t="str">
        <f>VLOOKUP(A98,'Données projet'!$A$35:$I$55,9,0)</f>
        <v>#N/A</v>
      </c>
      <c r="M98" s="131" t="str">
        <f t="array" ref="M98">INDEX(L:L,MIN(IF(ISNUMBER(L98:L294),ROW(L98:L294),"")))</f>
        <v/>
      </c>
      <c r="N98" s="130">
        <f>IF('Données projet'!$A$36&gt;35,N97+M98-V97,IF(A98&lt;'Données projet'!$A$36,$K$205^A98,IF(A98='Données projet'!$A$36,'Données projet'!$B$36,N97+M98-V97)))</f>
        <v>0</v>
      </c>
      <c r="O98" s="130">
        <f>N98*VLOOKUP('Données projet'!$B$9,'Paramètres'!$A$1:$I$89,3,0)*VLOOKUP('Données projet'!$B$9,'Paramètres'!$A$1:$I$89,5,0)</f>
        <v>0</v>
      </c>
      <c r="P98" s="130">
        <f t="shared" si="34"/>
        <v>0</v>
      </c>
      <c r="Q98" s="141">
        <f t="shared" si="2"/>
        <v>0</v>
      </c>
      <c r="R98" s="133">
        <f t="shared" si="3"/>
        <v>293.3333333</v>
      </c>
      <c r="S98" s="133">
        <f>AVERAGE(OFFSET($R$3,0,0,'Données projet'!$E$9+1,1))-AVERAGE(OFFSET($H$3,0,0,'Données projet'!$E$9+1,1))</f>
        <v>126.9946492</v>
      </c>
      <c r="T98" s="133">
        <f t="shared" si="35"/>
        <v>140.039049</v>
      </c>
      <c r="U98" s="134">
        <f>IF(ISNA(VLOOKUP(A98,'Données projet'!$A$35:$I$55,3,0)),0,VLOOKUP(A98,'Données projet'!$A$35:$I$55,3,0))</f>
        <v>0</v>
      </c>
      <c r="V98" s="134">
        <f>IF(ISNA(VLOOKUP(A98,'Données projet'!$A$35:$I$55,4,0)),0,VLOOKUP(A98,'Données projet'!$A$35:$I$55,4,0))</f>
        <v>0</v>
      </c>
      <c r="W98" s="135">
        <f>IF(ISNA(VLOOKUP(A98,'Données projet'!$A$35:$I$55,5,0)),0%,VLOOKUP(A98,'Données projet'!$A$35:$I$55,5,0)*VLOOKUP('Données projet'!$B$9,'Paramètres'!$A$1:$I$89,7,0))</f>
        <v>0</v>
      </c>
      <c r="X98" s="135">
        <f>IF(ISNA(VLOOKUP(A98,'Données projet'!$A$35:$I$55,6,0)),0%,VLOOKUP(A98,'Données projet'!$A$35:$I$55,6,0)*VLOOKUP('Données projet'!$B$9,'Paramètres'!$A$1:$I$89,7,0))</f>
        <v>0</v>
      </c>
      <c r="Y98" s="135">
        <f>IF(ISNA(VLOOKUP(A98,'Données projet'!$A$35:$I$55,7,0)),0%,VLOOKUP(A98,'Données projet'!$A$35:$I$55,7,0))</f>
        <v>0</v>
      </c>
      <c r="Z98" s="142">
        <f>EXP(-LN(2)/35)*Z97+(1-EXP(-LN(2)/35))/(LN(2)/35)*V98*W98*VLOOKUP('Données projet'!$B$9,'Paramètres'!$A$1:$I$89,3,0)*0.475*44/12</f>
        <v>53.11466308</v>
      </c>
      <c r="AA98" s="142">
        <f>EXP(-LN(2)/25)*AA97+(1-EXP(-LN(2)/25))/(LN(2)/25)*Calculateur!V98*Calculateur!X98*VLOOKUP('Données projet'!$B$9,'Paramètres'!$A$1:$I$89,3,0)*0.475*44/12</f>
        <v>8.805800709</v>
      </c>
      <c r="AB98" s="142">
        <f>EXP(-LN(2)/2)*AB97+(1-EXP(-LN(2)/2))/(LN(2)/2)*V98*Y98*VLOOKUP('Données projet'!$B$9,'Paramètres'!$A$1:$I$89,3,0)*0.475*44/12</f>
        <v>0.0001024437954</v>
      </c>
      <c r="AC98" s="143">
        <f t="shared" si="4"/>
        <v>61.92056624</v>
      </c>
      <c r="AD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1" t="str">
        <f>VLOOKUP(A98,'Données projet'!$A$61:$I$81,2,0)</f>
        <v>#N/A</v>
      </c>
      <c r="AG98" s="131" t="str">
        <f>VLOOKUP(A98,'Données projet'!$A$61:$I$81,9,0)</f>
        <v>#N/A</v>
      </c>
      <c r="AH98" s="131" t="str">
        <f t="array" ref="AH98">INDEX(AG:AG,MIN(IF(ISNUMBER(AG98:AG294),ROW(AG98:AG294),"")))</f>
        <v/>
      </c>
      <c r="AI98" s="130">
        <f>IF('Données projet'!$A$62&gt;35,AI97+AH98-AQ97,IF(A98&lt;'Données projet'!$A$62,$AF$205^A98,IF(A98='Données projet'!$A$62,'Données projet'!$B$62,AI97+AH98-AQ97)))</f>
        <v>0</v>
      </c>
      <c r="AJ98" s="130">
        <f>AI98*VLOOKUP('Données projet'!$B$10,'Paramètres'!$A$1:$I$89,3,0)*VLOOKUP('Données projet'!$B$10,'Paramètres'!$A$1:$I$89,5,0)</f>
        <v>0</v>
      </c>
      <c r="AK98" s="130" t="str">
        <f t="shared" si="36"/>
        <v>#NUM!</v>
      </c>
      <c r="AL98" s="141" t="str">
        <f t="shared" si="5"/>
        <v>#NUM!</v>
      </c>
      <c r="AM98" s="133" t="str">
        <f t="shared" si="6"/>
        <v>#NUM!</v>
      </c>
      <c r="AN98" s="133">
        <f>AVERAGE(OFFSET($AM$3,0,0,'Données projet'!$E$10+1,1))-AVERAGE(OFFSET($H$3,0,0,'Données projet'!$E$10+1,1))</f>
        <v>196.874484</v>
      </c>
      <c r="AO98" s="133">
        <f t="shared" si="37"/>
        <v>217.5750859</v>
      </c>
      <c r="AP98" s="134">
        <f>IF(ISNA(VLOOKUP(A98,'Données projet'!$A$61:$I$81,3,0)),0,VLOOKUP(A98,'Données projet'!$A$61:$I$81,3,0))</f>
        <v>0</v>
      </c>
      <c r="AQ98" s="134">
        <f>IF(ISNA(VLOOKUP(A98,'Données projet'!$A$61:$I$81,4,0)),0,VLOOKUP(A98,'Données projet'!$A$61:$I$81,4,0))</f>
        <v>0</v>
      </c>
      <c r="AR98" s="135">
        <f>IF(ISNA(VLOOKUP(A98,'Données projet'!$A$61:$I$81,5,0)),0%,VLOOKUP(A98,'Données projet'!$A$61:$I$81,5,0)*VLOOKUP('Données projet'!$B$10,'Paramètres'!$A$1:$I$89,7,0))</f>
        <v>0</v>
      </c>
      <c r="AS98" s="135">
        <f>IF(ISNA(VLOOKUP(A98,'Données projet'!$A$61:$I$81,6,0)),0%,VLOOKUP(A98,'Données projet'!$A$61:$I$81,6,0)*VLOOKUP('Données projet'!$B$10,'Paramètres'!$A$1:$I$89,7,0))</f>
        <v>0</v>
      </c>
      <c r="AT98" s="135">
        <f>IF(ISNA(VLOOKUP(A98,'Données projet'!$A$61:$I$81,7,0)),0%,VLOOKUP(A98,'Données projet'!$A$61:$I$81,7,0))</f>
        <v>0</v>
      </c>
      <c r="AU98" s="142">
        <f>EXP(-LN(2)/35)*AU97+(1-EXP(-LN(2)/35))/(LN(2)/35)*AQ98*AR98*VLOOKUP('Données projet'!$B$10,'Paramètres'!$A$1:$I$89,3,0)*0.475*44/12</f>
        <v>73.82787303</v>
      </c>
      <c r="AV98" s="142">
        <f>EXP(-LN(2)/25)*AV97+(1-EXP(-LN(2)/25))/(LN(2)/25)*Calculateur!AQ98*Calculateur!AS98*VLOOKUP('Données projet'!$B$10,'Paramètres'!$A$1:$I$89,3,0)*0.475*44/12</f>
        <v>13.53893035</v>
      </c>
      <c r="AW98" s="142">
        <f>EXP(-LN(2)/2)*AW97+(1-EXP(-LN(2)/2))/(LN(2)/2)*AQ98*AT98*VLOOKUP('Données projet'!$B$10,'Paramètres'!$A$1:$I$89,3,0)*0.475*44/12</f>
        <v>0.0001428281596</v>
      </c>
      <c r="AX98" s="142">
        <f t="shared" si="7"/>
        <v>87.36694621</v>
      </c>
      <c r="AY98" s="13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1" t="str">
        <f>VLOOKUP(A98,'Données projet'!$A$87:$I$107,2,0)</f>
        <v>#N/A</v>
      </c>
      <c r="BB98" s="131" t="str">
        <f>VLOOKUP(A98,'Données projet'!$A$87:$I$107,9,0)</f>
        <v>#N/A</v>
      </c>
      <c r="BC98" s="131" t="str">
        <f t="array" ref="BC98">INDEX(BB:BB,MIN(IF(ISNUMBER(BB98:BB294),ROW(BB98:BB294),"")))</f>
        <v/>
      </c>
      <c r="BD98" s="130">
        <f>IF('Données projet'!$A$88&gt;35,BD97+BC98-BL97,IF(A98&lt;'Données projet'!$A$88,$BA$205^A98,IF(A98='Données projet'!$A$88,'Données projet'!$B$88,BD97+BC98-BL97)))</f>
        <v>0</v>
      </c>
      <c r="BE98" s="130">
        <f>BD98*VLOOKUP('Données projet'!$B$11,'Paramètres'!$A$1:$I$89,3,0)*VLOOKUP('Données projet'!$B$11,'Paramètres'!$A$1:$I$89,5,0)</f>
        <v>0</v>
      </c>
      <c r="BF98" s="130" t="str">
        <f t="shared" si="38"/>
        <v>#NUM!</v>
      </c>
      <c r="BG98" s="141" t="str">
        <f t="shared" si="8"/>
        <v>#NUM!</v>
      </c>
      <c r="BH98" s="133" t="str">
        <f t="shared" si="9"/>
        <v>#NUM!</v>
      </c>
      <c r="BI98" s="133">
        <f>AVERAGE(OFFSET($BH$3,0,0,'Données projet'!$E$11+1,1))-AVERAGE(OFFSET($H$3,0,0,'Données projet'!$E$11+1,1))</f>
        <v>134.0948534</v>
      </c>
      <c r="BJ98" s="133">
        <f t="shared" si="39"/>
        <v>108.4102536</v>
      </c>
      <c r="BK98" s="134">
        <f>IF(ISNA(VLOOKUP(A98,'Données projet'!$A$87:$I$107,3,0)),0,VLOOKUP(A98,'Données projet'!$A$87:$I$107,3,0))</f>
        <v>0</v>
      </c>
      <c r="BL98" s="134">
        <f>IF(ISNA(VLOOKUP(A98,'Données projet'!$A$87:$I$107,4,0)),0,VLOOKUP(A98,'Données projet'!$A$87:$I$107,4,0))</f>
        <v>0</v>
      </c>
      <c r="BM98" s="135">
        <f>IF(ISNA(VLOOKUP(A98,'Données projet'!$A$87:$I$107,5,0)),0%,VLOOKUP(A98,'Données projet'!$A$87:$I$107,5,0)*VLOOKUP('Données projet'!$B$11,'Paramètres'!$A$1:$I$89,7,0))</f>
        <v>0</v>
      </c>
      <c r="BN98" s="135">
        <f>IF(ISNA(VLOOKUP(A98,'Données projet'!$A$87:$I$107,6,0)),0%,VLOOKUP(A98,'Données projet'!$A$87:$I$107,6,0)*VLOOKUP('Données projet'!$B$11,'Paramètres'!$A$1:$I$89,7,0))</f>
        <v>0</v>
      </c>
      <c r="BO98" s="135">
        <f>IF(ISNA(VLOOKUP(A98,'Données projet'!$A$87:$I$107,7,0)),0%,VLOOKUP(A98,'Données projet'!$A$87:$I$107,7,0))</f>
        <v>0</v>
      </c>
      <c r="BP98" s="142">
        <f>EXP(-LN(2)/35)*BP97+(1-EXP(-LN(2)/35))/(LN(2)/35)*BL98*BM98*VLOOKUP('Données projet'!$B$11,'Paramètres'!$A$1:$I$89,3,0)*0.475*44/12</f>
        <v>102.1177364</v>
      </c>
      <c r="BQ98" s="142">
        <f>EXP(-LN(2)/25)*BQ97+(1-EXP(-LN(2)/25))/(LN(2)/25)*Calculateur!BL98*Calculateur!BN98*VLOOKUP('Données projet'!$B$11,'Paramètres'!$A$1:$I$89,3,0)*0.475*44/12</f>
        <v>8.540368892</v>
      </c>
      <c r="BR98" s="142">
        <f>EXP(-LN(2)/2)*BR97+(1-EXP(-LN(2)/2))/(LN(2)/2)*BL98*BO98*VLOOKUP('Données projet'!$B$11,'Paramètres'!$A$1:$I$89,3,0)*0.475*44/12</f>
        <v>0.001905122674</v>
      </c>
      <c r="BS98" s="143">
        <f t="shared" si="10"/>
        <v>110.6600104</v>
      </c>
      <c r="BT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1" t="str">
        <f>VLOOKUP(A98,'Données projet'!$A$113:$I$133,2,0)</f>
        <v>#N/A</v>
      </c>
      <c r="BW98" s="131" t="str">
        <f>VLOOKUP(A98,'Données projet'!$A$113:$I$133,9,0)</f>
        <v>#N/A</v>
      </c>
      <c r="BX98" s="131" t="str">
        <f t="array" ref="BX98">INDEX(BW:BW,MIN(IF(ISNUMBER(BW98:BW294),ROW(BW98:BW294),"")))</f>
        <v/>
      </c>
      <c r="BY98" s="130">
        <f>IF('Données projet'!$A$114&gt;35,BY97+BX98-CG97,IF(A98&lt;'Données projet'!$A$114,$BV$205^A98,IF(A98='Données projet'!$A$114,'Données projet'!$B$114,BY97+BX98-CG97)))</f>
        <v>0</v>
      </c>
      <c r="BZ98" s="130">
        <f>BY98*VLOOKUP('Données projet'!$B$12,'Paramètres'!$A$1:$I$89,3,0)*VLOOKUP('Données projet'!$B$12,'Paramètres'!$A$1:$I$89,5,0)</f>
        <v>0</v>
      </c>
      <c r="CA98" s="130" t="str">
        <f t="shared" si="40"/>
        <v>#NUM!</v>
      </c>
      <c r="CB98" s="141" t="str">
        <f t="shared" si="11"/>
        <v>#NUM!</v>
      </c>
      <c r="CC98" s="133" t="str">
        <f t="shared" si="12"/>
        <v>#NUM!</v>
      </c>
      <c r="CD98" s="133">
        <f>AVERAGE(OFFSET($CC$3,0,0,'Données projet'!$E$12+1,1))-AVERAGE(OFFSET($H$3,0,0,'Données projet'!$E$12+1,1))</f>
        <v>258.1672054</v>
      </c>
      <c r="CE98" s="133">
        <f t="shared" si="41"/>
        <v>296.0724261</v>
      </c>
      <c r="CF98" s="134">
        <f>IF(ISNA(VLOOKUP(A98,'Données projet'!$A$113:$I$133,3,0)),0,VLOOKUP(A98,'Données projet'!$A$113:$I$133,3,0))</f>
        <v>0</v>
      </c>
      <c r="CG98" s="134">
        <f>IF(ISNA(VLOOKUP(A98,'Données projet'!$A$113:$I$133,4,0)),0,VLOOKUP(A98,'Données projet'!$A$113:$I$133,4,0))</f>
        <v>0</v>
      </c>
      <c r="CH98" s="135">
        <f>IF(ISNA(VLOOKUP(A98,'Données projet'!$A$113:$I$133,5,0)),0%,VLOOKUP(A98,'Données projet'!$A$113:$I$133,5,0)*VLOOKUP('Données projet'!$B$12,'Paramètres'!$A$1:$I$89,7,0))</f>
        <v>0</v>
      </c>
      <c r="CI98" s="135">
        <f>IF(ISNA(VLOOKUP(A98,'Données projet'!$A$113:$I$133,6,0)),0%,VLOOKUP(A98,'Données projet'!$A$113:$I$133,6,0)*VLOOKUP('Données projet'!$B$12,'Paramètres'!$A$1:$I$89,7,0))</f>
        <v>0</v>
      </c>
      <c r="CJ98" s="135">
        <f>IF(ISNA(VLOOKUP(A98,'Données projet'!$A$113:$I$133,7,0)),0%,VLOOKUP(A98,'Données projet'!$A$113:$I$133,7,0))</f>
        <v>0</v>
      </c>
      <c r="CK98" s="142">
        <f>EXP(-LN(2)/35)*CK97+(1-EXP(-LN(2)/35))/(LN(2)/35)*CG98*CH98*VLOOKUP('Données projet'!$B$12,'Paramètres'!$A$1:$I$89,3,0)*0.475*44/12</f>
        <v>129.1080579</v>
      </c>
      <c r="CL98" s="142">
        <f>EXP(-LN(2)/25)*CL97+(1-EXP(-LN(2)/25))/(LN(2)/25)*Calculateur!CG98*Calculateur!CI98*VLOOKUP('Données projet'!$B$12,'Paramètres'!$A$1:$I$89,3,0)*0.475*44/12</f>
        <v>14.98029185</v>
      </c>
      <c r="CM98" s="142">
        <f>EXP(-LN(2)/2)*CM97+(1-EXP(-LN(2)/2))/(LN(2)/2)*CG98*CJ98*VLOOKUP('Données projet'!$B$12,'Paramètres'!$A$1:$I$89,3,0)*0.475*44/12</f>
        <v>0.00008026056963</v>
      </c>
      <c r="CN98" s="143">
        <f t="shared" si="13"/>
        <v>144.08843</v>
      </c>
      <c r="CO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1" t="str">
        <f>VLOOKUP(A98,'Données projet'!$A$139:$I$159,2,0)</f>
        <v>#N/A</v>
      </c>
      <c r="CR98" s="131" t="str">
        <f>VLOOKUP(A98,'Données projet'!$A$139:$I$159,9,0)</f>
        <v>#N/A</v>
      </c>
      <c r="CS98" s="130">
        <f t="array" ref="CS98">INDEX(CR:CR,MIN(IF(ISNUMBER(CR98:CR294),ROW(CR98:CR294),"")))</f>
        <v>2.3</v>
      </c>
      <c r="CT98" s="138">
        <f>IF('Données projet'!$A$140&gt;35,CT97+CS98-DB97,IF(A98&lt;'Données projet'!$A$140,$CQ$205^A98,IF(A98='Données projet'!$A$140,'Données projet'!$B$140,CT97+CS98-DB97)))</f>
        <v>204.5</v>
      </c>
      <c r="CU98" s="138">
        <f>CT98*VLOOKUP('Données projet'!$B$13,'Paramètres'!$A$1:$I$89,3,0)*VLOOKUP('Données projet'!$B$13,'Paramètres'!$A$1:$I$89,5,0)</f>
        <v>207.363</v>
      </c>
      <c r="CV98" s="130">
        <f t="shared" si="42"/>
        <v>51.35891173</v>
      </c>
      <c r="CW98" s="141">
        <f t="shared" si="14"/>
        <v>450.6073296</v>
      </c>
      <c r="CX98" s="133">
        <f t="shared" si="15"/>
        <v>743.9406629</v>
      </c>
      <c r="CY98" s="133">
        <f>AVERAGE(OFFSET($CX$3,0,0,'Données projet'!$E$13+1,1))-AVERAGE(OFFSET($H$3,0,0,'Données projet'!$E$13+1,1))</f>
        <v>223.783507</v>
      </c>
      <c r="CZ98" s="133">
        <f t="shared" si="43"/>
        <v>84.92349117</v>
      </c>
      <c r="DA98" s="134">
        <f>IF(ISNA(VLOOKUP(A98,'Données projet'!$A$139:$I$159,3,0)),0,VLOOKUP(A98,'Données projet'!$A$139:$I$159,3,0))</f>
        <v>0</v>
      </c>
      <c r="DB98" s="134">
        <f>IF(ISNA(VLOOKUP(A98,'Données projet'!$A$139:$I$159,4,0)),0,VLOOKUP(A98,'Données projet'!$A$139:$I$159,4,0))</f>
        <v>0</v>
      </c>
      <c r="DC98" s="135">
        <f>IF(ISNA(VLOOKUP(A98,'Données projet'!$A$139:$I$159,5,0)),0%,VLOOKUP(A98,'Données projet'!$A$139:$I$159,5,0)*VLOOKUP('Données projet'!$B$13,'Paramètres'!$A$1:$I$89,7,0))</f>
        <v>0</v>
      </c>
      <c r="DD98" s="135">
        <f>IF(ISNA(VLOOKUP(A98,'Données projet'!$A$139:$I$159,6,0)),0%,VLOOKUP(A98,'Données projet'!$A$139:$I$159,6,0)*VLOOKUP('Données projet'!$B$13,'Paramètres'!$A$1:$I$89,7,0))</f>
        <v>0</v>
      </c>
      <c r="DE98" s="135">
        <f>IF(ISNA(VLOOKUP(A98,'Données projet'!$A$139:$I$159,7,0)),0%,VLOOKUP(A98,'Données projet'!$A$139:$I$159,7,0))</f>
        <v>0</v>
      </c>
      <c r="DF98" s="142">
        <f>EXP(-LN(2)/35)*DF97+(1-EXP(-LN(2)/35))/(LN(2)/35)*DB98*DC98*VLOOKUP('Données projet'!$B$13,'Paramètres'!$A$1:$I$89,3,0)*0.475*44/12</f>
        <v>17.88531102</v>
      </c>
      <c r="DG98" s="142">
        <f>EXP(-LN(2)/25)*DG97+(1-EXP(-LN(2)/25))/(LN(2)/25)*Calculateur!DB98*Calculateur!DD98*VLOOKUP('Données projet'!$B$13,'Paramètres'!$A$1:$I$89,3,0)*0.475*44/12</f>
        <v>0</v>
      </c>
      <c r="DH98" s="142">
        <f>EXP(-LN(2)/2)*DH97+(1-EXP(-LN(2)/2))/(LN(2)/2)*DB98*DE98*VLOOKUP('Données projet'!$B$13,'Paramètres'!$A$1:$I$89,3,0)*0.475*44/12</f>
        <v>0</v>
      </c>
      <c r="DI98" s="143">
        <f t="shared" si="16"/>
        <v>17.88531102</v>
      </c>
      <c r="DJ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1" t="str">
        <f>VLOOKUP(A98,'Données projet'!$A$165:$I$185,2,0)</f>
        <v>#N/A</v>
      </c>
      <c r="DM98" s="131" t="str">
        <f>VLOOKUP(A98,'Données projet'!$A$165:$I$185,9,0)</f>
        <v>#N/A</v>
      </c>
      <c r="DN98" s="131">
        <f t="array" ref="DN98">INDEX(DM:DM,MIN(IF(ISNUMBER(DM98:DM294),ROW(DM98:DM294),"")))</f>
        <v>2.8</v>
      </c>
      <c r="DO98" s="138">
        <f>IF('Données projet'!$A$166&gt;35,DO97+DN98-DW97,IF(A98&lt;'Données projet'!$A$166,$DL$205^A98,IF(A98='Données projet'!$A$166,'Données projet'!$B$166,DO97+DN98-DW97)))</f>
        <v>268</v>
      </c>
      <c r="DP98" s="138">
        <f>DO98*VLOOKUP('Données projet'!$B$14,'Paramètres'!$A$1:$I$89,3,0)*VLOOKUP('Données projet'!$B$14,'Paramètres'!$A$1:$I$89,5,0)</f>
        <v>242.4864</v>
      </c>
      <c r="DQ98" s="130">
        <f t="shared" si="44"/>
        <v>58.97417024</v>
      </c>
      <c r="DR98" s="141">
        <f t="shared" si="17"/>
        <v>525.0438265</v>
      </c>
      <c r="DS98" s="133">
        <f t="shared" si="18"/>
        <v>818.3771598</v>
      </c>
      <c r="DT98" s="133">
        <f>AVERAGE(OFFSET($DS$3,0,0,'Données projet'!$E$14+1,1))-AVERAGE(OFFSET($H$3,0,0,'Données projet'!$E$14+1,1))</f>
        <v>287.9334714</v>
      </c>
      <c r="DU98" s="133">
        <f t="shared" si="45"/>
        <v>156.6796502</v>
      </c>
      <c r="DV98" s="134">
        <f>IF(ISNA(VLOOKUP(A98,'Données projet'!$A$165:$I$185,3,0)),0,VLOOKUP(A98,'Données projet'!$A$165:$I$185,3,0))</f>
        <v>0</v>
      </c>
      <c r="DW98" s="134">
        <f>IF(ISNA(VLOOKUP(A98,'Données projet'!$A$165:$I$185,4,0)),0,VLOOKUP(A98,'Données projet'!$A$165:$I$185,4,0))</f>
        <v>0</v>
      </c>
      <c r="DX98" s="135">
        <f>IF(ISNA(VLOOKUP(A98,'Données projet'!$A$165:$I$185,5,0)),0%,VLOOKUP(A98,'Données projet'!$A$165:$I$185,5,0)*VLOOKUP('Données projet'!$B$14,'Paramètres'!$A$1:$I$89,7,0))</f>
        <v>0</v>
      </c>
      <c r="DY98" s="135">
        <f>IF(ISNA(VLOOKUP(A98,'Données projet'!$A$165:$I$185,6,0)),0%,VLOOKUP(A98,'Données projet'!$A$165:$I$185,6,0)*VLOOKUP('Données projet'!$B$14,'Paramètres'!$A$1:$I$89,7,0))</f>
        <v>0</v>
      </c>
      <c r="DZ98" s="135">
        <f>IF(ISNA(VLOOKUP(A98,'Données projet'!$A$165:$I$185,7,0)),0%,VLOOKUP(A98,'Données projet'!$A$165:$I$185,7,0))</f>
        <v>0</v>
      </c>
      <c r="EA98" s="142">
        <f>EXP(-LN(2)/35)*EA97+(1-EXP(-LN(2)/35))/(LN(2)/35)*DW98*DX98*VLOOKUP('Données projet'!$B$14,'Paramètres'!$A$1:$I$89,3,0)*0.475*44/12</f>
        <v>27.40833223</v>
      </c>
      <c r="EB98" s="142">
        <f>EXP(-LN(2)/25)*EB97+(1-EXP(-LN(2)/25))/(LN(2)/25)*Calculateur!DW98*Calculateur!DY98*VLOOKUP('Données projet'!$B$14,'Paramètres'!$A$1:$I$89,3,0)*0.475*44/12</f>
        <v>0</v>
      </c>
      <c r="EC98" s="142">
        <f>EXP(-LN(2)/2)*EC97+(1-EXP(-LN(2)/2))/(LN(2)/2)*DW98*DZ98*VLOOKUP('Données projet'!$B$14,'Paramètres'!$A$1:$I$89,3,0)*0.475*44/12</f>
        <v>0</v>
      </c>
      <c r="ED98" s="143">
        <f t="shared" si="19"/>
        <v>27.40833223</v>
      </c>
      <c r="EE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1" t="str">
        <f>VLOOKUP(A98,'Données projet'!$A$191:$I$211,2,0)</f>
        <v>#N/A</v>
      </c>
      <c r="EH98" s="131" t="str">
        <f>VLOOKUP(A98,'Données projet'!$A$191:$I$211,9,0)</f>
        <v>#N/A</v>
      </c>
      <c r="EI98" s="131" t="str">
        <f t="array" ref="EI98">INDEX(EH:EH,MIN(IF(ISNUMBER(EH98:EH294),ROW(EH98:EH294),"")))</f>
        <v/>
      </c>
      <c r="EJ98" s="138">
        <f>IF('Données projet'!$A$192&gt;35,EJ97+EI98-ER97,IF(A98&lt;'Données projet'!$A$192,$EG$205^A98,IF(A98='Données projet'!$A$192,'Données projet'!$B$192,EJ97+EI98-ER97)))</f>
        <v>0</v>
      </c>
      <c r="EK98" s="138">
        <f>EJ98*VLOOKUP('Données projet'!$B$15,'Paramètres'!$A$1:$I$89,3,0)*VLOOKUP('Données projet'!$B$15,'Paramètres'!$A$1:$I$89,5,0)</f>
        <v>0</v>
      </c>
      <c r="EL98" s="130" t="str">
        <f t="shared" si="46"/>
        <v>#NUM!</v>
      </c>
      <c r="EM98" s="141" t="str">
        <f t="shared" si="20"/>
        <v>#NUM!</v>
      </c>
      <c r="EN98" s="133" t="str">
        <f t="shared" si="21"/>
        <v>#NUM!</v>
      </c>
      <c r="EO98" s="133">
        <f>AVERAGE(OFFSET($EN$3,0,0,'Données projet'!$E$15+1,1))-AVERAGE(OFFSET($H$3,0,0,'Données projet'!$E$15+1,1))</f>
        <v>130.3193339</v>
      </c>
      <c r="EP98" s="133">
        <f t="shared" si="47"/>
        <v>82.22784365</v>
      </c>
      <c r="EQ98" s="134">
        <f>IF(ISNA(VLOOKUP(A98,'Données projet'!$A$191:$I$211,3,0)),0,VLOOKUP(A98,'Données projet'!$A$191:$I$211,3,0))</f>
        <v>0</v>
      </c>
      <c r="ER98" s="134">
        <f>IF(ISNA(VLOOKUP(A98,'Données projet'!$A$191:$I$211,4,0)),0,VLOOKUP(A98,'Données projet'!$A$191:$I$211,4,0))</f>
        <v>0</v>
      </c>
      <c r="ES98" s="135">
        <f>IF(ISNA(VLOOKUP(A98,'Données projet'!$A$191:$I$211,5,0)),0%,VLOOKUP(A98,'Données projet'!$A$191:$I$211,5,0)*VLOOKUP('Données projet'!$B$15,'Paramètres'!$A$1:$I$89,7,0))</f>
        <v>0</v>
      </c>
      <c r="ET98" s="135">
        <f>IF(ISNA(VLOOKUP(A98,'Données projet'!$A$191:$I$211,6,0)),0%,VLOOKUP(A98,'Données projet'!$A$191:$I$211,6,0)*VLOOKUP('Données projet'!$B$15,'Paramètres'!$A$1:$I$89,7,0))</f>
        <v>0</v>
      </c>
      <c r="EU98" s="135">
        <f>IF(ISNA(VLOOKUP(A98,'Données projet'!$A$191:$I$211,7,0)),0%,VLOOKUP(A98,'Données projet'!$A$191:$I$211,7,0))</f>
        <v>0</v>
      </c>
      <c r="EV98" s="142">
        <f>EXP(-LN(2)/35)*EV97+(1-EXP(-LN(2)/35))/(LN(2)/35)*ER98*ES98*VLOOKUP('Données projet'!$B$15,'Paramètres'!$A$1:$I$89,3,0)*0.475*44/12</f>
        <v>78.9469065</v>
      </c>
      <c r="EW98" s="142">
        <f>EXP(-LN(2)/25)*EW97+(1-EXP(-LN(2)/25))/(LN(2)/25)*Calculateur!ER98*Calculateur!ET98*VLOOKUP('Données projet'!$B$15,'Paramètres'!$A$1:$I$89,3,0)*0.475*44/12</f>
        <v>0</v>
      </c>
      <c r="EX98" s="142">
        <f>EXP(-LN(2)/2)*EX97+(1-EXP(-LN(2)/2))/(LN(2)/2)*ER98*EU98*VLOOKUP('Données projet'!$B$15,'Paramètres'!$A$1:$I$89,3,0)*0.475*44/12</f>
        <v>0</v>
      </c>
      <c r="EY98" s="143">
        <f t="shared" si="22"/>
        <v>78.9469065</v>
      </c>
      <c r="EZ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1" t="str">
        <f>VLOOKUP(A98,'Données projet'!$A$217:$I$237,2,0)</f>
        <v>#N/A</v>
      </c>
      <c r="FC98" s="131" t="str">
        <f>VLOOKUP(A98,'Données projet'!$A$217:$I$237,9,0)</f>
        <v>#N/A</v>
      </c>
      <c r="FD98" s="131" t="str">
        <f t="array" ref="FD98">INDEX(FC:FC,MIN(IF(ISNUMBER(FC98:FC294),ROW(FC98:FC294),"")))</f>
        <v/>
      </c>
      <c r="FE98" s="130">
        <f>IF('Données projet'!$A$218&gt;35,FE97+FD98-FM97,IF(A98&lt;'Données projet'!$A$218,$FB$205^A98,IF(A98='Données projet'!$A$218,'Données projet'!$B$218,FE97+FD98-FM97)))</f>
        <v>0</v>
      </c>
      <c r="FF98" s="138">
        <f>FE98*VLOOKUP('Données projet'!$B$16,'Paramètres'!$A$1:$I$89,3,0)*VLOOKUP('Données projet'!$B$16,'Paramètres'!$A$1:$I$89,5,0)</f>
        <v>0</v>
      </c>
      <c r="FG98" s="130">
        <f t="shared" si="48"/>
        <v>0</v>
      </c>
      <c r="FH98" s="141">
        <f t="shared" si="23"/>
        <v>0</v>
      </c>
      <c r="FI98" s="133">
        <f t="shared" si="24"/>
        <v>293.3333333</v>
      </c>
      <c r="FJ98" s="133">
        <f>AVERAGE(OFFSET($FI$3,0,0,'Données projet'!$E$16+1,1))-AVERAGE(OFFSET($H$3,0,0,'Données projet'!$E$16+1,1))</f>
        <v>305.6252353</v>
      </c>
      <c r="FK98" s="133">
        <f t="shared" si="49"/>
        <v>331.397916</v>
      </c>
      <c r="FL98" s="134">
        <f>IF(ISNA(VLOOKUP(A98,'Données projet'!$A$217:$I$237,3,0)),0,VLOOKUP(A98,'Données projet'!$A$217:$I$237,3,0))</f>
        <v>0</v>
      </c>
      <c r="FM98" s="134">
        <f>IF(ISNA(VLOOKUP(A98,'Données projet'!$A$217:$I$237,4,0)),0,VLOOKUP(A98,'Données projet'!$A$217:$I$237,4,0))</f>
        <v>0</v>
      </c>
      <c r="FN98" s="135">
        <f>IF(ISNA(VLOOKUP(A98,'Données projet'!$A$217:$I$237,5,0)),0%,VLOOKUP(A98,'Données projet'!$A$217:$I$237,5,0)*VLOOKUP('Données projet'!$B$16,'Paramètres'!$A$1:$I$89,7,0))</f>
        <v>0</v>
      </c>
      <c r="FO98" s="135">
        <f>IF(ISNA(VLOOKUP(A98,'Données projet'!$A$217:$I$237,6,0)),0%,VLOOKUP(A98,'Données projet'!$A$217:$I$237,6,0)*VLOOKUP('Données projet'!$B$16,'Paramètres'!$A$1:$I$89,7,0))</f>
        <v>0</v>
      </c>
      <c r="FP98" s="135">
        <f>IF(ISNA(VLOOKUP(A98,'Données projet'!$A$217:$I$237,7,0)),0%,VLOOKUP(A98,'Données projet'!$A$217:$I$237,7,0))</f>
        <v>0</v>
      </c>
      <c r="FQ98" s="142">
        <f>EXP(-LN(2)/35)*FQ97+(1-EXP(-LN(2)/35))/(LN(2)/35)*FM98*FN98*VLOOKUP('Données projet'!$B$16,'Paramètres'!$A$1:$I$89,3,0)*0.475*44/12</f>
        <v>49.15470334</v>
      </c>
      <c r="FR98" s="142">
        <f>EXP(-LN(2)/25)*FR97+(1-EXP(-LN(2)/25))/(LN(2)/25)*Calculateur!FM98*Calculateur!FO98*VLOOKUP('Données projet'!$B$16,'Paramètres'!$A$1:$I$89,3,0)*0.475*44/12</f>
        <v>0</v>
      </c>
      <c r="FS98" s="142">
        <f>EXP(-LN(2)/2)*FS97+(1-EXP(-LN(2)/2))/(LN(2)/2)*FM98*FP98*VLOOKUP('Données projet'!$B$16,'Paramètres'!$A$1:$I$89,3,0)*0.475*44/12</f>
        <v>0</v>
      </c>
      <c r="FT98" s="143">
        <f t="shared" si="25"/>
        <v>49.15470334</v>
      </c>
      <c r="FU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1" t="str">
        <f>VLOOKUP(A98,'Données projet'!$A$243:$I$263,2,0)</f>
        <v>#N/A</v>
      </c>
      <c r="FX98" s="131" t="str">
        <f>VLOOKUP(A98,'Données projet'!$A$243:$I$263,9,0)</f>
        <v>#N/A</v>
      </c>
      <c r="FY98" s="131" t="str">
        <f t="array" ref="FY98">INDEX(FX:FX,MIN(IF(ISNUMBER(FX98:FX294),ROW(FX98:FX294),"")))</f>
        <v/>
      </c>
      <c r="FZ98" s="138">
        <f>IF('Données projet'!$A$244&gt;35,FZ97+FY98-GH97,IF(A98&lt;'Données projet'!$A$244,$FW$205^A98,IF(A98='Données projet'!$A$244,'Données projet'!$B$244,FZ97+FY98-GH97)))</f>
        <v>0</v>
      </c>
      <c r="GA98" s="138">
        <f>FZ98*VLOOKUP('Données projet'!$B$17,'Paramètres'!$A$1:$I$89,3,0)*VLOOKUP('Données projet'!$B$17,'Paramètres'!$A$1:$I$89,5,0)</f>
        <v>0</v>
      </c>
      <c r="GB98" s="130">
        <f t="shared" si="50"/>
        <v>0</v>
      </c>
      <c r="GC98" s="141">
        <f t="shared" si="26"/>
        <v>0</v>
      </c>
      <c r="GD98" s="133">
        <f t="shared" si="27"/>
        <v>293.3333333</v>
      </c>
      <c r="GE98" s="133">
        <f>AVERAGE(OFFSET($GD$3,0,0,'Données projet'!$E$17+1,1))-AVERAGE(OFFSET($H$3,0,0,'Données projet'!$E$17+1,1))</f>
        <v>118.7368745</v>
      </c>
      <c r="GF98" s="133">
        <f t="shared" si="51"/>
        <v>135.1233677</v>
      </c>
      <c r="GG98" s="134">
        <f>IF(ISNA(VLOOKUP(A98,'Données projet'!$A$243:$I$263,3,0)),0,VLOOKUP(A98,'Données projet'!$A$243:$I$263,3,0))</f>
        <v>0</v>
      </c>
      <c r="GH98" s="134">
        <f>IF(ISNA(VLOOKUP(A98,'Données projet'!$A$243:$I$263,4,0)),0,VLOOKUP(A98,'Données projet'!$A$243:$I$263,4,0))</f>
        <v>0</v>
      </c>
      <c r="GI98" s="135">
        <f>IF(ISNA(VLOOKUP(A98,'Données projet'!$A$243:$I$263,5,0)),0%,VLOOKUP(A98,'Données projet'!$A$243:$I$263,5,0)*VLOOKUP('Données projet'!$B$17,'Paramètres'!$A$1:$I$89,7,0))</f>
        <v>0</v>
      </c>
      <c r="GJ98" s="135">
        <f>IF(ISNA(VLOOKUP(A98,'Données projet'!$A$243:$I$263,6,0)),0%,VLOOKUP(A98,'Données projet'!$A$243:$I$263,6,0)*VLOOKUP('Données projet'!$B$17,'Paramètres'!$A$1:$I$89,7,0))</f>
        <v>0</v>
      </c>
      <c r="GK98" s="135">
        <f>IF(ISNA(VLOOKUP(A98,'Données projet'!$A$243:$I$263,7,0)),0%,VLOOKUP(A98,'Données projet'!$A$243:$I$263,7,0))</f>
        <v>0</v>
      </c>
      <c r="GL98" s="142">
        <f>EXP(-LN(2)/35)*GL97+(1-EXP(-LN(2)/35))/(LN(2)/35)*GH98*GI98*VLOOKUP('Données projet'!$B$17,'Paramètres'!$A$1:$I$89,3,0)*0.475*44/12</f>
        <v>51.93179206</v>
      </c>
      <c r="GM98" s="142">
        <f>EXP(-LN(2)/25)*GM97+(1-EXP(-LN(2)/25))/(LN(2)/25)*Calculateur!GH98*Calculateur!GJ98*VLOOKUP('Données projet'!$B$17,'Paramètres'!$A$1:$I$89,3,0)*0.475*44/12</f>
        <v>0</v>
      </c>
      <c r="GN98" s="142">
        <f>EXP(-LN(2)/2)*GN97+(1-EXP(-LN(2)/2))/(LN(2)/2)*GH98*GK98*VLOOKUP('Données projet'!$B$17,'Paramètres'!$A$1:$I$89,3,0)*0.475*44/12</f>
        <v>0</v>
      </c>
      <c r="GO98" s="142">
        <f t="shared" si="28"/>
        <v>51.93179206</v>
      </c>
      <c r="GP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1" t="str">
        <f>VLOOKUP(A98,'Données projet'!$A$269:$I$289,2,0)</f>
        <v>#N/A</v>
      </c>
      <c r="GS98" s="131" t="str">
        <f>VLOOKUP(A98,'Données projet'!$A$269:$I$289,9,0)</f>
        <v>#N/A</v>
      </c>
      <c r="GT98" s="131" t="str">
        <f t="array" ref="GT98">INDEX(GS:GS,MIN(IF(ISNUMBER(GS98:GS294),ROW(GS98:GS294),"")))</f>
        <v/>
      </c>
      <c r="GU98" s="138">
        <f>IF('Données projet'!$A$270&gt;35,GU97+GT98-HC97,IF(A98&lt;'Données projet'!$A$270,$GR$205^A98,IF(A98='Données projet'!$A$270,'Données projet'!$B$270,GU97+GT98-HC97)))</f>
        <v>0</v>
      </c>
      <c r="GV98" s="138">
        <f>GU98*VLOOKUP('Données projet'!$B$18,'Paramètres'!$A$1:$I$89,3,0)*VLOOKUP('Données projet'!$B$18,'Paramètres'!$A$1:$I$89,5,0)</f>
        <v>0</v>
      </c>
      <c r="GW98" s="130" t="str">
        <f t="shared" si="52"/>
        <v>#NUM!</v>
      </c>
      <c r="GX98" s="141" t="str">
        <f t="shared" si="29"/>
        <v>#NUM!</v>
      </c>
      <c r="GY98" s="133" t="str">
        <f t="shared" si="30"/>
        <v>#NUM!</v>
      </c>
      <c r="GZ98" s="133">
        <f>AVERAGE(OFFSET($GY$3,0,0,'Données projet'!$E$18+1,1))-AVERAGE(OFFSET($H$3,0,0,'Données projet'!$E$18+1,1))</f>
        <v>100.5427875</v>
      </c>
      <c r="HA98" s="133">
        <f t="shared" si="53"/>
        <v>92.28663609</v>
      </c>
      <c r="HB98" s="134">
        <f>IF(ISNA(VLOOKUP(A98,'Données projet'!$A$269:$I$289,3,0)),0,VLOOKUP(A98,'Données projet'!$A$269:$I$289,3,0))</f>
        <v>0</v>
      </c>
      <c r="HC98" s="134">
        <f>IF(ISNA(VLOOKUP(A98,'Données projet'!$A$269:$I$289,4,0)),0,VLOOKUP(A98,'Données projet'!$A$269:$I$289,4,0))</f>
        <v>0</v>
      </c>
      <c r="HD98" s="135">
        <f>IF(ISNA(VLOOKUP(A98,'Données projet'!$A$269:$I$289,5,0)),0%,VLOOKUP(A98,'Données projet'!$A$269:$I$289,5,0)*VLOOKUP('Données projet'!$B$18,'Paramètres'!$A$1:$I$89,7,0))</f>
        <v>0</v>
      </c>
      <c r="HE98" s="135">
        <f>IF(ISNA(VLOOKUP(A98,'Données projet'!$A$269:$I$289,6,0)),0%,VLOOKUP(A98,'Données projet'!$A$269:$I$289,6,0)*VLOOKUP('Données projet'!$B$18,'Paramètres'!$A$1:$I$89,7,0))</f>
        <v>0</v>
      </c>
      <c r="HF98" s="135">
        <f>IF(ISNA(VLOOKUP(A98,'Données projet'!$A$269:$I$289,7,0)),0%,VLOOKUP(A98,'Données projet'!$A$269:$I$289,7,0))</f>
        <v>0</v>
      </c>
      <c r="HG98" s="142">
        <f>EXP(-LN(2)/35)*HG97+(1-EXP(-LN(2)/35))/(LN(2)/35)*HC98*HD98*VLOOKUP('Données projet'!$B$18,'Paramètres'!$A$1:$I$89,3,0)*0.475*44/12</f>
        <v>35.36445484</v>
      </c>
      <c r="HH98" s="142">
        <f>EXP(-LN(2)/25)*HH97+(1-EXP(-LN(2)/25))/(LN(2)/25)*Calculateur!HC98*Calculateur!HE98*VLOOKUP('Données projet'!$B$18,'Paramètres'!$A$1:$I$89,3,0)*0.475*44/12</f>
        <v>0</v>
      </c>
      <c r="HI98" s="142">
        <f>EXP(-LN(2)/2)*HI97+(1-EXP(-LN(2)/2))/(LN(2)/2)*HC98*HF98*VLOOKUP('Données projet'!$B$18,'Paramètres'!$A$1:$I$89,3,0)*0.475*44/12</f>
        <v>0</v>
      </c>
      <c r="HJ98" s="143">
        <f t="shared" si="31"/>
        <v>35.36445484</v>
      </c>
    </row>
    <row r="99" ht="15.75" customHeight="1">
      <c r="A99" s="125">
        <f t="shared" si="32"/>
        <v>96</v>
      </c>
      <c r="B99" s="126">
        <f>'Scénario référence'!$B$16*5+'Scénario référence'!$B$17*0+'Scénario référence'!$B$18*5</f>
        <v>0</v>
      </c>
      <c r="C99" s="140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52.416</v>
      </c>
      <c r="D99" s="127">
        <f t="shared" si="33"/>
        <v>15.2359783</v>
      </c>
      <c r="E9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7">
        <f>IF(OR('Scénario référence'!$F$8&gt;0,'Scénario référence'!$F$9&gt;0),('Scénario référence'!$F$8+'Scénario référence'!$F$9)*10,0)</f>
        <v>10</v>
      </c>
      <c r="G99" s="127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</v>
      </c>
      <c r="H99" s="128">
        <f t="shared" si="1"/>
        <v>411.1605289</v>
      </c>
      <c r="I99" s="12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1" t="str">
        <f>VLOOKUP(A99,'Données projet'!$A$35:$I$55,2,0)</f>
        <v>#N/A</v>
      </c>
      <c r="L99" s="131" t="str">
        <f>VLOOKUP(A99,'Données projet'!$A$35:$I$55,9,0)</f>
        <v>#N/A</v>
      </c>
      <c r="M99" s="131" t="str">
        <f t="array" ref="M99">INDEX(L:L,MIN(IF(ISNUMBER(L99:L295),ROW(L99:L295),"")))</f>
        <v/>
      </c>
      <c r="N99" s="130">
        <f>IF('Données projet'!$A$36&gt;35,N98+M99-V98,IF(A99&lt;'Données projet'!$A$36,$K$205^A99,IF(A99='Données projet'!$A$36,'Données projet'!$B$36,N98+M99-V98)))</f>
        <v>0</v>
      </c>
      <c r="O99" s="130">
        <f>N99*VLOOKUP('Données projet'!$B$9,'Paramètres'!$A$1:$I$89,3,0)*VLOOKUP('Données projet'!$B$9,'Paramètres'!$A$1:$I$89,5,0)</f>
        <v>0</v>
      </c>
      <c r="P99" s="130">
        <f t="shared" si="34"/>
        <v>0</v>
      </c>
      <c r="Q99" s="141">
        <f t="shared" si="2"/>
        <v>0</v>
      </c>
      <c r="R99" s="133">
        <f t="shared" si="3"/>
        <v>293.3333333</v>
      </c>
      <c r="S99" s="133">
        <f>AVERAGE(OFFSET($R$3,0,0,'Données projet'!$E$9+1,1))-AVERAGE(OFFSET($H$3,0,0,'Données projet'!$E$9+1,1))</f>
        <v>126.9946492</v>
      </c>
      <c r="T99" s="133">
        <f t="shared" si="35"/>
        <v>140.039049</v>
      </c>
      <c r="U99" s="134">
        <f>IF(ISNA(VLOOKUP(A99,'Données projet'!$A$35:$I$55,3,0)),0,VLOOKUP(A99,'Données projet'!$A$35:$I$55,3,0))</f>
        <v>0</v>
      </c>
      <c r="V99" s="134">
        <f>IF(ISNA(VLOOKUP(A99,'Données projet'!$A$35:$I$55,4,0)),0,VLOOKUP(A99,'Données projet'!$A$35:$I$55,4,0))</f>
        <v>0</v>
      </c>
      <c r="W99" s="135">
        <f>IF(ISNA(VLOOKUP(A99,'Données projet'!$A$35:$I$55,5,0)),0%,VLOOKUP(A99,'Données projet'!$A$35:$I$55,5,0)*VLOOKUP('Données projet'!$B$9,'Paramètres'!$A$1:$I$89,7,0))</f>
        <v>0</v>
      </c>
      <c r="X99" s="135">
        <f>IF(ISNA(VLOOKUP(A99,'Données projet'!$A$35:$I$55,6,0)),0%,VLOOKUP(A99,'Données projet'!$A$35:$I$55,6,0)*VLOOKUP('Données projet'!$B$9,'Paramètres'!$A$1:$I$89,7,0))</f>
        <v>0</v>
      </c>
      <c r="Y99" s="135">
        <f>IF(ISNA(VLOOKUP(A99,'Données projet'!$A$35:$I$55,7,0)),0%,VLOOKUP(A99,'Données projet'!$A$35:$I$55,7,0))</f>
        <v>0</v>
      </c>
      <c r="Z99" s="142">
        <f>EXP(-LN(2)/35)*Z98+(1-EXP(-LN(2)/35))/(LN(2)/35)*V99*W99*VLOOKUP('Données projet'!$B$9,'Paramètres'!$A$1:$I$89,3,0)*0.475*44/12</f>
        <v>52.07311694</v>
      </c>
      <c r="AA99" s="142">
        <f>EXP(-LN(2)/25)*AA98+(1-EXP(-LN(2)/25))/(LN(2)/25)*Calculateur!V99*Calculateur!X99*VLOOKUP('Données projet'!$B$9,'Paramètres'!$A$1:$I$89,3,0)*0.475*44/12</f>
        <v>8.565005626</v>
      </c>
      <c r="AB99" s="142">
        <f>EXP(-LN(2)/2)*AB98+(1-EXP(-LN(2)/2))/(LN(2)/2)*V99*Y99*VLOOKUP('Données projet'!$B$9,'Paramètres'!$A$1:$I$89,3,0)*0.475*44/12</f>
        <v>0.00007243870243</v>
      </c>
      <c r="AC99" s="143">
        <f t="shared" si="4"/>
        <v>60.638195</v>
      </c>
      <c r="AD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1" t="str">
        <f>VLOOKUP(A99,'Données projet'!$A$61:$I$81,2,0)</f>
        <v>#N/A</v>
      </c>
      <c r="AG99" s="131" t="str">
        <f>VLOOKUP(A99,'Données projet'!$A$61:$I$81,9,0)</f>
        <v>#N/A</v>
      </c>
      <c r="AH99" s="131" t="str">
        <f t="array" ref="AH99">INDEX(AG:AG,MIN(IF(ISNUMBER(AG99:AG295),ROW(AG99:AG295),"")))</f>
        <v/>
      </c>
      <c r="AI99" s="130">
        <f>IF('Données projet'!$A$62&gt;35,AI98+AH99-AQ98,IF(A99&lt;'Données projet'!$A$62,$AF$205^A99,IF(A99='Données projet'!$A$62,'Données projet'!$B$62,AI98+AH99-AQ98)))</f>
        <v>0</v>
      </c>
      <c r="AJ99" s="130">
        <f>AI99*VLOOKUP('Données projet'!$B$10,'Paramètres'!$A$1:$I$89,3,0)*VLOOKUP('Données projet'!$B$10,'Paramètres'!$A$1:$I$89,5,0)</f>
        <v>0</v>
      </c>
      <c r="AK99" s="130" t="str">
        <f t="shared" si="36"/>
        <v>#NUM!</v>
      </c>
      <c r="AL99" s="141" t="str">
        <f t="shared" si="5"/>
        <v>#NUM!</v>
      </c>
      <c r="AM99" s="133" t="str">
        <f t="shared" si="6"/>
        <v>#NUM!</v>
      </c>
      <c r="AN99" s="133">
        <f>AVERAGE(OFFSET($AM$3,0,0,'Données projet'!$E$10+1,1))-AVERAGE(OFFSET($H$3,0,0,'Données projet'!$E$10+1,1))</f>
        <v>196.874484</v>
      </c>
      <c r="AO99" s="133">
        <f t="shared" si="37"/>
        <v>217.5750859</v>
      </c>
      <c r="AP99" s="134">
        <f>IF(ISNA(VLOOKUP(A99,'Données projet'!$A$61:$I$81,3,0)),0,VLOOKUP(A99,'Données projet'!$A$61:$I$81,3,0))</f>
        <v>0</v>
      </c>
      <c r="AQ99" s="134">
        <f>IF(ISNA(VLOOKUP(A99,'Données projet'!$A$61:$I$81,4,0)),0,VLOOKUP(A99,'Données projet'!$A$61:$I$81,4,0))</f>
        <v>0</v>
      </c>
      <c r="AR99" s="135">
        <f>IF(ISNA(VLOOKUP(A99,'Données projet'!$A$61:$I$81,5,0)),0%,VLOOKUP(A99,'Données projet'!$A$61:$I$81,5,0)*VLOOKUP('Données projet'!$B$10,'Paramètres'!$A$1:$I$89,7,0))</f>
        <v>0</v>
      </c>
      <c r="AS99" s="135">
        <f>IF(ISNA(VLOOKUP(A99,'Données projet'!$A$61:$I$81,6,0)),0%,VLOOKUP(A99,'Données projet'!$A$61:$I$81,6,0)*VLOOKUP('Données projet'!$B$10,'Paramètres'!$A$1:$I$89,7,0))</f>
        <v>0</v>
      </c>
      <c r="AT99" s="135">
        <f>IF(ISNA(VLOOKUP(A99,'Données projet'!$A$61:$I$81,7,0)),0%,VLOOKUP(A99,'Données projet'!$A$61:$I$81,7,0))</f>
        <v>0</v>
      </c>
      <c r="AU99" s="142">
        <f>EXP(-LN(2)/35)*AU98+(1-EXP(-LN(2)/35))/(LN(2)/35)*AQ99*AR99*VLOOKUP('Données projet'!$B$10,'Paramètres'!$A$1:$I$89,3,0)*0.475*44/12</f>
        <v>72.38015347</v>
      </c>
      <c r="AV99" s="142">
        <f>EXP(-LN(2)/25)*AV98+(1-EXP(-LN(2)/25))/(LN(2)/25)*Calculateur!AQ99*Calculateur!AS99*VLOOKUP('Données projet'!$B$10,'Paramètres'!$A$1:$I$89,3,0)*0.475*44/12</f>
        <v>13.16870759</v>
      </c>
      <c r="AW99" s="142">
        <f>EXP(-LN(2)/2)*AW98+(1-EXP(-LN(2)/2))/(LN(2)/2)*AQ99*AT99*VLOOKUP('Données projet'!$B$10,'Paramètres'!$A$1:$I$89,3,0)*0.475*44/12</f>
        <v>0.0001009947602</v>
      </c>
      <c r="AX99" s="142">
        <f t="shared" si="7"/>
        <v>85.54896206</v>
      </c>
      <c r="AY99" s="13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1" t="str">
        <f>VLOOKUP(A99,'Données projet'!$A$87:$I$107,2,0)</f>
        <v>#N/A</v>
      </c>
      <c r="BB99" s="131" t="str">
        <f>VLOOKUP(A99,'Données projet'!$A$87:$I$107,9,0)</f>
        <v>#N/A</v>
      </c>
      <c r="BC99" s="131" t="str">
        <f t="array" ref="BC99">INDEX(BB:BB,MIN(IF(ISNUMBER(BB99:BB295),ROW(BB99:BB295),"")))</f>
        <v/>
      </c>
      <c r="BD99" s="130">
        <f>IF('Données projet'!$A$88&gt;35,BD98+BC99-BL98,IF(A99&lt;'Données projet'!$A$88,$BA$205^A99,IF(A99='Données projet'!$A$88,'Données projet'!$B$88,BD98+BC99-BL98)))</f>
        <v>0</v>
      </c>
      <c r="BE99" s="130">
        <f>BD99*VLOOKUP('Données projet'!$B$11,'Paramètres'!$A$1:$I$89,3,0)*VLOOKUP('Données projet'!$B$11,'Paramètres'!$A$1:$I$89,5,0)</f>
        <v>0</v>
      </c>
      <c r="BF99" s="130" t="str">
        <f t="shared" si="38"/>
        <v>#NUM!</v>
      </c>
      <c r="BG99" s="141" t="str">
        <f t="shared" si="8"/>
        <v>#NUM!</v>
      </c>
      <c r="BH99" s="133" t="str">
        <f t="shared" si="9"/>
        <v>#NUM!</v>
      </c>
      <c r="BI99" s="133">
        <f>AVERAGE(OFFSET($BH$3,0,0,'Données projet'!$E$11+1,1))-AVERAGE(OFFSET($H$3,0,0,'Données projet'!$E$11+1,1))</f>
        <v>134.0948534</v>
      </c>
      <c r="BJ99" s="133">
        <f t="shared" si="39"/>
        <v>108.4102536</v>
      </c>
      <c r="BK99" s="134">
        <f>IF(ISNA(VLOOKUP(A99,'Données projet'!$A$87:$I$107,3,0)),0,VLOOKUP(A99,'Données projet'!$A$87:$I$107,3,0))</f>
        <v>0</v>
      </c>
      <c r="BL99" s="134">
        <f>IF(ISNA(VLOOKUP(A99,'Données projet'!$A$87:$I$107,4,0)),0,VLOOKUP(A99,'Données projet'!$A$87:$I$107,4,0))</f>
        <v>0</v>
      </c>
      <c r="BM99" s="135">
        <f>IF(ISNA(VLOOKUP(A99,'Données projet'!$A$87:$I$107,5,0)),0%,VLOOKUP(A99,'Données projet'!$A$87:$I$107,5,0)*VLOOKUP('Données projet'!$B$11,'Paramètres'!$A$1:$I$89,7,0))</f>
        <v>0</v>
      </c>
      <c r="BN99" s="135">
        <f>IF(ISNA(VLOOKUP(A99,'Données projet'!$A$87:$I$107,6,0)),0%,VLOOKUP(A99,'Données projet'!$A$87:$I$107,6,0)*VLOOKUP('Données projet'!$B$11,'Paramètres'!$A$1:$I$89,7,0))</f>
        <v>0</v>
      </c>
      <c r="BO99" s="135">
        <f>IF(ISNA(VLOOKUP(A99,'Données projet'!$A$87:$I$107,7,0)),0%,VLOOKUP(A99,'Données projet'!$A$87:$I$107,7,0))</f>
        <v>0</v>
      </c>
      <c r="BP99" s="142">
        <f>EXP(-LN(2)/35)*BP98+(1-EXP(-LN(2)/35))/(LN(2)/35)*BL99*BM99*VLOOKUP('Données projet'!$B$11,'Paramètres'!$A$1:$I$89,3,0)*0.475*44/12</f>
        <v>100.1152699</v>
      </c>
      <c r="BQ99" s="142">
        <f>EXP(-LN(2)/25)*BQ98+(1-EXP(-LN(2)/25))/(LN(2)/25)*Calculateur!BL99*Calculateur!BN99*VLOOKUP('Données projet'!$B$11,'Paramètres'!$A$1:$I$89,3,0)*0.475*44/12</f>
        <v>8.306832056</v>
      </c>
      <c r="BR99" s="142">
        <f>EXP(-LN(2)/2)*BR98+(1-EXP(-LN(2)/2))/(LN(2)/2)*BL99*BO99*VLOOKUP('Données projet'!$B$11,'Paramètres'!$A$1:$I$89,3,0)*0.475*44/12</f>
        <v>0.001347125162</v>
      </c>
      <c r="BS99" s="143">
        <f t="shared" si="10"/>
        <v>108.423449</v>
      </c>
      <c r="BT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1" t="str">
        <f>VLOOKUP(A99,'Données projet'!$A$113:$I$133,2,0)</f>
        <v>#N/A</v>
      </c>
      <c r="BW99" s="131" t="str">
        <f>VLOOKUP(A99,'Données projet'!$A$113:$I$133,9,0)</f>
        <v>#N/A</v>
      </c>
      <c r="BX99" s="131" t="str">
        <f t="array" ref="BX99">INDEX(BW:BW,MIN(IF(ISNUMBER(BW99:BW295),ROW(BW99:BW295),"")))</f>
        <v/>
      </c>
      <c r="BY99" s="130">
        <f>IF('Données projet'!$A$114&gt;35,BY98+BX99-CG98,IF(A99&lt;'Données projet'!$A$114,$BV$205^A99,IF(A99='Données projet'!$A$114,'Données projet'!$B$114,BY98+BX99-CG98)))</f>
        <v>0</v>
      </c>
      <c r="BZ99" s="130">
        <f>BY99*VLOOKUP('Données projet'!$B$12,'Paramètres'!$A$1:$I$89,3,0)*VLOOKUP('Données projet'!$B$12,'Paramètres'!$A$1:$I$89,5,0)</f>
        <v>0</v>
      </c>
      <c r="CA99" s="130" t="str">
        <f t="shared" si="40"/>
        <v>#NUM!</v>
      </c>
      <c r="CB99" s="141" t="str">
        <f t="shared" si="11"/>
        <v>#NUM!</v>
      </c>
      <c r="CC99" s="133" t="str">
        <f t="shared" si="12"/>
        <v>#NUM!</v>
      </c>
      <c r="CD99" s="133">
        <f>AVERAGE(OFFSET($CC$3,0,0,'Données projet'!$E$12+1,1))-AVERAGE(OFFSET($H$3,0,0,'Données projet'!$E$12+1,1))</f>
        <v>258.1672054</v>
      </c>
      <c r="CE99" s="133">
        <f t="shared" si="41"/>
        <v>296.0724261</v>
      </c>
      <c r="CF99" s="134">
        <f>IF(ISNA(VLOOKUP(A99,'Données projet'!$A$113:$I$133,3,0)),0,VLOOKUP(A99,'Données projet'!$A$113:$I$133,3,0))</f>
        <v>0</v>
      </c>
      <c r="CG99" s="134">
        <f>IF(ISNA(VLOOKUP(A99,'Données projet'!$A$113:$I$133,4,0)),0,VLOOKUP(A99,'Données projet'!$A$113:$I$133,4,0))</f>
        <v>0</v>
      </c>
      <c r="CH99" s="135">
        <f>IF(ISNA(VLOOKUP(A99,'Données projet'!$A$113:$I$133,5,0)),0%,VLOOKUP(A99,'Données projet'!$A$113:$I$133,5,0)*VLOOKUP('Données projet'!$B$12,'Paramètres'!$A$1:$I$89,7,0))</f>
        <v>0</v>
      </c>
      <c r="CI99" s="135">
        <f>IF(ISNA(VLOOKUP(A99,'Données projet'!$A$113:$I$133,6,0)),0%,VLOOKUP(A99,'Données projet'!$A$113:$I$133,6,0)*VLOOKUP('Données projet'!$B$12,'Paramètres'!$A$1:$I$89,7,0))</f>
        <v>0</v>
      </c>
      <c r="CJ99" s="135">
        <f>IF(ISNA(VLOOKUP(A99,'Données projet'!$A$113:$I$133,7,0)),0%,VLOOKUP(A99,'Données projet'!$A$113:$I$133,7,0))</f>
        <v>0</v>
      </c>
      <c r="CK99" s="142">
        <f>EXP(-LN(2)/35)*CK98+(1-EXP(-LN(2)/35))/(LN(2)/35)*CG99*CH99*VLOOKUP('Données projet'!$B$12,'Paramètres'!$A$1:$I$89,3,0)*0.475*44/12</f>
        <v>126.5763276</v>
      </c>
      <c r="CL99" s="142">
        <f>EXP(-LN(2)/25)*CL98+(1-EXP(-LN(2)/25))/(LN(2)/25)*Calculateur!CG99*Calculateur!CI99*VLOOKUP('Données projet'!$B$12,'Paramètres'!$A$1:$I$89,3,0)*0.475*44/12</f>
        <v>14.57065498</v>
      </c>
      <c r="CM99" s="142">
        <f>EXP(-LN(2)/2)*CM98+(1-EXP(-LN(2)/2))/(LN(2)/2)*CG99*CJ99*VLOOKUP('Données projet'!$B$12,'Paramètres'!$A$1:$I$89,3,0)*0.475*44/12</f>
        <v>0.00005675279305</v>
      </c>
      <c r="CN99" s="143">
        <f t="shared" si="13"/>
        <v>141.1470393</v>
      </c>
      <c r="CO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1" t="str">
        <f>VLOOKUP(A99,'Données projet'!$A$139:$I$159,2,0)</f>
        <v>#N/A</v>
      </c>
      <c r="CR99" s="131" t="str">
        <f>VLOOKUP(A99,'Données projet'!$A$139:$I$159,9,0)</f>
        <v>#N/A</v>
      </c>
      <c r="CS99" s="130">
        <f t="array" ref="CS99">INDEX(CR:CR,MIN(IF(ISNUMBER(CR99:CR295),ROW(CR99:CR295),"")))</f>
        <v>2.3</v>
      </c>
      <c r="CT99" s="138">
        <f>IF('Données projet'!$A$140&gt;35,CT98+CS99-DB98,IF(A99&lt;'Données projet'!$A$140,$CQ$205^A99,IF(A99='Données projet'!$A$140,'Données projet'!$B$140,CT98+CS99-DB98)))</f>
        <v>206.8</v>
      </c>
      <c r="CU99" s="138">
        <f>CT99*VLOOKUP('Données projet'!$B$13,'Paramètres'!$A$1:$I$89,3,0)*VLOOKUP('Données projet'!$B$13,'Paramètres'!$A$1:$I$89,5,0)</f>
        <v>209.6952</v>
      </c>
      <c r="CV99" s="130">
        <f t="shared" si="42"/>
        <v>51.8689736</v>
      </c>
      <c r="CW99" s="141">
        <f t="shared" si="14"/>
        <v>455.5576024</v>
      </c>
      <c r="CX99" s="133">
        <f t="shared" si="15"/>
        <v>748.8909357</v>
      </c>
      <c r="CY99" s="133">
        <f>AVERAGE(OFFSET($CX$3,0,0,'Données projet'!$E$13+1,1))-AVERAGE(OFFSET($H$3,0,0,'Données projet'!$E$13+1,1))</f>
        <v>223.783507</v>
      </c>
      <c r="CZ99" s="133">
        <f t="shared" si="43"/>
        <v>84.92349117</v>
      </c>
      <c r="DA99" s="134">
        <f>IF(ISNA(VLOOKUP(A99,'Données projet'!$A$139:$I$159,3,0)),0,VLOOKUP(A99,'Données projet'!$A$139:$I$159,3,0))</f>
        <v>0</v>
      </c>
      <c r="DB99" s="134">
        <f>IF(ISNA(VLOOKUP(A99,'Données projet'!$A$139:$I$159,4,0)),0,VLOOKUP(A99,'Données projet'!$A$139:$I$159,4,0))</f>
        <v>0</v>
      </c>
      <c r="DC99" s="135">
        <f>IF(ISNA(VLOOKUP(A99,'Données projet'!$A$139:$I$159,5,0)),0%,VLOOKUP(A99,'Données projet'!$A$139:$I$159,5,0)*VLOOKUP('Données projet'!$B$13,'Paramètres'!$A$1:$I$89,7,0))</f>
        <v>0</v>
      </c>
      <c r="DD99" s="135">
        <f>IF(ISNA(VLOOKUP(A99,'Données projet'!$A$139:$I$159,6,0)),0%,VLOOKUP(A99,'Données projet'!$A$139:$I$159,6,0)*VLOOKUP('Données projet'!$B$13,'Paramètres'!$A$1:$I$89,7,0))</f>
        <v>0</v>
      </c>
      <c r="DE99" s="135">
        <f>IF(ISNA(VLOOKUP(A99,'Données projet'!$A$139:$I$159,7,0)),0%,VLOOKUP(A99,'Données projet'!$A$139:$I$159,7,0))</f>
        <v>0</v>
      </c>
      <c r="DF99" s="142">
        <f>EXP(-LN(2)/35)*DF98+(1-EXP(-LN(2)/35))/(LN(2)/35)*DB99*DC99*VLOOKUP('Données projet'!$B$13,'Paramètres'!$A$1:$I$89,3,0)*0.475*44/12</f>
        <v>17.53459098</v>
      </c>
      <c r="DG99" s="142">
        <f>EXP(-LN(2)/25)*DG98+(1-EXP(-LN(2)/25))/(LN(2)/25)*Calculateur!DB99*Calculateur!DD99*VLOOKUP('Données projet'!$B$13,'Paramètres'!$A$1:$I$89,3,0)*0.475*44/12</f>
        <v>0</v>
      </c>
      <c r="DH99" s="142">
        <f>EXP(-LN(2)/2)*DH98+(1-EXP(-LN(2)/2))/(LN(2)/2)*DB99*DE99*VLOOKUP('Données projet'!$B$13,'Paramètres'!$A$1:$I$89,3,0)*0.475*44/12</f>
        <v>0</v>
      </c>
      <c r="DI99" s="143">
        <f t="shared" si="16"/>
        <v>17.53459098</v>
      </c>
      <c r="DJ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1" t="str">
        <f>VLOOKUP(A99,'Données projet'!$A$165:$I$185,2,0)</f>
        <v>#N/A</v>
      </c>
      <c r="DM99" s="131" t="str">
        <f>VLOOKUP(A99,'Données projet'!$A$165:$I$185,9,0)</f>
        <v>#N/A</v>
      </c>
      <c r="DN99" s="131">
        <f t="array" ref="DN99">INDEX(DM:DM,MIN(IF(ISNUMBER(DM99:DM295),ROW(DM99:DM295),"")))</f>
        <v>2.8</v>
      </c>
      <c r="DO99" s="138">
        <f>IF('Données projet'!$A$166&gt;35,DO98+DN99-DW98,IF(A99&lt;'Données projet'!$A$166,$DL$205^A99,IF(A99='Données projet'!$A$166,'Données projet'!$B$166,DO98+DN99-DW98)))</f>
        <v>270.8</v>
      </c>
      <c r="DP99" s="138">
        <f>DO99*VLOOKUP('Données projet'!$B$14,'Paramètres'!$A$1:$I$89,3,0)*VLOOKUP('Données projet'!$B$14,'Paramètres'!$A$1:$I$89,5,0)</f>
        <v>245.01984</v>
      </c>
      <c r="DQ99" s="130">
        <f t="shared" si="44"/>
        <v>59.51826888</v>
      </c>
      <c r="DR99" s="141">
        <f t="shared" si="17"/>
        <v>530.403873</v>
      </c>
      <c r="DS99" s="133">
        <f t="shared" si="18"/>
        <v>823.7372063</v>
      </c>
      <c r="DT99" s="133">
        <f>AVERAGE(OFFSET($DS$3,0,0,'Données projet'!$E$14+1,1))-AVERAGE(OFFSET($H$3,0,0,'Données projet'!$E$14+1,1))</f>
        <v>287.9334714</v>
      </c>
      <c r="DU99" s="133">
        <f t="shared" si="45"/>
        <v>156.6796502</v>
      </c>
      <c r="DV99" s="134">
        <f>IF(ISNA(VLOOKUP(A99,'Données projet'!$A$165:$I$185,3,0)),0,VLOOKUP(A99,'Données projet'!$A$165:$I$185,3,0))</f>
        <v>0</v>
      </c>
      <c r="DW99" s="134">
        <f>IF(ISNA(VLOOKUP(A99,'Données projet'!$A$165:$I$185,4,0)),0,VLOOKUP(A99,'Données projet'!$A$165:$I$185,4,0))</f>
        <v>0</v>
      </c>
      <c r="DX99" s="135">
        <f>IF(ISNA(VLOOKUP(A99,'Données projet'!$A$165:$I$185,5,0)),0%,VLOOKUP(A99,'Données projet'!$A$165:$I$185,5,0)*VLOOKUP('Données projet'!$B$14,'Paramètres'!$A$1:$I$89,7,0))</f>
        <v>0</v>
      </c>
      <c r="DY99" s="135">
        <f>IF(ISNA(VLOOKUP(A99,'Données projet'!$A$165:$I$185,6,0)),0%,VLOOKUP(A99,'Données projet'!$A$165:$I$185,6,0)*VLOOKUP('Données projet'!$B$14,'Paramètres'!$A$1:$I$89,7,0))</f>
        <v>0</v>
      </c>
      <c r="DZ99" s="135">
        <f>IF(ISNA(VLOOKUP(A99,'Données projet'!$A$165:$I$185,7,0)),0%,VLOOKUP(A99,'Données projet'!$A$165:$I$185,7,0))</f>
        <v>0</v>
      </c>
      <c r="EA99" s="142">
        <f>EXP(-LN(2)/35)*EA98+(1-EXP(-LN(2)/35))/(LN(2)/35)*DW99*DX99*VLOOKUP('Données projet'!$B$14,'Paramètres'!$A$1:$I$89,3,0)*0.475*44/12</f>
        <v>26.87087156</v>
      </c>
      <c r="EB99" s="142">
        <f>EXP(-LN(2)/25)*EB98+(1-EXP(-LN(2)/25))/(LN(2)/25)*Calculateur!DW99*Calculateur!DY99*VLOOKUP('Données projet'!$B$14,'Paramètres'!$A$1:$I$89,3,0)*0.475*44/12</f>
        <v>0</v>
      </c>
      <c r="EC99" s="142">
        <f>EXP(-LN(2)/2)*EC98+(1-EXP(-LN(2)/2))/(LN(2)/2)*DW99*DZ99*VLOOKUP('Données projet'!$B$14,'Paramètres'!$A$1:$I$89,3,0)*0.475*44/12</f>
        <v>0</v>
      </c>
      <c r="ED99" s="143">
        <f t="shared" si="19"/>
        <v>26.87087156</v>
      </c>
      <c r="EE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1" t="str">
        <f>VLOOKUP(A99,'Données projet'!$A$191:$I$211,2,0)</f>
        <v>#N/A</v>
      </c>
      <c r="EH99" s="131" t="str">
        <f>VLOOKUP(A99,'Données projet'!$A$191:$I$211,9,0)</f>
        <v>#N/A</v>
      </c>
      <c r="EI99" s="131" t="str">
        <f t="array" ref="EI99">INDEX(EH:EH,MIN(IF(ISNUMBER(EH99:EH295),ROW(EH99:EH295),"")))</f>
        <v/>
      </c>
      <c r="EJ99" s="138">
        <f>IF('Données projet'!$A$192&gt;35,EJ98+EI99-ER98,IF(A99&lt;'Données projet'!$A$192,$EG$205^A99,IF(A99='Données projet'!$A$192,'Données projet'!$B$192,EJ98+EI99-ER98)))</f>
        <v>0</v>
      </c>
      <c r="EK99" s="138">
        <f>EJ99*VLOOKUP('Données projet'!$B$15,'Paramètres'!$A$1:$I$89,3,0)*VLOOKUP('Données projet'!$B$15,'Paramètres'!$A$1:$I$89,5,0)</f>
        <v>0</v>
      </c>
      <c r="EL99" s="130" t="str">
        <f t="shared" si="46"/>
        <v>#NUM!</v>
      </c>
      <c r="EM99" s="141" t="str">
        <f t="shared" si="20"/>
        <v>#NUM!</v>
      </c>
      <c r="EN99" s="133" t="str">
        <f t="shared" si="21"/>
        <v>#NUM!</v>
      </c>
      <c r="EO99" s="133">
        <f>AVERAGE(OFFSET($EN$3,0,0,'Données projet'!$E$15+1,1))-AVERAGE(OFFSET($H$3,0,0,'Données projet'!$E$15+1,1))</f>
        <v>130.3193339</v>
      </c>
      <c r="EP99" s="133">
        <f t="shared" si="47"/>
        <v>82.22784365</v>
      </c>
      <c r="EQ99" s="134">
        <f>IF(ISNA(VLOOKUP(A99,'Données projet'!$A$191:$I$211,3,0)),0,VLOOKUP(A99,'Données projet'!$A$191:$I$211,3,0))</f>
        <v>0</v>
      </c>
      <c r="ER99" s="134">
        <f>IF(ISNA(VLOOKUP(A99,'Données projet'!$A$191:$I$211,4,0)),0,VLOOKUP(A99,'Données projet'!$A$191:$I$211,4,0))</f>
        <v>0</v>
      </c>
      <c r="ES99" s="135">
        <f>IF(ISNA(VLOOKUP(A99,'Données projet'!$A$191:$I$211,5,0)),0%,VLOOKUP(A99,'Données projet'!$A$191:$I$211,5,0)*VLOOKUP('Données projet'!$B$15,'Paramètres'!$A$1:$I$89,7,0))</f>
        <v>0</v>
      </c>
      <c r="ET99" s="135">
        <f>IF(ISNA(VLOOKUP(A99,'Données projet'!$A$191:$I$211,6,0)),0%,VLOOKUP(A99,'Données projet'!$A$191:$I$211,6,0)*VLOOKUP('Données projet'!$B$15,'Paramètres'!$A$1:$I$89,7,0))</f>
        <v>0</v>
      </c>
      <c r="EU99" s="135">
        <f>IF(ISNA(VLOOKUP(A99,'Données projet'!$A$191:$I$211,7,0)),0%,VLOOKUP(A99,'Données projet'!$A$191:$I$211,7,0))</f>
        <v>0</v>
      </c>
      <c r="EV99" s="142">
        <f>EXP(-LN(2)/35)*EV98+(1-EXP(-LN(2)/35))/(LN(2)/35)*ER99*ES99*VLOOKUP('Données projet'!$B$15,'Paramètres'!$A$1:$I$89,3,0)*0.475*44/12</f>
        <v>77.39880582</v>
      </c>
      <c r="EW99" s="142">
        <f>EXP(-LN(2)/25)*EW98+(1-EXP(-LN(2)/25))/(LN(2)/25)*Calculateur!ER99*Calculateur!ET99*VLOOKUP('Données projet'!$B$15,'Paramètres'!$A$1:$I$89,3,0)*0.475*44/12</f>
        <v>0</v>
      </c>
      <c r="EX99" s="142">
        <f>EXP(-LN(2)/2)*EX98+(1-EXP(-LN(2)/2))/(LN(2)/2)*ER99*EU99*VLOOKUP('Données projet'!$B$15,'Paramètres'!$A$1:$I$89,3,0)*0.475*44/12</f>
        <v>0</v>
      </c>
      <c r="EY99" s="143">
        <f t="shared" si="22"/>
        <v>77.39880582</v>
      </c>
      <c r="EZ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1" t="str">
        <f>VLOOKUP(A99,'Données projet'!$A$217:$I$237,2,0)</f>
        <v>#N/A</v>
      </c>
      <c r="FC99" s="131" t="str">
        <f>VLOOKUP(A99,'Données projet'!$A$217:$I$237,9,0)</f>
        <v>#N/A</v>
      </c>
      <c r="FD99" s="131" t="str">
        <f t="array" ref="FD99">INDEX(FC:FC,MIN(IF(ISNUMBER(FC99:FC295),ROW(FC99:FC295),"")))</f>
        <v/>
      </c>
      <c r="FE99" s="130">
        <f>IF('Données projet'!$A$218&gt;35,FE98+FD99-FM98,IF(A99&lt;'Données projet'!$A$218,$FB$205^A99,IF(A99='Données projet'!$A$218,'Données projet'!$B$218,FE98+FD99-FM98)))</f>
        <v>0</v>
      </c>
      <c r="FF99" s="138">
        <f>FE99*VLOOKUP('Données projet'!$B$16,'Paramètres'!$A$1:$I$89,3,0)*VLOOKUP('Données projet'!$B$16,'Paramètres'!$A$1:$I$89,5,0)</f>
        <v>0</v>
      </c>
      <c r="FG99" s="130">
        <f t="shared" si="48"/>
        <v>0</v>
      </c>
      <c r="FH99" s="141">
        <f t="shared" si="23"/>
        <v>0</v>
      </c>
      <c r="FI99" s="133">
        <f t="shared" si="24"/>
        <v>293.3333333</v>
      </c>
      <c r="FJ99" s="133">
        <f>AVERAGE(OFFSET($FI$3,0,0,'Données projet'!$E$16+1,1))-AVERAGE(OFFSET($H$3,0,0,'Données projet'!$E$16+1,1))</f>
        <v>305.6252353</v>
      </c>
      <c r="FK99" s="133">
        <f t="shared" si="49"/>
        <v>331.397916</v>
      </c>
      <c r="FL99" s="134">
        <f>IF(ISNA(VLOOKUP(A99,'Données projet'!$A$217:$I$237,3,0)),0,VLOOKUP(A99,'Données projet'!$A$217:$I$237,3,0))</f>
        <v>0</v>
      </c>
      <c r="FM99" s="134">
        <f>IF(ISNA(VLOOKUP(A99,'Données projet'!$A$217:$I$237,4,0)),0,VLOOKUP(A99,'Données projet'!$A$217:$I$237,4,0))</f>
        <v>0</v>
      </c>
      <c r="FN99" s="135">
        <f>IF(ISNA(VLOOKUP(A99,'Données projet'!$A$217:$I$237,5,0)),0%,VLOOKUP(A99,'Données projet'!$A$217:$I$237,5,0)*VLOOKUP('Données projet'!$B$16,'Paramètres'!$A$1:$I$89,7,0))</f>
        <v>0</v>
      </c>
      <c r="FO99" s="135">
        <f>IF(ISNA(VLOOKUP(A99,'Données projet'!$A$217:$I$237,6,0)),0%,VLOOKUP(A99,'Données projet'!$A$217:$I$237,6,0)*VLOOKUP('Données projet'!$B$16,'Paramètres'!$A$1:$I$89,7,0))</f>
        <v>0</v>
      </c>
      <c r="FP99" s="135">
        <f>IF(ISNA(VLOOKUP(A99,'Données projet'!$A$217:$I$237,7,0)),0%,VLOOKUP(A99,'Données projet'!$A$217:$I$237,7,0))</f>
        <v>0</v>
      </c>
      <c r="FQ99" s="142">
        <f>EXP(-LN(2)/35)*FQ98+(1-EXP(-LN(2)/35))/(LN(2)/35)*FM99*FN99*VLOOKUP('Données projet'!$B$16,'Paramètres'!$A$1:$I$89,3,0)*0.475*44/12</f>
        <v>48.19080959</v>
      </c>
      <c r="FR99" s="142">
        <f>EXP(-LN(2)/25)*FR98+(1-EXP(-LN(2)/25))/(LN(2)/25)*Calculateur!FM99*Calculateur!FO99*VLOOKUP('Données projet'!$B$16,'Paramètres'!$A$1:$I$89,3,0)*0.475*44/12</f>
        <v>0</v>
      </c>
      <c r="FS99" s="142">
        <f>EXP(-LN(2)/2)*FS98+(1-EXP(-LN(2)/2))/(LN(2)/2)*FM99*FP99*VLOOKUP('Données projet'!$B$16,'Paramètres'!$A$1:$I$89,3,0)*0.475*44/12</f>
        <v>0</v>
      </c>
      <c r="FT99" s="143">
        <f t="shared" si="25"/>
        <v>48.19080959</v>
      </c>
      <c r="FU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1" t="str">
        <f>VLOOKUP(A99,'Données projet'!$A$243:$I$263,2,0)</f>
        <v>#N/A</v>
      </c>
      <c r="FX99" s="131" t="str">
        <f>VLOOKUP(A99,'Données projet'!$A$243:$I$263,9,0)</f>
        <v>#N/A</v>
      </c>
      <c r="FY99" s="131" t="str">
        <f t="array" ref="FY99">INDEX(FX:FX,MIN(IF(ISNUMBER(FX99:FX295),ROW(FX99:FX295),"")))</f>
        <v/>
      </c>
      <c r="FZ99" s="138">
        <f>IF('Données projet'!$A$244&gt;35,FZ98+FY99-GH98,IF(A99&lt;'Données projet'!$A$244,$FW$205^A99,IF(A99='Données projet'!$A$244,'Données projet'!$B$244,FZ98+FY99-GH98)))</f>
        <v>0</v>
      </c>
      <c r="GA99" s="138">
        <f>FZ99*VLOOKUP('Données projet'!$B$17,'Paramètres'!$A$1:$I$89,3,0)*VLOOKUP('Données projet'!$B$17,'Paramètres'!$A$1:$I$89,5,0)</f>
        <v>0</v>
      </c>
      <c r="GB99" s="130">
        <f t="shared" si="50"/>
        <v>0</v>
      </c>
      <c r="GC99" s="141">
        <f t="shared" si="26"/>
        <v>0</v>
      </c>
      <c r="GD99" s="133">
        <f t="shared" si="27"/>
        <v>293.3333333</v>
      </c>
      <c r="GE99" s="133">
        <f>AVERAGE(OFFSET($GD$3,0,0,'Données projet'!$E$17+1,1))-AVERAGE(OFFSET($H$3,0,0,'Données projet'!$E$17+1,1))</f>
        <v>118.7368745</v>
      </c>
      <c r="GF99" s="133">
        <f t="shared" si="51"/>
        <v>135.1233677</v>
      </c>
      <c r="GG99" s="134">
        <f>IF(ISNA(VLOOKUP(A99,'Données projet'!$A$243:$I$263,3,0)),0,VLOOKUP(A99,'Données projet'!$A$243:$I$263,3,0))</f>
        <v>0</v>
      </c>
      <c r="GH99" s="134">
        <f>IF(ISNA(VLOOKUP(A99,'Données projet'!$A$243:$I$263,4,0)),0,VLOOKUP(A99,'Données projet'!$A$243:$I$263,4,0))</f>
        <v>0</v>
      </c>
      <c r="GI99" s="135">
        <f>IF(ISNA(VLOOKUP(A99,'Données projet'!$A$243:$I$263,5,0)),0%,VLOOKUP(A99,'Données projet'!$A$243:$I$263,5,0)*VLOOKUP('Données projet'!$B$17,'Paramètres'!$A$1:$I$89,7,0))</f>
        <v>0</v>
      </c>
      <c r="GJ99" s="135">
        <f>IF(ISNA(VLOOKUP(A99,'Données projet'!$A$243:$I$263,6,0)),0%,VLOOKUP(A99,'Données projet'!$A$243:$I$263,6,0)*VLOOKUP('Données projet'!$B$17,'Paramètres'!$A$1:$I$89,7,0))</f>
        <v>0</v>
      </c>
      <c r="GK99" s="135">
        <f>IF(ISNA(VLOOKUP(A99,'Données projet'!$A$243:$I$263,7,0)),0%,VLOOKUP(A99,'Données projet'!$A$243:$I$263,7,0))</f>
        <v>0</v>
      </c>
      <c r="GL99" s="142">
        <f>EXP(-LN(2)/35)*GL98+(1-EXP(-LN(2)/35))/(LN(2)/35)*GH99*GI99*VLOOKUP('Données projet'!$B$17,'Paramètres'!$A$1:$I$89,3,0)*0.475*44/12</f>
        <v>50.9134413</v>
      </c>
      <c r="GM99" s="142">
        <f>EXP(-LN(2)/25)*GM98+(1-EXP(-LN(2)/25))/(LN(2)/25)*Calculateur!GH99*Calculateur!GJ99*VLOOKUP('Données projet'!$B$17,'Paramètres'!$A$1:$I$89,3,0)*0.475*44/12</f>
        <v>0</v>
      </c>
      <c r="GN99" s="142">
        <f>EXP(-LN(2)/2)*GN98+(1-EXP(-LN(2)/2))/(LN(2)/2)*GH99*GK99*VLOOKUP('Données projet'!$B$17,'Paramètres'!$A$1:$I$89,3,0)*0.475*44/12</f>
        <v>0</v>
      </c>
      <c r="GO99" s="142">
        <f t="shared" si="28"/>
        <v>50.9134413</v>
      </c>
      <c r="GP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1" t="str">
        <f>VLOOKUP(A99,'Données projet'!$A$269:$I$289,2,0)</f>
        <v>#N/A</v>
      </c>
      <c r="GS99" s="131" t="str">
        <f>VLOOKUP(A99,'Données projet'!$A$269:$I$289,9,0)</f>
        <v>#N/A</v>
      </c>
      <c r="GT99" s="131" t="str">
        <f t="array" ref="GT99">INDEX(GS:GS,MIN(IF(ISNUMBER(GS99:GS295),ROW(GS99:GS295),"")))</f>
        <v/>
      </c>
      <c r="GU99" s="138">
        <f>IF('Données projet'!$A$270&gt;35,GU98+GT99-HC98,IF(A99&lt;'Données projet'!$A$270,$GR$205^A99,IF(A99='Données projet'!$A$270,'Données projet'!$B$270,GU98+GT99-HC98)))</f>
        <v>0</v>
      </c>
      <c r="GV99" s="138">
        <f>GU99*VLOOKUP('Données projet'!$B$18,'Paramètres'!$A$1:$I$89,3,0)*VLOOKUP('Données projet'!$B$18,'Paramètres'!$A$1:$I$89,5,0)</f>
        <v>0</v>
      </c>
      <c r="GW99" s="130" t="str">
        <f t="shared" si="52"/>
        <v>#NUM!</v>
      </c>
      <c r="GX99" s="141" t="str">
        <f t="shared" si="29"/>
        <v>#NUM!</v>
      </c>
      <c r="GY99" s="133" t="str">
        <f t="shared" si="30"/>
        <v>#NUM!</v>
      </c>
      <c r="GZ99" s="133">
        <f>AVERAGE(OFFSET($GY$3,0,0,'Données projet'!$E$18+1,1))-AVERAGE(OFFSET($H$3,0,0,'Données projet'!$E$18+1,1))</f>
        <v>100.5427875</v>
      </c>
      <c r="HA99" s="133">
        <f t="shared" si="53"/>
        <v>92.28663609</v>
      </c>
      <c r="HB99" s="134">
        <f>IF(ISNA(VLOOKUP(A99,'Données projet'!$A$269:$I$289,3,0)),0,VLOOKUP(A99,'Données projet'!$A$269:$I$289,3,0))</f>
        <v>0</v>
      </c>
      <c r="HC99" s="134">
        <f>IF(ISNA(VLOOKUP(A99,'Données projet'!$A$269:$I$289,4,0)),0,VLOOKUP(A99,'Données projet'!$A$269:$I$289,4,0))</f>
        <v>0</v>
      </c>
      <c r="HD99" s="135">
        <f>IF(ISNA(VLOOKUP(A99,'Données projet'!$A$269:$I$289,5,0)),0%,VLOOKUP(A99,'Données projet'!$A$269:$I$289,5,0)*VLOOKUP('Données projet'!$B$18,'Paramètres'!$A$1:$I$89,7,0))</f>
        <v>0</v>
      </c>
      <c r="HE99" s="135">
        <f>IF(ISNA(VLOOKUP(A99,'Données projet'!$A$269:$I$289,6,0)),0%,VLOOKUP(A99,'Données projet'!$A$269:$I$289,6,0)*VLOOKUP('Données projet'!$B$18,'Paramètres'!$A$1:$I$89,7,0))</f>
        <v>0</v>
      </c>
      <c r="HF99" s="135">
        <f>IF(ISNA(VLOOKUP(A99,'Données projet'!$A$269:$I$289,7,0)),0%,VLOOKUP(A99,'Données projet'!$A$269:$I$289,7,0))</f>
        <v>0</v>
      </c>
      <c r="HG99" s="142">
        <f>EXP(-LN(2)/35)*HG98+(1-EXP(-LN(2)/35))/(LN(2)/35)*HC99*HD99*VLOOKUP('Données projet'!$B$18,'Paramètres'!$A$1:$I$89,3,0)*0.475*44/12</f>
        <v>34.67097945</v>
      </c>
      <c r="HH99" s="142">
        <f>EXP(-LN(2)/25)*HH98+(1-EXP(-LN(2)/25))/(LN(2)/25)*Calculateur!HC99*Calculateur!HE99*VLOOKUP('Données projet'!$B$18,'Paramètres'!$A$1:$I$89,3,0)*0.475*44/12</f>
        <v>0</v>
      </c>
      <c r="HI99" s="142">
        <f>EXP(-LN(2)/2)*HI98+(1-EXP(-LN(2)/2))/(LN(2)/2)*HC99*HF99*VLOOKUP('Données projet'!$B$18,'Paramètres'!$A$1:$I$89,3,0)*0.475*44/12</f>
        <v>0</v>
      </c>
      <c r="HJ99" s="143">
        <f t="shared" si="31"/>
        <v>34.67097945</v>
      </c>
    </row>
    <row r="100" ht="15.75" customHeight="1">
      <c r="A100" s="125">
        <f t="shared" si="32"/>
        <v>97</v>
      </c>
      <c r="B100" s="126">
        <f>'Scénario référence'!$B$16*5+'Scénario référence'!$B$17*0+'Scénario référence'!$B$18*5</f>
        <v>0</v>
      </c>
      <c r="C100" s="140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52.962</v>
      </c>
      <c r="D100" s="127">
        <f t="shared" si="33"/>
        <v>15.3761281</v>
      </c>
      <c r="E10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7">
        <f>IF(OR('Scénario référence'!$F$8&gt;0,'Scénario référence'!$F$9&gt;0),('Scénario référence'!$F$8+'Scénario référence'!$F$9)*10,0)</f>
        <v>10</v>
      </c>
      <c r="G100" s="127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</v>
      </c>
      <c r="H100" s="128">
        <f t="shared" si="1"/>
        <v>412.3555731</v>
      </c>
      <c r="I100" s="12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1" t="str">
        <f>VLOOKUP(A100,'Données projet'!$A$35:$I$55,2,0)</f>
        <v>#N/A</v>
      </c>
      <c r="L100" s="131" t="str">
        <f>VLOOKUP(A100,'Données projet'!$A$35:$I$55,9,0)</f>
        <v>#N/A</v>
      </c>
      <c r="M100" s="131" t="str">
        <f t="array" ref="M100">INDEX(L:L,MIN(IF(ISNUMBER(L100:L296),ROW(L100:L296),"")))</f>
        <v/>
      </c>
      <c r="N100" s="130">
        <f>IF('Données projet'!$A$36&gt;35,N99+M100-V99,IF(A100&lt;'Données projet'!$A$36,$K$205^A100,IF(A100='Données projet'!$A$36,'Données projet'!$B$36,N99+M100-V99)))</f>
        <v>0</v>
      </c>
      <c r="O100" s="130">
        <f>N100*VLOOKUP('Données projet'!$B$9,'Paramètres'!$A$1:$I$89,3,0)*VLOOKUP('Données projet'!$B$9,'Paramètres'!$A$1:$I$89,5,0)</f>
        <v>0</v>
      </c>
      <c r="P100" s="130">
        <f t="shared" si="34"/>
        <v>0</v>
      </c>
      <c r="Q100" s="141">
        <f t="shared" si="2"/>
        <v>0</v>
      </c>
      <c r="R100" s="133">
        <f t="shared" si="3"/>
        <v>293.3333333</v>
      </c>
      <c r="S100" s="133">
        <f>AVERAGE(OFFSET($R$3,0,0,'Données projet'!$E$9+1,1))-AVERAGE(OFFSET($H$3,0,0,'Données projet'!$E$9+1,1))</f>
        <v>126.9946492</v>
      </c>
      <c r="T100" s="133">
        <f t="shared" si="35"/>
        <v>140.039049</v>
      </c>
      <c r="U100" s="134">
        <f>IF(ISNA(VLOOKUP(A100,'Données projet'!$A$35:$I$55,3,0)),0,VLOOKUP(A100,'Données projet'!$A$35:$I$55,3,0))</f>
        <v>0</v>
      </c>
      <c r="V100" s="134">
        <f>IF(ISNA(VLOOKUP(A100,'Données projet'!$A$35:$I$55,4,0)),0,VLOOKUP(A100,'Données projet'!$A$35:$I$55,4,0))</f>
        <v>0</v>
      </c>
      <c r="W100" s="135">
        <f>IF(ISNA(VLOOKUP(A100,'Données projet'!$A$35:$I$55,5,0)),0%,VLOOKUP(A100,'Données projet'!$A$35:$I$55,5,0)*VLOOKUP('Données projet'!$B$9,'Paramètres'!$A$1:$I$89,7,0))</f>
        <v>0</v>
      </c>
      <c r="X100" s="135">
        <f>IF(ISNA(VLOOKUP(A100,'Données projet'!$A$35:$I$55,6,0)),0%,VLOOKUP(A100,'Données projet'!$A$35:$I$55,6,0)*VLOOKUP('Données projet'!$B$9,'Paramètres'!$A$1:$I$89,7,0))</f>
        <v>0</v>
      </c>
      <c r="Y100" s="135">
        <f>IF(ISNA(VLOOKUP(A100,'Données projet'!$A$35:$I$55,7,0)),0%,VLOOKUP(A100,'Données projet'!$A$35:$I$55,7,0))</f>
        <v>0</v>
      </c>
      <c r="Z100" s="142">
        <f>EXP(-LN(2)/35)*Z99+(1-EXP(-LN(2)/35))/(LN(2)/35)*V100*W100*VLOOKUP('Données projet'!$B$9,'Paramètres'!$A$1:$I$89,3,0)*0.475*44/12</f>
        <v>51.05199488</v>
      </c>
      <c r="AA100" s="142">
        <f>EXP(-LN(2)/25)*AA99+(1-EXP(-LN(2)/25))/(LN(2)/25)*Calculateur!V100*Calculateur!X100*VLOOKUP('Données projet'!$B$9,'Paramètres'!$A$1:$I$89,3,0)*0.475*44/12</f>
        <v>8.330795096</v>
      </c>
      <c r="AB100" s="142">
        <f>EXP(-LN(2)/2)*AB99+(1-EXP(-LN(2)/2))/(LN(2)/2)*V100*Y100*VLOOKUP('Données projet'!$B$9,'Paramètres'!$A$1:$I$89,3,0)*0.475*44/12</f>
        <v>0.00005122189771</v>
      </c>
      <c r="AC100" s="143">
        <f t="shared" si="4"/>
        <v>59.3828412</v>
      </c>
      <c r="AD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1" t="str">
        <f>VLOOKUP(A100,'Données projet'!$A$61:$I$81,2,0)</f>
        <v>#N/A</v>
      </c>
      <c r="AG100" s="131" t="str">
        <f>VLOOKUP(A100,'Données projet'!$A$61:$I$81,9,0)</f>
        <v>#N/A</v>
      </c>
      <c r="AH100" s="131" t="str">
        <f t="array" ref="AH100">INDEX(AG:AG,MIN(IF(ISNUMBER(AG100:AG296),ROW(AG100:AG296),"")))</f>
        <v/>
      </c>
      <c r="AI100" s="130">
        <f>IF('Données projet'!$A$62&gt;35,AI99+AH100-AQ99,IF(A100&lt;'Données projet'!$A$62,$AF$205^A100,IF(A100='Données projet'!$A$62,'Données projet'!$B$62,AI99+AH100-AQ99)))</f>
        <v>0</v>
      </c>
      <c r="AJ100" s="130">
        <f>AI100*VLOOKUP('Données projet'!$B$10,'Paramètres'!$A$1:$I$89,3,0)*VLOOKUP('Données projet'!$B$10,'Paramètres'!$A$1:$I$89,5,0)</f>
        <v>0</v>
      </c>
      <c r="AK100" s="130" t="str">
        <f t="shared" si="36"/>
        <v>#NUM!</v>
      </c>
      <c r="AL100" s="141" t="str">
        <f t="shared" si="5"/>
        <v>#NUM!</v>
      </c>
      <c r="AM100" s="133" t="str">
        <f t="shared" si="6"/>
        <v>#NUM!</v>
      </c>
      <c r="AN100" s="133">
        <f>AVERAGE(OFFSET($AM$3,0,0,'Données projet'!$E$10+1,1))-AVERAGE(OFFSET($H$3,0,0,'Données projet'!$E$10+1,1))</f>
        <v>196.874484</v>
      </c>
      <c r="AO100" s="133">
        <f t="shared" si="37"/>
        <v>217.5750859</v>
      </c>
      <c r="AP100" s="134">
        <f>IF(ISNA(VLOOKUP(A100,'Données projet'!$A$61:$I$81,3,0)),0,VLOOKUP(A100,'Données projet'!$A$61:$I$81,3,0))</f>
        <v>0</v>
      </c>
      <c r="AQ100" s="134">
        <f>IF(ISNA(VLOOKUP(A100,'Données projet'!$A$61:$I$81,4,0)),0,VLOOKUP(A100,'Données projet'!$A$61:$I$81,4,0))</f>
        <v>0</v>
      </c>
      <c r="AR100" s="135">
        <f>IF(ISNA(VLOOKUP(A100,'Données projet'!$A$61:$I$81,5,0)),0%,VLOOKUP(A100,'Données projet'!$A$61:$I$81,5,0)*VLOOKUP('Données projet'!$B$10,'Paramètres'!$A$1:$I$89,7,0))</f>
        <v>0</v>
      </c>
      <c r="AS100" s="135">
        <f>IF(ISNA(VLOOKUP(A100,'Données projet'!$A$61:$I$81,6,0)),0%,VLOOKUP(A100,'Données projet'!$A$61:$I$81,6,0)*VLOOKUP('Données projet'!$B$10,'Paramètres'!$A$1:$I$89,7,0))</f>
        <v>0</v>
      </c>
      <c r="AT100" s="135">
        <f>IF(ISNA(VLOOKUP(A100,'Données projet'!$A$61:$I$81,7,0)),0%,VLOOKUP(A100,'Données projet'!$A$61:$I$81,7,0))</f>
        <v>0</v>
      </c>
      <c r="AU100" s="142">
        <f>EXP(-LN(2)/35)*AU99+(1-EXP(-LN(2)/35))/(LN(2)/35)*AQ100*AR100*VLOOKUP('Données projet'!$B$10,'Paramètres'!$A$1:$I$89,3,0)*0.475*44/12</f>
        <v>70.96082281</v>
      </c>
      <c r="AV100" s="142">
        <f>EXP(-LN(2)/25)*AV99+(1-EXP(-LN(2)/25))/(LN(2)/25)*Calculateur!AQ100*Calculateur!AS100*VLOOKUP('Données projet'!$B$10,'Paramètres'!$A$1:$I$89,3,0)*0.475*44/12</f>
        <v>12.80860859</v>
      </c>
      <c r="AW100" s="142">
        <f>EXP(-LN(2)/2)*AW99+(1-EXP(-LN(2)/2))/(LN(2)/2)*AQ100*AT100*VLOOKUP('Données projet'!$B$10,'Paramètres'!$A$1:$I$89,3,0)*0.475*44/12</f>
        <v>0.0000714140798</v>
      </c>
      <c r="AX100" s="142">
        <f t="shared" si="7"/>
        <v>83.76950281</v>
      </c>
      <c r="AY100" s="13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1" t="str">
        <f>VLOOKUP(A100,'Données projet'!$A$87:$I$107,2,0)</f>
        <v>#N/A</v>
      </c>
      <c r="BB100" s="131" t="str">
        <f>VLOOKUP(A100,'Données projet'!$A$87:$I$107,9,0)</f>
        <v>#N/A</v>
      </c>
      <c r="BC100" s="131" t="str">
        <f t="array" ref="BC100">INDEX(BB:BB,MIN(IF(ISNUMBER(BB100:BB296),ROW(BB100:BB296),"")))</f>
        <v/>
      </c>
      <c r="BD100" s="130">
        <f>IF('Données projet'!$A$88&gt;35,BD99+BC100-BL99,IF(A100&lt;'Données projet'!$A$88,$BA$205^A100,IF(A100='Données projet'!$A$88,'Données projet'!$B$88,BD99+BC100-BL99)))</f>
        <v>0</v>
      </c>
      <c r="BE100" s="130">
        <f>BD100*VLOOKUP('Données projet'!$B$11,'Paramètres'!$A$1:$I$89,3,0)*VLOOKUP('Données projet'!$B$11,'Paramètres'!$A$1:$I$89,5,0)</f>
        <v>0</v>
      </c>
      <c r="BF100" s="130" t="str">
        <f t="shared" si="38"/>
        <v>#NUM!</v>
      </c>
      <c r="BG100" s="141" t="str">
        <f t="shared" si="8"/>
        <v>#NUM!</v>
      </c>
      <c r="BH100" s="133" t="str">
        <f t="shared" si="9"/>
        <v>#NUM!</v>
      </c>
      <c r="BI100" s="133">
        <f>AVERAGE(OFFSET($BH$3,0,0,'Données projet'!$E$11+1,1))-AVERAGE(OFFSET($H$3,0,0,'Données projet'!$E$11+1,1))</f>
        <v>134.0948534</v>
      </c>
      <c r="BJ100" s="133">
        <f t="shared" si="39"/>
        <v>108.4102536</v>
      </c>
      <c r="BK100" s="134">
        <f>IF(ISNA(VLOOKUP(A100,'Données projet'!$A$87:$I$107,3,0)),0,VLOOKUP(A100,'Données projet'!$A$87:$I$107,3,0))</f>
        <v>0</v>
      </c>
      <c r="BL100" s="134">
        <f>IF(ISNA(VLOOKUP(A100,'Données projet'!$A$87:$I$107,4,0)),0,VLOOKUP(A100,'Données projet'!$A$87:$I$107,4,0))</f>
        <v>0</v>
      </c>
      <c r="BM100" s="135">
        <f>IF(ISNA(VLOOKUP(A100,'Données projet'!$A$87:$I$107,5,0)),0%,VLOOKUP(A100,'Données projet'!$A$87:$I$107,5,0)*VLOOKUP('Données projet'!$B$11,'Paramètres'!$A$1:$I$89,7,0))</f>
        <v>0</v>
      </c>
      <c r="BN100" s="135">
        <f>IF(ISNA(VLOOKUP(A100,'Données projet'!$A$87:$I$107,6,0)),0%,VLOOKUP(A100,'Données projet'!$A$87:$I$107,6,0)*VLOOKUP('Données projet'!$B$11,'Paramètres'!$A$1:$I$89,7,0))</f>
        <v>0</v>
      </c>
      <c r="BO100" s="135">
        <f>IF(ISNA(VLOOKUP(A100,'Données projet'!$A$87:$I$107,7,0)),0%,VLOOKUP(A100,'Données projet'!$A$87:$I$107,7,0))</f>
        <v>0</v>
      </c>
      <c r="BP100" s="142">
        <f>EXP(-LN(2)/35)*BP99+(1-EXP(-LN(2)/35))/(LN(2)/35)*BL100*BM100*VLOOKUP('Données projet'!$B$11,'Paramètres'!$A$1:$I$89,3,0)*0.475*44/12</f>
        <v>98.15207048</v>
      </c>
      <c r="BQ100" s="142">
        <f>EXP(-LN(2)/25)*BQ99+(1-EXP(-LN(2)/25))/(LN(2)/25)*Calculateur!BL100*Calculateur!BN100*VLOOKUP('Données projet'!$B$11,'Paramètres'!$A$1:$I$89,3,0)*0.475*44/12</f>
        <v>8.079681296</v>
      </c>
      <c r="BR100" s="142">
        <f>EXP(-LN(2)/2)*BR99+(1-EXP(-LN(2)/2))/(LN(2)/2)*BL100*BO100*VLOOKUP('Données projet'!$B$11,'Paramètres'!$A$1:$I$89,3,0)*0.475*44/12</f>
        <v>0.0009525613371</v>
      </c>
      <c r="BS100" s="143">
        <f t="shared" si="10"/>
        <v>106.2327043</v>
      </c>
      <c r="BT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1" t="str">
        <f>VLOOKUP(A100,'Données projet'!$A$113:$I$133,2,0)</f>
        <v>#N/A</v>
      </c>
      <c r="BW100" s="131" t="str">
        <f>VLOOKUP(A100,'Données projet'!$A$113:$I$133,9,0)</f>
        <v>#N/A</v>
      </c>
      <c r="BX100" s="131" t="str">
        <f t="array" ref="BX100">INDEX(BW:BW,MIN(IF(ISNUMBER(BW100:BW296),ROW(BW100:BW296),"")))</f>
        <v/>
      </c>
      <c r="BY100" s="130">
        <f>IF('Données projet'!$A$114&gt;35,BY99+BX100-CG99,IF(A100&lt;'Données projet'!$A$114,$BV$205^A100,IF(A100='Données projet'!$A$114,'Données projet'!$B$114,BY99+BX100-CG99)))</f>
        <v>0</v>
      </c>
      <c r="BZ100" s="130">
        <f>BY100*VLOOKUP('Données projet'!$B$12,'Paramètres'!$A$1:$I$89,3,0)*VLOOKUP('Données projet'!$B$12,'Paramètres'!$A$1:$I$89,5,0)</f>
        <v>0</v>
      </c>
      <c r="CA100" s="130" t="str">
        <f t="shared" si="40"/>
        <v>#NUM!</v>
      </c>
      <c r="CB100" s="141" t="str">
        <f t="shared" si="11"/>
        <v>#NUM!</v>
      </c>
      <c r="CC100" s="133" t="str">
        <f t="shared" si="12"/>
        <v>#NUM!</v>
      </c>
      <c r="CD100" s="133">
        <f>AVERAGE(OFFSET($CC$3,0,0,'Données projet'!$E$12+1,1))-AVERAGE(OFFSET($H$3,0,0,'Données projet'!$E$12+1,1))</f>
        <v>258.1672054</v>
      </c>
      <c r="CE100" s="133">
        <f t="shared" si="41"/>
        <v>296.0724261</v>
      </c>
      <c r="CF100" s="134">
        <f>IF(ISNA(VLOOKUP(A100,'Données projet'!$A$113:$I$133,3,0)),0,VLOOKUP(A100,'Données projet'!$A$113:$I$133,3,0))</f>
        <v>0</v>
      </c>
      <c r="CG100" s="134">
        <f>IF(ISNA(VLOOKUP(A100,'Données projet'!$A$113:$I$133,4,0)),0,VLOOKUP(A100,'Données projet'!$A$113:$I$133,4,0))</f>
        <v>0</v>
      </c>
      <c r="CH100" s="135">
        <f>IF(ISNA(VLOOKUP(A100,'Données projet'!$A$113:$I$133,5,0)),0%,VLOOKUP(A100,'Données projet'!$A$113:$I$133,5,0)*VLOOKUP('Données projet'!$B$12,'Paramètres'!$A$1:$I$89,7,0))</f>
        <v>0</v>
      </c>
      <c r="CI100" s="135">
        <f>IF(ISNA(VLOOKUP(A100,'Données projet'!$A$113:$I$133,6,0)),0%,VLOOKUP(A100,'Données projet'!$A$113:$I$133,6,0)*VLOOKUP('Données projet'!$B$12,'Paramètres'!$A$1:$I$89,7,0))</f>
        <v>0</v>
      </c>
      <c r="CJ100" s="135">
        <f>IF(ISNA(VLOOKUP(A100,'Données projet'!$A$113:$I$133,7,0)),0%,VLOOKUP(A100,'Données projet'!$A$113:$I$133,7,0))</f>
        <v>0</v>
      </c>
      <c r="CK100" s="142">
        <f>EXP(-LN(2)/35)*CK99+(1-EXP(-LN(2)/35))/(LN(2)/35)*CG100*CH100*VLOOKUP('Données projet'!$B$12,'Paramètres'!$A$1:$I$89,3,0)*0.475*44/12</f>
        <v>124.094243</v>
      </c>
      <c r="CL100" s="142">
        <f>EXP(-LN(2)/25)*CL99+(1-EXP(-LN(2)/25))/(LN(2)/25)*Calculateur!CG100*Calculateur!CI100*VLOOKUP('Données projet'!$B$12,'Paramètres'!$A$1:$I$89,3,0)*0.475*44/12</f>
        <v>14.17221965</v>
      </c>
      <c r="CM100" s="142">
        <f>EXP(-LN(2)/2)*CM99+(1-EXP(-LN(2)/2))/(LN(2)/2)*CG100*CJ100*VLOOKUP('Données projet'!$B$12,'Paramètres'!$A$1:$I$89,3,0)*0.475*44/12</f>
        <v>0.00004013028481</v>
      </c>
      <c r="CN100" s="143">
        <f t="shared" si="13"/>
        <v>138.2665028</v>
      </c>
      <c r="CO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1" t="str">
        <f>VLOOKUP(A100,'Données projet'!$A$139:$I$159,2,0)</f>
        <v>#N/A</v>
      </c>
      <c r="CR100" s="131" t="str">
        <f>VLOOKUP(A100,'Données projet'!$A$139:$I$159,9,0)</f>
        <v>#N/A</v>
      </c>
      <c r="CS100" s="130">
        <f t="array" ref="CS100">INDEX(CR:CR,MIN(IF(ISNUMBER(CR100:CR296),ROW(CR100:CR296),"")))</f>
        <v>2.3</v>
      </c>
      <c r="CT100" s="138">
        <f>IF('Données projet'!$A$140&gt;35,CT99+CS100-DB99,IF(A100&lt;'Données projet'!$A$140,$CQ$205^A100,IF(A100='Données projet'!$A$140,'Données projet'!$B$140,CT99+CS100-DB99)))</f>
        <v>209.1</v>
      </c>
      <c r="CU100" s="138">
        <f>CT100*VLOOKUP('Données projet'!$B$13,'Paramètres'!$A$1:$I$89,3,0)*VLOOKUP('Données projet'!$B$13,'Paramètres'!$A$1:$I$89,5,0)</f>
        <v>212.0274</v>
      </c>
      <c r="CV100" s="130">
        <f t="shared" si="42"/>
        <v>52.37837556</v>
      </c>
      <c r="CW100" s="141">
        <f t="shared" si="14"/>
        <v>460.5067258</v>
      </c>
      <c r="CX100" s="133">
        <f t="shared" si="15"/>
        <v>753.8400591</v>
      </c>
      <c r="CY100" s="133">
        <f>AVERAGE(OFFSET($CX$3,0,0,'Données projet'!$E$13+1,1))-AVERAGE(OFFSET($H$3,0,0,'Données projet'!$E$13+1,1))</f>
        <v>223.783507</v>
      </c>
      <c r="CZ100" s="133">
        <f t="shared" si="43"/>
        <v>84.92349117</v>
      </c>
      <c r="DA100" s="134">
        <f>IF(ISNA(VLOOKUP(A100,'Données projet'!$A$139:$I$159,3,0)),0,VLOOKUP(A100,'Données projet'!$A$139:$I$159,3,0))</f>
        <v>0</v>
      </c>
      <c r="DB100" s="134">
        <f>IF(ISNA(VLOOKUP(A100,'Données projet'!$A$139:$I$159,4,0)),0,VLOOKUP(A100,'Données projet'!$A$139:$I$159,4,0))</f>
        <v>0</v>
      </c>
      <c r="DC100" s="135">
        <f>IF(ISNA(VLOOKUP(A100,'Données projet'!$A$139:$I$159,5,0)),0%,VLOOKUP(A100,'Données projet'!$A$139:$I$159,5,0)*VLOOKUP('Données projet'!$B$13,'Paramètres'!$A$1:$I$89,7,0))</f>
        <v>0</v>
      </c>
      <c r="DD100" s="135">
        <f>IF(ISNA(VLOOKUP(A100,'Données projet'!$A$139:$I$159,6,0)),0%,VLOOKUP(A100,'Données projet'!$A$139:$I$159,6,0)*VLOOKUP('Données projet'!$B$13,'Paramètres'!$A$1:$I$89,7,0))</f>
        <v>0</v>
      </c>
      <c r="DE100" s="135">
        <f>IF(ISNA(VLOOKUP(A100,'Données projet'!$A$139:$I$159,7,0)),0%,VLOOKUP(A100,'Données projet'!$A$139:$I$159,7,0))</f>
        <v>0</v>
      </c>
      <c r="DF100" s="142">
        <f>EXP(-LN(2)/35)*DF99+(1-EXP(-LN(2)/35))/(LN(2)/35)*DB100*DC100*VLOOKUP('Données projet'!$B$13,'Paramètres'!$A$1:$I$89,3,0)*0.475*44/12</f>
        <v>17.19074835</v>
      </c>
      <c r="DG100" s="142">
        <f>EXP(-LN(2)/25)*DG99+(1-EXP(-LN(2)/25))/(LN(2)/25)*Calculateur!DB100*Calculateur!DD100*VLOOKUP('Données projet'!$B$13,'Paramètres'!$A$1:$I$89,3,0)*0.475*44/12</f>
        <v>0</v>
      </c>
      <c r="DH100" s="142">
        <f>EXP(-LN(2)/2)*DH99+(1-EXP(-LN(2)/2))/(LN(2)/2)*DB100*DE100*VLOOKUP('Données projet'!$B$13,'Paramètres'!$A$1:$I$89,3,0)*0.475*44/12</f>
        <v>0</v>
      </c>
      <c r="DI100" s="143">
        <f t="shared" si="16"/>
        <v>17.19074835</v>
      </c>
      <c r="DJ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1" t="str">
        <f>VLOOKUP(A100,'Données projet'!$A$165:$I$185,2,0)</f>
        <v>#N/A</v>
      </c>
      <c r="DM100" s="131" t="str">
        <f>VLOOKUP(A100,'Données projet'!$A$165:$I$185,9,0)</f>
        <v>#N/A</v>
      </c>
      <c r="DN100" s="131">
        <f t="array" ref="DN100">INDEX(DM:DM,MIN(IF(ISNUMBER(DM100:DM296),ROW(DM100:DM296),"")))</f>
        <v>2.8</v>
      </c>
      <c r="DO100" s="138">
        <f>IF('Données projet'!$A$166&gt;35,DO99+DN100-DW99,IF(A100&lt;'Données projet'!$A$166,$DL$205^A100,IF(A100='Données projet'!$A$166,'Données projet'!$B$166,DO99+DN100-DW99)))</f>
        <v>273.6</v>
      </c>
      <c r="DP100" s="138">
        <f>DO100*VLOOKUP('Données projet'!$B$14,'Paramètres'!$A$1:$I$89,3,0)*VLOOKUP('Données projet'!$B$14,'Paramètres'!$A$1:$I$89,5,0)</f>
        <v>247.55328</v>
      </c>
      <c r="DQ100" s="130">
        <f t="shared" si="44"/>
        <v>60.06171307</v>
      </c>
      <c r="DR100" s="141">
        <f t="shared" si="17"/>
        <v>535.7627796</v>
      </c>
      <c r="DS100" s="133">
        <f t="shared" si="18"/>
        <v>829.0961129</v>
      </c>
      <c r="DT100" s="133">
        <f>AVERAGE(OFFSET($DS$3,0,0,'Données projet'!$E$14+1,1))-AVERAGE(OFFSET($H$3,0,0,'Données projet'!$E$14+1,1))</f>
        <v>287.9334714</v>
      </c>
      <c r="DU100" s="133">
        <f t="shared" si="45"/>
        <v>156.6796502</v>
      </c>
      <c r="DV100" s="134">
        <f>IF(ISNA(VLOOKUP(A100,'Données projet'!$A$165:$I$185,3,0)),0,VLOOKUP(A100,'Données projet'!$A$165:$I$185,3,0))</f>
        <v>0</v>
      </c>
      <c r="DW100" s="134">
        <f>IF(ISNA(VLOOKUP(A100,'Données projet'!$A$165:$I$185,4,0)),0,VLOOKUP(A100,'Données projet'!$A$165:$I$185,4,0))</f>
        <v>0</v>
      </c>
      <c r="DX100" s="135">
        <f>IF(ISNA(VLOOKUP(A100,'Données projet'!$A$165:$I$185,5,0)),0%,VLOOKUP(A100,'Données projet'!$A$165:$I$185,5,0)*VLOOKUP('Données projet'!$B$14,'Paramètres'!$A$1:$I$89,7,0))</f>
        <v>0</v>
      </c>
      <c r="DY100" s="135">
        <f>IF(ISNA(VLOOKUP(A100,'Données projet'!$A$165:$I$185,6,0)),0%,VLOOKUP(A100,'Données projet'!$A$165:$I$185,6,0)*VLOOKUP('Données projet'!$B$14,'Paramètres'!$A$1:$I$89,7,0))</f>
        <v>0</v>
      </c>
      <c r="DZ100" s="135">
        <f>IF(ISNA(VLOOKUP(A100,'Données projet'!$A$165:$I$185,7,0)),0%,VLOOKUP(A100,'Données projet'!$A$165:$I$185,7,0))</f>
        <v>0</v>
      </c>
      <c r="EA100" s="142">
        <f>EXP(-LN(2)/35)*EA99+(1-EXP(-LN(2)/35))/(LN(2)/35)*DW100*DX100*VLOOKUP('Données projet'!$B$14,'Paramètres'!$A$1:$I$89,3,0)*0.475*44/12</f>
        <v>26.34395016</v>
      </c>
      <c r="EB100" s="142">
        <f>EXP(-LN(2)/25)*EB99+(1-EXP(-LN(2)/25))/(LN(2)/25)*Calculateur!DW100*Calculateur!DY100*VLOOKUP('Données projet'!$B$14,'Paramètres'!$A$1:$I$89,3,0)*0.475*44/12</f>
        <v>0</v>
      </c>
      <c r="EC100" s="142">
        <f>EXP(-LN(2)/2)*EC99+(1-EXP(-LN(2)/2))/(LN(2)/2)*DW100*DZ100*VLOOKUP('Données projet'!$B$14,'Paramètres'!$A$1:$I$89,3,0)*0.475*44/12</f>
        <v>0</v>
      </c>
      <c r="ED100" s="143">
        <f t="shared" si="19"/>
        <v>26.34395016</v>
      </c>
      <c r="EE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1" t="str">
        <f>VLOOKUP(A100,'Données projet'!$A$191:$I$211,2,0)</f>
        <v>#N/A</v>
      </c>
      <c r="EH100" s="131" t="str">
        <f>VLOOKUP(A100,'Données projet'!$A$191:$I$211,9,0)</f>
        <v>#N/A</v>
      </c>
      <c r="EI100" s="131" t="str">
        <f t="array" ref="EI100">INDEX(EH:EH,MIN(IF(ISNUMBER(EH100:EH296),ROW(EH100:EH296),"")))</f>
        <v/>
      </c>
      <c r="EJ100" s="138">
        <f>IF('Données projet'!$A$192&gt;35,EJ99+EI100-ER99,IF(A100&lt;'Données projet'!$A$192,$EG$205^A100,IF(A100='Données projet'!$A$192,'Données projet'!$B$192,EJ99+EI100-ER99)))</f>
        <v>0</v>
      </c>
      <c r="EK100" s="138">
        <f>EJ100*VLOOKUP('Données projet'!$B$15,'Paramètres'!$A$1:$I$89,3,0)*VLOOKUP('Données projet'!$B$15,'Paramètres'!$A$1:$I$89,5,0)</f>
        <v>0</v>
      </c>
      <c r="EL100" s="130" t="str">
        <f t="shared" si="46"/>
        <v>#NUM!</v>
      </c>
      <c r="EM100" s="141" t="str">
        <f t="shared" si="20"/>
        <v>#NUM!</v>
      </c>
      <c r="EN100" s="133" t="str">
        <f t="shared" si="21"/>
        <v>#NUM!</v>
      </c>
      <c r="EO100" s="133">
        <f>AVERAGE(OFFSET($EN$3,0,0,'Données projet'!$E$15+1,1))-AVERAGE(OFFSET($H$3,0,0,'Données projet'!$E$15+1,1))</f>
        <v>130.3193339</v>
      </c>
      <c r="EP100" s="133">
        <f t="shared" si="47"/>
        <v>82.22784365</v>
      </c>
      <c r="EQ100" s="134">
        <f>IF(ISNA(VLOOKUP(A100,'Données projet'!$A$191:$I$211,3,0)),0,VLOOKUP(A100,'Données projet'!$A$191:$I$211,3,0))</f>
        <v>0</v>
      </c>
      <c r="ER100" s="134">
        <f>IF(ISNA(VLOOKUP(A100,'Données projet'!$A$191:$I$211,4,0)),0,VLOOKUP(A100,'Données projet'!$A$191:$I$211,4,0))</f>
        <v>0</v>
      </c>
      <c r="ES100" s="135">
        <f>IF(ISNA(VLOOKUP(A100,'Données projet'!$A$191:$I$211,5,0)),0%,VLOOKUP(A100,'Données projet'!$A$191:$I$211,5,0)*VLOOKUP('Données projet'!$B$15,'Paramètres'!$A$1:$I$89,7,0))</f>
        <v>0</v>
      </c>
      <c r="ET100" s="135">
        <f>IF(ISNA(VLOOKUP(A100,'Données projet'!$A$191:$I$211,6,0)),0%,VLOOKUP(A100,'Données projet'!$A$191:$I$211,6,0)*VLOOKUP('Données projet'!$B$15,'Paramètres'!$A$1:$I$89,7,0))</f>
        <v>0</v>
      </c>
      <c r="EU100" s="135">
        <f>IF(ISNA(VLOOKUP(A100,'Données projet'!$A$191:$I$211,7,0)),0%,VLOOKUP(A100,'Données projet'!$A$191:$I$211,7,0))</f>
        <v>0</v>
      </c>
      <c r="EV100" s="142">
        <f>EXP(-LN(2)/35)*EV99+(1-EXP(-LN(2)/35))/(LN(2)/35)*ER100*ES100*VLOOKUP('Données projet'!$B$15,'Paramètres'!$A$1:$I$89,3,0)*0.475*44/12</f>
        <v>75.88106244</v>
      </c>
      <c r="EW100" s="142">
        <f>EXP(-LN(2)/25)*EW99+(1-EXP(-LN(2)/25))/(LN(2)/25)*Calculateur!ER100*Calculateur!ET100*VLOOKUP('Données projet'!$B$15,'Paramètres'!$A$1:$I$89,3,0)*0.475*44/12</f>
        <v>0</v>
      </c>
      <c r="EX100" s="142">
        <f>EXP(-LN(2)/2)*EX99+(1-EXP(-LN(2)/2))/(LN(2)/2)*ER100*EU100*VLOOKUP('Données projet'!$B$15,'Paramètres'!$A$1:$I$89,3,0)*0.475*44/12</f>
        <v>0</v>
      </c>
      <c r="EY100" s="143">
        <f t="shared" si="22"/>
        <v>75.88106244</v>
      </c>
      <c r="EZ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1" t="str">
        <f>VLOOKUP(A100,'Données projet'!$A$217:$I$237,2,0)</f>
        <v>#N/A</v>
      </c>
      <c r="FC100" s="131" t="str">
        <f>VLOOKUP(A100,'Données projet'!$A$217:$I$237,9,0)</f>
        <v>#N/A</v>
      </c>
      <c r="FD100" s="131" t="str">
        <f t="array" ref="FD100">INDEX(FC:FC,MIN(IF(ISNUMBER(FC100:FC296),ROW(FC100:FC296),"")))</f>
        <v/>
      </c>
      <c r="FE100" s="130">
        <f>IF('Données projet'!$A$218&gt;35,FE99+FD100-FM99,IF(A100&lt;'Données projet'!$A$218,$FB$205^A100,IF(A100='Données projet'!$A$218,'Données projet'!$B$218,FE99+FD100-FM99)))</f>
        <v>0</v>
      </c>
      <c r="FF100" s="138">
        <f>FE100*VLOOKUP('Données projet'!$B$16,'Paramètres'!$A$1:$I$89,3,0)*VLOOKUP('Données projet'!$B$16,'Paramètres'!$A$1:$I$89,5,0)</f>
        <v>0</v>
      </c>
      <c r="FG100" s="130">
        <f t="shared" si="48"/>
        <v>0</v>
      </c>
      <c r="FH100" s="141">
        <f t="shared" si="23"/>
        <v>0</v>
      </c>
      <c r="FI100" s="133">
        <f t="shared" si="24"/>
        <v>293.3333333</v>
      </c>
      <c r="FJ100" s="133">
        <f>AVERAGE(OFFSET($FI$3,0,0,'Données projet'!$E$16+1,1))-AVERAGE(OFFSET($H$3,0,0,'Données projet'!$E$16+1,1))</f>
        <v>305.6252353</v>
      </c>
      <c r="FK100" s="133">
        <f t="shared" si="49"/>
        <v>331.397916</v>
      </c>
      <c r="FL100" s="134">
        <f>IF(ISNA(VLOOKUP(A100,'Données projet'!$A$217:$I$237,3,0)),0,VLOOKUP(A100,'Données projet'!$A$217:$I$237,3,0))</f>
        <v>0</v>
      </c>
      <c r="FM100" s="134">
        <f>IF(ISNA(VLOOKUP(A100,'Données projet'!$A$217:$I$237,4,0)),0,VLOOKUP(A100,'Données projet'!$A$217:$I$237,4,0))</f>
        <v>0</v>
      </c>
      <c r="FN100" s="135">
        <f>IF(ISNA(VLOOKUP(A100,'Données projet'!$A$217:$I$237,5,0)),0%,VLOOKUP(A100,'Données projet'!$A$217:$I$237,5,0)*VLOOKUP('Données projet'!$B$16,'Paramètres'!$A$1:$I$89,7,0))</f>
        <v>0</v>
      </c>
      <c r="FO100" s="135">
        <f>IF(ISNA(VLOOKUP(A100,'Données projet'!$A$217:$I$237,6,0)),0%,VLOOKUP(A100,'Données projet'!$A$217:$I$237,6,0)*VLOOKUP('Données projet'!$B$16,'Paramètres'!$A$1:$I$89,7,0))</f>
        <v>0</v>
      </c>
      <c r="FP100" s="135">
        <f>IF(ISNA(VLOOKUP(A100,'Données projet'!$A$217:$I$237,7,0)),0%,VLOOKUP(A100,'Données projet'!$A$217:$I$237,7,0))</f>
        <v>0</v>
      </c>
      <c r="FQ100" s="142">
        <f>EXP(-LN(2)/35)*FQ99+(1-EXP(-LN(2)/35))/(LN(2)/35)*FM100*FN100*VLOOKUP('Données projet'!$B$16,'Paramètres'!$A$1:$I$89,3,0)*0.475*44/12</f>
        <v>47.2458172</v>
      </c>
      <c r="FR100" s="142">
        <f>EXP(-LN(2)/25)*FR99+(1-EXP(-LN(2)/25))/(LN(2)/25)*Calculateur!FM100*Calculateur!FO100*VLOOKUP('Données projet'!$B$16,'Paramètres'!$A$1:$I$89,3,0)*0.475*44/12</f>
        <v>0</v>
      </c>
      <c r="FS100" s="142">
        <f>EXP(-LN(2)/2)*FS99+(1-EXP(-LN(2)/2))/(LN(2)/2)*FM100*FP100*VLOOKUP('Données projet'!$B$16,'Paramètres'!$A$1:$I$89,3,0)*0.475*44/12</f>
        <v>0</v>
      </c>
      <c r="FT100" s="143">
        <f t="shared" si="25"/>
        <v>47.2458172</v>
      </c>
      <c r="FU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1" t="str">
        <f>VLOOKUP(A100,'Données projet'!$A$243:$I$263,2,0)</f>
        <v>#N/A</v>
      </c>
      <c r="FX100" s="131" t="str">
        <f>VLOOKUP(A100,'Données projet'!$A$243:$I$263,9,0)</f>
        <v>#N/A</v>
      </c>
      <c r="FY100" s="131" t="str">
        <f t="array" ref="FY100">INDEX(FX:FX,MIN(IF(ISNUMBER(FX100:FX296),ROW(FX100:FX296),"")))</f>
        <v/>
      </c>
      <c r="FZ100" s="138">
        <f>IF('Données projet'!$A$244&gt;35,FZ99+FY100-GH99,IF(A100&lt;'Données projet'!$A$244,$FW$205^A100,IF(A100='Données projet'!$A$244,'Données projet'!$B$244,FZ99+FY100-GH99)))</f>
        <v>0</v>
      </c>
      <c r="GA100" s="138">
        <f>FZ100*VLOOKUP('Données projet'!$B$17,'Paramètres'!$A$1:$I$89,3,0)*VLOOKUP('Données projet'!$B$17,'Paramètres'!$A$1:$I$89,5,0)</f>
        <v>0</v>
      </c>
      <c r="GB100" s="130">
        <f t="shared" si="50"/>
        <v>0</v>
      </c>
      <c r="GC100" s="141">
        <f t="shared" si="26"/>
        <v>0</v>
      </c>
      <c r="GD100" s="133">
        <f t="shared" si="27"/>
        <v>293.3333333</v>
      </c>
      <c r="GE100" s="133">
        <f>AVERAGE(OFFSET($GD$3,0,0,'Données projet'!$E$17+1,1))-AVERAGE(OFFSET($H$3,0,0,'Données projet'!$E$17+1,1))</f>
        <v>118.7368745</v>
      </c>
      <c r="GF100" s="133">
        <f t="shared" si="51"/>
        <v>135.1233677</v>
      </c>
      <c r="GG100" s="134">
        <f>IF(ISNA(VLOOKUP(A100,'Données projet'!$A$243:$I$263,3,0)),0,VLOOKUP(A100,'Données projet'!$A$243:$I$263,3,0))</f>
        <v>0</v>
      </c>
      <c r="GH100" s="134">
        <f>IF(ISNA(VLOOKUP(A100,'Données projet'!$A$243:$I$263,4,0)),0,VLOOKUP(A100,'Données projet'!$A$243:$I$263,4,0))</f>
        <v>0</v>
      </c>
      <c r="GI100" s="135">
        <f>IF(ISNA(VLOOKUP(A100,'Données projet'!$A$243:$I$263,5,0)),0%,VLOOKUP(A100,'Données projet'!$A$243:$I$263,5,0)*VLOOKUP('Données projet'!$B$17,'Paramètres'!$A$1:$I$89,7,0))</f>
        <v>0</v>
      </c>
      <c r="GJ100" s="135">
        <f>IF(ISNA(VLOOKUP(A100,'Données projet'!$A$243:$I$263,6,0)),0%,VLOOKUP(A100,'Données projet'!$A$243:$I$263,6,0)*VLOOKUP('Données projet'!$B$17,'Paramètres'!$A$1:$I$89,7,0))</f>
        <v>0</v>
      </c>
      <c r="GK100" s="135">
        <f>IF(ISNA(VLOOKUP(A100,'Données projet'!$A$243:$I$263,7,0)),0%,VLOOKUP(A100,'Données projet'!$A$243:$I$263,7,0))</f>
        <v>0</v>
      </c>
      <c r="GL100" s="142">
        <f>EXP(-LN(2)/35)*GL99+(1-EXP(-LN(2)/35))/(LN(2)/35)*GH100*GI100*VLOOKUP('Données projet'!$B$17,'Paramètres'!$A$1:$I$89,3,0)*0.475*44/12</f>
        <v>49.91505977</v>
      </c>
      <c r="GM100" s="142">
        <f>EXP(-LN(2)/25)*GM99+(1-EXP(-LN(2)/25))/(LN(2)/25)*Calculateur!GH100*Calculateur!GJ100*VLOOKUP('Données projet'!$B$17,'Paramètres'!$A$1:$I$89,3,0)*0.475*44/12</f>
        <v>0</v>
      </c>
      <c r="GN100" s="142">
        <f>EXP(-LN(2)/2)*GN99+(1-EXP(-LN(2)/2))/(LN(2)/2)*GH100*GK100*VLOOKUP('Données projet'!$B$17,'Paramètres'!$A$1:$I$89,3,0)*0.475*44/12</f>
        <v>0</v>
      </c>
      <c r="GO100" s="142">
        <f t="shared" si="28"/>
        <v>49.91505977</v>
      </c>
      <c r="GP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1" t="str">
        <f>VLOOKUP(A100,'Données projet'!$A$269:$I$289,2,0)</f>
        <v>#N/A</v>
      </c>
      <c r="GS100" s="131" t="str">
        <f>VLOOKUP(A100,'Données projet'!$A$269:$I$289,9,0)</f>
        <v>#N/A</v>
      </c>
      <c r="GT100" s="131" t="str">
        <f t="array" ref="GT100">INDEX(GS:GS,MIN(IF(ISNUMBER(GS100:GS296),ROW(GS100:GS296),"")))</f>
        <v/>
      </c>
      <c r="GU100" s="138">
        <f>IF('Données projet'!$A$270&gt;35,GU99+GT100-HC99,IF(A100&lt;'Données projet'!$A$270,$GR$205^A100,IF(A100='Données projet'!$A$270,'Données projet'!$B$270,GU99+GT100-HC99)))</f>
        <v>0</v>
      </c>
      <c r="GV100" s="138">
        <f>GU100*VLOOKUP('Données projet'!$B$18,'Paramètres'!$A$1:$I$89,3,0)*VLOOKUP('Données projet'!$B$18,'Paramètres'!$A$1:$I$89,5,0)</f>
        <v>0</v>
      </c>
      <c r="GW100" s="130" t="str">
        <f t="shared" si="52"/>
        <v>#NUM!</v>
      </c>
      <c r="GX100" s="141" t="str">
        <f t="shared" si="29"/>
        <v>#NUM!</v>
      </c>
      <c r="GY100" s="133" t="str">
        <f t="shared" si="30"/>
        <v>#NUM!</v>
      </c>
      <c r="GZ100" s="133">
        <f>AVERAGE(OFFSET($GY$3,0,0,'Données projet'!$E$18+1,1))-AVERAGE(OFFSET($H$3,0,0,'Données projet'!$E$18+1,1))</f>
        <v>100.5427875</v>
      </c>
      <c r="HA100" s="133">
        <f t="shared" si="53"/>
        <v>92.28663609</v>
      </c>
      <c r="HB100" s="134">
        <f>IF(ISNA(VLOOKUP(A100,'Données projet'!$A$269:$I$289,3,0)),0,VLOOKUP(A100,'Données projet'!$A$269:$I$289,3,0))</f>
        <v>0</v>
      </c>
      <c r="HC100" s="134">
        <f>IF(ISNA(VLOOKUP(A100,'Données projet'!$A$269:$I$289,4,0)),0,VLOOKUP(A100,'Données projet'!$A$269:$I$289,4,0))</f>
        <v>0</v>
      </c>
      <c r="HD100" s="135">
        <f>IF(ISNA(VLOOKUP(A100,'Données projet'!$A$269:$I$289,5,0)),0%,VLOOKUP(A100,'Données projet'!$A$269:$I$289,5,0)*VLOOKUP('Données projet'!$B$18,'Paramètres'!$A$1:$I$89,7,0))</f>
        <v>0</v>
      </c>
      <c r="HE100" s="135">
        <f>IF(ISNA(VLOOKUP(A100,'Données projet'!$A$269:$I$289,6,0)),0%,VLOOKUP(A100,'Données projet'!$A$269:$I$289,6,0)*VLOOKUP('Données projet'!$B$18,'Paramètres'!$A$1:$I$89,7,0))</f>
        <v>0</v>
      </c>
      <c r="HF100" s="135">
        <f>IF(ISNA(VLOOKUP(A100,'Données projet'!$A$269:$I$289,7,0)),0%,VLOOKUP(A100,'Données projet'!$A$269:$I$289,7,0))</f>
        <v>0</v>
      </c>
      <c r="HG100" s="142">
        <f>EXP(-LN(2)/35)*HG99+(1-EXP(-LN(2)/35))/(LN(2)/35)*HC100*HD100*VLOOKUP('Données projet'!$B$18,'Paramètres'!$A$1:$I$89,3,0)*0.475*44/12</f>
        <v>33.99110269</v>
      </c>
      <c r="HH100" s="142">
        <f>EXP(-LN(2)/25)*HH99+(1-EXP(-LN(2)/25))/(LN(2)/25)*Calculateur!HC100*Calculateur!HE100*VLOOKUP('Données projet'!$B$18,'Paramètres'!$A$1:$I$89,3,0)*0.475*44/12</f>
        <v>0</v>
      </c>
      <c r="HI100" s="142">
        <f>EXP(-LN(2)/2)*HI99+(1-EXP(-LN(2)/2))/(LN(2)/2)*HC100*HF100*VLOOKUP('Données projet'!$B$18,'Paramètres'!$A$1:$I$89,3,0)*0.475*44/12</f>
        <v>0</v>
      </c>
      <c r="HJ100" s="143">
        <f t="shared" si="31"/>
        <v>33.99110269</v>
      </c>
    </row>
    <row r="101" ht="15.75" customHeight="1">
      <c r="A101" s="125">
        <f t="shared" si="32"/>
        <v>98</v>
      </c>
      <c r="B101" s="126">
        <f>'Scénario référence'!$B$16*5+'Scénario référence'!$B$17*0+'Scénario référence'!$B$18*5</f>
        <v>0</v>
      </c>
      <c r="C101" s="140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53.508</v>
      </c>
      <c r="D101" s="127">
        <f t="shared" si="33"/>
        <v>15.51610981</v>
      </c>
      <c r="E10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7">
        <f>IF(OR('Scénario référence'!$F$8&gt;0,'Scénario référence'!$F$9&gt;0),('Scénario référence'!$F$8+'Scénario référence'!$F$9)*10,0)</f>
        <v>10</v>
      </c>
      <c r="G101" s="127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</v>
      </c>
      <c r="H101" s="128">
        <f t="shared" si="1"/>
        <v>413.5503246</v>
      </c>
      <c r="I101" s="12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1" t="str">
        <f>VLOOKUP(A101,'Données projet'!$A$35:$I$55,2,0)</f>
        <v>#N/A</v>
      </c>
      <c r="L101" s="131" t="str">
        <f>VLOOKUP(A101,'Données projet'!$A$35:$I$55,9,0)</f>
        <v>#N/A</v>
      </c>
      <c r="M101" s="131" t="str">
        <f t="array" ref="M101">INDEX(L:L,MIN(IF(ISNUMBER(L101:L297),ROW(L101:L297),"")))</f>
        <v/>
      </c>
      <c r="N101" s="130">
        <f>IF('Données projet'!$A$36&gt;35,N100+M101-V100,IF(A101&lt;'Données projet'!$A$36,$K$205^A101,IF(A101='Données projet'!$A$36,'Données projet'!$B$36,N100+M101-V100)))</f>
        <v>0</v>
      </c>
      <c r="O101" s="130">
        <f>N101*VLOOKUP('Données projet'!$B$9,'Paramètres'!$A$1:$I$89,3,0)*VLOOKUP('Données projet'!$B$9,'Paramètres'!$A$1:$I$89,5,0)</f>
        <v>0</v>
      </c>
      <c r="P101" s="130">
        <f t="shared" si="34"/>
        <v>0</v>
      </c>
      <c r="Q101" s="141">
        <f t="shared" si="2"/>
        <v>0</v>
      </c>
      <c r="R101" s="133">
        <f t="shared" si="3"/>
        <v>293.3333333</v>
      </c>
      <c r="S101" s="133">
        <f>AVERAGE(OFFSET($R$3,0,0,'Données projet'!$E$9+1,1))-AVERAGE(OFFSET($H$3,0,0,'Données projet'!$E$9+1,1))</f>
        <v>126.9946492</v>
      </c>
      <c r="T101" s="133">
        <f t="shared" si="35"/>
        <v>140.039049</v>
      </c>
      <c r="U101" s="134">
        <f>IF(ISNA(VLOOKUP(A101,'Données projet'!$A$35:$I$55,3,0)),0,VLOOKUP(A101,'Données projet'!$A$35:$I$55,3,0))</f>
        <v>0</v>
      </c>
      <c r="V101" s="134">
        <f>IF(ISNA(VLOOKUP(A101,'Données projet'!$A$35:$I$55,4,0)),0,VLOOKUP(A101,'Données projet'!$A$35:$I$55,4,0))</f>
        <v>0</v>
      </c>
      <c r="W101" s="135">
        <f>IF(ISNA(VLOOKUP(A101,'Données projet'!$A$35:$I$55,5,0)),0%,VLOOKUP(A101,'Données projet'!$A$35:$I$55,5,0)*VLOOKUP('Données projet'!$B$9,'Paramètres'!$A$1:$I$89,7,0))</f>
        <v>0</v>
      </c>
      <c r="X101" s="135">
        <f>IF(ISNA(VLOOKUP(A101,'Données projet'!$A$35:$I$55,6,0)),0%,VLOOKUP(A101,'Données projet'!$A$35:$I$55,6,0)*VLOOKUP('Données projet'!$B$9,'Paramètres'!$A$1:$I$89,7,0))</f>
        <v>0</v>
      </c>
      <c r="Y101" s="135">
        <f>IF(ISNA(VLOOKUP(A101,'Données projet'!$A$35:$I$55,7,0)),0%,VLOOKUP(A101,'Données projet'!$A$35:$I$55,7,0))</f>
        <v>0</v>
      </c>
      <c r="Z101" s="142">
        <f>EXP(-LN(2)/35)*Z100+(1-EXP(-LN(2)/35))/(LN(2)/35)*V101*W101*VLOOKUP('Données projet'!$B$9,'Paramètres'!$A$1:$I$89,3,0)*0.475*44/12</f>
        <v>50.0508964</v>
      </c>
      <c r="AA101" s="142">
        <f>EXP(-LN(2)/25)*AA100+(1-EXP(-LN(2)/25))/(LN(2)/25)*Calculateur!V101*Calculateur!X101*VLOOKUP('Données projet'!$B$9,'Paramètres'!$A$1:$I$89,3,0)*0.475*44/12</f>
        <v>8.102989066</v>
      </c>
      <c r="AB101" s="142">
        <f>EXP(-LN(2)/2)*AB100+(1-EXP(-LN(2)/2))/(LN(2)/2)*V101*Y101*VLOOKUP('Données projet'!$B$9,'Paramètres'!$A$1:$I$89,3,0)*0.475*44/12</f>
        <v>0.00003621935122</v>
      </c>
      <c r="AC101" s="143">
        <f t="shared" si="4"/>
        <v>58.15392168</v>
      </c>
      <c r="AD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1" t="str">
        <f>VLOOKUP(A101,'Données projet'!$A$61:$I$81,2,0)</f>
        <v>#N/A</v>
      </c>
      <c r="AG101" s="131" t="str">
        <f>VLOOKUP(A101,'Données projet'!$A$61:$I$81,9,0)</f>
        <v>#N/A</v>
      </c>
      <c r="AH101" s="131" t="str">
        <f t="array" ref="AH101">INDEX(AG:AG,MIN(IF(ISNUMBER(AG101:AG297),ROW(AG101:AG297),"")))</f>
        <v/>
      </c>
      <c r="AI101" s="130">
        <f>IF('Données projet'!$A$62&gt;35,AI100+AH101-AQ100,IF(A101&lt;'Données projet'!$A$62,$AF$205^A101,IF(A101='Données projet'!$A$62,'Données projet'!$B$62,AI100+AH101-AQ100)))</f>
        <v>0</v>
      </c>
      <c r="AJ101" s="130">
        <f>AI101*VLOOKUP('Données projet'!$B$10,'Paramètres'!$A$1:$I$89,3,0)*VLOOKUP('Données projet'!$B$10,'Paramètres'!$A$1:$I$89,5,0)</f>
        <v>0</v>
      </c>
      <c r="AK101" s="130" t="str">
        <f t="shared" si="36"/>
        <v>#NUM!</v>
      </c>
      <c r="AL101" s="141" t="str">
        <f t="shared" si="5"/>
        <v>#NUM!</v>
      </c>
      <c r="AM101" s="133" t="str">
        <f t="shared" si="6"/>
        <v>#NUM!</v>
      </c>
      <c r="AN101" s="133">
        <f>AVERAGE(OFFSET($AM$3,0,0,'Données projet'!$E$10+1,1))-AVERAGE(OFFSET($H$3,0,0,'Données projet'!$E$10+1,1))</f>
        <v>196.874484</v>
      </c>
      <c r="AO101" s="133">
        <f t="shared" si="37"/>
        <v>217.5750859</v>
      </c>
      <c r="AP101" s="134">
        <f>IF(ISNA(VLOOKUP(A101,'Données projet'!$A$61:$I$81,3,0)),0,VLOOKUP(A101,'Données projet'!$A$61:$I$81,3,0))</f>
        <v>0</v>
      </c>
      <c r="AQ101" s="134">
        <f>IF(ISNA(VLOOKUP(A101,'Données projet'!$A$61:$I$81,4,0)),0,VLOOKUP(A101,'Données projet'!$A$61:$I$81,4,0))</f>
        <v>0</v>
      </c>
      <c r="AR101" s="135">
        <f>IF(ISNA(VLOOKUP(A101,'Données projet'!$A$61:$I$81,5,0)),0%,VLOOKUP(A101,'Données projet'!$A$61:$I$81,5,0)*VLOOKUP('Données projet'!$B$10,'Paramètres'!$A$1:$I$89,7,0))</f>
        <v>0</v>
      </c>
      <c r="AS101" s="135">
        <f>IF(ISNA(VLOOKUP(A101,'Données projet'!$A$61:$I$81,6,0)),0%,VLOOKUP(A101,'Données projet'!$A$61:$I$81,6,0)*VLOOKUP('Données projet'!$B$10,'Paramètres'!$A$1:$I$89,7,0))</f>
        <v>0</v>
      </c>
      <c r="AT101" s="135">
        <f>IF(ISNA(VLOOKUP(A101,'Données projet'!$A$61:$I$81,7,0)),0%,VLOOKUP(A101,'Données projet'!$A$61:$I$81,7,0))</f>
        <v>0</v>
      </c>
      <c r="AU101" s="142">
        <f>EXP(-LN(2)/35)*AU100+(1-EXP(-LN(2)/35))/(LN(2)/35)*AQ101*AR101*VLOOKUP('Données projet'!$B$10,'Paramètres'!$A$1:$I$89,3,0)*0.475*44/12</f>
        <v>69.56932435</v>
      </c>
      <c r="AV101" s="142">
        <f>EXP(-LN(2)/25)*AV100+(1-EXP(-LN(2)/25))/(LN(2)/25)*Calculateur!AQ101*Calculateur!AS101*VLOOKUP('Données projet'!$B$10,'Paramètres'!$A$1:$I$89,3,0)*0.475*44/12</f>
        <v>12.45835652</v>
      </c>
      <c r="AW101" s="142">
        <f>EXP(-LN(2)/2)*AW100+(1-EXP(-LN(2)/2))/(LN(2)/2)*AQ101*AT101*VLOOKUP('Données projet'!$B$10,'Paramètres'!$A$1:$I$89,3,0)*0.475*44/12</f>
        <v>0.0000504973801</v>
      </c>
      <c r="AX101" s="142">
        <f t="shared" si="7"/>
        <v>82.02773137</v>
      </c>
      <c r="AY101" s="13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1" t="str">
        <f>VLOOKUP(A101,'Données projet'!$A$87:$I$107,2,0)</f>
        <v>#N/A</v>
      </c>
      <c r="BB101" s="131" t="str">
        <f>VLOOKUP(A101,'Données projet'!$A$87:$I$107,9,0)</f>
        <v>#N/A</v>
      </c>
      <c r="BC101" s="131" t="str">
        <f t="array" ref="BC101">INDEX(BB:BB,MIN(IF(ISNUMBER(BB101:BB297),ROW(BB101:BB297),"")))</f>
        <v/>
      </c>
      <c r="BD101" s="130">
        <f>IF('Données projet'!$A$88&gt;35,BD100+BC101-BL100,IF(A101&lt;'Données projet'!$A$88,$BA$205^A101,IF(A101='Données projet'!$A$88,'Données projet'!$B$88,BD100+BC101-BL100)))</f>
        <v>0</v>
      </c>
      <c r="BE101" s="130">
        <f>BD101*VLOOKUP('Données projet'!$B$11,'Paramètres'!$A$1:$I$89,3,0)*VLOOKUP('Données projet'!$B$11,'Paramètres'!$A$1:$I$89,5,0)</f>
        <v>0</v>
      </c>
      <c r="BF101" s="130" t="str">
        <f t="shared" si="38"/>
        <v>#NUM!</v>
      </c>
      <c r="BG101" s="141" t="str">
        <f t="shared" si="8"/>
        <v>#NUM!</v>
      </c>
      <c r="BH101" s="133" t="str">
        <f t="shared" si="9"/>
        <v>#NUM!</v>
      </c>
      <c r="BI101" s="133">
        <f>AVERAGE(OFFSET($BH$3,0,0,'Données projet'!$E$11+1,1))-AVERAGE(OFFSET($H$3,0,0,'Données projet'!$E$11+1,1))</f>
        <v>134.0948534</v>
      </c>
      <c r="BJ101" s="133">
        <f t="shared" si="39"/>
        <v>108.4102536</v>
      </c>
      <c r="BK101" s="134">
        <f>IF(ISNA(VLOOKUP(A101,'Données projet'!$A$87:$I$107,3,0)),0,VLOOKUP(A101,'Données projet'!$A$87:$I$107,3,0))</f>
        <v>0</v>
      </c>
      <c r="BL101" s="134">
        <f>IF(ISNA(VLOOKUP(A101,'Données projet'!$A$87:$I$107,4,0)),0,VLOOKUP(A101,'Données projet'!$A$87:$I$107,4,0))</f>
        <v>0</v>
      </c>
      <c r="BM101" s="135">
        <f>IF(ISNA(VLOOKUP(A101,'Données projet'!$A$87:$I$107,5,0)),0%,VLOOKUP(A101,'Données projet'!$A$87:$I$107,5,0)*VLOOKUP('Données projet'!$B$11,'Paramètres'!$A$1:$I$89,7,0))</f>
        <v>0</v>
      </c>
      <c r="BN101" s="135">
        <f>IF(ISNA(VLOOKUP(A101,'Données projet'!$A$87:$I$107,6,0)),0%,VLOOKUP(A101,'Données projet'!$A$87:$I$107,6,0)*VLOOKUP('Données projet'!$B$11,'Paramètres'!$A$1:$I$89,7,0))</f>
        <v>0</v>
      </c>
      <c r="BO101" s="135">
        <f>IF(ISNA(VLOOKUP(A101,'Données projet'!$A$87:$I$107,7,0)),0%,VLOOKUP(A101,'Données projet'!$A$87:$I$107,7,0))</f>
        <v>0</v>
      </c>
      <c r="BP101" s="142">
        <f>EXP(-LN(2)/35)*BP100+(1-EXP(-LN(2)/35))/(LN(2)/35)*BL101*BM101*VLOOKUP('Données projet'!$B$11,'Paramètres'!$A$1:$I$89,3,0)*0.475*44/12</f>
        <v>96.22736824</v>
      </c>
      <c r="BQ101" s="142">
        <f>EXP(-LN(2)/25)*BQ100+(1-EXP(-LN(2)/25))/(LN(2)/25)*Calculateur!BL101*Calculateur!BN101*VLOOKUP('Données projet'!$B$11,'Paramètres'!$A$1:$I$89,3,0)*0.475*44/12</f>
        <v>7.858741986</v>
      </c>
      <c r="BR101" s="142">
        <f>EXP(-LN(2)/2)*BR100+(1-EXP(-LN(2)/2))/(LN(2)/2)*BL101*BO101*VLOOKUP('Données projet'!$B$11,'Paramètres'!$A$1:$I$89,3,0)*0.475*44/12</f>
        <v>0.0006735625809</v>
      </c>
      <c r="BS101" s="143">
        <f t="shared" si="10"/>
        <v>104.0867838</v>
      </c>
      <c r="BT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1" t="str">
        <f>VLOOKUP(A101,'Données projet'!$A$113:$I$133,2,0)</f>
        <v>#N/A</v>
      </c>
      <c r="BW101" s="131" t="str">
        <f>VLOOKUP(A101,'Données projet'!$A$113:$I$133,9,0)</f>
        <v>#N/A</v>
      </c>
      <c r="BX101" s="131" t="str">
        <f t="array" ref="BX101">INDEX(BW:BW,MIN(IF(ISNUMBER(BW101:BW297),ROW(BW101:BW297),"")))</f>
        <v/>
      </c>
      <c r="BY101" s="130">
        <f>IF('Données projet'!$A$114&gt;35,BY100+BX101-CG100,IF(A101&lt;'Données projet'!$A$114,$BV$205^A101,IF(A101='Données projet'!$A$114,'Données projet'!$B$114,BY100+BX101-CG100)))</f>
        <v>0</v>
      </c>
      <c r="BZ101" s="130">
        <f>BY101*VLOOKUP('Données projet'!$B$12,'Paramètres'!$A$1:$I$89,3,0)*VLOOKUP('Données projet'!$B$12,'Paramètres'!$A$1:$I$89,5,0)</f>
        <v>0</v>
      </c>
      <c r="CA101" s="130" t="str">
        <f t="shared" si="40"/>
        <v>#NUM!</v>
      </c>
      <c r="CB101" s="141" t="str">
        <f t="shared" si="11"/>
        <v>#NUM!</v>
      </c>
      <c r="CC101" s="133" t="str">
        <f t="shared" si="12"/>
        <v>#NUM!</v>
      </c>
      <c r="CD101" s="133">
        <f>AVERAGE(OFFSET($CC$3,0,0,'Données projet'!$E$12+1,1))-AVERAGE(OFFSET($H$3,0,0,'Données projet'!$E$12+1,1))</f>
        <v>258.1672054</v>
      </c>
      <c r="CE101" s="133">
        <f t="shared" si="41"/>
        <v>296.0724261</v>
      </c>
      <c r="CF101" s="134">
        <f>IF(ISNA(VLOOKUP(A101,'Données projet'!$A$113:$I$133,3,0)),0,VLOOKUP(A101,'Données projet'!$A$113:$I$133,3,0))</f>
        <v>0</v>
      </c>
      <c r="CG101" s="134">
        <f>IF(ISNA(VLOOKUP(A101,'Données projet'!$A$113:$I$133,4,0)),0,VLOOKUP(A101,'Données projet'!$A$113:$I$133,4,0))</f>
        <v>0</v>
      </c>
      <c r="CH101" s="135">
        <f>IF(ISNA(VLOOKUP(A101,'Données projet'!$A$113:$I$133,5,0)),0%,VLOOKUP(A101,'Données projet'!$A$113:$I$133,5,0)*VLOOKUP('Données projet'!$B$12,'Paramètres'!$A$1:$I$89,7,0))</f>
        <v>0</v>
      </c>
      <c r="CI101" s="135">
        <f>IF(ISNA(VLOOKUP(A101,'Données projet'!$A$113:$I$133,6,0)),0%,VLOOKUP(A101,'Données projet'!$A$113:$I$133,6,0)*VLOOKUP('Données projet'!$B$12,'Paramètres'!$A$1:$I$89,7,0))</f>
        <v>0</v>
      </c>
      <c r="CJ101" s="135">
        <f>IF(ISNA(VLOOKUP(A101,'Données projet'!$A$113:$I$133,7,0)),0%,VLOOKUP(A101,'Données projet'!$A$113:$I$133,7,0))</f>
        <v>0</v>
      </c>
      <c r="CK101" s="142">
        <f>EXP(-LN(2)/35)*CK100+(1-EXP(-LN(2)/35))/(LN(2)/35)*CG101*CH101*VLOOKUP('Données projet'!$B$12,'Paramètres'!$A$1:$I$89,3,0)*0.475*44/12</f>
        <v>121.6608306</v>
      </c>
      <c r="CL101" s="142">
        <f>EXP(-LN(2)/25)*CL100+(1-EXP(-LN(2)/25))/(LN(2)/25)*Calculateur!CG101*Calculateur!CI101*VLOOKUP('Données projet'!$B$12,'Paramètres'!$A$1:$I$89,3,0)*0.475*44/12</f>
        <v>13.78467956</v>
      </c>
      <c r="CM101" s="142">
        <f>EXP(-LN(2)/2)*CM100+(1-EXP(-LN(2)/2))/(LN(2)/2)*CG101*CJ101*VLOOKUP('Données projet'!$B$12,'Paramètres'!$A$1:$I$89,3,0)*0.475*44/12</f>
        <v>0.00002837639652</v>
      </c>
      <c r="CN101" s="143">
        <f t="shared" si="13"/>
        <v>135.4455386</v>
      </c>
      <c r="CO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1" t="str">
        <f>VLOOKUP(A101,'Données projet'!$A$139:$I$159,2,0)</f>
        <v>#N/A</v>
      </c>
      <c r="CR101" s="131" t="str">
        <f>VLOOKUP(A101,'Données projet'!$A$139:$I$159,9,0)</f>
        <v>#N/A</v>
      </c>
      <c r="CS101" s="130">
        <f t="array" ref="CS101">INDEX(CR:CR,MIN(IF(ISNUMBER(CR101:CR297),ROW(CR101:CR297),"")))</f>
        <v>2.3</v>
      </c>
      <c r="CT101" s="138">
        <f>IF('Données projet'!$A$140&gt;35,CT100+CS101-DB100,IF(A101&lt;'Données projet'!$A$140,$CQ$205^A101,IF(A101='Données projet'!$A$140,'Données projet'!$B$140,CT100+CS101-DB100)))</f>
        <v>211.4</v>
      </c>
      <c r="CU101" s="138">
        <f>CT101*VLOOKUP('Données projet'!$B$13,'Paramètres'!$A$1:$I$89,3,0)*VLOOKUP('Données projet'!$B$13,'Paramètres'!$A$1:$I$89,5,0)</f>
        <v>214.3596</v>
      </c>
      <c r="CV101" s="130">
        <f t="shared" si="42"/>
        <v>52.88712572</v>
      </c>
      <c r="CW101" s="141">
        <f t="shared" si="14"/>
        <v>465.454714</v>
      </c>
      <c r="CX101" s="133">
        <f t="shared" si="15"/>
        <v>758.7880473</v>
      </c>
      <c r="CY101" s="133">
        <f>AVERAGE(OFFSET($CX$3,0,0,'Données projet'!$E$13+1,1))-AVERAGE(OFFSET($H$3,0,0,'Données projet'!$E$13+1,1))</f>
        <v>223.783507</v>
      </c>
      <c r="CZ101" s="133">
        <f t="shared" si="43"/>
        <v>84.92349117</v>
      </c>
      <c r="DA101" s="134">
        <f>IF(ISNA(VLOOKUP(A101,'Données projet'!$A$139:$I$159,3,0)),0,VLOOKUP(A101,'Données projet'!$A$139:$I$159,3,0))</f>
        <v>0</v>
      </c>
      <c r="DB101" s="134">
        <f>IF(ISNA(VLOOKUP(A101,'Données projet'!$A$139:$I$159,4,0)),0,VLOOKUP(A101,'Données projet'!$A$139:$I$159,4,0))</f>
        <v>0</v>
      </c>
      <c r="DC101" s="135">
        <f>IF(ISNA(VLOOKUP(A101,'Données projet'!$A$139:$I$159,5,0)),0%,VLOOKUP(A101,'Données projet'!$A$139:$I$159,5,0)*VLOOKUP('Données projet'!$B$13,'Paramètres'!$A$1:$I$89,7,0))</f>
        <v>0</v>
      </c>
      <c r="DD101" s="135">
        <f>IF(ISNA(VLOOKUP(A101,'Données projet'!$A$139:$I$159,6,0)),0%,VLOOKUP(A101,'Données projet'!$A$139:$I$159,6,0)*VLOOKUP('Données projet'!$B$13,'Paramètres'!$A$1:$I$89,7,0))</f>
        <v>0</v>
      </c>
      <c r="DE101" s="135">
        <f>IF(ISNA(VLOOKUP(A101,'Données projet'!$A$139:$I$159,7,0)),0%,VLOOKUP(A101,'Données projet'!$A$139:$I$159,7,0))</f>
        <v>0</v>
      </c>
      <c r="DF101" s="142">
        <f>EXP(-LN(2)/35)*DF100+(1-EXP(-LN(2)/35))/(LN(2)/35)*DB101*DC101*VLOOKUP('Données projet'!$B$13,'Paramètres'!$A$1:$I$89,3,0)*0.475*44/12</f>
        <v>16.85364826</v>
      </c>
      <c r="DG101" s="142">
        <f>EXP(-LN(2)/25)*DG100+(1-EXP(-LN(2)/25))/(LN(2)/25)*Calculateur!DB101*Calculateur!DD101*VLOOKUP('Données projet'!$B$13,'Paramètres'!$A$1:$I$89,3,0)*0.475*44/12</f>
        <v>0</v>
      </c>
      <c r="DH101" s="142">
        <f>EXP(-LN(2)/2)*DH100+(1-EXP(-LN(2)/2))/(LN(2)/2)*DB101*DE101*VLOOKUP('Données projet'!$B$13,'Paramètres'!$A$1:$I$89,3,0)*0.475*44/12</f>
        <v>0</v>
      </c>
      <c r="DI101" s="143">
        <f t="shared" si="16"/>
        <v>16.85364826</v>
      </c>
      <c r="DJ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1" t="str">
        <f>VLOOKUP(A101,'Données projet'!$A$165:$I$185,2,0)</f>
        <v>#N/A</v>
      </c>
      <c r="DM101" s="131" t="str">
        <f>VLOOKUP(A101,'Données projet'!$A$165:$I$185,9,0)</f>
        <v>#N/A</v>
      </c>
      <c r="DN101" s="131">
        <f t="array" ref="DN101">INDEX(DM:DM,MIN(IF(ISNUMBER(DM101:DM297),ROW(DM101:DM297),"")))</f>
        <v>2.8</v>
      </c>
      <c r="DO101" s="138">
        <f>IF('Données projet'!$A$166&gt;35,DO100+DN101-DW100,IF(A101&lt;'Données projet'!$A$166,$DL$205^A101,IF(A101='Données projet'!$A$166,'Données projet'!$B$166,DO100+DN101-DW100)))</f>
        <v>276.4</v>
      </c>
      <c r="DP101" s="138">
        <f>DO101*VLOOKUP('Données projet'!$B$14,'Paramètres'!$A$1:$I$89,3,0)*VLOOKUP('Données projet'!$B$14,'Paramètres'!$A$1:$I$89,5,0)</f>
        <v>250.08672</v>
      </c>
      <c r="DQ101" s="130">
        <f t="shared" si="44"/>
        <v>60.60451026</v>
      </c>
      <c r="DR101" s="141">
        <f t="shared" si="17"/>
        <v>541.1205594</v>
      </c>
      <c r="DS101" s="133">
        <f t="shared" si="18"/>
        <v>834.4538927</v>
      </c>
      <c r="DT101" s="133">
        <f>AVERAGE(OFFSET($DS$3,0,0,'Données projet'!$E$14+1,1))-AVERAGE(OFFSET($H$3,0,0,'Données projet'!$E$14+1,1))</f>
        <v>287.9334714</v>
      </c>
      <c r="DU101" s="133">
        <f t="shared" si="45"/>
        <v>156.6796502</v>
      </c>
      <c r="DV101" s="134">
        <f>IF(ISNA(VLOOKUP(A101,'Données projet'!$A$165:$I$185,3,0)),0,VLOOKUP(A101,'Données projet'!$A$165:$I$185,3,0))</f>
        <v>0</v>
      </c>
      <c r="DW101" s="134">
        <f>IF(ISNA(VLOOKUP(A101,'Données projet'!$A$165:$I$185,4,0)),0,VLOOKUP(A101,'Données projet'!$A$165:$I$185,4,0))</f>
        <v>0</v>
      </c>
      <c r="DX101" s="135">
        <f>IF(ISNA(VLOOKUP(A101,'Données projet'!$A$165:$I$185,5,0)),0%,VLOOKUP(A101,'Données projet'!$A$165:$I$185,5,0)*VLOOKUP('Données projet'!$B$14,'Paramètres'!$A$1:$I$89,7,0))</f>
        <v>0</v>
      </c>
      <c r="DY101" s="135">
        <f>IF(ISNA(VLOOKUP(A101,'Données projet'!$A$165:$I$185,6,0)),0%,VLOOKUP(A101,'Données projet'!$A$165:$I$185,6,0)*VLOOKUP('Données projet'!$B$14,'Paramètres'!$A$1:$I$89,7,0))</f>
        <v>0</v>
      </c>
      <c r="DZ101" s="135">
        <f>IF(ISNA(VLOOKUP(A101,'Données projet'!$A$165:$I$185,7,0)),0%,VLOOKUP(A101,'Données projet'!$A$165:$I$185,7,0))</f>
        <v>0</v>
      </c>
      <c r="EA101" s="142">
        <f>EXP(-LN(2)/35)*EA100+(1-EXP(-LN(2)/35))/(LN(2)/35)*DW101*DX101*VLOOKUP('Données projet'!$B$14,'Paramètres'!$A$1:$I$89,3,0)*0.475*44/12</f>
        <v>25.82736136</v>
      </c>
      <c r="EB101" s="142">
        <f>EXP(-LN(2)/25)*EB100+(1-EXP(-LN(2)/25))/(LN(2)/25)*Calculateur!DW101*Calculateur!DY101*VLOOKUP('Données projet'!$B$14,'Paramètres'!$A$1:$I$89,3,0)*0.475*44/12</f>
        <v>0</v>
      </c>
      <c r="EC101" s="142">
        <f>EXP(-LN(2)/2)*EC100+(1-EXP(-LN(2)/2))/(LN(2)/2)*DW101*DZ101*VLOOKUP('Données projet'!$B$14,'Paramètres'!$A$1:$I$89,3,0)*0.475*44/12</f>
        <v>0</v>
      </c>
      <c r="ED101" s="143">
        <f t="shared" si="19"/>
        <v>25.82736136</v>
      </c>
      <c r="EE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1" t="str">
        <f>VLOOKUP(A101,'Données projet'!$A$191:$I$211,2,0)</f>
        <v>#N/A</v>
      </c>
      <c r="EH101" s="131" t="str">
        <f>VLOOKUP(A101,'Données projet'!$A$191:$I$211,9,0)</f>
        <v>#N/A</v>
      </c>
      <c r="EI101" s="131" t="str">
        <f t="array" ref="EI101">INDEX(EH:EH,MIN(IF(ISNUMBER(EH101:EH297),ROW(EH101:EH297),"")))</f>
        <v/>
      </c>
      <c r="EJ101" s="138">
        <f>IF('Données projet'!$A$192&gt;35,EJ100+EI101-ER100,IF(A101&lt;'Données projet'!$A$192,$EG$205^A101,IF(A101='Données projet'!$A$192,'Données projet'!$B$192,EJ100+EI101-ER100)))</f>
        <v>0</v>
      </c>
      <c r="EK101" s="138">
        <f>EJ101*VLOOKUP('Données projet'!$B$15,'Paramètres'!$A$1:$I$89,3,0)*VLOOKUP('Données projet'!$B$15,'Paramètres'!$A$1:$I$89,5,0)</f>
        <v>0</v>
      </c>
      <c r="EL101" s="130" t="str">
        <f t="shared" si="46"/>
        <v>#NUM!</v>
      </c>
      <c r="EM101" s="141" t="str">
        <f t="shared" si="20"/>
        <v>#NUM!</v>
      </c>
      <c r="EN101" s="133" t="str">
        <f t="shared" si="21"/>
        <v>#NUM!</v>
      </c>
      <c r="EO101" s="133">
        <f>AVERAGE(OFFSET($EN$3,0,0,'Données projet'!$E$15+1,1))-AVERAGE(OFFSET($H$3,0,0,'Données projet'!$E$15+1,1))</f>
        <v>130.3193339</v>
      </c>
      <c r="EP101" s="133">
        <f t="shared" si="47"/>
        <v>82.22784365</v>
      </c>
      <c r="EQ101" s="134">
        <f>IF(ISNA(VLOOKUP(A101,'Données projet'!$A$191:$I$211,3,0)),0,VLOOKUP(A101,'Données projet'!$A$191:$I$211,3,0))</f>
        <v>0</v>
      </c>
      <c r="ER101" s="134">
        <f>IF(ISNA(VLOOKUP(A101,'Données projet'!$A$191:$I$211,4,0)),0,VLOOKUP(A101,'Données projet'!$A$191:$I$211,4,0))</f>
        <v>0</v>
      </c>
      <c r="ES101" s="135">
        <f>IF(ISNA(VLOOKUP(A101,'Données projet'!$A$191:$I$211,5,0)),0%,VLOOKUP(A101,'Données projet'!$A$191:$I$211,5,0)*VLOOKUP('Données projet'!$B$15,'Paramètres'!$A$1:$I$89,7,0))</f>
        <v>0</v>
      </c>
      <c r="ET101" s="135">
        <f>IF(ISNA(VLOOKUP(A101,'Données projet'!$A$191:$I$211,6,0)),0%,VLOOKUP(A101,'Données projet'!$A$191:$I$211,6,0)*VLOOKUP('Données projet'!$B$15,'Paramètres'!$A$1:$I$89,7,0))</f>
        <v>0</v>
      </c>
      <c r="EU101" s="135">
        <f>IF(ISNA(VLOOKUP(A101,'Données projet'!$A$191:$I$211,7,0)),0%,VLOOKUP(A101,'Données projet'!$A$191:$I$211,7,0))</f>
        <v>0</v>
      </c>
      <c r="EV101" s="142">
        <f>EXP(-LN(2)/35)*EV100+(1-EXP(-LN(2)/35))/(LN(2)/35)*ER101*ES101*VLOOKUP('Données projet'!$B$15,'Paramètres'!$A$1:$I$89,3,0)*0.475*44/12</f>
        <v>74.39308109</v>
      </c>
      <c r="EW101" s="142">
        <f>EXP(-LN(2)/25)*EW100+(1-EXP(-LN(2)/25))/(LN(2)/25)*Calculateur!ER101*Calculateur!ET101*VLOOKUP('Données projet'!$B$15,'Paramètres'!$A$1:$I$89,3,0)*0.475*44/12</f>
        <v>0</v>
      </c>
      <c r="EX101" s="142">
        <f>EXP(-LN(2)/2)*EX100+(1-EXP(-LN(2)/2))/(LN(2)/2)*ER101*EU101*VLOOKUP('Données projet'!$B$15,'Paramètres'!$A$1:$I$89,3,0)*0.475*44/12</f>
        <v>0</v>
      </c>
      <c r="EY101" s="143">
        <f t="shared" si="22"/>
        <v>74.39308109</v>
      </c>
      <c r="EZ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1" t="str">
        <f>VLOOKUP(A101,'Données projet'!$A$217:$I$237,2,0)</f>
        <v>#N/A</v>
      </c>
      <c r="FC101" s="131" t="str">
        <f>VLOOKUP(A101,'Données projet'!$A$217:$I$237,9,0)</f>
        <v>#N/A</v>
      </c>
      <c r="FD101" s="131" t="str">
        <f t="array" ref="FD101">INDEX(FC:FC,MIN(IF(ISNUMBER(FC101:FC297),ROW(FC101:FC297),"")))</f>
        <v/>
      </c>
      <c r="FE101" s="130">
        <f>IF('Données projet'!$A$218&gt;35,FE100+FD101-FM100,IF(A101&lt;'Données projet'!$A$218,$FB$205^A101,IF(A101='Données projet'!$A$218,'Données projet'!$B$218,FE100+FD101-FM100)))</f>
        <v>0</v>
      </c>
      <c r="FF101" s="138">
        <f>FE101*VLOOKUP('Données projet'!$B$16,'Paramètres'!$A$1:$I$89,3,0)*VLOOKUP('Données projet'!$B$16,'Paramètres'!$A$1:$I$89,5,0)</f>
        <v>0</v>
      </c>
      <c r="FG101" s="130">
        <f t="shared" si="48"/>
        <v>0</v>
      </c>
      <c r="FH101" s="141">
        <f t="shared" si="23"/>
        <v>0</v>
      </c>
      <c r="FI101" s="133">
        <f t="shared" si="24"/>
        <v>293.3333333</v>
      </c>
      <c r="FJ101" s="133">
        <f>AVERAGE(OFFSET($FI$3,0,0,'Données projet'!$E$16+1,1))-AVERAGE(OFFSET($H$3,0,0,'Données projet'!$E$16+1,1))</f>
        <v>305.6252353</v>
      </c>
      <c r="FK101" s="133">
        <f t="shared" si="49"/>
        <v>331.397916</v>
      </c>
      <c r="FL101" s="134">
        <f>IF(ISNA(VLOOKUP(A101,'Données projet'!$A$217:$I$237,3,0)),0,VLOOKUP(A101,'Données projet'!$A$217:$I$237,3,0))</f>
        <v>0</v>
      </c>
      <c r="FM101" s="134">
        <f>IF(ISNA(VLOOKUP(A101,'Données projet'!$A$217:$I$237,4,0)),0,VLOOKUP(A101,'Données projet'!$A$217:$I$237,4,0))</f>
        <v>0</v>
      </c>
      <c r="FN101" s="135">
        <f>IF(ISNA(VLOOKUP(A101,'Données projet'!$A$217:$I$237,5,0)),0%,VLOOKUP(A101,'Données projet'!$A$217:$I$237,5,0)*VLOOKUP('Données projet'!$B$16,'Paramètres'!$A$1:$I$89,7,0))</f>
        <v>0</v>
      </c>
      <c r="FO101" s="135">
        <f>IF(ISNA(VLOOKUP(A101,'Données projet'!$A$217:$I$237,6,0)),0%,VLOOKUP(A101,'Données projet'!$A$217:$I$237,6,0)*VLOOKUP('Données projet'!$B$16,'Paramètres'!$A$1:$I$89,7,0))</f>
        <v>0</v>
      </c>
      <c r="FP101" s="135">
        <f>IF(ISNA(VLOOKUP(A101,'Données projet'!$A$217:$I$237,7,0)),0%,VLOOKUP(A101,'Données projet'!$A$217:$I$237,7,0))</f>
        <v>0</v>
      </c>
      <c r="FQ101" s="142">
        <f>EXP(-LN(2)/35)*FQ100+(1-EXP(-LN(2)/35))/(LN(2)/35)*FM101*FN101*VLOOKUP('Données projet'!$B$16,'Paramètres'!$A$1:$I$89,3,0)*0.475*44/12</f>
        <v>46.31935555</v>
      </c>
      <c r="FR101" s="142">
        <f>EXP(-LN(2)/25)*FR100+(1-EXP(-LN(2)/25))/(LN(2)/25)*Calculateur!FM101*Calculateur!FO101*VLOOKUP('Données projet'!$B$16,'Paramètres'!$A$1:$I$89,3,0)*0.475*44/12</f>
        <v>0</v>
      </c>
      <c r="FS101" s="142">
        <f>EXP(-LN(2)/2)*FS100+(1-EXP(-LN(2)/2))/(LN(2)/2)*FM101*FP101*VLOOKUP('Données projet'!$B$16,'Paramètres'!$A$1:$I$89,3,0)*0.475*44/12</f>
        <v>0</v>
      </c>
      <c r="FT101" s="143">
        <f t="shared" si="25"/>
        <v>46.31935555</v>
      </c>
      <c r="FU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1" t="str">
        <f>VLOOKUP(A101,'Données projet'!$A$243:$I$263,2,0)</f>
        <v>#N/A</v>
      </c>
      <c r="FX101" s="131" t="str">
        <f>VLOOKUP(A101,'Données projet'!$A$243:$I$263,9,0)</f>
        <v>#N/A</v>
      </c>
      <c r="FY101" s="131" t="str">
        <f t="array" ref="FY101">INDEX(FX:FX,MIN(IF(ISNUMBER(FX101:FX297),ROW(FX101:FX297),"")))</f>
        <v/>
      </c>
      <c r="FZ101" s="138">
        <f>IF('Données projet'!$A$244&gt;35,FZ100+FY101-GH100,IF(A101&lt;'Données projet'!$A$244,$FW$205^A101,IF(A101='Données projet'!$A$244,'Données projet'!$B$244,FZ100+FY101-GH100)))</f>
        <v>0</v>
      </c>
      <c r="GA101" s="138">
        <f>FZ101*VLOOKUP('Données projet'!$B$17,'Paramètres'!$A$1:$I$89,3,0)*VLOOKUP('Données projet'!$B$17,'Paramètres'!$A$1:$I$89,5,0)</f>
        <v>0</v>
      </c>
      <c r="GB101" s="130">
        <f t="shared" si="50"/>
        <v>0</v>
      </c>
      <c r="GC101" s="141">
        <f t="shared" si="26"/>
        <v>0</v>
      </c>
      <c r="GD101" s="133">
        <f t="shared" si="27"/>
        <v>293.3333333</v>
      </c>
      <c r="GE101" s="133">
        <f>AVERAGE(OFFSET($GD$3,0,0,'Données projet'!$E$17+1,1))-AVERAGE(OFFSET($H$3,0,0,'Données projet'!$E$17+1,1))</f>
        <v>118.7368745</v>
      </c>
      <c r="GF101" s="133">
        <f t="shared" si="51"/>
        <v>135.1233677</v>
      </c>
      <c r="GG101" s="134">
        <f>IF(ISNA(VLOOKUP(A101,'Données projet'!$A$243:$I$263,3,0)),0,VLOOKUP(A101,'Données projet'!$A$243:$I$263,3,0))</f>
        <v>0</v>
      </c>
      <c r="GH101" s="134">
        <f>IF(ISNA(VLOOKUP(A101,'Données projet'!$A$243:$I$263,4,0)),0,VLOOKUP(A101,'Données projet'!$A$243:$I$263,4,0))</f>
        <v>0</v>
      </c>
      <c r="GI101" s="135">
        <f>IF(ISNA(VLOOKUP(A101,'Données projet'!$A$243:$I$263,5,0)),0%,VLOOKUP(A101,'Données projet'!$A$243:$I$263,5,0)*VLOOKUP('Données projet'!$B$17,'Paramètres'!$A$1:$I$89,7,0))</f>
        <v>0</v>
      </c>
      <c r="GJ101" s="135">
        <f>IF(ISNA(VLOOKUP(A101,'Données projet'!$A$243:$I$263,6,0)),0%,VLOOKUP(A101,'Données projet'!$A$243:$I$263,6,0)*VLOOKUP('Données projet'!$B$17,'Paramètres'!$A$1:$I$89,7,0))</f>
        <v>0</v>
      </c>
      <c r="GK101" s="135">
        <f>IF(ISNA(VLOOKUP(A101,'Données projet'!$A$243:$I$263,7,0)),0%,VLOOKUP(A101,'Données projet'!$A$243:$I$263,7,0))</f>
        <v>0</v>
      </c>
      <c r="GL101" s="142">
        <f>EXP(-LN(2)/35)*GL100+(1-EXP(-LN(2)/35))/(LN(2)/35)*GH101*GI101*VLOOKUP('Données projet'!$B$17,'Paramètres'!$A$1:$I$89,3,0)*0.475*44/12</f>
        <v>48.93625589</v>
      </c>
      <c r="GM101" s="142">
        <f>EXP(-LN(2)/25)*GM100+(1-EXP(-LN(2)/25))/(LN(2)/25)*Calculateur!GH101*Calculateur!GJ101*VLOOKUP('Données projet'!$B$17,'Paramètres'!$A$1:$I$89,3,0)*0.475*44/12</f>
        <v>0</v>
      </c>
      <c r="GN101" s="142">
        <f>EXP(-LN(2)/2)*GN100+(1-EXP(-LN(2)/2))/(LN(2)/2)*GH101*GK101*VLOOKUP('Données projet'!$B$17,'Paramètres'!$A$1:$I$89,3,0)*0.475*44/12</f>
        <v>0</v>
      </c>
      <c r="GO101" s="142">
        <f t="shared" si="28"/>
        <v>48.93625589</v>
      </c>
      <c r="GP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1" t="str">
        <f>VLOOKUP(A101,'Données projet'!$A$269:$I$289,2,0)</f>
        <v>#N/A</v>
      </c>
      <c r="GS101" s="131" t="str">
        <f>VLOOKUP(A101,'Données projet'!$A$269:$I$289,9,0)</f>
        <v>#N/A</v>
      </c>
      <c r="GT101" s="131" t="str">
        <f t="array" ref="GT101">INDEX(GS:GS,MIN(IF(ISNUMBER(GS101:GS297),ROW(GS101:GS297),"")))</f>
        <v/>
      </c>
      <c r="GU101" s="138">
        <f>IF('Données projet'!$A$270&gt;35,GU100+GT101-HC100,IF(A101&lt;'Données projet'!$A$270,$GR$205^A101,IF(A101='Données projet'!$A$270,'Données projet'!$B$270,GU100+GT101-HC100)))</f>
        <v>0</v>
      </c>
      <c r="GV101" s="138">
        <f>GU101*VLOOKUP('Données projet'!$B$18,'Paramètres'!$A$1:$I$89,3,0)*VLOOKUP('Données projet'!$B$18,'Paramètres'!$A$1:$I$89,5,0)</f>
        <v>0</v>
      </c>
      <c r="GW101" s="130" t="str">
        <f t="shared" si="52"/>
        <v>#NUM!</v>
      </c>
      <c r="GX101" s="141" t="str">
        <f t="shared" si="29"/>
        <v>#NUM!</v>
      </c>
      <c r="GY101" s="133" t="str">
        <f t="shared" si="30"/>
        <v>#NUM!</v>
      </c>
      <c r="GZ101" s="133">
        <f>AVERAGE(OFFSET($GY$3,0,0,'Données projet'!$E$18+1,1))-AVERAGE(OFFSET($H$3,0,0,'Données projet'!$E$18+1,1))</f>
        <v>100.5427875</v>
      </c>
      <c r="HA101" s="133">
        <f t="shared" si="53"/>
        <v>92.28663609</v>
      </c>
      <c r="HB101" s="134">
        <f>IF(ISNA(VLOOKUP(A101,'Données projet'!$A$269:$I$289,3,0)),0,VLOOKUP(A101,'Données projet'!$A$269:$I$289,3,0))</f>
        <v>0</v>
      </c>
      <c r="HC101" s="134">
        <f>IF(ISNA(VLOOKUP(A101,'Données projet'!$A$269:$I$289,4,0)),0,VLOOKUP(A101,'Données projet'!$A$269:$I$289,4,0))</f>
        <v>0</v>
      </c>
      <c r="HD101" s="135">
        <f>IF(ISNA(VLOOKUP(A101,'Données projet'!$A$269:$I$289,5,0)),0%,VLOOKUP(A101,'Données projet'!$A$269:$I$289,5,0)*VLOOKUP('Données projet'!$B$18,'Paramètres'!$A$1:$I$89,7,0))</f>
        <v>0</v>
      </c>
      <c r="HE101" s="135">
        <f>IF(ISNA(VLOOKUP(A101,'Données projet'!$A$269:$I$289,6,0)),0%,VLOOKUP(A101,'Données projet'!$A$269:$I$289,6,0)*VLOOKUP('Données projet'!$B$18,'Paramètres'!$A$1:$I$89,7,0))</f>
        <v>0</v>
      </c>
      <c r="HF101" s="135">
        <f>IF(ISNA(VLOOKUP(A101,'Données projet'!$A$269:$I$289,7,0)),0%,VLOOKUP(A101,'Données projet'!$A$269:$I$289,7,0))</f>
        <v>0</v>
      </c>
      <c r="HG101" s="142">
        <f>EXP(-LN(2)/35)*HG100+(1-EXP(-LN(2)/35))/(LN(2)/35)*HC101*HD101*VLOOKUP('Données projet'!$B$18,'Paramètres'!$A$1:$I$89,3,0)*0.475*44/12</f>
        <v>33.3245579</v>
      </c>
      <c r="HH101" s="142">
        <f>EXP(-LN(2)/25)*HH100+(1-EXP(-LN(2)/25))/(LN(2)/25)*Calculateur!HC101*Calculateur!HE101*VLOOKUP('Données projet'!$B$18,'Paramètres'!$A$1:$I$89,3,0)*0.475*44/12</f>
        <v>0</v>
      </c>
      <c r="HI101" s="142">
        <f>EXP(-LN(2)/2)*HI100+(1-EXP(-LN(2)/2))/(LN(2)/2)*HC101*HF101*VLOOKUP('Données projet'!$B$18,'Paramètres'!$A$1:$I$89,3,0)*0.475*44/12</f>
        <v>0</v>
      </c>
      <c r="HJ101" s="143">
        <f t="shared" si="31"/>
        <v>33.3245579</v>
      </c>
    </row>
    <row r="102" ht="15.75" customHeight="1">
      <c r="A102" s="125">
        <f t="shared" si="32"/>
        <v>99</v>
      </c>
      <c r="B102" s="126">
        <f>'Scénario référence'!$B$16*5+'Scénario référence'!$B$17*0+'Scénario référence'!$B$18*5</f>
        <v>0</v>
      </c>
      <c r="C102" s="140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54.054</v>
      </c>
      <c r="D102" s="127">
        <f t="shared" si="33"/>
        <v>15.65592535</v>
      </c>
      <c r="E10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7">
        <f>IF(OR('Scénario référence'!$F$8&gt;0,'Scénario référence'!$F$9&gt;0),('Scénario référence'!$F$8+'Scénario référence'!$F$9)*10,0)</f>
        <v>10</v>
      </c>
      <c r="G102" s="127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538.1117045</v>
      </c>
      <c r="H102" s="128">
        <f t="shared" si="1"/>
        <v>414.7447867</v>
      </c>
      <c r="I102" s="12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1" t="str">
        <f>VLOOKUP(A102,'Données projet'!$A$35:$I$55,2,0)</f>
        <v>#N/A</v>
      </c>
      <c r="L102" s="131" t="str">
        <f>VLOOKUP(A102,'Données projet'!$A$35:$I$55,9,0)</f>
        <v>#N/A</v>
      </c>
      <c r="M102" s="131" t="str">
        <f t="array" ref="M102">INDEX(L:L,MIN(IF(ISNUMBER(L102:L298),ROW(L102:L298),"")))</f>
        <v/>
      </c>
      <c r="N102" s="130">
        <f>IF('Données projet'!$A$36&gt;35,N101+M102-V101,IF(A102&lt;'Données projet'!$A$36,$K$205^A102,IF(A102='Données projet'!$A$36,'Données projet'!$B$36,N101+M102-V101)))</f>
        <v>0</v>
      </c>
      <c r="O102" s="130">
        <f>N102*VLOOKUP('Données projet'!$B$9,'Paramètres'!$A$1:$I$89,3,0)*VLOOKUP('Données projet'!$B$9,'Paramètres'!$A$1:$I$89,5,0)</f>
        <v>0</v>
      </c>
      <c r="P102" s="130">
        <f t="shared" si="34"/>
        <v>0</v>
      </c>
      <c r="Q102" s="141">
        <f t="shared" si="2"/>
        <v>0</v>
      </c>
      <c r="R102" s="133">
        <f t="shared" si="3"/>
        <v>293.3333333</v>
      </c>
      <c r="S102" s="133">
        <f>AVERAGE(OFFSET($R$3,0,0,'Données projet'!$E$9+1,1))-AVERAGE(OFFSET($H$3,0,0,'Données projet'!$E$9+1,1))</f>
        <v>126.9946492</v>
      </c>
      <c r="T102" s="133">
        <f t="shared" si="35"/>
        <v>140.039049</v>
      </c>
      <c r="U102" s="134">
        <f>IF(ISNA(VLOOKUP(A102,'Données projet'!$A$35:$I$55,3,0)),0,VLOOKUP(A102,'Données projet'!$A$35:$I$55,3,0))</f>
        <v>0</v>
      </c>
      <c r="V102" s="134">
        <f>IF(ISNA(VLOOKUP(A102,'Données projet'!$A$35:$I$55,4,0)),0,VLOOKUP(A102,'Données projet'!$A$35:$I$55,4,0))</f>
        <v>0</v>
      </c>
      <c r="W102" s="135">
        <f>IF(ISNA(VLOOKUP(A102,'Données projet'!$A$35:$I$55,5,0)),0%,VLOOKUP(A102,'Données projet'!$A$35:$I$55,5,0)*VLOOKUP('Données projet'!$B$9,'Paramètres'!$A$1:$I$89,7,0))</f>
        <v>0</v>
      </c>
      <c r="X102" s="135">
        <f>IF(ISNA(VLOOKUP(A102,'Données projet'!$A$35:$I$55,6,0)),0%,VLOOKUP(A102,'Données projet'!$A$35:$I$55,6,0)*VLOOKUP('Données projet'!$B$9,'Paramètres'!$A$1:$I$89,7,0))</f>
        <v>0</v>
      </c>
      <c r="Y102" s="135">
        <f>IF(ISNA(VLOOKUP(A102,'Données projet'!$A$35:$I$55,7,0)),0%,VLOOKUP(A102,'Données projet'!$A$35:$I$55,7,0))</f>
        <v>0</v>
      </c>
      <c r="Z102" s="142">
        <f>EXP(-LN(2)/35)*Z101+(1-EXP(-LN(2)/35))/(LN(2)/35)*V102*W102*VLOOKUP('Données projet'!$B$9,'Paramètres'!$A$1:$I$89,3,0)*0.475*44/12</f>
        <v>49.06942885</v>
      </c>
      <c r="AA102" s="142">
        <f>EXP(-LN(2)/25)*AA101+(1-EXP(-LN(2)/25))/(LN(2)/25)*Calculateur!V102*Calculateur!X102*VLOOKUP('Données projet'!$B$9,'Paramètres'!$A$1:$I$89,3,0)*0.475*44/12</f>
        <v>7.881412404</v>
      </c>
      <c r="AB102" s="142">
        <f>EXP(-LN(2)/2)*AB101+(1-EXP(-LN(2)/2))/(LN(2)/2)*V102*Y102*VLOOKUP('Données projet'!$B$9,'Paramètres'!$A$1:$I$89,3,0)*0.475*44/12</f>
        <v>0.00002561094886</v>
      </c>
      <c r="AC102" s="143">
        <f t="shared" si="4"/>
        <v>56.95086686</v>
      </c>
      <c r="AD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1" t="str">
        <f>VLOOKUP(A102,'Données projet'!$A$61:$I$81,2,0)</f>
        <v>#N/A</v>
      </c>
      <c r="AG102" s="131" t="str">
        <f>VLOOKUP(A102,'Données projet'!$A$61:$I$81,9,0)</f>
        <v>#N/A</v>
      </c>
      <c r="AH102" s="131" t="str">
        <f t="array" ref="AH102">INDEX(AG:AG,MIN(IF(ISNUMBER(AG102:AG298),ROW(AG102:AG298),"")))</f>
        <v/>
      </c>
      <c r="AI102" s="130">
        <f>IF('Données projet'!$A$62&gt;35,AI101+AH102-AQ101,IF(A102&lt;'Données projet'!$A$62,$AF$205^A102,IF(A102='Données projet'!$A$62,'Données projet'!$B$62,AI101+AH102-AQ101)))</f>
        <v>0</v>
      </c>
      <c r="AJ102" s="130">
        <f>AI102*VLOOKUP('Données projet'!$B$10,'Paramètres'!$A$1:$I$89,3,0)*VLOOKUP('Données projet'!$B$10,'Paramètres'!$A$1:$I$89,5,0)</f>
        <v>0</v>
      </c>
      <c r="AK102" s="130" t="str">
        <f t="shared" si="36"/>
        <v>#NUM!</v>
      </c>
      <c r="AL102" s="141" t="str">
        <f t="shared" si="5"/>
        <v>#NUM!</v>
      </c>
      <c r="AM102" s="133" t="str">
        <f t="shared" si="6"/>
        <v>#NUM!</v>
      </c>
      <c r="AN102" s="133">
        <f>AVERAGE(OFFSET($AM$3,0,0,'Données projet'!$E$10+1,1))-AVERAGE(OFFSET($H$3,0,0,'Données projet'!$E$10+1,1))</f>
        <v>196.874484</v>
      </c>
      <c r="AO102" s="133">
        <f t="shared" si="37"/>
        <v>217.5750859</v>
      </c>
      <c r="AP102" s="134">
        <f>IF(ISNA(VLOOKUP(A102,'Données projet'!$A$61:$I$81,3,0)),0,VLOOKUP(A102,'Données projet'!$A$61:$I$81,3,0))</f>
        <v>0</v>
      </c>
      <c r="AQ102" s="134">
        <f>IF(ISNA(VLOOKUP(A102,'Données projet'!$A$61:$I$81,4,0)),0,VLOOKUP(A102,'Données projet'!$A$61:$I$81,4,0))</f>
        <v>0</v>
      </c>
      <c r="AR102" s="135">
        <f>IF(ISNA(VLOOKUP(A102,'Données projet'!$A$61:$I$81,5,0)),0%,VLOOKUP(A102,'Données projet'!$A$61:$I$81,5,0)*VLOOKUP('Données projet'!$B$10,'Paramètres'!$A$1:$I$89,7,0))</f>
        <v>0</v>
      </c>
      <c r="AS102" s="135">
        <f>IF(ISNA(VLOOKUP(A102,'Données projet'!$A$61:$I$81,6,0)),0%,VLOOKUP(A102,'Données projet'!$A$61:$I$81,6,0)*VLOOKUP('Données projet'!$B$10,'Paramètres'!$A$1:$I$89,7,0))</f>
        <v>0</v>
      </c>
      <c r="AT102" s="135">
        <f>IF(ISNA(VLOOKUP(A102,'Données projet'!$A$61:$I$81,7,0)),0%,VLOOKUP(A102,'Données projet'!$A$61:$I$81,7,0))</f>
        <v>0</v>
      </c>
      <c r="AU102" s="142">
        <f>EXP(-LN(2)/35)*AU101+(1-EXP(-LN(2)/35))/(LN(2)/35)*AQ102*AR102*VLOOKUP('Données projet'!$B$10,'Paramètres'!$A$1:$I$89,3,0)*0.475*44/12</f>
        <v>68.20511234</v>
      </c>
      <c r="AV102" s="142">
        <f>EXP(-LN(2)/25)*AV101+(1-EXP(-LN(2)/25))/(LN(2)/25)*Calculateur!AQ102*Calculateur!AS102*VLOOKUP('Données projet'!$B$10,'Paramètres'!$A$1:$I$89,3,0)*0.475*44/12</f>
        <v>12.1176821</v>
      </c>
      <c r="AW102" s="142">
        <f>EXP(-LN(2)/2)*AW101+(1-EXP(-LN(2)/2))/(LN(2)/2)*AQ102*AT102*VLOOKUP('Données projet'!$B$10,'Paramètres'!$A$1:$I$89,3,0)*0.475*44/12</f>
        <v>0.0000357070399</v>
      </c>
      <c r="AX102" s="142">
        <f t="shared" si="7"/>
        <v>80.32283015</v>
      </c>
      <c r="AY102" s="13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1" t="str">
        <f>VLOOKUP(A102,'Données projet'!$A$87:$I$107,2,0)</f>
        <v>#N/A</v>
      </c>
      <c r="BB102" s="131" t="str">
        <f>VLOOKUP(A102,'Données projet'!$A$87:$I$107,9,0)</f>
        <v>#N/A</v>
      </c>
      <c r="BC102" s="131" t="str">
        <f t="array" ref="BC102">INDEX(BB:BB,MIN(IF(ISNUMBER(BB102:BB298),ROW(BB102:BB298),"")))</f>
        <v/>
      </c>
      <c r="BD102" s="130">
        <f>IF('Données projet'!$A$88&gt;35,BD101+BC102-BL101,IF(A102&lt;'Données projet'!$A$88,$BA$205^A102,IF(A102='Données projet'!$A$88,'Données projet'!$B$88,BD101+BC102-BL101)))</f>
        <v>0</v>
      </c>
      <c r="BE102" s="130">
        <f>BD102*VLOOKUP('Données projet'!$B$11,'Paramètres'!$A$1:$I$89,3,0)*VLOOKUP('Données projet'!$B$11,'Paramètres'!$A$1:$I$89,5,0)</f>
        <v>0</v>
      </c>
      <c r="BF102" s="130" t="str">
        <f t="shared" si="38"/>
        <v>#NUM!</v>
      </c>
      <c r="BG102" s="141" t="str">
        <f t="shared" si="8"/>
        <v>#NUM!</v>
      </c>
      <c r="BH102" s="133" t="str">
        <f t="shared" si="9"/>
        <v>#NUM!</v>
      </c>
      <c r="BI102" s="133">
        <f>AVERAGE(OFFSET($BH$3,0,0,'Données projet'!$E$11+1,1))-AVERAGE(OFFSET($H$3,0,0,'Données projet'!$E$11+1,1))</f>
        <v>134.0948534</v>
      </c>
      <c r="BJ102" s="133">
        <f t="shared" si="39"/>
        <v>108.4102536</v>
      </c>
      <c r="BK102" s="134">
        <f>IF(ISNA(VLOOKUP(A102,'Données projet'!$A$87:$I$107,3,0)),0,VLOOKUP(A102,'Données projet'!$A$87:$I$107,3,0))</f>
        <v>0</v>
      </c>
      <c r="BL102" s="134">
        <f>IF(ISNA(VLOOKUP(A102,'Données projet'!$A$87:$I$107,4,0)),0,VLOOKUP(A102,'Données projet'!$A$87:$I$107,4,0))</f>
        <v>0</v>
      </c>
      <c r="BM102" s="135">
        <f>IF(ISNA(VLOOKUP(A102,'Données projet'!$A$87:$I$107,5,0)),0%,VLOOKUP(A102,'Données projet'!$A$87:$I$107,5,0)*VLOOKUP('Données projet'!$B$11,'Paramètres'!$A$1:$I$89,7,0))</f>
        <v>0</v>
      </c>
      <c r="BN102" s="135">
        <f>IF(ISNA(VLOOKUP(A102,'Données projet'!$A$87:$I$107,6,0)),0%,VLOOKUP(A102,'Données projet'!$A$87:$I$107,6,0)*VLOOKUP('Données projet'!$B$11,'Paramètres'!$A$1:$I$89,7,0))</f>
        <v>0</v>
      </c>
      <c r="BO102" s="135">
        <f>IF(ISNA(VLOOKUP(A102,'Données projet'!$A$87:$I$107,7,0)),0%,VLOOKUP(A102,'Données projet'!$A$87:$I$107,7,0))</f>
        <v>0</v>
      </c>
      <c r="BP102" s="142">
        <f>EXP(-LN(2)/35)*BP101+(1-EXP(-LN(2)/35))/(LN(2)/35)*BL102*BM102*VLOOKUP('Données projet'!$B$11,'Paramètres'!$A$1:$I$89,3,0)*0.475*44/12</f>
        <v>94.34040824</v>
      </c>
      <c r="BQ102" s="142">
        <f>EXP(-LN(2)/25)*BQ101+(1-EXP(-LN(2)/25))/(LN(2)/25)*Calculateur!BL102*Calculateur!BN102*VLOOKUP('Données projet'!$B$11,'Paramètres'!$A$1:$I$89,3,0)*0.475*44/12</f>
        <v>7.643844273</v>
      </c>
      <c r="BR102" s="142">
        <f>EXP(-LN(2)/2)*BR101+(1-EXP(-LN(2)/2))/(LN(2)/2)*BL102*BO102*VLOOKUP('Données projet'!$B$11,'Paramètres'!$A$1:$I$89,3,0)*0.475*44/12</f>
        <v>0.0004762806685</v>
      </c>
      <c r="BS102" s="143">
        <f t="shared" si="10"/>
        <v>101.9847288</v>
      </c>
      <c r="BT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1" t="str">
        <f>VLOOKUP(A102,'Données projet'!$A$113:$I$133,2,0)</f>
        <v>#N/A</v>
      </c>
      <c r="BW102" s="131" t="str">
        <f>VLOOKUP(A102,'Données projet'!$A$113:$I$133,9,0)</f>
        <v>#N/A</v>
      </c>
      <c r="BX102" s="131" t="str">
        <f t="array" ref="BX102">INDEX(BW:BW,MIN(IF(ISNUMBER(BW102:BW298),ROW(BW102:BW298),"")))</f>
        <v/>
      </c>
      <c r="BY102" s="130">
        <f>IF('Données projet'!$A$114&gt;35,BY101+BX102-CG101,IF(A102&lt;'Données projet'!$A$114,$BV$205^A102,IF(A102='Données projet'!$A$114,'Données projet'!$B$114,BY101+BX102-CG101)))</f>
        <v>0</v>
      </c>
      <c r="BZ102" s="130">
        <f>BY102*VLOOKUP('Données projet'!$B$12,'Paramètres'!$A$1:$I$89,3,0)*VLOOKUP('Données projet'!$B$12,'Paramètres'!$A$1:$I$89,5,0)</f>
        <v>0</v>
      </c>
      <c r="CA102" s="130" t="str">
        <f t="shared" si="40"/>
        <v>#NUM!</v>
      </c>
      <c r="CB102" s="141" t="str">
        <f t="shared" si="11"/>
        <v>#NUM!</v>
      </c>
      <c r="CC102" s="133" t="str">
        <f t="shared" si="12"/>
        <v>#NUM!</v>
      </c>
      <c r="CD102" s="133">
        <f>AVERAGE(OFFSET($CC$3,0,0,'Données projet'!$E$12+1,1))-AVERAGE(OFFSET($H$3,0,0,'Données projet'!$E$12+1,1))</f>
        <v>258.1672054</v>
      </c>
      <c r="CE102" s="133">
        <f t="shared" si="41"/>
        <v>296.0724261</v>
      </c>
      <c r="CF102" s="134">
        <f>IF(ISNA(VLOOKUP(A102,'Données projet'!$A$113:$I$133,3,0)),0,VLOOKUP(A102,'Données projet'!$A$113:$I$133,3,0))</f>
        <v>0</v>
      </c>
      <c r="CG102" s="134">
        <f>IF(ISNA(VLOOKUP(A102,'Données projet'!$A$113:$I$133,4,0)),0,VLOOKUP(A102,'Données projet'!$A$113:$I$133,4,0))</f>
        <v>0</v>
      </c>
      <c r="CH102" s="135">
        <f>IF(ISNA(VLOOKUP(A102,'Données projet'!$A$113:$I$133,5,0)),0%,VLOOKUP(A102,'Données projet'!$A$113:$I$133,5,0)*VLOOKUP('Données projet'!$B$12,'Paramètres'!$A$1:$I$89,7,0))</f>
        <v>0</v>
      </c>
      <c r="CI102" s="135">
        <f>IF(ISNA(VLOOKUP(A102,'Données projet'!$A$113:$I$133,6,0)),0%,VLOOKUP(A102,'Données projet'!$A$113:$I$133,6,0)*VLOOKUP('Données projet'!$B$12,'Paramètres'!$A$1:$I$89,7,0))</f>
        <v>0</v>
      </c>
      <c r="CJ102" s="135">
        <f>IF(ISNA(VLOOKUP(A102,'Données projet'!$A$113:$I$133,7,0)),0%,VLOOKUP(A102,'Données projet'!$A$113:$I$133,7,0))</f>
        <v>0</v>
      </c>
      <c r="CK102" s="142">
        <f>EXP(-LN(2)/35)*CK101+(1-EXP(-LN(2)/35))/(LN(2)/35)*CG102*CH102*VLOOKUP('Données projet'!$B$12,'Paramètres'!$A$1:$I$89,3,0)*0.475*44/12</f>
        <v>119.2751359</v>
      </c>
      <c r="CL102" s="142">
        <f>EXP(-LN(2)/25)*CL101+(1-EXP(-LN(2)/25))/(LN(2)/25)*Calculateur!CG102*Calculateur!CI102*VLOOKUP('Données projet'!$B$12,'Paramètres'!$A$1:$I$89,3,0)*0.475*44/12</f>
        <v>13.40773678</v>
      </c>
      <c r="CM102" s="142">
        <f>EXP(-LN(2)/2)*CM101+(1-EXP(-LN(2)/2))/(LN(2)/2)*CG102*CJ102*VLOOKUP('Données projet'!$B$12,'Paramètres'!$A$1:$I$89,3,0)*0.475*44/12</f>
        <v>0.00002006514241</v>
      </c>
      <c r="CN102" s="143">
        <f t="shared" si="13"/>
        <v>132.6828928</v>
      </c>
      <c r="CO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1" t="str">
        <f>VLOOKUP(A102,'Données projet'!$A$139:$I$159,2,0)</f>
        <v>#N/A</v>
      </c>
      <c r="CR102" s="131" t="str">
        <f>VLOOKUP(A102,'Données projet'!$A$139:$I$159,9,0)</f>
        <v>#N/A</v>
      </c>
      <c r="CS102" s="130">
        <f t="array" ref="CS102">INDEX(CR:CR,MIN(IF(ISNUMBER(CR102:CR298),ROW(CR102:CR298),"")))</f>
        <v>2.3</v>
      </c>
      <c r="CT102" s="138">
        <f>IF('Données projet'!$A$140&gt;35,CT101+CS102-DB101,IF(A102&lt;'Données projet'!$A$140,$CQ$205^A102,IF(A102='Données projet'!$A$140,'Données projet'!$B$140,CT101+CS102-DB101)))</f>
        <v>213.7</v>
      </c>
      <c r="CU102" s="138">
        <f>CT102*VLOOKUP('Données projet'!$B$13,'Paramètres'!$A$1:$I$89,3,0)*VLOOKUP('Données projet'!$B$13,'Paramètres'!$A$1:$I$89,5,0)</f>
        <v>216.6918</v>
      </c>
      <c r="CV102" s="130">
        <f t="shared" si="42"/>
        <v>53.39523198</v>
      </c>
      <c r="CW102" s="141">
        <f t="shared" si="14"/>
        <v>470.4015807</v>
      </c>
      <c r="CX102" s="133">
        <f t="shared" si="15"/>
        <v>763.734914</v>
      </c>
      <c r="CY102" s="133">
        <f>AVERAGE(OFFSET($CX$3,0,0,'Données projet'!$E$13+1,1))-AVERAGE(OFFSET($H$3,0,0,'Données projet'!$E$13+1,1))</f>
        <v>223.783507</v>
      </c>
      <c r="CZ102" s="133">
        <f t="shared" si="43"/>
        <v>84.92349117</v>
      </c>
      <c r="DA102" s="134">
        <f>IF(ISNA(VLOOKUP(A102,'Données projet'!$A$139:$I$159,3,0)),0,VLOOKUP(A102,'Données projet'!$A$139:$I$159,3,0))</f>
        <v>0</v>
      </c>
      <c r="DB102" s="134">
        <f>IF(ISNA(VLOOKUP(A102,'Données projet'!$A$139:$I$159,4,0)),0,VLOOKUP(A102,'Données projet'!$A$139:$I$159,4,0))</f>
        <v>0</v>
      </c>
      <c r="DC102" s="135">
        <f>IF(ISNA(VLOOKUP(A102,'Données projet'!$A$139:$I$159,5,0)),0%,VLOOKUP(A102,'Données projet'!$A$139:$I$159,5,0)*VLOOKUP('Données projet'!$B$13,'Paramètres'!$A$1:$I$89,7,0))</f>
        <v>0</v>
      </c>
      <c r="DD102" s="135">
        <f>IF(ISNA(VLOOKUP(A102,'Données projet'!$A$139:$I$159,6,0)),0%,VLOOKUP(A102,'Données projet'!$A$139:$I$159,6,0)*VLOOKUP('Données projet'!$B$13,'Paramètres'!$A$1:$I$89,7,0))</f>
        <v>0</v>
      </c>
      <c r="DE102" s="135">
        <f>IF(ISNA(VLOOKUP(A102,'Données projet'!$A$139:$I$159,7,0)),0%,VLOOKUP(A102,'Données projet'!$A$139:$I$159,7,0))</f>
        <v>0</v>
      </c>
      <c r="DF102" s="142">
        <f>EXP(-LN(2)/35)*DF101+(1-EXP(-LN(2)/35))/(LN(2)/35)*DB102*DC102*VLOOKUP('Données projet'!$B$13,'Paramètres'!$A$1:$I$89,3,0)*0.475*44/12</f>
        <v>16.5231585</v>
      </c>
      <c r="DG102" s="142">
        <f>EXP(-LN(2)/25)*DG101+(1-EXP(-LN(2)/25))/(LN(2)/25)*Calculateur!DB102*Calculateur!DD102*VLOOKUP('Données projet'!$B$13,'Paramètres'!$A$1:$I$89,3,0)*0.475*44/12</f>
        <v>0</v>
      </c>
      <c r="DH102" s="142">
        <f>EXP(-LN(2)/2)*DH101+(1-EXP(-LN(2)/2))/(LN(2)/2)*DB102*DE102*VLOOKUP('Données projet'!$B$13,'Paramètres'!$A$1:$I$89,3,0)*0.475*44/12</f>
        <v>0</v>
      </c>
      <c r="DI102" s="143">
        <f t="shared" si="16"/>
        <v>16.5231585</v>
      </c>
      <c r="DJ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1" t="str">
        <f>VLOOKUP(A102,'Données projet'!$A$165:$I$185,2,0)</f>
        <v>#N/A</v>
      </c>
      <c r="DM102" s="131" t="str">
        <f>VLOOKUP(A102,'Données projet'!$A$165:$I$185,9,0)</f>
        <v>#N/A</v>
      </c>
      <c r="DN102" s="131">
        <f t="array" ref="DN102">INDEX(DM:DM,MIN(IF(ISNUMBER(DM102:DM298),ROW(DM102:DM298),"")))</f>
        <v>2.8</v>
      </c>
      <c r="DO102" s="138">
        <f>IF('Données projet'!$A$166&gt;35,DO101+DN102-DW101,IF(A102&lt;'Données projet'!$A$166,$DL$205^A102,IF(A102='Données projet'!$A$166,'Données projet'!$B$166,DO101+DN102-DW101)))</f>
        <v>279.2</v>
      </c>
      <c r="DP102" s="138">
        <f>DO102*VLOOKUP('Données projet'!$B$14,'Paramètres'!$A$1:$I$89,3,0)*VLOOKUP('Données projet'!$B$14,'Paramètres'!$A$1:$I$89,5,0)</f>
        <v>252.62016</v>
      </c>
      <c r="DQ102" s="130">
        <f t="shared" si="44"/>
        <v>61.14666777</v>
      </c>
      <c r="DR102" s="141">
        <f t="shared" si="17"/>
        <v>546.477225</v>
      </c>
      <c r="DS102" s="133">
        <f t="shared" si="18"/>
        <v>839.8105584</v>
      </c>
      <c r="DT102" s="133">
        <f>AVERAGE(OFFSET($DS$3,0,0,'Données projet'!$E$14+1,1))-AVERAGE(OFFSET($H$3,0,0,'Données projet'!$E$14+1,1))</f>
        <v>287.9334714</v>
      </c>
      <c r="DU102" s="133">
        <f t="shared" si="45"/>
        <v>156.6796502</v>
      </c>
      <c r="DV102" s="134">
        <f>IF(ISNA(VLOOKUP(A102,'Données projet'!$A$165:$I$185,3,0)),0,VLOOKUP(A102,'Données projet'!$A$165:$I$185,3,0))</f>
        <v>0</v>
      </c>
      <c r="DW102" s="134">
        <f>IF(ISNA(VLOOKUP(A102,'Données projet'!$A$165:$I$185,4,0)),0,VLOOKUP(A102,'Données projet'!$A$165:$I$185,4,0))</f>
        <v>0</v>
      </c>
      <c r="DX102" s="135">
        <f>IF(ISNA(VLOOKUP(A102,'Données projet'!$A$165:$I$185,5,0)),0%,VLOOKUP(A102,'Données projet'!$A$165:$I$185,5,0)*VLOOKUP('Données projet'!$B$14,'Paramètres'!$A$1:$I$89,7,0))</f>
        <v>0</v>
      </c>
      <c r="DY102" s="135">
        <f>IF(ISNA(VLOOKUP(A102,'Données projet'!$A$165:$I$185,6,0)),0%,VLOOKUP(A102,'Données projet'!$A$165:$I$185,6,0)*VLOOKUP('Données projet'!$B$14,'Paramètres'!$A$1:$I$89,7,0))</f>
        <v>0</v>
      </c>
      <c r="DZ102" s="135">
        <f>IF(ISNA(VLOOKUP(A102,'Données projet'!$A$165:$I$185,7,0)),0%,VLOOKUP(A102,'Données projet'!$A$165:$I$185,7,0))</f>
        <v>0</v>
      </c>
      <c r="EA102" s="142">
        <f>EXP(-LN(2)/35)*EA101+(1-EXP(-LN(2)/35))/(LN(2)/35)*DW102*DX102*VLOOKUP('Données projet'!$B$14,'Paramètres'!$A$1:$I$89,3,0)*0.475*44/12</f>
        <v>25.32090256</v>
      </c>
      <c r="EB102" s="142">
        <f>EXP(-LN(2)/25)*EB101+(1-EXP(-LN(2)/25))/(LN(2)/25)*Calculateur!DW102*Calculateur!DY102*VLOOKUP('Données projet'!$B$14,'Paramètres'!$A$1:$I$89,3,0)*0.475*44/12</f>
        <v>0</v>
      </c>
      <c r="EC102" s="142">
        <f>EXP(-LN(2)/2)*EC101+(1-EXP(-LN(2)/2))/(LN(2)/2)*DW102*DZ102*VLOOKUP('Données projet'!$B$14,'Paramètres'!$A$1:$I$89,3,0)*0.475*44/12</f>
        <v>0</v>
      </c>
      <c r="ED102" s="143">
        <f t="shared" si="19"/>
        <v>25.32090256</v>
      </c>
      <c r="EE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1" t="str">
        <f>VLOOKUP(A102,'Données projet'!$A$191:$I$211,2,0)</f>
        <v>#N/A</v>
      </c>
      <c r="EH102" s="131" t="str">
        <f>VLOOKUP(A102,'Données projet'!$A$191:$I$211,9,0)</f>
        <v>#N/A</v>
      </c>
      <c r="EI102" s="131" t="str">
        <f t="array" ref="EI102">INDEX(EH:EH,MIN(IF(ISNUMBER(EH102:EH298),ROW(EH102:EH298),"")))</f>
        <v/>
      </c>
      <c r="EJ102" s="138">
        <f>IF('Données projet'!$A$192&gt;35,EJ101+EI102-ER101,IF(A102&lt;'Données projet'!$A$192,$EG$205^A102,IF(A102='Données projet'!$A$192,'Données projet'!$B$192,EJ101+EI102-ER101)))</f>
        <v>0</v>
      </c>
      <c r="EK102" s="138">
        <f>EJ102*VLOOKUP('Données projet'!$B$15,'Paramètres'!$A$1:$I$89,3,0)*VLOOKUP('Données projet'!$B$15,'Paramètres'!$A$1:$I$89,5,0)</f>
        <v>0</v>
      </c>
      <c r="EL102" s="130" t="str">
        <f t="shared" si="46"/>
        <v>#NUM!</v>
      </c>
      <c r="EM102" s="141" t="str">
        <f t="shared" si="20"/>
        <v>#NUM!</v>
      </c>
      <c r="EN102" s="133" t="str">
        <f t="shared" si="21"/>
        <v>#NUM!</v>
      </c>
      <c r="EO102" s="133">
        <f>AVERAGE(OFFSET($EN$3,0,0,'Données projet'!$E$15+1,1))-AVERAGE(OFFSET($H$3,0,0,'Données projet'!$E$15+1,1))</f>
        <v>130.3193339</v>
      </c>
      <c r="EP102" s="133">
        <f t="shared" si="47"/>
        <v>82.22784365</v>
      </c>
      <c r="EQ102" s="134">
        <f>IF(ISNA(VLOOKUP(A102,'Données projet'!$A$191:$I$211,3,0)),0,VLOOKUP(A102,'Données projet'!$A$191:$I$211,3,0))</f>
        <v>0</v>
      </c>
      <c r="ER102" s="134">
        <f>IF(ISNA(VLOOKUP(A102,'Données projet'!$A$191:$I$211,4,0)),0,VLOOKUP(A102,'Données projet'!$A$191:$I$211,4,0))</f>
        <v>0</v>
      </c>
      <c r="ES102" s="135">
        <f>IF(ISNA(VLOOKUP(A102,'Données projet'!$A$191:$I$211,5,0)),0%,VLOOKUP(A102,'Données projet'!$A$191:$I$211,5,0)*VLOOKUP('Données projet'!$B$15,'Paramètres'!$A$1:$I$89,7,0))</f>
        <v>0</v>
      </c>
      <c r="ET102" s="135">
        <f>IF(ISNA(VLOOKUP(A102,'Données projet'!$A$191:$I$211,6,0)),0%,VLOOKUP(A102,'Données projet'!$A$191:$I$211,6,0)*VLOOKUP('Données projet'!$B$15,'Paramètres'!$A$1:$I$89,7,0))</f>
        <v>0</v>
      </c>
      <c r="EU102" s="135">
        <f>IF(ISNA(VLOOKUP(A102,'Données projet'!$A$191:$I$211,7,0)),0%,VLOOKUP(A102,'Données projet'!$A$191:$I$211,7,0))</f>
        <v>0</v>
      </c>
      <c r="EV102" s="142">
        <f>EXP(-LN(2)/35)*EV101+(1-EXP(-LN(2)/35))/(LN(2)/35)*ER102*ES102*VLOOKUP('Données projet'!$B$15,'Paramètres'!$A$1:$I$89,3,0)*0.475*44/12</f>
        <v>72.93427815</v>
      </c>
      <c r="EW102" s="142">
        <f>EXP(-LN(2)/25)*EW101+(1-EXP(-LN(2)/25))/(LN(2)/25)*Calculateur!ER102*Calculateur!ET102*VLOOKUP('Données projet'!$B$15,'Paramètres'!$A$1:$I$89,3,0)*0.475*44/12</f>
        <v>0</v>
      </c>
      <c r="EX102" s="142">
        <f>EXP(-LN(2)/2)*EX101+(1-EXP(-LN(2)/2))/(LN(2)/2)*ER102*EU102*VLOOKUP('Données projet'!$B$15,'Paramètres'!$A$1:$I$89,3,0)*0.475*44/12</f>
        <v>0</v>
      </c>
      <c r="EY102" s="143">
        <f t="shared" si="22"/>
        <v>72.93427815</v>
      </c>
      <c r="EZ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1" t="str">
        <f>VLOOKUP(A102,'Données projet'!$A$217:$I$237,2,0)</f>
        <v>#N/A</v>
      </c>
      <c r="FC102" s="131" t="str">
        <f>VLOOKUP(A102,'Données projet'!$A$217:$I$237,9,0)</f>
        <v>#N/A</v>
      </c>
      <c r="FD102" s="131" t="str">
        <f t="array" ref="FD102">INDEX(FC:FC,MIN(IF(ISNUMBER(FC102:FC298),ROW(FC102:FC298),"")))</f>
        <v/>
      </c>
      <c r="FE102" s="130">
        <f>IF('Données projet'!$A$218&gt;35,FE101+FD102-FM101,IF(A102&lt;'Données projet'!$A$218,$FB$205^A102,IF(A102='Données projet'!$A$218,'Données projet'!$B$218,FE101+FD102-FM101)))</f>
        <v>0</v>
      </c>
      <c r="FF102" s="138">
        <f>FE102*VLOOKUP('Données projet'!$B$16,'Paramètres'!$A$1:$I$89,3,0)*VLOOKUP('Données projet'!$B$16,'Paramètres'!$A$1:$I$89,5,0)</f>
        <v>0</v>
      </c>
      <c r="FG102" s="130">
        <f t="shared" si="48"/>
        <v>0</v>
      </c>
      <c r="FH102" s="141">
        <f t="shared" si="23"/>
        <v>0</v>
      </c>
      <c r="FI102" s="133">
        <f t="shared" si="24"/>
        <v>293.3333333</v>
      </c>
      <c r="FJ102" s="133">
        <f>AVERAGE(OFFSET($FI$3,0,0,'Données projet'!$E$16+1,1))-AVERAGE(OFFSET($H$3,0,0,'Données projet'!$E$16+1,1))</f>
        <v>305.6252353</v>
      </c>
      <c r="FK102" s="133">
        <f t="shared" si="49"/>
        <v>331.397916</v>
      </c>
      <c r="FL102" s="134">
        <f>IF(ISNA(VLOOKUP(A102,'Données projet'!$A$217:$I$237,3,0)),0,VLOOKUP(A102,'Données projet'!$A$217:$I$237,3,0))</f>
        <v>0</v>
      </c>
      <c r="FM102" s="134">
        <f>IF(ISNA(VLOOKUP(A102,'Données projet'!$A$217:$I$237,4,0)),0,VLOOKUP(A102,'Données projet'!$A$217:$I$237,4,0))</f>
        <v>0</v>
      </c>
      <c r="FN102" s="135">
        <f>IF(ISNA(VLOOKUP(A102,'Données projet'!$A$217:$I$237,5,0)),0%,VLOOKUP(A102,'Données projet'!$A$217:$I$237,5,0)*VLOOKUP('Données projet'!$B$16,'Paramètres'!$A$1:$I$89,7,0))</f>
        <v>0</v>
      </c>
      <c r="FO102" s="135">
        <f>IF(ISNA(VLOOKUP(A102,'Données projet'!$A$217:$I$237,6,0)),0%,VLOOKUP(A102,'Données projet'!$A$217:$I$237,6,0)*VLOOKUP('Données projet'!$B$16,'Paramètres'!$A$1:$I$89,7,0))</f>
        <v>0</v>
      </c>
      <c r="FP102" s="135">
        <f>IF(ISNA(VLOOKUP(A102,'Données projet'!$A$217:$I$237,7,0)),0%,VLOOKUP(A102,'Données projet'!$A$217:$I$237,7,0))</f>
        <v>0</v>
      </c>
      <c r="FQ102" s="142">
        <f>EXP(-LN(2)/35)*FQ101+(1-EXP(-LN(2)/35))/(LN(2)/35)*FM102*FN102*VLOOKUP('Données projet'!$B$16,'Paramètres'!$A$1:$I$89,3,0)*0.475*44/12</f>
        <v>45.41106124</v>
      </c>
      <c r="FR102" s="142">
        <f>EXP(-LN(2)/25)*FR101+(1-EXP(-LN(2)/25))/(LN(2)/25)*Calculateur!FM102*Calculateur!FO102*VLOOKUP('Données projet'!$B$16,'Paramètres'!$A$1:$I$89,3,0)*0.475*44/12</f>
        <v>0</v>
      </c>
      <c r="FS102" s="142">
        <f>EXP(-LN(2)/2)*FS101+(1-EXP(-LN(2)/2))/(LN(2)/2)*FM102*FP102*VLOOKUP('Données projet'!$B$16,'Paramètres'!$A$1:$I$89,3,0)*0.475*44/12</f>
        <v>0</v>
      </c>
      <c r="FT102" s="143">
        <f t="shared" si="25"/>
        <v>45.41106124</v>
      </c>
      <c r="FU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1" t="str">
        <f>VLOOKUP(A102,'Données projet'!$A$243:$I$263,2,0)</f>
        <v>#N/A</v>
      </c>
      <c r="FX102" s="131" t="str">
        <f>VLOOKUP(A102,'Données projet'!$A$243:$I$263,9,0)</f>
        <v>#N/A</v>
      </c>
      <c r="FY102" s="131" t="str">
        <f t="array" ref="FY102">INDEX(FX:FX,MIN(IF(ISNUMBER(FX102:FX298),ROW(FX102:FX298),"")))</f>
        <v/>
      </c>
      <c r="FZ102" s="138">
        <f>IF('Données projet'!$A$244&gt;35,FZ101+FY102-GH101,IF(A102&lt;'Données projet'!$A$244,$FW$205^A102,IF(A102='Données projet'!$A$244,'Données projet'!$B$244,FZ101+FY102-GH101)))</f>
        <v>0</v>
      </c>
      <c r="GA102" s="138">
        <f>FZ102*VLOOKUP('Données projet'!$B$17,'Paramètres'!$A$1:$I$89,3,0)*VLOOKUP('Données projet'!$B$17,'Paramètres'!$A$1:$I$89,5,0)</f>
        <v>0</v>
      </c>
      <c r="GB102" s="130">
        <f t="shared" si="50"/>
        <v>0</v>
      </c>
      <c r="GC102" s="141">
        <f t="shared" si="26"/>
        <v>0</v>
      </c>
      <c r="GD102" s="133">
        <f t="shared" si="27"/>
        <v>293.3333333</v>
      </c>
      <c r="GE102" s="133">
        <f>AVERAGE(OFFSET($GD$3,0,0,'Données projet'!$E$17+1,1))-AVERAGE(OFFSET($H$3,0,0,'Données projet'!$E$17+1,1))</f>
        <v>118.7368745</v>
      </c>
      <c r="GF102" s="133">
        <f t="shared" si="51"/>
        <v>135.1233677</v>
      </c>
      <c r="GG102" s="134">
        <f>IF(ISNA(VLOOKUP(A102,'Données projet'!$A$243:$I$263,3,0)),0,VLOOKUP(A102,'Données projet'!$A$243:$I$263,3,0))</f>
        <v>0</v>
      </c>
      <c r="GH102" s="134">
        <f>IF(ISNA(VLOOKUP(A102,'Données projet'!$A$243:$I$263,4,0)),0,VLOOKUP(A102,'Données projet'!$A$243:$I$263,4,0))</f>
        <v>0</v>
      </c>
      <c r="GI102" s="135">
        <f>IF(ISNA(VLOOKUP(A102,'Données projet'!$A$243:$I$263,5,0)),0%,VLOOKUP(A102,'Données projet'!$A$243:$I$263,5,0)*VLOOKUP('Données projet'!$B$17,'Paramètres'!$A$1:$I$89,7,0))</f>
        <v>0</v>
      </c>
      <c r="GJ102" s="135">
        <f>IF(ISNA(VLOOKUP(A102,'Données projet'!$A$243:$I$263,6,0)),0%,VLOOKUP(A102,'Données projet'!$A$243:$I$263,6,0)*VLOOKUP('Données projet'!$B$17,'Paramètres'!$A$1:$I$89,7,0))</f>
        <v>0</v>
      </c>
      <c r="GK102" s="135">
        <f>IF(ISNA(VLOOKUP(A102,'Données projet'!$A$243:$I$263,7,0)),0%,VLOOKUP(A102,'Données projet'!$A$243:$I$263,7,0))</f>
        <v>0</v>
      </c>
      <c r="GL102" s="142">
        <f>EXP(-LN(2)/35)*GL101+(1-EXP(-LN(2)/35))/(LN(2)/35)*GH102*GI102*VLOOKUP('Données projet'!$B$17,'Paramètres'!$A$1:$I$89,3,0)*0.475*44/12</f>
        <v>47.97664576</v>
      </c>
      <c r="GM102" s="142">
        <f>EXP(-LN(2)/25)*GM101+(1-EXP(-LN(2)/25))/(LN(2)/25)*Calculateur!GH102*Calculateur!GJ102*VLOOKUP('Données projet'!$B$17,'Paramètres'!$A$1:$I$89,3,0)*0.475*44/12</f>
        <v>0</v>
      </c>
      <c r="GN102" s="142">
        <f>EXP(-LN(2)/2)*GN101+(1-EXP(-LN(2)/2))/(LN(2)/2)*GH102*GK102*VLOOKUP('Données projet'!$B$17,'Paramètres'!$A$1:$I$89,3,0)*0.475*44/12</f>
        <v>0</v>
      </c>
      <c r="GO102" s="142">
        <f t="shared" si="28"/>
        <v>47.97664576</v>
      </c>
      <c r="GP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1" t="str">
        <f>VLOOKUP(A102,'Données projet'!$A$269:$I$289,2,0)</f>
        <v>#N/A</v>
      </c>
      <c r="GS102" s="131" t="str">
        <f>VLOOKUP(A102,'Données projet'!$A$269:$I$289,9,0)</f>
        <v>#N/A</v>
      </c>
      <c r="GT102" s="131" t="str">
        <f t="array" ref="GT102">INDEX(GS:GS,MIN(IF(ISNUMBER(GS102:GS298),ROW(GS102:GS298),"")))</f>
        <v/>
      </c>
      <c r="GU102" s="138">
        <f>IF('Données projet'!$A$270&gt;35,GU101+GT102-HC101,IF(A102&lt;'Données projet'!$A$270,$GR$205^A102,IF(A102='Données projet'!$A$270,'Données projet'!$B$270,GU101+GT102-HC101)))</f>
        <v>0</v>
      </c>
      <c r="GV102" s="138">
        <f>GU102*VLOOKUP('Données projet'!$B$18,'Paramètres'!$A$1:$I$89,3,0)*VLOOKUP('Données projet'!$B$18,'Paramètres'!$A$1:$I$89,5,0)</f>
        <v>0</v>
      </c>
      <c r="GW102" s="130" t="str">
        <f t="shared" si="52"/>
        <v>#NUM!</v>
      </c>
      <c r="GX102" s="141" t="str">
        <f t="shared" si="29"/>
        <v>#NUM!</v>
      </c>
      <c r="GY102" s="133" t="str">
        <f t="shared" si="30"/>
        <v>#NUM!</v>
      </c>
      <c r="GZ102" s="133">
        <f>AVERAGE(OFFSET($GY$3,0,0,'Données projet'!$E$18+1,1))-AVERAGE(OFFSET($H$3,0,0,'Données projet'!$E$18+1,1))</f>
        <v>100.5427875</v>
      </c>
      <c r="HA102" s="133">
        <f t="shared" si="53"/>
        <v>92.28663609</v>
      </c>
      <c r="HB102" s="134">
        <f>IF(ISNA(VLOOKUP(A102,'Données projet'!$A$269:$I$289,3,0)),0,VLOOKUP(A102,'Données projet'!$A$269:$I$289,3,0))</f>
        <v>0</v>
      </c>
      <c r="HC102" s="134">
        <f>IF(ISNA(VLOOKUP(A102,'Données projet'!$A$269:$I$289,4,0)),0,VLOOKUP(A102,'Données projet'!$A$269:$I$289,4,0))</f>
        <v>0</v>
      </c>
      <c r="HD102" s="135">
        <f>IF(ISNA(VLOOKUP(A102,'Données projet'!$A$269:$I$289,5,0)),0%,VLOOKUP(A102,'Données projet'!$A$269:$I$289,5,0)*VLOOKUP('Données projet'!$B$18,'Paramètres'!$A$1:$I$89,7,0))</f>
        <v>0</v>
      </c>
      <c r="HE102" s="135">
        <f>IF(ISNA(VLOOKUP(A102,'Données projet'!$A$269:$I$289,6,0)),0%,VLOOKUP(A102,'Données projet'!$A$269:$I$289,6,0)*VLOOKUP('Données projet'!$B$18,'Paramètres'!$A$1:$I$89,7,0))</f>
        <v>0</v>
      </c>
      <c r="HF102" s="135">
        <f>IF(ISNA(VLOOKUP(A102,'Données projet'!$A$269:$I$289,7,0)),0%,VLOOKUP(A102,'Données projet'!$A$269:$I$289,7,0))</f>
        <v>0</v>
      </c>
      <c r="HG102" s="142">
        <f>EXP(-LN(2)/35)*HG101+(1-EXP(-LN(2)/35))/(LN(2)/35)*HC102*HD102*VLOOKUP('Données projet'!$B$18,'Paramètres'!$A$1:$I$89,3,0)*0.475*44/12</f>
        <v>32.67108364</v>
      </c>
      <c r="HH102" s="142">
        <f>EXP(-LN(2)/25)*HH101+(1-EXP(-LN(2)/25))/(LN(2)/25)*Calculateur!HC102*Calculateur!HE102*VLOOKUP('Données projet'!$B$18,'Paramètres'!$A$1:$I$89,3,0)*0.475*44/12</f>
        <v>0</v>
      </c>
      <c r="HI102" s="142">
        <f>EXP(-LN(2)/2)*HI101+(1-EXP(-LN(2)/2))/(LN(2)/2)*HC102*HF102*VLOOKUP('Données projet'!$B$18,'Paramètres'!$A$1:$I$89,3,0)*0.475*44/12</f>
        <v>0</v>
      </c>
      <c r="HJ102" s="143">
        <f t="shared" si="31"/>
        <v>32.67108364</v>
      </c>
    </row>
    <row r="103" ht="15.75" customHeight="1">
      <c r="A103" s="125">
        <f t="shared" si="32"/>
        <v>100</v>
      </c>
      <c r="B103" s="126">
        <f>'Scénario référence'!$B$16*5+'Scénario référence'!$B$17*0+'Scénario référence'!$B$18*5</f>
        <v>0</v>
      </c>
      <c r="C103" s="140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54.6</v>
      </c>
      <c r="D103" s="127">
        <f t="shared" si="33"/>
        <v>15.7955766</v>
      </c>
      <c r="E10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7">
        <f>IF(OR('Scénario référence'!$F$8&gt;0,'Scénario référence'!$F$9&gt;0),('Scénario référence'!$F$8+'Scénario référence'!$F$9)*10,0)</f>
        <v>10</v>
      </c>
      <c r="G103" s="127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</v>
      </c>
      <c r="H103" s="128">
        <f t="shared" si="1"/>
        <v>415.9389626</v>
      </c>
      <c r="I103" s="12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1" t="str">
        <f>VLOOKUP(A103,'Données projet'!$A$35:$I$55,2,0)</f>
        <v>#N/A</v>
      </c>
      <c r="L103" s="131" t="str">
        <f>VLOOKUP(A103,'Données projet'!$A$35:$I$55,9,0)</f>
        <v>#N/A</v>
      </c>
      <c r="M103" s="131" t="str">
        <f t="array" ref="M103">INDEX(L:L,MIN(IF(ISNUMBER(L103:L299),ROW(L103:L299),"")))</f>
        <v/>
      </c>
      <c r="N103" s="130">
        <f>IF('Données projet'!$A$36&gt;35,N102+M103-V102,IF(A103&lt;'Données projet'!$A$36,$K$205^A103,IF(A103='Données projet'!$A$36,'Données projet'!$B$36,N102+M103-V102)))</f>
        <v>0</v>
      </c>
      <c r="O103" s="130">
        <f>N103*VLOOKUP('Données projet'!$B$9,'Paramètres'!$A$1:$I$89,3,0)*VLOOKUP('Données projet'!$B$9,'Paramètres'!$A$1:$I$89,5,0)</f>
        <v>0</v>
      </c>
      <c r="P103" s="130">
        <f t="shared" si="34"/>
        <v>0</v>
      </c>
      <c r="Q103" s="141">
        <f t="shared" si="2"/>
        <v>0</v>
      </c>
      <c r="R103" s="133">
        <f t="shared" si="3"/>
        <v>293.3333333</v>
      </c>
      <c r="S103" s="133">
        <f>AVERAGE(OFFSET($R$3,0,0,'Données projet'!$E$9+1,1))-AVERAGE(OFFSET($H$3,0,0,'Données projet'!$E$9+1,1))</f>
        <v>126.9946492</v>
      </c>
      <c r="T103" s="133">
        <f t="shared" si="35"/>
        <v>140.039049</v>
      </c>
      <c r="U103" s="134">
        <f>IF(ISNA(VLOOKUP(A103,'Données projet'!$A$35:$I$55,3,0)),0,VLOOKUP(A103,'Données projet'!$A$35:$I$55,3,0))</f>
        <v>0</v>
      </c>
      <c r="V103" s="134">
        <f>IF(ISNA(VLOOKUP(A103,'Données projet'!$A$35:$I$55,4,0)),0,VLOOKUP(A103,'Données projet'!$A$35:$I$55,4,0))</f>
        <v>0</v>
      </c>
      <c r="W103" s="135">
        <f>IF(ISNA(VLOOKUP(A103,'Données projet'!$A$35:$I$55,5,0)),0%,VLOOKUP(A103,'Données projet'!$A$35:$I$55,5,0)*VLOOKUP('Données projet'!$B$9,'Paramètres'!$A$1:$I$89,7,0))</f>
        <v>0</v>
      </c>
      <c r="X103" s="135">
        <f>IF(ISNA(VLOOKUP(A103,'Données projet'!$A$35:$I$55,6,0)),0%,VLOOKUP(A103,'Données projet'!$A$35:$I$55,6,0)*VLOOKUP('Données projet'!$B$9,'Paramètres'!$A$1:$I$89,7,0))</f>
        <v>0</v>
      </c>
      <c r="Y103" s="135">
        <f>IF(ISNA(VLOOKUP(A103,'Données projet'!$A$35:$I$55,7,0)),0%,VLOOKUP(A103,'Données projet'!$A$35:$I$55,7,0))</f>
        <v>0</v>
      </c>
      <c r="Z103" s="142">
        <f>EXP(-LN(2)/35)*Z102+(1-EXP(-LN(2)/35))/(LN(2)/35)*V103*W103*VLOOKUP('Données projet'!$B$9,'Paramètres'!$A$1:$I$89,3,0)*0.475*44/12</f>
        <v>48.10720728</v>
      </c>
      <c r="AA103" s="142">
        <f>EXP(-LN(2)/25)*AA102+(1-EXP(-LN(2)/25))/(LN(2)/25)*Calculateur!V103*Calculateur!X103*VLOOKUP('Données projet'!$B$9,'Paramètres'!$A$1:$I$89,3,0)*0.475*44/12</f>
        <v>7.665894768</v>
      </c>
      <c r="AB103" s="142">
        <f>EXP(-LN(2)/2)*AB102+(1-EXP(-LN(2)/2))/(LN(2)/2)*V103*Y103*VLOOKUP('Données projet'!$B$9,'Paramètres'!$A$1:$I$89,3,0)*0.475*44/12</f>
        <v>0.00001810967561</v>
      </c>
      <c r="AC103" s="143">
        <f t="shared" si="4"/>
        <v>55.77312015</v>
      </c>
      <c r="AD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1" t="str">
        <f>VLOOKUP(A103,'Données projet'!$A$61:$I$81,2,0)</f>
        <v>#N/A</v>
      </c>
      <c r="AG103" s="131" t="str">
        <f>VLOOKUP(A103,'Données projet'!$A$61:$I$81,9,0)</f>
        <v>#N/A</v>
      </c>
      <c r="AH103" s="131" t="str">
        <f t="array" ref="AH103">INDEX(AG:AG,MIN(IF(ISNUMBER(AG103:AG299),ROW(AG103:AG299),"")))</f>
        <v/>
      </c>
      <c r="AI103" s="130">
        <f>IF('Données projet'!$A$62&gt;35,AI102+AH103-AQ102,IF(A103&lt;'Données projet'!$A$62,$AF$205^A103,IF(A103='Données projet'!$A$62,'Données projet'!$B$62,AI102+AH103-AQ102)))</f>
        <v>0</v>
      </c>
      <c r="AJ103" s="130">
        <f>AI103*VLOOKUP('Données projet'!$B$10,'Paramètres'!$A$1:$I$89,3,0)*VLOOKUP('Données projet'!$B$10,'Paramètres'!$A$1:$I$89,5,0)</f>
        <v>0</v>
      </c>
      <c r="AK103" s="130" t="str">
        <f t="shared" si="36"/>
        <v>#NUM!</v>
      </c>
      <c r="AL103" s="141" t="str">
        <f t="shared" si="5"/>
        <v>#NUM!</v>
      </c>
      <c r="AM103" s="133" t="str">
        <f t="shared" si="6"/>
        <v>#NUM!</v>
      </c>
      <c r="AN103" s="133">
        <f>AVERAGE(OFFSET($AM$3,0,0,'Données projet'!$E$10+1,1))-AVERAGE(OFFSET($H$3,0,0,'Données projet'!$E$10+1,1))</f>
        <v>196.874484</v>
      </c>
      <c r="AO103" s="133">
        <f t="shared" si="37"/>
        <v>217.5750859</v>
      </c>
      <c r="AP103" s="134">
        <f>IF(ISNA(VLOOKUP(A103,'Données projet'!$A$61:$I$81,3,0)),0,VLOOKUP(A103,'Données projet'!$A$61:$I$81,3,0))</f>
        <v>0</v>
      </c>
      <c r="AQ103" s="134">
        <f>IF(ISNA(VLOOKUP(A103,'Données projet'!$A$61:$I$81,4,0)),0,VLOOKUP(A103,'Données projet'!$A$61:$I$81,4,0))</f>
        <v>0</v>
      </c>
      <c r="AR103" s="135">
        <f>IF(ISNA(VLOOKUP(A103,'Données projet'!$A$61:$I$81,5,0)),0%,VLOOKUP(A103,'Données projet'!$A$61:$I$81,5,0)*VLOOKUP('Données projet'!$B$10,'Paramètres'!$A$1:$I$89,7,0))</f>
        <v>0</v>
      </c>
      <c r="AS103" s="135">
        <f>IF(ISNA(VLOOKUP(A103,'Données projet'!$A$61:$I$81,6,0)),0%,VLOOKUP(A103,'Données projet'!$A$61:$I$81,6,0)*VLOOKUP('Données projet'!$B$10,'Paramètres'!$A$1:$I$89,7,0))</f>
        <v>0</v>
      </c>
      <c r="AT103" s="135">
        <f>IF(ISNA(VLOOKUP(A103,'Données projet'!$A$61:$I$81,7,0)),0%,VLOOKUP(A103,'Données projet'!$A$61:$I$81,7,0))</f>
        <v>0</v>
      </c>
      <c r="AU103" s="142">
        <f>EXP(-LN(2)/35)*AU102+(1-EXP(-LN(2)/35))/(LN(2)/35)*AQ103*AR103*VLOOKUP('Données projet'!$B$10,'Paramètres'!$A$1:$I$89,3,0)*0.475*44/12</f>
        <v>66.86765169</v>
      </c>
      <c r="AV103" s="142">
        <f>EXP(-LN(2)/25)*AV102+(1-EXP(-LN(2)/25))/(LN(2)/25)*Calculateur!AQ103*Calculateur!AS103*VLOOKUP('Données projet'!$B$10,'Paramètres'!$A$1:$I$89,3,0)*0.475*44/12</f>
        <v>11.78632345</v>
      </c>
      <c r="AW103" s="142">
        <f>EXP(-LN(2)/2)*AW102+(1-EXP(-LN(2)/2))/(LN(2)/2)*AQ103*AT103*VLOOKUP('Données projet'!$B$10,'Paramètres'!$A$1:$I$89,3,0)*0.475*44/12</f>
        <v>0.00002524869005</v>
      </c>
      <c r="AX103" s="142">
        <f t="shared" si="7"/>
        <v>78.65400038</v>
      </c>
      <c r="AY103" s="13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1" t="str">
        <f>VLOOKUP(A103,'Données projet'!$A$87:$I$107,2,0)</f>
        <v>#N/A</v>
      </c>
      <c r="BB103" s="131" t="str">
        <f>VLOOKUP(A103,'Données projet'!$A$87:$I$107,9,0)</f>
        <v>#N/A</v>
      </c>
      <c r="BC103" s="131" t="str">
        <f t="array" ref="BC103">INDEX(BB:BB,MIN(IF(ISNUMBER(BB103:BB299),ROW(BB103:BB299),"")))</f>
        <v/>
      </c>
      <c r="BD103" s="130">
        <f>IF('Données projet'!$A$88&gt;35,BD102+BC103-BL102,IF(A103&lt;'Données projet'!$A$88,$BA$205^A103,IF(A103='Données projet'!$A$88,'Données projet'!$B$88,BD102+BC103-BL102)))</f>
        <v>0</v>
      </c>
      <c r="BE103" s="130">
        <f>BD103*VLOOKUP('Données projet'!$B$11,'Paramètres'!$A$1:$I$89,3,0)*VLOOKUP('Données projet'!$B$11,'Paramètres'!$A$1:$I$89,5,0)</f>
        <v>0</v>
      </c>
      <c r="BF103" s="130" t="str">
        <f t="shared" si="38"/>
        <v>#NUM!</v>
      </c>
      <c r="BG103" s="141" t="str">
        <f t="shared" si="8"/>
        <v>#NUM!</v>
      </c>
      <c r="BH103" s="133" t="str">
        <f t="shared" si="9"/>
        <v>#NUM!</v>
      </c>
      <c r="BI103" s="133">
        <f>AVERAGE(OFFSET($BH$3,0,0,'Données projet'!$E$11+1,1))-AVERAGE(OFFSET($H$3,0,0,'Données projet'!$E$11+1,1))</f>
        <v>134.0948534</v>
      </c>
      <c r="BJ103" s="133">
        <f t="shared" si="39"/>
        <v>108.4102536</v>
      </c>
      <c r="BK103" s="134">
        <f>IF(ISNA(VLOOKUP(A103,'Données projet'!$A$87:$I$107,3,0)),0,VLOOKUP(A103,'Données projet'!$A$87:$I$107,3,0))</f>
        <v>0</v>
      </c>
      <c r="BL103" s="134">
        <f>IF(ISNA(VLOOKUP(A103,'Données projet'!$A$87:$I$107,4,0)),0,VLOOKUP(A103,'Données projet'!$A$87:$I$107,4,0))</f>
        <v>0</v>
      </c>
      <c r="BM103" s="135">
        <f>IF(ISNA(VLOOKUP(A103,'Données projet'!$A$87:$I$107,5,0)),0%,VLOOKUP(A103,'Données projet'!$A$87:$I$107,5,0)*VLOOKUP('Données projet'!$B$11,'Paramètres'!$A$1:$I$89,7,0))</f>
        <v>0</v>
      </c>
      <c r="BN103" s="135">
        <f>IF(ISNA(VLOOKUP(A103,'Données projet'!$A$87:$I$107,6,0)),0%,VLOOKUP(A103,'Données projet'!$A$87:$I$107,6,0)*VLOOKUP('Données projet'!$B$11,'Paramètres'!$A$1:$I$89,7,0))</f>
        <v>0</v>
      </c>
      <c r="BO103" s="135">
        <f>IF(ISNA(VLOOKUP(A103,'Données projet'!$A$87:$I$107,7,0)),0%,VLOOKUP(A103,'Données projet'!$A$87:$I$107,7,0))</f>
        <v>0</v>
      </c>
      <c r="BP103" s="142">
        <f>EXP(-LN(2)/35)*BP102+(1-EXP(-LN(2)/35))/(LN(2)/35)*BL103*BM103*VLOOKUP('Données projet'!$B$11,'Paramètres'!$A$1:$I$89,3,0)*0.475*44/12</f>
        <v>92.49045038</v>
      </c>
      <c r="BQ103" s="142">
        <f>EXP(-LN(2)/25)*BQ102+(1-EXP(-LN(2)/25))/(LN(2)/25)*Calculateur!BL103*Calculateur!BN103*VLOOKUP('Données projet'!$B$11,'Paramètres'!$A$1:$I$89,3,0)*0.475*44/12</f>
        <v>7.43482295</v>
      </c>
      <c r="BR103" s="142">
        <f>EXP(-LN(2)/2)*BR102+(1-EXP(-LN(2)/2))/(LN(2)/2)*BL103*BO103*VLOOKUP('Données projet'!$B$11,'Paramètres'!$A$1:$I$89,3,0)*0.475*44/12</f>
        <v>0.0003367812905</v>
      </c>
      <c r="BS103" s="143">
        <f t="shared" si="10"/>
        <v>99.92561011</v>
      </c>
      <c r="BT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1" t="str">
        <f>VLOOKUP(A103,'Données projet'!$A$113:$I$133,2,0)</f>
        <v>#N/A</v>
      </c>
      <c r="BW103" s="131" t="str">
        <f>VLOOKUP(A103,'Données projet'!$A$113:$I$133,9,0)</f>
        <v>#N/A</v>
      </c>
      <c r="BX103" s="131" t="str">
        <f t="array" ref="BX103">INDEX(BW:BW,MIN(IF(ISNUMBER(BW103:BW299),ROW(BW103:BW299),"")))</f>
        <v/>
      </c>
      <c r="BY103" s="130">
        <f>IF('Données projet'!$A$114&gt;35,BY102+BX103-CG102,IF(A103&lt;'Données projet'!$A$114,$BV$205^A103,IF(A103='Données projet'!$A$114,'Données projet'!$B$114,BY102+BX103-CG102)))</f>
        <v>0</v>
      </c>
      <c r="BZ103" s="130">
        <f>BY103*VLOOKUP('Données projet'!$B$12,'Paramètres'!$A$1:$I$89,3,0)*VLOOKUP('Données projet'!$B$12,'Paramètres'!$A$1:$I$89,5,0)</f>
        <v>0</v>
      </c>
      <c r="CA103" s="130" t="str">
        <f t="shared" si="40"/>
        <v>#NUM!</v>
      </c>
      <c r="CB103" s="141" t="str">
        <f t="shared" si="11"/>
        <v>#NUM!</v>
      </c>
      <c r="CC103" s="133" t="str">
        <f t="shared" si="12"/>
        <v>#NUM!</v>
      </c>
      <c r="CD103" s="133">
        <f>AVERAGE(OFFSET($CC$3,0,0,'Données projet'!$E$12+1,1))-AVERAGE(OFFSET($H$3,0,0,'Données projet'!$E$12+1,1))</f>
        <v>258.1672054</v>
      </c>
      <c r="CE103" s="133">
        <f t="shared" si="41"/>
        <v>296.0724261</v>
      </c>
      <c r="CF103" s="134">
        <f>IF(ISNA(VLOOKUP(A103,'Données projet'!$A$113:$I$133,3,0)),0,VLOOKUP(A103,'Données projet'!$A$113:$I$133,3,0))</f>
        <v>0</v>
      </c>
      <c r="CG103" s="134">
        <f>IF(ISNA(VLOOKUP(A103,'Données projet'!$A$113:$I$133,4,0)),0,VLOOKUP(A103,'Données projet'!$A$113:$I$133,4,0))</f>
        <v>0</v>
      </c>
      <c r="CH103" s="135">
        <f>IF(ISNA(VLOOKUP(A103,'Données projet'!$A$113:$I$133,5,0)),0%,VLOOKUP(A103,'Données projet'!$A$113:$I$133,5,0)*VLOOKUP('Données projet'!$B$12,'Paramètres'!$A$1:$I$89,7,0))</f>
        <v>0</v>
      </c>
      <c r="CI103" s="135">
        <f>IF(ISNA(VLOOKUP(A103,'Données projet'!$A$113:$I$133,6,0)),0%,VLOOKUP(A103,'Données projet'!$A$113:$I$133,6,0)*VLOOKUP('Données projet'!$B$12,'Paramètres'!$A$1:$I$89,7,0))</f>
        <v>0</v>
      </c>
      <c r="CJ103" s="135">
        <f>IF(ISNA(VLOOKUP(A103,'Données projet'!$A$113:$I$133,7,0)),0%,VLOOKUP(A103,'Données projet'!$A$113:$I$133,7,0))</f>
        <v>0</v>
      </c>
      <c r="CK103" s="142">
        <f>EXP(-LN(2)/35)*CK102+(1-EXP(-LN(2)/35))/(LN(2)/35)*CG103*CH103*VLOOKUP('Données projet'!$B$12,'Paramètres'!$A$1:$I$89,3,0)*0.475*44/12</f>
        <v>116.9362233</v>
      </c>
      <c r="CL103" s="142">
        <f>EXP(-LN(2)/25)*CL102+(1-EXP(-LN(2)/25))/(LN(2)/25)*Calculateur!CG103*Calculateur!CI103*VLOOKUP('Données projet'!$B$12,'Paramètres'!$A$1:$I$89,3,0)*0.475*44/12</f>
        <v>13.04110151</v>
      </c>
      <c r="CM103" s="142">
        <f>EXP(-LN(2)/2)*CM102+(1-EXP(-LN(2)/2))/(LN(2)/2)*CG103*CJ103*VLOOKUP('Données projet'!$B$12,'Paramètres'!$A$1:$I$89,3,0)*0.475*44/12</f>
        <v>0.00001418819826</v>
      </c>
      <c r="CN103" s="143">
        <f t="shared" si="13"/>
        <v>129.977339</v>
      </c>
      <c r="CO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8">
        <f>VLOOKUP(A103,'Données projet'!$A$139:$I$159,2,0)</f>
        <v>216</v>
      </c>
      <c r="CR103" s="130">
        <f>VLOOKUP(A103,'Données projet'!$A$139:$I$159,9,0)</f>
        <v>2.3</v>
      </c>
      <c r="CS103" s="130">
        <f t="array" ref="CS103">INDEX(CR:CR,MIN(IF(ISNUMBER(CR103:CR299),ROW(CR103:CR299),"")))</f>
        <v>2.3</v>
      </c>
      <c r="CT103" s="138">
        <f>IF('Données projet'!$A$140&gt;35,CT102+CS103-DB102,IF(A103&lt;'Données projet'!$A$140,$CQ$205^A103,IF(A103='Données projet'!$A$140,'Données projet'!$B$140,CT102+CS103-DB102)))</f>
        <v>216</v>
      </c>
      <c r="CU103" s="138">
        <f>CT103*VLOOKUP('Données projet'!$B$13,'Paramètres'!$A$1:$I$89,3,0)*VLOOKUP('Données projet'!$B$13,'Paramètres'!$A$1:$I$89,5,0)</f>
        <v>219.024</v>
      </c>
      <c r="CV103" s="130">
        <f t="shared" si="42"/>
        <v>53.90270208</v>
      </c>
      <c r="CW103" s="141">
        <f t="shared" si="14"/>
        <v>475.3473395</v>
      </c>
      <c r="CX103" s="133">
        <f t="shared" si="15"/>
        <v>768.6806728</v>
      </c>
      <c r="CY103" s="133">
        <f>AVERAGE(OFFSET($CX$3,0,0,'Données projet'!$E$13+1,1))-AVERAGE(OFFSET($H$3,0,0,'Données projet'!$E$13+1,1))</f>
        <v>223.783507</v>
      </c>
      <c r="CZ103" s="133">
        <f t="shared" si="43"/>
        <v>84.92349117</v>
      </c>
      <c r="DA103" s="134">
        <f>IF(ISNA(VLOOKUP(A103,'Données projet'!$A$139:$I$159,3,0)),0,VLOOKUP(A103,'Données projet'!$A$139:$I$159,3,0))</f>
        <v>15</v>
      </c>
      <c r="DB103" s="144">
        <f>IF(ISNA(VLOOKUP(A103,'Données projet'!$A$139:$I$159,4,0)),0,VLOOKUP(A103,'Données projet'!$A$139:$I$159,4,0))</f>
        <v>14</v>
      </c>
      <c r="DC103" s="135">
        <f>IF(ISNA(VLOOKUP(A103,'Données projet'!$A$139:$I$159,5,0)),0%,VLOOKUP(A103,'Données projet'!$A$139:$I$159,5,0)*VLOOKUP('Données projet'!$B$13,'Paramètres'!$A$1:$I$89,7,0))</f>
        <v>0.301</v>
      </c>
      <c r="DD103" s="135">
        <f>IF(ISNA(VLOOKUP(A103,'Données projet'!$A$139:$I$159,6,0)),0%,VLOOKUP(A103,'Données projet'!$A$139:$I$159,6,0)*VLOOKUP('Données projet'!$B$13,'Paramètres'!$A$1:$I$89,7,0))</f>
        <v>0</v>
      </c>
      <c r="DE103" s="135" t="str">
        <f>IF(ISNA(VLOOKUP(A103,'Données projet'!$A$139:$I$159,7,0)),0%,VLOOKUP(A103,'Données projet'!$A$139:$I$159,7,0))</f>
        <v/>
      </c>
      <c r="DF103" s="142">
        <f>EXP(-LN(2)/35)*DF102+(1-EXP(-LN(2)/35))/(LN(2)/35)*DB103*DC103*VLOOKUP('Données projet'!$B$13,'Paramètres'!$A$1:$I$89,3,0)*0.475*44/12</f>
        <v>20.92281995</v>
      </c>
      <c r="DG103" s="142">
        <f>EXP(-LN(2)/25)*DG102+(1-EXP(-LN(2)/25))/(LN(2)/25)*Calculateur!DB103*Calculateur!DD103*VLOOKUP('Données projet'!$B$13,'Paramètres'!$A$1:$I$89,3,0)*0.475*44/12</f>
        <v>0</v>
      </c>
      <c r="DH103" s="142">
        <f>EXP(-LN(2)/2)*DH102+(1-EXP(-LN(2)/2))/(LN(2)/2)*DB103*DE103*VLOOKUP('Données projet'!$B$13,'Paramètres'!$A$1:$I$89,3,0)*0.475*44/12</f>
        <v>0</v>
      </c>
      <c r="DI103" s="143">
        <f t="shared" si="16"/>
        <v>20.92281995</v>
      </c>
      <c r="DJ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8">
        <f>VLOOKUP(A103,'Données projet'!$A$165:$I$185,2,0)</f>
        <v>282</v>
      </c>
      <c r="DM103" s="131">
        <f>VLOOKUP(A103,'Données projet'!$A$165:$I$185,9,0)</f>
        <v>2.8</v>
      </c>
      <c r="DN103" s="131">
        <f t="array" ref="DN103">INDEX(DM:DM,MIN(IF(ISNUMBER(DM103:DM299),ROW(DM103:DM299),"")))</f>
        <v>2.8</v>
      </c>
      <c r="DO103" s="138">
        <f>IF('Données projet'!$A$166&gt;35,DO102+DN103-DW102,IF(A103&lt;'Données projet'!$A$166,$DL$205^A103,IF(A103='Données projet'!$A$166,'Données projet'!$B$166,DO102+DN103-DW102)))</f>
        <v>282</v>
      </c>
      <c r="DP103" s="138">
        <f>DO103*VLOOKUP('Données projet'!$B$14,'Paramètres'!$A$1:$I$89,3,0)*VLOOKUP('Données projet'!$B$14,'Paramètres'!$A$1:$I$89,5,0)</f>
        <v>255.1536</v>
      </c>
      <c r="DQ103" s="130">
        <f t="shared" si="44"/>
        <v>61.68819276</v>
      </c>
      <c r="DR103" s="141">
        <f t="shared" si="17"/>
        <v>551.8327891</v>
      </c>
      <c r="DS103" s="133">
        <f t="shared" si="18"/>
        <v>845.1661224</v>
      </c>
      <c r="DT103" s="133">
        <f>AVERAGE(OFFSET($DS$3,0,0,'Données projet'!$E$14+1,1))-AVERAGE(OFFSET($H$3,0,0,'Données projet'!$E$14+1,1))</f>
        <v>287.9334714</v>
      </c>
      <c r="DU103" s="133">
        <f t="shared" si="45"/>
        <v>156.6796502</v>
      </c>
      <c r="DV103" s="134">
        <f>IF(ISNA(VLOOKUP(A103,'Données projet'!$A$165:$I$185,3,0)),0,VLOOKUP(A103,'Données projet'!$A$165:$I$185,3,0))</f>
        <v>16</v>
      </c>
      <c r="DW103" s="144">
        <f>IF(ISNA(VLOOKUP(A103,'Données projet'!$A$165:$I$185,4,0)),0,VLOOKUP(A103,'Données projet'!$A$165:$I$185,4,0))</f>
        <v>21</v>
      </c>
      <c r="DX103" s="135">
        <f>IF(ISNA(VLOOKUP(A103,'Données projet'!$A$165:$I$185,5,0)),0%,VLOOKUP(A103,'Données projet'!$A$165:$I$185,5,0)*VLOOKUP('Données projet'!$B$14,'Paramètres'!$A$1:$I$89,7,0))</f>
        <v>0.301</v>
      </c>
      <c r="DY103" s="135">
        <f>IF(ISNA(VLOOKUP(A103,'Données projet'!$A$165:$I$185,6,0)),0%,VLOOKUP(A103,'Données projet'!$A$165:$I$185,6,0)*VLOOKUP('Données projet'!$B$14,'Paramètres'!$A$1:$I$89,7,0))</f>
        <v>0</v>
      </c>
      <c r="DZ103" s="135" t="str">
        <f>IF(ISNA(VLOOKUP(A103,'Données projet'!$A$165:$I$185,7,0)),0%,VLOOKUP(A103,'Données projet'!$A$165:$I$185,7,0))</f>
        <v/>
      </c>
      <c r="EA103" s="142">
        <f>EXP(-LN(2)/35)*EA102+(1-EXP(-LN(2)/35))/(LN(2)/35)*DW103*DX103*VLOOKUP('Données projet'!$B$14,'Paramètres'!$A$1:$I$89,3,0)*0.475*44/12</f>
        <v>31.1468264</v>
      </c>
      <c r="EB103" s="142">
        <f>EXP(-LN(2)/25)*EB102+(1-EXP(-LN(2)/25))/(LN(2)/25)*Calculateur!DW103*Calculateur!DY103*VLOOKUP('Données projet'!$B$14,'Paramètres'!$A$1:$I$89,3,0)*0.475*44/12</f>
        <v>0</v>
      </c>
      <c r="EC103" s="142">
        <f>EXP(-LN(2)/2)*EC102+(1-EXP(-LN(2)/2))/(LN(2)/2)*DW103*DZ103*VLOOKUP('Données projet'!$B$14,'Paramètres'!$A$1:$I$89,3,0)*0.475*44/12</f>
        <v>0</v>
      </c>
      <c r="ED103" s="143">
        <f t="shared" si="19"/>
        <v>31.1468264</v>
      </c>
      <c r="EE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1" t="str">
        <f>VLOOKUP(A103,'Données projet'!$A$191:$I$211,2,0)</f>
        <v>#N/A</v>
      </c>
      <c r="EH103" s="131" t="str">
        <f>VLOOKUP(A103,'Données projet'!$A$191:$I$211,9,0)</f>
        <v>#N/A</v>
      </c>
      <c r="EI103" s="131" t="str">
        <f t="array" ref="EI103">INDEX(EH:EH,MIN(IF(ISNUMBER(EH103:EH299),ROW(EH103:EH299),"")))</f>
        <v/>
      </c>
      <c r="EJ103" s="138">
        <f>IF('Données projet'!$A$192&gt;35,EJ102+EI103-ER102,IF(A103&lt;'Données projet'!$A$192,$EG$205^A103,IF(A103='Données projet'!$A$192,'Données projet'!$B$192,EJ102+EI103-ER102)))</f>
        <v>0</v>
      </c>
      <c r="EK103" s="138">
        <f>EJ103*VLOOKUP('Données projet'!$B$15,'Paramètres'!$A$1:$I$89,3,0)*VLOOKUP('Données projet'!$B$15,'Paramètres'!$A$1:$I$89,5,0)</f>
        <v>0</v>
      </c>
      <c r="EL103" s="130" t="str">
        <f t="shared" si="46"/>
        <v>#NUM!</v>
      </c>
      <c r="EM103" s="141" t="str">
        <f t="shared" si="20"/>
        <v>#NUM!</v>
      </c>
      <c r="EN103" s="133" t="str">
        <f t="shared" si="21"/>
        <v>#NUM!</v>
      </c>
      <c r="EO103" s="133">
        <f>AVERAGE(OFFSET($EN$3,0,0,'Données projet'!$E$15+1,1))-AVERAGE(OFFSET($H$3,0,0,'Données projet'!$E$15+1,1))</f>
        <v>130.3193339</v>
      </c>
      <c r="EP103" s="133">
        <f t="shared" si="47"/>
        <v>82.22784365</v>
      </c>
      <c r="EQ103" s="134">
        <f>IF(ISNA(VLOOKUP(A103,'Données projet'!$A$191:$I$211,3,0)),0,VLOOKUP(A103,'Données projet'!$A$191:$I$211,3,0))</f>
        <v>0</v>
      </c>
      <c r="ER103" s="134">
        <f>IF(ISNA(VLOOKUP(A103,'Données projet'!$A$191:$I$211,4,0)),0,VLOOKUP(A103,'Données projet'!$A$191:$I$211,4,0))</f>
        <v>0</v>
      </c>
      <c r="ES103" s="135">
        <f>IF(ISNA(VLOOKUP(A103,'Données projet'!$A$191:$I$211,5,0)),0%,VLOOKUP(A103,'Données projet'!$A$191:$I$211,5,0)*VLOOKUP('Données projet'!$B$15,'Paramètres'!$A$1:$I$89,7,0))</f>
        <v>0</v>
      </c>
      <c r="ET103" s="135">
        <f>IF(ISNA(VLOOKUP(A103,'Données projet'!$A$191:$I$211,6,0)),0%,VLOOKUP(A103,'Données projet'!$A$191:$I$211,6,0)*VLOOKUP('Données projet'!$B$15,'Paramètres'!$A$1:$I$89,7,0))</f>
        <v>0</v>
      </c>
      <c r="EU103" s="135">
        <f>IF(ISNA(VLOOKUP(A103,'Données projet'!$A$191:$I$211,7,0)),0%,VLOOKUP(A103,'Données projet'!$A$191:$I$211,7,0))</f>
        <v>0</v>
      </c>
      <c r="EV103" s="142">
        <f>EXP(-LN(2)/35)*EV102+(1-EXP(-LN(2)/35))/(LN(2)/35)*ER103*ES103*VLOOKUP('Données projet'!$B$15,'Paramètres'!$A$1:$I$89,3,0)*0.475*44/12</f>
        <v>71.50408144</v>
      </c>
      <c r="EW103" s="142">
        <f>EXP(-LN(2)/25)*EW102+(1-EXP(-LN(2)/25))/(LN(2)/25)*Calculateur!ER103*Calculateur!ET103*VLOOKUP('Données projet'!$B$15,'Paramètres'!$A$1:$I$89,3,0)*0.475*44/12</f>
        <v>0</v>
      </c>
      <c r="EX103" s="142">
        <f>EXP(-LN(2)/2)*EX102+(1-EXP(-LN(2)/2))/(LN(2)/2)*ER103*EU103*VLOOKUP('Données projet'!$B$15,'Paramètres'!$A$1:$I$89,3,0)*0.475*44/12</f>
        <v>0</v>
      </c>
      <c r="EY103" s="143">
        <f t="shared" si="22"/>
        <v>71.50408144</v>
      </c>
      <c r="EZ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1" t="str">
        <f>VLOOKUP(A103,'Données projet'!$A$217:$I$237,2,0)</f>
        <v>#N/A</v>
      </c>
      <c r="FC103" s="131" t="str">
        <f>VLOOKUP(A103,'Données projet'!$A$217:$I$237,9,0)</f>
        <v>#N/A</v>
      </c>
      <c r="FD103" s="131" t="str">
        <f t="array" ref="FD103">INDEX(FC:FC,MIN(IF(ISNUMBER(FC103:FC299),ROW(FC103:FC299),"")))</f>
        <v/>
      </c>
      <c r="FE103" s="130">
        <f>IF('Données projet'!$A$218&gt;35,FE102+FD103-FM102,IF(A103&lt;'Données projet'!$A$218,$FB$205^A103,IF(A103='Données projet'!$A$218,'Données projet'!$B$218,FE102+FD103-FM102)))</f>
        <v>0</v>
      </c>
      <c r="FF103" s="138">
        <f>FE103*VLOOKUP('Données projet'!$B$16,'Paramètres'!$A$1:$I$89,3,0)*VLOOKUP('Données projet'!$B$16,'Paramètres'!$A$1:$I$89,5,0)</f>
        <v>0</v>
      </c>
      <c r="FG103" s="130">
        <f t="shared" si="48"/>
        <v>0</v>
      </c>
      <c r="FH103" s="141">
        <f t="shared" si="23"/>
        <v>0</v>
      </c>
      <c r="FI103" s="133">
        <f t="shared" si="24"/>
        <v>293.3333333</v>
      </c>
      <c r="FJ103" s="133">
        <f>AVERAGE(OFFSET($FI$3,0,0,'Données projet'!$E$16+1,1))-AVERAGE(OFFSET($H$3,0,0,'Données projet'!$E$16+1,1))</f>
        <v>305.6252353</v>
      </c>
      <c r="FK103" s="133">
        <f t="shared" si="49"/>
        <v>331.397916</v>
      </c>
      <c r="FL103" s="134">
        <f>IF(ISNA(VLOOKUP(A103,'Données projet'!$A$217:$I$237,3,0)),0,VLOOKUP(A103,'Données projet'!$A$217:$I$237,3,0))</f>
        <v>0</v>
      </c>
      <c r="FM103" s="134">
        <f>IF(ISNA(VLOOKUP(A103,'Données projet'!$A$217:$I$237,4,0)),0,VLOOKUP(A103,'Données projet'!$A$217:$I$237,4,0))</f>
        <v>0</v>
      </c>
      <c r="FN103" s="135">
        <f>IF(ISNA(VLOOKUP(A103,'Données projet'!$A$217:$I$237,5,0)),0%,VLOOKUP(A103,'Données projet'!$A$217:$I$237,5,0)*VLOOKUP('Données projet'!$B$16,'Paramètres'!$A$1:$I$89,7,0))</f>
        <v>0</v>
      </c>
      <c r="FO103" s="135">
        <f>IF(ISNA(VLOOKUP(A103,'Données projet'!$A$217:$I$237,6,0)),0%,VLOOKUP(A103,'Données projet'!$A$217:$I$237,6,0)*VLOOKUP('Données projet'!$B$16,'Paramètres'!$A$1:$I$89,7,0))</f>
        <v>0</v>
      </c>
      <c r="FP103" s="135">
        <f>IF(ISNA(VLOOKUP(A103,'Données projet'!$A$217:$I$237,7,0)),0%,VLOOKUP(A103,'Données projet'!$A$217:$I$237,7,0))</f>
        <v>0</v>
      </c>
      <c r="FQ103" s="142">
        <f>EXP(-LN(2)/35)*FQ102+(1-EXP(-LN(2)/35))/(LN(2)/35)*FM103*FN103*VLOOKUP('Données projet'!$B$16,'Paramètres'!$A$1:$I$89,3,0)*0.475*44/12</f>
        <v>44.52057802</v>
      </c>
      <c r="FR103" s="142">
        <f>EXP(-LN(2)/25)*FR102+(1-EXP(-LN(2)/25))/(LN(2)/25)*Calculateur!FM103*Calculateur!FO103*VLOOKUP('Données projet'!$B$16,'Paramètres'!$A$1:$I$89,3,0)*0.475*44/12</f>
        <v>0</v>
      </c>
      <c r="FS103" s="142">
        <f>EXP(-LN(2)/2)*FS102+(1-EXP(-LN(2)/2))/(LN(2)/2)*FM103*FP103*VLOOKUP('Données projet'!$B$16,'Paramètres'!$A$1:$I$89,3,0)*0.475*44/12</f>
        <v>0</v>
      </c>
      <c r="FT103" s="143">
        <f t="shared" si="25"/>
        <v>44.52057802</v>
      </c>
      <c r="FU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1" t="str">
        <f>VLOOKUP(A103,'Données projet'!$A$243:$I$263,2,0)</f>
        <v>#N/A</v>
      </c>
      <c r="FX103" s="131" t="str">
        <f>VLOOKUP(A103,'Données projet'!$A$243:$I$263,9,0)</f>
        <v>#N/A</v>
      </c>
      <c r="FY103" s="131" t="str">
        <f t="array" ref="FY103">INDEX(FX:FX,MIN(IF(ISNUMBER(FX103:FX299),ROW(FX103:FX299),"")))</f>
        <v/>
      </c>
      <c r="FZ103" s="138">
        <f>IF('Données projet'!$A$244&gt;35,FZ102+FY103-GH102,IF(A103&lt;'Données projet'!$A$244,$FW$205^A103,IF(A103='Données projet'!$A$244,'Données projet'!$B$244,FZ102+FY103-GH102)))</f>
        <v>0</v>
      </c>
      <c r="GA103" s="138">
        <f>FZ103*VLOOKUP('Données projet'!$B$17,'Paramètres'!$A$1:$I$89,3,0)*VLOOKUP('Données projet'!$B$17,'Paramètres'!$A$1:$I$89,5,0)</f>
        <v>0</v>
      </c>
      <c r="GB103" s="130">
        <f t="shared" si="50"/>
        <v>0</v>
      </c>
      <c r="GC103" s="141">
        <f t="shared" si="26"/>
        <v>0</v>
      </c>
      <c r="GD103" s="133">
        <f t="shared" si="27"/>
        <v>293.3333333</v>
      </c>
      <c r="GE103" s="133">
        <f>AVERAGE(OFFSET($GD$3,0,0,'Données projet'!$E$17+1,1))-AVERAGE(OFFSET($H$3,0,0,'Données projet'!$E$17+1,1))</f>
        <v>118.7368745</v>
      </c>
      <c r="GF103" s="133">
        <f t="shared" si="51"/>
        <v>135.1233677</v>
      </c>
      <c r="GG103" s="134">
        <f>IF(ISNA(VLOOKUP(A103,'Données projet'!$A$243:$I$263,3,0)),0,VLOOKUP(A103,'Données projet'!$A$243:$I$263,3,0))</f>
        <v>0</v>
      </c>
      <c r="GH103" s="134">
        <f>IF(ISNA(VLOOKUP(A103,'Données projet'!$A$243:$I$263,4,0)),0,VLOOKUP(A103,'Données projet'!$A$243:$I$263,4,0))</f>
        <v>0</v>
      </c>
      <c r="GI103" s="135">
        <f>IF(ISNA(VLOOKUP(A103,'Données projet'!$A$243:$I$263,5,0)),0%,VLOOKUP(A103,'Données projet'!$A$243:$I$263,5,0)*VLOOKUP('Données projet'!$B$17,'Paramètres'!$A$1:$I$89,7,0))</f>
        <v>0</v>
      </c>
      <c r="GJ103" s="135">
        <f>IF(ISNA(VLOOKUP(A103,'Données projet'!$A$243:$I$263,6,0)),0%,VLOOKUP(A103,'Données projet'!$A$243:$I$263,6,0)*VLOOKUP('Données projet'!$B$17,'Paramètres'!$A$1:$I$89,7,0))</f>
        <v>0</v>
      </c>
      <c r="GK103" s="135">
        <f>IF(ISNA(VLOOKUP(A103,'Données projet'!$A$243:$I$263,7,0)),0%,VLOOKUP(A103,'Données projet'!$A$243:$I$263,7,0))</f>
        <v>0</v>
      </c>
      <c r="GL103" s="142">
        <f>EXP(-LN(2)/35)*GL102+(1-EXP(-LN(2)/35))/(LN(2)/35)*GH103*GI103*VLOOKUP('Données projet'!$B$17,'Paramètres'!$A$1:$I$89,3,0)*0.475*44/12</f>
        <v>47.035853</v>
      </c>
      <c r="GM103" s="142">
        <f>EXP(-LN(2)/25)*GM102+(1-EXP(-LN(2)/25))/(LN(2)/25)*Calculateur!GH103*Calculateur!GJ103*VLOOKUP('Données projet'!$B$17,'Paramètres'!$A$1:$I$89,3,0)*0.475*44/12</f>
        <v>0</v>
      </c>
      <c r="GN103" s="142">
        <f>EXP(-LN(2)/2)*GN102+(1-EXP(-LN(2)/2))/(LN(2)/2)*GH103*GK103*VLOOKUP('Données projet'!$B$17,'Paramètres'!$A$1:$I$89,3,0)*0.475*44/12</f>
        <v>0</v>
      </c>
      <c r="GO103" s="142">
        <f t="shared" si="28"/>
        <v>47.035853</v>
      </c>
      <c r="GP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1" t="str">
        <f>VLOOKUP(A103,'Données projet'!$A$269:$I$289,2,0)</f>
        <v>#N/A</v>
      </c>
      <c r="GS103" s="131" t="str">
        <f>VLOOKUP(A103,'Données projet'!$A$269:$I$289,9,0)</f>
        <v>#N/A</v>
      </c>
      <c r="GT103" s="131" t="str">
        <f t="array" ref="GT103">INDEX(GS:GS,MIN(IF(ISNUMBER(GS103:GS299),ROW(GS103:GS299),"")))</f>
        <v/>
      </c>
      <c r="GU103" s="138">
        <f>IF('Données projet'!$A$270&gt;35,GU102+GT103-HC102,IF(A103&lt;'Données projet'!$A$270,$GR$205^A103,IF(A103='Données projet'!$A$270,'Données projet'!$B$270,GU102+GT103-HC102)))</f>
        <v>0</v>
      </c>
      <c r="GV103" s="138">
        <f>GU103*VLOOKUP('Données projet'!$B$18,'Paramètres'!$A$1:$I$89,3,0)*VLOOKUP('Données projet'!$B$18,'Paramètres'!$A$1:$I$89,5,0)</f>
        <v>0</v>
      </c>
      <c r="GW103" s="130" t="str">
        <f t="shared" si="52"/>
        <v>#NUM!</v>
      </c>
      <c r="GX103" s="141" t="str">
        <f t="shared" si="29"/>
        <v>#NUM!</v>
      </c>
      <c r="GY103" s="133" t="str">
        <f t="shared" si="30"/>
        <v>#NUM!</v>
      </c>
      <c r="GZ103" s="133">
        <f>AVERAGE(OFFSET($GY$3,0,0,'Données projet'!$E$18+1,1))-AVERAGE(OFFSET($H$3,0,0,'Données projet'!$E$18+1,1))</f>
        <v>100.5427875</v>
      </c>
      <c r="HA103" s="133">
        <f t="shared" si="53"/>
        <v>92.28663609</v>
      </c>
      <c r="HB103" s="134">
        <f>IF(ISNA(VLOOKUP(A103,'Données projet'!$A$269:$I$289,3,0)),0,VLOOKUP(A103,'Données projet'!$A$269:$I$289,3,0))</f>
        <v>0</v>
      </c>
      <c r="HC103" s="134">
        <f>IF(ISNA(VLOOKUP(A103,'Données projet'!$A$269:$I$289,4,0)),0,VLOOKUP(A103,'Données projet'!$A$269:$I$289,4,0))</f>
        <v>0</v>
      </c>
      <c r="HD103" s="135">
        <f>IF(ISNA(VLOOKUP(A103,'Données projet'!$A$269:$I$289,5,0)),0%,VLOOKUP(A103,'Données projet'!$A$269:$I$289,5,0)*VLOOKUP('Données projet'!$B$18,'Paramètres'!$A$1:$I$89,7,0))</f>
        <v>0</v>
      </c>
      <c r="HE103" s="135">
        <f>IF(ISNA(VLOOKUP(A103,'Données projet'!$A$269:$I$289,6,0)),0%,VLOOKUP(A103,'Données projet'!$A$269:$I$289,6,0)*VLOOKUP('Données projet'!$B$18,'Paramètres'!$A$1:$I$89,7,0))</f>
        <v>0</v>
      </c>
      <c r="HF103" s="135">
        <f>IF(ISNA(VLOOKUP(A103,'Données projet'!$A$269:$I$289,7,0)),0%,VLOOKUP(A103,'Données projet'!$A$269:$I$289,7,0))</f>
        <v>0</v>
      </c>
      <c r="HG103" s="142">
        <f>EXP(-LN(2)/35)*HG102+(1-EXP(-LN(2)/35))/(LN(2)/35)*HC103*HD103*VLOOKUP('Données projet'!$B$18,'Paramètres'!$A$1:$I$89,3,0)*0.475*44/12</f>
        <v>32.03042362</v>
      </c>
      <c r="HH103" s="142">
        <f>EXP(-LN(2)/25)*HH102+(1-EXP(-LN(2)/25))/(LN(2)/25)*Calculateur!HC103*Calculateur!HE103*VLOOKUP('Données projet'!$B$18,'Paramètres'!$A$1:$I$89,3,0)*0.475*44/12</f>
        <v>0</v>
      </c>
      <c r="HI103" s="142">
        <f>EXP(-LN(2)/2)*HI102+(1-EXP(-LN(2)/2))/(LN(2)/2)*HC103*HF103*VLOOKUP('Données projet'!$B$18,'Paramètres'!$A$1:$I$89,3,0)*0.475*44/12</f>
        <v>0</v>
      </c>
      <c r="HJ103" s="143">
        <f t="shared" si="31"/>
        <v>32.03042362</v>
      </c>
    </row>
    <row r="104" ht="15.75" customHeight="1">
      <c r="A104" s="125">
        <f t="shared" si="32"/>
        <v>101</v>
      </c>
      <c r="B104" s="126">
        <f>'Scénario référence'!$B$16*5+'Scénario référence'!$B$17*0+'Scénario référence'!$B$18*5</f>
        <v>0</v>
      </c>
      <c r="C104" s="140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55.146</v>
      </c>
      <c r="D104" s="127">
        <f t="shared" si="33"/>
        <v>15.93506539</v>
      </c>
      <c r="E10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7">
        <f>IF(OR('Scénario référence'!$F$8&gt;0,'Scénario référence'!$F$9&gt;0),('Scénario référence'!$F$8+'Scénario référence'!$F$9)*10,0)</f>
        <v>10</v>
      </c>
      <c r="G104" s="127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</v>
      </c>
      <c r="H104" s="128">
        <f t="shared" si="1"/>
        <v>417.1328555</v>
      </c>
      <c r="I104" s="12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1" t="str">
        <f>VLOOKUP(A104,'Données projet'!$A$35:$I$55,2,0)</f>
        <v>#N/A</v>
      </c>
      <c r="L104" s="131" t="str">
        <f>VLOOKUP(A104,'Données projet'!$A$35:$I$55,9,0)</f>
        <v>#N/A</v>
      </c>
      <c r="M104" s="131" t="str">
        <f t="array" ref="M104">INDEX(L:L,MIN(IF(ISNUMBER(L104:L300),ROW(L104:L300),"")))</f>
        <v/>
      </c>
      <c r="N104" s="130">
        <f>IF('Données projet'!$A$36&gt;35,N103+M104-V103,IF(A104&lt;'Données projet'!$A$36,$K$205^A104,IF(A104='Données projet'!$A$36,'Données projet'!$B$36,N103+M104-V103)))</f>
        <v>0</v>
      </c>
      <c r="O104" s="130">
        <f>N104*VLOOKUP('Données projet'!$B$9,'Paramètres'!$A$1:$I$89,3,0)*VLOOKUP('Données projet'!$B$9,'Paramètres'!$A$1:$I$89,5,0)</f>
        <v>0</v>
      </c>
      <c r="P104" s="130">
        <f t="shared" si="34"/>
        <v>0</v>
      </c>
      <c r="Q104" s="141">
        <f t="shared" si="2"/>
        <v>0</v>
      </c>
      <c r="R104" s="133">
        <f t="shared" si="3"/>
        <v>293.3333333</v>
      </c>
      <c r="S104" s="133">
        <f>AVERAGE(OFFSET($R$3,0,0,'Données projet'!$E$9+1,1))-AVERAGE(OFFSET($H$3,0,0,'Données projet'!$E$9+1,1))</f>
        <v>126.9946492</v>
      </c>
      <c r="T104" s="133">
        <f t="shared" si="35"/>
        <v>140.039049</v>
      </c>
      <c r="U104" s="134">
        <f>IF(ISNA(VLOOKUP(A104,'Données projet'!$A$35:$I$55,3,0)),0,VLOOKUP(A104,'Données projet'!$A$35:$I$55,3,0))</f>
        <v>0</v>
      </c>
      <c r="V104" s="134">
        <f>IF(ISNA(VLOOKUP(A104,'Données projet'!$A$35:$I$55,4,0)),0,VLOOKUP(A104,'Données projet'!$A$35:$I$55,4,0))</f>
        <v>0</v>
      </c>
      <c r="W104" s="135">
        <f>IF(ISNA(VLOOKUP(A104,'Données projet'!$A$35:$I$55,5,0)),0%,VLOOKUP(A104,'Données projet'!$A$35:$I$55,5,0)*VLOOKUP('Données projet'!$B$9,'Paramètres'!$A$1:$I$89,7,0))</f>
        <v>0</v>
      </c>
      <c r="X104" s="135">
        <f>IF(ISNA(VLOOKUP(A104,'Données projet'!$A$35:$I$55,6,0)),0%,VLOOKUP(A104,'Données projet'!$A$35:$I$55,6,0)*VLOOKUP('Données projet'!$B$9,'Paramètres'!$A$1:$I$89,7,0))</f>
        <v>0</v>
      </c>
      <c r="Y104" s="135">
        <f>IF(ISNA(VLOOKUP(A104,'Données projet'!$A$35:$I$55,7,0)),0%,VLOOKUP(A104,'Données projet'!$A$35:$I$55,7,0))</f>
        <v>0</v>
      </c>
      <c r="Z104" s="142">
        <f>EXP(-LN(2)/35)*Z103+(1-EXP(-LN(2)/35))/(LN(2)/35)*V104*W104*VLOOKUP('Données projet'!$B$9,'Paramètres'!$A$1:$I$89,3,0)*0.475*44/12</f>
        <v>47.16385428</v>
      </c>
      <c r="AA104" s="142">
        <f>EXP(-LN(2)/25)*AA103+(1-EXP(-LN(2)/25))/(LN(2)/25)*Calculateur!V104*Calculateur!X104*VLOOKUP('Données projet'!$B$9,'Paramètres'!$A$1:$I$89,3,0)*0.475*44/12</f>
        <v>7.456270472</v>
      </c>
      <c r="AB104" s="142">
        <f>EXP(-LN(2)/2)*AB103+(1-EXP(-LN(2)/2))/(LN(2)/2)*V104*Y104*VLOOKUP('Données projet'!$B$9,'Paramètres'!$A$1:$I$89,3,0)*0.475*44/12</f>
        <v>0.00001280547443</v>
      </c>
      <c r="AC104" s="143">
        <f t="shared" si="4"/>
        <v>54.62013756</v>
      </c>
      <c r="AD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1" t="str">
        <f>VLOOKUP(A104,'Données projet'!$A$61:$I$81,2,0)</f>
        <v>#N/A</v>
      </c>
      <c r="AG104" s="131" t="str">
        <f>VLOOKUP(A104,'Données projet'!$A$61:$I$81,9,0)</f>
        <v>#N/A</v>
      </c>
      <c r="AH104" s="131" t="str">
        <f t="array" ref="AH104">INDEX(AG:AG,MIN(IF(ISNUMBER(AG104:AG300),ROW(AG104:AG300),"")))</f>
        <v/>
      </c>
      <c r="AI104" s="130">
        <f>IF('Données projet'!$A$62&gt;35,AI103+AH104-AQ103,IF(A104&lt;'Données projet'!$A$62,$AF$205^A104,IF(A104='Données projet'!$A$62,'Données projet'!$B$62,AI103+AH104-AQ103)))</f>
        <v>0</v>
      </c>
      <c r="AJ104" s="130">
        <f>AI104*VLOOKUP('Données projet'!$B$10,'Paramètres'!$A$1:$I$89,3,0)*VLOOKUP('Données projet'!$B$10,'Paramètres'!$A$1:$I$89,5,0)</f>
        <v>0</v>
      </c>
      <c r="AK104" s="130" t="str">
        <f t="shared" si="36"/>
        <v>#NUM!</v>
      </c>
      <c r="AL104" s="141" t="str">
        <f t="shared" si="5"/>
        <v>#NUM!</v>
      </c>
      <c r="AM104" s="133" t="str">
        <f t="shared" si="6"/>
        <v>#NUM!</v>
      </c>
      <c r="AN104" s="133">
        <f>AVERAGE(OFFSET($AM$3,0,0,'Données projet'!$E$10+1,1))-AVERAGE(OFFSET($H$3,0,0,'Données projet'!$E$10+1,1))</f>
        <v>196.874484</v>
      </c>
      <c r="AO104" s="133">
        <f t="shared" si="37"/>
        <v>217.5750859</v>
      </c>
      <c r="AP104" s="134">
        <f>IF(ISNA(VLOOKUP(A104,'Données projet'!$A$61:$I$81,3,0)),0,VLOOKUP(A104,'Données projet'!$A$61:$I$81,3,0))</f>
        <v>0</v>
      </c>
      <c r="AQ104" s="134">
        <f>IF(ISNA(VLOOKUP(A104,'Données projet'!$A$61:$I$81,4,0)),0,VLOOKUP(A104,'Données projet'!$A$61:$I$81,4,0))</f>
        <v>0</v>
      </c>
      <c r="AR104" s="135">
        <f>IF(ISNA(VLOOKUP(A104,'Données projet'!$A$61:$I$81,5,0)),0%,VLOOKUP(A104,'Données projet'!$A$61:$I$81,5,0)*VLOOKUP('Données projet'!$B$10,'Paramètres'!$A$1:$I$89,7,0))</f>
        <v>0</v>
      </c>
      <c r="AS104" s="135">
        <f>IF(ISNA(VLOOKUP(A104,'Données projet'!$A$61:$I$81,6,0)),0%,VLOOKUP(A104,'Données projet'!$A$61:$I$81,6,0)*VLOOKUP('Données projet'!$B$10,'Paramètres'!$A$1:$I$89,7,0))</f>
        <v>0</v>
      </c>
      <c r="AT104" s="135">
        <f>IF(ISNA(VLOOKUP(A104,'Données projet'!$A$61:$I$81,7,0)),0%,VLOOKUP(A104,'Données projet'!$A$61:$I$81,7,0))</f>
        <v>0</v>
      </c>
      <c r="AU104" s="142">
        <f>EXP(-LN(2)/35)*AU103+(1-EXP(-LN(2)/35))/(LN(2)/35)*AQ104*AR104*VLOOKUP('Données projet'!$B$10,'Paramètres'!$A$1:$I$89,3,0)*0.475*44/12</f>
        <v>65.55641782</v>
      </c>
      <c r="AV104" s="142">
        <f>EXP(-LN(2)/25)*AV103+(1-EXP(-LN(2)/25))/(LN(2)/25)*Calculateur!AQ104*Calculateur!AS104*VLOOKUP('Données projet'!$B$10,'Paramètres'!$A$1:$I$89,3,0)*0.475*44/12</f>
        <v>11.46402581</v>
      </c>
      <c r="AW104" s="142">
        <f>EXP(-LN(2)/2)*AW103+(1-EXP(-LN(2)/2))/(LN(2)/2)*AQ104*AT104*VLOOKUP('Données projet'!$B$10,'Paramètres'!$A$1:$I$89,3,0)*0.475*44/12</f>
        <v>0.00001785351995</v>
      </c>
      <c r="AX104" s="142">
        <f t="shared" si="7"/>
        <v>77.02046149</v>
      </c>
      <c r="AY104" s="13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1" t="str">
        <f>VLOOKUP(A104,'Données projet'!$A$87:$I$107,2,0)</f>
        <v>#N/A</v>
      </c>
      <c r="BB104" s="131" t="str">
        <f>VLOOKUP(A104,'Données projet'!$A$87:$I$107,9,0)</f>
        <v>#N/A</v>
      </c>
      <c r="BC104" s="131" t="str">
        <f t="array" ref="BC104">INDEX(BB:BB,MIN(IF(ISNUMBER(BB104:BB300),ROW(BB104:BB300),"")))</f>
        <v/>
      </c>
      <c r="BD104" s="130">
        <f>IF('Données projet'!$A$88&gt;35,BD103+BC104-BL103,IF(A104&lt;'Données projet'!$A$88,$BA$205^A104,IF(A104='Données projet'!$A$88,'Données projet'!$B$88,BD103+BC104-BL103)))</f>
        <v>0</v>
      </c>
      <c r="BE104" s="130">
        <f>BD104*VLOOKUP('Données projet'!$B$11,'Paramètres'!$A$1:$I$89,3,0)*VLOOKUP('Données projet'!$B$11,'Paramètres'!$A$1:$I$89,5,0)</f>
        <v>0</v>
      </c>
      <c r="BF104" s="130" t="str">
        <f t="shared" si="38"/>
        <v>#NUM!</v>
      </c>
      <c r="BG104" s="141" t="str">
        <f t="shared" si="8"/>
        <v>#NUM!</v>
      </c>
      <c r="BH104" s="133" t="str">
        <f t="shared" si="9"/>
        <v>#NUM!</v>
      </c>
      <c r="BI104" s="133">
        <f>AVERAGE(OFFSET($BH$3,0,0,'Données projet'!$E$11+1,1))-AVERAGE(OFFSET($H$3,0,0,'Données projet'!$E$11+1,1))</f>
        <v>134.0948534</v>
      </c>
      <c r="BJ104" s="133">
        <f t="shared" si="39"/>
        <v>108.4102536</v>
      </c>
      <c r="BK104" s="134">
        <f>IF(ISNA(VLOOKUP(A104,'Données projet'!$A$87:$I$107,3,0)),0,VLOOKUP(A104,'Données projet'!$A$87:$I$107,3,0))</f>
        <v>0</v>
      </c>
      <c r="BL104" s="134">
        <f>IF(ISNA(VLOOKUP(A104,'Données projet'!$A$87:$I$107,4,0)),0,VLOOKUP(A104,'Données projet'!$A$87:$I$107,4,0))</f>
        <v>0</v>
      </c>
      <c r="BM104" s="135">
        <f>IF(ISNA(VLOOKUP(A104,'Données projet'!$A$87:$I$107,5,0)),0%,VLOOKUP(A104,'Données projet'!$A$87:$I$107,5,0)*VLOOKUP('Données projet'!$B$11,'Paramètres'!$A$1:$I$89,7,0))</f>
        <v>0</v>
      </c>
      <c r="BN104" s="135">
        <f>IF(ISNA(VLOOKUP(A104,'Données projet'!$A$87:$I$107,6,0)),0%,VLOOKUP(A104,'Données projet'!$A$87:$I$107,6,0)*VLOOKUP('Données projet'!$B$11,'Paramètres'!$A$1:$I$89,7,0))</f>
        <v>0</v>
      </c>
      <c r="BO104" s="135">
        <f>IF(ISNA(VLOOKUP(A104,'Données projet'!$A$87:$I$107,7,0)),0%,VLOOKUP(A104,'Données projet'!$A$87:$I$107,7,0))</f>
        <v>0</v>
      </c>
      <c r="BP104" s="142">
        <f>EXP(-LN(2)/35)*BP103+(1-EXP(-LN(2)/35))/(LN(2)/35)*BL104*BM104*VLOOKUP('Données projet'!$B$11,'Paramètres'!$A$1:$I$89,3,0)*0.475*44/12</f>
        <v>90.67676906</v>
      </c>
      <c r="BQ104" s="142">
        <f>EXP(-LN(2)/25)*BQ103+(1-EXP(-LN(2)/25))/(LN(2)/25)*Calculateur!BL104*Calculateur!BN104*VLOOKUP('Données projet'!$B$11,'Paramètres'!$A$1:$I$89,3,0)*0.475*44/12</f>
        <v>7.231517325</v>
      </c>
      <c r="BR104" s="142">
        <f>EXP(-LN(2)/2)*BR103+(1-EXP(-LN(2)/2))/(LN(2)/2)*BL104*BO104*VLOOKUP('Données projet'!$B$11,'Paramètres'!$A$1:$I$89,3,0)*0.475*44/12</f>
        <v>0.0002381403343</v>
      </c>
      <c r="BS104" s="143">
        <f t="shared" si="10"/>
        <v>97.90852453</v>
      </c>
      <c r="BT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1" t="str">
        <f>VLOOKUP(A104,'Données projet'!$A$113:$I$133,2,0)</f>
        <v>#N/A</v>
      </c>
      <c r="BW104" s="131" t="str">
        <f>VLOOKUP(A104,'Données projet'!$A$113:$I$133,9,0)</f>
        <v>#N/A</v>
      </c>
      <c r="BX104" s="131" t="str">
        <f t="array" ref="BX104">INDEX(BW:BW,MIN(IF(ISNUMBER(BW104:BW300),ROW(BW104:BW300),"")))</f>
        <v/>
      </c>
      <c r="BY104" s="130">
        <f>IF('Données projet'!$A$114&gt;35,BY103+BX104-CG103,IF(A104&lt;'Données projet'!$A$114,$BV$205^A104,IF(A104='Données projet'!$A$114,'Données projet'!$B$114,BY103+BX104-CG103)))</f>
        <v>0</v>
      </c>
      <c r="BZ104" s="130">
        <f>BY104*VLOOKUP('Données projet'!$B$12,'Paramètres'!$A$1:$I$89,3,0)*VLOOKUP('Données projet'!$B$12,'Paramètres'!$A$1:$I$89,5,0)</f>
        <v>0</v>
      </c>
      <c r="CA104" s="130" t="str">
        <f t="shared" si="40"/>
        <v>#NUM!</v>
      </c>
      <c r="CB104" s="141" t="str">
        <f t="shared" si="11"/>
        <v>#NUM!</v>
      </c>
      <c r="CC104" s="133" t="str">
        <f t="shared" si="12"/>
        <v>#NUM!</v>
      </c>
      <c r="CD104" s="133">
        <f>AVERAGE(OFFSET($CC$3,0,0,'Données projet'!$E$12+1,1))-AVERAGE(OFFSET($H$3,0,0,'Données projet'!$E$12+1,1))</f>
        <v>258.1672054</v>
      </c>
      <c r="CE104" s="133">
        <f t="shared" si="41"/>
        <v>296.0724261</v>
      </c>
      <c r="CF104" s="134">
        <f>IF(ISNA(VLOOKUP(A104,'Données projet'!$A$113:$I$133,3,0)),0,VLOOKUP(A104,'Données projet'!$A$113:$I$133,3,0))</f>
        <v>0</v>
      </c>
      <c r="CG104" s="134">
        <f>IF(ISNA(VLOOKUP(A104,'Données projet'!$A$113:$I$133,4,0)),0,VLOOKUP(A104,'Données projet'!$A$113:$I$133,4,0))</f>
        <v>0</v>
      </c>
      <c r="CH104" s="135">
        <f>IF(ISNA(VLOOKUP(A104,'Données projet'!$A$113:$I$133,5,0)),0%,VLOOKUP(A104,'Données projet'!$A$113:$I$133,5,0)*VLOOKUP('Données projet'!$B$12,'Paramètres'!$A$1:$I$89,7,0))</f>
        <v>0</v>
      </c>
      <c r="CI104" s="135">
        <f>IF(ISNA(VLOOKUP(A104,'Données projet'!$A$113:$I$133,6,0)),0%,VLOOKUP(A104,'Données projet'!$A$113:$I$133,6,0)*VLOOKUP('Données projet'!$B$12,'Paramètres'!$A$1:$I$89,7,0))</f>
        <v>0</v>
      </c>
      <c r="CJ104" s="135">
        <f>IF(ISNA(VLOOKUP(A104,'Données projet'!$A$113:$I$133,7,0)),0%,VLOOKUP(A104,'Données projet'!$A$113:$I$133,7,0))</f>
        <v>0</v>
      </c>
      <c r="CK104" s="142">
        <f>EXP(-LN(2)/35)*CK103+(1-EXP(-LN(2)/35))/(LN(2)/35)*CG104*CH104*VLOOKUP('Données projet'!$B$12,'Paramètres'!$A$1:$I$89,3,0)*0.475*44/12</f>
        <v>114.6431753</v>
      </c>
      <c r="CL104" s="142">
        <f>EXP(-LN(2)/25)*CL103+(1-EXP(-LN(2)/25))/(LN(2)/25)*Calculateur!CG104*Calculateur!CI104*VLOOKUP('Données projet'!$B$12,'Paramètres'!$A$1:$I$89,3,0)*0.475*44/12</f>
        <v>12.6844919</v>
      </c>
      <c r="CM104" s="142">
        <f>EXP(-LN(2)/2)*CM103+(1-EXP(-LN(2)/2))/(LN(2)/2)*CG104*CJ104*VLOOKUP('Données projet'!$B$12,'Paramètres'!$A$1:$I$89,3,0)*0.475*44/12</f>
        <v>0.0000100325712</v>
      </c>
      <c r="CN104" s="143">
        <f t="shared" si="13"/>
        <v>127.3276772</v>
      </c>
      <c r="CO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1" t="str">
        <f>VLOOKUP(A104,'Données projet'!$A$139:$I$159,2,0)</f>
        <v>#N/A</v>
      </c>
      <c r="CR104" s="131" t="str">
        <f>VLOOKUP(A104,'Données projet'!$A$139:$I$159,9,0)</f>
        <v>#N/A</v>
      </c>
      <c r="CS104" s="130">
        <f t="array" ref="CS104">INDEX(CR:CR,MIN(IF(ISNUMBER(CR104:CR300),ROW(CR104:CR300),"")))</f>
        <v>1.7</v>
      </c>
      <c r="CT104" s="138">
        <f>IF('Données projet'!$A$140&gt;35,CT103+CS104-DB103,IF(A104&lt;'Données projet'!$A$140,$CQ$205^A104,IF(A104='Données projet'!$A$140,'Données projet'!$B$140,CT103+CS104-DB103)))</f>
        <v>203.7</v>
      </c>
      <c r="CU104" s="138">
        <f>CT104*VLOOKUP('Données projet'!$B$13,'Paramètres'!$A$1:$I$89,3,0)*VLOOKUP('Données projet'!$B$13,'Paramètres'!$A$1:$I$89,5,0)</f>
        <v>206.5518</v>
      </c>
      <c r="CV104" s="130">
        <f t="shared" si="42"/>
        <v>51.18134271</v>
      </c>
      <c r="CW104" s="141">
        <f t="shared" si="14"/>
        <v>448.8852236</v>
      </c>
      <c r="CX104" s="133">
        <f t="shared" si="15"/>
        <v>742.2185569</v>
      </c>
      <c r="CY104" s="133">
        <f>AVERAGE(OFFSET($CX$3,0,0,'Données projet'!$E$13+1,1))-AVERAGE(OFFSET($H$3,0,0,'Données projet'!$E$13+1,1))</f>
        <v>223.783507</v>
      </c>
      <c r="CZ104" s="133">
        <f t="shared" si="43"/>
        <v>84.92349117</v>
      </c>
      <c r="DA104" s="134">
        <f>IF(ISNA(VLOOKUP(A104,'Données projet'!$A$139:$I$159,3,0)),0,VLOOKUP(A104,'Données projet'!$A$139:$I$159,3,0))</f>
        <v>0</v>
      </c>
      <c r="DB104" s="134">
        <f>IF(ISNA(VLOOKUP(A104,'Données projet'!$A$139:$I$159,4,0)),0,VLOOKUP(A104,'Données projet'!$A$139:$I$159,4,0))</f>
        <v>0</v>
      </c>
      <c r="DC104" s="135">
        <f>IF(ISNA(VLOOKUP(A104,'Données projet'!$A$139:$I$159,5,0)),0%,VLOOKUP(A104,'Données projet'!$A$139:$I$159,5,0)*VLOOKUP('Données projet'!$B$13,'Paramètres'!$A$1:$I$89,7,0))</f>
        <v>0</v>
      </c>
      <c r="DD104" s="135">
        <f>IF(ISNA(VLOOKUP(A104,'Données projet'!$A$139:$I$159,6,0)),0%,VLOOKUP(A104,'Données projet'!$A$139:$I$159,6,0)*VLOOKUP('Données projet'!$B$13,'Paramètres'!$A$1:$I$89,7,0))</f>
        <v>0</v>
      </c>
      <c r="DE104" s="135">
        <f>IF(ISNA(VLOOKUP(A104,'Données projet'!$A$139:$I$159,7,0)),0%,VLOOKUP(A104,'Données projet'!$A$139:$I$159,7,0))</f>
        <v>0</v>
      </c>
      <c r="DF104" s="142">
        <f>EXP(-LN(2)/35)*DF103+(1-EXP(-LN(2)/35))/(LN(2)/35)*DB104*DC104*VLOOKUP('Données projet'!$B$13,'Paramètres'!$A$1:$I$89,3,0)*0.475*44/12</f>
        <v>20.51253621</v>
      </c>
      <c r="DG104" s="142">
        <f>EXP(-LN(2)/25)*DG103+(1-EXP(-LN(2)/25))/(LN(2)/25)*Calculateur!DB104*Calculateur!DD104*VLOOKUP('Données projet'!$B$13,'Paramètres'!$A$1:$I$89,3,0)*0.475*44/12</f>
        <v>0</v>
      </c>
      <c r="DH104" s="142">
        <f>EXP(-LN(2)/2)*DH103+(1-EXP(-LN(2)/2))/(LN(2)/2)*DB104*DE104*VLOOKUP('Données projet'!$B$13,'Paramètres'!$A$1:$I$89,3,0)*0.475*44/12</f>
        <v>0</v>
      </c>
      <c r="DI104" s="143">
        <f t="shared" si="16"/>
        <v>20.51253621</v>
      </c>
      <c r="DJ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1" t="str">
        <f>VLOOKUP(A104,'Données projet'!$A$165:$I$185,2,0)</f>
        <v>#N/A</v>
      </c>
      <c r="DM104" s="131" t="str">
        <f>VLOOKUP(A104,'Données projet'!$A$165:$I$185,9,0)</f>
        <v>#N/A</v>
      </c>
      <c r="DN104" s="131">
        <f t="array" ref="DN104">INDEX(DM:DM,MIN(IF(ISNUMBER(DM104:DM300),ROW(DM104:DM300),"")))</f>
        <v>2.4</v>
      </c>
      <c r="DO104" s="138">
        <f>IF('Données projet'!$A$166&gt;35,DO103+DN104-DW103,IF(A104&lt;'Données projet'!$A$166,$DL$205^A104,IF(A104='Données projet'!$A$166,'Données projet'!$B$166,DO103+DN104-DW103)))</f>
        <v>263.4</v>
      </c>
      <c r="DP104" s="138">
        <f>DO104*VLOOKUP('Données projet'!$B$14,'Paramètres'!$A$1:$I$89,3,0)*VLOOKUP('Données projet'!$B$14,'Paramètres'!$A$1:$I$89,5,0)</f>
        <v>238.32432</v>
      </c>
      <c r="DQ104" s="130">
        <f t="shared" si="44"/>
        <v>58.07885288</v>
      </c>
      <c r="DR104" s="141">
        <f t="shared" si="17"/>
        <v>516.2355261</v>
      </c>
      <c r="DS104" s="133">
        <f t="shared" si="18"/>
        <v>809.5688594</v>
      </c>
      <c r="DT104" s="133">
        <f>AVERAGE(OFFSET($DS$3,0,0,'Données projet'!$E$14+1,1))-AVERAGE(OFFSET($H$3,0,0,'Données projet'!$E$14+1,1))</f>
        <v>287.9334714</v>
      </c>
      <c r="DU104" s="133">
        <f t="shared" si="45"/>
        <v>156.6796502</v>
      </c>
      <c r="DV104" s="134">
        <f>IF(ISNA(VLOOKUP(A104,'Données projet'!$A$165:$I$185,3,0)),0,VLOOKUP(A104,'Données projet'!$A$165:$I$185,3,0))</f>
        <v>0</v>
      </c>
      <c r="DW104" s="134">
        <f>IF(ISNA(VLOOKUP(A104,'Données projet'!$A$165:$I$185,4,0)),0,VLOOKUP(A104,'Données projet'!$A$165:$I$185,4,0))</f>
        <v>0</v>
      </c>
      <c r="DX104" s="135">
        <f>IF(ISNA(VLOOKUP(A104,'Données projet'!$A$165:$I$185,5,0)),0%,VLOOKUP(A104,'Données projet'!$A$165:$I$185,5,0)*VLOOKUP('Données projet'!$B$14,'Paramètres'!$A$1:$I$89,7,0))</f>
        <v>0</v>
      </c>
      <c r="DY104" s="135">
        <f>IF(ISNA(VLOOKUP(A104,'Données projet'!$A$165:$I$185,6,0)),0%,VLOOKUP(A104,'Données projet'!$A$165:$I$185,6,0)*VLOOKUP('Données projet'!$B$14,'Paramètres'!$A$1:$I$89,7,0))</f>
        <v>0</v>
      </c>
      <c r="DZ104" s="135">
        <f>IF(ISNA(VLOOKUP(A104,'Données projet'!$A$165:$I$185,7,0)),0%,VLOOKUP(A104,'Données projet'!$A$165:$I$185,7,0))</f>
        <v>0</v>
      </c>
      <c r="EA104" s="142">
        <f>EXP(-LN(2)/35)*EA103+(1-EXP(-LN(2)/35))/(LN(2)/35)*DW104*DX104*VLOOKUP('Données projet'!$B$14,'Paramètres'!$A$1:$I$89,3,0)*0.475*44/12</f>
        <v>30.53605613</v>
      </c>
      <c r="EB104" s="142">
        <f>EXP(-LN(2)/25)*EB103+(1-EXP(-LN(2)/25))/(LN(2)/25)*Calculateur!DW104*Calculateur!DY104*VLOOKUP('Données projet'!$B$14,'Paramètres'!$A$1:$I$89,3,0)*0.475*44/12</f>
        <v>0</v>
      </c>
      <c r="EC104" s="142">
        <f>EXP(-LN(2)/2)*EC103+(1-EXP(-LN(2)/2))/(LN(2)/2)*DW104*DZ104*VLOOKUP('Données projet'!$B$14,'Paramètres'!$A$1:$I$89,3,0)*0.475*44/12</f>
        <v>0</v>
      </c>
      <c r="ED104" s="143">
        <f t="shared" si="19"/>
        <v>30.53605613</v>
      </c>
      <c r="EE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1" t="str">
        <f>VLOOKUP(A104,'Données projet'!$A$191:$I$211,2,0)</f>
        <v>#N/A</v>
      </c>
      <c r="EH104" s="131" t="str">
        <f>VLOOKUP(A104,'Données projet'!$A$191:$I$211,9,0)</f>
        <v>#N/A</v>
      </c>
      <c r="EI104" s="131" t="str">
        <f t="array" ref="EI104">INDEX(EH:EH,MIN(IF(ISNUMBER(EH104:EH300),ROW(EH104:EH300),"")))</f>
        <v/>
      </c>
      <c r="EJ104" s="138">
        <f>IF('Données projet'!$A$192&gt;35,EJ103+EI104-ER103,IF(A104&lt;'Données projet'!$A$192,$EG$205^A104,IF(A104='Données projet'!$A$192,'Données projet'!$B$192,EJ103+EI104-ER103)))</f>
        <v>0</v>
      </c>
      <c r="EK104" s="138">
        <f>EJ104*VLOOKUP('Données projet'!$B$15,'Paramètres'!$A$1:$I$89,3,0)*VLOOKUP('Données projet'!$B$15,'Paramètres'!$A$1:$I$89,5,0)</f>
        <v>0</v>
      </c>
      <c r="EL104" s="130" t="str">
        <f t="shared" si="46"/>
        <v>#NUM!</v>
      </c>
      <c r="EM104" s="141" t="str">
        <f t="shared" si="20"/>
        <v>#NUM!</v>
      </c>
      <c r="EN104" s="133" t="str">
        <f t="shared" si="21"/>
        <v>#NUM!</v>
      </c>
      <c r="EO104" s="133">
        <f>AVERAGE(OFFSET($EN$3,0,0,'Données projet'!$E$15+1,1))-AVERAGE(OFFSET($H$3,0,0,'Données projet'!$E$15+1,1))</f>
        <v>130.3193339</v>
      </c>
      <c r="EP104" s="133">
        <f t="shared" si="47"/>
        <v>82.22784365</v>
      </c>
      <c r="EQ104" s="134">
        <f>IF(ISNA(VLOOKUP(A104,'Données projet'!$A$191:$I$211,3,0)),0,VLOOKUP(A104,'Données projet'!$A$191:$I$211,3,0))</f>
        <v>0</v>
      </c>
      <c r="ER104" s="134">
        <f>IF(ISNA(VLOOKUP(A104,'Données projet'!$A$191:$I$211,4,0)),0,VLOOKUP(A104,'Données projet'!$A$191:$I$211,4,0))</f>
        <v>0</v>
      </c>
      <c r="ES104" s="135">
        <f>IF(ISNA(VLOOKUP(A104,'Données projet'!$A$191:$I$211,5,0)),0%,VLOOKUP(A104,'Données projet'!$A$191:$I$211,5,0)*VLOOKUP('Données projet'!$B$15,'Paramètres'!$A$1:$I$89,7,0))</f>
        <v>0</v>
      </c>
      <c r="ET104" s="135">
        <f>IF(ISNA(VLOOKUP(A104,'Données projet'!$A$191:$I$211,6,0)),0%,VLOOKUP(A104,'Données projet'!$A$191:$I$211,6,0)*VLOOKUP('Données projet'!$B$15,'Paramètres'!$A$1:$I$89,7,0))</f>
        <v>0</v>
      </c>
      <c r="EU104" s="135">
        <f>IF(ISNA(VLOOKUP(A104,'Données projet'!$A$191:$I$211,7,0)),0%,VLOOKUP(A104,'Données projet'!$A$191:$I$211,7,0))</f>
        <v>0</v>
      </c>
      <c r="EV104" s="142">
        <f>EXP(-LN(2)/35)*EV103+(1-EXP(-LN(2)/35))/(LN(2)/35)*ER104*ES104*VLOOKUP('Données projet'!$B$15,'Paramètres'!$A$1:$I$89,3,0)*0.475*44/12</f>
        <v>70.10193001</v>
      </c>
      <c r="EW104" s="142">
        <f>EXP(-LN(2)/25)*EW103+(1-EXP(-LN(2)/25))/(LN(2)/25)*Calculateur!ER104*Calculateur!ET104*VLOOKUP('Données projet'!$B$15,'Paramètres'!$A$1:$I$89,3,0)*0.475*44/12</f>
        <v>0</v>
      </c>
      <c r="EX104" s="142">
        <f>EXP(-LN(2)/2)*EX103+(1-EXP(-LN(2)/2))/(LN(2)/2)*ER104*EU104*VLOOKUP('Données projet'!$B$15,'Paramètres'!$A$1:$I$89,3,0)*0.475*44/12</f>
        <v>0</v>
      </c>
      <c r="EY104" s="143">
        <f t="shared" si="22"/>
        <v>70.10193001</v>
      </c>
      <c r="EZ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1" t="str">
        <f>VLOOKUP(A104,'Données projet'!$A$217:$I$237,2,0)</f>
        <v>#N/A</v>
      </c>
      <c r="FC104" s="131" t="str">
        <f>VLOOKUP(A104,'Données projet'!$A$217:$I$237,9,0)</f>
        <v>#N/A</v>
      </c>
      <c r="FD104" s="131" t="str">
        <f t="array" ref="FD104">INDEX(FC:FC,MIN(IF(ISNUMBER(FC104:FC300),ROW(FC104:FC300),"")))</f>
        <v/>
      </c>
      <c r="FE104" s="130">
        <f>IF('Données projet'!$A$218&gt;35,FE103+FD104-FM103,IF(A104&lt;'Données projet'!$A$218,$FB$205^A104,IF(A104='Données projet'!$A$218,'Données projet'!$B$218,FE103+FD104-FM103)))</f>
        <v>0</v>
      </c>
      <c r="FF104" s="138">
        <f>FE104*VLOOKUP('Données projet'!$B$16,'Paramètres'!$A$1:$I$89,3,0)*VLOOKUP('Données projet'!$B$16,'Paramètres'!$A$1:$I$89,5,0)</f>
        <v>0</v>
      </c>
      <c r="FG104" s="130">
        <f t="shared" si="48"/>
        <v>0</v>
      </c>
      <c r="FH104" s="141">
        <f t="shared" si="23"/>
        <v>0</v>
      </c>
      <c r="FI104" s="133">
        <f t="shared" si="24"/>
        <v>293.3333333</v>
      </c>
      <c r="FJ104" s="133">
        <f>AVERAGE(OFFSET($FI$3,0,0,'Données projet'!$E$16+1,1))-AVERAGE(OFFSET($H$3,0,0,'Données projet'!$E$16+1,1))</f>
        <v>305.6252353</v>
      </c>
      <c r="FK104" s="133">
        <f t="shared" si="49"/>
        <v>331.397916</v>
      </c>
      <c r="FL104" s="134">
        <f>IF(ISNA(VLOOKUP(A104,'Données projet'!$A$217:$I$237,3,0)),0,VLOOKUP(A104,'Données projet'!$A$217:$I$237,3,0))</f>
        <v>0</v>
      </c>
      <c r="FM104" s="134">
        <f>IF(ISNA(VLOOKUP(A104,'Données projet'!$A$217:$I$237,4,0)),0,VLOOKUP(A104,'Données projet'!$A$217:$I$237,4,0))</f>
        <v>0</v>
      </c>
      <c r="FN104" s="135">
        <f>IF(ISNA(VLOOKUP(A104,'Données projet'!$A$217:$I$237,5,0)),0%,VLOOKUP(A104,'Données projet'!$A$217:$I$237,5,0)*VLOOKUP('Données projet'!$B$16,'Paramètres'!$A$1:$I$89,7,0))</f>
        <v>0</v>
      </c>
      <c r="FO104" s="135">
        <f>IF(ISNA(VLOOKUP(A104,'Données projet'!$A$217:$I$237,6,0)),0%,VLOOKUP(A104,'Données projet'!$A$217:$I$237,6,0)*VLOOKUP('Données projet'!$B$16,'Paramètres'!$A$1:$I$89,7,0))</f>
        <v>0</v>
      </c>
      <c r="FP104" s="135">
        <f>IF(ISNA(VLOOKUP(A104,'Données projet'!$A$217:$I$237,7,0)),0%,VLOOKUP(A104,'Données projet'!$A$217:$I$237,7,0))</f>
        <v>0</v>
      </c>
      <c r="FQ104" s="142">
        <f>EXP(-LN(2)/35)*FQ103+(1-EXP(-LN(2)/35))/(LN(2)/35)*FM104*FN104*VLOOKUP('Données projet'!$B$16,'Paramètres'!$A$1:$I$89,3,0)*0.475*44/12</f>
        <v>43.64755664</v>
      </c>
      <c r="FR104" s="142">
        <f>EXP(-LN(2)/25)*FR103+(1-EXP(-LN(2)/25))/(LN(2)/25)*Calculateur!FM104*Calculateur!FO104*VLOOKUP('Données projet'!$B$16,'Paramètres'!$A$1:$I$89,3,0)*0.475*44/12</f>
        <v>0</v>
      </c>
      <c r="FS104" s="142">
        <f>EXP(-LN(2)/2)*FS103+(1-EXP(-LN(2)/2))/(LN(2)/2)*FM104*FP104*VLOOKUP('Données projet'!$B$16,'Paramètres'!$A$1:$I$89,3,0)*0.475*44/12</f>
        <v>0</v>
      </c>
      <c r="FT104" s="143">
        <f t="shared" si="25"/>
        <v>43.64755664</v>
      </c>
      <c r="FU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1" t="str">
        <f>VLOOKUP(A104,'Données projet'!$A$243:$I$263,2,0)</f>
        <v>#N/A</v>
      </c>
      <c r="FX104" s="131" t="str">
        <f>VLOOKUP(A104,'Données projet'!$A$243:$I$263,9,0)</f>
        <v>#N/A</v>
      </c>
      <c r="FY104" s="131" t="str">
        <f t="array" ref="FY104">INDEX(FX:FX,MIN(IF(ISNUMBER(FX104:FX300),ROW(FX104:FX300),"")))</f>
        <v/>
      </c>
      <c r="FZ104" s="138">
        <f>IF('Données projet'!$A$244&gt;35,FZ103+FY104-GH103,IF(A104&lt;'Données projet'!$A$244,$FW$205^A104,IF(A104='Données projet'!$A$244,'Données projet'!$B$244,FZ103+FY104-GH103)))</f>
        <v>0</v>
      </c>
      <c r="GA104" s="138">
        <f>FZ104*VLOOKUP('Données projet'!$B$17,'Paramètres'!$A$1:$I$89,3,0)*VLOOKUP('Données projet'!$B$17,'Paramètres'!$A$1:$I$89,5,0)</f>
        <v>0</v>
      </c>
      <c r="GB104" s="130">
        <f t="shared" si="50"/>
        <v>0</v>
      </c>
      <c r="GC104" s="141">
        <f t="shared" si="26"/>
        <v>0</v>
      </c>
      <c r="GD104" s="133">
        <f t="shared" si="27"/>
        <v>293.3333333</v>
      </c>
      <c r="GE104" s="133">
        <f>AVERAGE(OFFSET($GD$3,0,0,'Données projet'!$E$17+1,1))-AVERAGE(OFFSET($H$3,0,0,'Données projet'!$E$17+1,1))</f>
        <v>118.7368745</v>
      </c>
      <c r="GF104" s="133">
        <f t="shared" si="51"/>
        <v>135.1233677</v>
      </c>
      <c r="GG104" s="134">
        <f>IF(ISNA(VLOOKUP(A104,'Données projet'!$A$243:$I$263,3,0)),0,VLOOKUP(A104,'Données projet'!$A$243:$I$263,3,0))</f>
        <v>0</v>
      </c>
      <c r="GH104" s="134">
        <f>IF(ISNA(VLOOKUP(A104,'Données projet'!$A$243:$I$263,4,0)),0,VLOOKUP(A104,'Données projet'!$A$243:$I$263,4,0))</f>
        <v>0</v>
      </c>
      <c r="GI104" s="135">
        <f>IF(ISNA(VLOOKUP(A104,'Données projet'!$A$243:$I$263,5,0)),0%,VLOOKUP(A104,'Données projet'!$A$243:$I$263,5,0)*VLOOKUP('Données projet'!$B$17,'Paramètres'!$A$1:$I$89,7,0))</f>
        <v>0</v>
      </c>
      <c r="GJ104" s="135">
        <f>IF(ISNA(VLOOKUP(A104,'Données projet'!$A$243:$I$263,6,0)),0%,VLOOKUP(A104,'Données projet'!$A$243:$I$263,6,0)*VLOOKUP('Données projet'!$B$17,'Paramètres'!$A$1:$I$89,7,0))</f>
        <v>0</v>
      </c>
      <c r="GK104" s="135">
        <f>IF(ISNA(VLOOKUP(A104,'Données projet'!$A$243:$I$263,7,0)),0%,VLOOKUP(A104,'Données projet'!$A$243:$I$263,7,0))</f>
        <v>0</v>
      </c>
      <c r="GL104" s="142">
        <f>EXP(-LN(2)/35)*GL103+(1-EXP(-LN(2)/35))/(LN(2)/35)*GH104*GI104*VLOOKUP('Données projet'!$B$17,'Paramètres'!$A$1:$I$89,3,0)*0.475*44/12</f>
        <v>46.11350861</v>
      </c>
      <c r="GM104" s="142">
        <f>EXP(-LN(2)/25)*GM103+(1-EXP(-LN(2)/25))/(LN(2)/25)*Calculateur!GH104*Calculateur!GJ104*VLOOKUP('Données projet'!$B$17,'Paramètres'!$A$1:$I$89,3,0)*0.475*44/12</f>
        <v>0</v>
      </c>
      <c r="GN104" s="142">
        <f>EXP(-LN(2)/2)*GN103+(1-EXP(-LN(2)/2))/(LN(2)/2)*GH104*GK104*VLOOKUP('Données projet'!$B$17,'Paramètres'!$A$1:$I$89,3,0)*0.475*44/12</f>
        <v>0</v>
      </c>
      <c r="GO104" s="142">
        <f t="shared" si="28"/>
        <v>46.11350861</v>
      </c>
      <c r="GP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1" t="str">
        <f>VLOOKUP(A104,'Données projet'!$A$269:$I$289,2,0)</f>
        <v>#N/A</v>
      </c>
      <c r="GS104" s="131" t="str">
        <f>VLOOKUP(A104,'Données projet'!$A$269:$I$289,9,0)</f>
        <v>#N/A</v>
      </c>
      <c r="GT104" s="131" t="str">
        <f t="array" ref="GT104">INDEX(GS:GS,MIN(IF(ISNUMBER(GS104:GS300),ROW(GS104:GS300),"")))</f>
        <v/>
      </c>
      <c r="GU104" s="138">
        <f>IF('Données projet'!$A$270&gt;35,GU103+GT104-HC103,IF(A104&lt;'Données projet'!$A$270,$GR$205^A104,IF(A104='Données projet'!$A$270,'Données projet'!$B$270,GU103+GT104-HC103)))</f>
        <v>0</v>
      </c>
      <c r="GV104" s="138">
        <f>GU104*VLOOKUP('Données projet'!$B$18,'Paramètres'!$A$1:$I$89,3,0)*VLOOKUP('Données projet'!$B$18,'Paramètres'!$A$1:$I$89,5,0)</f>
        <v>0</v>
      </c>
      <c r="GW104" s="130" t="str">
        <f t="shared" si="52"/>
        <v>#NUM!</v>
      </c>
      <c r="GX104" s="141" t="str">
        <f t="shared" si="29"/>
        <v>#NUM!</v>
      </c>
      <c r="GY104" s="133" t="str">
        <f t="shared" si="30"/>
        <v>#NUM!</v>
      </c>
      <c r="GZ104" s="133">
        <f>AVERAGE(OFFSET($GY$3,0,0,'Données projet'!$E$18+1,1))-AVERAGE(OFFSET($H$3,0,0,'Données projet'!$E$18+1,1))</f>
        <v>100.5427875</v>
      </c>
      <c r="HA104" s="133">
        <f t="shared" si="53"/>
        <v>92.28663609</v>
      </c>
      <c r="HB104" s="134">
        <f>IF(ISNA(VLOOKUP(A104,'Données projet'!$A$269:$I$289,3,0)),0,VLOOKUP(A104,'Données projet'!$A$269:$I$289,3,0))</f>
        <v>0</v>
      </c>
      <c r="HC104" s="134">
        <f>IF(ISNA(VLOOKUP(A104,'Données projet'!$A$269:$I$289,4,0)),0,VLOOKUP(A104,'Données projet'!$A$269:$I$289,4,0))</f>
        <v>0</v>
      </c>
      <c r="HD104" s="135">
        <f>IF(ISNA(VLOOKUP(A104,'Données projet'!$A$269:$I$289,5,0)),0%,VLOOKUP(A104,'Données projet'!$A$269:$I$289,5,0)*VLOOKUP('Données projet'!$B$18,'Paramètres'!$A$1:$I$89,7,0))</f>
        <v>0</v>
      </c>
      <c r="HE104" s="135">
        <f>IF(ISNA(VLOOKUP(A104,'Données projet'!$A$269:$I$289,6,0)),0%,VLOOKUP(A104,'Données projet'!$A$269:$I$289,6,0)*VLOOKUP('Données projet'!$B$18,'Paramètres'!$A$1:$I$89,7,0))</f>
        <v>0</v>
      </c>
      <c r="HF104" s="135">
        <f>IF(ISNA(VLOOKUP(A104,'Données projet'!$A$269:$I$289,7,0)),0%,VLOOKUP(A104,'Données projet'!$A$269:$I$289,7,0))</f>
        <v>0</v>
      </c>
      <c r="HG104" s="142">
        <f>EXP(-LN(2)/35)*HG103+(1-EXP(-LN(2)/35))/(LN(2)/35)*HC104*HD104*VLOOKUP('Données projet'!$B$18,'Paramètres'!$A$1:$I$89,3,0)*0.475*44/12</f>
        <v>31.40232655</v>
      </c>
      <c r="HH104" s="142">
        <f>EXP(-LN(2)/25)*HH103+(1-EXP(-LN(2)/25))/(LN(2)/25)*Calculateur!HC104*Calculateur!HE104*VLOOKUP('Données projet'!$B$18,'Paramètres'!$A$1:$I$89,3,0)*0.475*44/12</f>
        <v>0</v>
      </c>
      <c r="HI104" s="142">
        <f>EXP(-LN(2)/2)*HI103+(1-EXP(-LN(2)/2))/(LN(2)/2)*HC104*HF104*VLOOKUP('Données projet'!$B$18,'Paramètres'!$A$1:$I$89,3,0)*0.475*44/12</f>
        <v>0</v>
      </c>
      <c r="HJ104" s="143">
        <f t="shared" si="31"/>
        <v>31.40232655</v>
      </c>
    </row>
    <row r="105" ht="15.75" customHeight="1">
      <c r="A105" s="125">
        <f t="shared" si="32"/>
        <v>102</v>
      </c>
      <c r="B105" s="126">
        <f>'Scénario référence'!$B$16*5+'Scénario référence'!$B$17*0+'Scénario référence'!$B$18*5</f>
        <v>0</v>
      </c>
      <c r="C105" s="140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55.692</v>
      </c>
      <c r="D105" s="127">
        <f t="shared" si="33"/>
        <v>16.0743935</v>
      </c>
      <c r="E10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7">
        <f>IF(OR('Scénario référence'!$F$8&gt;0,'Scénario référence'!$F$9&gt;0),('Scénario référence'!$F$8+'Scénario référence'!$F$9)*10,0)</f>
        <v>10</v>
      </c>
      <c r="G105" s="127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553.9861955</v>
      </c>
      <c r="H105" s="128">
        <f t="shared" si="1"/>
        <v>418.3264687</v>
      </c>
      <c r="I105" s="12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1" t="str">
        <f>VLOOKUP(A105,'Données projet'!$A$35:$I$55,2,0)</f>
        <v>#N/A</v>
      </c>
      <c r="L105" s="131" t="str">
        <f>VLOOKUP(A105,'Données projet'!$A$35:$I$55,9,0)</f>
        <v>#N/A</v>
      </c>
      <c r="M105" s="131" t="str">
        <f t="array" ref="M105">INDEX(L:L,MIN(IF(ISNUMBER(L105:L301),ROW(L105:L301),"")))</f>
        <v/>
      </c>
      <c r="N105" s="130">
        <f>IF('Données projet'!$A$36&gt;35,N104+M105-V104,IF(A105&lt;'Données projet'!$A$36,$K$205^A105,IF(A105='Données projet'!$A$36,'Données projet'!$B$36,N104+M105-V104)))</f>
        <v>0</v>
      </c>
      <c r="O105" s="130">
        <f>N105*VLOOKUP('Données projet'!$B$9,'Paramètres'!$A$1:$I$89,3,0)*VLOOKUP('Données projet'!$B$9,'Paramètres'!$A$1:$I$89,5,0)</f>
        <v>0</v>
      </c>
      <c r="P105" s="130">
        <f t="shared" si="34"/>
        <v>0</v>
      </c>
      <c r="Q105" s="141">
        <f t="shared" si="2"/>
        <v>0</v>
      </c>
      <c r="R105" s="133">
        <f t="shared" si="3"/>
        <v>293.3333333</v>
      </c>
      <c r="S105" s="133">
        <f>AVERAGE(OFFSET($R$3,0,0,'Données projet'!$E$9+1,1))-AVERAGE(OFFSET($H$3,0,0,'Données projet'!$E$9+1,1))</f>
        <v>126.9946492</v>
      </c>
      <c r="T105" s="133">
        <f t="shared" si="35"/>
        <v>140.039049</v>
      </c>
      <c r="U105" s="134">
        <f>IF(ISNA(VLOOKUP(A105,'Données projet'!$A$35:$I$55,3,0)),0,VLOOKUP(A105,'Données projet'!$A$35:$I$55,3,0))</f>
        <v>0</v>
      </c>
      <c r="V105" s="134">
        <f>IF(ISNA(VLOOKUP(A105,'Données projet'!$A$35:$I$55,4,0)),0,VLOOKUP(A105,'Données projet'!$A$35:$I$55,4,0))</f>
        <v>0</v>
      </c>
      <c r="W105" s="135">
        <f>IF(ISNA(VLOOKUP(A105,'Données projet'!$A$35:$I$55,5,0)),0%,VLOOKUP(A105,'Données projet'!$A$35:$I$55,5,0)*VLOOKUP('Données projet'!$B$9,'Paramètres'!$A$1:$I$89,7,0))</f>
        <v>0</v>
      </c>
      <c r="X105" s="135">
        <f>IF(ISNA(VLOOKUP(A105,'Données projet'!$A$35:$I$55,6,0)),0%,VLOOKUP(A105,'Données projet'!$A$35:$I$55,6,0)*VLOOKUP('Données projet'!$B$9,'Paramètres'!$A$1:$I$89,7,0))</f>
        <v>0</v>
      </c>
      <c r="Y105" s="135">
        <f>IF(ISNA(VLOOKUP(A105,'Données projet'!$A$35:$I$55,7,0)),0%,VLOOKUP(A105,'Données projet'!$A$35:$I$55,7,0))</f>
        <v>0</v>
      </c>
      <c r="Z105" s="142">
        <f>EXP(-LN(2)/35)*Z104+(1-EXP(-LN(2)/35))/(LN(2)/35)*V105*W105*VLOOKUP('Données projet'!$B$9,'Paramètres'!$A$1:$I$89,3,0)*0.475*44/12</f>
        <v>46.23899987</v>
      </c>
      <c r="AA105" s="142">
        <f>EXP(-LN(2)/25)*AA104+(1-EXP(-LN(2)/25))/(LN(2)/25)*Calculateur!V105*Calculateur!X105*VLOOKUP('Données projet'!$B$9,'Paramètres'!$A$1:$I$89,3,0)*0.475*44/12</f>
        <v>7.252378364</v>
      </c>
      <c r="AB105" s="142">
        <f>EXP(-LN(2)/2)*AB104+(1-EXP(-LN(2)/2))/(LN(2)/2)*V105*Y105*VLOOKUP('Données projet'!$B$9,'Paramètres'!$A$1:$I$89,3,0)*0.475*44/12</f>
        <v>0.000009054837804</v>
      </c>
      <c r="AC105" s="143">
        <f t="shared" si="4"/>
        <v>53.49138729</v>
      </c>
      <c r="AD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1" t="str">
        <f>VLOOKUP(A105,'Données projet'!$A$61:$I$81,2,0)</f>
        <v>#N/A</v>
      </c>
      <c r="AG105" s="131" t="str">
        <f>VLOOKUP(A105,'Données projet'!$A$61:$I$81,9,0)</f>
        <v>#N/A</v>
      </c>
      <c r="AH105" s="131" t="str">
        <f t="array" ref="AH105">INDEX(AG:AG,MIN(IF(ISNUMBER(AG105:AG301),ROW(AG105:AG301),"")))</f>
        <v/>
      </c>
      <c r="AI105" s="130">
        <f>IF('Données projet'!$A$62&gt;35,AI104+AH105-AQ104,IF(A105&lt;'Données projet'!$A$62,$AF$205^A105,IF(A105='Données projet'!$A$62,'Données projet'!$B$62,AI104+AH105-AQ104)))</f>
        <v>0</v>
      </c>
      <c r="AJ105" s="130">
        <f>AI105*VLOOKUP('Données projet'!$B$10,'Paramètres'!$A$1:$I$89,3,0)*VLOOKUP('Données projet'!$B$10,'Paramètres'!$A$1:$I$89,5,0)</f>
        <v>0</v>
      </c>
      <c r="AK105" s="130" t="str">
        <f t="shared" si="36"/>
        <v>#NUM!</v>
      </c>
      <c r="AL105" s="141" t="str">
        <f t="shared" si="5"/>
        <v>#NUM!</v>
      </c>
      <c r="AM105" s="133" t="str">
        <f t="shared" si="6"/>
        <v>#NUM!</v>
      </c>
      <c r="AN105" s="133">
        <f>AVERAGE(OFFSET($AM$3,0,0,'Données projet'!$E$10+1,1))-AVERAGE(OFFSET($H$3,0,0,'Données projet'!$E$10+1,1))</f>
        <v>196.874484</v>
      </c>
      <c r="AO105" s="133">
        <f t="shared" si="37"/>
        <v>217.5750859</v>
      </c>
      <c r="AP105" s="134">
        <f>IF(ISNA(VLOOKUP(A105,'Données projet'!$A$61:$I$81,3,0)),0,VLOOKUP(A105,'Données projet'!$A$61:$I$81,3,0))</f>
        <v>0</v>
      </c>
      <c r="AQ105" s="134">
        <f>IF(ISNA(VLOOKUP(A105,'Données projet'!$A$61:$I$81,4,0)),0,VLOOKUP(A105,'Données projet'!$A$61:$I$81,4,0))</f>
        <v>0</v>
      </c>
      <c r="AR105" s="135">
        <f>IF(ISNA(VLOOKUP(A105,'Données projet'!$A$61:$I$81,5,0)),0%,VLOOKUP(A105,'Données projet'!$A$61:$I$81,5,0)*VLOOKUP('Données projet'!$B$10,'Paramètres'!$A$1:$I$89,7,0))</f>
        <v>0</v>
      </c>
      <c r="AS105" s="135">
        <f>IF(ISNA(VLOOKUP(A105,'Données projet'!$A$61:$I$81,6,0)),0%,VLOOKUP(A105,'Données projet'!$A$61:$I$81,6,0)*VLOOKUP('Données projet'!$B$10,'Paramètres'!$A$1:$I$89,7,0))</f>
        <v>0</v>
      </c>
      <c r="AT105" s="135">
        <f>IF(ISNA(VLOOKUP(A105,'Données projet'!$A$61:$I$81,7,0)),0%,VLOOKUP(A105,'Données projet'!$A$61:$I$81,7,0))</f>
        <v>0</v>
      </c>
      <c r="AU105" s="142">
        <f>EXP(-LN(2)/35)*AU104+(1-EXP(-LN(2)/35))/(LN(2)/35)*AQ105*AR105*VLOOKUP('Données projet'!$B$10,'Paramètres'!$A$1:$I$89,3,0)*0.475*44/12</f>
        <v>64.27089645</v>
      </c>
      <c r="AV105" s="142">
        <f>EXP(-LN(2)/25)*AV104+(1-EXP(-LN(2)/25))/(LN(2)/25)*Calculateur!AQ105*Calculateur!AS105*VLOOKUP('Données projet'!$B$10,'Paramètres'!$A$1:$I$89,3,0)*0.475*44/12</f>
        <v>11.15054142</v>
      </c>
      <c r="AW105" s="142">
        <f>EXP(-LN(2)/2)*AW104+(1-EXP(-LN(2)/2))/(LN(2)/2)*AQ105*AT105*VLOOKUP('Données projet'!$B$10,'Paramètres'!$A$1:$I$89,3,0)*0.475*44/12</f>
        <v>0.00001262434502</v>
      </c>
      <c r="AX105" s="142">
        <f t="shared" si="7"/>
        <v>75.4214505</v>
      </c>
      <c r="AY105" s="13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1" t="str">
        <f>VLOOKUP(A105,'Données projet'!$A$87:$I$107,2,0)</f>
        <v>#N/A</v>
      </c>
      <c r="BB105" s="131" t="str">
        <f>VLOOKUP(A105,'Données projet'!$A$87:$I$107,9,0)</f>
        <v>#N/A</v>
      </c>
      <c r="BC105" s="131" t="str">
        <f t="array" ref="BC105">INDEX(BB:BB,MIN(IF(ISNUMBER(BB105:BB301),ROW(BB105:BB301),"")))</f>
        <v/>
      </c>
      <c r="BD105" s="130">
        <f>IF('Données projet'!$A$88&gt;35,BD104+BC105-BL104,IF(A105&lt;'Données projet'!$A$88,$BA$205^A105,IF(A105='Données projet'!$A$88,'Données projet'!$B$88,BD104+BC105-BL104)))</f>
        <v>0</v>
      </c>
      <c r="BE105" s="130">
        <f>BD105*VLOOKUP('Données projet'!$B$11,'Paramètres'!$A$1:$I$89,3,0)*VLOOKUP('Données projet'!$B$11,'Paramètres'!$A$1:$I$89,5,0)</f>
        <v>0</v>
      </c>
      <c r="BF105" s="130" t="str">
        <f t="shared" si="38"/>
        <v>#NUM!</v>
      </c>
      <c r="BG105" s="141" t="str">
        <f t="shared" si="8"/>
        <v>#NUM!</v>
      </c>
      <c r="BH105" s="133" t="str">
        <f t="shared" si="9"/>
        <v>#NUM!</v>
      </c>
      <c r="BI105" s="133">
        <f>AVERAGE(OFFSET($BH$3,0,0,'Données projet'!$E$11+1,1))-AVERAGE(OFFSET($H$3,0,0,'Données projet'!$E$11+1,1))</f>
        <v>134.0948534</v>
      </c>
      <c r="BJ105" s="133">
        <f t="shared" si="39"/>
        <v>108.4102536</v>
      </c>
      <c r="BK105" s="134">
        <f>IF(ISNA(VLOOKUP(A105,'Données projet'!$A$87:$I$107,3,0)),0,VLOOKUP(A105,'Données projet'!$A$87:$I$107,3,0))</f>
        <v>0</v>
      </c>
      <c r="BL105" s="134">
        <f>IF(ISNA(VLOOKUP(A105,'Données projet'!$A$87:$I$107,4,0)),0,VLOOKUP(A105,'Données projet'!$A$87:$I$107,4,0))</f>
        <v>0</v>
      </c>
      <c r="BM105" s="135">
        <f>IF(ISNA(VLOOKUP(A105,'Données projet'!$A$87:$I$107,5,0)),0%,VLOOKUP(A105,'Données projet'!$A$87:$I$107,5,0)*VLOOKUP('Données projet'!$B$11,'Paramètres'!$A$1:$I$89,7,0))</f>
        <v>0</v>
      </c>
      <c r="BN105" s="135">
        <f>IF(ISNA(VLOOKUP(A105,'Données projet'!$A$87:$I$107,6,0)),0%,VLOOKUP(A105,'Données projet'!$A$87:$I$107,6,0)*VLOOKUP('Données projet'!$B$11,'Paramètres'!$A$1:$I$89,7,0))</f>
        <v>0</v>
      </c>
      <c r="BO105" s="135">
        <f>IF(ISNA(VLOOKUP(A105,'Données projet'!$A$87:$I$107,7,0)),0%,VLOOKUP(A105,'Données projet'!$A$87:$I$107,7,0))</f>
        <v>0</v>
      </c>
      <c r="BP105" s="142">
        <f>EXP(-LN(2)/35)*BP104+(1-EXP(-LN(2)/35))/(LN(2)/35)*BL105*BM105*VLOOKUP('Données projet'!$B$11,'Paramètres'!$A$1:$I$89,3,0)*0.475*44/12</f>
        <v>88.89865293</v>
      </c>
      <c r="BQ105" s="142">
        <f>EXP(-LN(2)/25)*BQ104+(1-EXP(-LN(2)/25))/(LN(2)/25)*Calculateur!BL105*Calculateur!BN105*VLOOKUP('Données projet'!$B$11,'Paramètres'!$A$1:$I$89,3,0)*0.475*44/12</f>
        <v>7.033771104</v>
      </c>
      <c r="BR105" s="142">
        <f>EXP(-LN(2)/2)*BR104+(1-EXP(-LN(2)/2))/(LN(2)/2)*BL105*BO105*VLOOKUP('Données projet'!$B$11,'Paramètres'!$A$1:$I$89,3,0)*0.475*44/12</f>
        <v>0.0001683906452</v>
      </c>
      <c r="BS105" s="143">
        <f t="shared" si="10"/>
        <v>95.93259242</v>
      </c>
      <c r="BT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1" t="str">
        <f>VLOOKUP(A105,'Données projet'!$A$113:$I$133,2,0)</f>
        <v>#N/A</v>
      </c>
      <c r="BW105" s="131" t="str">
        <f>VLOOKUP(A105,'Données projet'!$A$113:$I$133,9,0)</f>
        <v>#N/A</v>
      </c>
      <c r="BX105" s="131" t="str">
        <f t="array" ref="BX105">INDEX(BW:BW,MIN(IF(ISNUMBER(BW105:BW301),ROW(BW105:BW301),"")))</f>
        <v/>
      </c>
      <c r="BY105" s="130">
        <f>IF('Données projet'!$A$114&gt;35,BY104+BX105-CG104,IF(A105&lt;'Données projet'!$A$114,$BV$205^A105,IF(A105='Données projet'!$A$114,'Données projet'!$B$114,BY104+BX105-CG104)))</f>
        <v>0</v>
      </c>
      <c r="BZ105" s="130">
        <f>BY105*VLOOKUP('Données projet'!$B$12,'Paramètres'!$A$1:$I$89,3,0)*VLOOKUP('Données projet'!$B$12,'Paramètres'!$A$1:$I$89,5,0)</f>
        <v>0</v>
      </c>
      <c r="CA105" s="130" t="str">
        <f t="shared" si="40"/>
        <v>#NUM!</v>
      </c>
      <c r="CB105" s="141" t="str">
        <f t="shared" si="11"/>
        <v>#NUM!</v>
      </c>
      <c r="CC105" s="133" t="str">
        <f t="shared" si="12"/>
        <v>#NUM!</v>
      </c>
      <c r="CD105" s="133">
        <f>AVERAGE(OFFSET($CC$3,0,0,'Données projet'!$E$12+1,1))-AVERAGE(OFFSET($H$3,0,0,'Données projet'!$E$12+1,1))</f>
        <v>258.1672054</v>
      </c>
      <c r="CE105" s="133">
        <f t="shared" si="41"/>
        <v>296.0724261</v>
      </c>
      <c r="CF105" s="134">
        <f>IF(ISNA(VLOOKUP(A105,'Données projet'!$A$113:$I$133,3,0)),0,VLOOKUP(A105,'Données projet'!$A$113:$I$133,3,0))</f>
        <v>0</v>
      </c>
      <c r="CG105" s="134">
        <f>IF(ISNA(VLOOKUP(A105,'Données projet'!$A$113:$I$133,4,0)),0,VLOOKUP(A105,'Données projet'!$A$113:$I$133,4,0))</f>
        <v>0</v>
      </c>
      <c r="CH105" s="135">
        <f>IF(ISNA(VLOOKUP(A105,'Données projet'!$A$113:$I$133,5,0)),0%,VLOOKUP(A105,'Données projet'!$A$113:$I$133,5,0)*VLOOKUP('Données projet'!$B$12,'Paramètres'!$A$1:$I$89,7,0))</f>
        <v>0</v>
      </c>
      <c r="CI105" s="135">
        <f>IF(ISNA(VLOOKUP(A105,'Données projet'!$A$113:$I$133,6,0)),0%,VLOOKUP(A105,'Données projet'!$A$113:$I$133,6,0)*VLOOKUP('Données projet'!$B$12,'Paramètres'!$A$1:$I$89,7,0))</f>
        <v>0</v>
      </c>
      <c r="CJ105" s="135">
        <f>IF(ISNA(VLOOKUP(A105,'Données projet'!$A$113:$I$133,7,0)),0%,VLOOKUP(A105,'Données projet'!$A$113:$I$133,7,0))</f>
        <v>0</v>
      </c>
      <c r="CK105" s="142">
        <f>EXP(-LN(2)/35)*CK104+(1-EXP(-LN(2)/35))/(LN(2)/35)*CG105*CH105*VLOOKUP('Données projet'!$B$12,'Paramètres'!$A$1:$I$89,3,0)*0.475*44/12</f>
        <v>112.3950925</v>
      </c>
      <c r="CL105" s="142">
        <f>EXP(-LN(2)/25)*CL104+(1-EXP(-LN(2)/25))/(LN(2)/25)*Calculateur!CG105*Calculateur!CI105*VLOOKUP('Données projet'!$B$12,'Paramètres'!$A$1:$I$89,3,0)*0.475*44/12</f>
        <v>12.3376338</v>
      </c>
      <c r="CM105" s="142">
        <f>EXP(-LN(2)/2)*CM104+(1-EXP(-LN(2)/2))/(LN(2)/2)*CG105*CJ105*VLOOKUP('Données projet'!$B$12,'Paramètres'!$A$1:$I$89,3,0)*0.475*44/12</f>
        <v>0.000007094099131</v>
      </c>
      <c r="CN105" s="143">
        <f t="shared" si="13"/>
        <v>124.7327334</v>
      </c>
      <c r="CO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1" t="str">
        <f>VLOOKUP(A105,'Données projet'!$A$139:$I$159,2,0)</f>
        <v>#N/A</v>
      </c>
      <c r="CR105" s="131" t="str">
        <f>VLOOKUP(A105,'Données projet'!$A$139:$I$159,9,0)</f>
        <v>#N/A</v>
      </c>
      <c r="CS105" s="130">
        <f t="array" ref="CS105">INDEX(CR:CR,MIN(IF(ISNUMBER(CR105:CR301),ROW(CR105:CR301),"")))</f>
        <v>1.7</v>
      </c>
      <c r="CT105" s="138">
        <f>IF('Données projet'!$A$140&gt;35,CT104+CS105-DB104,IF(A105&lt;'Données projet'!$A$140,$CQ$205^A105,IF(A105='Données projet'!$A$140,'Données projet'!$B$140,CT104+CS105-DB104)))</f>
        <v>205.4</v>
      </c>
      <c r="CU105" s="138">
        <f>CT105*VLOOKUP('Données projet'!$B$13,'Paramètres'!$A$1:$I$89,3,0)*VLOOKUP('Données projet'!$B$13,'Paramètres'!$A$1:$I$89,5,0)</f>
        <v>208.2756</v>
      </c>
      <c r="CV105" s="130">
        <f t="shared" si="42"/>
        <v>51.55858027</v>
      </c>
      <c r="CW105" s="141">
        <f t="shared" si="14"/>
        <v>452.5445306</v>
      </c>
      <c r="CX105" s="133">
        <f t="shared" si="15"/>
        <v>745.877864</v>
      </c>
      <c r="CY105" s="133">
        <f>AVERAGE(OFFSET($CX$3,0,0,'Données projet'!$E$13+1,1))-AVERAGE(OFFSET($H$3,0,0,'Données projet'!$E$13+1,1))</f>
        <v>223.783507</v>
      </c>
      <c r="CZ105" s="133">
        <f t="shared" si="43"/>
        <v>84.92349117</v>
      </c>
      <c r="DA105" s="134">
        <f>IF(ISNA(VLOOKUP(A105,'Données projet'!$A$139:$I$159,3,0)),0,VLOOKUP(A105,'Données projet'!$A$139:$I$159,3,0))</f>
        <v>0</v>
      </c>
      <c r="DB105" s="134">
        <f>IF(ISNA(VLOOKUP(A105,'Données projet'!$A$139:$I$159,4,0)),0,VLOOKUP(A105,'Données projet'!$A$139:$I$159,4,0))</f>
        <v>0</v>
      </c>
      <c r="DC105" s="135">
        <f>IF(ISNA(VLOOKUP(A105,'Données projet'!$A$139:$I$159,5,0)),0%,VLOOKUP(A105,'Données projet'!$A$139:$I$159,5,0)*VLOOKUP('Données projet'!$B$13,'Paramètres'!$A$1:$I$89,7,0))</f>
        <v>0</v>
      </c>
      <c r="DD105" s="135">
        <f>IF(ISNA(VLOOKUP(A105,'Données projet'!$A$139:$I$159,6,0)),0%,VLOOKUP(A105,'Données projet'!$A$139:$I$159,6,0)*VLOOKUP('Données projet'!$B$13,'Paramètres'!$A$1:$I$89,7,0))</f>
        <v>0</v>
      </c>
      <c r="DE105" s="135">
        <f>IF(ISNA(VLOOKUP(A105,'Données projet'!$A$139:$I$159,7,0)),0%,VLOOKUP(A105,'Données projet'!$A$139:$I$159,7,0))</f>
        <v>0</v>
      </c>
      <c r="DF105" s="142">
        <f>EXP(-LN(2)/35)*DF104+(1-EXP(-LN(2)/35))/(LN(2)/35)*DB105*DC105*VLOOKUP('Données projet'!$B$13,'Paramètres'!$A$1:$I$89,3,0)*0.475*44/12</f>
        <v>20.11029789</v>
      </c>
      <c r="DG105" s="142">
        <f>EXP(-LN(2)/25)*DG104+(1-EXP(-LN(2)/25))/(LN(2)/25)*Calculateur!DB105*Calculateur!DD105*VLOOKUP('Données projet'!$B$13,'Paramètres'!$A$1:$I$89,3,0)*0.475*44/12</f>
        <v>0</v>
      </c>
      <c r="DH105" s="142">
        <f>EXP(-LN(2)/2)*DH104+(1-EXP(-LN(2)/2))/(LN(2)/2)*DB105*DE105*VLOOKUP('Données projet'!$B$13,'Paramètres'!$A$1:$I$89,3,0)*0.475*44/12</f>
        <v>0</v>
      </c>
      <c r="DI105" s="143">
        <f t="shared" si="16"/>
        <v>20.11029789</v>
      </c>
      <c r="DJ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1" t="str">
        <f>VLOOKUP(A105,'Données projet'!$A$165:$I$185,2,0)</f>
        <v>#N/A</v>
      </c>
      <c r="DM105" s="131" t="str">
        <f>VLOOKUP(A105,'Données projet'!$A$165:$I$185,9,0)</f>
        <v>#N/A</v>
      </c>
      <c r="DN105" s="131">
        <f t="array" ref="DN105">INDEX(DM:DM,MIN(IF(ISNUMBER(DM105:DM301),ROW(DM105:DM301),"")))</f>
        <v>2.4</v>
      </c>
      <c r="DO105" s="138">
        <f>IF('Données projet'!$A$166&gt;35,DO104+DN105-DW104,IF(A105&lt;'Données projet'!$A$166,$DL$205^A105,IF(A105='Données projet'!$A$166,'Données projet'!$B$166,DO104+DN105-DW104)))</f>
        <v>265.8</v>
      </c>
      <c r="DP105" s="138">
        <f>DO105*VLOOKUP('Données projet'!$B$14,'Paramètres'!$A$1:$I$89,3,0)*VLOOKUP('Données projet'!$B$14,'Paramètres'!$A$1:$I$89,5,0)</f>
        <v>240.49584</v>
      </c>
      <c r="DQ105" s="130">
        <f t="shared" si="44"/>
        <v>58.54620006</v>
      </c>
      <c r="DR105" s="141">
        <f t="shared" si="17"/>
        <v>520.8315531</v>
      </c>
      <c r="DS105" s="133">
        <f t="shared" si="18"/>
        <v>814.1648864</v>
      </c>
      <c r="DT105" s="133">
        <f>AVERAGE(OFFSET($DS$3,0,0,'Données projet'!$E$14+1,1))-AVERAGE(OFFSET($H$3,0,0,'Données projet'!$E$14+1,1))</f>
        <v>287.9334714</v>
      </c>
      <c r="DU105" s="133">
        <f t="shared" si="45"/>
        <v>156.6796502</v>
      </c>
      <c r="DV105" s="134">
        <f>IF(ISNA(VLOOKUP(A105,'Données projet'!$A$165:$I$185,3,0)),0,VLOOKUP(A105,'Données projet'!$A$165:$I$185,3,0))</f>
        <v>0</v>
      </c>
      <c r="DW105" s="134">
        <f>IF(ISNA(VLOOKUP(A105,'Données projet'!$A$165:$I$185,4,0)),0,VLOOKUP(A105,'Données projet'!$A$165:$I$185,4,0))</f>
        <v>0</v>
      </c>
      <c r="DX105" s="135">
        <f>IF(ISNA(VLOOKUP(A105,'Données projet'!$A$165:$I$185,5,0)),0%,VLOOKUP(A105,'Données projet'!$A$165:$I$185,5,0)*VLOOKUP('Données projet'!$B$14,'Paramètres'!$A$1:$I$89,7,0))</f>
        <v>0</v>
      </c>
      <c r="DY105" s="135">
        <f>IF(ISNA(VLOOKUP(A105,'Données projet'!$A$165:$I$185,6,0)),0%,VLOOKUP(A105,'Données projet'!$A$165:$I$185,6,0)*VLOOKUP('Données projet'!$B$14,'Paramètres'!$A$1:$I$89,7,0))</f>
        <v>0</v>
      </c>
      <c r="DZ105" s="135">
        <f>IF(ISNA(VLOOKUP(A105,'Données projet'!$A$165:$I$185,7,0)),0%,VLOOKUP(A105,'Données projet'!$A$165:$I$185,7,0))</f>
        <v>0</v>
      </c>
      <c r="EA105" s="142">
        <f>EXP(-LN(2)/35)*EA104+(1-EXP(-LN(2)/35))/(LN(2)/35)*DW105*DX105*VLOOKUP('Données projet'!$B$14,'Paramètres'!$A$1:$I$89,3,0)*0.475*44/12</f>
        <v>29.9372627</v>
      </c>
      <c r="EB105" s="142">
        <f>EXP(-LN(2)/25)*EB104+(1-EXP(-LN(2)/25))/(LN(2)/25)*Calculateur!DW105*Calculateur!DY105*VLOOKUP('Données projet'!$B$14,'Paramètres'!$A$1:$I$89,3,0)*0.475*44/12</f>
        <v>0</v>
      </c>
      <c r="EC105" s="142">
        <f>EXP(-LN(2)/2)*EC104+(1-EXP(-LN(2)/2))/(LN(2)/2)*DW105*DZ105*VLOOKUP('Données projet'!$B$14,'Paramètres'!$A$1:$I$89,3,0)*0.475*44/12</f>
        <v>0</v>
      </c>
      <c r="ED105" s="143">
        <f t="shared" si="19"/>
        <v>29.9372627</v>
      </c>
      <c r="EE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1" t="str">
        <f>VLOOKUP(A105,'Données projet'!$A$191:$I$211,2,0)</f>
        <v>#N/A</v>
      </c>
      <c r="EH105" s="131" t="str">
        <f>VLOOKUP(A105,'Données projet'!$A$191:$I$211,9,0)</f>
        <v>#N/A</v>
      </c>
      <c r="EI105" s="131" t="str">
        <f t="array" ref="EI105">INDEX(EH:EH,MIN(IF(ISNUMBER(EH105:EH301),ROW(EH105:EH301),"")))</f>
        <v/>
      </c>
      <c r="EJ105" s="138">
        <f>IF('Données projet'!$A$192&gt;35,EJ104+EI105-ER104,IF(A105&lt;'Données projet'!$A$192,$EG$205^A105,IF(A105='Données projet'!$A$192,'Données projet'!$B$192,EJ104+EI105-ER104)))</f>
        <v>0</v>
      </c>
      <c r="EK105" s="138">
        <f>EJ105*VLOOKUP('Données projet'!$B$15,'Paramètres'!$A$1:$I$89,3,0)*VLOOKUP('Données projet'!$B$15,'Paramètres'!$A$1:$I$89,5,0)</f>
        <v>0</v>
      </c>
      <c r="EL105" s="130" t="str">
        <f t="shared" si="46"/>
        <v>#NUM!</v>
      </c>
      <c r="EM105" s="141" t="str">
        <f t="shared" si="20"/>
        <v>#NUM!</v>
      </c>
      <c r="EN105" s="133" t="str">
        <f t="shared" si="21"/>
        <v>#NUM!</v>
      </c>
      <c r="EO105" s="133">
        <f>AVERAGE(OFFSET($EN$3,0,0,'Données projet'!$E$15+1,1))-AVERAGE(OFFSET($H$3,0,0,'Données projet'!$E$15+1,1))</f>
        <v>130.3193339</v>
      </c>
      <c r="EP105" s="133">
        <f t="shared" si="47"/>
        <v>82.22784365</v>
      </c>
      <c r="EQ105" s="134">
        <f>IF(ISNA(VLOOKUP(A105,'Données projet'!$A$191:$I$211,3,0)),0,VLOOKUP(A105,'Données projet'!$A$191:$I$211,3,0))</f>
        <v>0</v>
      </c>
      <c r="ER105" s="134">
        <f>IF(ISNA(VLOOKUP(A105,'Données projet'!$A$191:$I$211,4,0)),0,VLOOKUP(A105,'Données projet'!$A$191:$I$211,4,0))</f>
        <v>0</v>
      </c>
      <c r="ES105" s="135">
        <f>IF(ISNA(VLOOKUP(A105,'Données projet'!$A$191:$I$211,5,0)),0%,VLOOKUP(A105,'Données projet'!$A$191:$I$211,5,0)*VLOOKUP('Données projet'!$B$15,'Paramètres'!$A$1:$I$89,7,0))</f>
        <v>0</v>
      </c>
      <c r="ET105" s="135">
        <f>IF(ISNA(VLOOKUP(A105,'Données projet'!$A$191:$I$211,6,0)),0%,VLOOKUP(A105,'Données projet'!$A$191:$I$211,6,0)*VLOOKUP('Données projet'!$B$15,'Paramètres'!$A$1:$I$89,7,0))</f>
        <v>0</v>
      </c>
      <c r="EU105" s="135">
        <f>IF(ISNA(VLOOKUP(A105,'Données projet'!$A$191:$I$211,7,0)),0%,VLOOKUP(A105,'Données projet'!$A$191:$I$211,7,0))</f>
        <v>0</v>
      </c>
      <c r="EV105" s="142">
        <f>EXP(-LN(2)/35)*EV104+(1-EXP(-LN(2)/35))/(LN(2)/35)*ER105*ES105*VLOOKUP('Données projet'!$B$15,'Paramètres'!$A$1:$I$89,3,0)*0.475*44/12</f>
        <v>68.72727392</v>
      </c>
      <c r="EW105" s="142">
        <f>EXP(-LN(2)/25)*EW104+(1-EXP(-LN(2)/25))/(LN(2)/25)*Calculateur!ER105*Calculateur!ET105*VLOOKUP('Données projet'!$B$15,'Paramètres'!$A$1:$I$89,3,0)*0.475*44/12</f>
        <v>0</v>
      </c>
      <c r="EX105" s="142">
        <f>EXP(-LN(2)/2)*EX104+(1-EXP(-LN(2)/2))/(LN(2)/2)*ER105*EU105*VLOOKUP('Données projet'!$B$15,'Paramètres'!$A$1:$I$89,3,0)*0.475*44/12</f>
        <v>0</v>
      </c>
      <c r="EY105" s="143">
        <f t="shared" si="22"/>
        <v>68.72727392</v>
      </c>
      <c r="EZ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1" t="str">
        <f>VLOOKUP(A105,'Données projet'!$A$217:$I$237,2,0)</f>
        <v>#N/A</v>
      </c>
      <c r="FC105" s="131" t="str">
        <f>VLOOKUP(A105,'Données projet'!$A$217:$I$237,9,0)</f>
        <v>#N/A</v>
      </c>
      <c r="FD105" s="131" t="str">
        <f t="array" ref="FD105">INDEX(FC:FC,MIN(IF(ISNUMBER(FC105:FC301),ROW(FC105:FC301),"")))</f>
        <v/>
      </c>
      <c r="FE105" s="130">
        <f>IF('Données projet'!$A$218&gt;35,FE104+FD105-FM104,IF(A105&lt;'Données projet'!$A$218,$FB$205^A105,IF(A105='Données projet'!$A$218,'Données projet'!$B$218,FE104+FD105-FM104)))</f>
        <v>0</v>
      </c>
      <c r="FF105" s="138">
        <f>FE105*VLOOKUP('Données projet'!$B$16,'Paramètres'!$A$1:$I$89,3,0)*VLOOKUP('Données projet'!$B$16,'Paramètres'!$A$1:$I$89,5,0)</f>
        <v>0</v>
      </c>
      <c r="FG105" s="130">
        <f t="shared" si="48"/>
        <v>0</v>
      </c>
      <c r="FH105" s="141">
        <f t="shared" si="23"/>
        <v>0</v>
      </c>
      <c r="FI105" s="133">
        <f t="shared" si="24"/>
        <v>293.3333333</v>
      </c>
      <c r="FJ105" s="133">
        <f>AVERAGE(OFFSET($FI$3,0,0,'Données projet'!$E$16+1,1))-AVERAGE(OFFSET($H$3,0,0,'Données projet'!$E$16+1,1))</f>
        <v>305.6252353</v>
      </c>
      <c r="FK105" s="133">
        <f t="shared" si="49"/>
        <v>331.397916</v>
      </c>
      <c r="FL105" s="134">
        <f>IF(ISNA(VLOOKUP(A105,'Données projet'!$A$217:$I$237,3,0)),0,VLOOKUP(A105,'Données projet'!$A$217:$I$237,3,0))</f>
        <v>0</v>
      </c>
      <c r="FM105" s="134">
        <f>IF(ISNA(VLOOKUP(A105,'Données projet'!$A$217:$I$237,4,0)),0,VLOOKUP(A105,'Données projet'!$A$217:$I$237,4,0))</f>
        <v>0</v>
      </c>
      <c r="FN105" s="135">
        <f>IF(ISNA(VLOOKUP(A105,'Données projet'!$A$217:$I$237,5,0)),0%,VLOOKUP(A105,'Données projet'!$A$217:$I$237,5,0)*VLOOKUP('Données projet'!$B$16,'Paramètres'!$A$1:$I$89,7,0))</f>
        <v>0</v>
      </c>
      <c r="FO105" s="135">
        <f>IF(ISNA(VLOOKUP(A105,'Données projet'!$A$217:$I$237,6,0)),0%,VLOOKUP(A105,'Données projet'!$A$217:$I$237,6,0)*VLOOKUP('Données projet'!$B$16,'Paramètres'!$A$1:$I$89,7,0))</f>
        <v>0</v>
      </c>
      <c r="FP105" s="135">
        <f>IF(ISNA(VLOOKUP(A105,'Données projet'!$A$217:$I$237,7,0)),0%,VLOOKUP(A105,'Données projet'!$A$217:$I$237,7,0))</f>
        <v>0</v>
      </c>
      <c r="FQ105" s="142">
        <f>EXP(-LN(2)/35)*FQ104+(1-EXP(-LN(2)/35))/(LN(2)/35)*FM105*FN105*VLOOKUP('Données projet'!$B$16,'Paramètres'!$A$1:$I$89,3,0)*0.475*44/12</f>
        <v>42.79165468</v>
      </c>
      <c r="FR105" s="142">
        <f>EXP(-LN(2)/25)*FR104+(1-EXP(-LN(2)/25))/(LN(2)/25)*Calculateur!FM105*Calculateur!FO105*VLOOKUP('Données projet'!$B$16,'Paramètres'!$A$1:$I$89,3,0)*0.475*44/12</f>
        <v>0</v>
      </c>
      <c r="FS105" s="142">
        <f>EXP(-LN(2)/2)*FS104+(1-EXP(-LN(2)/2))/(LN(2)/2)*FM105*FP105*VLOOKUP('Données projet'!$B$16,'Paramètres'!$A$1:$I$89,3,0)*0.475*44/12</f>
        <v>0</v>
      </c>
      <c r="FT105" s="143">
        <f t="shared" si="25"/>
        <v>42.79165468</v>
      </c>
      <c r="FU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1" t="str">
        <f>VLOOKUP(A105,'Données projet'!$A$243:$I$263,2,0)</f>
        <v>#N/A</v>
      </c>
      <c r="FX105" s="131" t="str">
        <f>VLOOKUP(A105,'Données projet'!$A$243:$I$263,9,0)</f>
        <v>#N/A</v>
      </c>
      <c r="FY105" s="131" t="str">
        <f t="array" ref="FY105">INDEX(FX:FX,MIN(IF(ISNUMBER(FX105:FX301),ROW(FX105:FX301),"")))</f>
        <v/>
      </c>
      <c r="FZ105" s="138">
        <f>IF('Données projet'!$A$244&gt;35,FZ104+FY105-GH104,IF(A105&lt;'Données projet'!$A$244,$FW$205^A105,IF(A105='Données projet'!$A$244,'Données projet'!$B$244,FZ104+FY105-GH104)))</f>
        <v>0</v>
      </c>
      <c r="GA105" s="138">
        <f>FZ105*VLOOKUP('Données projet'!$B$17,'Paramètres'!$A$1:$I$89,3,0)*VLOOKUP('Données projet'!$B$17,'Paramètres'!$A$1:$I$89,5,0)</f>
        <v>0</v>
      </c>
      <c r="GB105" s="130">
        <f t="shared" si="50"/>
        <v>0</v>
      </c>
      <c r="GC105" s="141">
        <f t="shared" si="26"/>
        <v>0</v>
      </c>
      <c r="GD105" s="133">
        <f t="shared" si="27"/>
        <v>293.3333333</v>
      </c>
      <c r="GE105" s="133">
        <f>AVERAGE(OFFSET($GD$3,0,0,'Données projet'!$E$17+1,1))-AVERAGE(OFFSET($H$3,0,0,'Données projet'!$E$17+1,1))</f>
        <v>118.7368745</v>
      </c>
      <c r="GF105" s="133">
        <f t="shared" si="51"/>
        <v>135.1233677</v>
      </c>
      <c r="GG105" s="134">
        <f>IF(ISNA(VLOOKUP(A105,'Données projet'!$A$243:$I$263,3,0)),0,VLOOKUP(A105,'Données projet'!$A$243:$I$263,3,0))</f>
        <v>0</v>
      </c>
      <c r="GH105" s="134">
        <f>IF(ISNA(VLOOKUP(A105,'Données projet'!$A$243:$I$263,4,0)),0,VLOOKUP(A105,'Données projet'!$A$243:$I$263,4,0))</f>
        <v>0</v>
      </c>
      <c r="GI105" s="135">
        <f>IF(ISNA(VLOOKUP(A105,'Données projet'!$A$243:$I$263,5,0)),0%,VLOOKUP(A105,'Données projet'!$A$243:$I$263,5,0)*VLOOKUP('Données projet'!$B$17,'Paramètres'!$A$1:$I$89,7,0))</f>
        <v>0</v>
      </c>
      <c r="GJ105" s="135">
        <f>IF(ISNA(VLOOKUP(A105,'Données projet'!$A$243:$I$263,6,0)),0%,VLOOKUP(A105,'Données projet'!$A$243:$I$263,6,0)*VLOOKUP('Données projet'!$B$17,'Paramètres'!$A$1:$I$89,7,0))</f>
        <v>0</v>
      </c>
      <c r="GK105" s="135">
        <f>IF(ISNA(VLOOKUP(A105,'Données projet'!$A$243:$I$263,7,0)),0%,VLOOKUP(A105,'Données projet'!$A$243:$I$263,7,0))</f>
        <v>0</v>
      </c>
      <c r="GL105" s="142">
        <f>EXP(-LN(2)/35)*GL104+(1-EXP(-LN(2)/35))/(LN(2)/35)*GH105*GI105*VLOOKUP('Données projet'!$B$17,'Paramètres'!$A$1:$I$89,3,0)*0.475*44/12</f>
        <v>45.20925083</v>
      </c>
      <c r="GM105" s="142">
        <f>EXP(-LN(2)/25)*GM104+(1-EXP(-LN(2)/25))/(LN(2)/25)*Calculateur!GH105*Calculateur!GJ105*VLOOKUP('Données projet'!$B$17,'Paramètres'!$A$1:$I$89,3,0)*0.475*44/12</f>
        <v>0</v>
      </c>
      <c r="GN105" s="142">
        <f>EXP(-LN(2)/2)*GN104+(1-EXP(-LN(2)/2))/(LN(2)/2)*GH105*GK105*VLOOKUP('Données projet'!$B$17,'Paramètres'!$A$1:$I$89,3,0)*0.475*44/12</f>
        <v>0</v>
      </c>
      <c r="GO105" s="142">
        <f t="shared" si="28"/>
        <v>45.20925083</v>
      </c>
      <c r="GP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1" t="str">
        <f>VLOOKUP(A105,'Données projet'!$A$269:$I$289,2,0)</f>
        <v>#N/A</v>
      </c>
      <c r="GS105" s="131" t="str">
        <f>VLOOKUP(A105,'Données projet'!$A$269:$I$289,9,0)</f>
        <v>#N/A</v>
      </c>
      <c r="GT105" s="131" t="str">
        <f t="array" ref="GT105">INDEX(GS:GS,MIN(IF(ISNUMBER(GS105:GS301),ROW(GS105:GS301),"")))</f>
        <v/>
      </c>
      <c r="GU105" s="138">
        <f>IF('Données projet'!$A$270&gt;35,GU104+GT105-HC104,IF(A105&lt;'Données projet'!$A$270,$GR$205^A105,IF(A105='Données projet'!$A$270,'Données projet'!$B$270,GU104+GT105-HC104)))</f>
        <v>0</v>
      </c>
      <c r="GV105" s="138">
        <f>GU105*VLOOKUP('Données projet'!$B$18,'Paramètres'!$A$1:$I$89,3,0)*VLOOKUP('Données projet'!$B$18,'Paramètres'!$A$1:$I$89,5,0)</f>
        <v>0</v>
      </c>
      <c r="GW105" s="130" t="str">
        <f t="shared" si="52"/>
        <v>#NUM!</v>
      </c>
      <c r="GX105" s="141" t="str">
        <f t="shared" si="29"/>
        <v>#NUM!</v>
      </c>
      <c r="GY105" s="133" t="str">
        <f t="shared" si="30"/>
        <v>#NUM!</v>
      </c>
      <c r="GZ105" s="133">
        <f>AVERAGE(OFFSET($GY$3,0,0,'Données projet'!$E$18+1,1))-AVERAGE(OFFSET($H$3,0,0,'Données projet'!$E$18+1,1))</f>
        <v>100.5427875</v>
      </c>
      <c r="HA105" s="133">
        <f t="shared" si="53"/>
        <v>92.28663609</v>
      </c>
      <c r="HB105" s="134">
        <f>IF(ISNA(VLOOKUP(A105,'Données projet'!$A$269:$I$289,3,0)),0,VLOOKUP(A105,'Données projet'!$A$269:$I$289,3,0))</f>
        <v>0</v>
      </c>
      <c r="HC105" s="134">
        <f>IF(ISNA(VLOOKUP(A105,'Données projet'!$A$269:$I$289,4,0)),0,VLOOKUP(A105,'Données projet'!$A$269:$I$289,4,0))</f>
        <v>0</v>
      </c>
      <c r="HD105" s="135">
        <f>IF(ISNA(VLOOKUP(A105,'Données projet'!$A$269:$I$289,5,0)),0%,VLOOKUP(A105,'Données projet'!$A$269:$I$289,5,0)*VLOOKUP('Données projet'!$B$18,'Paramètres'!$A$1:$I$89,7,0))</f>
        <v>0</v>
      </c>
      <c r="HE105" s="135">
        <f>IF(ISNA(VLOOKUP(A105,'Données projet'!$A$269:$I$289,6,0)),0%,VLOOKUP(A105,'Données projet'!$A$269:$I$289,6,0)*VLOOKUP('Données projet'!$B$18,'Paramètres'!$A$1:$I$89,7,0))</f>
        <v>0</v>
      </c>
      <c r="HF105" s="135">
        <f>IF(ISNA(VLOOKUP(A105,'Données projet'!$A$269:$I$289,7,0)),0%,VLOOKUP(A105,'Données projet'!$A$269:$I$289,7,0))</f>
        <v>0</v>
      </c>
      <c r="HG105" s="142">
        <f>EXP(-LN(2)/35)*HG104+(1-EXP(-LN(2)/35))/(LN(2)/35)*HC105*HD105*VLOOKUP('Données projet'!$B$18,'Paramètres'!$A$1:$I$89,3,0)*0.475*44/12</f>
        <v>30.78654608</v>
      </c>
      <c r="HH105" s="142">
        <f>EXP(-LN(2)/25)*HH104+(1-EXP(-LN(2)/25))/(LN(2)/25)*Calculateur!HC105*Calculateur!HE105*VLOOKUP('Données projet'!$B$18,'Paramètres'!$A$1:$I$89,3,0)*0.475*44/12</f>
        <v>0</v>
      </c>
      <c r="HI105" s="142">
        <f>EXP(-LN(2)/2)*HI104+(1-EXP(-LN(2)/2))/(LN(2)/2)*HC105*HF105*VLOOKUP('Données projet'!$B$18,'Paramètres'!$A$1:$I$89,3,0)*0.475*44/12</f>
        <v>0</v>
      </c>
      <c r="HJ105" s="143">
        <f t="shared" si="31"/>
        <v>30.78654608</v>
      </c>
    </row>
    <row r="106" ht="15.75" customHeight="1">
      <c r="A106" s="125">
        <f t="shared" si="32"/>
        <v>103</v>
      </c>
      <c r="B106" s="126">
        <f>'Scénario référence'!$B$16*5+'Scénario référence'!$B$17*0+'Scénario référence'!$B$18*5</f>
        <v>0</v>
      </c>
      <c r="C106" s="140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56.238</v>
      </c>
      <c r="D106" s="127">
        <f t="shared" si="33"/>
        <v>16.21356271</v>
      </c>
      <c r="E10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7">
        <f>IF(OR('Scénario référence'!$F$8&gt;0,'Scénario référence'!$F$9&gt;0),('Scénario référence'!$F$8+'Scénario référence'!$F$9)*10,0)</f>
        <v>10</v>
      </c>
      <c r="G106" s="127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</v>
      </c>
      <c r="H106" s="128">
        <f t="shared" si="1"/>
        <v>419.5198051</v>
      </c>
      <c r="I106" s="12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1" t="str">
        <f>VLOOKUP(A106,'Données projet'!$A$35:$I$55,2,0)</f>
        <v>#N/A</v>
      </c>
      <c r="L106" s="131" t="str">
        <f>VLOOKUP(A106,'Données projet'!$A$35:$I$55,9,0)</f>
        <v>#N/A</v>
      </c>
      <c r="M106" s="131" t="str">
        <f t="array" ref="M106">INDEX(L:L,MIN(IF(ISNUMBER(L106:L302),ROW(L106:L302),"")))</f>
        <v/>
      </c>
      <c r="N106" s="130">
        <f>IF('Données projet'!$A$36&gt;35,N105+M106-V105,IF(A106&lt;'Données projet'!$A$36,$K$205^A106,IF(A106='Données projet'!$A$36,'Données projet'!$B$36,N105+M106-V105)))</f>
        <v>0</v>
      </c>
      <c r="O106" s="130">
        <f>N106*VLOOKUP('Données projet'!$B$9,'Paramètres'!$A$1:$I$89,3,0)*VLOOKUP('Données projet'!$B$9,'Paramètres'!$A$1:$I$89,5,0)</f>
        <v>0</v>
      </c>
      <c r="P106" s="130">
        <f t="shared" si="34"/>
        <v>0</v>
      </c>
      <c r="Q106" s="141">
        <f t="shared" si="2"/>
        <v>0</v>
      </c>
      <c r="R106" s="133">
        <f t="shared" si="3"/>
        <v>293.3333333</v>
      </c>
      <c r="S106" s="133">
        <f>AVERAGE(OFFSET($R$3,0,0,'Données projet'!$E$9+1,1))-AVERAGE(OFFSET($H$3,0,0,'Données projet'!$E$9+1,1))</f>
        <v>126.9946492</v>
      </c>
      <c r="T106" s="133">
        <f t="shared" si="35"/>
        <v>140.039049</v>
      </c>
      <c r="U106" s="134">
        <f>IF(ISNA(VLOOKUP(A106,'Données projet'!$A$35:$I$55,3,0)),0,VLOOKUP(A106,'Données projet'!$A$35:$I$55,3,0))</f>
        <v>0</v>
      </c>
      <c r="V106" s="134">
        <f>IF(ISNA(VLOOKUP(A106,'Données projet'!$A$35:$I$55,4,0)),0,VLOOKUP(A106,'Données projet'!$A$35:$I$55,4,0))</f>
        <v>0</v>
      </c>
      <c r="W106" s="135">
        <f>IF(ISNA(VLOOKUP(A106,'Données projet'!$A$35:$I$55,5,0)),0%,VLOOKUP(A106,'Données projet'!$A$35:$I$55,5,0)*VLOOKUP('Données projet'!$B$9,'Paramètres'!$A$1:$I$89,7,0))</f>
        <v>0</v>
      </c>
      <c r="X106" s="135">
        <f>IF(ISNA(VLOOKUP(A106,'Données projet'!$A$35:$I$55,6,0)),0%,VLOOKUP(A106,'Données projet'!$A$35:$I$55,6,0)*VLOOKUP('Données projet'!$B$9,'Paramètres'!$A$1:$I$89,7,0))</f>
        <v>0</v>
      </c>
      <c r="Y106" s="135">
        <f>IF(ISNA(VLOOKUP(A106,'Données projet'!$A$35:$I$55,7,0)),0%,VLOOKUP(A106,'Données projet'!$A$35:$I$55,7,0))</f>
        <v>0</v>
      </c>
      <c r="Z106" s="142">
        <f>EXP(-LN(2)/35)*Z105+(1-EXP(-LN(2)/35))/(LN(2)/35)*V106*W106*VLOOKUP('Données projet'!$B$9,'Paramètres'!$A$1:$I$89,3,0)*0.475*44/12</f>
        <v>45.33228128</v>
      </c>
      <c r="AA106" s="142">
        <f>EXP(-LN(2)/25)*AA105+(1-EXP(-LN(2)/25))/(LN(2)/25)*Calculateur!V106*Calculateur!X106*VLOOKUP('Données projet'!$B$9,'Paramètres'!$A$1:$I$89,3,0)*0.475*44/12</f>
        <v>7.054061696</v>
      </c>
      <c r="AB106" s="142">
        <f>EXP(-LN(2)/2)*AB105+(1-EXP(-LN(2)/2))/(LN(2)/2)*V106*Y106*VLOOKUP('Données projet'!$B$9,'Paramètres'!$A$1:$I$89,3,0)*0.475*44/12</f>
        <v>0.000006402737214</v>
      </c>
      <c r="AC106" s="143">
        <f t="shared" si="4"/>
        <v>52.38634938</v>
      </c>
      <c r="AD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1" t="str">
        <f>VLOOKUP(A106,'Données projet'!$A$61:$I$81,2,0)</f>
        <v>#N/A</v>
      </c>
      <c r="AG106" s="131" t="str">
        <f>VLOOKUP(A106,'Données projet'!$A$61:$I$81,9,0)</f>
        <v>#N/A</v>
      </c>
      <c r="AH106" s="131" t="str">
        <f t="array" ref="AH106">INDEX(AG:AG,MIN(IF(ISNUMBER(AG106:AG302),ROW(AG106:AG302),"")))</f>
        <v/>
      </c>
      <c r="AI106" s="130">
        <f>IF('Données projet'!$A$62&gt;35,AI105+AH106-AQ105,IF(A106&lt;'Données projet'!$A$62,$AF$205^A106,IF(A106='Données projet'!$A$62,'Données projet'!$B$62,AI105+AH106-AQ105)))</f>
        <v>0</v>
      </c>
      <c r="AJ106" s="130">
        <f>AI106*VLOOKUP('Données projet'!$B$10,'Paramètres'!$A$1:$I$89,3,0)*VLOOKUP('Données projet'!$B$10,'Paramètres'!$A$1:$I$89,5,0)</f>
        <v>0</v>
      </c>
      <c r="AK106" s="130" t="str">
        <f t="shared" si="36"/>
        <v>#NUM!</v>
      </c>
      <c r="AL106" s="141" t="str">
        <f t="shared" si="5"/>
        <v>#NUM!</v>
      </c>
      <c r="AM106" s="133" t="str">
        <f t="shared" si="6"/>
        <v>#NUM!</v>
      </c>
      <c r="AN106" s="133">
        <f>AVERAGE(OFFSET($AM$3,0,0,'Données projet'!$E$10+1,1))-AVERAGE(OFFSET($H$3,0,0,'Données projet'!$E$10+1,1))</f>
        <v>196.874484</v>
      </c>
      <c r="AO106" s="133">
        <f t="shared" si="37"/>
        <v>217.5750859</v>
      </c>
      <c r="AP106" s="134">
        <f>IF(ISNA(VLOOKUP(A106,'Données projet'!$A$61:$I$81,3,0)),0,VLOOKUP(A106,'Données projet'!$A$61:$I$81,3,0))</f>
        <v>0</v>
      </c>
      <c r="AQ106" s="134">
        <f>IF(ISNA(VLOOKUP(A106,'Données projet'!$A$61:$I$81,4,0)),0,VLOOKUP(A106,'Données projet'!$A$61:$I$81,4,0))</f>
        <v>0</v>
      </c>
      <c r="AR106" s="135">
        <f>IF(ISNA(VLOOKUP(A106,'Données projet'!$A$61:$I$81,5,0)),0%,VLOOKUP(A106,'Données projet'!$A$61:$I$81,5,0)*VLOOKUP('Données projet'!$B$10,'Paramètres'!$A$1:$I$89,7,0))</f>
        <v>0</v>
      </c>
      <c r="AS106" s="135">
        <f>IF(ISNA(VLOOKUP(A106,'Données projet'!$A$61:$I$81,6,0)),0%,VLOOKUP(A106,'Données projet'!$A$61:$I$81,6,0)*VLOOKUP('Données projet'!$B$10,'Paramètres'!$A$1:$I$89,7,0))</f>
        <v>0</v>
      </c>
      <c r="AT106" s="135">
        <f>IF(ISNA(VLOOKUP(A106,'Données projet'!$A$61:$I$81,7,0)),0%,VLOOKUP(A106,'Données projet'!$A$61:$I$81,7,0))</f>
        <v>0</v>
      </c>
      <c r="AU106" s="142">
        <f>EXP(-LN(2)/35)*AU105+(1-EXP(-LN(2)/35))/(LN(2)/35)*AQ106*AR106*VLOOKUP('Données projet'!$B$10,'Paramètres'!$A$1:$I$89,3,0)*0.475*44/12</f>
        <v>63.01058337</v>
      </c>
      <c r="AV106" s="142">
        <f>EXP(-LN(2)/25)*AV105+(1-EXP(-LN(2)/25))/(LN(2)/25)*Calculateur!AQ106*Calculateur!AS106*VLOOKUP('Données projet'!$B$10,'Paramètres'!$A$1:$I$89,3,0)*0.475*44/12</f>
        <v>10.84562928</v>
      </c>
      <c r="AW106" s="142">
        <f>EXP(-LN(2)/2)*AW105+(1-EXP(-LN(2)/2))/(LN(2)/2)*AQ106*AT106*VLOOKUP('Données projet'!$B$10,'Paramètres'!$A$1:$I$89,3,0)*0.475*44/12</f>
        <v>0.000008926759975</v>
      </c>
      <c r="AX106" s="142">
        <f t="shared" si="7"/>
        <v>73.85622158</v>
      </c>
      <c r="AY106" s="13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1" t="str">
        <f>VLOOKUP(A106,'Données projet'!$A$87:$I$107,2,0)</f>
        <v>#N/A</v>
      </c>
      <c r="BB106" s="131" t="str">
        <f>VLOOKUP(A106,'Données projet'!$A$87:$I$107,9,0)</f>
        <v>#N/A</v>
      </c>
      <c r="BC106" s="131" t="str">
        <f t="array" ref="BC106">INDEX(BB:BB,MIN(IF(ISNUMBER(BB106:BB302),ROW(BB106:BB302),"")))</f>
        <v/>
      </c>
      <c r="BD106" s="130">
        <f>IF('Données projet'!$A$88&gt;35,BD105+BC106-BL105,IF(A106&lt;'Données projet'!$A$88,$BA$205^A106,IF(A106='Données projet'!$A$88,'Données projet'!$B$88,BD105+BC106-BL105)))</f>
        <v>0</v>
      </c>
      <c r="BE106" s="130">
        <f>BD106*VLOOKUP('Données projet'!$B$11,'Paramètres'!$A$1:$I$89,3,0)*VLOOKUP('Données projet'!$B$11,'Paramètres'!$A$1:$I$89,5,0)</f>
        <v>0</v>
      </c>
      <c r="BF106" s="130" t="str">
        <f t="shared" si="38"/>
        <v>#NUM!</v>
      </c>
      <c r="BG106" s="141" t="str">
        <f t="shared" si="8"/>
        <v>#NUM!</v>
      </c>
      <c r="BH106" s="133" t="str">
        <f t="shared" si="9"/>
        <v>#NUM!</v>
      </c>
      <c r="BI106" s="133">
        <f>AVERAGE(OFFSET($BH$3,0,0,'Données projet'!$E$11+1,1))-AVERAGE(OFFSET($H$3,0,0,'Données projet'!$E$11+1,1))</f>
        <v>134.0948534</v>
      </c>
      <c r="BJ106" s="133">
        <f t="shared" si="39"/>
        <v>108.4102536</v>
      </c>
      <c r="BK106" s="134">
        <f>IF(ISNA(VLOOKUP(A106,'Données projet'!$A$87:$I$107,3,0)),0,VLOOKUP(A106,'Données projet'!$A$87:$I$107,3,0))</f>
        <v>0</v>
      </c>
      <c r="BL106" s="134">
        <f>IF(ISNA(VLOOKUP(A106,'Données projet'!$A$87:$I$107,4,0)),0,VLOOKUP(A106,'Données projet'!$A$87:$I$107,4,0))</f>
        <v>0</v>
      </c>
      <c r="BM106" s="135">
        <f>IF(ISNA(VLOOKUP(A106,'Données projet'!$A$87:$I$107,5,0)),0%,VLOOKUP(A106,'Données projet'!$A$87:$I$107,5,0)*VLOOKUP('Données projet'!$B$11,'Paramètres'!$A$1:$I$89,7,0))</f>
        <v>0</v>
      </c>
      <c r="BN106" s="135">
        <f>IF(ISNA(VLOOKUP(A106,'Données projet'!$A$87:$I$107,6,0)),0%,VLOOKUP(A106,'Données projet'!$A$87:$I$107,6,0)*VLOOKUP('Données projet'!$B$11,'Paramètres'!$A$1:$I$89,7,0))</f>
        <v>0</v>
      </c>
      <c r="BO106" s="135">
        <f>IF(ISNA(VLOOKUP(A106,'Données projet'!$A$87:$I$107,7,0)),0%,VLOOKUP(A106,'Données projet'!$A$87:$I$107,7,0))</f>
        <v>0</v>
      </c>
      <c r="BP106" s="142">
        <f>EXP(-LN(2)/35)*BP105+(1-EXP(-LN(2)/35))/(LN(2)/35)*BL106*BM106*VLOOKUP('Données projet'!$B$11,'Paramètres'!$A$1:$I$89,3,0)*0.475*44/12</f>
        <v>87.15540457</v>
      </c>
      <c r="BQ106" s="142">
        <f>EXP(-LN(2)/25)*BQ105+(1-EXP(-LN(2)/25))/(LN(2)/25)*Calculateur!BL106*Calculateur!BN106*VLOOKUP('Données projet'!$B$11,'Paramètres'!$A$1:$I$89,3,0)*0.475*44/12</f>
        <v>6.841432263</v>
      </c>
      <c r="BR106" s="142">
        <f>EXP(-LN(2)/2)*BR105+(1-EXP(-LN(2)/2))/(LN(2)/2)*BL106*BO106*VLOOKUP('Données projet'!$B$11,'Paramètres'!$A$1:$I$89,3,0)*0.475*44/12</f>
        <v>0.0001190701671</v>
      </c>
      <c r="BS106" s="143">
        <f t="shared" si="10"/>
        <v>93.9969559</v>
      </c>
      <c r="BT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1" t="str">
        <f>VLOOKUP(A106,'Données projet'!$A$113:$I$133,2,0)</f>
        <v>#N/A</v>
      </c>
      <c r="BW106" s="131" t="str">
        <f>VLOOKUP(A106,'Données projet'!$A$113:$I$133,9,0)</f>
        <v>#N/A</v>
      </c>
      <c r="BX106" s="131" t="str">
        <f t="array" ref="BX106">INDEX(BW:BW,MIN(IF(ISNUMBER(BW106:BW302),ROW(BW106:BW302),"")))</f>
        <v/>
      </c>
      <c r="BY106" s="130">
        <f>IF('Données projet'!$A$114&gt;35,BY105+BX106-CG105,IF(A106&lt;'Données projet'!$A$114,$BV$205^A106,IF(A106='Données projet'!$A$114,'Données projet'!$B$114,BY105+BX106-CG105)))</f>
        <v>0</v>
      </c>
      <c r="BZ106" s="130">
        <f>BY106*VLOOKUP('Données projet'!$B$12,'Paramètres'!$A$1:$I$89,3,0)*VLOOKUP('Données projet'!$B$12,'Paramètres'!$A$1:$I$89,5,0)</f>
        <v>0</v>
      </c>
      <c r="CA106" s="130" t="str">
        <f t="shared" si="40"/>
        <v>#NUM!</v>
      </c>
      <c r="CB106" s="141" t="str">
        <f t="shared" si="11"/>
        <v>#NUM!</v>
      </c>
      <c r="CC106" s="133" t="str">
        <f t="shared" si="12"/>
        <v>#NUM!</v>
      </c>
      <c r="CD106" s="133">
        <f>AVERAGE(OFFSET($CC$3,0,0,'Données projet'!$E$12+1,1))-AVERAGE(OFFSET($H$3,0,0,'Données projet'!$E$12+1,1))</f>
        <v>258.1672054</v>
      </c>
      <c r="CE106" s="133">
        <f t="shared" si="41"/>
        <v>296.0724261</v>
      </c>
      <c r="CF106" s="134">
        <f>IF(ISNA(VLOOKUP(A106,'Données projet'!$A$113:$I$133,3,0)),0,VLOOKUP(A106,'Données projet'!$A$113:$I$133,3,0))</f>
        <v>0</v>
      </c>
      <c r="CG106" s="134">
        <f>IF(ISNA(VLOOKUP(A106,'Données projet'!$A$113:$I$133,4,0)),0,VLOOKUP(A106,'Données projet'!$A$113:$I$133,4,0))</f>
        <v>0</v>
      </c>
      <c r="CH106" s="135">
        <f>IF(ISNA(VLOOKUP(A106,'Données projet'!$A$113:$I$133,5,0)),0%,VLOOKUP(A106,'Données projet'!$A$113:$I$133,5,0)*VLOOKUP('Données projet'!$B$12,'Paramètres'!$A$1:$I$89,7,0))</f>
        <v>0</v>
      </c>
      <c r="CI106" s="135">
        <f>IF(ISNA(VLOOKUP(A106,'Données projet'!$A$113:$I$133,6,0)),0%,VLOOKUP(A106,'Données projet'!$A$113:$I$133,6,0)*VLOOKUP('Données projet'!$B$12,'Paramètres'!$A$1:$I$89,7,0))</f>
        <v>0</v>
      </c>
      <c r="CJ106" s="135">
        <f>IF(ISNA(VLOOKUP(A106,'Données projet'!$A$113:$I$133,7,0)),0%,VLOOKUP(A106,'Données projet'!$A$113:$I$133,7,0))</f>
        <v>0</v>
      </c>
      <c r="CK106" s="142">
        <f>EXP(-LN(2)/35)*CK105+(1-EXP(-LN(2)/35))/(LN(2)/35)*CG106*CH106*VLOOKUP('Données projet'!$B$12,'Paramètres'!$A$1:$I$89,3,0)*0.475*44/12</f>
        <v>110.1910933</v>
      </c>
      <c r="CL106" s="142">
        <f>EXP(-LN(2)/25)*CL105+(1-EXP(-LN(2)/25))/(LN(2)/25)*Calculateur!CG106*Calculateur!CI106*VLOOKUP('Données projet'!$B$12,'Paramètres'!$A$1:$I$89,3,0)*0.475*44/12</f>
        <v>12.00026056</v>
      </c>
      <c r="CM106" s="142">
        <f>EXP(-LN(2)/2)*CM105+(1-EXP(-LN(2)/2))/(LN(2)/2)*CG106*CJ106*VLOOKUP('Données projet'!$B$12,'Paramètres'!$A$1:$I$89,3,0)*0.475*44/12</f>
        <v>0.000005016285602</v>
      </c>
      <c r="CN106" s="143">
        <f t="shared" si="13"/>
        <v>122.1913589</v>
      </c>
      <c r="CO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1" t="str">
        <f>VLOOKUP(A106,'Données projet'!$A$139:$I$159,2,0)</f>
        <v>#N/A</v>
      </c>
      <c r="CR106" s="131" t="str">
        <f>VLOOKUP(A106,'Données projet'!$A$139:$I$159,9,0)</f>
        <v>#N/A</v>
      </c>
      <c r="CS106" s="130">
        <f t="array" ref="CS106">INDEX(CR:CR,MIN(IF(ISNUMBER(CR106:CR302),ROW(CR106:CR302),"")))</f>
        <v>1.7</v>
      </c>
      <c r="CT106" s="138">
        <f>IF('Données projet'!$A$140&gt;35,CT105+CS106-DB105,IF(A106&lt;'Données projet'!$A$140,$CQ$205^A106,IF(A106='Données projet'!$A$140,'Données projet'!$B$140,CT105+CS106-DB105)))</f>
        <v>207.1</v>
      </c>
      <c r="CU106" s="138">
        <f>CT106*VLOOKUP('Données projet'!$B$13,'Paramètres'!$A$1:$I$89,3,0)*VLOOKUP('Données projet'!$B$13,'Paramètres'!$A$1:$I$89,5,0)</f>
        <v>209.9994</v>
      </c>
      <c r="CV106" s="130">
        <f t="shared" si="42"/>
        <v>51.93545458</v>
      </c>
      <c r="CW106" s="141">
        <f t="shared" si="14"/>
        <v>456.2032051</v>
      </c>
      <c r="CX106" s="133">
        <f t="shared" si="15"/>
        <v>749.5365384</v>
      </c>
      <c r="CY106" s="133">
        <f>AVERAGE(OFFSET($CX$3,0,0,'Données projet'!$E$13+1,1))-AVERAGE(OFFSET($H$3,0,0,'Données projet'!$E$13+1,1))</f>
        <v>223.783507</v>
      </c>
      <c r="CZ106" s="133">
        <f t="shared" si="43"/>
        <v>84.92349117</v>
      </c>
      <c r="DA106" s="134">
        <f>IF(ISNA(VLOOKUP(A106,'Données projet'!$A$139:$I$159,3,0)),0,VLOOKUP(A106,'Données projet'!$A$139:$I$159,3,0))</f>
        <v>0</v>
      </c>
      <c r="DB106" s="134">
        <f>IF(ISNA(VLOOKUP(A106,'Données projet'!$A$139:$I$159,4,0)),0,VLOOKUP(A106,'Données projet'!$A$139:$I$159,4,0))</f>
        <v>0</v>
      </c>
      <c r="DC106" s="135">
        <f>IF(ISNA(VLOOKUP(A106,'Données projet'!$A$139:$I$159,5,0)),0%,VLOOKUP(A106,'Données projet'!$A$139:$I$159,5,0)*VLOOKUP('Données projet'!$B$13,'Paramètres'!$A$1:$I$89,7,0))</f>
        <v>0</v>
      </c>
      <c r="DD106" s="135">
        <f>IF(ISNA(VLOOKUP(A106,'Données projet'!$A$139:$I$159,6,0)),0%,VLOOKUP(A106,'Données projet'!$A$139:$I$159,6,0)*VLOOKUP('Données projet'!$B$13,'Paramètres'!$A$1:$I$89,7,0))</f>
        <v>0</v>
      </c>
      <c r="DE106" s="135">
        <f>IF(ISNA(VLOOKUP(A106,'Données projet'!$A$139:$I$159,7,0)),0%,VLOOKUP(A106,'Données projet'!$A$139:$I$159,7,0))</f>
        <v>0</v>
      </c>
      <c r="DF106" s="142">
        <f>EXP(-LN(2)/35)*DF105+(1-EXP(-LN(2)/35))/(LN(2)/35)*DB106*DC106*VLOOKUP('Données projet'!$B$13,'Paramètres'!$A$1:$I$89,3,0)*0.475*44/12</f>
        <v>19.71594721</v>
      </c>
      <c r="DG106" s="142">
        <f>EXP(-LN(2)/25)*DG105+(1-EXP(-LN(2)/25))/(LN(2)/25)*Calculateur!DB106*Calculateur!DD106*VLOOKUP('Données projet'!$B$13,'Paramètres'!$A$1:$I$89,3,0)*0.475*44/12</f>
        <v>0</v>
      </c>
      <c r="DH106" s="142">
        <f>EXP(-LN(2)/2)*DH105+(1-EXP(-LN(2)/2))/(LN(2)/2)*DB106*DE106*VLOOKUP('Données projet'!$B$13,'Paramètres'!$A$1:$I$89,3,0)*0.475*44/12</f>
        <v>0</v>
      </c>
      <c r="DI106" s="143">
        <f t="shared" si="16"/>
        <v>19.71594721</v>
      </c>
      <c r="DJ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1" t="str">
        <f>VLOOKUP(A106,'Données projet'!$A$165:$I$185,2,0)</f>
        <v>#N/A</v>
      </c>
      <c r="DM106" s="131" t="str">
        <f>VLOOKUP(A106,'Données projet'!$A$165:$I$185,9,0)</f>
        <v>#N/A</v>
      </c>
      <c r="DN106" s="131">
        <f t="array" ref="DN106">INDEX(DM:DM,MIN(IF(ISNUMBER(DM106:DM302),ROW(DM106:DM302),"")))</f>
        <v>2.4</v>
      </c>
      <c r="DO106" s="138">
        <f>IF('Données projet'!$A$166&gt;35,DO105+DN106-DW105,IF(A106&lt;'Données projet'!$A$166,$DL$205^A106,IF(A106='Données projet'!$A$166,'Données projet'!$B$166,DO105+DN106-DW105)))</f>
        <v>268.2</v>
      </c>
      <c r="DP106" s="138">
        <f>DO106*VLOOKUP('Données projet'!$B$14,'Paramètres'!$A$1:$I$89,3,0)*VLOOKUP('Données projet'!$B$14,'Paramètres'!$A$1:$I$89,5,0)</f>
        <v>242.66736</v>
      </c>
      <c r="DQ106" s="130">
        <f t="shared" si="44"/>
        <v>59.01305629</v>
      </c>
      <c r="DR106" s="141">
        <f t="shared" si="17"/>
        <v>525.426725</v>
      </c>
      <c r="DS106" s="133">
        <f t="shared" si="18"/>
        <v>818.7600584</v>
      </c>
      <c r="DT106" s="133">
        <f>AVERAGE(OFFSET($DS$3,0,0,'Données projet'!$E$14+1,1))-AVERAGE(OFFSET($H$3,0,0,'Données projet'!$E$14+1,1))</f>
        <v>287.9334714</v>
      </c>
      <c r="DU106" s="133">
        <f t="shared" si="45"/>
        <v>156.6796502</v>
      </c>
      <c r="DV106" s="134">
        <f>IF(ISNA(VLOOKUP(A106,'Données projet'!$A$165:$I$185,3,0)),0,VLOOKUP(A106,'Données projet'!$A$165:$I$185,3,0))</f>
        <v>0</v>
      </c>
      <c r="DW106" s="134">
        <f>IF(ISNA(VLOOKUP(A106,'Données projet'!$A$165:$I$185,4,0)),0,VLOOKUP(A106,'Données projet'!$A$165:$I$185,4,0))</f>
        <v>0</v>
      </c>
      <c r="DX106" s="135">
        <f>IF(ISNA(VLOOKUP(A106,'Données projet'!$A$165:$I$185,5,0)),0%,VLOOKUP(A106,'Données projet'!$A$165:$I$185,5,0)*VLOOKUP('Données projet'!$B$14,'Paramètres'!$A$1:$I$89,7,0))</f>
        <v>0</v>
      </c>
      <c r="DY106" s="135">
        <f>IF(ISNA(VLOOKUP(A106,'Données projet'!$A$165:$I$185,6,0)),0%,VLOOKUP(A106,'Données projet'!$A$165:$I$185,6,0)*VLOOKUP('Données projet'!$B$14,'Paramètres'!$A$1:$I$89,7,0))</f>
        <v>0</v>
      </c>
      <c r="DZ106" s="135">
        <f>IF(ISNA(VLOOKUP(A106,'Données projet'!$A$165:$I$185,7,0)),0%,VLOOKUP(A106,'Données projet'!$A$165:$I$185,7,0))</f>
        <v>0</v>
      </c>
      <c r="EA106" s="142">
        <f>EXP(-LN(2)/35)*EA105+(1-EXP(-LN(2)/35))/(LN(2)/35)*DW106*DX106*VLOOKUP('Données projet'!$B$14,'Paramètres'!$A$1:$I$89,3,0)*0.475*44/12</f>
        <v>29.35021124</v>
      </c>
      <c r="EB106" s="142">
        <f>EXP(-LN(2)/25)*EB105+(1-EXP(-LN(2)/25))/(LN(2)/25)*Calculateur!DW106*Calculateur!DY106*VLOOKUP('Données projet'!$B$14,'Paramètres'!$A$1:$I$89,3,0)*0.475*44/12</f>
        <v>0</v>
      </c>
      <c r="EC106" s="142">
        <f>EXP(-LN(2)/2)*EC105+(1-EXP(-LN(2)/2))/(LN(2)/2)*DW106*DZ106*VLOOKUP('Données projet'!$B$14,'Paramètres'!$A$1:$I$89,3,0)*0.475*44/12</f>
        <v>0</v>
      </c>
      <c r="ED106" s="143">
        <f t="shared" si="19"/>
        <v>29.35021124</v>
      </c>
      <c r="EE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1" t="str">
        <f>VLOOKUP(A106,'Données projet'!$A$191:$I$211,2,0)</f>
        <v>#N/A</v>
      </c>
      <c r="EH106" s="131" t="str">
        <f>VLOOKUP(A106,'Données projet'!$A$191:$I$211,9,0)</f>
        <v>#N/A</v>
      </c>
      <c r="EI106" s="131" t="str">
        <f t="array" ref="EI106">INDEX(EH:EH,MIN(IF(ISNUMBER(EH106:EH302),ROW(EH106:EH302),"")))</f>
        <v/>
      </c>
      <c r="EJ106" s="138">
        <f>IF('Données projet'!$A$192&gt;35,EJ105+EI106-ER105,IF(A106&lt;'Données projet'!$A$192,$EG$205^A106,IF(A106='Données projet'!$A$192,'Données projet'!$B$192,EJ105+EI106-ER105)))</f>
        <v>0</v>
      </c>
      <c r="EK106" s="138">
        <f>EJ106*VLOOKUP('Données projet'!$B$15,'Paramètres'!$A$1:$I$89,3,0)*VLOOKUP('Données projet'!$B$15,'Paramètres'!$A$1:$I$89,5,0)</f>
        <v>0</v>
      </c>
      <c r="EL106" s="130" t="str">
        <f t="shared" si="46"/>
        <v>#NUM!</v>
      </c>
      <c r="EM106" s="141" t="str">
        <f t="shared" si="20"/>
        <v>#NUM!</v>
      </c>
      <c r="EN106" s="133" t="str">
        <f t="shared" si="21"/>
        <v>#NUM!</v>
      </c>
      <c r="EO106" s="133">
        <f>AVERAGE(OFFSET($EN$3,0,0,'Données projet'!$E$15+1,1))-AVERAGE(OFFSET($H$3,0,0,'Données projet'!$E$15+1,1))</f>
        <v>130.3193339</v>
      </c>
      <c r="EP106" s="133">
        <f t="shared" si="47"/>
        <v>82.22784365</v>
      </c>
      <c r="EQ106" s="134">
        <f>IF(ISNA(VLOOKUP(A106,'Données projet'!$A$191:$I$211,3,0)),0,VLOOKUP(A106,'Données projet'!$A$191:$I$211,3,0))</f>
        <v>0</v>
      </c>
      <c r="ER106" s="134">
        <f>IF(ISNA(VLOOKUP(A106,'Données projet'!$A$191:$I$211,4,0)),0,VLOOKUP(A106,'Données projet'!$A$191:$I$211,4,0))</f>
        <v>0</v>
      </c>
      <c r="ES106" s="135">
        <f>IF(ISNA(VLOOKUP(A106,'Données projet'!$A$191:$I$211,5,0)),0%,VLOOKUP(A106,'Données projet'!$A$191:$I$211,5,0)*VLOOKUP('Données projet'!$B$15,'Paramètres'!$A$1:$I$89,7,0))</f>
        <v>0</v>
      </c>
      <c r="ET106" s="135">
        <f>IF(ISNA(VLOOKUP(A106,'Données projet'!$A$191:$I$211,6,0)),0%,VLOOKUP(A106,'Données projet'!$A$191:$I$211,6,0)*VLOOKUP('Données projet'!$B$15,'Paramètres'!$A$1:$I$89,7,0))</f>
        <v>0</v>
      </c>
      <c r="EU106" s="135">
        <f>IF(ISNA(VLOOKUP(A106,'Données projet'!$A$191:$I$211,7,0)),0%,VLOOKUP(A106,'Données projet'!$A$191:$I$211,7,0))</f>
        <v>0</v>
      </c>
      <c r="EV106" s="142">
        <f>EXP(-LN(2)/35)*EV105+(1-EXP(-LN(2)/35))/(LN(2)/35)*ER106*ES106*VLOOKUP('Données projet'!$B$15,'Paramètres'!$A$1:$I$89,3,0)*0.475*44/12</f>
        <v>67.379574</v>
      </c>
      <c r="EW106" s="142">
        <f>EXP(-LN(2)/25)*EW105+(1-EXP(-LN(2)/25))/(LN(2)/25)*Calculateur!ER106*Calculateur!ET106*VLOOKUP('Données projet'!$B$15,'Paramètres'!$A$1:$I$89,3,0)*0.475*44/12</f>
        <v>0</v>
      </c>
      <c r="EX106" s="142">
        <f>EXP(-LN(2)/2)*EX105+(1-EXP(-LN(2)/2))/(LN(2)/2)*ER106*EU106*VLOOKUP('Données projet'!$B$15,'Paramètres'!$A$1:$I$89,3,0)*0.475*44/12</f>
        <v>0</v>
      </c>
      <c r="EY106" s="143">
        <f t="shared" si="22"/>
        <v>67.379574</v>
      </c>
      <c r="EZ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1" t="str">
        <f>VLOOKUP(A106,'Données projet'!$A$217:$I$237,2,0)</f>
        <v>#N/A</v>
      </c>
      <c r="FC106" s="131" t="str">
        <f>VLOOKUP(A106,'Données projet'!$A$217:$I$237,9,0)</f>
        <v>#N/A</v>
      </c>
      <c r="FD106" s="131" t="str">
        <f t="array" ref="FD106">INDEX(FC:FC,MIN(IF(ISNUMBER(FC106:FC302),ROW(FC106:FC302),"")))</f>
        <v/>
      </c>
      <c r="FE106" s="130">
        <f>IF('Données projet'!$A$218&gt;35,FE105+FD106-FM105,IF(A106&lt;'Données projet'!$A$218,$FB$205^A106,IF(A106='Données projet'!$A$218,'Données projet'!$B$218,FE105+FD106-FM105)))</f>
        <v>0</v>
      </c>
      <c r="FF106" s="138">
        <f>FE106*VLOOKUP('Données projet'!$B$16,'Paramètres'!$A$1:$I$89,3,0)*VLOOKUP('Données projet'!$B$16,'Paramètres'!$A$1:$I$89,5,0)</f>
        <v>0</v>
      </c>
      <c r="FG106" s="130">
        <f t="shared" si="48"/>
        <v>0</v>
      </c>
      <c r="FH106" s="141">
        <f t="shared" si="23"/>
        <v>0</v>
      </c>
      <c r="FI106" s="133">
        <f t="shared" si="24"/>
        <v>293.3333333</v>
      </c>
      <c r="FJ106" s="133">
        <f>AVERAGE(OFFSET($FI$3,0,0,'Données projet'!$E$16+1,1))-AVERAGE(OFFSET($H$3,0,0,'Données projet'!$E$16+1,1))</f>
        <v>305.6252353</v>
      </c>
      <c r="FK106" s="133">
        <f t="shared" si="49"/>
        <v>331.397916</v>
      </c>
      <c r="FL106" s="134">
        <f>IF(ISNA(VLOOKUP(A106,'Données projet'!$A$217:$I$237,3,0)),0,VLOOKUP(A106,'Données projet'!$A$217:$I$237,3,0))</f>
        <v>0</v>
      </c>
      <c r="FM106" s="134">
        <f>IF(ISNA(VLOOKUP(A106,'Données projet'!$A$217:$I$237,4,0)),0,VLOOKUP(A106,'Données projet'!$A$217:$I$237,4,0))</f>
        <v>0</v>
      </c>
      <c r="FN106" s="135">
        <f>IF(ISNA(VLOOKUP(A106,'Données projet'!$A$217:$I$237,5,0)),0%,VLOOKUP(A106,'Données projet'!$A$217:$I$237,5,0)*VLOOKUP('Données projet'!$B$16,'Paramètres'!$A$1:$I$89,7,0))</f>
        <v>0</v>
      </c>
      <c r="FO106" s="135">
        <f>IF(ISNA(VLOOKUP(A106,'Données projet'!$A$217:$I$237,6,0)),0%,VLOOKUP(A106,'Données projet'!$A$217:$I$237,6,0)*VLOOKUP('Données projet'!$B$16,'Paramètres'!$A$1:$I$89,7,0))</f>
        <v>0</v>
      </c>
      <c r="FP106" s="135">
        <f>IF(ISNA(VLOOKUP(A106,'Données projet'!$A$217:$I$237,7,0)),0%,VLOOKUP(A106,'Données projet'!$A$217:$I$237,7,0))</f>
        <v>0</v>
      </c>
      <c r="FQ106" s="142">
        <f>EXP(-LN(2)/35)*FQ105+(1-EXP(-LN(2)/35))/(LN(2)/35)*FM106*FN106*VLOOKUP('Données projet'!$B$16,'Paramètres'!$A$1:$I$89,3,0)*0.475*44/12</f>
        <v>41.95253643</v>
      </c>
      <c r="FR106" s="142">
        <f>EXP(-LN(2)/25)*FR105+(1-EXP(-LN(2)/25))/(LN(2)/25)*Calculateur!FM106*Calculateur!FO106*VLOOKUP('Données projet'!$B$16,'Paramètres'!$A$1:$I$89,3,0)*0.475*44/12</f>
        <v>0</v>
      </c>
      <c r="FS106" s="142">
        <f>EXP(-LN(2)/2)*FS105+(1-EXP(-LN(2)/2))/(LN(2)/2)*FM106*FP106*VLOOKUP('Données projet'!$B$16,'Paramètres'!$A$1:$I$89,3,0)*0.475*44/12</f>
        <v>0</v>
      </c>
      <c r="FT106" s="143">
        <f t="shared" si="25"/>
        <v>41.95253643</v>
      </c>
      <c r="FU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1" t="str">
        <f>VLOOKUP(A106,'Données projet'!$A$243:$I$263,2,0)</f>
        <v>#N/A</v>
      </c>
      <c r="FX106" s="131" t="str">
        <f>VLOOKUP(A106,'Données projet'!$A$243:$I$263,9,0)</f>
        <v>#N/A</v>
      </c>
      <c r="FY106" s="131" t="str">
        <f t="array" ref="FY106">INDEX(FX:FX,MIN(IF(ISNUMBER(FX106:FX302),ROW(FX106:FX302),"")))</f>
        <v/>
      </c>
      <c r="FZ106" s="138">
        <f>IF('Données projet'!$A$244&gt;35,FZ105+FY106-GH105,IF(A106&lt;'Données projet'!$A$244,$FW$205^A106,IF(A106='Données projet'!$A$244,'Données projet'!$B$244,FZ105+FY106-GH105)))</f>
        <v>0</v>
      </c>
      <c r="GA106" s="138">
        <f>FZ106*VLOOKUP('Données projet'!$B$17,'Paramètres'!$A$1:$I$89,3,0)*VLOOKUP('Données projet'!$B$17,'Paramètres'!$A$1:$I$89,5,0)</f>
        <v>0</v>
      </c>
      <c r="GB106" s="130">
        <f t="shared" si="50"/>
        <v>0</v>
      </c>
      <c r="GC106" s="141">
        <f t="shared" si="26"/>
        <v>0</v>
      </c>
      <c r="GD106" s="133">
        <f t="shared" si="27"/>
        <v>293.3333333</v>
      </c>
      <c r="GE106" s="133">
        <f>AVERAGE(OFFSET($GD$3,0,0,'Données projet'!$E$17+1,1))-AVERAGE(OFFSET($H$3,0,0,'Données projet'!$E$17+1,1))</f>
        <v>118.7368745</v>
      </c>
      <c r="GF106" s="133">
        <f t="shared" si="51"/>
        <v>135.1233677</v>
      </c>
      <c r="GG106" s="134">
        <f>IF(ISNA(VLOOKUP(A106,'Données projet'!$A$243:$I$263,3,0)),0,VLOOKUP(A106,'Données projet'!$A$243:$I$263,3,0))</f>
        <v>0</v>
      </c>
      <c r="GH106" s="134">
        <f>IF(ISNA(VLOOKUP(A106,'Données projet'!$A$243:$I$263,4,0)),0,VLOOKUP(A106,'Données projet'!$A$243:$I$263,4,0))</f>
        <v>0</v>
      </c>
      <c r="GI106" s="135">
        <f>IF(ISNA(VLOOKUP(A106,'Données projet'!$A$243:$I$263,5,0)),0%,VLOOKUP(A106,'Données projet'!$A$243:$I$263,5,0)*VLOOKUP('Données projet'!$B$17,'Paramètres'!$A$1:$I$89,7,0))</f>
        <v>0</v>
      </c>
      <c r="GJ106" s="135">
        <f>IF(ISNA(VLOOKUP(A106,'Données projet'!$A$243:$I$263,6,0)),0%,VLOOKUP(A106,'Données projet'!$A$243:$I$263,6,0)*VLOOKUP('Données projet'!$B$17,'Paramètres'!$A$1:$I$89,7,0))</f>
        <v>0</v>
      </c>
      <c r="GK106" s="135">
        <f>IF(ISNA(VLOOKUP(A106,'Données projet'!$A$243:$I$263,7,0)),0%,VLOOKUP(A106,'Données projet'!$A$243:$I$263,7,0))</f>
        <v>0</v>
      </c>
      <c r="GL106" s="142">
        <f>EXP(-LN(2)/35)*GL105+(1-EXP(-LN(2)/35))/(LN(2)/35)*GH106*GI106*VLOOKUP('Données projet'!$B$17,'Paramètres'!$A$1:$I$89,3,0)*0.475*44/12</f>
        <v>44.322725</v>
      </c>
      <c r="GM106" s="142">
        <f>EXP(-LN(2)/25)*GM105+(1-EXP(-LN(2)/25))/(LN(2)/25)*Calculateur!GH106*Calculateur!GJ106*VLOOKUP('Données projet'!$B$17,'Paramètres'!$A$1:$I$89,3,0)*0.475*44/12</f>
        <v>0</v>
      </c>
      <c r="GN106" s="142">
        <f>EXP(-LN(2)/2)*GN105+(1-EXP(-LN(2)/2))/(LN(2)/2)*GH106*GK106*VLOOKUP('Données projet'!$B$17,'Paramètres'!$A$1:$I$89,3,0)*0.475*44/12</f>
        <v>0</v>
      </c>
      <c r="GO106" s="142">
        <f t="shared" si="28"/>
        <v>44.322725</v>
      </c>
      <c r="GP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1" t="str">
        <f>VLOOKUP(A106,'Données projet'!$A$269:$I$289,2,0)</f>
        <v>#N/A</v>
      </c>
      <c r="GS106" s="131" t="str">
        <f>VLOOKUP(A106,'Données projet'!$A$269:$I$289,9,0)</f>
        <v>#N/A</v>
      </c>
      <c r="GT106" s="131" t="str">
        <f t="array" ref="GT106">INDEX(GS:GS,MIN(IF(ISNUMBER(GS106:GS302),ROW(GS106:GS302),"")))</f>
        <v/>
      </c>
      <c r="GU106" s="138">
        <f>IF('Données projet'!$A$270&gt;35,GU105+GT106-HC105,IF(A106&lt;'Données projet'!$A$270,$GR$205^A106,IF(A106='Données projet'!$A$270,'Données projet'!$B$270,GU105+GT106-HC105)))</f>
        <v>0</v>
      </c>
      <c r="GV106" s="138">
        <f>GU106*VLOOKUP('Données projet'!$B$18,'Paramètres'!$A$1:$I$89,3,0)*VLOOKUP('Données projet'!$B$18,'Paramètres'!$A$1:$I$89,5,0)</f>
        <v>0</v>
      </c>
      <c r="GW106" s="130" t="str">
        <f t="shared" si="52"/>
        <v>#NUM!</v>
      </c>
      <c r="GX106" s="141" t="str">
        <f t="shared" si="29"/>
        <v>#NUM!</v>
      </c>
      <c r="GY106" s="133" t="str">
        <f t="shared" si="30"/>
        <v>#NUM!</v>
      </c>
      <c r="GZ106" s="133">
        <f>AVERAGE(OFFSET($GY$3,0,0,'Données projet'!$E$18+1,1))-AVERAGE(OFFSET($H$3,0,0,'Données projet'!$E$18+1,1))</f>
        <v>100.5427875</v>
      </c>
      <c r="HA106" s="133">
        <f t="shared" si="53"/>
        <v>92.28663609</v>
      </c>
      <c r="HB106" s="134">
        <f>IF(ISNA(VLOOKUP(A106,'Données projet'!$A$269:$I$289,3,0)),0,VLOOKUP(A106,'Données projet'!$A$269:$I$289,3,0))</f>
        <v>0</v>
      </c>
      <c r="HC106" s="134">
        <f>IF(ISNA(VLOOKUP(A106,'Données projet'!$A$269:$I$289,4,0)),0,VLOOKUP(A106,'Données projet'!$A$269:$I$289,4,0))</f>
        <v>0</v>
      </c>
      <c r="HD106" s="135">
        <f>IF(ISNA(VLOOKUP(A106,'Données projet'!$A$269:$I$289,5,0)),0%,VLOOKUP(A106,'Données projet'!$A$269:$I$289,5,0)*VLOOKUP('Données projet'!$B$18,'Paramètres'!$A$1:$I$89,7,0))</f>
        <v>0</v>
      </c>
      <c r="HE106" s="135">
        <f>IF(ISNA(VLOOKUP(A106,'Données projet'!$A$269:$I$289,6,0)),0%,VLOOKUP(A106,'Données projet'!$A$269:$I$289,6,0)*VLOOKUP('Données projet'!$B$18,'Paramètres'!$A$1:$I$89,7,0))</f>
        <v>0</v>
      </c>
      <c r="HF106" s="135">
        <f>IF(ISNA(VLOOKUP(A106,'Données projet'!$A$269:$I$289,7,0)),0%,VLOOKUP(A106,'Données projet'!$A$269:$I$289,7,0))</f>
        <v>0</v>
      </c>
      <c r="HG106" s="142">
        <f>EXP(-LN(2)/35)*HG105+(1-EXP(-LN(2)/35))/(LN(2)/35)*HC106*HD106*VLOOKUP('Données projet'!$B$18,'Paramètres'!$A$1:$I$89,3,0)*0.475*44/12</f>
        <v>30.18284069</v>
      </c>
      <c r="HH106" s="142">
        <f>EXP(-LN(2)/25)*HH105+(1-EXP(-LN(2)/25))/(LN(2)/25)*Calculateur!HC106*Calculateur!HE106*VLOOKUP('Données projet'!$B$18,'Paramètres'!$A$1:$I$89,3,0)*0.475*44/12</f>
        <v>0</v>
      </c>
      <c r="HI106" s="142">
        <f>EXP(-LN(2)/2)*HI105+(1-EXP(-LN(2)/2))/(LN(2)/2)*HC106*HF106*VLOOKUP('Données projet'!$B$18,'Paramètres'!$A$1:$I$89,3,0)*0.475*44/12</f>
        <v>0</v>
      </c>
      <c r="HJ106" s="143">
        <f t="shared" si="31"/>
        <v>30.18284069</v>
      </c>
    </row>
    <row r="107" ht="15.75" customHeight="1">
      <c r="A107" s="125">
        <f t="shared" si="32"/>
        <v>104</v>
      </c>
      <c r="B107" s="126">
        <f>'Scénario référence'!$B$16*5+'Scénario référence'!$B$17*0+'Scénario référence'!$B$18*5</f>
        <v>0</v>
      </c>
      <c r="C107" s="140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56.784</v>
      </c>
      <c r="D107" s="127">
        <f t="shared" si="33"/>
        <v>16.35257473</v>
      </c>
      <c r="E10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7">
        <f>IF(OR('Scénario référence'!$F$8&gt;0,'Scénario référence'!$F$9&gt;0),('Scénario référence'!$F$8+'Scénario référence'!$F$9)*10,0)</f>
        <v>10</v>
      </c>
      <c r="G107" s="127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</v>
      </c>
      <c r="H107" s="128">
        <f t="shared" si="1"/>
        <v>420.7128677</v>
      </c>
      <c r="I107" s="12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1" t="str">
        <f>VLOOKUP(A107,'Données projet'!$A$35:$I$55,2,0)</f>
        <v>#N/A</v>
      </c>
      <c r="L107" s="131" t="str">
        <f>VLOOKUP(A107,'Données projet'!$A$35:$I$55,9,0)</f>
        <v>#N/A</v>
      </c>
      <c r="M107" s="131" t="str">
        <f t="array" ref="M107">INDEX(L:L,MIN(IF(ISNUMBER(L107:L303),ROW(L107:L303),"")))</f>
        <v/>
      </c>
      <c r="N107" s="130">
        <f>IF('Données projet'!$A$36&gt;35,N106+M107-V106,IF(A107&lt;'Données projet'!$A$36,$K$205^A107,IF(A107='Données projet'!$A$36,'Données projet'!$B$36,N106+M107-V106)))</f>
        <v>0</v>
      </c>
      <c r="O107" s="130">
        <f>N107*VLOOKUP('Données projet'!$B$9,'Paramètres'!$A$1:$I$89,3,0)*VLOOKUP('Données projet'!$B$9,'Paramètres'!$A$1:$I$89,5,0)</f>
        <v>0</v>
      </c>
      <c r="P107" s="130">
        <f t="shared" si="34"/>
        <v>0</v>
      </c>
      <c r="Q107" s="141">
        <f t="shared" si="2"/>
        <v>0</v>
      </c>
      <c r="R107" s="133">
        <f t="shared" si="3"/>
        <v>293.3333333</v>
      </c>
      <c r="S107" s="133">
        <f>AVERAGE(OFFSET($R$3,0,0,'Données projet'!$E$9+1,1))-AVERAGE(OFFSET($H$3,0,0,'Données projet'!$E$9+1,1))</f>
        <v>126.9946492</v>
      </c>
      <c r="T107" s="133">
        <f t="shared" si="35"/>
        <v>140.039049</v>
      </c>
      <c r="U107" s="134">
        <f>IF(ISNA(VLOOKUP(A107,'Données projet'!$A$35:$I$55,3,0)),0,VLOOKUP(A107,'Données projet'!$A$35:$I$55,3,0))</f>
        <v>0</v>
      </c>
      <c r="V107" s="134">
        <f>IF(ISNA(VLOOKUP(A107,'Données projet'!$A$35:$I$55,4,0)),0,VLOOKUP(A107,'Données projet'!$A$35:$I$55,4,0))</f>
        <v>0</v>
      </c>
      <c r="W107" s="135">
        <f>IF(ISNA(VLOOKUP(A107,'Données projet'!$A$35:$I$55,5,0)),0%,VLOOKUP(A107,'Données projet'!$A$35:$I$55,5,0)*VLOOKUP('Données projet'!$B$9,'Paramètres'!$A$1:$I$89,7,0))</f>
        <v>0</v>
      </c>
      <c r="X107" s="135">
        <f>IF(ISNA(VLOOKUP(A107,'Données projet'!$A$35:$I$55,6,0)),0%,VLOOKUP(A107,'Données projet'!$A$35:$I$55,6,0)*VLOOKUP('Données projet'!$B$9,'Paramètres'!$A$1:$I$89,7,0))</f>
        <v>0</v>
      </c>
      <c r="Y107" s="135">
        <f>IF(ISNA(VLOOKUP(A107,'Données projet'!$A$35:$I$55,7,0)),0%,VLOOKUP(A107,'Données projet'!$A$35:$I$55,7,0))</f>
        <v>0</v>
      </c>
      <c r="Z107" s="142">
        <f>EXP(-LN(2)/35)*Z106+(1-EXP(-LN(2)/35))/(LN(2)/35)*V107*W107*VLOOKUP('Données projet'!$B$9,'Paramètres'!$A$1:$I$89,3,0)*0.475*44/12</f>
        <v>44.4433429</v>
      </c>
      <c r="AA107" s="142">
        <f>EXP(-LN(2)/25)*AA106+(1-EXP(-LN(2)/25))/(LN(2)/25)*Calculateur!V107*Calculateur!X107*VLOOKUP('Données projet'!$B$9,'Paramètres'!$A$1:$I$89,3,0)*0.475*44/12</f>
        <v>6.861168008</v>
      </c>
      <c r="AB107" s="142">
        <f>EXP(-LN(2)/2)*AB106+(1-EXP(-LN(2)/2))/(LN(2)/2)*V107*Y107*VLOOKUP('Données projet'!$B$9,'Paramètres'!$A$1:$I$89,3,0)*0.475*44/12</f>
        <v>0.000004527418902</v>
      </c>
      <c r="AC107" s="143">
        <f t="shared" si="4"/>
        <v>51.30451543</v>
      </c>
      <c r="AD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1" t="str">
        <f>VLOOKUP(A107,'Données projet'!$A$61:$I$81,2,0)</f>
        <v>#N/A</v>
      </c>
      <c r="AG107" s="131" t="str">
        <f>VLOOKUP(A107,'Données projet'!$A$61:$I$81,9,0)</f>
        <v>#N/A</v>
      </c>
      <c r="AH107" s="131" t="str">
        <f t="array" ref="AH107">INDEX(AG:AG,MIN(IF(ISNUMBER(AG107:AG303),ROW(AG107:AG303),"")))</f>
        <v/>
      </c>
      <c r="AI107" s="130">
        <f>IF('Données projet'!$A$62&gt;35,AI106+AH107-AQ106,IF(A107&lt;'Données projet'!$A$62,$AF$205^A107,IF(A107='Données projet'!$A$62,'Données projet'!$B$62,AI106+AH107-AQ106)))</f>
        <v>0</v>
      </c>
      <c r="AJ107" s="130">
        <f>AI107*VLOOKUP('Données projet'!$B$10,'Paramètres'!$A$1:$I$89,3,0)*VLOOKUP('Données projet'!$B$10,'Paramètres'!$A$1:$I$89,5,0)</f>
        <v>0</v>
      </c>
      <c r="AK107" s="130" t="str">
        <f t="shared" si="36"/>
        <v>#NUM!</v>
      </c>
      <c r="AL107" s="141" t="str">
        <f t="shared" si="5"/>
        <v>#NUM!</v>
      </c>
      <c r="AM107" s="133" t="str">
        <f t="shared" si="6"/>
        <v>#NUM!</v>
      </c>
      <c r="AN107" s="133">
        <f>AVERAGE(OFFSET($AM$3,0,0,'Données projet'!$E$10+1,1))-AVERAGE(OFFSET($H$3,0,0,'Données projet'!$E$10+1,1))</f>
        <v>196.874484</v>
      </c>
      <c r="AO107" s="133">
        <f t="shared" si="37"/>
        <v>217.5750859</v>
      </c>
      <c r="AP107" s="134">
        <f>IF(ISNA(VLOOKUP(A107,'Données projet'!$A$61:$I$81,3,0)),0,VLOOKUP(A107,'Données projet'!$A$61:$I$81,3,0))</f>
        <v>0</v>
      </c>
      <c r="AQ107" s="134">
        <f>IF(ISNA(VLOOKUP(A107,'Données projet'!$A$61:$I$81,4,0)),0,VLOOKUP(A107,'Données projet'!$A$61:$I$81,4,0))</f>
        <v>0</v>
      </c>
      <c r="AR107" s="135">
        <f>IF(ISNA(VLOOKUP(A107,'Données projet'!$A$61:$I$81,5,0)),0%,VLOOKUP(A107,'Données projet'!$A$61:$I$81,5,0)*VLOOKUP('Données projet'!$B$10,'Paramètres'!$A$1:$I$89,7,0))</f>
        <v>0</v>
      </c>
      <c r="AS107" s="135">
        <f>IF(ISNA(VLOOKUP(A107,'Données projet'!$A$61:$I$81,6,0)),0%,VLOOKUP(A107,'Données projet'!$A$61:$I$81,6,0)*VLOOKUP('Données projet'!$B$10,'Paramètres'!$A$1:$I$89,7,0))</f>
        <v>0</v>
      </c>
      <c r="AT107" s="135">
        <f>IF(ISNA(VLOOKUP(A107,'Données projet'!$A$61:$I$81,7,0)),0%,VLOOKUP(A107,'Données projet'!$A$61:$I$81,7,0))</f>
        <v>0</v>
      </c>
      <c r="AU107" s="142">
        <f>EXP(-LN(2)/35)*AU106+(1-EXP(-LN(2)/35))/(LN(2)/35)*AQ107*AR107*VLOOKUP('Données projet'!$B$10,'Paramètres'!$A$1:$I$89,3,0)*0.475*44/12</f>
        <v>61.77498427</v>
      </c>
      <c r="AV107" s="142">
        <f>EXP(-LN(2)/25)*AV106+(1-EXP(-LN(2)/25))/(LN(2)/25)*Calculateur!AQ107*Calculateur!AS107*VLOOKUP('Données projet'!$B$10,'Paramètres'!$A$1:$I$89,3,0)*0.475*44/12</f>
        <v>10.54905498</v>
      </c>
      <c r="AW107" s="142">
        <f>EXP(-LN(2)/2)*AW106+(1-EXP(-LN(2)/2))/(LN(2)/2)*AQ107*AT107*VLOOKUP('Données projet'!$B$10,'Paramètres'!$A$1:$I$89,3,0)*0.475*44/12</f>
        <v>0.000006312172512</v>
      </c>
      <c r="AX107" s="142">
        <f t="shared" si="7"/>
        <v>72.32404556</v>
      </c>
      <c r="AY107" s="13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1" t="str">
        <f>VLOOKUP(A107,'Données projet'!$A$87:$I$107,2,0)</f>
        <v>#N/A</v>
      </c>
      <c r="BB107" s="131" t="str">
        <f>VLOOKUP(A107,'Données projet'!$A$87:$I$107,9,0)</f>
        <v>#N/A</v>
      </c>
      <c r="BC107" s="131" t="str">
        <f t="array" ref="BC107">INDEX(BB:BB,MIN(IF(ISNUMBER(BB107:BB303),ROW(BB107:BB303),"")))</f>
        <v/>
      </c>
      <c r="BD107" s="130">
        <f>IF('Données projet'!$A$88&gt;35,BD106+BC107-BL106,IF(A107&lt;'Données projet'!$A$88,$BA$205^A107,IF(A107='Données projet'!$A$88,'Données projet'!$B$88,BD106+BC107-BL106)))</f>
        <v>0</v>
      </c>
      <c r="BE107" s="130">
        <f>BD107*VLOOKUP('Données projet'!$B$11,'Paramètres'!$A$1:$I$89,3,0)*VLOOKUP('Données projet'!$B$11,'Paramètres'!$A$1:$I$89,5,0)</f>
        <v>0</v>
      </c>
      <c r="BF107" s="130" t="str">
        <f t="shared" si="38"/>
        <v>#NUM!</v>
      </c>
      <c r="BG107" s="141" t="str">
        <f t="shared" si="8"/>
        <v>#NUM!</v>
      </c>
      <c r="BH107" s="133" t="str">
        <f t="shared" si="9"/>
        <v>#NUM!</v>
      </c>
      <c r="BI107" s="133">
        <f>AVERAGE(OFFSET($BH$3,0,0,'Données projet'!$E$11+1,1))-AVERAGE(OFFSET($H$3,0,0,'Données projet'!$E$11+1,1))</f>
        <v>134.0948534</v>
      </c>
      <c r="BJ107" s="133">
        <f t="shared" si="39"/>
        <v>108.4102536</v>
      </c>
      <c r="BK107" s="134">
        <f>IF(ISNA(VLOOKUP(A107,'Données projet'!$A$87:$I$107,3,0)),0,VLOOKUP(A107,'Données projet'!$A$87:$I$107,3,0))</f>
        <v>0</v>
      </c>
      <c r="BL107" s="134">
        <f>IF(ISNA(VLOOKUP(A107,'Données projet'!$A$87:$I$107,4,0)),0,VLOOKUP(A107,'Données projet'!$A$87:$I$107,4,0))</f>
        <v>0</v>
      </c>
      <c r="BM107" s="135">
        <f>IF(ISNA(VLOOKUP(A107,'Données projet'!$A$87:$I$107,5,0)),0%,VLOOKUP(A107,'Données projet'!$A$87:$I$107,5,0)*VLOOKUP('Données projet'!$B$11,'Paramètres'!$A$1:$I$89,7,0))</f>
        <v>0</v>
      </c>
      <c r="BN107" s="135">
        <f>IF(ISNA(VLOOKUP(A107,'Données projet'!$A$87:$I$107,6,0)),0%,VLOOKUP(A107,'Données projet'!$A$87:$I$107,6,0)*VLOOKUP('Données projet'!$B$11,'Paramètres'!$A$1:$I$89,7,0))</f>
        <v>0</v>
      </c>
      <c r="BO107" s="135">
        <f>IF(ISNA(VLOOKUP(A107,'Données projet'!$A$87:$I$107,7,0)),0%,VLOOKUP(A107,'Données projet'!$A$87:$I$107,7,0))</f>
        <v>0</v>
      </c>
      <c r="BP107" s="142">
        <f>EXP(-LN(2)/35)*BP106+(1-EXP(-LN(2)/35))/(LN(2)/35)*BL107*BM107*VLOOKUP('Données projet'!$B$11,'Paramètres'!$A$1:$I$89,3,0)*0.475*44/12</f>
        <v>85.44634024</v>
      </c>
      <c r="BQ107" s="142">
        <f>EXP(-LN(2)/25)*BQ106+(1-EXP(-LN(2)/25))/(LN(2)/25)*Calculateur!BL107*Calculateur!BN107*VLOOKUP('Données projet'!$B$11,'Paramètres'!$A$1:$I$89,3,0)*0.475*44/12</f>
        <v>6.654352938</v>
      </c>
      <c r="BR107" s="142">
        <f>EXP(-LN(2)/2)*BR106+(1-EXP(-LN(2)/2))/(LN(2)/2)*BL107*BO107*VLOOKUP('Données projet'!$B$11,'Paramètres'!$A$1:$I$89,3,0)*0.475*44/12</f>
        <v>0.00008419532262</v>
      </c>
      <c r="BS107" s="143">
        <f t="shared" si="10"/>
        <v>92.10077738</v>
      </c>
      <c r="BT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1" t="str">
        <f>VLOOKUP(A107,'Données projet'!$A$113:$I$133,2,0)</f>
        <v>#N/A</v>
      </c>
      <c r="BW107" s="131" t="str">
        <f>VLOOKUP(A107,'Données projet'!$A$113:$I$133,9,0)</f>
        <v>#N/A</v>
      </c>
      <c r="BX107" s="131" t="str">
        <f t="array" ref="BX107">INDEX(BW:BW,MIN(IF(ISNUMBER(BW107:BW303),ROW(BW107:BW303),"")))</f>
        <v/>
      </c>
      <c r="BY107" s="130">
        <f>IF('Données projet'!$A$114&gt;35,BY106+BX107-CG106,IF(A107&lt;'Données projet'!$A$114,$BV$205^A107,IF(A107='Données projet'!$A$114,'Données projet'!$B$114,BY106+BX107-CG106)))</f>
        <v>0</v>
      </c>
      <c r="BZ107" s="130">
        <f>BY107*VLOOKUP('Données projet'!$B$12,'Paramètres'!$A$1:$I$89,3,0)*VLOOKUP('Données projet'!$B$12,'Paramètres'!$A$1:$I$89,5,0)</f>
        <v>0</v>
      </c>
      <c r="CA107" s="130" t="str">
        <f t="shared" si="40"/>
        <v>#NUM!</v>
      </c>
      <c r="CB107" s="141" t="str">
        <f t="shared" si="11"/>
        <v>#NUM!</v>
      </c>
      <c r="CC107" s="133" t="str">
        <f t="shared" si="12"/>
        <v>#NUM!</v>
      </c>
      <c r="CD107" s="133">
        <f>AVERAGE(OFFSET($CC$3,0,0,'Données projet'!$E$12+1,1))-AVERAGE(OFFSET($H$3,0,0,'Données projet'!$E$12+1,1))</f>
        <v>258.1672054</v>
      </c>
      <c r="CE107" s="133">
        <f t="shared" si="41"/>
        <v>296.0724261</v>
      </c>
      <c r="CF107" s="134">
        <f>IF(ISNA(VLOOKUP(A107,'Données projet'!$A$113:$I$133,3,0)),0,VLOOKUP(A107,'Données projet'!$A$113:$I$133,3,0))</f>
        <v>0</v>
      </c>
      <c r="CG107" s="134">
        <f>IF(ISNA(VLOOKUP(A107,'Données projet'!$A$113:$I$133,4,0)),0,VLOOKUP(A107,'Données projet'!$A$113:$I$133,4,0))</f>
        <v>0</v>
      </c>
      <c r="CH107" s="135">
        <f>IF(ISNA(VLOOKUP(A107,'Données projet'!$A$113:$I$133,5,0)),0%,VLOOKUP(A107,'Données projet'!$A$113:$I$133,5,0)*VLOOKUP('Données projet'!$B$12,'Paramètres'!$A$1:$I$89,7,0))</f>
        <v>0</v>
      </c>
      <c r="CI107" s="135">
        <f>IF(ISNA(VLOOKUP(A107,'Données projet'!$A$113:$I$133,6,0)),0%,VLOOKUP(A107,'Données projet'!$A$113:$I$133,6,0)*VLOOKUP('Données projet'!$B$12,'Paramètres'!$A$1:$I$89,7,0))</f>
        <v>0</v>
      </c>
      <c r="CJ107" s="135">
        <f>IF(ISNA(VLOOKUP(A107,'Données projet'!$A$113:$I$133,7,0)),0%,VLOOKUP(A107,'Données projet'!$A$113:$I$133,7,0))</f>
        <v>0</v>
      </c>
      <c r="CK107" s="142">
        <f>EXP(-LN(2)/35)*CK106+(1-EXP(-LN(2)/35))/(LN(2)/35)*CG107*CH107*VLOOKUP('Données projet'!$B$12,'Paramètres'!$A$1:$I$89,3,0)*0.475*44/12</f>
        <v>108.0303132</v>
      </c>
      <c r="CL107" s="142">
        <f>EXP(-LN(2)/25)*CL106+(1-EXP(-LN(2)/25))/(LN(2)/25)*Calculateur!CG107*Calculateur!CI107*VLOOKUP('Données projet'!$B$12,'Paramètres'!$A$1:$I$89,3,0)*0.475*44/12</f>
        <v>11.6721128</v>
      </c>
      <c r="CM107" s="142">
        <f>EXP(-LN(2)/2)*CM106+(1-EXP(-LN(2)/2))/(LN(2)/2)*CG107*CJ107*VLOOKUP('Données projet'!$B$12,'Paramètres'!$A$1:$I$89,3,0)*0.475*44/12</f>
        <v>0.000003547049565</v>
      </c>
      <c r="CN107" s="143">
        <f t="shared" si="13"/>
        <v>119.7024295</v>
      </c>
      <c r="CO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1" t="str">
        <f>VLOOKUP(A107,'Données projet'!$A$139:$I$159,2,0)</f>
        <v>#N/A</v>
      </c>
      <c r="CR107" s="131" t="str">
        <f>VLOOKUP(A107,'Données projet'!$A$139:$I$159,9,0)</f>
        <v>#N/A</v>
      </c>
      <c r="CS107" s="130">
        <f t="array" ref="CS107">INDEX(CR:CR,MIN(IF(ISNUMBER(CR107:CR303),ROW(CR107:CR303),"")))</f>
        <v>1.7</v>
      </c>
      <c r="CT107" s="138">
        <f>IF('Données projet'!$A$140&gt;35,CT106+CS107-DB106,IF(A107&lt;'Données projet'!$A$140,$CQ$205^A107,IF(A107='Données projet'!$A$140,'Données projet'!$B$140,CT106+CS107-DB106)))</f>
        <v>208.8</v>
      </c>
      <c r="CU107" s="138">
        <f>CT107*VLOOKUP('Données projet'!$B$13,'Paramètres'!$A$1:$I$89,3,0)*VLOOKUP('Données projet'!$B$13,'Paramètres'!$A$1:$I$89,5,0)</f>
        <v>211.7232</v>
      </c>
      <c r="CV107" s="130">
        <f t="shared" si="42"/>
        <v>52.31196896</v>
      </c>
      <c r="CW107" s="141">
        <f t="shared" si="14"/>
        <v>459.8612526</v>
      </c>
      <c r="CX107" s="133">
        <f t="shared" si="15"/>
        <v>753.1945859</v>
      </c>
      <c r="CY107" s="133">
        <f>AVERAGE(OFFSET($CX$3,0,0,'Données projet'!$E$13+1,1))-AVERAGE(OFFSET($H$3,0,0,'Données projet'!$E$13+1,1))</f>
        <v>223.783507</v>
      </c>
      <c r="CZ107" s="133">
        <f t="shared" si="43"/>
        <v>84.92349117</v>
      </c>
      <c r="DA107" s="134">
        <f>IF(ISNA(VLOOKUP(A107,'Données projet'!$A$139:$I$159,3,0)),0,VLOOKUP(A107,'Données projet'!$A$139:$I$159,3,0))</f>
        <v>0</v>
      </c>
      <c r="DB107" s="134">
        <f>IF(ISNA(VLOOKUP(A107,'Données projet'!$A$139:$I$159,4,0)),0,VLOOKUP(A107,'Données projet'!$A$139:$I$159,4,0))</f>
        <v>0</v>
      </c>
      <c r="DC107" s="135">
        <f>IF(ISNA(VLOOKUP(A107,'Données projet'!$A$139:$I$159,5,0)),0%,VLOOKUP(A107,'Données projet'!$A$139:$I$159,5,0)*VLOOKUP('Données projet'!$B$13,'Paramètres'!$A$1:$I$89,7,0))</f>
        <v>0</v>
      </c>
      <c r="DD107" s="135">
        <f>IF(ISNA(VLOOKUP(A107,'Données projet'!$A$139:$I$159,6,0)),0%,VLOOKUP(A107,'Données projet'!$A$139:$I$159,6,0)*VLOOKUP('Données projet'!$B$13,'Paramètres'!$A$1:$I$89,7,0))</f>
        <v>0</v>
      </c>
      <c r="DE107" s="135">
        <f>IF(ISNA(VLOOKUP(A107,'Données projet'!$A$139:$I$159,7,0)),0%,VLOOKUP(A107,'Données projet'!$A$139:$I$159,7,0))</f>
        <v>0</v>
      </c>
      <c r="DF107" s="142">
        <f>EXP(-LN(2)/35)*DF106+(1-EXP(-LN(2)/35))/(LN(2)/35)*DB107*DC107*VLOOKUP('Données projet'!$B$13,'Paramètres'!$A$1:$I$89,3,0)*0.475*44/12</f>
        <v>19.32932951</v>
      </c>
      <c r="DG107" s="142">
        <f>EXP(-LN(2)/25)*DG106+(1-EXP(-LN(2)/25))/(LN(2)/25)*Calculateur!DB107*Calculateur!DD107*VLOOKUP('Données projet'!$B$13,'Paramètres'!$A$1:$I$89,3,0)*0.475*44/12</f>
        <v>0</v>
      </c>
      <c r="DH107" s="142">
        <f>EXP(-LN(2)/2)*DH106+(1-EXP(-LN(2)/2))/(LN(2)/2)*DB107*DE107*VLOOKUP('Données projet'!$B$13,'Paramètres'!$A$1:$I$89,3,0)*0.475*44/12</f>
        <v>0</v>
      </c>
      <c r="DI107" s="143">
        <f t="shared" si="16"/>
        <v>19.32932951</v>
      </c>
      <c r="DJ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1" t="str">
        <f>VLOOKUP(A107,'Données projet'!$A$165:$I$185,2,0)</f>
        <v>#N/A</v>
      </c>
      <c r="DM107" s="131" t="str">
        <f>VLOOKUP(A107,'Données projet'!$A$165:$I$185,9,0)</f>
        <v>#N/A</v>
      </c>
      <c r="DN107" s="131">
        <f t="array" ref="DN107">INDEX(DM:DM,MIN(IF(ISNUMBER(DM107:DM303),ROW(DM107:DM303),"")))</f>
        <v>2.4</v>
      </c>
      <c r="DO107" s="138">
        <f>IF('Données projet'!$A$166&gt;35,DO106+DN107-DW106,IF(A107&lt;'Données projet'!$A$166,$DL$205^A107,IF(A107='Données projet'!$A$166,'Données projet'!$B$166,DO106+DN107-DW106)))</f>
        <v>270.6</v>
      </c>
      <c r="DP107" s="138">
        <f>DO107*VLOOKUP('Données projet'!$B$14,'Paramètres'!$A$1:$I$89,3,0)*VLOOKUP('Données projet'!$B$14,'Paramètres'!$A$1:$I$89,5,0)</f>
        <v>244.83888</v>
      </c>
      <c r="DQ107" s="130">
        <f t="shared" si="44"/>
        <v>59.47942649</v>
      </c>
      <c r="DR107" s="141">
        <f t="shared" si="17"/>
        <v>530.0210505</v>
      </c>
      <c r="DS107" s="133">
        <f t="shared" si="18"/>
        <v>823.3543838</v>
      </c>
      <c r="DT107" s="133">
        <f>AVERAGE(OFFSET($DS$3,0,0,'Données projet'!$E$14+1,1))-AVERAGE(OFFSET($H$3,0,0,'Données projet'!$E$14+1,1))</f>
        <v>287.9334714</v>
      </c>
      <c r="DU107" s="133">
        <f t="shared" si="45"/>
        <v>156.6796502</v>
      </c>
      <c r="DV107" s="134">
        <f>IF(ISNA(VLOOKUP(A107,'Données projet'!$A$165:$I$185,3,0)),0,VLOOKUP(A107,'Données projet'!$A$165:$I$185,3,0))</f>
        <v>0</v>
      </c>
      <c r="DW107" s="134">
        <f>IF(ISNA(VLOOKUP(A107,'Données projet'!$A$165:$I$185,4,0)),0,VLOOKUP(A107,'Données projet'!$A$165:$I$185,4,0))</f>
        <v>0</v>
      </c>
      <c r="DX107" s="135">
        <f>IF(ISNA(VLOOKUP(A107,'Données projet'!$A$165:$I$185,5,0)),0%,VLOOKUP(A107,'Données projet'!$A$165:$I$185,5,0)*VLOOKUP('Données projet'!$B$14,'Paramètres'!$A$1:$I$89,7,0))</f>
        <v>0</v>
      </c>
      <c r="DY107" s="135">
        <f>IF(ISNA(VLOOKUP(A107,'Données projet'!$A$165:$I$185,6,0)),0%,VLOOKUP(A107,'Données projet'!$A$165:$I$185,6,0)*VLOOKUP('Données projet'!$B$14,'Paramètres'!$A$1:$I$89,7,0))</f>
        <v>0</v>
      </c>
      <c r="DZ107" s="135">
        <f>IF(ISNA(VLOOKUP(A107,'Données projet'!$A$165:$I$185,7,0)),0%,VLOOKUP(A107,'Données projet'!$A$165:$I$185,7,0))</f>
        <v>0</v>
      </c>
      <c r="EA107" s="142">
        <f>EXP(-LN(2)/35)*EA106+(1-EXP(-LN(2)/35))/(LN(2)/35)*DW107*DX107*VLOOKUP('Données projet'!$B$14,'Paramètres'!$A$1:$I$89,3,0)*0.475*44/12</f>
        <v>28.77467149</v>
      </c>
      <c r="EB107" s="142">
        <f>EXP(-LN(2)/25)*EB106+(1-EXP(-LN(2)/25))/(LN(2)/25)*Calculateur!DW107*Calculateur!DY107*VLOOKUP('Données projet'!$B$14,'Paramètres'!$A$1:$I$89,3,0)*0.475*44/12</f>
        <v>0</v>
      </c>
      <c r="EC107" s="142">
        <f>EXP(-LN(2)/2)*EC106+(1-EXP(-LN(2)/2))/(LN(2)/2)*DW107*DZ107*VLOOKUP('Données projet'!$B$14,'Paramètres'!$A$1:$I$89,3,0)*0.475*44/12</f>
        <v>0</v>
      </c>
      <c r="ED107" s="143">
        <f t="shared" si="19"/>
        <v>28.77467149</v>
      </c>
      <c r="EE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1" t="str">
        <f>VLOOKUP(A107,'Données projet'!$A$191:$I$211,2,0)</f>
        <v>#N/A</v>
      </c>
      <c r="EH107" s="131" t="str">
        <f>VLOOKUP(A107,'Données projet'!$A$191:$I$211,9,0)</f>
        <v>#N/A</v>
      </c>
      <c r="EI107" s="131" t="str">
        <f t="array" ref="EI107">INDEX(EH:EH,MIN(IF(ISNUMBER(EH107:EH303),ROW(EH107:EH303),"")))</f>
        <v/>
      </c>
      <c r="EJ107" s="138">
        <f>IF('Données projet'!$A$192&gt;35,EJ106+EI107-ER106,IF(A107&lt;'Données projet'!$A$192,$EG$205^A107,IF(A107='Données projet'!$A$192,'Données projet'!$B$192,EJ106+EI107-ER106)))</f>
        <v>0</v>
      </c>
      <c r="EK107" s="138">
        <f>EJ107*VLOOKUP('Données projet'!$B$15,'Paramètres'!$A$1:$I$89,3,0)*VLOOKUP('Données projet'!$B$15,'Paramètres'!$A$1:$I$89,5,0)</f>
        <v>0</v>
      </c>
      <c r="EL107" s="130" t="str">
        <f t="shared" si="46"/>
        <v>#NUM!</v>
      </c>
      <c r="EM107" s="141" t="str">
        <f t="shared" si="20"/>
        <v>#NUM!</v>
      </c>
      <c r="EN107" s="133" t="str">
        <f t="shared" si="21"/>
        <v>#NUM!</v>
      </c>
      <c r="EO107" s="133">
        <f>AVERAGE(OFFSET($EN$3,0,0,'Données projet'!$E$15+1,1))-AVERAGE(OFFSET($H$3,0,0,'Données projet'!$E$15+1,1))</f>
        <v>130.3193339</v>
      </c>
      <c r="EP107" s="133">
        <f t="shared" si="47"/>
        <v>82.22784365</v>
      </c>
      <c r="EQ107" s="134">
        <f>IF(ISNA(VLOOKUP(A107,'Données projet'!$A$191:$I$211,3,0)),0,VLOOKUP(A107,'Données projet'!$A$191:$I$211,3,0))</f>
        <v>0</v>
      </c>
      <c r="ER107" s="134">
        <f>IF(ISNA(VLOOKUP(A107,'Données projet'!$A$191:$I$211,4,0)),0,VLOOKUP(A107,'Données projet'!$A$191:$I$211,4,0))</f>
        <v>0</v>
      </c>
      <c r="ES107" s="135">
        <f>IF(ISNA(VLOOKUP(A107,'Données projet'!$A$191:$I$211,5,0)),0%,VLOOKUP(A107,'Données projet'!$A$191:$I$211,5,0)*VLOOKUP('Données projet'!$B$15,'Paramètres'!$A$1:$I$89,7,0))</f>
        <v>0</v>
      </c>
      <c r="ET107" s="135">
        <f>IF(ISNA(VLOOKUP(A107,'Données projet'!$A$191:$I$211,6,0)),0%,VLOOKUP(A107,'Données projet'!$A$191:$I$211,6,0)*VLOOKUP('Données projet'!$B$15,'Paramètres'!$A$1:$I$89,7,0))</f>
        <v>0</v>
      </c>
      <c r="EU107" s="135">
        <f>IF(ISNA(VLOOKUP(A107,'Données projet'!$A$191:$I$211,7,0)),0%,VLOOKUP(A107,'Données projet'!$A$191:$I$211,7,0))</f>
        <v>0</v>
      </c>
      <c r="EV107" s="142">
        <f>EXP(-LN(2)/35)*EV106+(1-EXP(-LN(2)/35))/(LN(2)/35)*ER107*ES107*VLOOKUP('Données projet'!$B$15,'Paramètres'!$A$1:$I$89,3,0)*0.475*44/12</f>
        <v>66.05830165</v>
      </c>
      <c r="EW107" s="142">
        <f>EXP(-LN(2)/25)*EW106+(1-EXP(-LN(2)/25))/(LN(2)/25)*Calculateur!ER107*Calculateur!ET107*VLOOKUP('Données projet'!$B$15,'Paramètres'!$A$1:$I$89,3,0)*0.475*44/12</f>
        <v>0</v>
      </c>
      <c r="EX107" s="142">
        <f>EXP(-LN(2)/2)*EX106+(1-EXP(-LN(2)/2))/(LN(2)/2)*ER107*EU107*VLOOKUP('Données projet'!$B$15,'Paramètres'!$A$1:$I$89,3,0)*0.475*44/12</f>
        <v>0</v>
      </c>
      <c r="EY107" s="143">
        <f t="shared" si="22"/>
        <v>66.05830165</v>
      </c>
      <c r="EZ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1" t="str">
        <f>VLOOKUP(A107,'Données projet'!$A$217:$I$237,2,0)</f>
        <v>#N/A</v>
      </c>
      <c r="FC107" s="131" t="str">
        <f>VLOOKUP(A107,'Données projet'!$A$217:$I$237,9,0)</f>
        <v>#N/A</v>
      </c>
      <c r="FD107" s="131" t="str">
        <f t="array" ref="FD107">INDEX(FC:FC,MIN(IF(ISNUMBER(FC107:FC303),ROW(FC107:FC303),"")))</f>
        <v/>
      </c>
      <c r="FE107" s="130">
        <f>IF('Données projet'!$A$218&gt;35,FE106+FD107-FM106,IF(A107&lt;'Données projet'!$A$218,$FB$205^A107,IF(A107='Données projet'!$A$218,'Données projet'!$B$218,FE106+FD107-FM106)))</f>
        <v>0</v>
      </c>
      <c r="FF107" s="138">
        <f>FE107*VLOOKUP('Données projet'!$B$16,'Paramètres'!$A$1:$I$89,3,0)*VLOOKUP('Données projet'!$B$16,'Paramètres'!$A$1:$I$89,5,0)</f>
        <v>0</v>
      </c>
      <c r="FG107" s="130">
        <f t="shared" si="48"/>
        <v>0</v>
      </c>
      <c r="FH107" s="141">
        <f t="shared" si="23"/>
        <v>0</v>
      </c>
      <c r="FI107" s="133">
        <f t="shared" si="24"/>
        <v>293.3333333</v>
      </c>
      <c r="FJ107" s="133">
        <f>AVERAGE(OFFSET($FI$3,0,0,'Données projet'!$E$16+1,1))-AVERAGE(OFFSET($H$3,0,0,'Données projet'!$E$16+1,1))</f>
        <v>305.6252353</v>
      </c>
      <c r="FK107" s="133">
        <f t="shared" si="49"/>
        <v>331.397916</v>
      </c>
      <c r="FL107" s="134">
        <f>IF(ISNA(VLOOKUP(A107,'Données projet'!$A$217:$I$237,3,0)),0,VLOOKUP(A107,'Données projet'!$A$217:$I$237,3,0))</f>
        <v>0</v>
      </c>
      <c r="FM107" s="134">
        <f>IF(ISNA(VLOOKUP(A107,'Données projet'!$A$217:$I$237,4,0)),0,VLOOKUP(A107,'Données projet'!$A$217:$I$237,4,0))</f>
        <v>0</v>
      </c>
      <c r="FN107" s="135">
        <f>IF(ISNA(VLOOKUP(A107,'Données projet'!$A$217:$I$237,5,0)),0%,VLOOKUP(A107,'Données projet'!$A$217:$I$237,5,0)*VLOOKUP('Données projet'!$B$16,'Paramètres'!$A$1:$I$89,7,0))</f>
        <v>0</v>
      </c>
      <c r="FO107" s="135">
        <f>IF(ISNA(VLOOKUP(A107,'Données projet'!$A$217:$I$237,6,0)),0%,VLOOKUP(A107,'Données projet'!$A$217:$I$237,6,0)*VLOOKUP('Données projet'!$B$16,'Paramètres'!$A$1:$I$89,7,0))</f>
        <v>0</v>
      </c>
      <c r="FP107" s="135">
        <f>IF(ISNA(VLOOKUP(A107,'Données projet'!$A$217:$I$237,7,0)),0%,VLOOKUP(A107,'Données projet'!$A$217:$I$237,7,0))</f>
        <v>0</v>
      </c>
      <c r="FQ107" s="142">
        <f>EXP(-LN(2)/35)*FQ106+(1-EXP(-LN(2)/35))/(LN(2)/35)*FM107*FN107*VLOOKUP('Données projet'!$B$16,'Paramètres'!$A$1:$I$89,3,0)*0.475*44/12</f>
        <v>41.12987278</v>
      </c>
      <c r="FR107" s="142">
        <f>EXP(-LN(2)/25)*FR106+(1-EXP(-LN(2)/25))/(LN(2)/25)*Calculateur!FM107*Calculateur!FO107*VLOOKUP('Données projet'!$B$16,'Paramètres'!$A$1:$I$89,3,0)*0.475*44/12</f>
        <v>0</v>
      </c>
      <c r="FS107" s="142">
        <f>EXP(-LN(2)/2)*FS106+(1-EXP(-LN(2)/2))/(LN(2)/2)*FM107*FP107*VLOOKUP('Données projet'!$B$16,'Paramètres'!$A$1:$I$89,3,0)*0.475*44/12</f>
        <v>0</v>
      </c>
      <c r="FT107" s="143">
        <f t="shared" si="25"/>
        <v>41.12987278</v>
      </c>
      <c r="FU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1" t="str">
        <f>VLOOKUP(A107,'Données projet'!$A$243:$I$263,2,0)</f>
        <v>#N/A</v>
      </c>
      <c r="FX107" s="131" t="str">
        <f>VLOOKUP(A107,'Données projet'!$A$243:$I$263,9,0)</f>
        <v>#N/A</v>
      </c>
      <c r="FY107" s="131" t="str">
        <f t="array" ref="FY107">INDEX(FX:FX,MIN(IF(ISNUMBER(FX107:FX303),ROW(FX107:FX303),"")))</f>
        <v/>
      </c>
      <c r="FZ107" s="138">
        <f>IF('Données projet'!$A$244&gt;35,FZ106+FY107-GH106,IF(A107&lt;'Données projet'!$A$244,$FW$205^A107,IF(A107='Données projet'!$A$244,'Données projet'!$B$244,FZ106+FY107-GH106)))</f>
        <v>0</v>
      </c>
      <c r="GA107" s="138">
        <f>FZ107*VLOOKUP('Données projet'!$B$17,'Paramètres'!$A$1:$I$89,3,0)*VLOOKUP('Données projet'!$B$17,'Paramètres'!$A$1:$I$89,5,0)</f>
        <v>0</v>
      </c>
      <c r="GB107" s="130">
        <f t="shared" si="50"/>
        <v>0</v>
      </c>
      <c r="GC107" s="141">
        <f t="shared" si="26"/>
        <v>0</v>
      </c>
      <c r="GD107" s="133">
        <f t="shared" si="27"/>
        <v>293.3333333</v>
      </c>
      <c r="GE107" s="133">
        <f>AVERAGE(OFFSET($GD$3,0,0,'Données projet'!$E$17+1,1))-AVERAGE(OFFSET($H$3,0,0,'Données projet'!$E$17+1,1))</f>
        <v>118.7368745</v>
      </c>
      <c r="GF107" s="133">
        <f t="shared" si="51"/>
        <v>135.1233677</v>
      </c>
      <c r="GG107" s="134">
        <f>IF(ISNA(VLOOKUP(A107,'Données projet'!$A$243:$I$263,3,0)),0,VLOOKUP(A107,'Données projet'!$A$243:$I$263,3,0))</f>
        <v>0</v>
      </c>
      <c r="GH107" s="134">
        <f>IF(ISNA(VLOOKUP(A107,'Données projet'!$A$243:$I$263,4,0)),0,VLOOKUP(A107,'Données projet'!$A$243:$I$263,4,0))</f>
        <v>0</v>
      </c>
      <c r="GI107" s="135">
        <f>IF(ISNA(VLOOKUP(A107,'Données projet'!$A$243:$I$263,5,0)),0%,VLOOKUP(A107,'Données projet'!$A$243:$I$263,5,0)*VLOOKUP('Données projet'!$B$17,'Paramètres'!$A$1:$I$89,7,0))</f>
        <v>0</v>
      </c>
      <c r="GJ107" s="135">
        <f>IF(ISNA(VLOOKUP(A107,'Données projet'!$A$243:$I$263,6,0)),0%,VLOOKUP(A107,'Données projet'!$A$243:$I$263,6,0)*VLOOKUP('Données projet'!$B$17,'Paramètres'!$A$1:$I$89,7,0))</f>
        <v>0</v>
      </c>
      <c r="GK107" s="135">
        <f>IF(ISNA(VLOOKUP(A107,'Données projet'!$A$243:$I$263,7,0)),0%,VLOOKUP(A107,'Données projet'!$A$243:$I$263,7,0))</f>
        <v>0</v>
      </c>
      <c r="GL107" s="142">
        <f>EXP(-LN(2)/35)*GL106+(1-EXP(-LN(2)/35))/(LN(2)/35)*GH107*GI107*VLOOKUP('Données projet'!$B$17,'Paramètres'!$A$1:$I$89,3,0)*0.475*44/12</f>
        <v>43.4535834</v>
      </c>
      <c r="GM107" s="142">
        <f>EXP(-LN(2)/25)*GM106+(1-EXP(-LN(2)/25))/(LN(2)/25)*Calculateur!GH107*Calculateur!GJ107*VLOOKUP('Données projet'!$B$17,'Paramètres'!$A$1:$I$89,3,0)*0.475*44/12</f>
        <v>0</v>
      </c>
      <c r="GN107" s="142">
        <f>EXP(-LN(2)/2)*GN106+(1-EXP(-LN(2)/2))/(LN(2)/2)*GH107*GK107*VLOOKUP('Données projet'!$B$17,'Paramètres'!$A$1:$I$89,3,0)*0.475*44/12</f>
        <v>0</v>
      </c>
      <c r="GO107" s="142">
        <f t="shared" si="28"/>
        <v>43.4535834</v>
      </c>
      <c r="GP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1" t="str">
        <f>VLOOKUP(A107,'Données projet'!$A$269:$I$289,2,0)</f>
        <v>#N/A</v>
      </c>
      <c r="GS107" s="131" t="str">
        <f>VLOOKUP(A107,'Données projet'!$A$269:$I$289,9,0)</f>
        <v>#N/A</v>
      </c>
      <c r="GT107" s="131" t="str">
        <f t="array" ref="GT107">INDEX(GS:GS,MIN(IF(ISNUMBER(GS107:GS303),ROW(GS107:GS303),"")))</f>
        <v/>
      </c>
      <c r="GU107" s="138">
        <f>IF('Données projet'!$A$270&gt;35,GU106+GT107-HC106,IF(A107&lt;'Données projet'!$A$270,$GR$205^A107,IF(A107='Données projet'!$A$270,'Données projet'!$B$270,GU106+GT107-HC106)))</f>
        <v>0</v>
      </c>
      <c r="GV107" s="138">
        <f>GU107*VLOOKUP('Données projet'!$B$18,'Paramètres'!$A$1:$I$89,3,0)*VLOOKUP('Données projet'!$B$18,'Paramètres'!$A$1:$I$89,5,0)</f>
        <v>0</v>
      </c>
      <c r="GW107" s="130" t="str">
        <f t="shared" si="52"/>
        <v>#NUM!</v>
      </c>
      <c r="GX107" s="141" t="str">
        <f t="shared" si="29"/>
        <v>#NUM!</v>
      </c>
      <c r="GY107" s="133" t="str">
        <f t="shared" si="30"/>
        <v>#NUM!</v>
      </c>
      <c r="GZ107" s="133">
        <f>AVERAGE(OFFSET($GY$3,0,0,'Données projet'!$E$18+1,1))-AVERAGE(OFFSET($H$3,0,0,'Données projet'!$E$18+1,1))</f>
        <v>100.5427875</v>
      </c>
      <c r="HA107" s="133">
        <f t="shared" si="53"/>
        <v>92.28663609</v>
      </c>
      <c r="HB107" s="134">
        <f>IF(ISNA(VLOOKUP(A107,'Données projet'!$A$269:$I$289,3,0)),0,VLOOKUP(A107,'Données projet'!$A$269:$I$289,3,0))</f>
        <v>0</v>
      </c>
      <c r="HC107" s="134">
        <f>IF(ISNA(VLOOKUP(A107,'Données projet'!$A$269:$I$289,4,0)),0,VLOOKUP(A107,'Données projet'!$A$269:$I$289,4,0))</f>
        <v>0</v>
      </c>
      <c r="HD107" s="135">
        <f>IF(ISNA(VLOOKUP(A107,'Données projet'!$A$269:$I$289,5,0)),0%,VLOOKUP(A107,'Données projet'!$A$269:$I$289,5,0)*VLOOKUP('Données projet'!$B$18,'Paramètres'!$A$1:$I$89,7,0))</f>
        <v>0</v>
      </c>
      <c r="HE107" s="135">
        <f>IF(ISNA(VLOOKUP(A107,'Données projet'!$A$269:$I$289,6,0)),0%,VLOOKUP(A107,'Données projet'!$A$269:$I$289,6,0)*VLOOKUP('Données projet'!$B$18,'Paramètres'!$A$1:$I$89,7,0))</f>
        <v>0</v>
      </c>
      <c r="HF107" s="135">
        <f>IF(ISNA(VLOOKUP(A107,'Données projet'!$A$269:$I$289,7,0)),0%,VLOOKUP(A107,'Données projet'!$A$269:$I$289,7,0))</f>
        <v>0</v>
      </c>
      <c r="HG107" s="142">
        <f>EXP(-LN(2)/35)*HG106+(1-EXP(-LN(2)/35))/(LN(2)/35)*HC107*HD107*VLOOKUP('Données projet'!$B$18,'Paramètres'!$A$1:$I$89,3,0)*0.475*44/12</f>
        <v>29.59097359</v>
      </c>
      <c r="HH107" s="142">
        <f>EXP(-LN(2)/25)*HH106+(1-EXP(-LN(2)/25))/(LN(2)/25)*Calculateur!HC107*Calculateur!HE107*VLOOKUP('Données projet'!$B$18,'Paramètres'!$A$1:$I$89,3,0)*0.475*44/12</f>
        <v>0</v>
      </c>
      <c r="HI107" s="142">
        <f>EXP(-LN(2)/2)*HI106+(1-EXP(-LN(2)/2))/(LN(2)/2)*HC107*HF107*VLOOKUP('Données projet'!$B$18,'Paramètres'!$A$1:$I$89,3,0)*0.475*44/12</f>
        <v>0</v>
      </c>
      <c r="HJ107" s="143">
        <f t="shared" si="31"/>
        <v>29.59097359</v>
      </c>
    </row>
    <row r="108" ht="15.75" customHeight="1">
      <c r="A108" s="125">
        <f t="shared" si="32"/>
        <v>105</v>
      </c>
      <c r="B108" s="126">
        <f>'Scénario référence'!$B$16*5+'Scénario référence'!$B$17*0+'Scénario référence'!$B$18*5</f>
        <v>0</v>
      </c>
      <c r="C108" s="140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57.33</v>
      </c>
      <c r="D108" s="127">
        <f t="shared" si="33"/>
        <v>16.49143125</v>
      </c>
      <c r="E10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7">
        <f>IF(OR('Scénario référence'!$F$8&gt;0,'Scénario référence'!$F$9&gt;0),('Scénario référence'!$F$8+'Scénario référence'!$F$9)*10,0)</f>
        <v>10</v>
      </c>
      <c r="G108" s="127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</v>
      </c>
      <c r="H108" s="128">
        <f t="shared" si="1"/>
        <v>421.9056594</v>
      </c>
      <c r="I108" s="12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1" t="str">
        <f>VLOOKUP(A108,'Données projet'!$A$35:$I$55,2,0)</f>
        <v>#N/A</v>
      </c>
      <c r="L108" s="131" t="str">
        <f>VLOOKUP(A108,'Données projet'!$A$35:$I$55,9,0)</f>
        <v>#N/A</v>
      </c>
      <c r="M108" s="131" t="str">
        <f t="array" ref="M108">INDEX(L:L,MIN(IF(ISNUMBER(L108:L304),ROW(L108:L304),"")))</f>
        <v/>
      </c>
      <c r="N108" s="130">
        <f>IF('Données projet'!$A$36&gt;35,N107+M108-V107,IF(A108&lt;'Données projet'!$A$36,$K$205^A108,IF(A108='Données projet'!$A$36,'Données projet'!$B$36,N107+M108-V107)))</f>
        <v>0</v>
      </c>
      <c r="O108" s="130">
        <f>N108*VLOOKUP('Données projet'!$B$9,'Paramètres'!$A$1:$I$89,3,0)*VLOOKUP('Données projet'!$B$9,'Paramètres'!$A$1:$I$89,5,0)</f>
        <v>0</v>
      </c>
      <c r="P108" s="130">
        <f t="shared" si="34"/>
        <v>0</v>
      </c>
      <c r="Q108" s="141">
        <f t="shared" si="2"/>
        <v>0</v>
      </c>
      <c r="R108" s="133">
        <f t="shared" si="3"/>
        <v>293.3333333</v>
      </c>
      <c r="S108" s="133">
        <f>AVERAGE(OFFSET($R$3,0,0,'Données projet'!$E$9+1,1))-AVERAGE(OFFSET($H$3,0,0,'Données projet'!$E$9+1,1))</f>
        <v>126.9946492</v>
      </c>
      <c r="T108" s="133">
        <f t="shared" si="35"/>
        <v>140.039049</v>
      </c>
      <c r="U108" s="134">
        <f>IF(ISNA(VLOOKUP(A108,'Données projet'!$A$35:$I$55,3,0)),0,VLOOKUP(A108,'Données projet'!$A$35:$I$55,3,0))</f>
        <v>0</v>
      </c>
      <c r="V108" s="134">
        <f>IF(ISNA(VLOOKUP(A108,'Données projet'!$A$35:$I$55,4,0)),0,VLOOKUP(A108,'Données projet'!$A$35:$I$55,4,0))</f>
        <v>0</v>
      </c>
      <c r="W108" s="135">
        <f>IF(ISNA(VLOOKUP(A108,'Données projet'!$A$35:$I$55,5,0)),0%,VLOOKUP(A108,'Données projet'!$A$35:$I$55,5,0)*VLOOKUP('Données projet'!$B$9,'Paramètres'!$A$1:$I$89,7,0))</f>
        <v>0</v>
      </c>
      <c r="X108" s="135">
        <f>IF(ISNA(VLOOKUP(A108,'Données projet'!$A$35:$I$55,6,0)),0%,VLOOKUP(A108,'Données projet'!$A$35:$I$55,6,0)*VLOOKUP('Données projet'!$B$9,'Paramètres'!$A$1:$I$89,7,0))</f>
        <v>0</v>
      </c>
      <c r="Y108" s="135">
        <f>IF(ISNA(VLOOKUP(A108,'Données projet'!$A$35:$I$55,7,0)),0%,VLOOKUP(A108,'Données projet'!$A$35:$I$55,7,0))</f>
        <v>0</v>
      </c>
      <c r="Z108" s="142">
        <f>EXP(-LN(2)/35)*Z107+(1-EXP(-LN(2)/35))/(LN(2)/35)*V108*W108*VLOOKUP('Données projet'!$B$9,'Paramètres'!$A$1:$I$89,3,0)*0.475*44/12</f>
        <v>43.57183605</v>
      </c>
      <c r="AA108" s="142">
        <f>EXP(-LN(2)/25)*AA107+(1-EXP(-LN(2)/25))/(LN(2)/25)*Calculateur!V108*Calculateur!X108*VLOOKUP('Données projet'!$B$9,'Paramètres'!$A$1:$I$89,3,0)*0.475*44/12</f>
        <v>6.673549008</v>
      </c>
      <c r="AB108" s="142">
        <f>EXP(-LN(2)/2)*AB107+(1-EXP(-LN(2)/2))/(LN(2)/2)*V108*Y108*VLOOKUP('Données projet'!$B$9,'Paramètres'!$A$1:$I$89,3,0)*0.475*44/12</f>
        <v>0.000003201368607</v>
      </c>
      <c r="AC108" s="143">
        <f t="shared" si="4"/>
        <v>50.24538826</v>
      </c>
      <c r="AD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1" t="str">
        <f>VLOOKUP(A108,'Données projet'!$A$61:$I$81,2,0)</f>
        <v>#N/A</v>
      </c>
      <c r="AG108" s="131" t="str">
        <f>VLOOKUP(A108,'Données projet'!$A$61:$I$81,9,0)</f>
        <v>#N/A</v>
      </c>
      <c r="AH108" s="131" t="str">
        <f t="array" ref="AH108">INDEX(AG:AG,MIN(IF(ISNUMBER(AG108:AG304),ROW(AG108:AG304),"")))</f>
        <v/>
      </c>
      <c r="AI108" s="130">
        <f>IF('Données projet'!$A$62&gt;35,AI107+AH108-AQ107,IF(A108&lt;'Données projet'!$A$62,$AF$205^A108,IF(A108='Données projet'!$A$62,'Données projet'!$B$62,AI107+AH108-AQ107)))</f>
        <v>0</v>
      </c>
      <c r="AJ108" s="130">
        <f>AI108*VLOOKUP('Données projet'!$B$10,'Paramètres'!$A$1:$I$89,3,0)*VLOOKUP('Données projet'!$B$10,'Paramètres'!$A$1:$I$89,5,0)</f>
        <v>0</v>
      </c>
      <c r="AK108" s="130" t="str">
        <f t="shared" si="36"/>
        <v>#NUM!</v>
      </c>
      <c r="AL108" s="141" t="str">
        <f t="shared" si="5"/>
        <v>#NUM!</v>
      </c>
      <c r="AM108" s="133" t="str">
        <f t="shared" si="6"/>
        <v>#NUM!</v>
      </c>
      <c r="AN108" s="133">
        <f>AVERAGE(OFFSET($AM$3,0,0,'Données projet'!$E$10+1,1))-AVERAGE(OFFSET($H$3,0,0,'Données projet'!$E$10+1,1))</f>
        <v>196.874484</v>
      </c>
      <c r="AO108" s="133">
        <f t="shared" si="37"/>
        <v>217.5750859</v>
      </c>
      <c r="AP108" s="134">
        <f>IF(ISNA(VLOOKUP(A108,'Données projet'!$A$61:$I$81,3,0)),0,VLOOKUP(A108,'Données projet'!$A$61:$I$81,3,0))</f>
        <v>0</v>
      </c>
      <c r="AQ108" s="134">
        <f>IF(ISNA(VLOOKUP(A108,'Données projet'!$A$61:$I$81,4,0)),0,VLOOKUP(A108,'Données projet'!$A$61:$I$81,4,0))</f>
        <v>0</v>
      </c>
      <c r="AR108" s="135">
        <f>IF(ISNA(VLOOKUP(A108,'Données projet'!$A$61:$I$81,5,0)),0%,VLOOKUP(A108,'Données projet'!$A$61:$I$81,5,0)*VLOOKUP('Données projet'!$B$10,'Paramètres'!$A$1:$I$89,7,0))</f>
        <v>0</v>
      </c>
      <c r="AS108" s="135">
        <f>IF(ISNA(VLOOKUP(A108,'Données projet'!$A$61:$I$81,6,0)),0%,VLOOKUP(A108,'Données projet'!$A$61:$I$81,6,0)*VLOOKUP('Données projet'!$B$10,'Paramètres'!$A$1:$I$89,7,0))</f>
        <v>0</v>
      </c>
      <c r="AT108" s="135">
        <f>IF(ISNA(VLOOKUP(A108,'Données projet'!$A$61:$I$81,7,0)),0%,VLOOKUP(A108,'Données projet'!$A$61:$I$81,7,0))</f>
        <v>0</v>
      </c>
      <c r="AU108" s="142">
        <f>EXP(-LN(2)/35)*AU107+(1-EXP(-LN(2)/35))/(LN(2)/35)*AQ108*AR108*VLOOKUP('Données projet'!$B$10,'Paramètres'!$A$1:$I$89,3,0)*0.475*44/12</f>
        <v>60.5636145</v>
      </c>
      <c r="AV108" s="142">
        <f>EXP(-LN(2)/25)*AV107+(1-EXP(-LN(2)/25))/(LN(2)/25)*Calculateur!AQ108*Calculateur!AS108*VLOOKUP('Données projet'!$B$10,'Paramètres'!$A$1:$I$89,3,0)*0.475*44/12</f>
        <v>10.26059052</v>
      </c>
      <c r="AW108" s="142">
        <f>EXP(-LN(2)/2)*AW107+(1-EXP(-LN(2)/2))/(LN(2)/2)*AQ108*AT108*VLOOKUP('Données projet'!$B$10,'Paramètres'!$A$1:$I$89,3,0)*0.475*44/12</f>
        <v>0.000004463379987</v>
      </c>
      <c r="AX108" s="142">
        <f t="shared" si="7"/>
        <v>70.82420948</v>
      </c>
      <c r="AY108" s="13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1" t="str">
        <f>VLOOKUP(A108,'Données projet'!$A$87:$I$107,2,0)</f>
        <v>#N/A</v>
      </c>
      <c r="BB108" s="131" t="str">
        <f>VLOOKUP(A108,'Données projet'!$A$87:$I$107,9,0)</f>
        <v>#N/A</v>
      </c>
      <c r="BC108" s="131" t="str">
        <f t="array" ref="BC108">INDEX(BB:BB,MIN(IF(ISNUMBER(BB108:BB304),ROW(BB108:BB304),"")))</f>
        <v/>
      </c>
      <c r="BD108" s="130">
        <f>IF('Données projet'!$A$88&gt;35,BD107+BC108-BL107,IF(A108&lt;'Données projet'!$A$88,$BA$205^A108,IF(A108='Données projet'!$A$88,'Données projet'!$B$88,BD107+BC108-BL107)))</f>
        <v>0</v>
      </c>
      <c r="BE108" s="130">
        <f>BD108*VLOOKUP('Données projet'!$B$11,'Paramètres'!$A$1:$I$89,3,0)*VLOOKUP('Données projet'!$B$11,'Paramètres'!$A$1:$I$89,5,0)</f>
        <v>0</v>
      </c>
      <c r="BF108" s="130" t="str">
        <f t="shared" si="38"/>
        <v>#NUM!</v>
      </c>
      <c r="BG108" s="141" t="str">
        <f t="shared" si="8"/>
        <v>#NUM!</v>
      </c>
      <c r="BH108" s="133" t="str">
        <f t="shared" si="9"/>
        <v>#NUM!</v>
      </c>
      <c r="BI108" s="133">
        <f>AVERAGE(OFFSET($BH$3,0,0,'Données projet'!$E$11+1,1))-AVERAGE(OFFSET($H$3,0,0,'Données projet'!$E$11+1,1))</f>
        <v>134.0948534</v>
      </c>
      <c r="BJ108" s="133">
        <f t="shared" si="39"/>
        <v>108.4102536</v>
      </c>
      <c r="BK108" s="134">
        <f>IF(ISNA(VLOOKUP(A108,'Données projet'!$A$87:$I$107,3,0)),0,VLOOKUP(A108,'Données projet'!$A$87:$I$107,3,0))</f>
        <v>0</v>
      </c>
      <c r="BL108" s="134">
        <f>IF(ISNA(VLOOKUP(A108,'Données projet'!$A$87:$I$107,4,0)),0,VLOOKUP(A108,'Données projet'!$A$87:$I$107,4,0))</f>
        <v>0</v>
      </c>
      <c r="BM108" s="135">
        <f>IF(ISNA(VLOOKUP(A108,'Données projet'!$A$87:$I$107,5,0)),0%,VLOOKUP(A108,'Données projet'!$A$87:$I$107,5,0)*VLOOKUP('Données projet'!$B$11,'Paramètres'!$A$1:$I$89,7,0))</f>
        <v>0</v>
      </c>
      <c r="BN108" s="135">
        <f>IF(ISNA(VLOOKUP(A108,'Données projet'!$A$87:$I$107,6,0)),0%,VLOOKUP(A108,'Données projet'!$A$87:$I$107,6,0)*VLOOKUP('Données projet'!$B$11,'Paramètres'!$A$1:$I$89,7,0))</f>
        <v>0</v>
      </c>
      <c r="BO108" s="135">
        <f>IF(ISNA(VLOOKUP(A108,'Données projet'!$A$87:$I$107,7,0)),0%,VLOOKUP(A108,'Données projet'!$A$87:$I$107,7,0))</f>
        <v>0</v>
      </c>
      <c r="BP108" s="142">
        <f>EXP(-LN(2)/35)*BP107+(1-EXP(-LN(2)/35))/(LN(2)/35)*BL108*BM108*VLOOKUP('Données projet'!$B$11,'Paramètres'!$A$1:$I$89,3,0)*0.475*44/12</f>
        <v>83.77078963</v>
      </c>
      <c r="BQ108" s="142">
        <f>EXP(-LN(2)/25)*BQ107+(1-EXP(-LN(2)/25))/(LN(2)/25)*Calculateur!BL108*Calculateur!BN108*VLOOKUP('Données projet'!$B$11,'Paramètres'!$A$1:$I$89,3,0)*0.475*44/12</f>
        <v>6.472389307</v>
      </c>
      <c r="BR108" s="142">
        <f>EXP(-LN(2)/2)*BR107+(1-EXP(-LN(2)/2))/(LN(2)/2)*BL108*BO108*VLOOKUP('Données projet'!$B$11,'Paramètres'!$A$1:$I$89,3,0)*0.475*44/12</f>
        <v>0.00005953508357</v>
      </c>
      <c r="BS108" s="143">
        <f t="shared" si="10"/>
        <v>90.24323847</v>
      </c>
      <c r="BT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1" t="str">
        <f>VLOOKUP(A108,'Données projet'!$A$113:$I$133,2,0)</f>
        <v>#N/A</v>
      </c>
      <c r="BW108" s="131" t="str">
        <f>VLOOKUP(A108,'Données projet'!$A$113:$I$133,9,0)</f>
        <v>#N/A</v>
      </c>
      <c r="BX108" s="131" t="str">
        <f t="array" ref="BX108">INDEX(BW:BW,MIN(IF(ISNUMBER(BW108:BW304),ROW(BW108:BW304),"")))</f>
        <v/>
      </c>
      <c r="BY108" s="130">
        <f>IF('Données projet'!$A$114&gt;35,BY107+BX108-CG107,IF(A108&lt;'Données projet'!$A$114,$BV$205^A108,IF(A108='Données projet'!$A$114,'Données projet'!$B$114,BY107+BX108-CG107)))</f>
        <v>0</v>
      </c>
      <c r="BZ108" s="130">
        <f>BY108*VLOOKUP('Données projet'!$B$12,'Paramètres'!$A$1:$I$89,3,0)*VLOOKUP('Données projet'!$B$12,'Paramètres'!$A$1:$I$89,5,0)</f>
        <v>0</v>
      </c>
      <c r="CA108" s="130" t="str">
        <f t="shared" si="40"/>
        <v>#NUM!</v>
      </c>
      <c r="CB108" s="141" t="str">
        <f t="shared" si="11"/>
        <v>#NUM!</v>
      </c>
      <c r="CC108" s="133" t="str">
        <f t="shared" si="12"/>
        <v>#NUM!</v>
      </c>
      <c r="CD108" s="133">
        <f>AVERAGE(OFFSET($CC$3,0,0,'Données projet'!$E$12+1,1))-AVERAGE(OFFSET($H$3,0,0,'Données projet'!$E$12+1,1))</f>
        <v>258.1672054</v>
      </c>
      <c r="CE108" s="133">
        <f t="shared" si="41"/>
        <v>296.0724261</v>
      </c>
      <c r="CF108" s="134">
        <f>IF(ISNA(VLOOKUP(A108,'Données projet'!$A$113:$I$133,3,0)),0,VLOOKUP(A108,'Données projet'!$A$113:$I$133,3,0))</f>
        <v>0</v>
      </c>
      <c r="CG108" s="134">
        <f>IF(ISNA(VLOOKUP(A108,'Données projet'!$A$113:$I$133,4,0)),0,VLOOKUP(A108,'Données projet'!$A$113:$I$133,4,0))</f>
        <v>0</v>
      </c>
      <c r="CH108" s="135">
        <f>IF(ISNA(VLOOKUP(A108,'Données projet'!$A$113:$I$133,5,0)),0%,VLOOKUP(A108,'Données projet'!$A$113:$I$133,5,0)*VLOOKUP('Données projet'!$B$12,'Paramètres'!$A$1:$I$89,7,0))</f>
        <v>0</v>
      </c>
      <c r="CI108" s="135">
        <f>IF(ISNA(VLOOKUP(A108,'Données projet'!$A$113:$I$133,6,0)),0%,VLOOKUP(A108,'Données projet'!$A$113:$I$133,6,0)*VLOOKUP('Données projet'!$B$12,'Paramètres'!$A$1:$I$89,7,0))</f>
        <v>0</v>
      </c>
      <c r="CJ108" s="135">
        <f>IF(ISNA(VLOOKUP(A108,'Données projet'!$A$113:$I$133,7,0)),0%,VLOOKUP(A108,'Données projet'!$A$113:$I$133,7,0))</f>
        <v>0</v>
      </c>
      <c r="CK108" s="142">
        <f>EXP(-LN(2)/35)*CK107+(1-EXP(-LN(2)/35))/(LN(2)/35)*CG108*CH108*VLOOKUP('Données projet'!$B$12,'Paramètres'!$A$1:$I$89,3,0)*0.475*44/12</f>
        <v>105.9119046</v>
      </c>
      <c r="CL108" s="142">
        <f>EXP(-LN(2)/25)*CL107+(1-EXP(-LN(2)/25))/(LN(2)/25)*Calculateur!CG108*Calculateur!CI108*VLOOKUP('Données projet'!$B$12,'Paramètres'!$A$1:$I$89,3,0)*0.475*44/12</f>
        <v>11.35293826</v>
      </c>
      <c r="CM108" s="142">
        <f>EXP(-LN(2)/2)*CM107+(1-EXP(-LN(2)/2))/(LN(2)/2)*CG108*CJ108*VLOOKUP('Données projet'!$B$12,'Paramètres'!$A$1:$I$89,3,0)*0.475*44/12</f>
        <v>0.000002508142801</v>
      </c>
      <c r="CN108" s="143">
        <f t="shared" si="13"/>
        <v>117.2648454</v>
      </c>
      <c r="CO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1" t="str">
        <f>VLOOKUP(A108,'Données projet'!$A$139:$I$159,2,0)</f>
        <v>#N/A</v>
      </c>
      <c r="CR108" s="131" t="str">
        <f>VLOOKUP(A108,'Données projet'!$A$139:$I$159,9,0)</f>
        <v>#N/A</v>
      </c>
      <c r="CS108" s="130">
        <f t="array" ref="CS108">INDEX(CR:CR,MIN(IF(ISNUMBER(CR108:CR304),ROW(CR108:CR304),"")))</f>
        <v>1.7</v>
      </c>
      <c r="CT108" s="138">
        <f>IF('Données projet'!$A$140&gt;35,CT107+CS108-DB107,IF(A108&lt;'Données projet'!$A$140,$CQ$205^A108,IF(A108='Données projet'!$A$140,'Données projet'!$B$140,CT107+CS108-DB107)))</f>
        <v>210.5</v>
      </c>
      <c r="CU108" s="138">
        <f>CT108*VLOOKUP('Données projet'!$B$13,'Paramètres'!$A$1:$I$89,3,0)*VLOOKUP('Données projet'!$B$13,'Paramètres'!$A$1:$I$89,5,0)</f>
        <v>213.447</v>
      </c>
      <c r="CV108" s="130">
        <f t="shared" si="42"/>
        <v>52.68812669</v>
      </c>
      <c r="CW108" s="141">
        <f t="shared" si="14"/>
        <v>463.518679</v>
      </c>
      <c r="CX108" s="133">
        <f t="shared" si="15"/>
        <v>756.8520123</v>
      </c>
      <c r="CY108" s="133">
        <f>AVERAGE(OFFSET($CX$3,0,0,'Données projet'!$E$13+1,1))-AVERAGE(OFFSET($H$3,0,0,'Données projet'!$E$13+1,1))</f>
        <v>223.783507</v>
      </c>
      <c r="CZ108" s="133">
        <f t="shared" si="43"/>
        <v>84.92349117</v>
      </c>
      <c r="DA108" s="134">
        <f>IF(ISNA(VLOOKUP(A108,'Données projet'!$A$139:$I$159,3,0)),0,VLOOKUP(A108,'Données projet'!$A$139:$I$159,3,0))</f>
        <v>0</v>
      </c>
      <c r="DB108" s="134">
        <f>IF(ISNA(VLOOKUP(A108,'Données projet'!$A$139:$I$159,4,0)),0,VLOOKUP(A108,'Données projet'!$A$139:$I$159,4,0))</f>
        <v>0</v>
      </c>
      <c r="DC108" s="135">
        <f>IF(ISNA(VLOOKUP(A108,'Données projet'!$A$139:$I$159,5,0)),0%,VLOOKUP(A108,'Données projet'!$A$139:$I$159,5,0)*VLOOKUP('Données projet'!$B$13,'Paramètres'!$A$1:$I$89,7,0))</f>
        <v>0</v>
      </c>
      <c r="DD108" s="135">
        <f>IF(ISNA(VLOOKUP(A108,'Données projet'!$A$139:$I$159,6,0)),0%,VLOOKUP(A108,'Données projet'!$A$139:$I$159,6,0)*VLOOKUP('Données projet'!$B$13,'Paramètres'!$A$1:$I$89,7,0))</f>
        <v>0</v>
      </c>
      <c r="DE108" s="135">
        <f>IF(ISNA(VLOOKUP(A108,'Données projet'!$A$139:$I$159,7,0)),0%,VLOOKUP(A108,'Données projet'!$A$139:$I$159,7,0))</f>
        <v>0</v>
      </c>
      <c r="DF108" s="142">
        <f>EXP(-LN(2)/35)*DF107+(1-EXP(-LN(2)/35))/(LN(2)/35)*DB108*DC108*VLOOKUP('Données projet'!$B$13,'Paramètres'!$A$1:$I$89,3,0)*0.475*44/12</f>
        <v>18.95029315</v>
      </c>
      <c r="DG108" s="142">
        <f>EXP(-LN(2)/25)*DG107+(1-EXP(-LN(2)/25))/(LN(2)/25)*Calculateur!DB108*Calculateur!DD108*VLOOKUP('Données projet'!$B$13,'Paramètres'!$A$1:$I$89,3,0)*0.475*44/12</f>
        <v>0</v>
      </c>
      <c r="DH108" s="142">
        <f>EXP(-LN(2)/2)*DH107+(1-EXP(-LN(2)/2))/(LN(2)/2)*DB108*DE108*VLOOKUP('Données projet'!$B$13,'Paramètres'!$A$1:$I$89,3,0)*0.475*44/12</f>
        <v>0</v>
      </c>
      <c r="DI108" s="143">
        <f t="shared" si="16"/>
        <v>18.95029315</v>
      </c>
      <c r="DJ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1" t="str">
        <f>VLOOKUP(A108,'Données projet'!$A$165:$I$185,2,0)</f>
        <v>#N/A</v>
      </c>
      <c r="DM108" s="131" t="str">
        <f>VLOOKUP(A108,'Données projet'!$A$165:$I$185,9,0)</f>
        <v>#N/A</v>
      </c>
      <c r="DN108" s="131">
        <f t="array" ref="DN108">INDEX(DM:DM,MIN(IF(ISNUMBER(DM108:DM304),ROW(DM108:DM304),"")))</f>
        <v>2.4</v>
      </c>
      <c r="DO108" s="138">
        <f>IF('Données projet'!$A$166&gt;35,DO107+DN108-DW107,IF(A108&lt;'Données projet'!$A$166,$DL$205^A108,IF(A108='Données projet'!$A$166,'Données projet'!$B$166,DO107+DN108-DW107)))</f>
        <v>273</v>
      </c>
      <c r="DP108" s="138">
        <f>DO108*VLOOKUP('Données projet'!$B$14,'Paramètres'!$A$1:$I$89,3,0)*VLOOKUP('Données projet'!$B$14,'Paramètres'!$A$1:$I$89,5,0)</f>
        <v>247.0104</v>
      </c>
      <c r="DQ108" s="130">
        <f t="shared" si="44"/>
        <v>59.94531546</v>
      </c>
      <c r="DR108" s="141">
        <f t="shared" si="17"/>
        <v>534.6145378</v>
      </c>
      <c r="DS108" s="133">
        <f t="shared" si="18"/>
        <v>827.9478711</v>
      </c>
      <c r="DT108" s="133">
        <f>AVERAGE(OFFSET($DS$3,0,0,'Données projet'!$E$14+1,1))-AVERAGE(OFFSET($H$3,0,0,'Données projet'!$E$14+1,1))</f>
        <v>287.9334714</v>
      </c>
      <c r="DU108" s="133">
        <f t="shared" si="45"/>
        <v>156.6796502</v>
      </c>
      <c r="DV108" s="134">
        <f>IF(ISNA(VLOOKUP(A108,'Données projet'!$A$165:$I$185,3,0)),0,VLOOKUP(A108,'Données projet'!$A$165:$I$185,3,0))</f>
        <v>0</v>
      </c>
      <c r="DW108" s="134">
        <f>IF(ISNA(VLOOKUP(A108,'Données projet'!$A$165:$I$185,4,0)),0,VLOOKUP(A108,'Données projet'!$A$165:$I$185,4,0))</f>
        <v>0</v>
      </c>
      <c r="DX108" s="135">
        <f>IF(ISNA(VLOOKUP(A108,'Données projet'!$A$165:$I$185,5,0)),0%,VLOOKUP(A108,'Données projet'!$A$165:$I$185,5,0)*VLOOKUP('Données projet'!$B$14,'Paramètres'!$A$1:$I$89,7,0))</f>
        <v>0</v>
      </c>
      <c r="DY108" s="135">
        <f>IF(ISNA(VLOOKUP(A108,'Données projet'!$A$165:$I$185,6,0)),0%,VLOOKUP(A108,'Données projet'!$A$165:$I$185,6,0)*VLOOKUP('Données projet'!$B$14,'Paramètres'!$A$1:$I$89,7,0))</f>
        <v>0</v>
      </c>
      <c r="DZ108" s="135">
        <f>IF(ISNA(VLOOKUP(A108,'Données projet'!$A$165:$I$185,7,0)),0%,VLOOKUP(A108,'Données projet'!$A$165:$I$185,7,0))</f>
        <v>0</v>
      </c>
      <c r="EA108" s="142">
        <f>EXP(-LN(2)/35)*EA107+(1-EXP(-LN(2)/35))/(LN(2)/35)*DW108*DX108*VLOOKUP('Données projet'!$B$14,'Paramètres'!$A$1:$I$89,3,0)*0.475*44/12</f>
        <v>28.21041774</v>
      </c>
      <c r="EB108" s="142">
        <f>EXP(-LN(2)/25)*EB107+(1-EXP(-LN(2)/25))/(LN(2)/25)*Calculateur!DW108*Calculateur!DY108*VLOOKUP('Données projet'!$B$14,'Paramètres'!$A$1:$I$89,3,0)*0.475*44/12</f>
        <v>0</v>
      </c>
      <c r="EC108" s="142">
        <f>EXP(-LN(2)/2)*EC107+(1-EXP(-LN(2)/2))/(LN(2)/2)*DW108*DZ108*VLOOKUP('Données projet'!$B$14,'Paramètres'!$A$1:$I$89,3,0)*0.475*44/12</f>
        <v>0</v>
      </c>
      <c r="ED108" s="143">
        <f t="shared" si="19"/>
        <v>28.21041774</v>
      </c>
      <c r="EE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1" t="str">
        <f>VLOOKUP(A108,'Données projet'!$A$191:$I$211,2,0)</f>
        <v>#N/A</v>
      </c>
      <c r="EH108" s="131" t="str">
        <f>VLOOKUP(A108,'Données projet'!$A$191:$I$211,9,0)</f>
        <v>#N/A</v>
      </c>
      <c r="EI108" s="131" t="str">
        <f t="array" ref="EI108">INDEX(EH:EH,MIN(IF(ISNUMBER(EH108:EH304),ROW(EH108:EH304),"")))</f>
        <v/>
      </c>
      <c r="EJ108" s="138">
        <f>IF('Données projet'!$A$192&gt;35,EJ107+EI108-ER107,IF(A108&lt;'Données projet'!$A$192,$EG$205^A108,IF(A108='Données projet'!$A$192,'Données projet'!$B$192,EJ107+EI108-ER107)))</f>
        <v>0</v>
      </c>
      <c r="EK108" s="138">
        <f>EJ108*VLOOKUP('Données projet'!$B$15,'Paramètres'!$A$1:$I$89,3,0)*VLOOKUP('Données projet'!$B$15,'Paramètres'!$A$1:$I$89,5,0)</f>
        <v>0</v>
      </c>
      <c r="EL108" s="130" t="str">
        <f t="shared" si="46"/>
        <v>#NUM!</v>
      </c>
      <c r="EM108" s="141" t="str">
        <f t="shared" si="20"/>
        <v>#NUM!</v>
      </c>
      <c r="EN108" s="133" t="str">
        <f t="shared" si="21"/>
        <v>#NUM!</v>
      </c>
      <c r="EO108" s="133">
        <f>AVERAGE(OFFSET($EN$3,0,0,'Données projet'!$E$15+1,1))-AVERAGE(OFFSET($H$3,0,0,'Données projet'!$E$15+1,1))</f>
        <v>130.3193339</v>
      </c>
      <c r="EP108" s="133">
        <f t="shared" si="47"/>
        <v>82.22784365</v>
      </c>
      <c r="EQ108" s="134">
        <f>IF(ISNA(VLOOKUP(A108,'Données projet'!$A$191:$I$211,3,0)),0,VLOOKUP(A108,'Données projet'!$A$191:$I$211,3,0))</f>
        <v>0</v>
      </c>
      <c r="ER108" s="134">
        <f>IF(ISNA(VLOOKUP(A108,'Données projet'!$A$191:$I$211,4,0)),0,VLOOKUP(A108,'Données projet'!$A$191:$I$211,4,0))</f>
        <v>0</v>
      </c>
      <c r="ES108" s="135">
        <f>IF(ISNA(VLOOKUP(A108,'Données projet'!$A$191:$I$211,5,0)),0%,VLOOKUP(A108,'Données projet'!$A$191:$I$211,5,0)*VLOOKUP('Données projet'!$B$15,'Paramètres'!$A$1:$I$89,7,0))</f>
        <v>0</v>
      </c>
      <c r="ET108" s="135">
        <f>IF(ISNA(VLOOKUP(A108,'Données projet'!$A$191:$I$211,6,0)),0%,VLOOKUP(A108,'Données projet'!$A$191:$I$211,6,0)*VLOOKUP('Données projet'!$B$15,'Paramètres'!$A$1:$I$89,7,0))</f>
        <v>0</v>
      </c>
      <c r="EU108" s="135">
        <f>IF(ISNA(VLOOKUP(A108,'Données projet'!$A$191:$I$211,7,0)),0%,VLOOKUP(A108,'Données projet'!$A$191:$I$211,7,0))</f>
        <v>0</v>
      </c>
      <c r="EV108" s="142">
        <f>EXP(-LN(2)/35)*EV107+(1-EXP(-LN(2)/35))/(LN(2)/35)*ER108*ES108*VLOOKUP('Données projet'!$B$15,'Paramètres'!$A$1:$I$89,3,0)*0.475*44/12</f>
        <v>64.76293865</v>
      </c>
      <c r="EW108" s="142">
        <f>EXP(-LN(2)/25)*EW107+(1-EXP(-LN(2)/25))/(LN(2)/25)*Calculateur!ER108*Calculateur!ET108*VLOOKUP('Données projet'!$B$15,'Paramètres'!$A$1:$I$89,3,0)*0.475*44/12</f>
        <v>0</v>
      </c>
      <c r="EX108" s="142">
        <f>EXP(-LN(2)/2)*EX107+(1-EXP(-LN(2)/2))/(LN(2)/2)*ER108*EU108*VLOOKUP('Données projet'!$B$15,'Paramètres'!$A$1:$I$89,3,0)*0.475*44/12</f>
        <v>0</v>
      </c>
      <c r="EY108" s="143">
        <f t="shared" si="22"/>
        <v>64.76293865</v>
      </c>
      <c r="EZ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1" t="str">
        <f>VLOOKUP(A108,'Données projet'!$A$217:$I$237,2,0)</f>
        <v>#N/A</v>
      </c>
      <c r="FC108" s="131" t="str">
        <f>VLOOKUP(A108,'Données projet'!$A$217:$I$237,9,0)</f>
        <v>#N/A</v>
      </c>
      <c r="FD108" s="131" t="str">
        <f t="array" ref="FD108">INDEX(FC:FC,MIN(IF(ISNUMBER(FC108:FC304),ROW(FC108:FC304),"")))</f>
        <v/>
      </c>
      <c r="FE108" s="130">
        <f>IF('Données projet'!$A$218&gt;35,FE107+FD108-FM107,IF(A108&lt;'Données projet'!$A$218,$FB$205^A108,IF(A108='Données projet'!$A$218,'Données projet'!$B$218,FE107+FD108-FM107)))</f>
        <v>0</v>
      </c>
      <c r="FF108" s="138">
        <f>FE108*VLOOKUP('Données projet'!$B$16,'Paramètres'!$A$1:$I$89,3,0)*VLOOKUP('Données projet'!$B$16,'Paramètres'!$A$1:$I$89,5,0)</f>
        <v>0</v>
      </c>
      <c r="FG108" s="130">
        <f t="shared" si="48"/>
        <v>0</v>
      </c>
      <c r="FH108" s="141">
        <f t="shared" si="23"/>
        <v>0</v>
      </c>
      <c r="FI108" s="133">
        <f t="shared" si="24"/>
        <v>293.3333333</v>
      </c>
      <c r="FJ108" s="133">
        <f>AVERAGE(OFFSET($FI$3,0,0,'Données projet'!$E$16+1,1))-AVERAGE(OFFSET($H$3,0,0,'Données projet'!$E$16+1,1))</f>
        <v>305.6252353</v>
      </c>
      <c r="FK108" s="133">
        <f t="shared" si="49"/>
        <v>331.397916</v>
      </c>
      <c r="FL108" s="134">
        <f>IF(ISNA(VLOOKUP(A108,'Données projet'!$A$217:$I$237,3,0)),0,VLOOKUP(A108,'Données projet'!$A$217:$I$237,3,0))</f>
        <v>0</v>
      </c>
      <c r="FM108" s="134">
        <f>IF(ISNA(VLOOKUP(A108,'Données projet'!$A$217:$I$237,4,0)),0,VLOOKUP(A108,'Données projet'!$A$217:$I$237,4,0))</f>
        <v>0</v>
      </c>
      <c r="FN108" s="135">
        <f>IF(ISNA(VLOOKUP(A108,'Données projet'!$A$217:$I$237,5,0)),0%,VLOOKUP(A108,'Données projet'!$A$217:$I$237,5,0)*VLOOKUP('Données projet'!$B$16,'Paramètres'!$A$1:$I$89,7,0))</f>
        <v>0</v>
      </c>
      <c r="FO108" s="135">
        <f>IF(ISNA(VLOOKUP(A108,'Données projet'!$A$217:$I$237,6,0)),0%,VLOOKUP(A108,'Données projet'!$A$217:$I$237,6,0)*VLOOKUP('Données projet'!$B$16,'Paramètres'!$A$1:$I$89,7,0))</f>
        <v>0</v>
      </c>
      <c r="FP108" s="135">
        <f>IF(ISNA(VLOOKUP(A108,'Données projet'!$A$217:$I$237,7,0)),0%,VLOOKUP(A108,'Données projet'!$A$217:$I$237,7,0))</f>
        <v>0</v>
      </c>
      <c r="FQ108" s="142">
        <f>EXP(-LN(2)/35)*FQ107+(1-EXP(-LN(2)/35))/(LN(2)/35)*FM108*FN108*VLOOKUP('Données projet'!$B$16,'Paramètres'!$A$1:$I$89,3,0)*0.475*44/12</f>
        <v>40.32334106</v>
      </c>
      <c r="FR108" s="142">
        <f>EXP(-LN(2)/25)*FR107+(1-EXP(-LN(2)/25))/(LN(2)/25)*Calculateur!FM108*Calculateur!FO108*VLOOKUP('Données projet'!$B$16,'Paramètres'!$A$1:$I$89,3,0)*0.475*44/12</f>
        <v>0</v>
      </c>
      <c r="FS108" s="142">
        <f>EXP(-LN(2)/2)*FS107+(1-EXP(-LN(2)/2))/(LN(2)/2)*FM108*FP108*VLOOKUP('Données projet'!$B$16,'Paramètres'!$A$1:$I$89,3,0)*0.475*44/12</f>
        <v>0</v>
      </c>
      <c r="FT108" s="143">
        <f t="shared" si="25"/>
        <v>40.32334106</v>
      </c>
      <c r="FU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1" t="str">
        <f>VLOOKUP(A108,'Données projet'!$A$243:$I$263,2,0)</f>
        <v>#N/A</v>
      </c>
      <c r="FX108" s="131" t="str">
        <f>VLOOKUP(A108,'Données projet'!$A$243:$I$263,9,0)</f>
        <v>#N/A</v>
      </c>
      <c r="FY108" s="131" t="str">
        <f t="array" ref="FY108">INDEX(FX:FX,MIN(IF(ISNUMBER(FX108:FX304),ROW(FX108:FX304),"")))</f>
        <v/>
      </c>
      <c r="FZ108" s="138">
        <f>IF('Données projet'!$A$244&gt;35,FZ107+FY108-GH107,IF(A108&lt;'Données projet'!$A$244,$FW$205^A108,IF(A108='Données projet'!$A$244,'Données projet'!$B$244,FZ107+FY108-GH107)))</f>
        <v>0</v>
      </c>
      <c r="GA108" s="138">
        <f>FZ108*VLOOKUP('Données projet'!$B$17,'Paramètres'!$A$1:$I$89,3,0)*VLOOKUP('Données projet'!$B$17,'Paramètres'!$A$1:$I$89,5,0)</f>
        <v>0</v>
      </c>
      <c r="GB108" s="130">
        <f t="shared" si="50"/>
        <v>0</v>
      </c>
      <c r="GC108" s="141">
        <f t="shared" si="26"/>
        <v>0</v>
      </c>
      <c r="GD108" s="133">
        <f t="shared" si="27"/>
        <v>293.3333333</v>
      </c>
      <c r="GE108" s="133">
        <f>AVERAGE(OFFSET($GD$3,0,0,'Données projet'!$E$17+1,1))-AVERAGE(OFFSET($H$3,0,0,'Données projet'!$E$17+1,1))</f>
        <v>118.7368745</v>
      </c>
      <c r="GF108" s="133">
        <f t="shared" si="51"/>
        <v>135.1233677</v>
      </c>
      <c r="GG108" s="134">
        <f>IF(ISNA(VLOOKUP(A108,'Données projet'!$A$243:$I$263,3,0)),0,VLOOKUP(A108,'Données projet'!$A$243:$I$263,3,0))</f>
        <v>0</v>
      </c>
      <c r="GH108" s="134">
        <f>IF(ISNA(VLOOKUP(A108,'Données projet'!$A$243:$I$263,4,0)),0,VLOOKUP(A108,'Données projet'!$A$243:$I$263,4,0))</f>
        <v>0</v>
      </c>
      <c r="GI108" s="135">
        <f>IF(ISNA(VLOOKUP(A108,'Données projet'!$A$243:$I$263,5,0)),0%,VLOOKUP(A108,'Données projet'!$A$243:$I$263,5,0)*VLOOKUP('Données projet'!$B$17,'Paramètres'!$A$1:$I$89,7,0))</f>
        <v>0</v>
      </c>
      <c r="GJ108" s="135">
        <f>IF(ISNA(VLOOKUP(A108,'Données projet'!$A$243:$I$263,6,0)),0%,VLOOKUP(A108,'Données projet'!$A$243:$I$263,6,0)*VLOOKUP('Données projet'!$B$17,'Paramètres'!$A$1:$I$89,7,0))</f>
        <v>0</v>
      </c>
      <c r="GK108" s="135">
        <f>IF(ISNA(VLOOKUP(A108,'Données projet'!$A$243:$I$263,7,0)),0%,VLOOKUP(A108,'Données projet'!$A$243:$I$263,7,0))</f>
        <v>0</v>
      </c>
      <c r="GL108" s="142">
        <f>EXP(-LN(2)/35)*GL107+(1-EXP(-LN(2)/35))/(LN(2)/35)*GH108*GI108*VLOOKUP('Données projet'!$B$17,'Paramètres'!$A$1:$I$89,3,0)*0.475*44/12</f>
        <v>42.60148513</v>
      </c>
      <c r="GM108" s="142">
        <f>EXP(-LN(2)/25)*GM107+(1-EXP(-LN(2)/25))/(LN(2)/25)*Calculateur!GH108*Calculateur!GJ108*VLOOKUP('Données projet'!$B$17,'Paramètres'!$A$1:$I$89,3,0)*0.475*44/12</f>
        <v>0</v>
      </c>
      <c r="GN108" s="142">
        <f>EXP(-LN(2)/2)*GN107+(1-EXP(-LN(2)/2))/(LN(2)/2)*GH108*GK108*VLOOKUP('Données projet'!$B$17,'Paramètres'!$A$1:$I$89,3,0)*0.475*44/12</f>
        <v>0</v>
      </c>
      <c r="GO108" s="142">
        <f t="shared" si="28"/>
        <v>42.60148513</v>
      </c>
      <c r="GP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1" t="str">
        <f>VLOOKUP(A108,'Données projet'!$A$269:$I$289,2,0)</f>
        <v>#N/A</v>
      </c>
      <c r="GS108" s="131" t="str">
        <f>VLOOKUP(A108,'Données projet'!$A$269:$I$289,9,0)</f>
        <v>#N/A</v>
      </c>
      <c r="GT108" s="131" t="str">
        <f t="array" ref="GT108">INDEX(GS:GS,MIN(IF(ISNUMBER(GS108:GS304),ROW(GS108:GS304),"")))</f>
        <v/>
      </c>
      <c r="GU108" s="138">
        <f>IF('Données projet'!$A$270&gt;35,GU107+GT108-HC107,IF(A108&lt;'Données projet'!$A$270,$GR$205^A108,IF(A108='Données projet'!$A$270,'Données projet'!$B$270,GU107+GT108-HC107)))</f>
        <v>0</v>
      </c>
      <c r="GV108" s="138">
        <f>GU108*VLOOKUP('Données projet'!$B$18,'Paramètres'!$A$1:$I$89,3,0)*VLOOKUP('Données projet'!$B$18,'Paramètres'!$A$1:$I$89,5,0)</f>
        <v>0</v>
      </c>
      <c r="GW108" s="130" t="str">
        <f t="shared" si="52"/>
        <v>#NUM!</v>
      </c>
      <c r="GX108" s="141" t="str">
        <f t="shared" si="29"/>
        <v>#NUM!</v>
      </c>
      <c r="GY108" s="133" t="str">
        <f t="shared" si="30"/>
        <v>#NUM!</v>
      </c>
      <c r="GZ108" s="133">
        <f>AVERAGE(OFFSET($GY$3,0,0,'Données projet'!$E$18+1,1))-AVERAGE(OFFSET($H$3,0,0,'Données projet'!$E$18+1,1))</f>
        <v>100.5427875</v>
      </c>
      <c r="HA108" s="133">
        <f t="shared" si="53"/>
        <v>92.28663609</v>
      </c>
      <c r="HB108" s="134">
        <f>IF(ISNA(VLOOKUP(A108,'Données projet'!$A$269:$I$289,3,0)),0,VLOOKUP(A108,'Données projet'!$A$269:$I$289,3,0))</f>
        <v>0</v>
      </c>
      <c r="HC108" s="134">
        <f>IF(ISNA(VLOOKUP(A108,'Données projet'!$A$269:$I$289,4,0)),0,VLOOKUP(A108,'Données projet'!$A$269:$I$289,4,0))</f>
        <v>0</v>
      </c>
      <c r="HD108" s="135">
        <f>IF(ISNA(VLOOKUP(A108,'Données projet'!$A$269:$I$289,5,0)),0%,VLOOKUP(A108,'Données projet'!$A$269:$I$289,5,0)*VLOOKUP('Données projet'!$B$18,'Paramètres'!$A$1:$I$89,7,0))</f>
        <v>0</v>
      </c>
      <c r="HE108" s="135">
        <f>IF(ISNA(VLOOKUP(A108,'Données projet'!$A$269:$I$289,6,0)),0%,VLOOKUP(A108,'Données projet'!$A$269:$I$289,6,0)*VLOOKUP('Données projet'!$B$18,'Paramètres'!$A$1:$I$89,7,0))</f>
        <v>0</v>
      </c>
      <c r="HF108" s="135">
        <f>IF(ISNA(VLOOKUP(A108,'Données projet'!$A$269:$I$289,7,0)),0%,VLOOKUP(A108,'Données projet'!$A$269:$I$289,7,0))</f>
        <v>0</v>
      </c>
      <c r="HG108" s="142">
        <f>EXP(-LN(2)/35)*HG107+(1-EXP(-LN(2)/35))/(LN(2)/35)*HC108*HD108*VLOOKUP('Données projet'!$B$18,'Paramètres'!$A$1:$I$89,3,0)*0.475*44/12</f>
        <v>29.01071265</v>
      </c>
      <c r="HH108" s="142">
        <f>EXP(-LN(2)/25)*HH107+(1-EXP(-LN(2)/25))/(LN(2)/25)*Calculateur!HC108*Calculateur!HE108*VLOOKUP('Données projet'!$B$18,'Paramètres'!$A$1:$I$89,3,0)*0.475*44/12</f>
        <v>0</v>
      </c>
      <c r="HI108" s="142">
        <f>EXP(-LN(2)/2)*HI107+(1-EXP(-LN(2)/2))/(LN(2)/2)*HC108*HF108*VLOOKUP('Données projet'!$B$18,'Paramètres'!$A$1:$I$89,3,0)*0.475*44/12</f>
        <v>0</v>
      </c>
      <c r="HJ108" s="143">
        <f t="shared" si="31"/>
        <v>29.01071265</v>
      </c>
    </row>
    <row r="109" ht="15.75" customHeight="1">
      <c r="A109" s="125">
        <f t="shared" si="32"/>
        <v>106</v>
      </c>
      <c r="B109" s="126">
        <f>'Scénario référence'!$B$16*5+'Scénario référence'!$B$17*0+'Scénario référence'!$B$18*5</f>
        <v>0</v>
      </c>
      <c r="C109" s="140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57.876</v>
      </c>
      <c r="D109" s="127">
        <f t="shared" si="33"/>
        <v>16.63013392</v>
      </c>
      <c r="E10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7">
        <f>IF(OR('Scénario référence'!$F$8&gt;0,'Scénario référence'!$F$9&gt;0),('Scénario référence'!$F$8+'Scénario référence'!$F$9)*10,0)</f>
        <v>10</v>
      </c>
      <c r="G109" s="127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</v>
      </c>
      <c r="H109" s="128">
        <f t="shared" si="1"/>
        <v>423.0981832</v>
      </c>
      <c r="I109" s="12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1" t="str">
        <f>VLOOKUP(A109,'Données projet'!$A$35:$I$55,2,0)</f>
        <v>#N/A</v>
      </c>
      <c r="L109" s="131" t="str">
        <f>VLOOKUP(A109,'Données projet'!$A$35:$I$55,9,0)</f>
        <v>#N/A</v>
      </c>
      <c r="M109" s="131" t="str">
        <f t="array" ref="M109">INDEX(L:L,MIN(IF(ISNUMBER(L109:L305),ROW(L109:L305),"")))</f>
        <v/>
      </c>
      <c r="N109" s="130">
        <f>IF('Données projet'!$A$36&gt;35,N108+M109-V108,IF(A109&lt;'Données projet'!$A$36,$K$205^A109,IF(A109='Données projet'!$A$36,'Données projet'!$B$36,N108+M109-V108)))</f>
        <v>0</v>
      </c>
      <c r="O109" s="130">
        <f>N109*VLOOKUP('Données projet'!$B$9,'Paramètres'!$A$1:$I$89,3,0)*VLOOKUP('Données projet'!$B$9,'Paramètres'!$A$1:$I$89,5,0)</f>
        <v>0</v>
      </c>
      <c r="P109" s="130">
        <f t="shared" si="34"/>
        <v>0</v>
      </c>
      <c r="Q109" s="141">
        <f t="shared" si="2"/>
        <v>0</v>
      </c>
      <c r="R109" s="133">
        <f t="shared" si="3"/>
        <v>293.3333333</v>
      </c>
      <c r="S109" s="133">
        <f>AVERAGE(OFFSET($R$3,0,0,'Données projet'!$E$9+1,1))-AVERAGE(OFFSET($H$3,0,0,'Données projet'!$E$9+1,1))</f>
        <v>126.9946492</v>
      </c>
      <c r="T109" s="133">
        <f t="shared" si="35"/>
        <v>140.039049</v>
      </c>
      <c r="U109" s="134">
        <f>IF(ISNA(VLOOKUP(A109,'Données projet'!$A$35:$I$55,3,0)),0,VLOOKUP(A109,'Données projet'!$A$35:$I$55,3,0))</f>
        <v>0</v>
      </c>
      <c r="V109" s="134">
        <f>IF(ISNA(VLOOKUP(A109,'Données projet'!$A$35:$I$55,4,0)),0,VLOOKUP(A109,'Données projet'!$A$35:$I$55,4,0))</f>
        <v>0</v>
      </c>
      <c r="W109" s="135">
        <f>IF(ISNA(VLOOKUP(A109,'Données projet'!$A$35:$I$55,5,0)),0%,VLOOKUP(A109,'Données projet'!$A$35:$I$55,5,0)*VLOOKUP('Données projet'!$B$9,'Paramètres'!$A$1:$I$89,7,0))</f>
        <v>0</v>
      </c>
      <c r="X109" s="135">
        <f>IF(ISNA(VLOOKUP(A109,'Données projet'!$A$35:$I$55,6,0)),0%,VLOOKUP(A109,'Données projet'!$A$35:$I$55,6,0)*VLOOKUP('Données projet'!$B$9,'Paramètres'!$A$1:$I$89,7,0))</f>
        <v>0</v>
      </c>
      <c r="Y109" s="135">
        <f>IF(ISNA(VLOOKUP(A109,'Données projet'!$A$35:$I$55,7,0)),0%,VLOOKUP(A109,'Données projet'!$A$35:$I$55,7,0))</f>
        <v>0</v>
      </c>
      <c r="Z109" s="142">
        <f>EXP(-LN(2)/35)*Z108+(1-EXP(-LN(2)/35))/(LN(2)/35)*V109*W109*VLOOKUP('Données projet'!$B$9,'Paramètres'!$A$1:$I$89,3,0)*0.475*44/12</f>
        <v>42.71741892</v>
      </c>
      <c r="AA109" s="142">
        <f>EXP(-LN(2)/25)*AA108+(1-EXP(-LN(2)/25))/(LN(2)/25)*Calculateur!V109*Calculateur!X109*VLOOKUP('Données projet'!$B$9,'Paramètres'!$A$1:$I$89,3,0)*0.475*44/12</f>
        <v>6.491060459</v>
      </c>
      <c r="AB109" s="142">
        <f>EXP(-LN(2)/2)*AB108+(1-EXP(-LN(2)/2))/(LN(2)/2)*V109*Y109*VLOOKUP('Données projet'!$B$9,'Paramètres'!$A$1:$I$89,3,0)*0.475*44/12</f>
        <v>0.000002263709451</v>
      </c>
      <c r="AC109" s="143">
        <f t="shared" si="4"/>
        <v>49.20848165</v>
      </c>
      <c r="AD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1" t="str">
        <f>VLOOKUP(A109,'Données projet'!$A$61:$I$81,2,0)</f>
        <v>#N/A</v>
      </c>
      <c r="AG109" s="131" t="str">
        <f>VLOOKUP(A109,'Données projet'!$A$61:$I$81,9,0)</f>
        <v>#N/A</v>
      </c>
      <c r="AH109" s="131" t="str">
        <f t="array" ref="AH109">INDEX(AG:AG,MIN(IF(ISNUMBER(AG109:AG305),ROW(AG109:AG305),"")))</f>
        <v/>
      </c>
      <c r="AI109" s="130">
        <f>IF('Données projet'!$A$62&gt;35,AI108+AH109-AQ108,IF(A109&lt;'Données projet'!$A$62,$AF$205^A109,IF(A109='Données projet'!$A$62,'Données projet'!$B$62,AI108+AH109-AQ108)))</f>
        <v>0</v>
      </c>
      <c r="AJ109" s="130">
        <f>AI109*VLOOKUP('Données projet'!$B$10,'Paramètres'!$A$1:$I$89,3,0)*VLOOKUP('Données projet'!$B$10,'Paramètres'!$A$1:$I$89,5,0)</f>
        <v>0</v>
      </c>
      <c r="AK109" s="130" t="str">
        <f t="shared" si="36"/>
        <v>#NUM!</v>
      </c>
      <c r="AL109" s="141" t="str">
        <f t="shared" si="5"/>
        <v>#NUM!</v>
      </c>
      <c r="AM109" s="133" t="str">
        <f t="shared" si="6"/>
        <v>#NUM!</v>
      </c>
      <c r="AN109" s="133">
        <f>AVERAGE(OFFSET($AM$3,0,0,'Données projet'!$E$10+1,1))-AVERAGE(OFFSET($H$3,0,0,'Données projet'!$E$10+1,1))</f>
        <v>196.874484</v>
      </c>
      <c r="AO109" s="133">
        <f t="shared" si="37"/>
        <v>217.5750859</v>
      </c>
      <c r="AP109" s="134">
        <f>IF(ISNA(VLOOKUP(A109,'Données projet'!$A$61:$I$81,3,0)),0,VLOOKUP(A109,'Données projet'!$A$61:$I$81,3,0))</f>
        <v>0</v>
      </c>
      <c r="AQ109" s="134">
        <f>IF(ISNA(VLOOKUP(A109,'Données projet'!$A$61:$I$81,4,0)),0,VLOOKUP(A109,'Données projet'!$A$61:$I$81,4,0))</f>
        <v>0</v>
      </c>
      <c r="AR109" s="135">
        <f>IF(ISNA(VLOOKUP(A109,'Données projet'!$A$61:$I$81,5,0)),0%,VLOOKUP(A109,'Données projet'!$A$61:$I$81,5,0)*VLOOKUP('Données projet'!$B$10,'Paramètres'!$A$1:$I$89,7,0))</f>
        <v>0</v>
      </c>
      <c r="AS109" s="135">
        <f>IF(ISNA(VLOOKUP(A109,'Données projet'!$A$61:$I$81,6,0)),0%,VLOOKUP(A109,'Données projet'!$A$61:$I$81,6,0)*VLOOKUP('Données projet'!$B$10,'Paramètres'!$A$1:$I$89,7,0))</f>
        <v>0</v>
      </c>
      <c r="AT109" s="135">
        <f>IF(ISNA(VLOOKUP(A109,'Données projet'!$A$61:$I$81,7,0)),0%,VLOOKUP(A109,'Données projet'!$A$61:$I$81,7,0))</f>
        <v>0</v>
      </c>
      <c r="AU109" s="142">
        <f>EXP(-LN(2)/35)*AU108+(1-EXP(-LN(2)/35))/(LN(2)/35)*AQ109*AR109*VLOOKUP('Données projet'!$B$10,'Paramètres'!$A$1:$I$89,3,0)*0.475*44/12</f>
        <v>59.37599896</v>
      </c>
      <c r="AV109" s="142">
        <f>EXP(-LN(2)/25)*AV108+(1-EXP(-LN(2)/25))/(LN(2)/25)*Calculateur!AQ109*Calculateur!AS109*VLOOKUP('Données projet'!$B$10,'Paramètres'!$A$1:$I$89,3,0)*0.475*44/12</f>
        <v>9.980014129</v>
      </c>
      <c r="AW109" s="142">
        <f>EXP(-LN(2)/2)*AW108+(1-EXP(-LN(2)/2))/(LN(2)/2)*AQ109*AT109*VLOOKUP('Données projet'!$B$10,'Paramètres'!$A$1:$I$89,3,0)*0.475*44/12</f>
        <v>0.000003156086256</v>
      </c>
      <c r="AX109" s="142">
        <f t="shared" si="7"/>
        <v>69.35601625</v>
      </c>
      <c r="AY109" s="13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1" t="str">
        <f>VLOOKUP(A109,'Données projet'!$A$87:$I$107,2,0)</f>
        <v>#N/A</v>
      </c>
      <c r="BB109" s="131" t="str">
        <f>VLOOKUP(A109,'Données projet'!$A$87:$I$107,9,0)</f>
        <v>#N/A</v>
      </c>
      <c r="BC109" s="131" t="str">
        <f t="array" ref="BC109">INDEX(BB:BB,MIN(IF(ISNUMBER(BB109:BB305),ROW(BB109:BB305),"")))</f>
        <v/>
      </c>
      <c r="BD109" s="130">
        <f>IF('Données projet'!$A$88&gt;35,BD108+BC109-BL108,IF(A109&lt;'Données projet'!$A$88,$BA$205^A109,IF(A109='Données projet'!$A$88,'Données projet'!$B$88,BD108+BC109-BL108)))</f>
        <v>0</v>
      </c>
      <c r="BE109" s="130">
        <f>BD109*VLOOKUP('Données projet'!$B$11,'Paramètres'!$A$1:$I$89,3,0)*VLOOKUP('Données projet'!$B$11,'Paramètres'!$A$1:$I$89,5,0)</f>
        <v>0</v>
      </c>
      <c r="BF109" s="130" t="str">
        <f t="shared" si="38"/>
        <v>#NUM!</v>
      </c>
      <c r="BG109" s="141" t="str">
        <f t="shared" si="8"/>
        <v>#NUM!</v>
      </c>
      <c r="BH109" s="133" t="str">
        <f t="shared" si="9"/>
        <v>#NUM!</v>
      </c>
      <c r="BI109" s="133">
        <f>AVERAGE(OFFSET($BH$3,0,0,'Données projet'!$E$11+1,1))-AVERAGE(OFFSET($H$3,0,0,'Données projet'!$E$11+1,1))</f>
        <v>134.0948534</v>
      </c>
      <c r="BJ109" s="133">
        <f t="shared" si="39"/>
        <v>108.4102536</v>
      </c>
      <c r="BK109" s="134">
        <f>IF(ISNA(VLOOKUP(A109,'Données projet'!$A$87:$I$107,3,0)),0,VLOOKUP(A109,'Données projet'!$A$87:$I$107,3,0))</f>
        <v>0</v>
      </c>
      <c r="BL109" s="134">
        <f>IF(ISNA(VLOOKUP(A109,'Données projet'!$A$87:$I$107,4,0)),0,VLOOKUP(A109,'Données projet'!$A$87:$I$107,4,0))</f>
        <v>0</v>
      </c>
      <c r="BM109" s="135">
        <f>IF(ISNA(VLOOKUP(A109,'Données projet'!$A$87:$I$107,5,0)),0%,VLOOKUP(A109,'Données projet'!$A$87:$I$107,5,0)*VLOOKUP('Données projet'!$B$11,'Paramètres'!$A$1:$I$89,7,0))</f>
        <v>0</v>
      </c>
      <c r="BN109" s="135">
        <f>IF(ISNA(VLOOKUP(A109,'Données projet'!$A$87:$I$107,6,0)),0%,VLOOKUP(A109,'Données projet'!$A$87:$I$107,6,0)*VLOOKUP('Données projet'!$B$11,'Paramètres'!$A$1:$I$89,7,0))</f>
        <v>0</v>
      </c>
      <c r="BO109" s="135">
        <f>IF(ISNA(VLOOKUP(A109,'Données projet'!$A$87:$I$107,7,0)),0%,VLOOKUP(A109,'Données projet'!$A$87:$I$107,7,0))</f>
        <v>0</v>
      </c>
      <c r="BP109" s="142">
        <f>EXP(-LN(2)/35)*BP108+(1-EXP(-LN(2)/35))/(LN(2)/35)*BL109*BM109*VLOOKUP('Données projet'!$B$11,'Paramètres'!$A$1:$I$89,3,0)*0.475*44/12</f>
        <v>82.12809554</v>
      </c>
      <c r="BQ109" s="142">
        <f>EXP(-LN(2)/25)*BQ108+(1-EXP(-LN(2)/25))/(LN(2)/25)*Calculateur!BL109*Calculateur!BN109*VLOOKUP('Données projet'!$B$11,'Paramètres'!$A$1:$I$89,3,0)*0.475*44/12</f>
        <v>6.295401481</v>
      </c>
      <c r="BR109" s="142">
        <f>EXP(-LN(2)/2)*BR108+(1-EXP(-LN(2)/2))/(LN(2)/2)*BL109*BO109*VLOOKUP('Données projet'!$B$11,'Paramètres'!$A$1:$I$89,3,0)*0.475*44/12</f>
        <v>0.00004209766131</v>
      </c>
      <c r="BS109" s="143">
        <f t="shared" si="10"/>
        <v>88.42353912</v>
      </c>
      <c r="BT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1" t="str">
        <f>VLOOKUP(A109,'Données projet'!$A$113:$I$133,2,0)</f>
        <v>#N/A</v>
      </c>
      <c r="BW109" s="131" t="str">
        <f>VLOOKUP(A109,'Données projet'!$A$113:$I$133,9,0)</f>
        <v>#N/A</v>
      </c>
      <c r="BX109" s="131" t="str">
        <f t="array" ref="BX109">INDEX(BW:BW,MIN(IF(ISNUMBER(BW109:BW305),ROW(BW109:BW305),"")))</f>
        <v/>
      </c>
      <c r="BY109" s="130">
        <f>IF('Données projet'!$A$114&gt;35,BY108+BX109-CG108,IF(A109&lt;'Données projet'!$A$114,$BV$205^A109,IF(A109='Données projet'!$A$114,'Données projet'!$B$114,BY108+BX109-CG108)))</f>
        <v>0</v>
      </c>
      <c r="BZ109" s="130">
        <f>BY109*VLOOKUP('Données projet'!$B$12,'Paramètres'!$A$1:$I$89,3,0)*VLOOKUP('Données projet'!$B$12,'Paramètres'!$A$1:$I$89,5,0)</f>
        <v>0</v>
      </c>
      <c r="CA109" s="130" t="str">
        <f t="shared" si="40"/>
        <v>#NUM!</v>
      </c>
      <c r="CB109" s="141" t="str">
        <f t="shared" si="11"/>
        <v>#NUM!</v>
      </c>
      <c r="CC109" s="133" t="str">
        <f t="shared" si="12"/>
        <v>#NUM!</v>
      </c>
      <c r="CD109" s="133">
        <f>AVERAGE(OFFSET($CC$3,0,0,'Données projet'!$E$12+1,1))-AVERAGE(OFFSET($H$3,0,0,'Données projet'!$E$12+1,1))</f>
        <v>258.1672054</v>
      </c>
      <c r="CE109" s="133">
        <f t="shared" si="41"/>
        <v>296.0724261</v>
      </c>
      <c r="CF109" s="134">
        <f>IF(ISNA(VLOOKUP(A109,'Données projet'!$A$113:$I$133,3,0)),0,VLOOKUP(A109,'Données projet'!$A$113:$I$133,3,0))</f>
        <v>0</v>
      </c>
      <c r="CG109" s="134">
        <f>IF(ISNA(VLOOKUP(A109,'Données projet'!$A$113:$I$133,4,0)),0,VLOOKUP(A109,'Données projet'!$A$113:$I$133,4,0))</f>
        <v>0</v>
      </c>
      <c r="CH109" s="135">
        <f>IF(ISNA(VLOOKUP(A109,'Données projet'!$A$113:$I$133,5,0)),0%,VLOOKUP(A109,'Données projet'!$A$113:$I$133,5,0)*VLOOKUP('Données projet'!$B$12,'Paramètres'!$A$1:$I$89,7,0))</f>
        <v>0</v>
      </c>
      <c r="CI109" s="135">
        <f>IF(ISNA(VLOOKUP(A109,'Données projet'!$A$113:$I$133,6,0)),0%,VLOOKUP(A109,'Données projet'!$A$113:$I$133,6,0)*VLOOKUP('Données projet'!$B$12,'Paramètres'!$A$1:$I$89,7,0))</f>
        <v>0</v>
      </c>
      <c r="CJ109" s="135">
        <f>IF(ISNA(VLOOKUP(A109,'Données projet'!$A$113:$I$133,7,0)),0%,VLOOKUP(A109,'Données projet'!$A$113:$I$133,7,0))</f>
        <v>0</v>
      </c>
      <c r="CK109" s="142">
        <f>EXP(-LN(2)/35)*CK108+(1-EXP(-LN(2)/35))/(LN(2)/35)*CG109*CH109*VLOOKUP('Données projet'!$B$12,'Paramètres'!$A$1:$I$89,3,0)*0.475*44/12</f>
        <v>103.8350368</v>
      </c>
      <c r="CL109" s="142">
        <f>EXP(-LN(2)/25)*CL108+(1-EXP(-LN(2)/25))/(LN(2)/25)*Calculateur!CG109*Calculateur!CI109*VLOOKUP('Données projet'!$B$12,'Paramètres'!$A$1:$I$89,3,0)*0.475*44/12</f>
        <v>11.04249157</v>
      </c>
      <c r="CM109" s="142">
        <f>EXP(-LN(2)/2)*CM108+(1-EXP(-LN(2)/2))/(LN(2)/2)*CG109*CJ109*VLOOKUP('Données projet'!$B$12,'Paramètres'!$A$1:$I$89,3,0)*0.475*44/12</f>
        <v>0.000001773524783</v>
      </c>
      <c r="CN109" s="143">
        <f t="shared" si="13"/>
        <v>114.8775301</v>
      </c>
      <c r="CO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1" t="str">
        <f>VLOOKUP(A109,'Données projet'!$A$139:$I$159,2,0)</f>
        <v>#N/A</v>
      </c>
      <c r="CR109" s="131" t="str">
        <f>VLOOKUP(A109,'Données projet'!$A$139:$I$159,9,0)</f>
        <v>#N/A</v>
      </c>
      <c r="CS109" s="130">
        <f t="array" ref="CS109">INDEX(CR:CR,MIN(IF(ISNUMBER(CR109:CR305),ROW(CR109:CR305),"")))</f>
        <v>1.7</v>
      </c>
      <c r="CT109" s="138">
        <f>IF('Données projet'!$A$140&gt;35,CT108+CS109-DB108,IF(A109&lt;'Données projet'!$A$140,$CQ$205^A109,IF(A109='Données projet'!$A$140,'Données projet'!$B$140,CT108+CS109-DB108)))</f>
        <v>212.2</v>
      </c>
      <c r="CU109" s="138">
        <f>CT109*VLOOKUP('Données projet'!$B$13,'Paramètres'!$A$1:$I$89,3,0)*VLOOKUP('Données projet'!$B$13,'Paramètres'!$A$1:$I$89,5,0)</f>
        <v>215.1708</v>
      </c>
      <c r="CV109" s="130">
        <f t="shared" si="42"/>
        <v>53.06393097</v>
      </c>
      <c r="CW109" s="141">
        <f t="shared" si="14"/>
        <v>467.1754898</v>
      </c>
      <c r="CX109" s="133">
        <f t="shared" si="15"/>
        <v>760.5088231</v>
      </c>
      <c r="CY109" s="133">
        <f>AVERAGE(OFFSET($CX$3,0,0,'Données projet'!$E$13+1,1))-AVERAGE(OFFSET($H$3,0,0,'Données projet'!$E$13+1,1))</f>
        <v>223.783507</v>
      </c>
      <c r="CZ109" s="133">
        <f t="shared" si="43"/>
        <v>84.92349117</v>
      </c>
      <c r="DA109" s="134">
        <f>IF(ISNA(VLOOKUP(A109,'Données projet'!$A$139:$I$159,3,0)),0,VLOOKUP(A109,'Données projet'!$A$139:$I$159,3,0))</f>
        <v>0</v>
      </c>
      <c r="DB109" s="134">
        <f>IF(ISNA(VLOOKUP(A109,'Données projet'!$A$139:$I$159,4,0)),0,VLOOKUP(A109,'Données projet'!$A$139:$I$159,4,0))</f>
        <v>0</v>
      </c>
      <c r="DC109" s="135">
        <f>IF(ISNA(VLOOKUP(A109,'Données projet'!$A$139:$I$159,5,0)),0%,VLOOKUP(A109,'Données projet'!$A$139:$I$159,5,0)*VLOOKUP('Données projet'!$B$13,'Paramètres'!$A$1:$I$89,7,0))</f>
        <v>0</v>
      </c>
      <c r="DD109" s="135">
        <f>IF(ISNA(VLOOKUP(A109,'Données projet'!$A$139:$I$159,6,0)),0%,VLOOKUP(A109,'Données projet'!$A$139:$I$159,6,0)*VLOOKUP('Données projet'!$B$13,'Paramètres'!$A$1:$I$89,7,0))</f>
        <v>0</v>
      </c>
      <c r="DE109" s="135">
        <f>IF(ISNA(VLOOKUP(A109,'Données projet'!$A$139:$I$159,7,0)),0%,VLOOKUP(A109,'Données projet'!$A$139:$I$159,7,0))</f>
        <v>0</v>
      </c>
      <c r="DF109" s="142">
        <f>EXP(-LN(2)/35)*DF108+(1-EXP(-LN(2)/35))/(LN(2)/35)*DB109*DC109*VLOOKUP('Données projet'!$B$13,'Paramètres'!$A$1:$I$89,3,0)*0.475*44/12</f>
        <v>18.57868946</v>
      </c>
      <c r="DG109" s="142">
        <f>EXP(-LN(2)/25)*DG108+(1-EXP(-LN(2)/25))/(LN(2)/25)*Calculateur!DB109*Calculateur!DD109*VLOOKUP('Données projet'!$B$13,'Paramètres'!$A$1:$I$89,3,0)*0.475*44/12</f>
        <v>0</v>
      </c>
      <c r="DH109" s="142">
        <f>EXP(-LN(2)/2)*DH108+(1-EXP(-LN(2)/2))/(LN(2)/2)*DB109*DE109*VLOOKUP('Données projet'!$B$13,'Paramètres'!$A$1:$I$89,3,0)*0.475*44/12</f>
        <v>0</v>
      </c>
      <c r="DI109" s="143">
        <f t="shared" si="16"/>
        <v>18.57868946</v>
      </c>
      <c r="DJ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1" t="str">
        <f>VLOOKUP(A109,'Données projet'!$A$165:$I$185,2,0)</f>
        <v>#N/A</v>
      </c>
      <c r="DM109" s="131" t="str">
        <f>VLOOKUP(A109,'Données projet'!$A$165:$I$185,9,0)</f>
        <v>#N/A</v>
      </c>
      <c r="DN109" s="131">
        <f t="array" ref="DN109">INDEX(DM:DM,MIN(IF(ISNUMBER(DM109:DM305),ROW(DM109:DM305),"")))</f>
        <v>2.4</v>
      </c>
      <c r="DO109" s="138">
        <f>IF('Données projet'!$A$166&gt;35,DO108+DN109-DW108,IF(A109&lt;'Données projet'!$A$166,$DL$205^A109,IF(A109='Données projet'!$A$166,'Données projet'!$B$166,DO108+DN109-DW108)))</f>
        <v>275.4</v>
      </c>
      <c r="DP109" s="138">
        <f>DO109*VLOOKUP('Données projet'!$B$14,'Paramètres'!$A$1:$I$89,3,0)*VLOOKUP('Données projet'!$B$14,'Paramètres'!$A$1:$I$89,5,0)</f>
        <v>249.18192</v>
      </c>
      <c r="DQ109" s="130">
        <f t="shared" si="44"/>
        <v>60.41072793</v>
      </c>
      <c r="DR109" s="141">
        <f t="shared" si="17"/>
        <v>539.2071951</v>
      </c>
      <c r="DS109" s="133">
        <f t="shared" si="18"/>
        <v>832.5405285</v>
      </c>
      <c r="DT109" s="133">
        <f>AVERAGE(OFFSET($DS$3,0,0,'Données projet'!$E$14+1,1))-AVERAGE(OFFSET($H$3,0,0,'Données projet'!$E$14+1,1))</f>
        <v>287.9334714</v>
      </c>
      <c r="DU109" s="133">
        <f t="shared" si="45"/>
        <v>156.6796502</v>
      </c>
      <c r="DV109" s="134">
        <f>IF(ISNA(VLOOKUP(A109,'Données projet'!$A$165:$I$185,3,0)),0,VLOOKUP(A109,'Données projet'!$A$165:$I$185,3,0))</f>
        <v>0</v>
      </c>
      <c r="DW109" s="134">
        <f>IF(ISNA(VLOOKUP(A109,'Données projet'!$A$165:$I$185,4,0)),0,VLOOKUP(A109,'Données projet'!$A$165:$I$185,4,0))</f>
        <v>0</v>
      </c>
      <c r="DX109" s="135">
        <f>IF(ISNA(VLOOKUP(A109,'Données projet'!$A$165:$I$185,5,0)),0%,VLOOKUP(A109,'Données projet'!$A$165:$I$185,5,0)*VLOOKUP('Données projet'!$B$14,'Paramètres'!$A$1:$I$89,7,0))</f>
        <v>0</v>
      </c>
      <c r="DY109" s="135">
        <f>IF(ISNA(VLOOKUP(A109,'Données projet'!$A$165:$I$185,6,0)),0%,VLOOKUP(A109,'Données projet'!$A$165:$I$185,6,0)*VLOOKUP('Données projet'!$B$14,'Paramètres'!$A$1:$I$89,7,0))</f>
        <v>0</v>
      </c>
      <c r="DZ109" s="135">
        <f>IF(ISNA(VLOOKUP(A109,'Données projet'!$A$165:$I$185,7,0)),0%,VLOOKUP(A109,'Données projet'!$A$165:$I$185,7,0))</f>
        <v>0</v>
      </c>
      <c r="EA109" s="142">
        <f>EXP(-LN(2)/35)*EA108+(1-EXP(-LN(2)/35))/(LN(2)/35)*DW109*DX109*VLOOKUP('Données projet'!$B$14,'Paramètres'!$A$1:$I$89,3,0)*0.475*44/12</f>
        <v>27.65722865</v>
      </c>
      <c r="EB109" s="142">
        <f>EXP(-LN(2)/25)*EB108+(1-EXP(-LN(2)/25))/(LN(2)/25)*Calculateur!DW109*Calculateur!DY109*VLOOKUP('Données projet'!$B$14,'Paramètres'!$A$1:$I$89,3,0)*0.475*44/12</f>
        <v>0</v>
      </c>
      <c r="EC109" s="142">
        <f>EXP(-LN(2)/2)*EC108+(1-EXP(-LN(2)/2))/(LN(2)/2)*DW109*DZ109*VLOOKUP('Données projet'!$B$14,'Paramètres'!$A$1:$I$89,3,0)*0.475*44/12</f>
        <v>0</v>
      </c>
      <c r="ED109" s="143">
        <f t="shared" si="19"/>
        <v>27.65722865</v>
      </c>
      <c r="EE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1" t="str">
        <f>VLOOKUP(A109,'Données projet'!$A$191:$I$211,2,0)</f>
        <v>#N/A</v>
      </c>
      <c r="EH109" s="131" t="str">
        <f>VLOOKUP(A109,'Données projet'!$A$191:$I$211,9,0)</f>
        <v>#N/A</v>
      </c>
      <c r="EI109" s="131" t="str">
        <f t="array" ref="EI109">INDEX(EH:EH,MIN(IF(ISNUMBER(EH109:EH305),ROW(EH109:EH305),"")))</f>
        <v/>
      </c>
      <c r="EJ109" s="138">
        <f>IF('Données projet'!$A$192&gt;35,EJ108+EI109-ER108,IF(A109&lt;'Données projet'!$A$192,$EG$205^A109,IF(A109='Données projet'!$A$192,'Données projet'!$B$192,EJ108+EI109-ER108)))</f>
        <v>0</v>
      </c>
      <c r="EK109" s="138">
        <f>EJ109*VLOOKUP('Données projet'!$B$15,'Paramètres'!$A$1:$I$89,3,0)*VLOOKUP('Données projet'!$B$15,'Paramètres'!$A$1:$I$89,5,0)</f>
        <v>0</v>
      </c>
      <c r="EL109" s="130" t="str">
        <f t="shared" si="46"/>
        <v>#NUM!</v>
      </c>
      <c r="EM109" s="141" t="str">
        <f t="shared" si="20"/>
        <v>#NUM!</v>
      </c>
      <c r="EN109" s="133" t="str">
        <f t="shared" si="21"/>
        <v>#NUM!</v>
      </c>
      <c r="EO109" s="133">
        <f>AVERAGE(OFFSET($EN$3,0,0,'Données projet'!$E$15+1,1))-AVERAGE(OFFSET($H$3,0,0,'Données projet'!$E$15+1,1))</f>
        <v>130.3193339</v>
      </c>
      <c r="EP109" s="133">
        <f t="shared" si="47"/>
        <v>82.22784365</v>
      </c>
      <c r="EQ109" s="134">
        <f>IF(ISNA(VLOOKUP(A109,'Données projet'!$A$191:$I$211,3,0)),0,VLOOKUP(A109,'Données projet'!$A$191:$I$211,3,0))</f>
        <v>0</v>
      </c>
      <c r="ER109" s="134">
        <f>IF(ISNA(VLOOKUP(A109,'Données projet'!$A$191:$I$211,4,0)),0,VLOOKUP(A109,'Données projet'!$A$191:$I$211,4,0))</f>
        <v>0</v>
      </c>
      <c r="ES109" s="135">
        <f>IF(ISNA(VLOOKUP(A109,'Données projet'!$A$191:$I$211,5,0)),0%,VLOOKUP(A109,'Données projet'!$A$191:$I$211,5,0)*VLOOKUP('Données projet'!$B$15,'Paramètres'!$A$1:$I$89,7,0))</f>
        <v>0</v>
      </c>
      <c r="ET109" s="135">
        <f>IF(ISNA(VLOOKUP(A109,'Données projet'!$A$191:$I$211,6,0)),0%,VLOOKUP(A109,'Données projet'!$A$191:$I$211,6,0)*VLOOKUP('Données projet'!$B$15,'Paramètres'!$A$1:$I$89,7,0))</f>
        <v>0</v>
      </c>
      <c r="EU109" s="135">
        <f>IF(ISNA(VLOOKUP(A109,'Données projet'!$A$191:$I$211,7,0)),0%,VLOOKUP(A109,'Données projet'!$A$191:$I$211,7,0))</f>
        <v>0</v>
      </c>
      <c r="EV109" s="142">
        <f>EXP(-LN(2)/35)*EV108+(1-EXP(-LN(2)/35))/(LN(2)/35)*ER109*ES109*VLOOKUP('Données projet'!$B$15,'Paramètres'!$A$1:$I$89,3,0)*0.475*44/12</f>
        <v>63.49297692</v>
      </c>
      <c r="EW109" s="142">
        <f>EXP(-LN(2)/25)*EW108+(1-EXP(-LN(2)/25))/(LN(2)/25)*Calculateur!ER109*Calculateur!ET109*VLOOKUP('Données projet'!$B$15,'Paramètres'!$A$1:$I$89,3,0)*0.475*44/12</f>
        <v>0</v>
      </c>
      <c r="EX109" s="142">
        <f>EXP(-LN(2)/2)*EX108+(1-EXP(-LN(2)/2))/(LN(2)/2)*ER109*EU109*VLOOKUP('Données projet'!$B$15,'Paramètres'!$A$1:$I$89,3,0)*0.475*44/12</f>
        <v>0</v>
      </c>
      <c r="EY109" s="143">
        <f t="shared" si="22"/>
        <v>63.49297692</v>
      </c>
      <c r="EZ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1" t="str">
        <f>VLOOKUP(A109,'Données projet'!$A$217:$I$237,2,0)</f>
        <v>#N/A</v>
      </c>
      <c r="FC109" s="131" t="str">
        <f>VLOOKUP(A109,'Données projet'!$A$217:$I$237,9,0)</f>
        <v>#N/A</v>
      </c>
      <c r="FD109" s="131" t="str">
        <f t="array" ref="FD109">INDEX(FC:FC,MIN(IF(ISNUMBER(FC109:FC305),ROW(FC109:FC305),"")))</f>
        <v/>
      </c>
      <c r="FE109" s="130">
        <f>IF('Données projet'!$A$218&gt;35,FE108+FD109-FM108,IF(A109&lt;'Données projet'!$A$218,$FB$205^A109,IF(A109='Données projet'!$A$218,'Données projet'!$B$218,FE108+FD109-FM108)))</f>
        <v>0</v>
      </c>
      <c r="FF109" s="138">
        <f>FE109*VLOOKUP('Données projet'!$B$16,'Paramètres'!$A$1:$I$89,3,0)*VLOOKUP('Données projet'!$B$16,'Paramètres'!$A$1:$I$89,5,0)</f>
        <v>0</v>
      </c>
      <c r="FG109" s="130">
        <f t="shared" si="48"/>
        <v>0</v>
      </c>
      <c r="FH109" s="141">
        <f t="shared" si="23"/>
        <v>0</v>
      </c>
      <c r="FI109" s="133">
        <f t="shared" si="24"/>
        <v>293.3333333</v>
      </c>
      <c r="FJ109" s="133">
        <f>AVERAGE(OFFSET($FI$3,0,0,'Données projet'!$E$16+1,1))-AVERAGE(OFFSET($H$3,0,0,'Données projet'!$E$16+1,1))</f>
        <v>305.6252353</v>
      </c>
      <c r="FK109" s="133">
        <f t="shared" si="49"/>
        <v>331.397916</v>
      </c>
      <c r="FL109" s="134">
        <f>IF(ISNA(VLOOKUP(A109,'Données projet'!$A$217:$I$237,3,0)),0,VLOOKUP(A109,'Données projet'!$A$217:$I$237,3,0))</f>
        <v>0</v>
      </c>
      <c r="FM109" s="134">
        <f>IF(ISNA(VLOOKUP(A109,'Données projet'!$A$217:$I$237,4,0)),0,VLOOKUP(A109,'Données projet'!$A$217:$I$237,4,0))</f>
        <v>0</v>
      </c>
      <c r="FN109" s="135">
        <f>IF(ISNA(VLOOKUP(A109,'Données projet'!$A$217:$I$237,5,0)),0%,VLOOKUP(A109,'Données projet'!$A$217:$I$237,5,0)*VLOOKUP('Données projet'!$B$16,'Paramètres'!$A$1:$I$89,7,0))</f>
        <v>0</v>
      </c>
      <c r="FO109" s="135">
        <f>IF(ISNA(VLOOKUP(A109,'Données projet'!$A$217:$I$237,6,0)),0%,VLOOKUP(A109,'Données projet'!$A$217:$I$237,6,0)*VLOOKUP('Données projet'!$B$16,'Paramètres'!$A$1:$I$89,7,0))</f>
        <v>0</v>
      </c>
      <c r="FP109" s="135">
        <f>IF(ISNA(VLOOKUP(A109,'Données projet'!$A$217:$I$237,7,0)),0%,VLOOKUP(A109,'Données projet'!$A$217:$I$237,7,0))</f>
        <v>0</v>
      </c>
      <c r="FQ109" s="142">
        <f>EXP(-LN(2)/35)*FQ108+(1-EXP(-LN(2)/35))/(LN(2)/35)*FM109*FN109*VLOOKUP('Données projet'!$B$16,'Paramètres'!$A$1:$I$89,3,0)*0.475*44/12</f>
        <v>39.53262494</v>
      </c>
      <c r="FR109" s="142">
        <f>EXP(-LN(2)/25)*FR108+(1-EXP(-LN(2)/25))/(LN(2)/25)*Calculateur!FM109*Calculateur!FO109*VLOOKUP('Données projet'!$B$16,'Paramètres'!$A$1:$I$89,3,0)*0.475*44/12</f>
        <v>0</v>
      </c>
      <c r="FS109" s="142">
        <f>EXP(-LN(2)/2)*FS108+(1-EXP(-LN(2)/2))/(LN(2)/2)*FM109*FP109*VLOOKUP('Données projet'!$B$16,'Paramètres'!$A$1:$I$89,3,0)*0.475*44/12</f>
        <v>0</v>
      </c>
      <c r="FT109" s="143">
        <f t="shared" si="25"/>
        <v>39.53262494</v>
      </c>
      <c r="FU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1" t="str">
        <f>VLOOKUP(A109,'Données projet'!$A$243:$I$263,2,0)</f>
        <v>#N/A</v>
      </c>
      <c r="FX109" s="131" t="str">
        <f>VLOOKUP(A109,'Données projet'!$A$243:$I$263,9,0)</f>
        <v>#N/A</v>
      </c>
      <c r="FY109" s="131" t="str">
        <f t="array" ref="FY109">INDEX(FX:FX,MIN(IF(ISNUMBER(FX109:FX305),ROW(FX109:FX305),"")))</f>
        <v/>
      </c>
      <c r="FZ109" s="138">
        <f>IF('Données projet'!$A$244&gt;35,FZ108+FY109-GH108,IF(A109&lt;'Données projet'!$A$244,$FW$205^A109,IF(A109='Données projet'!$A$244,'Données projet'!$B$244,FZ108+FY109-GH108)))</f>
        <v>0</v>
      </c>
      <c r="GA109" s="138">
        <f>FZ109*VLOOKUP('Données projet'!$B$17,'Paramètres'!$A$1:$I$89,3,0)*VLOOKUP('Données projet'!$B$17,'Paramètres'!$A$1:$I$89,5,0)</f>
        <v>0</v>
      </c>
      <c r="GB109" s="130">
        <f t="shared" si="50"/>
        <v>0</v>
      </c>
      <c r="GC109" s="141">
        <f t="shared" si="26"/>
        <v>0</v>
      </c>
      <c r="GD109" s="133">
        <f t="shared" si="27"/>
        <v>293.3333333</v>
      </c>
      <c r="GE109" s="133">
        <f>AVERAGE(OFFSET($GD$3,0,0,'Données projet'!$E$17+1,1))-AVERAGE(OFFSET($H$3,0,0,'Données projet'!$E$17+1,1))</f>
        <v>118.7368745</v>
      </c>
      <c r="GF109" s="133">
        <f t="shared" si="51"/>
        <v>135.1233677</v>
      </c>
      <c r="GG109" s="134">
        <f>IF(ISNA(VLOOKUP(A109,'Données projet'!$A$243:$I$263,3,0)),0,VLOOKUP(A109,'Données projet'!$A$243:$I$263,3,0))</f>
        <v>0</v>
      </c>
      <c r="GH109" s="134">
        <f>IF(ISNA(VLOOKUP(A109,'Données projet'!$A$243:$I$263,4,0)),0,VLOOKUP(A109,'Données projet'!$A$243:$I$263,4,0))</f>
        <v>0</v>
      </c>
      <c r="GI109" s="135">
        <f>IF(ISNA(VLOOKUP(A109,'Données projet'!$A$243:$I$263,5,0)),0%,VLOOKUP(A109,'Données projet'!$A$243:$I$263,5,0)*VLOOKUP('Données projet'!$B$17,'Paramètres'!$A$1:$I$89,7,0))</f>
        <v>0</v>
      </c>
      <c r="GJ109" s="135">
        <f>IF(ISNA(VLOOKUP(A109,'Données projet'!$A$243:$I$263,6,0)),0%,VLOOKUP(A109,'Données projet'!$A$243:$I$263,6,0)*VLOOKUP('Données projet'!$B$17,'Paramètres'!$A$1:$I$89,7,0))</f>
        <v>0</v>
      </c>
      <c r="GK109" s="135">
        <f>IF(ISNA(VLOOKUP(A109,'Données projet'!$A$243:$I$263,7,0)),0%,VLOOKUP(A109,'Données projet'!$A$243:$I$263,7,0))</f>
        <v>0</v>
      </c>
      <c r="GL109" s="142">
        <f>EXP(-LN(2)/35)*GL108+(1-EXP(-LN(2)/35))/(LN(2)/35)*GH109*GI109*VLOOKUP('Données projet'!$B$17,'Paramètres'!$A$1:$I$89,3,0)*0.475*44/12</f>
        <v>41.76609599</v>
      </c>
      <c r="GM109" s="142">
        <f>EXP(-LN(2)/25)*GM108+(1-EXP(-LN(2)/25))/(LN(2)/25)*Calculateur!GH109*Calculateur!GJ109*VLOOKUP('Données projet'!$B$17,'Paramètres'!$A$1:$I$89,3,0)*0.475*44/12</f>
        <v>0</v>
      </c>
      <c r="GN109" s="142">
        <f>EXP(-LN(2)/2)*GN108+(1-EXP(-LN(2)/2))/(LN(2)/2)*GH109*GK109*VLOOKUP('Données projet'!$B$17,'Paramètres'!$A$1:$I$89,3,0)*0.475*44/12</f>
        <v>0</v>
      </c>
      <c r="GO109" s="142">
        <f t="shared" si="28"/>
        <v>41.76609599</v>
      </c>
      <c r="GP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1" t="str">
        <f>VLOOKUP(A109,'Données projet'!$A$269:$I$289,2,0)</f>
        <v>#N/A</v>
      </c>
      <c r="GS109" s="131" t="str">
        <f>VLOOKUP(A109,'Données projet'!$A$269:$I$289,9,0)</f>
        <v>#N/A</v>
      </c>
      <c r="GT109" s="131" t="str">
        <f t="array" ref="GT109">INDEX(GS:GS,MIN(IF(ISNUMBER(GS109:GS305),ROW(GS109:GS305),"")))</f>
        <v/>
      </c>
      <c r="GU109" s="138">
        <f>IF('Données projet'!$A$270&gt;35,GU108+GT109-HC108,IF(A109&lt;'Données projet'!$A$270,$GR$205^A109,IF(A109='Données projet'!$A$270,'Données projet'!$B$270,GU108+GT109-HC108)))</f>
        <v>0</v>
      </c>
      <c r="GV109" s="138">
        <f>GU109*VLOOKUP('Données projet'!$B$18,'Paramètres'!$A$1:$I$89,3,0)*VLOOKUP('Données projet'!$B$18,'Paramètres'!$A$1:$I$89,5,0)</f>
        <v>0</v>
      </c>
      <c r="GW109" s="130" t="str">
        <f t="shared" si="52"/>
        <v>#NUM!</v>
      </c>
      <c r="GX109" s="141" t="str">
        <f t="shared" si="29"/>
        <v>#NUM!</v>
      </c>
      <c r="GY109" s="133" t="str">
        <f t="shared" si="30"/>
        <v>#NUM!</v>
      </c>
      <c r="GZ109" s="133">
        <f>AVERAGE(OFFSET($GY$3,0,0,'Données projet'!$E$18+1,1))-AVERAGE(OFFSET($H$3,0,0,'Données projet'!$E$18+1,1))</f>
        <v>100.5427875</v>
      </c>
      <c r="HA109" s="133">
        <f t="shared" si="53"/>
        <v>92.28663609</v>
      </c>
      <c r="HB109" s="134">
        <f>IF(ISNA(VLOOKUP(A109,'Données projet'!$A$269:$I$289,3,0)),0,VLOOKUP(A109,'Données projet'!$A$269:$I$289,3,0))</f>
        <v>0</v>
      </c>
      <c r="HC109" s="134">
        <f>IF(ISNA(VLOOKUP(A109,'Données projet'!$A$269:$I$289,4,0)),0,VLOOKUP(A109,'Données projet'!$A$269:$I$289,4,0))</f>
        <v>0</v>
      </c>
      <c r="HD109" s="135">
        <f>IF(ISNA(VLOOKUP(A109,'Données projet'!$A$269:$I$289,5,0)),0%,VLOOKUP(A109,'Données projet'!$A$269:$I$289,5,0)*VLOOKUP('Données projet'!$B$18,'Paramètres'!$A$1:$I$89,7,0))</f>
        <v>0</v>
      </c>
      <c r="HE109" s="135">
        <f>IF(ISNA(VLOOKUP(A109,'Données projet'!$A$269:$I$289,6,0)),0%,VLOOKUP(A109,'Données projet'!$A$269:$I$289,6,0)*VLOOKUP('Données projet'!$B$18,'Paramètres'!$A$1:$I$89,7,0))</f>
        <v>0</v>
      </c>
      <c r="HF109" s="135">
        <f>IF(ISNA(VLOOKUP(A109,'Données projet'!$A$269:$I$289,7,0)),0%,VLOOKUP(A109,'Données projet'!$A$269:$I$289,7,0))</f>
        <v>0</v>
      </c>
      <c r="HG109" s="142">
        <f>EXP(-LN(2)/35)*HG108+(1-EXP(-LN(2)/35))/(LN(2)/35)*HC109*HD109*VLOOKUP('Données projet'!$B$18,'Paramètres'!$A$1:$I$89,3,0)*0.475*44/12</f>
        <v>28.44183027</v>
      </c>
      <c r="HH109" s="142">
        <f>EXP(-LN(2)/25)*HH108+(1-EXP(-LN(2)/25))/(LN(2)/25)*Calculateur!HC109*Calculateur!HE109*VLOOKUP('Données projet'!$B$18,'Paramètres'!$A$1:$I$89,3,0)*0.475*44/12</f>
        <v>0</v>
      </c>
      <c r="HI109" s="142">
        <f>EXP(-LN(2)/2)*HI108+(1-EXP(-LN(2)/2))/(LN(2)/2)*HC109*HF109*VLOOKUP('Données projet'!$B$18,'Paramètres'!$A$1:$I$89,3,0)*0.475*44/12</f>
        <v>0</v>
      </c>
      <c r="HJ109" s="143">
        <f t="shared" si="31"/>
        <v>28.44183027</v>
      </c>
    </row>
    <row r="110" ht="15.75" customHeight="1">
      <c r="A110" s="125">
        <f t="shared" si="32"/>
        <v>107</v>
      </c>
      <c r="B110" s="126">
        <f>'Scénario référence'!$B$16*5+'Scénario référence'!$B$17*0+'Scénario référence'!$B$18*5</f>
        <v>0</v>
      </c>
      <c r="C110" s="140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58.422</v>
      </c>
      <c r="D110" s="127">
        <f t="shared" si="33"/>
        <v>16.76868436</v>
      </c>
      <c r="E11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7">
        <f>IF(OR('Scénario référence'!$F$8&gt;0,'Scénario référence'!$F$9&gt;0),('Scénario référence'!$F$8+'Scénario référence'!$F$9)*10,0)</f>
        <v>10</v>
      </c>
      <c r="G110" s="127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</v>
      </c>
      <c r="H110" s="128">
        <f t="shared" si="1"/>
        <v>424.2904419</v>
      </c>
      <c r="I110" s="12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1" t="str">
        <f>VLOOKUP(A110,'Données projet'!$A$35:$I$55,2,0)</f>
        <v>#N/A</v>
      </c>
      <c r="L110" s="131" t="str">
        <f>VLOOKUP(A110,'Données projet'!$A$35:$I$55,9,0)</f>
        <v>#N/A</v>
      </c>
      <c r="M110" s="131" t="str">
        <f t="array" ref="M110">INDEX(L:L,MIN(IF(ISNUMBER(L110:L306),ROW(L110:L306),"")))</f>
        <v/>
      </c>
      <c r="N110" s="130">
        <f>IF('Données projet'!$A$36&gt;35,N109+M110-V109,IF(A110&lt;'Données projet'!$A$36,$K$205^A110,IF(A110='Données projet'!$A$36,'Données projet'!$B$36,N109+M110-V109)))</f>
        <v>0</v>
      </c>
      <c r="O110" s="130">
        <f>N110*VLOOKUP('Données projet'!$B$9,'Paramètres'!$A$1:$I$89,3,0)*VLOOKUP('Données projet'!$B$9,'Paramètres'!$A$1:$I$89,5,0)</f>
        <v>0</v>
      </c>
      <c r="P110" s="130">
        <f t="shared" si="34"/>
        <v>0</v>
      </c>
      <c r="Q110" s="141">
        <f t="shared" si="2"/>
        <v>0</v>
      </c>
      <c r="R110" s="133">
        <f t="shared" si="3"/>
        <v>293.3333333</v>
      </c>
      <c r="S110" s="133">
        <f>AVERAGE(OFFSET($R$3,0,0,'Données projet'!$E$9+1,1))-AVERAGE(OFFSET($H$3,0,0,'Données projet'!$E$9+1,1))</f>
        <v>126.9946492</v>
      </c>
      <c r="T110" s="133">
        <f t="shared" si="35"/>
        <v>140.039049</v>
      </c>
      <c r="U110" s="134">
        <f>IF(ISNA(VLOOKUP(A110,'Données projet'!$A$35:$I$55,3,0)),0,VLOOKUP(A110,'Données projet'!$A$35:$I$55,3,0))</f>
        <v>0</v>
      </c>
      <c r="V110" s="134">
        <f>IF(ISNA(VLOOKUP(A110,'Données projet'!$A$35:$I$55,4,0)),0,VLOOKUP(A110,'Données projet'!$A$35:$I$55,4,0))</f>
        <v>0</v>
      </c>
      <c r="W110" s="135">
        <f>IF(ISNA(VLOOKUP(A110,'Données projet'!$A$35:$I$55,5,0)),0%,VLOOKUP(A110,'Données projet'!$A$35:$I$55,5,0)*VLOOKUP('Données projet'!$B$9,'Paramètres'!$A$1:$I$89,7,0))</f>
        <v>0</v>
      </c>
      <c r="X110" s="135">
        <f>IF(ISNA(VLOOKUP(A110,'Données projet'!$A$35:$I$55,6,0)),0%,VLOOKUP(A110,'Données projet'!$A$35:$I$55,6,0)*VLOOKUP('Données projet'!$B$9,'Paramètres'!$A$1:$I$89,7,0))</f>
        <v>0</v>
      </c>
      <c r="Y110" s="135">
        <f>IF(ISNA(VLOOKUP(A110,'Données projet'!$A$35:$I$55,7,0)),0%,VLOOKUP(A110,'Données projet'!$A$35:$I$55,7,0))</f>
        <v>0</v>
      </c>
      <c r="Z110" s="142">
        <f>EXP(-LN(2)/35)*Z109+(1-EXP(-LN(2)/35))/(LN(2)/35)*V110*W110*VLOOKUP('Données projet'!$B$9,'Paramètres'!$A$1:$I$89,3,0)*0.475*44/12</f>
        <v>41.87975639</v>
      </c>
      <c r="AA110" s="142">
        <f>EXP(-LN(2)/25)*AA109+(1-EXP(-LN(2)/25))/(LN(2)/25)*Calculateur!V110*Calculateur!X110*VLOOKUP('Données projet'!$B$9,'Paramètres'!$A$1:$I$89,3,0)*0.475*44/12</f>
        <v>6.31356207</v>
      </c>
      <c r="AB110" s="142">
        <f>EXP(-LN(2)/2)*AB109+(1-EXP(-LN(2)/2))/(LN(2)/2)*V110*Y110*VLOOKUP('Données projet'!$B$9,'Paramètres'!$A$1:$I$89,3,0)*0.475*44/12</f>
        <v>0.000001600684303</v>
      </c>
      <c r="AC110" s="143">
        <f t="shared" si="4"/>
        <v>48.19332006</v>
      </c>
      <c r="AD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1" t="str">
        <f>VLOOKUP(A110,'Données projet'!$A$61:$I$81,2,0)</f>
        <v>#N/A</v>
      </c>
      <c r="AG110" s="131" t="str">
        <f>VLOOKUP(A110,'Données projet'!$A$61:$I$81,9,0)</f>
        <v>#N/A</v>
      </c>
      <c r="AH110" s="131" t="str">
        <f t="array" ref="AH110">INDEX(AG:AG,MIN(IF(ISNUMBER(AG110:AG306),ROW(AG110:AG306),"")))</f>
        <v/>
      </c>
      <c r="AI110" s="130">
        <f>IF('Données projet'!$A$62&gt;35,AI109+AH110-AQ109,IF(A110&lt;'Données projet'!$A$62,$AF$205^A110,IF(A110='Données projet'!$A$62,'Données projet'!$B$62,AI109+AH110-AQ109)))</f>
        <v>0</v>
      </c>
      <c r="AJ110" s="130">
        <f>AI110*VLOOKUP('Données projet'!$B$10,'Paramètres'!$A$1:$I$89,3,0)*VLOOKUP('Données projet'!$B$10,'Paramètres'!$A$1:$I$89,5,0)</f>
        <v>0</v>
      </c>
      <c r="AK110" s="130" t="str">
        <f t="shared" si="36"/>
        <v>#NUM!</v>
      </c>
      <c r="AL110" s="141" t="str">
        <f t="shared" si="5"/>
        <v>#NUM!</v>
      </c>
      <c r="AM110" s="133" t="str">
        <f t="shared" si="6"/>
        <v>#NUM!</v>
      </c>
      <c r="AN110" s="133">
        <f>AVERAGE(OFFSET($AM$3,0,0,'Données projet'!$E$10+1,1))-AVERAGE(OFFSET($H$3,0,0,'Données projet'!$E$10+1,1))</f>
        <v>196.874484</v>
      </c>
      <c r="AO110" s="133">
        <f t="shared" si="37"/>
        <v>217.5750859</v>
      </c>
      <c r="AP110" s="134">
        <f>IF(ISNA(VLOOKUP(A110,'Données projet'!$A$61:$I$81,3,0)),0,VLOOKUP(A110,'Données projet'!$A$61:$I$81,3,0))</f>
        <v>0</v>
      </c>
      <c r="AQ110" s="134">
        <f>IF(ISNA(VLOOKUP(A110,'Données projet'!$A$61:$I$81,4,0)),0,VLOOKUP(A110,'Données projet'!$A$61:$I$81,4,0))</f>
        <v>0</v>
      </c>
      <c r="AR110" s="135">
        <f>IF(ISNA(VLOOKUP(A110,'Données projet'!$A$61:$I$81,5,0)),0%,VLOOKUP(A110,'Données projet'!$A$61:$I$81,5,0)*VLOOKUP('Données projet'!$B$10,'Paramètres'!$A$1:$I$89,7,0))</f>
        <v>0</v>
      </c>
      <c r="AS110" s="135">
        <f>IF(ISNA(VLOOKUP(A110,'Données projet'!$A$61:$I$81,6,0)),0%,VLOOKUP(A110,'Données projet'!$A$61:$I$81,6,0)*VLOOKUP('Données projet'!$B$10,'Paramètres'!$A$1:$I$89,7,0))</f>
        <v>0</v>
      </c>
      <c r="AT110" s="135">
        <f>IF(ISNA(VLOOKUP(A110,'Données projet'!$A$61:$I$81,7,0)),0%,VLOOKUP(A110,'Données projet'!$A$61:$I$81,7,0))</f>
        <v>0</v>
      </c>
      <c r="AU110" s="142">
        <f>EXP(-LN(2)/35)*AU109+(1-EXP(-LN(2)/35))/(LN(2)/35)*AQ110*AR110*VLOOKUP('Données projet'!$B$10,'Paramètres'!$A$1:$I$89,3,0)*0.475*44/12</f>
        <v>58.21167184</v>
      </c>
      <c r="AV110" s="142">
        <f>EXP(-LN(2)/25)*AV109+(1-EXP(-LN(2)/25))/(LN(2)/25)*Calculateur!AQ110*Calculateur!AS110*VLOOKUP('Données projet'!$B$10,'Paramètres'!$A$1:$I$89,3,0)*0.475*44/12</f>
        <v>9.707110117</v>
      </c>
      <c r="AW110" s="142">
        <f>EXP(-LN(2)/2)*AW109+(1-EXP(-LN(2)/2))/(LN(2)/2)*AQ110*AT110*VLOOKUP('Données projet'!$B$10,'Paramètres'!$A$1:$I$89,3,0)*0.475*44/12</f>
        <v>0.000002231689994</v>
      </c>
      <c r="AX110" s="142">
        <f t="shared" si="7"/>
        <v>67.91878419</v>
      </c>
      <c r="AY110" s="13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1" t="str">
        <f>VLOOKUP(A110,'Données projet'!$A$87:$I$107,2,0)</f>
        <v>#N/A</v>
      </c>
      <c r="BB110" s="131" t="str">
        <f>VLOOKUP(A110,'Données projet'!$A$87:$I$107,9,0)</f>
        <v>#N/A</v>
      </c>
      <c r="BC110" s="131" t="str">
        <f t="array" ref="BC110">INDEX(BB:BB,MIN(IF(ISNUMBER(BB110:BB306),ROW(BB110:BB306),"")))</f>
        <v/>
      </c>
      <c r="BD110" s="130">
        <f>IF('Données projet'!$A$88&gt;35,BD109+BC110-BL109,IF(A110&lt;'Données projet'!$A$88,$BA$205^A110,IF(A110='Données projet'!$A$88,'Données projet'!$B$88,BD109+BC110-BL109)))</f>
        <v>0</v>
      </c>
      <c r="BE110" s="130">
        <f>BD110*VLOOKUP('Données projet'!$B$11,'Paramètres'!$A$1:$I$89,3,0)*VLOOKUP('Données projet'!$B$11,'Paramètres'!$A$1:$I$89,5,0)</f>
        <v>0</v>
      </c>
      <c r="BF110" s="130" t="str">
        <f t="shared" si="38"/>
        <v>#NUM!</v>
      </c>
      <c r="BG110" s="141" t="str">
        <f t="shared" si="8"/>
        <v>#NUM!</v>
      </c>
      <c r="BH110" s="133" t="str">
        <f t="shared" si="9"/>
        <v>#NUM!</v>
      </c>
      <c r="BI110" s="133">
        <f>AVERAGE(OFFSET($BH$3,0,0,'Données projet'!$E$11+1,1))-AVERAGE(OFFSET($H$3,0,0,'Données projet'!$E$11+1,1))</f>
        <v>134.0948534</v>
      </c>
      <c r="BJ110" s="133">
        <f t="shared" si="39"/>
        <v>108.4102536</v>
      </c>
      <c r="BK110" s="134">
        <f>IF(ISNA(VLOOKUP(A110,'Données projet'!$A$87:$I$107,3,0)),0,VLOOKUP(A110,'Données projet'!$A$87:$I$107,3,0))</f>
        <v>0</v>
      </c>
      <c r="BL110" s="134">
        <f>IF(ISNA(VLOOKUP(A110,'Données projet'!$A$87:$I$107,4,0)),0,VLOOKUP(A110,'Données projet'!$A$87:$I$107,4,0))</f>
        <v>0</v>
      </c>
      <c r="BM110" s="135">
        <f>IF(ISNA(VLOOKUP(A110,'Données projet'!$A$87:$I$107,5,0)),0%,VLOOKUP(A110,'Données projet'!$A$87:$I$107,5,0)*VLOOKUP('Données projet'!$B$11,'Paramètres'!$A$1:$I$89,7,0))</f>
        <v>0</v>
      </c>
      <c r="BN110" s="135">
        <f>IF(ISNA(VLOOKUP(A110,'Données projet'!$A$87:$I$107,6,0)),0%,VLOOKUP(A110,'Données projet'!$A$87:$I$107,6,0)*VLOOKUP('Données projet'!$B$11,'Paramètres'!$A$1:$I$89,7,0))</f>
        <v>0</v>
      </c>
      <c r="BO110" s="135">
        <f>IF(ISNA(VLOOKUP(A110,'Données projet'!$A$87:$I$107,7,0)),0%,VLOOKUP(A110,'Données projet'!$A$87:$I$107,7,0))</f>
        <v>0</v>
      </c>
      <c r="BP110" s="142">
        <f>EXP(-LN(2)/35)*BP109+(1-EXP(-LN(2)/35))/(LN(2)/35)*BL110*BM110*VLOOKUP('Données projet'!$B$11,'Paramètres'!$A$1:$I$89,3,0)*0.475*44/12</f>
        <v>80.51761368</v>
      </c>
      <c r="BQ110" s="142">
        <f>EXP(-LN(2)/25)*BQ109+(1-EXP(-LN(2)/25))/(LN(2)/25)*Calculateur!BL110*Calculateur!BN110*VLOOKUP('Données projet'!$B$11,'Paramètres'!$A$1:$I$89,3,0)*0.475*44/12</f>
        <v>6.123253396</v>
      </c>
      <c r="BR110" s="142">
        <f>EXP(-LN(2)/2)*BR109+(1-EXP(-LN(2)/2))/(LN(2)/2)*BL110*BO110*VLOOKUP('Données projet'!$B$11,'Paramètres'!$A$1:$I$89,3,0)*0.475*44/12</f>
        <v>0.00002976754178</v>
      </c>
      <c r="BS110" s="143">
        <f t="shared" si="10"/>
        <v>86.64089684</v>
      </c>
      <c r="BT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1" t="str">
        <f>VLOOKUP(A110,'Données projet'!$A$113:$I$133,2,0)</f>
        <v>#N/A</v>
      </c>
      <c r="BW110" s="131" t="str">
        <f>VLOOKUP(A110,'Données projet'!$A$113:$I$133,9,0)</f>
        <v>#N/A</v>
      </c>
      <c r="BX110" s="131" t="str">
        <f t="array" ref="BX110">INDEX(BW:BW,MIN(IF(ISNUMBER(BW110:BW306),ROW(BW110:BW306),"")))</f>
        <v/>
      </c>
      <c r="BY110" s="130">
        <f>IF('Données projet'!$A$114&gt;35,BY109+BX110-CG109,IF(A110&lt;'Données projet'!$A$114,$BV$205^A110,IF(A110='Données projet'!$A$114,'Données projet'!$B$114,BY109+BX110-CG109)))</f>
        <v>0</v>
      </c>
      <c r="BZ110" s="130">
        <f>BY110*VLOOKUP('Données projet'!$B$12,'Paramètres'!$A$1:$I$89,3,0)*VLOOKUP('Données projet'!$B$12,'Paramètres'!$A$1:$I$89,5,0)</f>
        <v>0</v>
      </c>
      <c r="CA110" s="130" t="str">
        <f t="shared" si="40"/>
        <v>#NUM!</v>
      </c>
      <c r="CB110" s="141" t="str">
        <f t="shared" si="11"/>
        <v>#NUM!</v>
      </c>
      <c r="CC110" s="133" t="str">
        <f t="shared" si="12"/>
        <v>#NUM!</v>
      </c>
      <c r="CD110" s="133">
        <f>AVERAGE(OFFSET($CC$3,0,0,'Données projet'!$E$12+1,1))-AVERAGE(OFFSET($H$3,0,0,'Données projet'!$E$12+1,1))</f>
        <v>258.1672054</v>
      </c>
      <c r="CE110" s="133">
        <f t="shared" si="41"/>
        <v>296.0724261</v>
      </c>
      <c r="CF110" s="134">
        <f>IF(ISNA(VLOOKUP(A110,'Données projet'!$A$113:$I$133,3,0)),0,VLOOKUP(A110,'Données projet'!$A$113:$I$133,3,0))</f>
        <v>0</v>
      </c>
      <c r="CG110" s="134">
        <f>IF(ISNA(VLOOKUP(A110,'Données projet'!$A$113:$I$133,4,0)),0,VLOOKUP(A110,'Données projet'!$A$113:$I$133,4,0))</f>
        <v>0</v>
      </c>
      <c r="CH110" s="135">
        <f>IF(ISNA(VLOOKUP(A110,'Données projet'!$A$113:$I$133,5,0)),0%,VLOOKUP(A110,'Données projet'!$A$113:$I$133,5,0)*VLOOKUP('Données projet'!$B$12,'Paramètres'!$A$1:$I$89,7,0))</f>
        <v>0</v>
      </c>
      <c r="CI110" s="135">
        <f>IF(ISNA(VLOOKUP(A110,'Données projet'!$A$113:$I$133,6,0)),0%,VLOOKUP(A110,'Données projet'!$A$113:$I$133,6,0)*VLOOKUP('Données projet'!$B$12,'Paramètres'!$A$1:$I$89,7,0))</f>
        <v>0</v>
      </c>
      <c r="CJ110" s="135">
        <f>IF(ISNA(VLOOKUP(A110,'Données projet'!$A$113:$I$133,7,0)),0%,VLOOKUP(A110,'Données projet'!$A$113:$I$133,7,0))</f>
        <v>0</v>
      </c>
      <c r="CK110" s="142">
        <f>EXP(-LN(2)/35)*CK109+(1-EXP(-LN(2)/35))/(LN(2)/35)*CG110*CH110*VLOOKUP('Données projet'!$B$12,'Paramètres'!$A$1:$I$89,3,0)*0.475*44/12</f>
        <v>101.798895</v>
      </c>
      <c r="CL110" s="142">
        <f>EXP(-LN(2)/25)*CL109+(1-EXP(-LN(2)/25))/(LN(2)/25)*Calculateur!CG110*Calculateur!CI110*VLOOKUP('Données projet'!$B$12,'Paramètres'!$A$1:$I$89,3,0)*0.475*44/12</f>
        <v>10.74053406</v>
      </c>
      <c r="CM110" s="142">
        <f>EXP(-LN(2)/2)*CM109+(1-EXP(-LN(2)/2))/(LN(2)/2)*CG110*CJ110*VLOOKUP('Données projet'!$B$12,'Paramètres'!$A$1:$I$89,3,0)*0.475*44/12</f>
        <v>0.0000012540714</v>
      </c>
      <c r="CN110" s="143">
        <f t="shared" si="13"/>
        <v>112.5394303</v>
      </c>
      <c r="CO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1" t="str">
        <f>VLOOKUP(A110,'Données projet'!$A$139:$I$159,2,0)</f>
        <v>#N/A</v>
      </c>
      <c r="CR110" s="131" t="str">
        <f>VLOOKUP(A110,'Données projet'!$A$139:$I$159,9,0)</f>
        <v>#N/A</v>
      </c>
      <c r="CS110" s="130">
        <f t="array" ref="CS110">INDEX(CR:CR,MIN(IF(ISNUMBER(CR110:CR306),ROW(CR110:CR306),"")))</f>
        <v>1.7</v>
      </c>
      <c r="CT110" s="138">
        <f>IF('Données projet'!$A$140&gt;35,CT109+CS110-DB109,IF(A110&lt;'Données projet'!$A$140,$CQ$205^A110,IF(A110='Données projet'!$A$140,'Données projet'!$B$140,CT109+CS110-DB109)))</f>
        <v>213.9</v>
      </c>
      <c r="CU110" s="138">
        <f>CT110*VLOOKUP('Données projet'!$B$13,'Paramètres'!$A$1:$I$89,3,0)*VLOOKUP('Données projet'!$B$13,'Paramètres'!$A$1:$I$89,5,0)</f>
        <v>216.8946</v>
      </c>
      <c r="CV110" s="130">
        <f t="shared" si="42"/>
        <v>53.43938496</v>
      </c>
      <c r="CW110" s="141">
        <f t="shared" si="14"/>
        <v>470.8316905</v>
      </c>
      <c r="CX110" s="133">
        <f t="shared" si="15"/>
        <v>764.1650238</v>
      </c>
      <c r="CY110" s="133">
        <f>AVERAGE(OFFSET($CX$3,0,0,'Données projet'!$E$13+1,1))-AVERAGE(OFFSET($H$3,0,0,'Données projet'!$E$13+1,1))</f>
        <v>223.783507</v>
      </c>
      <c r="CZ110" s="133">
        <f t="shared" si="43"/>
        <v>84.92349117</v>
      </c>
      <c r="DA110" s="134">
        <f>IF(ISNA(VLOOKUP(A110,'Données projet'!$A$139:$I$159,3,0)),0,VLOOKUP(A110,'Données projet'!$A$139:$I$159,3,0))</f>
        <v>0</v>
      </c>
      <c r="DB110" s="134">
        <f>IF(ISNA(VLOOKUP(A110,'Données projet'!$A$139:$I$159,4,0)),0,VLOOKUP(A110,'Données projet'!$A$139:$I$159,4,0))</f>
        <v>0</v>
      </c>
      <c r="DC110" s="135">
        <f>IF(ISNA(VLOOKUP(A110,'Données projet'!$A$139:$I$159,5,0)),0%,VLOOKUP(A110,'Données projet'!$A$139:$I$159,5,0)*VLOOKUP('Données projet'!$B$13,'Paramètres'!$A$1:$I$89,7,0))</f>
        <v>0</v>
      </c>
      <c r="DD110" s="135">
        <f>IF(ISNA(VLOOKUP(A110,'Données projet'!$A$139:$I$159,6,0)),0%,VLOOKUP(A110,'Données projet'!$A$139:$I$159,6,0)*VLOOKUP('Données projet'!$B$13,'Paramètres'!$A$1:$I$89,7,0))</f>
        <v>0</v>
      </c>
      <c r="DE110" s="135">
        <f>IF(ISNA(VLOOKUP(A110,'Données projet'!$A$139:$I$159,7,0)),0%,VLOOKUP(A110,'Données projet'!$A$139:$I$159,7,0))</f>
        <v>0</v>
      </c>
      <c r="DF110" s="142">
        <f>EXP(-LN(2)/35)*DF109+(1-EXP(-LN(2)/35))/(LN(2)/35)*DB110*DC110*VLOOKUP('Données projet'!$B$13,'Paramètres'!$A$1:$I$89,3,0)*0.475*44/12</f>
        <v>18.21437269</v>
      </c>
      <c r="DG110" s="142">
        <f>EXP(-LN(2)/25)*DG109+(1-EXP(-LN(2)/25))/(LN(2)/25)*Calculateur!DB110*Calculateur!DD110*VLOOKUP('Données projet'!$B$13,'Paramètres'!$A$1:$I$89,3,0)*0.475*44/12</f>
        <v>0</v>
      </c>
      <c r="DH110" s="142">
        <f>EXP(-LN(2)/2)*DH109+(1-EXP(-LN(2)/2))/(LN(2)/2)*DB110*DE110*VLOOKUP('Données projet'!$B$13,'Paramètres'!$A$1:$I$89,3,0)*0.475*44/12</f>
        <v>0</v>
      </c>
      <c r="DI110" s="143">
        <f t="shared" si="16"/>
        <v>18.21437269</v>
      </c>
      <c r="DJ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1" t="str">
        <f>VLOOKUP(A110,'Données projet'!$A$165:$I$185,2,0)</f>
        <v>#N/A</v>
      </c>
      <c r="DM110" s="131" t="str">
        <f>VLOOKUP(A110,'Données projet'!$A$165:$I$185,9,0)</f>
        <v>#N/A</v>
      </c>
      <c r="DN110" s="131">
        <f t="array" ref="DN110">INDEX(DM:DM,MIN(IF(ISNUMBER(DM110:DM306),ROW(DM110:DM306),"")))</f>
        <v>2.4</v>
      </c>
      <c r="DO110" s="138">
        <f>IF('Données projet'!$A$166&gt;35,DO109+DN110-DW109,IF(A110&lt;'Données projet'!$A$166,$DL$205^A110,IF(A110='Données projet'!$A$166,'Données projet'!$B$166,DO109+DN110-DW109)))</f>
        <v>277.8</v>
      </c>
      <c r="DP110" s="138">
        <f>DO110*VLOOKUP('Données projet'!$B$14,'Paramètres'!$A$1:$I$89,3,0)*VLOOKUP('Données projet'!$B$14,'Paramètres'!$A$1:$I$89,5,0)</f>
        <v>251.35344</v>
      </c>
      <c r="DQ110" s="130">
        <f t="shared" si="44"/>
        <v>60.87566853</v>
      </c>
      <c r="DR110" s="141">
        <f t="shared" si="17"/>
        <v>543.7990307</v>
      </c>
      <c r="DS110" s="133">
        <f t="shared" si="18"/>
        <v>837.132364</v>
      </c>
      <c r="DT110" s="133">
        <f>AVERAGE(OFFSET($DS$3,0,0,'Données projet'!$E$14+1,1))-AVERAGE(OFFSET($H$3,0,0,'Données projet'!$E$14+1,1))</f>
        <v>287.9334714</v>
      </c>
      <c r="DU110" s="133">
        <f t="shared" si="45"/>
        <v>156.6796502</v>
      </c>
      <c r="DV110" s="134">
        <f>IF(ISNA(VLOOKUP(A110,'Données projet'!$A$165:$I$185,3,0)),0,VLOOKUP(A110,'Données projet'!$A$165:$I$185,3,0))</f>
        <v>0</v>
      </c>
      <c r="DW110" s="134">
        <f>IF(ISNA(VLOOKUP(A110,'Données projet'!$A$165:$I$185,4,0)),0,VLOOKUP(A110,'Données projet'!$A$165:$I$185,4,0))</f>
        <v>0</v>
      </c>
      <c r="DX110" s="135">
        <f>IF(ISNA(VLOOKUP(A110,'Données projet'!$A$165:$I$185,5,0)),0%,VLOOKUP(A110,'Données projet'!$A$165:$I$185,5,0)*VLOOKUP('Données projet'!$B$14,'Paramètres'!$A$1:$I$89,7,0))</f>
        <v>0</v>
      </c>
      <c r="DY110" s="135">
        <f>IF(ISNA(VLOOKUP(A110,'Données projet'!$A$165:$I$185,6,0)),0%,VLOOKUP(A110,'Données projet'!$A$165:$I$185,6,0)*VLOOKUP('Données projet'!$B$14,'Paramètres'!$A$1:$I$89,7,0))</f>
        <v>0</v>
      </c>
      <c r="DZ110" s="135">
        <f>IF(ISNA(VLOOKUP(A110,'Données projet'!$A$165:$I$185,7,0)),0%,VLOOKUP(A110,'Données projet'!$A$165:$I$185,7,0))</f>
        <v>0</v>
      </c>
      <c r="EA110" s="142">
        <f>EXP(-LN(2)/35)*EA109+(1-EXP(-LN(2)/35))/(LN(2)/35)*DW110*DX110*VLOOKUP('Données projet'!$B$14,'Paramètres'!$A$1:$I$89,3,0)*0.475*44/12</f>
        <v>27.11488727</v>
      </c>
      <c r="EB110" s="142">
        <f>EXP(-LN(2)/25)*EB109+(1-EXP(-LN(2)/25))/(LN(2)/25)*Calculateur!DW110*Calculateur!DY110*VLOOKUP('Données projet'!$B$14,'Paramètres'!$A$1:$I$89,3,0)*0.475*44/12</f>
        <v>0</v>
      </c>
      <c r="EC110" s="142">
        <f>EXP(-LN(2)/2)*EC109+(1-EXP(-LN(2)/2))/(LN(2)/2)*DW110*DZ110*VLOOKUP('Données projet'!$B$14,'Paramètres'!$A$1:$I$89,3,0)*0.475*44/12</f>
        <v>0</v>
      </c>
      <c r="ED110" s="143">
        <f t="shared" si="19"/>
        <v>27.11488727</v>
      </c>
      <c r="EE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1" t="str">
        <f>VLOOKUP(A110,'Données projet'!$A$191:$I$211,2,0)</f>
        <v>#N/A</v>
      </c>
      <c r="EH110" s="131" t="str">
        <f>VLOOKUP(A110,'Données projet'!$A$191:$I$211,9,0)</f>
        <v>#N/A</v>
      </c>
      <c r="EI110" s="131" t="str">
        <f t="array" ref="EI110">INDEX(EH:EH,MIN(IF(ISNUMBER(EH110:EH306),ROW(EH110:EH306),"")))</f>
        <v/>
      </c>
      <c r="EJ110" s="138">
        <f>IF('Données projet'!$A$192&gt;35,EJ109+EI110-ER109,IF(A110&lt;'Données projet'!$A$192,$EG$205^A110,IF(A110='Données projet'!$A$192,'Données projet'!$B$192,EJ109+EI110-ER109)))</f>
        <v>0</v>
      </c>
      <c r="EK110" s="138">
        <f>EJ110*VLOOKUP('Données projet'!$B$15,'Paramètres'!$A$1:$I$89,3,0)*VLOOKUP('Données projet'!$B$15,'Paramètres'!$A$1:$I$89,5,0)</f>
        <v>0</v>
      </c>
      <c r="EL110" s="130" t="str">
        <f t="shared" si="46"/>
        <v>#NUM!</v>
      </c>
      <c r="EM110" s="141" t="str">
        <f t="shared" si="20"/>
        <v>#NUM!</v>
      </c>
      <c r="EN110" s="133" t="str">
        <f t="shared" si="21"/>
        <v>#NUM!</v>
      </c>
      <c r="EO110" s="133">
        <f>AVERAGE(OFFSET($EN$3,0,0,'Données projet'!$E$15+1,1))-AVERAGE(OFFSET($H$3,0,0,'Données projet'!$E$15+1,1))</f>
        <v>130.3193339</v>
      </c>
      <c r="EP110" s="133">
        <f t="shared" si="47"/>
        <v>82.22784365</v>
      </c>
      <c r="EQ110" s="134">
        <f>IF(ISNA(VLOOKUP(A110,'Données projet'!$A$191:$I$211,3,0)),0,VLOOKUP(A110,'Données projet'!$A$191:$I$211,3,0))</f>
        <v>0</v>
      </c>
      <c r="ER110" s="134">
        <f>IF(ISNA(VLOOKUP(A110,'Données projet'!$A$191:$I$211,4,0)),0,VLOOKUP(A110,'Données projet'!$A$191:$I$211,4,0))</f>
        <v>0</v>
      </c>
      <c r="ES110" s="135">
        <f>IF(ISNA(VLOOKUP(A110,'Données projet'!$A$191:$I$211,5,0)),0%,VLOOKUP(A110,'Données projet'!$A$191:$I$211,5,0)*VLOOKUP('Données projet'!$B$15,'Paramètres'!$A$1:$I$89,7,0))</f>
        <v>0</v>
      </c>
      <c r="ET110" s="135">
        <f>IF(ISNA(VLOOKUP(A110,'Données projet'!$A$191:$I$211,6,0)),0%,VLOOKUP(A110,'Données projet'!$A$191:$I$211,6,0)*VLOOKUP('Données projet'!$B$15,'Paramètres'!$A$1:$I$89,7,0))</f>
        <v>0</v>
      </c>
      <c r="EU110" s="135">
        <f>IF(ISNA(VLOOKUP(A110,'Données projet'!$A$191:$I$211,7,0)),0%,VLOOKUP(A110,'Données projet'!$A$191:$I$211,7,0))</f>
        <v>0</v>
      </c>
      <c r="EV110" s="142">
        <f>EXP(-LN(2)/35)*EV109+(1-EXP(-LN(2)/35))/(LN(2)/35)*ER110*ES110*VLOOKUP('Données projet'!$B$15,'Paramètres'!$A$1:$I$89,3,0)*0.475*44/12</f>
        <v>62.24791837</v>
      </c>
      <c r="EW110" s="142">
        <f>EXP(-LN(2)/25)*EW109+(1-EXP(-LN(2)/25))/(LN(2)/25)*Calculateur!ER110*Calculateur!ET110*VLOOKUP('Données projet'!$B$15,'Paramètres'!$A$1:$I$89,3,0)*0.475*44/12</f>
        <v>0</v>
      </c>
      <c r="EX110" s="142">
        <f>EXP(-LN(2)/2)*EX109+(1-EXP(-LN(2)/2))/(LN(2)/2)*ER110*EU110*VLOOKUP('Données projet'!$B$15,'Paramètres'!$A$1:$I$89,3,0)*0.475*44/12</f>
        <v>0</v>
      </c>
      <c r="EY110" s="143">
        <f t="shared" si="22"/>
        <v>62.24791837</v>
      </c>
      <c r="EZ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1" t="str">
        <f>VLOOKUP(A110,'Données projet'!$A$217:$I$237,2,0)</f>
        <v>#N/A</v>
      </c>
      <c r="FC110" s="131" t="str">
        <f>VLOOKUP(A110,'Données projet'!$A$217:$I$237,9,0)</f>
        <v>#N/A</v>
      </c>
      <c r="FD110" s="131" t="str">
        <f t="array" ref="FD110">INDEX(FC:FC,MIN(IF(ISNUMBER(FC110:FC306),ROW(FC110:FC306),"")))</f>
        <v/>
      </c>
      <c r="FE110" s="130">
        <f>IF('Données projet'!$A$218&gt;35,FE109+FD110-FM109,IF(A110&lt;'Données projet'!$A$218,$FB$205^A110,IF(A110='Données projet'!$A$218,'Données projet'!$B$218,FE109+FD110-FM109)))</f>
        <v>0</v>
      </c>
      <c r="FF110" s="138">
        <f>FE110*VLOOKUP('Données projet'!$B$16,'Paramètres'!$A$1:$I$89,3,0)*VLOOKUP('Données projet'!$B$16,'Paramètres'!$A$1:$I$89,5,0)</f>
        <v>0</v>
      </c>
      <c r="FG110" s="130">
        <f t="shared" si="48"/>
        <v>0</v>
      </c>
      <c r="FH110" s="141">
        <f t="shared" si="23"/>
        <v>0</v>
      </c>
      <c r="FI110" s="133">
        <f t="shared" si="24"/>
        <v>293.3333333</v>
      </c>
      <c r="FJ110" s="133">
        <f>AVERAGE(OFFSET($FI$3,0,0,'Données projet'!$E$16+1,1))-AVERAGE(OFFSET($H$3,0,0,'Données projet'!$E$16+1,1))</f>
        <v>305.6252353</v>
      </c>
      <c r="FK110" s="133">
        <f t="shared" si="49"/>
        <v>331.397916</v>
      </c>
      <c r="FL110" s="134">
        <f>IF(ISNA(VLOOKUP(A110,'Données projet'!$A$217:$I$237,3,0)),0,VLOOKUP(A110,'Données projet'!$A$217:$I$237,3,0))</f>
        <v>0</v>
      </c>
      <c r="FM110" s="134">
        <f>IF(ISNA(VLOOKUP(A110,'Données projet'!$A$217:$I$237,4,0)),0,VLOOKUP(A110,'Données projet'!$A$217:$I$237,4,0))</f>
        <v>0</v>
      </c>
      <c r="FN110" s="135">
        <f>IF(ISNA(VLOOKUP(A110,'Données projet'!$A$217:$I$237,5,0)),0%,VLOOKUP(A110,'Données projet'!$A$217:$I$237,5,0)*VLOOKUP('Données projet'!$B$16,'Paramètres'!$A$1:$I$89,7,0))</f>
        <v>0</v>
      </c>
      <c r="FO110" s="135">
        <f>IF(ISNA(VLOOKUP(A110,'Données projet'!$A$217:$I$237,6,0)),0%,VLOOKUP(A110,'Données projet'!$A$217:$I$237,6,0)*VLOOKUP('Données projet'!$B$16,'Paramètres'!$A$1:$I$89,7,0))</f>
        <v>0</v>
      </c>
      <c r="FP110" s="135">
        <f>IF(ISNA(VLOOKUP(A110,'Données projet'!$A$217:$I$237,7,0)),0%,VLOOKUP(A110,'Données projet'!$A$217:$I$237,7,0))</f>
        <v>0</v>
      </c>
      <c r="FQ110" s="142">
        <f>EXP(-LN(2)/35)*FQ109+(1-EXP(-LN(2)/35))/(LN(2)/35)*FM110*FN110*VLOOKUP('Données projet'!$B$16,'Paramètres'!$A$1:$I$89,3,0)*0.475*44/12</f>
        <v>38.75741428</v>
      </c>
      <c r="FR110" s="142">
        <f>EXP(-LN(2)/25)*FR109+(1-EXP(-LN(2)/25))/(LN(2)/25)*Calculateur!FM110*Calculateur!FO110*VLOOKUP('Données projet'!$B$16,'Paramètres'!$A$1:$I$89,3,0)*0.475*44/12</f>
        <v>0</v>
      </c>
      <c r="FS110" s="142">
        <f>EXP(-LN(2)/2)*FS109+(1-EXP(-LN(2)/2))/(LN(2)/2)*FM110*FP110*VLOOKUP('Données projet'!$B$16,'Paramètres'!$A$1:$I$89,3,0)*0.475*44/12</f>
        <v>0</v>
      </c>
      <c r="FT110" s="143">
        <f t="shared" si="25"/>
        <v>38.75741428</v>
      </c>
      <c r="FU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1" t="str">
        <f>VLOOKUP(A110,'Données projet'!$A$243:$I$263,2,0)</f>
        <v>#N/A</v>
      </c>
      <c r="FX110" s="131" t="str">
        <f>VLOOKUP(A110,'Données projet'!$A$243:$I$263,9,0)</f>
        <v>#N/A</v>
      </c>
      <c r="FY110" s="131" t="str">
        <f t="array" ref="FY110">INDEX(FX:FX,MIN(IF(ISNUMBER(FX110:FX306),ROW(FX110:FX306),"")))</f>
        <v/>
      </c>
      <c r="FZ110" s="138">
        <f>IF('Données projet'!$A$244&gt;35,FZ109+FY110-GH109,IF(A110&lt;'Données projet'!$A$244,$FW$205^A110,IF(A110='Données projet'!$A$244,'Données projet'!$B$244,FZ109+FY110-GH109)))</f>
        <v>0</v>
      </c>
      <c r="GA110" s="138">
        <f>FZ110*VLOOKUP('Données projet'!$B$17,'Paramètres'!$A$1:$I$89,3,0)*VLOOKUP('Données projet'!$B$17,'Paramètres'!$A$1:$I$89,5,0)</f>
        <v>0</v>
      </c>
      <c r="GB110" s="130">
        <f t="shared" si="50"/>
        <v>0</v>
      </c>
      <c r="GC110" s="141">
        <f t="shared" si="26"/>
        <v>0</v>
      </c>
      <c r="GD110" s="133">
        <f t="shared" si="27"/>
        <v>293.3333333</v>
      </c>
      <c r="GE110" s="133">
        <f>AVERAGE(OFFSET($GD$3,0,0,'Données projet'!$E$17+1,1))-AVERAGE(OFFSET($H$3,0,0,'Données projet'!$E$17+1,1))</f>
        <v>118.7368745</v>
      </c>
      <c r="GF110" s="133">
        <f t="shared" si="51"/>
        <v>135.1233677</v>
      </c>
      <c r="GG110" s="134">
        <f>IF(ISNA(VLOOKUP(A110,'Données projet'!$A$243:$I$263,3,0)),0,VLOOKUP(A110,'Données projet'!$A$243:$I$263,3,0))</f>
        <v>0</v>
      </c>
      <c r="GH110" s="134">
        <f>IF(ISNA(VLOOKUP(A110,'Données projet'!$A$243:$I$263,4,0)),0,VLOOKUP(A110,'Données projet'!$A$243:$I$263,4,0))</f>
        <v>0</v>
      </c>
      <c r="GI110" s="135">
        <f>IF(ISNA(VLOOKUP(A110,'Données projet'!$A$243:$I$263,5,0)),0%,VLOOKUP(A110,'Données projet'!$A$243:$I$263,5,0)*VLOOKUP('Données projet'!$B$17,'Paramètres'!$A$1:$I$89,7,0))</f>
        <v>0</v>
      </c>
      <c r="GJ110" s="135">
        <f>IF(ISNA(VLOOKUP(A110,'Données projet'!$A$243:$I$263,6,0)),0%,VLOOKUP(A110,'Données projet'!$A$243:$I$263,6,0)*VLOOKUP('Données projet'!$B$17,'Paramètres'!$A$1:$I$89,7,0))</f>
        <v>0</v>
      </c>
      <c r="GK110" s="135">
        <f>IF(ISNA(VLOOKUP(A110,'Données projet'!$A$243:$I$263,7,0)),0%,VLOOKUP(A110,'Données projet'!$A$243:$I$263,7,0))</f>
        <v>0</v>
      </c>
      <c r="GL110" s="142">
        <f>EXP(-LN(2)/35)*GL109+(1-EXP(-LN(2)/35))/(LN(2)/35)*GH110*GI110*VLOOKUP('Données projet'!$B$17,'Paramètres'!$A$1:$I$89,3,0)*0.475*44/12</f>
        <v>40.94708832</v>
      </c>
      <c r="GM110" s="142">
        <f>EXP(-LN(2)/25)*GM109+(1-EXP(-LN(2)/25))/(LN(2)/25)*Calculateur!GH110*Calculateur!GJ110*VLOOKUP('Données projet'!$B$17,'Paramètres'!$A$1:$I$89,3,0)*0.475*44/12</f>
        <v>0</v>
      </c>
      <c r="GN110" s="142">
        <f>EXP(-LN(2)/2)*GN109+(1-EXP(-LN(2)/2))/(LN(2)/2)*GH110*GK110*VLOOKUP('Données projet'!$B$17,'Paramètres'!$A$1:$I$89,3,0)*0.475*44/12</f>
        <v>0</v>
      </c>
      <c r="GO110" s="142">
        <f t="shared" si="28"/>
        <v>40.94708832</v>
      </c>
      <c r="GP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1" t="str">
        <f>VLOOKUP(A110,'Données projet'!$A$269:$I$289,2,0)</f>
        <v>#N/A</v>
      </c>
      <c r="GS110" s="131" t="str">
        <f>VLOOKUP(A110,'Données projet'!$A$269:$I$289,9,0)</f>
        <v>#N/A</v>
      </c>
      <c r="GT110" s="131" t="str">
        <f t="array" ref="GT110">INDEX(GS:GS,MIN(IF(ISNUMBER(GS110:GS306),ROW(GS110:GS306),"")))</f>
        <v/>
      </c>
      <c r="GU110" s="138">
        <f>IF('Données projet'!$A$270&gt;35,GU109+GT110-HC109,IF(A110&lt;'Données projet'!$A$270,$GR$205^A110,IF(A110='Données projet'!$A$270,'Données projet'!$B$270,GU109+GT110-HC109)))</f>
        <v>0</v>
      </c>
      <c r="GV110" s="138">
        <f>GU110*VLOOKUP('Données projet'!$B$18,'Paramètres'!$A$1:$I$89,3,0)*VLOOKUP('Données projet'!$B$18,'Paramètres'!$A$1:$I$89,5,0)</f>
        <v>0</v>
      </c>
      <c r="GW110" s="130" t="str">
        <f t="shared" si="52"/>
        <v>#NUM!</v>
      </c>
      <c r="GX110" s="141" t="str">
        <f t="shared" si="29"/>
        <v>#NUM!</v>
      </c>
      <c r="GY110" s="133" t="str">
        <f t="shared" si="30"/>
        <v>#NUM!</v>
      </c>
      <c r="GZ110" s="133">
        <f>AVERAGE(OFFSET($GY$3,0,0,'Données projet'!$E$18+1,1))-AVERAGE(OFFSET($H$3,0,0,'Données projet'!$E$18+1,1))</f>
        <v>100.5427875</v>
      </c>
      <c r="HA110" s="133">
        <f t="shared" si="53"/>
        <v>92.28663609</v>
      </c>
      <c r="HB110" s="134">
        <f>IF(ISNA(VLOOKUP(A110,'Données projet'!$A$269:$I$289,3,0)),0,VLOOKUP(A110,'Données projet'!$A$269:$I$289,3,0))</f>
        <v>0</v>
      </c>
      <c r="HC110" s="134">
        <f>IF(ISNA(VLOOKUP(A110,'Données projet'!$A$269:$I$289,4,0)),0,VLOOKUP(A110,'Données projet'!$A$269:$I$289,4,0))</f>
        <v>0</v>
      </c>
      <c r="HD110" s="135">
        <f>IF(ISNA(VLOOKUP(A110,'Données projet'!$A$269:$I$289,5,0)),0%,VLOOKUP(A110,'Données projet'!$A$269:$I$289,5,0)*VLOOKUP('Données projet'!$B$18,'Paramètres'!$A$1:$I$89,7,0))</f>
        <v>0</v>
      </c>
      <c r="HE110" s="135">
        <f>IF(ISNA(VLOOKUP(A110,'Données projet'!$A$269:$I$289,6,0)),0%,VLOOKUP(A110,'Données projet'!$A$269:$I$289,6,0)*VLOOKUP('Données projet'!$B$18,'Paramètres'!$A$1:$I$89,7,0))</f>
        <v>0</v>
      </c>
      <c r="HF110" s="135">
        <f>IF(ISNA(VLOOKUP(A110,'Données projet'!$A$269:$I$289,7,0)),0%,VLOOKUP(A110,'Données projet'!$A$269:$I$289,7,0))</f>
        <v>0</v>
      </c>
      <c r="HG110" s="142">
        <f>EXP(-LN(2)/35)*HG109+(1-EXP(-LN(2)/35))/(LN(2)/35)*HC110*HD110*VLOOKUP('Données projet'!$B$18,'Paramètres'!$A$1:$I$89,3,0)*0.475*44/12</f>
        <v>27.88410332</v>
      </c>
      <c r="HH110" s="142">
        <f>EXP(-LN(2)/25)*HH109+(1-EXP(-LN(2)/25))/(LN(2)/25)*Calculateur!HC110*Calculateur!HE110*VLOOKUP('Données projet'!$B$18,'Paramètres'!$A$1:$I$89,3,0)*0.475*44/12</f>
        <v>0</v>
      </c>
      <c r="HI110" s="142">
        <f>EXP(-LN(2)/2)*HI109+(1-EXP(-LN(2)/2))/(LN(2)/2)*HC110*HF110*VLOOKUP('Données projet'!$B$18,'Paramètres'!$A$1:$I$89,3,0)*0.475*44/12</f>
        <v>0</v>
      </c>
      <c r="HJ110" s="143">
        <f t="shared" si="31"/>
        <v>27.88410332</v>
      </c>
    </row>
    <row r="111" ht="15.75" customHeight="1">
      <c r="A111" s="125">
        <f t="shared" si="32"/>
        <v>108</v>
      </c>
      <c r="B111" s="126">
        <f>'Scénario référence'!$B$16*5+'Scénario référence'!$B$17*0+'Scénario référence'!$B$18*5</f>
        <v>0</v>
      </c>
      <c r="C111" s="140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111" s="127">
        <f t="shared" si="33"/>
        <v>16.90708415</v>
      </c>
      <c r="E11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7">
        <f>IF(OR('Scénario référence'!$F$8&gt;0,'Scénario référence'!$F$9&gt;0),('Scénario référence'!$F$8+'Scénario référence'!$F$9)*10,0)</f>
        <v>10</v>
      </c>
      <c r="G111" s="127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585.702404</v>
      </c>
      <c r="H111" s="128">
        <f t="shared" si="1"/>
        <v>425.4824382</v>
      </c>
      <c r="I111" s="12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1" t="str">
        <f>VLOOKUP(A111,'Données projet'!$A$35:$I$55,2,0)</f>
        <v>#N/A</v>
      </c>
      <c r="L111" s="131" t="str">
        <f>VLOOKUP(A111,'Données projet'!$A$35:$I$55,9,0)</f>
        <v>#N/A</v>
      </c>
      <c r="M111" s="131" t="str">
        <f t="array" ref="M111">INDEX(L:L,MIN(IF(ISNUMBER(L111:L307),ROW(L111:L307),"")))</f>
        <v/>
      </c>
      <c r="N111" s="130">
        <f>IF('Données projet'!$A$36&gt;35,N110+M111-V110,IF(A111&lt;'Données projet'!$A$36,$K$205^A111,IF(A111='Données projet'!$A$36,'Données projet'!$B$36,N110+M111-V110)))</f>
        <v>0</v>
      </c>
      <c r="O111" s="130">
        <f>N111*VLOOKUP('Données projet'!$B$9,'Paramètres'!$A$1:$I$89,3,0)*VLOOKUP('Données projet'!$B$9,'Paramètres'!$A$1:$I$89,5,0)</f>
        <v>0</v>
      </c>
      <c r="P111" s="130">
        <f t="shared" si="34"/>
        <v>0</v>
      </c>
      <c r="Q111" s="141">
        <f t="shared" si="2"/>
        <v>0</v>
      </c>
      <c r="R111" s="133">
        <f t="shared" si="3"/>
        <v>293.3333333</v>
      </c>
      <c r="S111" s="133">
        <f>AVERAGE(OFFSET($R$3,0,0,'Données projet'!$E$9+1,1))-AVERAGE(OFFSET($H$3,0,0,'Données projet'!$E$9+1,1))</f>
        <v>126.9946492</v>
      </c>
      <c r="T111" s="133">
        <f t="shared" si="35"/>
        <v>140.039049</v>
      </c>
      <c r="U111" s="134">
        <f>IF(ISNA(VLOOKUP(A111,'Données projet'!$A$35:$I$55,3,0)),0,VLOOKUP(A111,'Données projet'!$A$35:$I$55,3,0))</f>
        <v>0</v>
      </c>
      <c r="V111" s="134">
        <f>IF(ISNA(VLOOKUP(A111,'Données projet'!$A$35:$I$55,4,0)),0,VLOOKUP(A111,'Données projet'!$A$35:$I$55,4,0))</f>
        <v>0</v>
      </c>
      <c r="W111" s="135">
        <f>IF(ISNA(VLOOKUP(A111,'Données projet'!$A$35:$I$55,5,0)),0%,VLOOKUP(A111,'Données projet'!$A$35:$I$55,5,0)*VLOOKUP('Données projet'!$B$9,'Paramètres'!$A$1:$I$89,7,0))</f>
        <v>0</v>
      </c>
      <c r="X111" s="135">
        <f>IF(ISNA(VLOOKUP(A111,'Données projet'!$A$35:$I$55,6,0)),0%,VLOOKUP(A111,'Données projet'!$A$35:$I$55,6,0)*VLOOKUP('Données projet'!$B$9,'Paramètres'!$A$1:$I$89,7,0))</f>
        <v>0</v>
      </c>
      <c r="Y111" s="135">
        <f>IF(ISNA(VLOOKUP(A111,'Données projet'!$A$35:$I$55,7,0)),0%,VLOOKUP(A111,'Données projet'!$A$35:$I$55,7,0))</f>
        <v>0</v>
      </c>
      <c r="Z111" s="142">
        <f>EXP(-LN(2)/35)*Z110+(1-EXP(-LN(2)/35))/(LN(2)/35)*V111*W111*VLOOKUP('Données projet'!$B$9,'Paramètres'!$A$1:$I$89,3,0)*0.475*44/12</f>
        <v>41.05851991</v>
      </c>
      <c r="AA111" s="142">
        <f>EXP(-LN(2)/25)*AA110+(1-EXP(-LN(2)/25))/(LN(2)/25)*Calculateur!V111*Calculateur!X111*VLOOKUP('Données projet'!$B$9,'Paramètres'!$A$1:$I$89,3,0)*0.475*44/12</f>
        <v>6.140917383</v>
      </c>
      <c r="AB111" s="142">
        <f>EXP(-LN(2)/2)*AB110+(1-EXP(-LN(2)/2))/(LN(2)/2)*V111*Y111*VLOOKUP('Données projet'!$B$9,'Paramètres'!$A$1:$I$89,3,0)*0.475*44/12</f>
        <v>0.000001131854726</v>
      </c>
      <c r="AC111" s="143">
        <f t="shared" si="4"/>
        <v>47.19943843</v>
      </c>
      <c r="AD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1" t="str">
        <f>VLOOKUP(A111,'Données projet'!$A$61:$I$81,2,0)</f>
        <v>#N/A</v>
      </c>
      <c r="AG111" s="131" t="str">
        <f>VLOOKUP(A111,'Données projet'!$A$61:$I$81,9,0)</f>
        <v>#N/A</v>
      </c>
      <c r="AH111" s="131" t="str">
        <f t="array" ref="AH111">INDEX(AG:AG,MIN(IF(ISNUMBER(AG111:AG307),ROW(AG111:AG307),"")))</f>
        <v/>
      </c>
      <c r="AI111" s="130">
        <f>IF('Données projet'!$A$62&gt;35,AI110+AH111-AQ110,IF(A111&lt;'Données projet'!$A$62,$AF$205^A111,IF(A111='Données projet'!$A$62,'Données projet'!$B$62,AI110+AH111-AQ110)))</f>
        <v>0</v>
      </c>
      <c r="AJ111" s="130">
        <f>AI111*VLOOKUP('Données projet'!$B$10,'Paramètres'!$A$1:$I$89,3,0)*VLOOKUP('Données projet'!$B$10,'Paramètres'!$A$1:$I$89,5,0)</f>
        <v>0</v>
      </c>
      <c r="AK111" s="130" t="str">
        <f t="shared" si="36"/>
        <v>#NUM!</v>
      </c>
      <c r="AL111" s="141" t="str">
        <f t="shared" si="5"/>
        <v>#NUM!</v>
      </c>
      <c r="AM111" s="133" t="str">
        <f t="shared" si="6"/>
        <v>#NUM!</v>
      </c>
      <c r="AN111" s="133">
        <f>AVERAGE(OFFSET($AM$3,0,0,'Données projet'!$E$10+1,1))-AVERAGE(OFFSET($H$3,0,0,'Données projet'!$E$10+1,1))</f>
        <v>196.874484</v>
      </c>
      <c r="AO111" s="133">
        <f t="shared" si="37"/>
        <v>217.5750859</v>
      </c>
      <c r="AP111" s="134">
        <f>IF(ISNA(VLOOKUP(A111,'Données projet'!$A$61:$I$81,3,0)),0,VLOOKUP(A111,'Données projet'!$A$61:$I$81,3,0))</f>
        <v>0</v>
      </c>
      <c r="AQ111" s="134">
        <f>IF(ISNA(VLOOKUP(A111,'Données projet'!$A$61:$I$81,4,0)),0,VLOOKUP(A111,'Données projet'!$A$61:$I$81,4,0))</f>
        <v>0</v>
      </c>
      <c r="AR111" s="135">
        <f>IF(ISNA(VLOOKUP(A111,'Données projet'!$A$61:$I$81,5,0)),0%,VLOOKUP(A111,'Données projet'!$A$61:$I$81,5,0)*VLOOKUP('Données projet'!$B$10,'Paramètres'!$A$1:$I$89,7,0))</f>
        <v>0</v>
      </c>
      <c r="AS111" s="135">
        <f>IF(ISNA(VLOOKUP(A111,'Données projet'!$A$61:$I$81,6,0)),0%,VLOOKUP(A111,'Données projet'!$A$61:$I$81,6,0)*VLOOKUP('Données projet'!$B$10,'Paramètres'!$A$1:$I$89,7,0))</f>
        <v>0</v>
      </c>
      <c r="AT111" s="135">
        <f>IF(ISNA(VLOOKUP(A111,'Données projet'!$A$61:$I$81,7,0)),0%,VLOOKUP(A111,'Données projet'!$A$61:$I$81,7,0))</f>
        <v>0</v>
      </c>
      <c r="AU111" s="142">
        <f>EXP(-LN(2)/35)*AU110+(1-EXP(-LN(2)/35))/(LN(2)/35)*AQ111*AR111*VLOOKUP('Données projet'!$B$10,'Paramètres'!$A$1:$I$89,3,0)*0.475*44/12</f>
        <v>57.07017646</v>
      </c>
      <c r="AV111" s="142">
        <f>EXP(-LN(2)/25)*AV110+(1-EXP(-LN(2)/25))/(LN(2)/25)*Calculateur!AQ111*Calculateur!AS111*VLOOKUP('Données projet'!$B$10,'Paramètres'!$A$1:$I$89,3,0)*0.475*44/12</f>
        <v>9.441668681</v>
      </c>
      <c r="AW111" s="142">
        <f>EXP(-LN(2)/2)*AW110+(1-EXP(-LN(2)/2))/(LN(2)/2)*AQ111*AT111*VLOOKUP('Données projet'!$B$10,'Paramètres'!$A$1:$I$89,3,0)*0.475*44/12</f>
        <v>0.000001578043128</v>
      </c>
      <c r="AX111" s="142">
        <f t="shared" si="7"/>
        <v>66.51184672</v>
      </c>
      <c r="AY111" s="13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1" t="str">
        <f>VLOOKUP(A111,'Données projet'!$A$87:$I$107,2,0)</f>
        <v>#N/A</v>
      </c>
      <c r="BB111" s="131" t="str">
        <f>VLOOKUP(A111,'Données projet'!$A$87:$I$107,9,0)</f>
        <v>#N/A</v>
      </c>
      <c r="BC111" s="131" t="str">
        <f t="array" ref="BC111">INDEX(BB:BB,MIN(IF(ISNUMBER(BB111:BB307),ROW(BB111:BB307),"")))</f>
        <v/>
      </c>
      <c r="BD111" s="130">
        <f>IF('Données projet'!$A$88&gt;35,BD110+BC111-BL110,IF(A111&lt;'Données projet'!$A$88,$BA$205^A111,IF(A111='Données projet'!$A$88,'Données projet'!$B$88,BD110+BC111-BL110)))</f>
        <v>0</v>
      </c>
      <c r="BE111" s="130">
        <f>BD111*VLOOKUP('Données projet'!$B$11,'Paramètres'!$A$1:$I$89,3,0)*VLOOKUP('Données projet'!$B$11,'Paramètres'!$A$1:$I$89,5,0)</f>
        <v>0</v>
      </c>
      <c r="BF111" s="130" t="str">
        <f t="shared" si="38"/>
        <v>#NUM!</v>
      </c>
      <c r="BG111" s="141" t="str">
        <f t="shared" si="8"/>
        <v>#NUM!</v>
      </c>
      <c r="BH111" s="133" t="str">
        <f t="shared" si="9"/>
        <v>#NUM!</v>
      </c>
      <c r="BI111" s="133">
        <f>AVERAGE(OFFSET($BH$3,0,0,'Données projet'!$E$11+1,1))-AVERAGE(OFFSET($H$3,0,0,'Données projet'!$E$11+1,1))</f>
        <v>134.0948534</v>
      </c>
      <c r="BJ111" s="133">
        <f t="shared" si="39"/>
        <v>108.4102536</v>
      </c>
      <c r="BK111" s="134">
        <f>IF(ISNA(VLOOKUP(A111,'Données projet'!$A$87:$I$107,3,0)),0,VLOOKUP(A111,'Données projet'!$A$87:$I$107,3,0))</f>
        <v>0</v>
      </c>
      <c r="BL111" s="134">
        <f>IF(ISNA(VLOOKUP(A111,'Données projet'!$A$87:$I$107,4,0)),0,VLOOKUP(A111,'Données projet'!$A$87:$I$107,4,0))</f>
        <v>0</v>
      </c>
      <c r="BM111" s="135">
        <f>IF(ISNA(VLOOKUP(A111,'Données projet'!$A$87:$I$107,5,0)),0%,VLOOKUP(A111,'Données projet'!$A$87:$I$107,5,0)*VLOOKUP('Données projet'!$B$11,'Paramètres'!$A$1:$I$89,7,0))</f>
        <v>0</v>
      </c>
      <c r="BN111" s="135">
        <f>IF(ISNA(VLOOKUP(A111,'Données projet'!$A$87:$I$107,6,0)),0%,VLOOKUP(A111,'Données projet'!$A$87:$I$107,6,0)*VLOOKUP('Données projet'!$B$11,'Paramètres'!$A$1:$I$89,7,0))</f>
        <v>0</v>
      </c>
      <c r="BO111" s="135">
        <f>IF(ISNA(VLOOKUP(A111,'Données projet'!$A$87:$I$107,7,0)),0%,VLOOKUP(A111,'Données projet'!$A$87:$I$107,7,0))</f>
        <v>0</v>
      </c>
      <c r="BP111" s="142">
        <f>EXP(-LN(2)/35)*BP110+(1-EXP(-LN(2)/35))/(LN(2)/35)*BL111*BM111*VLOOKUP('Données projet'!$B$11,'Paramètres'!$A$1:$I$89,3,0)*0.475*44/12</f>
        <v>78.93871238</v>
      </c>
      <c r="BQ111" s="142">
        <f>EXP(-LN(2)/25)*BQ110+(1-EXP(-LN(2)/25))/(LN(2)/25)*Calculateur!BL111*Calculateur!BN111*VLOOKUP('Données projet'!$B$11,'Paramètres'!$A$1:$I$89,3,0)*0.475*44/12</f>
        <v>5.95581271</v>
      </c>
      <c r="BR111" s="142">
        <f>EXP(-LN(2)/2)*BR110+(1-EXP(-LN(2)/2))/(LN(2)/2)*BL111*BO111*VLOOKUP('Données projet'!$B$11,'Paramètres'!$A$1:$I$89,3,0)*0.475*44/12</f>
        <v>0.00002104883065</v>
      </c>
      <c r="BS111" s="143">
        <f t="shared" si="10"/>
        <v>84.89454614</v>
      </c>
      <c r="BT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1" t="str">
        <f>VLOOKUP(A111,'Données projet'!$A$113:$I$133,2,0)</f>
        <v>#N/A</v>
      </c>
      <c r="BW111" s="131" t="str">
        <f>VLOOKUP(A111,'Données projet'!$A$113:$I$133,9,0)</f>
        <v>#N/A</v>
      </c>
      <c r="BX111" s="131" t="str">
        <f t="array" ref="BX111">INDEX(BW:BW,MIN(IF(ISNUMBER(BW111:BW307),ROW(BW111:BW307),"")))</f>
        <v/>
      </c>
      <c r="BY111" s="130">
        <f>IF('Données projet'!$A$114&gt;35,BY110+BX111-CG110,IF(A111&lt;'Données projet'!$A$114,$BV$205^A111,IF(A111='Données projet'!$A$114,'Données projet'!$B$114,BY110+BX111-CG110)))</f>
        <v>0</v>
      </c>
      <c r="BZ111" s="130">
        <f>BY111*VLOOKUP('Données projet'!$B$12,'Paramètres'!$A$1:$I$89,3,0)*VLOOKUP('Données projet'!$B$12,'Paramètres'!$A$1:$I$89,5,0)</f>
        <v>0</v>
      </c>
      <c r="CA111" s="130" t="str">
        <f t="shared" si="40"/>
        <v>#NUM!</v>
      </c>
      <c r="CB111" s="141" t="str">
        <f t="shared" si="11"/>
        <v>#NUM!</v>
      </c>
      <c r="CC111" s="133" t="str">
        <f t="shared" si="12"/>
        <v>#NUM!</v>
      </c>
      <c r="CD111" s="133">
        <f>AVERAGE(OFFSET($CC$3,0,0,'Données projet'!$E$12+1,1))-AVERAGE(OFFSET($H$3,0,0,'Données projet'!$E$12+1,1))</f>
        <v>258.1672054</v>
      </c>
      <c r="CE111" s="133">
        <f t="shared" si="41"/>
        <v>296.0724261</v>
      </c>
      <c r="CF111" s="134">
        <f>IF(ISNA(VLOOKUP(A111,'Données projet'!$A$113:$I$133,3,0)),0,VLOOKUP(A111,'Données projet'!$A$113:$I$133,3,0))</f>
        <v>0</v>
      </c>
      <c r="CG111" s="134">
        <f>IF(ISNA(VLOOKUP(A111,'Données projet'!$A$113:$I$133,4,0)),0,VLOOKUP(A111,'Données projet'!$A$113:$I$133,4,0))</f>
        <v>0</v>
      </c>
      <c r="CH111" s="135">
        <f>IF(ISNA(VLOOKUP(A111,'Données projet'!$A$113:$I$133,5,0)),0%,VLOOKUP(A111,'Données projet'!$A$113:$I$133,5,0)*VLOOKUP('Données projet'!$B$12,'Paramètres'!$A$1:$I$89,7,0))</f>
        <v>0</v>
      </c>
      <c r="CI111" s="135">
        <f>IF(ISNA(VLOOKUP(A111,'Données projet'!$A$113:$I$133,6,0)),0%,VLOOKUP(A111,'Données projet'!$A$113:$I$133,6,0)*VLOOKUP('Données projet'!$B$12,'Paramètres'!$A$1:$I$89,7,0))</f>
        <v>0</v>
      </c>
      <c r="CJ111" s="135">
        <f>IF(ISNA(VLOOKUP(A111,'Données projet'!$A$113:$I$133,7,0)),0%,VLOOKUP(A111,'Données projet'!$A$113:$I$133,7,0))</f>
        <v>0</v>
      </c>
      <c r="CK111" s="142">
        <f>EXP(-LN(2)/35)*CK110+(1-EXP(-LN(2)/35))/(LN(2)/35)*CG111*CH111*VLOOKUP('Données projet'!$B$12,'Paramètres'!$A$1:$I$89,3,0)*0.475*44/12</f>
        <v>99.80268079</v>
      </c>
      <c r="CL111" s="142">
        <f>EXP(-LN(2)/25)*CL110+(1-EXP(-LN(2)/25))/(LN(2)/25)*Calculateur!CG111*Calculateur!CI111*VLOOKUP('Données projet'!$B$12,'Paramètres'!$A$1:$I$89,3,0)*0.475*44/12</f>
        <v>10.44683359</v>
      </c>
      <c r="CM111" s="142">
        <f>EXP(-LN(2)/2)*CM110+(1-EXP(-LN(2)/2))/(LN(2)/2)*CG111*CJ111*VLOOKUP('Données projet'!$B$12,'Paramètres'!$A$1:$I$89,3,0)*0.475*44/12</f>
        <v>0.0000008867623913</v>
      </c>
      <c r="CN111" s="143">
        <f t="shared" si="13"/>
        <v>110.2495153</v>
      </c>
      <c r="CO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1" t="str">
        <f>VLOOKUP(A111,'Données projet'!$A$139:$I$159,2,0)</f>
        <v>#N/A</v>
      </c>
      <c r="CR111" s="131" t="str">
        <f>VLOOKUP(A111,'Données projet'!$A$139:$I$159,9,0)</f>
        <v>#N/A</v>
      </c>
      <c r="CS111" s="130">
        <f t="array" ref="CS111">INDEX(CR:CR,MIN(IF(ISNUMBER(CR111:CR307),ROW(CR111:CR307),"")))</f>
        <v>1.7</v>
      </c>
      <c r="CT111" s="138">
        <f>IF('Données projet'!$A$140&gt;35,CT110+CS111-DB110,IF(A111&lt;'Données projet'!$A$140,$CQ$205^A111,IF(A111='Données projet'!$A$140,'Données projet'!$B$140,CT110+CS111-DB110)))</f>
        <v>215.6</v>
      </c>
      <c r="CU111" s="138">
        <f>CT111*VLOOKUP('Données projet'!$B$13,'Paramètres'!$A$1:$I$89,3,0)*VLOOKUP('Données projet'!$B$13,'Paramètres'!$A$1:$I$89,5,0)</f>
        <v>218.6184</v>
      </c>
      <c r="CV111" s="130">
        <f t="shared" si="42"/>
        <v>53.81449178</v>
      </c>
      <c r="CW111" s="141">
        <f t="shared" si="14"/>
        <v>474.4872865</v>
      </c>
      <c r="CX111" s="133">
        <f t="shared" si="15"/>
        <v>767.8206198</v>
      </c>
      <c r="CY111" s="133">
        <f>AVERAGE(OFFSET($CX$3,0,0,'Données projet'!$E$13+1,1))-AVERAGE(OFFSET($H$3,0,0,'Données projet'!$E$13+1,1))</f>
        <v>223.783507</v>
      </c>
      <c r="CZ111" s="133">
        <f t="shared" si="43"/>
        <v>84.92349117</v>
      </c>
      <c r="DA111" s="134">
        <f>IF(ISNA(VLOOKUP(A111,'Données projet'!$A$139:$I$159,3,0)),0,VLOOKUP(A111,'Données projet'!$A$139:$I$159,3,0))</f>
        <v>0</v>
      </c>
      <c r="DB111" s="134">
        <f>IF(ISNA(VLOOKUP(A111,'Données projet'!$A$139:$I$159,4,0)),0,VLOOKUP(A111,'Données projet'!$A$139:$I$159,4,0))</f>
        <v>0</v>
      </c>
      <c r="DC111" s="135">
        <f>IF(ISNA(VLOOKUP(A111,'Données projet'!$A$139:$I$159,5,0)),0%,VLOOKUP(A111,'Données projet'!$A$139:$I$159,5,0)*VLOOKUP('Données projet'!$B$13,'Paramètres'!$A$1:$I$89,7,0))</f>
        <v>0</v>
      </c>
      <c r="DD111" s="135">
        <f>IF(ISNA(VLOOKUP(A111,'Données projet'!$A$139:$I$159,6,0)),0%,VLOOKUP(A111,'Données projet'!$A$139:$I$159,6,0)*VLOOKUP('Données projet'!$B$13,'Paramètres'!$A$1:$I$89,7,0))</f>
        <v>0</v>
      </c>
      <c r="DE111" s="135">
        <f>IF(ISNA(VLOOKUP(A111,'Données projet'!$A$139:$I$159,7,0)),0%,VLOOKUP(A111,'Données projet'!$A$139:$I$159,7,0))</f>
        <v>0</v>
      </c>
      <c r="DF111" s="142">
        <f>EXP(-LN(2)/35)*DF110+(1-EXP(-LN(2)/35))/(LN(2)/35)*DB111*DC111*VLOOKUP('Données projet'!$B$13,'Paramètres'!$A$1:$I$89,3,0)*0.475*44/12</f>
        <v>17.85719995</v>
      </c>
      <c r="DG111" s="142">
        <f>EXP(-LN(2)/25)*DG110+(1-EXP(-LN(2)/25))/(LN(2)/25)*Calculateur!DB111*Calculateur!DD111*VLOOKUP('Données projet'!$B$13,'Paramètres'!$A$1:$I$89,3,0)*0.475*44/12</f>
        <v>0</v>
      </c>
      <c r="DH111" s="142">
        <f>EXP(-LN(2)/2)*DH110+(1-EXP(-LN(2)/2))/(LN(2)/2)*DB111*DE111*VLOOKUP('Données projet'!$B$13,'Paramètres'!$A$1:$I$89,3,0)*0.475*44/12</f>
        <v>0</v>
      </c>
      <c r="DI111" s="143">
        <f t="shared" si="16"/>
        <v>17.85719995</v>
      </c>
      <c r="DJ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1" t="str">
        <f>VLOOKUP(A111,'Données projet'!$A$165:$I$185,2,0)</f>
        <v>#N/A</v>
      </c>
      <c r="DM111" s="131" t="str">
        <f>VLOOKUP(A111,'Données projet'!$A$165:$I$185,9,0)</f>
        <v>#N/A</v>
      </c>
      <c r="DN111" s="131">
        <f t="array" ref="DN111">INDEX(DM:DM,MIN(IF(ISNUMBER(DM111:DM307),ROW(DM111:DM307),"")))</f>
        <v>2.4</v>
      </c>
      <c r="DO111" s="138">
        <f>IF('Données projet'!$A$166&gt;35,DO110+DN111-DW110,IF(A111&lt;'Données projet'!$A$166,$DL$205^A111,IF(A111='Données projet'!$A$166,'Données projet'!$B$166,DO110+DN111-DW110)))</f>
        <v>280.2</v>
      </c>
      <c r="DP111" s="138">
        <f>DO111*VLOOKUP('Données projet'!$B$14,'Paramètres'!$A$1:$I$89,3,0)*VLOOKUP('Données projet'!$B$14,'Paramètres'!$A$1:$I$89,5,0)</f>
        <v>253.52496</v>
      </c>
      <c r="DQ111" s="130">
        <f t="shared" si="44"/>
        <v>61.3401418</v>
      </c>
      <c r="DR111" s="141">
        <f t="shared" si="17"/>
        <v>548.3900523</v>
      </c>
      <c r="DS111" s="133">
        <f t="shared" si="18"/>
        <v>841.7233856</v>
      </c>
      <c r="DT111" s="133">
        <f>AVERAGE(OFFSET($DS$3,0,0,'Données projet'!$E$14+1,1))-AVERAGE(OFFSET($H$3,0,0,'Données projet'!$E$14+1,1))</f>
        <v>287.9334714</v>
      </c>
      <c r="DU111" s="133">
        <f t="shared" si="45"/>
        <v>156.6796502</v>
      </c>
      <c r="DV111" s="134">
        <f>IF(ISNA(VLOOKUP(A111,'Données projet'!$A$165:$I$185,3,0)),0,VLOOKUP(A111,'Données projet'!$A$165:$I$185,3,0))</f>
        <v>0</v>
      </c>
      <c r="DW111" s="134">
        <f>IF(ISNA(VLOOKUP(A111,'Données projet'!$A$165:$I$185,4,0)),0,VLOOKUP(A111,'Données projet'!$A$165:$I$185,4,0))</f>
        <v>0</v>
      </c>
      <c r="DX111" s="135">
        <f>IF(ISNA(VLOOKUP(A111,'Données projet'!$A$165:$I$185,5,0)),0%,VLOOKUP(A111,'Données projet'!$A$165:$I$185,5,0)*VLOOKUP('Données projet'!$B$14,'Paramètres'!$A$1:$I$89,7,0))</f>
        <v>0</v>
      </c>
      <c r="DY111" s="135">
        <f>IF(ISNA(VLOOKUP(A111,'Données projet'!$A$165:$I$185,6,0)),0%,VLOOKUP(A111,'Données projet'!$A$165:$I$185,6,0)*VLOOKUP('Données projet'!$B$14,'Paramètres'!$A$1:$I$89,7,0))</f>
        <v>0</v>
      </c>
      <c r="DZ111" s="135">
        <f>IF(ISNA(VLOOKUP(A111,'Données projet'!$A$165:$I$185,7,0)),0%,VLOOKUP(A111,'Données projet'!$A$165:$I$185,7,0))</f>
        <v>0</v>
      </c>
      <c r="EA111" s="142">
        <f>EXP(-LN(2)/35)*EA110+(1-EXP(-LN(2)/35))/(LN(2)/35)*DW111*DX111*VLOOKUP('Données projet'!$B$14,'Paramètres'!$A$1:$I$89,3,0)*0.475*44/12</f>
        <v>26.58318087</v>
      </c>
      <c r="EB111" s="142">
        <f>EXP(-LN(2)/25)*EB110+(1-EXP(-LN(2)/25))/(LN(2)/25)*Calculateur!DW111*Calculateur!DY111*VLOOKUP('Données projet'!$B$14,'Paramètres'!$A$1:$I$89,3,0)*0.475*44/12</f>
        <v>0</v>
      </c>
      <c r="EC111" s="142">
        <f>EXP(-LN(2)/2)*EC110+(1-EXP(-LN(2)/2))/(LN(2)/2)*DW111*DZ111*VLOOKUP('Données projet'!$B$14,'Paramètres'!$A$1:$I$89,3,0)*0.475*44/12</f>
        <v>0</v>
      </c>
      <c r="ED111" s="143">
        <f t="shared" si="19"/>
        <v>26.58318087</v>
      </c>
      <c r="EE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1" t="str">
        <f>VLOOKUP(A111,'Données projet'!$A$191:$I$211,2,0)</f>
        <v>#N/A</v>
      </c>
      <c r="EH111" s="131" t="str">
        <f>VLOOKUP(A111,'Données projet'!$A$191:$I$211,9,0)</f>
        <v>#N/A</v>
      </c>
      <c r="EI111" s="131" t="str">
        <f t="array" ref="EI111">INDEX(EH:EH,MIN(IF(ISNUMBER(EH111:EH307),ROW(EH111:EH307),"")))</f>
        <v/>
      </c>
      <c r="EJ111" s="138">
        <f>IF('Données projet'!$A$192&gt;35,EJ110+EI111-ER110,IF(A111&lt;'Données projet'!$A$192,$EG$205^A111,IF(A111='Données projet'!$A$192,'Données projet'!$B$192,EJ110+EI111-ER110)))</f>
        <v>0</v>
      </c>
      <c r="EK111" s="138">
        <f>EJ111*VLOOKUP('Données projet'!$B$15,'Paramètres'!$A$1:$I$89,3,0)*VLOOKUP('Données projet'!$B$15,'Paramètres'!$A$1:$I$89,5,0)</f>
        <v>0</v>
      </c>
      <c r="EL111" s="130" t="str">
        <f t="shared" si="46"/>
        <v>#NUM!</v>
      </c>
      <c r="EM111" s="141" t="str">
        <f t="shared" si="20"/>
        <v>#NUM!</v>
      </c>
      <c r="EN111" s="133" t="str">
        <f t="shared" si="21"/>
        <v>#NUM!</v>
      </c>
      <c r="EO111" s="133">
        <f>AVERAGE(OFFSET($EN$3,0,0,'Données projet'!$E$15+1,1))-AVERAGE(OFFSET($H$3,0,0,'Données projet'!$E$15+1,1))</f>
        <v>130.3193339</v>
      </c>
      <c r="EP111" s="133">
        <f t="shared" si="47"/>
        <v>82.22784365</v>
      </c>
      <c r="EQ111" s="134">
        <f>IF(ISNA(VLOOKUP(A111,'Données projet'!$A$191:$I$211,3,0)),0,VLOOKUP(A111,'Données projet'!$A$191:$I$211,3,0))</f>
        <v>0</v>
      </c>
      <c r="ER111" s="134">
        <f>IF(ISNA(VLOOKUP(A111,'Données projet'!$A$191:$I$211,4,0)),0,VLOOKUP(A111,'Données projet'!$A$191:$I$211,4,0))</f>
        <v>0</v>
      </c>
      <c r="ES111" s="135">
        <f>IF(ISNA(VLOOKUP(A111,'Données projet'!$A$191:$I$211,5,0)),0%,VLOOKUP(A111,'Données projet'!$A$191:$I$211,5,0)*VLOOKUP('Données projet'!$B$15,'Paramètres'!$A$1:$I$89,7,0))</f>
        <v>0</v>
      </c>
      <c r="ET111" s="135">
        <f>IF(ISNA(VLOOKUP(A111,'Données projet'!$A$191:$I$211,6,0)),0%,VLOOKUP(A111,'Données projet'!$A$191:$I$211,6,0)*VLOOKUP('Données projet'!$B$15,'Paramètres'!$A$1:$I$89,7,0))</f>
        <v>0</v>
      </c>
      <c r="EU111" s="135">
        <f>IF(ISNA(VLOOKUP(A111,'Données projet'!$A$191:$I$211,7,0)),0%,VLOOKUP(A111,'Données projet'!$A$191:$I$211,7,0))</f>
        <v>0</v>
      </c>
      <c r="EV111" s="142">
        <f>EXP(-LN(2)/35)*EV110+(1-EXP(-LN(2)/35))/(LN(2)/35)*ER111*ES111*VLOOKUP('Données projet'!$B$15,'Paramètres'!$A$1:$I$89,3,0)*0.475*44/12</f>
        <v>61.02727466</v>
      </c>
      <c r="EW111" s="142">
        <f>EXP(-LN(2)/25)*EW110+(1-EXP(-LN(2)/25))/(LN(2)/25)*Calculateur!ER111*Calculateur!ET111*VLOOKUP('Données projet'!$B$15,'Paramètres'!$A$1:$I$89,3,0)*0.475*44/12</f>
        <v>0</v>
      </c>
      <c r="EX111" s="142">
        <f>EXP(-LN(2)/2)*EX110+(1-EXP(-LN(2)/2))/(LN(2)/2)*ER111*EU111*VLOOKUP('Données projet'!$B$15,'Paramètres'!$A$1:$I$89,3,0)*0.475*44/12</f>
        <v>0</v>
      </c>
      <c r="EY111" s="143">
        <f t="shared" si="22"/>
        <v>61.02727466</v>
      </c>
      <c r="EZ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1" t="str">
        <f>VLOOKUP(A111,'Données projet'!$A$217:$I$237,2,0)</f>
        <v>#N/A</v>
      </c>
      <c r="FC111" s="131" t="str">
        <f>VLOOKUP(A111,'Données projet'!$A$217:$I$237,9,0)</f>
        <v>#N/A</v>
      </c>
      <c r="FD111" s="131" t="str">
        <f t="array" ref="FD111">INDEX(FC:FC,MIN(IF(ISNUMBER(FC111:FC307),ROW(FC111:FC307),"")))</f>
        <v/>
      </c>
      <c r="FE111" s="130">
        <f>IF('Données projet'!$A$218&gt;35,FE110+FD111-FM110,IF(A111&lt;'Données projet'!$A$218,$FB$205^A111,IF(A111='Données projet'!$A$218,'Données projet'!$B$218,FE110+FD111-FM110)))</f>
        <v>0</v>
      </c>
      <c r="FF111" s="138">
        <f>FE111*VLOOKUP('Données projet'!$B$16,'Paramètres'!$A$1:$I$89,3,0)*VLOOKUP('Données projet'!$B$16,'Paramètres'!$A$1:$I$89,5,0)</f>
        <v>0</v>
      </c>
      <c r="FG111" s="130">
        <f t="shared" si="48"/>
        <v>0</v>
      </c>
      <c r="FH111" s="141">
        <f t="shared" si="23"/>
        <v>0</v>
      </c>
      <c r="FI111" s="133">
        <f t="shared" si="24"/>
        <v>293.3333333</v>
      </c>
      <c r="FJ111" s="133">
        <f>AVERAGE(OFFSET($FI$3,0,0,'Données projet'!$E$16+1,1))-AVERAGE(OFFSET($H$3,0,0,'Données projet'!$E$16+1,1))</f>
        <v>305.6252353</v>
      </c>
      <c r="FK111" s="133">
        <f t="shared" si="49"/>
        <v>331.397916</v>
      </c>
      <c r="FL111" s="134">
        <f>IF(ISNA(VLOOKUP(A111,'Données projet'!$A$217:$I$237,3,0)),0,VLOOKUP(A111,'Données projet'!$A$217:$I$237,3,0))</f>
        <v>0</v>
      </c>
      <c r="FM111" s="134">
        <f>IF(ISNA(VLOOKUP(A111,'Données projet'!$A$217:$I$237,4,0)),0,VLOOKUP(A111,'Données projet'!$A$217:$I$237,4,0))</f>
        <v>0</v>
      </c>
      <c r="FN111" s="135">
        <f>IF(ISNA(VLOOKUP(A111,'Données projet'!$A$217:$I$237,5,0)),0%,VLOOKUP(A111,'Données projet'!$A$217:$I$237,5,0)*VLOOKUP('Données projet'!$B$16,'Paramètres'!$A$1:$I$89,7,0))</f>
        <v>0</v>
      </c>
      <c r="FO111" s="135">
        <f>IF(ISNA(VLOOKUP(A111,'Données projet'!$A$217:$I$237,6,0)),0%,VLOOKUP(A111,'Données projet'!$A$217:$I$237,6,0)*VLOOKUP('Données projet'!$B$16,'Paramètres'!$A$1:$I$89,7,0))</f>
        <v>0</v>
      </c>
      <c r="FP111" s="135">
        <f>IF(ISNA(VLOOKUP(A111,'Données projet'!$A$217:$I$237,7,0)),0%,VLOOKUP(A111,'Données projet'!$A$217:$I$237,7,0))</f>
        <v>0</v>
      </c>
      <c r="FQ111" s="142">
        <f>EXP(-LN(2)/35)*FQ110+(1-EXP(-LN(2)/35))/(LN(2)/35)*FM111*FN111*VLOOKUP('Données projet'!$B$16,'Paramètres'!$A$1:$I$89,3,0)*0.475*44/12</f>
        <v>37.99740502</v>
      </c>
      <c r="FR111" s="142">
        <f>EXP(-LN(2)/25)*FR110+(1-EXP(-LN(2)/25))/(LN(2)/25)*Calculateur!FM111*Calculateur!FO111*VLOOKUP('Données projet'!$B$16,'Paramètres'!$A$1:$I$89,3,0)*0.475*44/12</f>
        <v>0</v>
      </c>
      <c r="FS111" s="142">
        <f>EXP(-LN(2)/2)*FS110+(1-EXP(-LN(2)/2))/(LN(2)/2)*FM111*FP111*VLOOKUP('Données projet'!$B$16,'Paramètres'!$A$1:$I$89,3,0)*0.475*44/12</f>
        <v>0</v>
      </c>
      <c r="FT111" s="143">
        <f t="shared" si="25"/>
        <v>37.99740502</v>
      </c>
      <c r="FU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1" t="str">
        <f>VLOOKUP(A111,'Données projet'!$A$243:$I$263,2,0)</f>
        <v>#N/A</v>
      </c>
      <c r="FX111" s="131" t="str">
        <f>VLOOKUP(A111,'Données projet'!$A$243:$I$263,9,0)</f>
        <v>#N/A</v>
      </c>
      <c r="FY111" s="131" t="str">
        <f t="array" ref="FY111">INDEX(FX:FX,MIN(IF(ISNUMBER(FX111:FX307),ROW(FX111:FX307),"")))</f>
        <v/>
      </c>
      <c r="FZ111" s="138">
        <f>IF('Données projet'!$A$244&gt;35,FZ110+FY111-GH110,IF(A111&lt;'Données projet'!$A$244,$FW$205^A111,IF(A111='Données projet'!$A$244,'Données projet'!$B$244,FZ110+FY111-GH110)))</f>
        <v>0</v>
      </c>
      <c r="GA111" s="138">
        <f>FZ111*VLOOKUP('Données projet'!$B$17,'Paramètres'!$A$1:$I$89,3,0)*VLOOKUP('Données projet'!$B$17,'Paramètres'!$A$1:$I$89,5,0)</f>
        <v>0</v>
      </c>
      <c r="GB111" s="130">
        <f t="shared" si="50"/>
        <v>0</v>
      </c>
      <c r="GC111" s="141">
        <f t="shared" si="26"/>
        <v>0</v>
      </c>
      <c r="GD111" s="133">
        <f t="shared" si="27"/>
        <v>293.3333333</v>
      </c>
      <c r="GE111" s="133">
        <f>AVERAGE(OFFSET($GD$3,0,0,'Données projet'!$E$17+1,1))-AVERAGE(OFFSET($H$3,0,0,'Données projet'!$E$17+1,1))</f>
        <v>118.7368745</v>
      </c>
      <c r="GF111" s="133">
        <f t="shared" si="51"/>
        <v>135.1233677</v>
      </c>
      <c r="GG111" s="134">
        <f>IF(ISNA(VLOOKUP(A111,'Données projet'!$A$243:$I$263,3,0)),0,VLOOKUP(A111,'Données projet'!$A$243:$I$263,3,0))</f>
        <v>0</v>
      </c>
      <c r="GH111" s="134">
        <f>IF(ISNA(VLOOKUP(A111,'Données projet'!$A$243:$I$263,4,0)),0,VLOOKUP(A111,'Données projet'!$A$243:$I$263,4,0))</f>
        <v>0</v>
      </c>
      <c r="GI111" s="135">
        <f>IF(ISNA(VLOOKUP(A111,'Données projet'!$A$243:$I$263,5,0)),0%,VLOOKUP(A111,'Données projet'!$A$243:$I$263,5,0)*VLOOKUP('Données projet'!$B$17,'Paramètres'!$A$1:$I$89,7,0))</f>
        <v>0</v>
      </c>
      <c r="GJ111" s="135">
        <f>IF(ISNA(VLOOKUP(A111,'Données projet'!$A$243:$I$263,6,0)),0%,VLOOKUP(A111,'Données projet'!$A$243:$I$263,6,0)*VLOOKUP('Données projet'!$B$17,'Paramètres'!$A$1:$I$89,7,0))</f>
        <v>0</v>
      </c>
      <c r="GK111" s="135">
        <f>IF(ISNA(VLOOKUP(A111,'Données projet'!$A$243:$I$263,7,0)),0%,VLOOKUP(A111,'Données projet'!$A$243:$I$263,7,0))</f>
        <v>0</v>
      </c>
      <c r="GL111" s="142">
        <f>EXP(-LN(2)/35)*GL110+(1-EXP(-LN(2)/35))/(LN(2)/35)*GH111*GI111*VLOOKUP('Données projet'!$B$17,'Paramètres'!$A$1:$I$89,3,0)*0.475*44/12</f>
        <v>40.1441409</v>
      </c>
      <c r="GM111" s="142">
        <f>EXP(-LN(2)/25)*GM110+(1-EXP(-LN(2)/25))/(LN(2)/25)*Calculateur!GH111*Calculateur!GJ111*VLOOKUP('Données projet'!$B$17,'Paramètres'!$A$1:$I$89,3,0)*0.475*44/12</f>
        <v>0</v>
      </c>
      <c r="GN111" s="142">
        <f>EXP(-LN(2)/2)*GN110+(1-EXP(-LN(2)/2))/(LN(2)/2)*GH111*GK111*VLOOKUP('Données projet'!$B$17,'Paramètres'!$A$1:$I$89,3,0)*0.475*44/12</f>
        <v>0</v>
      </c>
      <c r="GO111" s="142">
        <f t="shared" si="28"/>
        <v>40.1441409</v>
      </c>
      <c r="GP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1" t="str">
        <f>VLOOKUP(A111,'Données projet'!$A$269:$I$289,2,0)</f>
        <v>#N/A</v>
      </c>
      <c r="GS111" s="131" t="str">
        <f>VLOOKUP(A111,'Données projet'!$A$269:$I$289,9,0)</f>
        <v>#N/A</v>
      </c>
      <c r="GT111" s="131" t="str">
        <f t="array" ref="GT111">INDEX(GS:GS,MIN(IF(ISNUMBER(GS111:GS307),ROW(GS111:GS307),"")))</f>
        <v/>
      </c>
      <c r="GU111" s="138">
        <f>IF('Données projet'!$A$270&gt;35,GU110+GT111-HC110,IF(A111&lt;'Données projet'!$A$270,$GR$205^A111,IF(A111='Données projet'!$A$270,'Données projet'!$B$270,GU110+GT111-HC110)))</f>
        <v>0</v>
      </c>
      <c r="GV111" s="138">
        <f>GU111*VLOOKUP('Données projet'!$B$18,'Paramètres'!$A$1:$I$89,3,0)*VLOOKUP('Données projet'!$B$18,'Paramètres'!$A$1:$I$89,5,0)</f>
        <v>0</v>
      </c>
      <c r="GW111" s="130" t="str">
        <f t="shared" si="52"/>
        <v>#NUM!</v>
      </c>
      <c r="GX111" s="141" t="str">
        <f t="shared" si="29"/>
        <v>#NUM!</v>
      </c>
      <c r="GY111" s="133" t="str">
        <f t="shared" si="30"/>
        <v>#NUM!</v>
      </c>
      <c r="GZ111" s="133">
        <f>AVERAGE(OFFSET($GY$3,0,0,'Données projet'!$E$18+1,1))-AVERAGE(OFFSET($H$3,0,0,'Données projet'!$E$18+1,1))</f>
        <v>100.5427875</v>
      </c>
      <c r="HA111" s="133">
        <f t="shared" si="53"/>
        <v>92.28663609</v>
      </c>
      <c r="HB111" s="134">
        <f>IF(ISNA(VLOOKUP(A111,'Données projet'!$A$269:$I$289,3,0)),0,VLOOKUP(A111,'Données projet'!$A$269:$I$289,3,0))</f>
        <v>0</v>
      </c>
      <c r="HC111" s="134">
        <f>IF(ISNA(VLOOKUP(A111,'Données projet'!$A$269:$I$289,4,0)),0,VLOOKUP(A111,'Données projet'!$A$269:$I$289,4,0))</f>
        <v>0</v>
      </c>
      <c r="HD111" s="135">
        <f>IF(ISNA(VLOOKUP(A111,'Données projet'!$A$269:$I$289,5,0)),0%,VLOOKUP(A111,'Données projet'!$A$269:$I$289,5,0)*VLOOKUP('Données projet'!$B$18,'Paramètres'!$A$1:$I$89,7,0))</f>
        <v>0</v>
      </c>
      <c r="HE111" s="135">
        <f>IF(ISNA(VLOOKUP(A111,'Données projet'!$A$269:$I$289,6,0)),0%,VLOOKUP(A111,'Données projet'!$A$269:$I$289,6,0)*VLOOKUP('Données projet'!$B$18,'Paramètres'!$A$1:$I$89,7,0))</f>
        <v>0</v>
      </c>
      <c r="HF111" s="135">
        <f>IF(ISNA(VLOOKUP(A111,'Données projet'!$A$269:$I$289,7,0)),0%,VLOOKUP(A111,'Données projet'!$A$269:$I$289,7,0))</f>
        <v>0</v>
      </c>
      <c r="HG111" s="142">
        <f>EXP(-LN(2)/35)*HG110+(1-EXP(-LN(2)/35))/(LN(2)/35)*HC111*HD111*VLOOKUP('Données projet'!$B$18,'Paramètres'!$A$1:$I$89,3,0)*0.475*44/12</f>
        <v>27.33731307</v>
      </c>
      <c r="HH111" s="142">
        <f>EXP(-LN(2)/25)*HH110+(1-EXP(-LN(2)/25))/(LN(2)/25)*Calculateur!HC111*Calculateur!HE111*VLOOKUP('Données projet'!$B$18,'Paramètres'!$A$1:$I$89,3,0)*0.475*44/12</f>
        <v>0</v>
      </c>
      <c r="HI111" s="142">
        <f>EXP(-LN(2)/2)*HI110+(1-EXP(-LN(2)/2))/(LN(2)/2)*HC111*HF111*VLOOKUP('Données projet'!$B$18,'Paramètres'!$A$1:$I$89,3,0)*0.475*44/12</f>
        <v>0</v>
      </c>
      <c r="HJ111" s="143">
        <f t="shared" si="31"/>
        <v>27.33731307</v>
      </c>
    </row>
    <row r="112" ht="15.75" customHeight="1">
      <c r="A112" s="125">
        <f t="shared" si="32"/>
        <v>109</v>
      </c>
      <c r="B112" s="126">
        <f>'Scénario référence'!$B$16*5+'Scénario référence'!$B$17*0+'Scénario référence'!$B$18*5</f>
        <v>0</v>
      </c>
      <c r="C112" s="140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59.514</v>
      </c>
      <c r="D112" s="127">
        <f t="shared" si="33"/>
        <v>17.04533486</v>
      </c>
      <c r="E11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7">
        <f>IF(OR('Scénario référence'!$F$8&gt;0,'Scénario référence'!$F$9&gt;0),('Scénario référence'!$F$8+'Scénario référence'!$F$9)*10,0)</f>
        <v>10</v>
      </c>
      <c r="G112" s="127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590.9843393</v>
      </c>
      <c r="H112" s="128">
        <f t="shared" si="1"/>
        <v>426.6741749</v>
      </c>
      <c r="I112" s="12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1" t="str">
        <f>VLOOKUP(A112,'Données projet'!$A$35:$I$55,2,0)</f>
        <v>#N/A</v>
      </c>
      <c r="L112" s="131" t="str">
        <f>VLOOKUP(A112,'Données projet'!$A$35:$I$55,9,0)</f>
        <v>#N/A</v>
      </c>
      <c r="M112" s="131" t="str">
        <f t="array" ref="M112">INDEX(L:L,MIN(IF(ISNUMBER(L112:L308),ROW(L112:L308),"")))</f>
        <v/>
      </c>
      <c r="N112" s="130">
        <f>IF('Données projet'!$A$36&gt;35,N111+M112-V111,IF(A112&lt;'Données projet'!$A$36,$K$205^A112,IF(A112='Données projet'!$A$36,'Données projet'!$B$36,N111+M112-V111)))</f>
        <v>0</v>
      </c>
      <c r="O112" s="130">
        <f>N112*VLOOKUP('Données projet'!$B$9,'Paramètres'!$A$1:$I$89,3,0)*VLOOKUP('Données projet'!$B$9,'Paramètres'!$A$1:$I$89,5,0)</f>
        <v>0</v>
      </c>
      <c r="P112" s="130">
        <f t="shared" si="34"/>
        <v>0</v>
      </c>
      <c r="Q112" s="141">
        <f t="shared" si="2"/>
        <v>0</v>
      </c>
      <c r="R112" s="133">
        <f t="shared" si="3"/>
        <v>293.3333333</v>
      </c>
      <c r="S112" s="133">
        <f>AVERAGE(OFFSET($R$3,0,0,'Données projet'!$E$9+1,1))-AVERAGE(OFFSET($H$3,0,0,'Données projet'!$E$9+1,1))</f>
        <v>126.9946492</v>
      </c>
      <c r="T112" s="133">
        <f t="shared" si="35"/>
        <v>140.039049</v>
      </c>
      <c r="U112" s="134">
        <f>IF(ISNA(VLOOKUP(A112,'Données projet'!$A$35:$I$55,3,0)),0,VLOOKUP(A112,'Données projet'!$A$35:$I$55,3,0))</f>
        <v>0</v>
      </c>
      <c r="V112" s="134">
        <f>IF(ISNA(VLOOKUP(A112,'Données projet'!$A$35:$I$55,4,0)),0,VLOOKUP(A112,'Données projet'!$A$35:$I$55,4,0))</f>
        <v>0</v>
      </c>
      <c r="W112" s="135">
        <f>IF(ISNA(VLOOKUP(A112,'Données projet'!$A$35:$I$55,5,0)),0%,VLOOKUP(A112,'Données projet'!$A$35:$I$55,5,0)*VLOOKUP('Données projet'!$B$9,'Paramètres'!$A$1:$I$89,7,0))</f>
        <v>0</v>
      </c>
      <c r="X112" s="135">
        <f>IF(ISNA(VLOOKUP(A112,'Données projet'!$A$35:$I$55,6,0)),0%,VLOOKUP(A112,'Données projet'!$A$35:$I$55,6,0)*VLOOKUP('Données projet'!$B$9,'Paramètres'!$A$1:$I$89,7,0))</f>
        <v>0</v>
      </c>
      <c r="Y112" s="135">
        <f>IF(ISNA(VLOOKUP(A112,'Données projet'!$A$35:$I$55,7,0)),0%,VLOOKUP(A112,'Données projet'!$A$35:$I$55,7,0))</f>
        <v>0</v>
      </c>
      <c r="Z112" s="142">
        <f>EXP(-LN(2)/35)*Z111+(1-EXP(-LN(2)/35))/(LN(2)/35)*V112*W112*VLOOKUP('Données projet'!$B$9,'Paramètres'!$A$1:$I$89,3,0)*0.475*44/12</f>
        <v>40.25338738</v>
      </c>
      <c r="AA112" s="142">
        <f>EXP(-LN(2)/25)*AA111+(1-EXP(-LN(2)/25))/(LN(2)/25)*Calculateur!V112*Calculateur!X112*VLOOKUP('Données projet'!$B$9,'Paramètres'!$A$1:$I$89,3,0)*0.475*44/12</f>
        <v>5.972993674</v>
      </c>
      <c r="AB112" s="142">
        <f>EXP(-LN(2)/2)*AB111+(1-EXP(-LN(2)/2))/(LN(2)/2)*V112*Y112*VLOOKUP('Données projet'!$B$9,'Paramètres'!$A$1:$I$89,3,0)*0.475*44/12</f>
        <v>0.0000008003421517</v>
      </c>
      <c r="AC112" s="143">
        <f t="shared" si="4"/>
        <v>46.22638186</v>
      </c>
      <c r="AD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1" t="str">
        <f>VLOOKUP(A112,'Données projet'!$A$61:$I$81,2,0)</f>
        <v>#N/A</v>
      </c>
      <c r="AG112" s="131" t="str">
        <f>VLOOKUP(A112,'Données projet'!$A$61:$I$81,9,0)</f>
        <v>#N/A</v>
      </c>
      <c r="AH112" s="131" t="str">
        <f t="array" ref="AH112">INDEX(AG:AG,MIN(IF(ISNUMBER(AG112:AG308),ROW(AG112:AG308),"")))</f>
        <v/>
      </c>
      <c r="AI112" s="130">
        <f>IF('Données projet'!$A$62&gt;35,AI111+AH112-AQ111,IF(A112&lt;'Données projet'!$A$62,$AF$205^A112,IF(A112='Données projet'!$A$62,'Données projet'!$B$62,AI111+AH112-AQ111)))</f>
        <v>0</v>
      </c>
      <c r="AJ112" s="130">
        <f>AI112*VLOOKUP('Données projet'!$B$10,'Paramètres'!$A$1:$I$89,3,0)*VLOOKUP('Données projet'!$B$10,'Paramètres'!$A$1:$I$89,5,0)</f>
        <v>0</v>
      </c>
      <c r="AK112" s="130" t="str">
        <f t="shared" si="36"/>
        <v>#NUM!</v>
      </c>
      <c r="AL112" s="141" t="str">
        <f t="shared" si="5"/>
        <v>#NUM!</v>
      </c>
      <c r="AM112" s="133" t="str">
        <f t="shared" si="6"/>
        <v>#NUM!</v>
      </c>
      <c r="AN112" s="133">
        <f>AVERAGE(OFFSET($AM$3,0,0,'Données projet'!$E$10+1,1))-AVERAGE(OFFSET($H$3,0,0,'Données projet'!$E$10+1,1))</f>
        <v>196.874484</v>
      </c>
      <c r="AO112" s="133">
        <f t="shared" si="37"/>
        <v>217.5750859</v>
      </c>
      <c r="AP112" s="134">
        <f>IF(ISNA(VLOOKUP(A112,'Données projet'!$A$61:$I$81,3,0)),0,VLOOKUP(A112,'Données projet'!$A$61:$I$81,3,0))</f>
        <v>0</v>
      </c>
      <c r="AQ112" s="134">
        <f>IF(ISNA(VLOOKUP(A112,'Données projet'!$A$61:$I$81,4,0)),0,VLOOKUP(A112,'Données projet'!$A$61:$I$81,4,0))</f>
        <v>0</v>
      </c>
      <c r="AR112" s="135">
        <f>IF(ISNA(VLOOKUP(A112,'Données projet'!$A$61:$I$81,5,0)),0%,VLOOKUP(A112,'Données projet'!$A$61:$I$81,5,0)*VLOOKUP('Données projet'!$B$10,'Paramètres'!$A$1:$I$89,7,0))</f>
        <v>0</v>
      </c>
      <c r="AS112" s="135">
        <f>IF(ISNA(VLOOKUP(A112,'Données projet'!$A$61:$I$81,6,0)),0%,VLOOKUP(A112,'Données projet'!$A$61:$I$81,6,0)*VLOOKUP('Données projet'!$B$10,'Paramètres'!$A$1:$I$89,7,0))</f>
        <v>0</v>
      </c>
      <c r="AT112" s="135">
        <f>IF(ISNA(VLOOKUP(A112,'Données projet'!$A$61:$I$81,7,0)),0%,VLOOKUP(A112,'Données projet'!$A$61:$I$81,7,0))</f>
        <v>0</v>
      </c>
      <c r="AU112" s="142">
        <f>EXP(-LN(2)/35)*AU111+(1-EXP(-LN(2)/35))/(LN(2)/35)*AQ112*AR112*VLOOKUP('Données projet'!$B$10,'Paramètres'!$A$1:$I$89,3,0)*0.475*44/12</f>
        <v>55.95106511</v>
      </c>
      <c r="AV112" s="142">
        <f>EXP(-LN(2)/25)*AV111+(1-EXP(-LN(2)/25))/(LN(2)/25)*Calculateur!AQ112*Calculateur!AS112*VLOOKUP('Données projet'!$B$10,'Paramètres'!$A$1:$I$89,3,0)*0.475*44/12</f>
        <v>9.183485754</v>
      </c>
      <c r="AW112" s="142">
        <f>EXP(-LN(2)/2)*AW111+(1-EXP(-LN(2)/2))/(LN(2)/2)*AQ112*AT112*VLOOKUP('Données projet'!$B$10,'Paramètres'!$A$1:$I$89,3,0)*0.475*44/12</f>
        <v>0.000001115844997</v>
      </c>
      <c r="AX112" s="142">
        <f t="shared" si="7"/>
        <v>65.13455198</v>
      </c>
      <c r="AY112" s="13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1" t="str">
        <f>VLOOKUP(A112,'Données projet'!$A$87:$I$107,2,0)</f>
        <v>#N/A</v>
      </c>
      <c r="BB112" s="131" t="str">
        <f>VLOOKUP(A112,'Données projet'!$A$87:$I$107,9,0)</f>
        <v>#N/A</v>
      </c>
      <c r="BC112" s="131" t="str">
        <f t="array" ref="BC112">INDEX(BB:BB,MIN(IF(ISNUMBER(BB112:BB308),ROW(BB112:BB308),"")))</f>
        <v/>
      </c>
      <c r="BD112" s="130">
        <f>IF('Données projet'!$A$88&gt;35,BD111+BC112-BL111,IF(A112&lt;'Données projet'!$A$88,$BA$205^A112,IF(A112='Données projet'!$A$88,'Données projet'!$B$88,BD111+BC112-BL111)))</f>
        <v>0</v>
      </c>
      <c r="BE112" s="130">
        <f>BD112*VLOOKUP('Données projet'!$B$11,'Paramètres'!$A$1:$I$89,3,0)*VLOOKUP('Données projet'!$B$11,'Paramètres'!$A$1:$I$89,5,0)</f>
        <v>0</v>
      </c>
      <c r="BF112" s="130" t="str">
        <f t="shared" si="38"/>
        <v>#NUM!</v>
      </c>
      <c r="BG112" s="141" t="str">
        <f t="shared" si="8"/>
        <v>#NUM!</v>
      </c>
      <c r="BH112" s="133" t="str">
        <f t="shared" si="9"/>
        <v>#NUM!</v>
      </c>
      <c r="BI112" s="133">
        <f>AVERAGE(OFFSET($BH$3,0,0,'Données projet'!$E$11+1,1))-AVERAGE(OFFSET($H$3,0,0,'Données projet'!$E$11+1,1))</f>
        <v>134.0948534</v>
      </c>
      <c r="BJ112" s="133">
        <f t="shared" si="39"/>
        <v>108.4102536</v>
      </c>
      <c r="BK112" s="134">
        <f>IF(ISNA(VLOOKUP(A112,'Données projet'!$A$87:$I$107,3,0)),0,VLOOKUP(A112,'Données projet'!$A$87:$I$107,3,0))</f>
        <v>0</v>
      </c>
      <c r="BL112" s="134">
        <f>IF(ISNA(VLOOKUP(A112,'Données projet'!$A$87:$I$107,4,0)),0,VLOOKUP(A112,'Données projet'!$A$87:$I$107,4,0))</f>
        <v>0</v>
      </c>
      <c r="BM112" s="135">
        <f>IF(ISNA(VLOOKUP(A112,'Données projet'!$A$87:$I$107,5,0)),0%,VLOOKUP(A112,'Données projet'!$A$87:$I$107,5,0)*VLOOKUP('Données projet'!$B$11,'Paramètres'!$A$1:$I$89,7,0))</f>
        <v>0</v>
      </c>
      <c r="BN112" s="135">
        <f>IF(ISNA(VLOOKUP(A112,'Données projet'!$A$87:$I$107,6,0)),0%,VLOOKUP(A112,'Données projet'!$A$87:$I$107,6,0)*VLOOKUP('Données projet'!$B$11,'Paramètres'!$A$1:$I$89,7,0))</f>
        <v>0</v>
      </c>
      <c r="BO112" s="135">
        <f>IF(ISNA(VLOOKUP(A112,'Données projet'!$A$87:$I$107,7,0)),0%,VLOOKUP(A112,'Données projet'!$A$87:$I$107,7,0))</f>
        <v>0</v>
      </c>
      <c r="BP112" s="142">
        <f>EXP(-LN(2)/35)*BP111+(1-EXP(-LN(2)/35))/(LN(2)/35)*BL112*BM112*VLOOKUP('Données projet'!$B$11,'Paramètres'!$A$1:$I$89,3,0)*0.475*44/12</f>
        <v>77.39077238</v>
      </c>
      <c r="BQ112" s="142">
        <f>EXP(-LN(2)/25)*BQ111+(1-EXP(-LN(2)/25))/(LN(2)/25)*Calculateur!BL112*Calculateur!BN112*VLOOKUP('Données projet'!$B$11,'Paramètres'!$A$1:$I$89,3,0)*0.475*44/12</f>
        <v>5.792950699</v>
      </c>
      <c r="BR112" s="142">
        <f>EXP(-LN(2)/2)*BR111+(1-EXP(-LN(2)/2))/(LN(2)/2)*BL112*BO112*VLOOKUP('Données projet'!$B$11,'Paramètres'!$A$1:$I$89,3,0)*0.475*44/12</f>
        <v>0.00001488377089</v>
      </c>
      <c r="BS112" s="143">
        <f t="shared" si="10"/>
        <v>83.18373796</v>
      </c>
      <c r="BT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1" t="str">
        <f>VLOOKUP(A112,'Données projet'!$A$113:$I$133,2,0)</f>
        <v>#N/A</v>
      </c>
      <c r="BW112" s="131" t="str">
        <f>VLOOKUP(A112,'Données projet'!$A$113:$I$133,9,0)</f>
        <v>#N/A</v>
      </c>
      <c r="BX112" s="131" t="str">
        <f t="array" ref="BX112">INDEX(BW:BW,MIN(IF(ISNUMBER(BW112:BW308),ROW(BW112:BW308),"")))</f>
        <v/>
      </c>
      <c r="BY112" s="130">
        <f>IF('Données projet'!$A$114&gt;35,BY111+BX112-CG111,IF(A112&lt;'Données projet'!$A$114,$BV$205^A112,IF(A112='Données projet'!$A$114,'Données projet'!$B$114,BY111+BX112-CG111)))</f>
        <v>0</v>
      </c>
      <c r="BZ112" s="130">
        <f>BY112*VLOOKUP('Données projet'!$B$12,'Paramètres'!$A$1:$I$89,3,0)*VLOOKUP('Données projet'!$B$12,'Paramètres'!$A$1:$I$89,5,0)</f>
        <v>0</v>
      </c>
      <c r="CA112" s="130" t="str">
        <f t="shared" si="40"/>
        <v>#NUM!</v>
      </c>
      <c r="CB112" s="141" t="str">
        <f t="shared" si="11"/>
        <v>#NUM!</v>
      </c>
      <c r="CC112" s="133" t="str">
        <f t="shared" si="12"/>
        <v>#NUM!</v>
      </c>
      <c r="CD112" s="133">
        <f>AVERAGE(OFFSET($CC$3,0,0,'Données projet'!$E$12+1,1))-AVERAGE(OFFSET($H$3,0,0,'Données projet'!$E$12+1,1))</f>
        <v>258.1672054</v>
      </c>
      <c r="CE112" s="133">
        <f t="shared" si="41"/>
        <v>296.0724261</v>
      </c>
      <c r="CF112" s="134">
        <f>IF(ISNA(VLOOKUP(A112,'Données projet'!$A$113:$I$133,3,0)),0,VLOOKUP(A112,'Données projet'!$A$113:$I$133,3,0))</f>
        <v>0</v>
      </c>
      <c r="CG112" s="134">
        <f>IF(ISNA(VLOOKUP(A112,'Données projet'!$A$113:$I$133,4,0)),0,VLOOKUP(A112,'Données projet'!$A$113:$I$133,4,0))</f>
        <v>0</v>
      </c>
      <c r="CH112" s="135">
        <f>IF(ISNA(VLOOKUP(A112,'Données projet'!$A$113:$I$133,5,0)),0%,VLOOKUP(A112,'Données projet'!$A$113:$I$133,5,0)*VLOOKUP('Données projet'!$B$12,'Paramètres'!$A$1:$I$89,7,0))</f>
        <v>0</v>
      </c>
      <c r="CI112" s="135">
        <f>IF(ISNA(VLOOKUP(A112,'Données projet'!$A$113:$I$133,6,0)),0%,VLOOKUP(A112,'Données projet'!$A$113:$I$133,6,0)*VLOOKUP('Données projet'!$B$12,'Paramètres'!$A$1:$I$89,7,0))</f>
        <v>0</v>
      </c>
      <c r="CJ112" s="135">
        <f>IF(ISNA(VLOOKUP(A112,'Données projet'!$A$113:$I$133,7,0)),0%,VLOOKUP(A112,'Données projet'!$A$113:$I$133,7,0))</f>
        <v>0</v>
      </c>
      <c r="CK112" s="142">
        <f>EXP(-LN(2)/35)*CK111+(1-EXP(-LN(2)/35))/(LN(2)/35)*CG112*CH112*VLOOKUP('Données projet'!$B$12,'Paramètres'!$A$1:$I$89,3,0)*0.475*44/12</f>
        <v>97.8456111</v>
      </c>
      <c r="CL112" s="142">
        <f>EXP(-LN(2)/25)*CL111+(1-EXP(-LN(2)/25))/(LN(2)/25)*Calculateur!CG112*Calculateur!CI112*VLOOKUP('Données projet'!$B$12,'Paramètres'!$A$1:$I$89,3,0)*0.475*44/12</f>
        <v>10.16116437</v>
      </c>
      <c r="CM112" s="142">
        <f>EXP(-LN(2)/2)*CM111+(1-EXP(-LN(2)/2))/(LN(2)/2)*CG112*CJ112*VLOOKUP('Données projet'!$B$12,'Paramètres'!$A$1:$I$89,3,0)*0.475*44/12</f>
        <v>0.0000006270357002</v>
      </c>
      <c r="CN112" s="143">
        <f t="shared" si="13"/>
        <v>108.0067761</v>
      </c>
      <c r="CO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1" t="str">
        <f>VLOOKUP(A112,'Données projet'!$A$139:$I$159,2,0)</f>
        <v>#N/A</v>
      </c>
      <c r="CR112" s="131" t="str">
        <f>VLOOKUP(A112,'Données projet'!$A$139:$I$159,9,0)</f>
        <v>#N/A</v>
      </c>
      <c r="CS112" s="130">
        <f t="array" ref="CS112">INDEX(CR:CR,MIN(IF(ISNUMBER(CR112:CR308),ROW(CR112:CR308),"")))</f>
        <v>1.7</v>
      </c>
      <c r="CT112" s="138">
        <f>IF('Données projet'!$A$140&gt;35,CT111+CS112-DB111,IF(A112&lt;'Données projet'!$A$140,$CQ$205^A112,IF(A112='Données projet'!$A$140,'Données projet'!$B$140,CT111+CS112-DB111)))</f>
        <v>217.3</v>
      </c>
      <c r="CU112" s="138">
        <f>CT112*VLOOKUP('Données projet'!$B$13,'Paramètres'!$A$1:$I$89,3,0)*VLOOKUP('Données projet'!$B$13,'Paramètres'!$A$1:$I$89,5,0)</f>
        <v>220.3422</v>
      </c>
      <c r="CV112" s="130">
        <f t="shared" si="42"/>
        <v>54.18925447</v>
      </c>
      <c r="CW112" s="141">
        <f t="shared" si="14"/>
        <v>478.1422832</v>
      </c>
      <c r="CX112" s="133">
        <f t="shared" si="15"/>
        <v>771.4756165</v>
      </c>
      <c r="CY112" s="133">
        <f>AVERAGE(OFFSET($CX$3,0,0,'Données projet'!$E$13+1,1))-AVERAGE(OFFSET($H$3,0,0,'Données projet'!$E$13+1,1))</f>
        <v>223.783507</v>
      </c>
      <c r="CZ112" s="133">
        <f t="shared" si="43"/>
        <v>84.92349117</v>
      </c>
      <c r="DA112" s="134">
        <f>IF(ISNA(VLOOKUP(A112,'Données projet'!$A$139:$I$159,3,0)),0,VLOOKUP(A112,'Données projet'!$A$139:$I$159,3,0))</f>
        <v>0</v>
      </c>
      <c r="DB112" s="134">
        <f>IF(ISNA(VLOOKUP(A112,'Données projet'!$A$139:$I$159,4,0)),0,VLOOKUP(A112,'Données projet'!$A$139:$I$159,4,0))</f>
        <v>0</v>
      </c>
      <c r="DC112" s="135">
        <f>IF(ISNA(VLOOKUP(A112,'Données projet'!$A$139:$I$159,5,0)),0%,VLOOKUP(A112,'Données projet'!$A$139:$I$159,5,0)*VLOOKUP('Données projet'!$B$13,'Paramètres'!$A$1:$I$89,7,0))</f>
        <v>0</v>
      </c>
      <c r="DD112" s="135">
        <f>IF(ISNA(VLOOKUP(A112,'Données projet'!$A$139:$I$159,6,0)),0%,VLOOKUP(A112,'Données projet'!$A$139:$I$159,6,0)*VLOOKUP('Données projet'!$B$13,'Paramètres'!$A$1:$I$89,7,0))</f>
        <v>0</v>
      </c>
      <c r="DE112" s="135">
        <f>IF(ISNA(VLOOKUP(A112,'Données projet'!$A$139:$I$159,7,0)),0%,VLOOKUP(A112,'Données projet'!$A$139:$I$159,7,0))</f>
        <v>0</v>
      </c>
      <c r="DF112" s="142">
        <f>EXP(-LN(2)/35)*DF111+(1-EXP(-LN(2)/35))/(LN(2)/35)*DB112*DC112*VLOOKUP('Données projet'!$B$13,'Paramètres'!$A$1:$I$89,3,0)*0.475*44/12</f>
        <v>17.50703115</v>
      </c>
      <c r="DG112" s="142">
        <f>EXP(-LN(2)/25)*DG111+(1-EXP(-LN(2)/25))/(LN(2)/25)*Calculateur!DB112*Calculateur!DD112*VLOOKUP('Données projet'!$B$13,'Paramètres'!$A$1:$I$89,3,0)*0.475*44/12</f>
        <v>0</v>
      </c>
      <c r="DH112" s="142">
        <f>EXP(-LN(2)/2)*DH111+(1-EXP(-LN(2)/2))/(LN(2)/2)*DB112*DE112*VLOOKUP('Données projet'!$B$13,'Paramètres'!$A$1:$I$89,3,0)*0.475*44/12</f>
        <v>0</v>
      </c>
      <c r="DI112" s="143">
        <f t="shared" si="16"/>
        <v>17.50703115</v>
      </c>
      <c r="DJ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1" t="str">
        <f>VLOOKUP(A112,'Données projet'!$A$165:$I$185,2,0)</f>
        <v>#N/A</v>
      </c>
      <c r="DM112" s="131" t="str">
        <f>VLOOKUP(A112,'Données projet'!$A$165:$I$185,9,0)</f>
        <v>#N/A</v>
      </c>
      <c r="DN112" s="131">
        <f t="array" ref="DN112">INDEX(DM:DM,MIN(IF(ISNUMBER(DM112:DM308),ROW(DM112:DM308),"")))</f>
        <v>2.4</v>
      </c>
      <c r="DO112" s="138">
        <f>IF('Données projet'!$A$166&gt;35,DO111+DN112-DW111,IF(A112&lt;'Données projet'!$A$166,$DL$205^A112,IF(A112='Données projet'!$A$166,'Données projet'!$B$166,DO111+DN112-DW111)))</f>
        <v>282.6</v>
      </c>
      <c r="DP112" s="138">
        <f>DO112*VLOOKUP('Données projet'!$B$14,'Paramètres'!$A$1:$I$89,3,0)*VLOOKUP('Données projet'!$B$14,'Paramètres'!$A$1:$I$89,5,0)</f>
        <v>255.69648</v>
      </c>
      <c r="DQ112" s="130">
        <f t="shared" si="44"/>
        <v>61.80415222</v>
      </c>
      <c r="DR112" s="141">
        <f t="shared" si="17"/>
        <v>552.9802678</v>
      </c>
      <c r="DS112" s="133">
        <f t="shared" si="18"/>
        <v>846.3136011</v>
      </c>
      <c r="DT112" s="133">
        <f>AVERAGE(OFFSET($DS$3,0,0,'Données projet'!$E$14+1,1))-AVERAGE(OFFSET($H$3,0,0,'Données projet'!$E$14+1,1))</f>
        <v>287.9334714</v>
      </c>
      <c r="DU112" s="133">
        <f t="shared" si="45"/>
        <v>156.6796502</v>
      </c>
      <c r="DV112" s="134">
        <f>IF(ISNA(VLOOKUP(A112,'Données projet'!$A$165:$I$185,3,0)),0,VLOOKUP(A112,'Données projet'!$A$165:$I$185,3,0))</f>
        <v>0</v>
      </c>
      <c r="DW112" s="134">
        <f>IF(ISNA(VLOOKUP(A112,'Données projet'!$A$165:$I$185,4,0)),0,VLOOKUP(A112,'Données projet'!$A$165:$I$185,4,0))</f>
        <v>0</v>
      </c>
      <c r="DX112" s="135">
        <f>IF(ISNA(VLOOKUP(A112,'Données projet'!$A$165:$I$185,5,0)),0%,VLOOKUP(A112,'Données projet'!$A$165:$I$185,5,0)*VLOOKUP('Données projet'!$B$14,'Paramètres'!$A$1:$I$89,7,0))</f>
        <v>0</v>
      </c>
      <c r="DY112" s="135">
        <f>IF(ISNA(VLOOKUP(A112,'Données projet'!$A$165:$I$185,6,0)),0%,VLOOKUP(A112,'Données projet'!$A$165:$I$185,6,0)*VLOOKUP('Données projet'!$B$14,'Paramètres'!$A$1:$I$89,7,0))</f>
        <v>0</v>
      </c>
      <c r="DZ112" s="135">
        <f>IF(ISNA(VLOOKUP(A112,'Données projet'!$A$165:$I$185,7,0)),0%,VLOOKUP(A112,'Données projet'!$A$165:$I$185,7,0))</f>
        <v>0</v>
      </c>
      <c r="EA112" s="142">
        <f>EXP(-LN(2)/35)*EA111+(1-EXP(-LN(2)/35))/(LN(2)/35)*DW112*DX112*VLOOKUP('Données projet'!$B$14,'Paramètres'!$A$1:$I$89,3,0)*0.475*44/12</f>
        <v>26.0619009</v>
      </c>
      <c r="EB112" s="142">
        <f>EXP(-LN(2)/25)*EB111+(1-EXP(-LN(2)/25))/(LN(2)/25)*Calculateur!DW112*Calculateur!DY112*VLOOKUP('Données projet'!$B$14,'Paramètres'!$A$1:$I$89,3,0)*0.475*44/12</f>
        <v>0</v>
      </c>
      <c r="EC112" s="142">
        <f>EXP(-LN(2)/2)*EC111+(1-EXP(-LN(2)/2))/(LN(2)/2)*DW112*DZ112*VLOOKUP('Données projet'!$B$14,'Paramètres'!$A$1:$I$89,3,0)*0.475*44/12</f>
        <v>0</v>
      </c>
      <c r="ED112" s="143">
        <f t="shared" si="19"/>
        <v>26.0619009</v>
      </c>
      <c r="EE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1" t="str">
        <f>VLOOKUP(A112,'Données projet'!$A$191:$I$211,2,0)</f>
        <v>#N/A</v>
      </c>
      <c r="EH112" s="131" t="str">
        <f>VLOOKUP(A112,'Données projet'!$A$191:$I$211,9,0)</f>
        <v>#N/A</v>
      </c>
      <c r="EI112" s="131" t="str">
        <f t="array" ref="EI112">INDEX(EH:EH,MIN(IF(ISNUMBER(EH112:EH308),ROW(EH112:EH308),"")))</f>
        <v/>
      </c>
      <c r="EJ112" s="138">
        <f>IF('Données projet'!$A$192&gt;35,EJ111+EI112-ER111,IF(A112&lt;'Données projet'!$A$192,$EG$205^A112,IF(A112='Données projet'!$A$192,'Données projet'!$B$192,EJ111+EI112-ER111)))</f>
        <v>0</v>
      </c>
      <c r="EK112" s="138">
        <f>EJ112*VLOOKUP('Données projet'!$B$15,'Paramètres'!$A$1:$I$89,3,0)*VLOOKUP('Données projet'!$B$15,'Paramètres'!$A$1:$I$89,5,0)</f>
        <v>0</v>
      </c>
      <c r="EL112" s="130" t="str">
        <f t="shared" si="46"/>
        <v>#NUM!</v>
      </c>
      <c r="EM112" s="141" t="str">
        <f t="shared" si="20"/>
        <v>#NUM!</v>
      </c>
      <c r="EN112" s="133" t="str">
        <f t="shared" si="21"/>
        <v>#NUM!</v>
      </c>
      <c r="EO112" s="133">
        <f>AVERAGE(OFFSET($EN$3,0,0,'Données projet'!$E$15+1,1))-AVERAGE(OFFSET($H$3,0,0,'Données projet'!$E$15+1,1))</f>
        <v>130.3193339</v>
      </c>
      <c r="EP112" s="133">
        <f t="shared" si="47"/>
        <v>82.22784365</v>
      </c>
      <c r="EQ112" s="134">
        <f>IF(ISNA(VLOOKUP(A112,'Données projet'!$A$191:$I$211,3,0)),0,VLOOKUP(A112,'Données projet'!$A$191:$I$211,3,0))</f>
        <v>0</v>
      </c>
      <c r="ER112" s="134">
        <f>IF(ISNA(VLOOKUP(A112,'Données projet'!$A$191:$I$211,4,0)),0,VLOOKUP(A112,'Données projet'!$A$191:$I$211,4,0))</f>
        <v>0</v>
      </c>
      <c r="ES112" s="135">
        <f>IF(ISNA(VLOOKUP(A112,'Données projet'!$A$191:$I$211,5,0)),0%,VLOOKUP(A112,'Données projet'!$A$191:$I$211,5,0)*VLOOKUP('Données projet'!$B$15,'Paramètres'!$A$1:$I$89,7,0))</f>
        <v>0</v>
      </c>
      <c r="ET112" s="135">
        <f>IF(ISNA(VLOOKUP(A112,'Données projet'!$A$191:$I$211,6,0)),0%,VLOOKUP(A112,'Données projet'!$A$191:$I$211,6,0)*VLOOKUP('Données projet'!$B$15,'Paramètres'!$A$1:$I$89,7,0))</f>
        <v>0</v>
      </c>
      <c r="EU112" s="135">
        <f>IF(ISNA(VLOOKUP(A112,'Données projet'!$A$191:$I$211,7,0)),0%,VLOOKUP(A112,'Données projet'!$A$191:$I$211,7,0))</f>
        <v>0</v>
      </c>
      <c r="EV112" s="142">
        <f>EXP(-LN(2)/35)*EV111+(1-EXP(-LN(2)/35))/(LN(2)/35)*ER112*ES112*VLOOKUP('Données projet'!$B$15,'Paramètres'!$A$1:$I$89,3,0)*0.475*44/12</f>
        <v>59.83056703</v>
      </c>
      <c r="EW112" s="142">
        <f>EXP(-LN(2)/25)*EW111+(1-EXP(-LN(2)/25))/(LN(2)/25)*Calculateur!ER112*Calculateur!ET112*VLOOKUP('Données projet'!$B$15,'Paramètres'!$A$1:$I$89,3,0)*0.475*44/12</f>
        <v>0</v>
      </c>
      <c r="EX112" s="142">
        <f>EXP(-LN(2)/2)*EX111+(1-EXP(-LN(2)/2))/(LN(2)/2)*ER112*EU112*VLOOKUP('Données projet'!$B$15,'Paramètres'!$A$1:$I$89,3,0)*0.475*44/12</f>
        <v>0</v>
      </c>
      <c r="EY112" s="143">
        <f t="shared" si="22"/>
        <v>59.83056703</v>
      </c>
      <c r="EZ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1" t="str">
        <f>VLOOKUP(A112,'Données projet'!$A$217:$I$237,2,0)</f>
        <v>#N/A</v>
      </c>
      <c r="FC112" s="131" t="str">
        <f>VLOOKUP(A112,'Données projet'!$A$217:$I$237,9,0)</f>
        <v>#N/A</v>
      </c>
      <c r="FD112" s="131" t="str">
        <f t="array" ref="FD112">INDEX(FC:FC,MIN(IF(ISNUMBER(FC112:FC308),ROW(FC112:FC308),"")))</f>
        <v/>
      </c>
      <c r="FE112" s="130">
        <f>IF('Données projet'!$A$218&gt;35,FE111+FD112-FM111,IF(A112&lt;'Données projet'!$A$218,$FB$205^A112,IF(A112='Données projet'!$A$218,'Données projet'!$B$218,FE111+FD112-FM111)))</f>
        <v>0</v>
      </c>
      <c r="FF112" s="138">
        <f>FE112*VLOOKUP('Données projet'!$B$16,'Paramètres'!$A$1:$I$89,3,0)*VLOOKUP('Données projet'!$B$16,'Paramètres'!$A$1:$I$89,5,0)</f>
        <v>0</v>
      </c>
      <c r="FG112" s="130">
        <f t="shared" si="48"/>
        <v>0</v>
      </c>
      <c r="FH112" s="141">
        <f t="shared" si="23"/>
        <v>0</v>
      </c>
      <c r="FI112" s="133">
        <f t="shared" si="24"/>
        <v>293.3333333</v>
      </c>
      <c r="FJ112" s="133">
        <f>AVERAGE(OFFSET($FI$3,0,0,'Données projet'!$E$16+1,1))-AVERAGE(OFFSET($H$3,0,0,'Données projet'!$E$16+1,1))</f>
        <v>305.6252353</v>
      </c>
      <c r="FK112" s="133">
        <f t="shared" si="49"/>
        <v>331.397916</v>
      </c>
      <c r="FL112" s="134">
        <f>IF(ISNA(VLOOKUP(A112,'Données projet'!$A$217:$I$237,3,0)),0,VLOOKUP(A112,'Données projet'!$A$217:$I$237,3,0))</f>
        <v>0</v>
      </c>
      <c r="FM112" s="134">
        <f>IF(ISNA(VLOOKUP(A112,'Données projet'!$A$217:$I$237,4,0)),0,VLOOKUP(A112,'Données projet'!$A$217:$I$237,4,0))</f>
        <v>0</v>
      </c>
      <c r="FN112" s="135">
        <f>IF(ISNA(VLOOKUP(A112,'Données projet'!$A$217:$I$237,5,0)),0%,VLOOKUP(A112,'Données projet'!$A$217:$I$237,5,0)*VLOOKUP('Données projet'!$B$16,'Paramètres'!$A$1:$I$89,7,0))</f>
        <v>0</v>
      </c>
      <c r="FO112" s="135">
        <f>IF(ISNA(VLOOKUP(A112,'Données projet'!$A$217:$I$237,6,0)),0%,VLOOKUP(A112,'Données projet'!$A$217:$I$237,6,0)*VLOOKUP('Données projet'!$B$16,'Paramètres'!$A$1:$I$89,7,0))</f>
        <v>0</v>
      </c>
      <c r="FP112" s="135">
        <f>IF(ISNA(VLOOKUP(A112,'Données projet'!$A$217:$I$237,7,0)),0%,VLOOKUP(A112,'Données projet'!$A$217:$I$237,7,0))</f>
        <v>0</v>
      </c>
      <c r="FQ112" s="142">
        <f>EXP(-LN(2)/35)*FQ111+(1-EXP(-LN(2)/35))/(LN(2)/35)*FM112*FN112*VLOOKUP('Données projet'!$B$16,'Paramètres'!$A$1:$I$89,3,0)*0.475*44/12</f>
        <v>37.25229909</v>
      </c>
      <c r="FR112" s="142">
        <f>EXP(-LN(2)/25)*FR111+(1-EXP(-LN(2)/25))/(LN(2)/25)*Calculateur!FM112*Calculateur!FO112*VLOOKUP('Données projet'!$B$16,'Paramètres'!$A$1:$I$89,3,0)*0.475*44/12</f>
        <v>0</v>
      </c>
      <c r="FS112" s="142">
        <f>EXP(-LN(2)/2)*FS111+(1-EXP(-LN(2)/2))/(LN(2)/2)*FM112*FP112*VLOOKUP('Données projet'!$B$16,'Paramètres'!$A$1:$I$89,3,0)*0.475*44/12</f>
        <v>0</v>
      </c>
      <c r="FT112" s="143">
        <f t="shared" si="25"/>
        <v>37.25229909</v>
      </c>
      <c r="FU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1" t="str">
        <f>VLOOKUP(A112,'Données projet'!$A$243:$I$263,2,0)</f>
        <v>#N/A</v>
      </c>
      <c r="FX112" s="131" t="str">
        <f>VLOOKUP(A112,'Données projet'!$A$243:$I$263,9,0)</f>
        <v>#N/A</v>
      </c>
      <c r="FY112" s="131" t="str">
        <f t="array" ref="FY112">INDEX(FX:FX,MIN(IF(ISNUMBER(FX112:FX308),ROW(FX112:FX308),"")))</f>
        <v/>
      </c>
      <c r="FZ112" s="138">
        <f>IF('Données projet'!$A$244&gt;35,FZ111+FY112-GH111,IF(A112&lt;'Données projet'!$A$244,$FW$205^A112,IF(A112='Données projet'!$A$244,'Données projet'!$B$244,FZ111+FY112-GH111)))</f>
        <v>0</v>
      </c>
      <c r="GA112" s="138">
        <f>FZ112*VLOOKUP('Données projet'!$B$17,'Paramètres'!$A$1:$I$89,3,0)*VLOOKUP('Données projet'!$B$17,'Paramètres'!$A$1:$I$89,5,0)</f>
        <v>0</v>
      </c>
      <c r="GB112" s="130">
        <f t="shared" si="50"/>
        <v>0</v>
      </c>
      <c r="GC112" s="141">
        <f t="shared" si="26"/>
        <v>0</v>
      </c>
      <c r="GD112" s="133">
        <f t="shared" si="27"/>
        <v>293.3333333</v>
      </c>
      <c r="GE112" s="133">
        <f>AVERAGE(OFFSET($GD$3,0,0,'Données projet'!$E$17+1,1))-AVERAGE(OFFSET($H$3,0,0,'Données projet'!$E$17+1,1))</f>
        <v>118.7368745</v>
      </c>
      <c r="GF112" s="133">
        <f t="shared" si="51"/>
        <v>135.1233677</v>
      </c>
      <c r="GG112" s="134">
        <f>IF(ISNA(VLOOKUP(A112,'Données projet'!$A$243:$I$263,3,0)),0,VLOOKUP(A112,'Données projet'!$A$243:$I$263,3,0))</f>
        <v>0</v>
      </c>
      <c r="GH112" s="134">
        <f>IF(ISNA(VLOOKUP(A112,'Données projet'!$A$243:$I$263,4,0)),0,VLOOKUP(A112,'Données projet'!$A$243:$I$263,4,0))</f>
        <v>0</v>
      </c>
      <c r="GI112" s="135">
        <f>IF(ISNA(VLOOKUP(A112,'Données projet'!$A$243:$I$263,5,0)),0%,VLOOKUP(A112,'Données projet'!$A$243:$I$263,5,0)*VLOOKUP('Données projet'!$B$17,'Paramètres'!$A$1:$I$89,7,0))</f>
        <v>0</v>
      </c>
      <c r="GJ112" s="135">
        <f>IF(ISNA(VLOOKUP(A112,'Données projet'!$A$243:$I$263,6,0)),0%,VLOOKUP(A112,'Données projet'!$A$243:$I$263,6,0)*VLOOKUP('Données projet'!$B$17,'Paramètres'!$A$1:$I$89,7,0))</f>
        <v>0</v>
      </c>
      <c r="GK112" s="135">
        <f>IF(ISNA(VLOOKUP(A112,'Données projet'!$A$243:$I$263,7,0)),0%,VLOOKUP(A112,'Données projet'!$A$243:$I$263,7,0))</f>
        <v>0</v>
      </c>
      <c r="GL112" s="142">
        <f>EXP(-LN(2)/35)*GL111+(1-EXP(-LN(2)/35))/(LN(2)/35)*GH112*GI112*VLOOKUP('Données projet'!$B$17,'Paramètres'!$A$1:$I$89,3,0)*0.475*44/12</f>
        <v>39.35693878</v>
      </c>
      <c r="GM112" s="142">
        <f>EXP(-LN(2)/25)*GM111+(1-EXP(-LN(2)/25))/(LN(2)/25)*Calculateur!GH112*Calculateur!GJ112*VLOOKUP('Données projet'!$B$17,'Paramètres'!$A$1:$I$89,3,0)*0.475*44/12</f>
        <v>0</v>
      </c>
      <c r="GN112" s="142">
        <f>EXP(-LN(2)/2)*GN111+(1-EXP(-LN(2)/2))/(LN(2)/2)*GH112*GK112*VLOOKUP('Données projet'!$B$17,'Paramètres'!$A$1:$I$89,3,0)*0.475*44/12</f>
        <v>0</v>
      </c>
      <c r="GO112" s="142">
        <f t="shared" si="28"/>
        <v>39.35693878</v>
      </c>
      <c r="GP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1" t="str">
        <f>VLOOKUP(A112,'Données projet'!$A$269:$I$289,2,0)</f>
        <v>#N/A</v>
      </c>
      <c r="GS112" s="131" t="str">
        <f>VLOOKUP(A112,'Données projet'!$A$269:$I$289,9,0)</f>
        <v>#N/A</v>
      </c>
      <c r="GT112" s="131" t="str">
        <f t="array" ref="GT112">INDEX(GS:GS,MIN(IF(ISNUMBER(GS112:GS308),ROW(GS112:GS308),"")))</f>
        <v/>
      </c>
      <c r="GU112" s="138">
        <f>IF('Données projet'!$A$270&gt;35,GU111+GT112-HC111,IF(A112&lt;'Données projet'!$A$270,$GR$205^A112,IF(A112='Données projet'!$A$270,'Données projet'!$B$270,GU111+GT112-HC111)))</f>
        <v>0</v>
      </c>
      <c r="GV112" s="138">
        <f>GU112*VLOOKUP('Données projet'!$B$18,'Paramètres'!$A$1:$I$89,3,0)*VLOOKUP('Données projet'!$B$18,'Paramètres'!$A$1:$I$89,5,0)</f>
        <v>0</v>
      </c>
      <c r="GW112" s="130" t="str">
        <f t="shared" si="52"/>
        <v>#NUM!</v>
      </c>
      <c r="GX112" s="141" t="str">
        <f t="shared" si="29"/>
        <v>#NUM!</v>
      </c>
      <c r="GY112" s="133" t="str">
        <f t="shared" si="30"/>
        <v>#NUM!</v>
      </c>
      <c r="GZ112" s="133">
        <f>AVERAGE(OFFSET($GY$3,0,0,'Données projet'!$E$18+1,1))-AVERAGE(OFFSET($H$3,0,0,'Données projet'!$E$18+1,1))</f>
        <v>100.5427875</v>
      </c>
      <c r="HA112" s="133">
        <f t="shared" si="53"/>
        <v>92.28663609</v>
      </c>
      <c r="HB112" s="134">
        <f>IF(ISNA(VLOOKUP(A112,'Données projet'!$A$269:$I$289,3,0)),0,VLOOKUP(A112,'Données projet'!$A$269:$I$289,3,0))</f>
        <v>0</v>
      </c>
      <c r="HC112" s="134">
        <f>IF(ISNA(VLOOKUP(A112,'Données projet'!$A$269:$I$289,4,0)),0,VLOOKUP(A112,'Données projet'!$A$269:$I$289,4,0))</f>
        <v>0</v>
      </c>
      <c r="HD112" s="135">
        <f>IF(ISNA(VLOOKUP(A112,'Données projet'!$A$269:$I$289,5,0)),0%,VLOOKUP(A112,'Données projet'!$A$269:$I$289,5,0)*VLOOKUP('Données projet'!$B$18,'Paramètres'!$A$1:$I$89,7,0))</f>
        <v>0</v>
      </c>
      <c r="HE112" s="135">
        <f>IF(ISNA(VLOOKUP(A112,'Données projet'!$A$269:$I$289,6,0)),0%,VLOOKUP(A112,'Données projet'!$A$269:$I$289,6,0)*VLOOKUP('Données projet'!$B$18,'Paramètres'!$A$1:$I$89,7,0))</f>
        <v>0</v>
      </c>
      <c r="HF112" s="135">
        <f>IF(ISNA(VLOOKUP(A112,'Données projet'!$A$269:$I$289,7,0)),0%,VLOOKUP(A112,'Données projet'!$A$269:$I$289,7,0))</f>
        <v>0</v>
      </c>
      <c r="HG112" s="142">
        <f>EXP(-LN(2)/35)*HG111+(1-EXP(-LN(2)/35))/(LN(2)/35)*HC112*HD112*VLOOKUP('Données projet'!$B$18,'Paramètres'!$A$1:$I$89,3,0)*0.475*44/12</f>
        <v>26.80124503</v>
      </c>
      <c r="HH112" s="142">
        <f>EXP(-LN(2)/25)*HH111+(1-EXP(-LN(2)/25))/(LN(2)/25)*Calculateur!HC112*Calculateur!HE112*VLOOKUP('Données projet'!$B$18,'Paramètres'!$A$1:$I$89,3,0)*0.475*44/12</f>
        <v>0</v>
      </c>
      <c r="HI112" s="142">
        <f>EXP(-LN(2)/2)*HI111+(1-EXP(-LN(2)/2))/(LN(2)/2)*HC112*HF112*VLOOKUP('Données projet'!$B$18,'Paramètres'!$A$1:$I$89,3,0)*0.475*44/12</f>
        <v>0</v>
      </c>
      <c r="HJ112" s="143">
        <f t="shared" si="31"/>
        <v>26.80124503</v>
      </c>
    </row>
    <row r="113" ht="15.75" customHeight="1">
      <c r="A113" s="125">
        <f t="shared" si="32"/>
        <v>110</v>
      </c>
      <c r="B113" s="126">
        <f>'Scénario référence'!$B$16*5+'Scénario référence'!$B$17*0+'Scénario référence'!$B$18*5</f>
        <v>0</v>
      </c>
      <c r="C113" s="140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60.06</v>
      </c>
      <c r="D113" s="127">
        <f t="shared" si="33"/>
        <v>17.18343801</v>
      </c>
      <c r="E11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7">
        <f>IF(OR('Scénario référence'!$F$8&gt;0,'Scénario référence'!$F$9&gt;0),('Scénario référence'!$F$8+'Scénario référence'!$F$9)*10,0)</f>
        <v>10</v>
      </c>
      <c r="G113" s="127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</v>
      </c>
      <c r="H113" s="128">
        <f t="shared" si="1"/>
        <v>427.8656545</v>
      </c>
      <c r="I113" s="12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1" t="str">
        <f>VLOOKUP(A113,'Données projet'!$A$35:$I$55,2,0)</f>
        <v>#N/A</v>
      </c>
      <c r="L113" s="131" t="str">
        <f>VLOOKUP(A113,'Données projet'!$A$35:$I$55,9,0)</f>
        <v>#N/A</v>
      </c>
      <c r="M113" s="131" t="str">
        <f t="array" ref="M113">INDEX(L:L,MIN(IF(ISNUMBER(L113:L309),ROW(L113:L309),"")))</f>
        <v/>
      </c>
      <c r="N113" s="130">
        <f>IF('Données projet'!$A$36&gt;35,N112+M113-V112,IF(A113&lt;'Données projet'!$A$36,$K$205^A113,IF(A113='Données projet'!$A$36,'Données projet'!$B$36,N112+M113-V112)))</f>
        <v>0</v>
      </c>
      <c r="O113" s="130">
        <f>N113*VLOOKUP('Données projet'!$B$9,'Paramètres'!$A$1:$I$89,3,0)*VLOOKUP('Données projet'!$B$9,'Paramètres'!$A$1:$I$89,5,0)</f>
        <v>0</v>
      </c>
      <c r="P113" s="130">
        <f t="shared" si="34"/>
        <v>0</v>
      </c>
      <c r="Q113" s="141">
        <f t="shared" si="2"/>
        <v>0</v>
      </c>
      <c r="R113" s="133">
        <f t="shared" si="3"/>
        <v>293.3333333</v>
      </c>
      <c r="S113" s="133">
        <f>AVERAGE(OFFSET($R$3,0,0,'Données projet'!$E$9+1,1))-AVERAGE(OFFSET($H$3,0,0,'Données projet'!$E$9+1,1))</f>
        <v>126.9946492</v>
      </c>
      <c r="T113" s="133">
        <f t="shared" si="35"/>
        <v>140.039049</v>
      </c>
      <c r="U113" s="134">
        <f>IF(ISNA(VLOOKUP(A113,'Données projet'!$A$35:$I$55,3,0)),0,VLOOKUP(A113,'Données projet'!$A$35:$I$55,3,0))</f>
        <v>0</v>
      </c>
      <c r="V113" s="134">
        <f>IF(ISNA(VLOOKUP(A113,'Données projet'!$A$35:$I$55,4,0)),0,VLOOKUP(A113,'Données projet'!$A$35:$I$55,4,0))</f>
        <v>0</v>
      </c>
      <c r="W113" s="135">
        <f>IF(ISNA(VLOOKUP(A113,'Données projet'!$A$35:$I$55,5,0)),0%,VLOOKUP(A113,'Données projet'!$A$35:$I$55,5,0)*VLOOKUP('Données projet'!$B$9,'Paramètres'!$A$1:$I$89,7,0))</f>
        <v>0</v>
      </c>
      <c r="X113" s="135">
        <f>IF(ISNA(VLOOKUP(A113,'Données projet'!$A$35:$I$55,6,0)),0%,VLOOKUP(A113,'Données projet'!$A$35:$I$55,6,0)*VLOOKUP('Données projet'!$B$9,'Paramètres'!$A$1:$I$89,7,0))</f>
        <v>0</v>
      </c>
      <c r="Y113" s="135">
        <f>IF(ISNA(VLOOKUP(A113,'Données projet'!$A$35:$I$55,7,0)),0%,VLOOKUP(A113,'Données projet'!$A$35:$I$55,7,0))</f>
        <v>0</v>
      </c>
      <c r="Z113" s="142">
        <f>EXP(-LN(2)/35)*Z112+(1-EXP(-LN(2)/35))/(LN(2)/35)*V113*W113*VLOOKUP('Données projet'!$B$9,'Paramètres'!$A$1:$I$89,3,0)*0.475*44/12</f>
        <v>39.46404301</v>
      </c>
      <c r="AA113" s="142">
        <f>EXP(-LN(2)/25)*AA112+(1-EXP(-LN(2)/25))/(LN(2)/25)*Calculateur!V113*Calculateur!X113*VLOOKUP('Données projet'!$B$9,'Paramètres'!$A$1:$I$89,3,0)*0.475*44/12</f>
        <v>5.809661848</v>
      </c>
      <c r="AB113" s="142">
        <f>EXP(-LN(2)/2)*AB112+(1-EXP(-LN(2)/2))/(LN(2)/2)*V113*Y113*VLOOKUP('Données projet'!$B$9,'Paramètres'!$A$1:$I$89,3,0)*0.475*44/12</f>
        <v>0.0000005659273628</v>
      </c>
      <c r="AC113" s="143">
        <f t="shared" si="4"/>
        <v>45.27370542</v>
      </c>
      <c r="AD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1" t="str">
        <f>VLOOKUP(A113,'Données projet'!$A$61:$I$81,2,0)</f>
        <v>#N/A</v>
      </c>
      <c r="AG113" s="131" t="str">
        <f>VLOOKUP(A113,'Données projet'!$A$61:$I$81,9,0)</f>
        <v>#N/A</v>
      </c>
      <c r="AH113" s="131" t="str">
        <f t="array" ref="AH113">INDEX(AG:AG,MIN(IF(ISNUMBER(AG113:AG309),ROW(AG113:AG309),"")))</f>
        <v/>
      </c>
      <c r="AI113" s="130">
        <f>IF('Données projet'!$A$62&gt;35,AI112+AH113-AQ112,IF(A113&lt;'Données projet'!$A$62,$AF$205^A113,IF(A113='Données projet'!$A$62,'Données projet'!$B$62,AI112+AH113-AQ112)))</f>
        <v>0</v>
      </c>
      <c r="AJ113" s="130">
        <f>AI113*VLOOKUP('Données projet'!$B$10,'Paramètres'!$A$1:$I$89,3,0)*VLOOKUP('Données projet'!$B$10,'Paramètres'!$A$1:$I$89,5,0)</f>
        <v>0</v>
      </c>
      <c r="AK113" s="130" t="str">
        <f t="shared" si="36"/>
        <v>#NUM!</v>
      </c>
      <c r="AL113" s="141" t="str">
        <f t="shared" si="5"/>
        <v>#NUM!</v>
      </c>
      <c r="AM113" s="133" t="str">
        <f t="shared" si="6"/>
        <v>#NUM!</v>
      </c>
      <c r="AN113" s="133">
        <f>AVERAGE(OFFSET($AM$3,0,0,'Données projet'!$E$10+1,1))-AVERAGE(OFFSET($H$3,0,0,'Données projet'!$E$10+1,1))</f>
        <v>196.874484</v>
      </c>
      <c r="AO113" s="133">
        <f t="shared" si="37"/>
        <v>217.5750859</v>
      </c>
      <c r="AP113" s="134">
        <f>IF(ISNA(VLOOKUP(A113,'Données projet'!$A$61:$I$81,3,0)),0,VLOOKUP(A113,'Données projet'!$A$61:$I$81,3,0))</f>
        <v>0</v>
      </c>
      <c r="AQ113" s="134">
        <f>IF(ISNA(VLOOKUP(A113,'Données projet'!$A$61:$I$81,4,0)),0,VLOOKUP(A113,'Données projet'!$A$61:$I$81,4,0))</f>
        <v>0</v>
      </c>
      <c r="AR113" s="135">
        <f>IF(ISNA(VLOOKUP(A113,'Données projet'!$A$61:$I$81,5,0)),0%,VLOOKUP(A113,'Données projet'!$A$61:$I$81,5,0)*VLOOKUP('Données projet'!$B$10,'Paramètres'!$A$1:$I$89,7,0))</f>
        <v>0</v>
      </c>
      <c r="AS113" s="135">
        <f>IF(ISNA(VLOOKUP(A113,'Données projet'!$A$61:$I$81,6,0)),0%,VLOOKUP(A113,'Données projet'!$A$61:$I$81,6,0)*VLOOKUP('Données projet'!$B$10,'Paramètres'!$A$1:$I$89,7,0))</f>
        <v>0</v>
      </c>
      <c r="AT113" s="135">
        <f>IF(ISNA(VLOOKUP(A113,'Données projet'!$A$61:$I$81,7,0)),0%,VLOOKUP(A113,'Données projet'!$A$61:$I$81,7,0))</f>
        <v>0</v>
      </c>
      <c r="AU113" s="142">
        <f>EXP(-LN(2)/35)*AU112+(1-EXP(-LN(2)/35))/(LN(2)/35)*AQ113*AR113*VLOOKUP('Données projet'!$B$10,'Paramètres'!$A$1:$I$89,3,0)*0.475*44/12</f>
        <v>54.85389885</v>
      </c>
      <c r="AV113" s="142">
        <f>EXP(-LN(2)/25)*AV112+(1-EXP(-LN(2)/25))/(LN(2)/25)*Calculateur!AQ113*Calculateur!AS113*VLOOKUP('Données projet'!$B$10,'Paramètres'!$A$1:$I$89,3,0)*0.475*44/12</f>
        <v>8.932362853</v>
      </c>
      <c r="AW113" s="142">
        <f>EXP(-LN(2)/2)*AW112+(1-EXP(-LN(2)/2))/(LN(2)/2)*AQ113*AT113*VLOOKUP('Données projet'!$B$10,'Paramètres'!$A$1:$I$89,3,0)*0.475*44/12</f>
        <v>0.000000789021564</v>
      </c>
      <c r="AX113" s="142">
        <f t="shared" si="7"/>
        <v>63.78626249</v>
      </c>
      <c r="AY113" s="13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1" t="str">
        <f>VLOOKUP(A113,'Données projet'!$A$87:$I$107,2,0)</f>
        <v>#N/A</v>
      </c>
      <c r="BB113" s="131" t="str">
        <f>VLOOKUP(A113,'Données projet'!$A$87:$I$107,9,0)</f>
        <v>#N/A</v>
      </c>
      <c r="BC113" s="131" t="str">
        <f t="array" ref="BC113">INDEX(BB:BB,MIN(IF(ISNUMBER(BB113:BB309),ROW(BB113:BB309),"")))</f>
        <v/>
      </c>
      <c r="BD113" s="130">
        <f>IF('Données projet'!$A$88&gt;35,BD112+BC113-BL112,IF(A113&lt;'Données projet'!$A$88,$BA$205^A113,IF(A113='Données projet'!$A$88,'Données projet'!$B$88,BD112+BC113-BL112)))</f>
        <v>0</v>
      </c>
      <c r="BE113" s="130">
        <f>BD113*VLOOKUP('Données projet'!$B$11,'Paramètres'!$A$1:$I$89,3,0)*VLOOKUP('Données projet'!$B$11,'Paramètres'!$A$1:$I$89,5,0)</f>
        <v>0</v>
      </c>
      <c r="BF113" s="130" t="str">
        <f t="shared" si="38"/>
        <v>#NUM!</v>
      </c>
      <c r="BG113" s="141" t="str">
        <f t="shared" si="8"/>
        <v>#NUM!</v>
      </c>
      <c r="BH113" s="133" t="str">
        <f t="shared" si="9"/>
        <v>#NUM!</v>
      </c>
      <c r="BI113" s="133">
        <f>AVERAGE(OFFSET($BH$3,0,0,'Données projet'!$E$11+1,1))-AVERAGE(OFFSET($H$3,0,0,'Données projet'!$E$11+1,1))</f>
        <v>134.0948534</v>
      </c>
      <c r="BJ113" s="133">
        <f t="shared" si="39"/>
        <v>108.4102536</v>
      </c>
      <c r="BK113" s="134">
        <f>IF(ISNA(VLOOKUP(A113,'Données projet'!$A$87:$I$107,3,0)),0,VLOOKUP(A113,'Données projet'!$A$87:$I$107,3,0))</f>
        <v>0</v>
      </c>
      <c r="BL113" s="134">
        <f>IF(ISNA(VLOOKUP(A113,'Données projet'!$A$87:$I$107,4,0)),0,VLOOKUP(A113,'Données projet'!$A$87:$I$107,4,0))</f>
        <v>0</v>
      </c>
      <c r="BM113" s="135">
        <f>IF(ISNA(VLOOKUP(A113,'Données projet'!$A$87:$I$107,5,0)),0%,VLOOKUP(A113,'Données projet'!$A$87:$I$107,5,0)*VLOOKUP('Données projet'!$B$11,'Paramètres'!$A$1:$I$89,7,0))</f>
        <v>0</v>
      </c>
      <c r="BN113" s="135">
        <f>IF(ISNA(VLOOKUP(A113,'Données projet'!$A$87:$I$107,6,0)),0%,VLOOKUP(A113,'Données projet'!$A$87:$I$107,6,0)*VLOOKUP('Données projet'!$B$11,'Paramètres'!$A$1:$I$89,7,0))</f>
        <v>0</v>
      </c>
      <c r="BO113" s="135">
        <f>IF(ISNA(VLOOKUP(A113,'Données projet'!$A$87:$I$107,7,0)),0%,VLOOKUP(A113,'Données projet'!$A$87:$I$107,7,0))</f>
        <v>0</v>
      </c>
      <c r="BP113" s="142">
        <f>EXP(-LN(2)/35)*BP112+(1-EXP(-LN(2)/35))/(LN(2)/35)*BL113*BM113*VLOOKUP('Données projet'!$B$11,'Paramètres'!$A$1:$I$89,3,0)*0.475*44/12</f>
        <v>75.87318654</v>
      </c>
      <c r="BQ113" s="142">
        <f>EXP(-LN(2)/25)*BQ112+(1-EXP(-LN(2)/25))/(LN(2)/25)*Calculateur!BL113*Calculateur!BN113*VLOOKUP('Données projet'!$B$11,'Paramètres'!$A$1:$I$89,3,0)*0.475*44/12</f>
        <v>5.634542157</v>
      </c>
      <c r="BR113" s="142">
        <f>EXP(-LN(2)/2)*BR112+(1-EXP(-LN(2)/2))/(LN(2)/2)*BL113*BO113*VLOOKUP('Données projet'!$B$11,'Paramètres'!$A$1:$I$89,3,0)*0.475*44/12</f>
        <v>0.00001052441533</v>
      </c>
      <c r="BS113" s="143">
        <f t="shared" si="10"/>
        <v>81.50773922</v>
      </c>
      <c r="BT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1" t="str">
        <f>VLOOKUP(A113,'Données projet'!$A$113:$I$133,2,0)</f>
        <v>#N/A</v>
      </c>
      <c r="BW113" s="131" t="str">
        <f>VLOOKUP(A113,'Données projet'!$A$113:$I$133,9,0)</f>
        <v>#N/A</v>
      </c>
      <c r="BX113" s="131" t="str">
        <f t="array" ref="BX113">INDEX(BW:BW,MIN(IF(ISNUMBER(BW113:BW309),ROW(BW113:BW309),"")))</f>
        <v/>
      </c>
      <c r="BY113" s="130">
        <f>IF('Données projet'!$A$114&gt;35,BY112+BX113-CG112,IF(A113&lt;'Données projet'!$A$114,$BV$205^A113,IF(A113='Données projet'!$A$114,'Données projet'!$B$114,BY112+BX113-CG112)))</f>
        <v>0</v>
      </c>
      <c r="BZ113" s="130">
        <f>BY113*VLOOKUP('Données projet'!$B$12,'Paramètres'!$A$1:$I$89,3,0)*VLOOKUP('Données projet'!$B$12,'Paramètres'!$A$1:$I$89,5,0)</f>
        <v>0</v>
      </c>
      <c r="CA113" s="130" t="str">
        <f t="shared" si="40"/>
        <v>#NUM!</v>
      </c>
      <c r="CB113" s="141" t="str">
        <f t="shared" si="11"/>
        <v>#NUM!</v>
      </c>
      <c r="CC113" s="133" t="str">
        <f t="shared" si="12"/>
        <v>#NUM!</v>
      </c>
      <c r="CD113" s="133">
        <f>AVERAGE(OFFSET($CC$3,0,0,'Données projet'!$E$12+1,1))-AVERAGE(OFFSET($H$3,0,0,'Données projet'!$E$12+1,1))</f>
        <v>258.1672054</v>
      </c>
      <c r="CE113" s="133">
        <f t="shared" si="41"/>
        <v>296.0724261</v>
      </c>
      <c r="CF113" s="134">
        <f>IF(ISNA(VLOOKUP(A113,'Données projet'!$A$113:$I$133,3,0)),0,VLOOKUP(A113,'Données projet'!$A$113:$I$133,3,0))</f>
        <v>0</v>
      </c>
      <c r="CG113" s="134">
        <f>IF(ISNA(VLOOKUP(A113,'Données projet'!$A$113:$I$133,4,0)),0,VLOOKUP(A113,'Données projet'!$A$113:$I$133,4,0))</f>
        <v>0</v>
      </c>
      <c r="CH113" s="135">
        <f>IF(ISNA(VLOOKUP(A113,'Données projet'!$A$113:$I$133,5,0)),0%,VLOOKUP(A113,'Données projet'!$A$113:$I$133,5,0)*VLOOKUP('Données projet'!$B$12,'Paramètres'!$A$1:$I$89,7,0))</f>
        <v>0</v>
      </c>
      <c r="CI113" s="135">
        <f>IF(ISNA(VLOOKUP(A113,'Données projet'!$A$113:$I$133,6,0)),0%,VLOOKUP(A113,'Données projet'!$A$113:$I$133,6,0)*VLOOKUP('Données projet'!$B$12,'Paramètres'!$A$1:$I$89,7,0))</f>
        <v>0</v>
      </c>
      <c r="CJ113" s="135">
        <f>IF(ISNA(VLOOKUP(A113,'Données projet'!$A$113:$I$133,7,0)),0%,VLOOKUP(A113,'Données projet'!$A$113:$I$133,7,0))</f>
        <v>0</v>
      </c>
      <c r="CK113" s="142">
        <f>EXP(-LN(2)/35)*CK112+(1-EXP(-LN(2)/35))/(LN(2)/35)*CG113*CH113*VLOOKUP('Données projet'!$B$12,'Paramètres'!$A$1:$I$89,3,0)*0.475*44/12</f>
        <v>95.92691834</v>
      </c>
      <c r="CL113" s="142">
        <f>EXP(-LN(2)/25)*CL112+(1-EXP(-LN(2)/25))/(LN(2)/25)*Calculateur!CG113*Calculateur!CI113*VLOOKUP('Données projet'!$B$12,'Paramètres'!$A$1:$I$89,3,0)*0.475*44/12</f>
        <v>9.883306801</v>
      </c>
      <c r="CM113" s="142">
        <f>EXP(-LN(2)/2)*CM112+(1-EXP(-LN(2)/2))/(LN(2)/2)*CG113*CJ113*VLOOKUP('Données projet'!$B$12,'Paramètres'!$A$1:$I$89,3,0)*0.475*44/12</f>
        <v>0.0000004433811957</v>
      </c>
      <c r="CN113" s="143">
        <f t="shared" si="13"/>
        <v>105.8102256</v>
      </c>
      <c r="CO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8">
        <f>VLOOKUP(A113,'Données projet'!$A$139:$I$159,2,0)</f>
        <v>219</v>
      </c>
      <c r="CR113" s="130">
        <f>VLOOKUP(A113,'Données projet'!$A$139:$I$159,9,0)</f>
        <v>1.7</v>
      </c>
      <c r="CS113" s="130">
        <f t="array" ref="CS113">INDEX(CR:CR,MIN(IF(ISNUMBER(CR113:CR309),ROW(CR113:CR309),"")))</f>
        <v>1.7</v>
      </c>
      <c r="CT113" s="138">
        <f>IF('Données projet'!$A$140&gt;35,CT112+CS113-DB112,IF(A113&lt;'Données projet'!$A$140,$CQ$205^A113,IF(A113='Données projet'!$A$140,'Données projet'!$B$140,CT112+CS113-DB112)))</f>
        <v>219</v>
      </c>
      <c r="CU113" s="138">
        <f>CT113*VLOOKUP('Données projet'!$B$13,'Paramètres'!$A$1:$I$89,3,0)*VLOOKUP('Données projet'!$B$13,'Paramètres'!$A$1:$I$89,5,0)</f>
        <v>222.066</v>
      </c>
      <c r="CV113" s="130">
        <f t="shared" si="42"/>
        <v>54.56367605</v>
      </c>
      <c r="CW113" s="141">
        <f t="shared" si="14"/>
        <v>481.7966858</v>
      </c>
      <c r="CX113" s="133">
        <f t="shared" si="15"/>
        <v>775.1300191</v>
      </c>
      <c r="CY113" s="133">
        <f>AVERAGE(OFFSET($CX$3,0,0,'Données projet'!$E$13+1,1))-AVERAGE(OFFSET($H$3,0,0,'Données projet'!$E$13+1,1))</f>
        <v>223.783507</v>
      </c>
      <c r="CZ113" s="133">
        <f t="shared" si="43"/>
        <v>84.92349117</v>
      </c>
      <c r="DA113" s="134">
        <f>IF(ISNA(VLOOKUP(A113,'Données projet'!$A$139:$I$159,3,0)),0,VLOOKUP(A113,'Données projet'!$A$139:$I$159,3,0))</f>
        <v>16</v>
      </c>
      <c r="DB113" s="144">
        <f>IF(ISNA(VLOOKUP(A113,'Données projet'!$A$139:$I$159,4,0)),0,VLOOKUP(A113,'Données projet'!$A$139:$I$159,4,0))</f>
        <v>13</v>
      </c>
      <c r="DC113" s="135">
        <f>IF(ISNA(VLOOKUP(A113,'Données projet'!$A$139:$I$159,5,0)),0%,VLOOKUP(A113,'Données projet'!$A$139:$I$159,5,0)*VLOOKUP('Données projet'!$B$13,'Paramètres'!$A$1:$I$89,7,0))</f>
        <v>0.301</v>
      </c>
      <c r="DD113" s="135">
        <f>IF(ISNA(VLOOKUP(A113,'Données projet'!$A$139:$I$159,6,0)),0%,VLOOKUP(A113,'Données projet'!$A$139:$I$159,6,0)*VLOOKUP('Données projet'!$B$13,'Paramètres'!$A$1:$I$89,7,0))</f>
        <v>0</v>
      </c>
      <c r="DE113" s="135" t="str">
        <f>IF(ISNA(VLOOKUP(A113,'Données projet'!$A$139:$I$159,7,0)),0%,VLOOKUP(A113,'Données projet'!$A$139:$I$159,7,0))</f>
        <v/>
      </c>
      <c r="DF113" s="142">
        <f>EXP(-LN(2)/35)*DF112+(1-EXP(-LN(2)/35))/(LN(2)/35)*DB113*DC113*VLOOKUP('Données projet'!$B$13,'Paramètres'!$A$1:$I$89,3,0)*0.475*44/12</f>
        <v>21.54999442</v>
      </c>
      <c r="DG113" s="142">
        <f>EXP(-LN(2)/25)*DG112+(1-EXP(-LN(2)/25))/(LN(2)/25)*Calculateur!DB113*Calculateur!DD113*VLOOKUP('Données projet'!$B$13,'Paramètres'!$A$1:$I$89,3,0)*0.475*44/12</f>
        <v>0</v>
      </c>
      <c r="DH113" s="142">
        <f>EXP(-LN(2)/2)*DH112+(1-EXP(-LN(2)/2))/(LN(2)/2)*DB113*DE113*VLOOKUP('Données projet'!$B$13,'Paramètres'!$A$1:$I$89,3,0)*0.475*44/12</f>
        <v>0</v>
      </c>
      <c r="DI113" s="143">
        <f t="shared" si="16"/>
        <v>21.54999442</v>
      </c>
      <c r="DJ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8">
        <f>VLOOKUP(A113,'Données projet'!$A$165:$I$185,2,0)</f>
        <v>285</v>
      </c>
      <c r="DM113" s="131">
        <f>VLOOKUP(A113,'Données projet'!$A$165:$I$185,9,0)</f>
        <v>2.4</v>
      </c>
      <c r="DN113" s="131">
        <f t="array" ref="DN113">INDEX(DM:DM,MIN(IF(ISNUMBER(DM113:DM309),ROW(DM113:DM309),"")))</f>
        <v>2.4</v>
      </c>
      <c r="DO113" s="138">
        <f>IF('Données projet'!$A$166&gt;35,DO112+DN113-DW112,IF(A113&lt;'Données projet'!$A$166,$DL$205^A113,IF(A113='Données projet'!$A$166,'Données projet'!$B$166,DO112+DN113-DW112)))</f>
        <v>285</v>
      </c>
      <c r="DP113" s="138">
        <f>DO113*VLOOKUP('Données projet'!$B$14,'Paramètres'!$A$1:$I$89,3,0)*VLOOKUP('Données projet'!$B$14,'Paramètres'!$A$1:$I$89,5,0)</f>
        <v>257.868</v>
      </c>
      <c r="DQ113" s="130">
        <f t="shared" si="44"/>
        <v>62.26770416</v>
      </c>
      <c r="DR113" s="141">
        <f t="shared" si="17"/>
        <v>557.5696848</v>
      </c>
      <c r="DS113" s="133">
        <f t="shared" si="18"/>
        <v>850.9030181</v>
      </c>
      <c r="DT113" s="133">
        <f>AVERAGE(OFFSET($DS$3,0,0,'Données projet'!$E$14+1,1))-AVERAGE(OFFSET($H$3,0,0,'Données projet'!$E$14+1,1))</f>
        <v>287.9334714</v>
      </c>
      <c r="DU113" s="133">
        <f t="shared" si="45"/>
        <v>156.6796502</v>
      </c>
      <c r="DV113" s="134">
        <f>IF(ISNA(VLOOKUP(A113,'Données projet'!$A$165:$I$185,3,0)),0,VLOOKUP(A113,'Données projet'!$A$165:$I$185,3,0))</f>
        <v>17</v>
      </c>
      <c r="DW113" s="144">
        <f>IF(ISNA(VLOOKUP(A113,'Données projet'!$A$165:$I$185,4,0)),0,VLOOKUP(A113,'Données projet'!$A$165:$I$185,4,0))</f>
        <v>19</v>
      </c>
      <c r="DX113" s="135">
        <f>IF(ISNA(VLOOKUP(A113,'Données projet'!$A$165:$I$185,5,0)),0%,VLOOKUP(A113,'Données projet'!$A$165:$I$185,5,0)*VLOOKUP('Données projet'!$B$14,'Paramètres'!$A$1:$I$89,7,0))</f>
        <v>0.344</v>
      </c>
      <c r="DY113" s="135">
        <f>IF(ISNA(VLOOKUP(A113,'Données projet'!$A$165:$I$185,6,0)),0%,VLOOKUP(A113,'Données projet'!$A$165:$I$185,6,0)*VLOOKUP('Données projet'!$B$14,'Paramètres'!$A$1:$I$89,7,0))</f>
        <v>0</v>
      </c>
      <c r="DZ113" s="135" t="str">
        <f>IF(ISNA(VLOOKUP(A113,'Données projet'!$A$165:$I$185,7,0)),0%,VLOOKUP(A113,'Données projet'!$A$165:$I$185,7,0))</f>
        <v/>
      </c>
      <c r="EA113" s="142">
        <f>EXP(-LN(2)/35)*EA112+(1-EXP(-LN(2)/35))/(LN(2)/35)*DW113*DX113*VLOOKUP('Données projet'!$B$14,'Paramètres'!$A$1:$I$89,3,0)*0.475*44/12</f>
        <v>32.08834359</v>
      </c>
      <c r="EB113" s="142">
        <f>EXP(-LN(2)/25)*EB112+(1-EXP(-LN(2)/25))/(LN(2)/25)*Calculateur!DW113*Calculateur!DY113*VLOOKUP('Données projet'!$B$14,'Paramètres'!$A$1:$I$89,3,0)*0.475*44/12</f>
        <v>0</v>
      </c>
      <c r="EC113" s="142">
        <f>EXP(-LN(2)/2)*EC112+(1-EXP(-LN(2)/2))/(LN(2)/2)*DW113*DZ113*VLOOKUP('Données projet'!$B$14,'Paramètres'!$A$1:$I$89,3,0)*0.475*44/12</f>
        <v>0</v>
      </c>
      <c r="ED113" s="143">
        <f t="shared" si="19"/>
        <v>32.08834359</v>
      </c>
      <c r="EE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1" t="str">
        <f>VLOOKUP(A113,'Données projet'!$A$191:$I$211,2,0)</f>
        <v>#N/A</v>
      </c>
      <c r="EH113" s="131" t="str">
        <f>VLOOKUP(A113,'Données projet'!$A$191:$I$211,9,0)</f>
        <v>#N/A</v>
      </c>
      <c r="EI113" s="131" t="str">
        <f t="array" ref="EI113">INDEX(EH:EH,MIN(IF(ISNUMBER(EH113:EH309),ROW(EH113:EH309),"")))</f>
        <v/>
      </c>
      <c r="EJ113" s="138">
        <f>IF('Données projet'!$A$192&gt;35,EJ112+EI113-ER112,IF(A113&lt;'Données projet'!$A$192,$EG$205^A113,IF(A113='Données projet'!$A$192,'Données projet'!$B$192,EJ112+EI113-ER112)))</f>
        <v>0</v>
      </c>
      <c r="EK113" s="138">
        <f>EJ113*VLOOKUP('Données projet'!$B$15,'Paramètres'!$A$1:$I$89,3,0)*VLOOKUP('Données projet'!$B$15,'Paramètres'!$A$1:$I$89,5,0)</f>
        <v>0</v>
      </c>
      <c r="EL113" s="130" t="str">
        <f t="shared" si="46"/>
        <v>#NUM!</v>
      </c>
      <c r="EM113" s="141" t="str">
        <f t="shared" si="20"/>
        <v>#NUM!</v>
      </c>
      <c r="EN113" s="133" t="str">
        <f t="shared" si="21"/>
        <v>#NUM!</v>
      </c>
      <c r="EO113" s="133">
        <f>AVERAGE(OFFSET($EN$3,0,0,'Données projet'!$E$15+1,1))-AVERAGE(OFFSET($H$3,0,0,'Données projet'!$E$15+1,1))</f>
        <v>130.3193339</v>
      </c>
      <c r="EP113" s="133">
        <f t="shared" si="47"/>
        <v>82.22784365</v>
      </c>
      <c r="EQ113" s="134">
        <f>IF(ISNA(VLOOKUP(A113,'Données projet'!$A$191:$I$211,3,0)),0,VLOOKUP(A113,'Données projet'!$A$191:$I$211,3,0))</f>
        <v>0</v>
      </c>
      <c r="ER113" s="134">
        <f>IF(ISNA(VLOOKUP(A113,'Données projet'!$A$191:$I$211,4,0)),0,VLOOKUP(A113,'Données projet'!$A$191:$I$211,4,0))</f>
        <v>0</v>
      </c>
      <c r="ES113" s="135">
        <f>IF(ISNA(VLOOKUP(A113,'Données projet'!$A$191:$I$211,5,0)),0%,VLOOKUP(A113,'Données projet'!$A$191:$I$211,5,0)*VLOOKUP('Données projet'!$B$15,'Paramètres'!$A$1:$I$89,7,0))</f>
        <v>0</v>
      </c>
      <c r="ET113" s="135">
        <f>IF(ISNA(VLOOKUP(A113,'Données projet'!$A$191:$I$211,6,0)),0%,VLOOKUP(A113,'Données projet'!$A$191:$I$211,6,0)*VLOOKUP('Données projet'!$B$15,'Paramètres'!$A$1:$I$89,7,0))</f>
        <v>0</v>
      </c>
      <c r="EU113" s="135">
        <f>IF(ISNA(VLOOKUP(A113,'Données projet'!$A$191:$I$211,7,0)),0%,VLOOKUP(A113,'Données projet'!$A$191:$I$211,7,0))</f>
        <v>0</v>
      </c>
      <c r="EV113" s="142">
        <f>EXP(-LN(2)/35)*EV112+(1-EXP(-LN(2)/35))/(LN(2)/35)*ER113*ES113*VLOOKUP('Données projet'!$B$15,'Paramètres'!$A$1:$I$89,3,0)*0.475*44/12</f>
        <v>58.6573261</v>
      </c>
      <c r="EW113" s="142">
        <f>EXP(-LN(2)/25)*EW112+(1-EXP(-LN(2)/25))/(LN(2)/25)*Calculateur!ER113*Calculateur!ET113*VLOOKUP('Données projet'!$B$15,'Paramètres'!$A$1:$I$89,3,0)*0.475*44/12</f>
        <v>0</v>
      </c>
      <c r="EX113" s="142">
        <f>EXP(-LN(2)/2)*EX112+(1-EXP(-LN(2)/2))/(LN(2)/2)*ER113*EU113*VLOOKUP('Données projet'!$B$15,'Paramètres'!$A$1:$I$89,3,0)*0.475*44/12</f>
        <v>0</v>
      </c>
      <c r="EY113" s="143">
        <f t="shared" si="22"/>
        <v>58.6573261</v>
      </c>
      <c r="EZ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1" t="str">
        <f>VLOOKUP(A113,'Données projet'!$A$217:$I$237,2,0)</f>
        <v>#N/A</v>
      </c>
      <c r="FC113" s="131" t="str">
        <f>VLOOKUP(A113,'Données projet'!$A$217:$I$237,9,0)</f>
        <v>#N/A</v>
      </c>
      <c r="FD113" s="131" t="str">
        <f t="array" ref="FD113">INDEX(FC:FC,MIN(IF(ISNUMBER(FC113:FC309),ROW(FC113:FC309),"")))</f>
        <v/>
      </c>
      <c r="FE113" s="130">
        <f>IF('Données projet'!$A$218&gt;35,FE112+FD113-FM112,IF(A113&lt;'Données projet'!$A$218,$FB$205^A113,IF(A113='Données projet'!$A$218,'Données projet'!$B$218,FE112+FD113-FM112)))</f>
        <v>0</v>
      </c>
      <c r="FF113" s="138">
        <f>FE113*VLOOKUP('Données projet'!$B$16,'Paramètres'!$A$1:$I$89,3,0)*VLOOKUP('Données projet'!$B$16,'Paramètres'!$A$1:$I$89,5,0)</f>
        <v>0</v>
      </c>
      <c r="FG113" s="130">
        <f t="shared" si="48"/>
        <v>0</v>
      </c>
      <c r="FH113" s="141">
        <f t="shared" si="23"/>
        <v>0</v>
      </c>
      <c r="FI113" s="133">
        <f t="shared" si="24"/>
        <v>293.3333333</v>
      </c>
      <c r="FJ113" s="133">
        <f>AVERAGE(OFFSET($FI$3,0,0,'Données projet'!$E$16+1,1))-AVERAGE(OFFSET($H$3,0,0,'Données projet'!$E$16+1,1))</f>
        <v>305.6252353</v>
      </c>
      <c r="FK113" s="133">
        <f t="shared" si="49"/>
        <v>331.397916</v>
      </c>
      <c r="FL113" s="134">
        <f>IF(ISNA(VLOOKUP(A113,'Données projet'!$A$217:$I$237,3,0)),0,VLOOKUP(A113,'Données projet'!$A$217:$I$237,3,0))</f>
        <v>0</v>
      </c>
      <c r="FM113" s="134">
        <f>IF(ISNA(VLOOKUP(A113,'Données projet'!$A$217:$I$237,4,0)),0,VLOOKUP(A113,'Données projet'!$A$217:$I$237,4,0))</f>
        <v>0</v>
      </c>
      <c r="FN113" s="135">
        <f>IF(ISNA(VLOOKUP(A113,'Données projet'!$A$217:$I$237,5,0)),0%,VLOOKUP(A113,'Données projet'!$A$217:$I$237,5,0)*VLOOKUP('Données projet'!$B$16,'Paramètres'!$A$1:$I$89,7,0))</f>
        <v>0</v>
      </c>
      <c r="FO113" s="135">
        <f>IF(ISNA(VLOOKUP(A113,'Données projet'!$A$217:$I$237,6,0)),0%,VLOOKUP(A113,'Données projet'!$A$217:$I$237,6,0)*VLOOKUP('Données projet'!$B$16,'Paramètres'!$A$1:$I$89,7,0))</f>
        <v>0</v>
      </c>
      <c r="FP113" s="135">
        <f>IF(ISNA(VLOOKUP(A113,'Données projet'!$A$217:$I$237,7,0)),0%,VLOOKUP(A113,'Données projet'!$A$217:$I$237,7,0))</f>
        <v>0</v>
      </c>
      <c r="FQ113" s="142">
        <f>EXP(-LN(2)/35)*FQ112+(1-EXP(-LN(2)/35))/(LN(2)/35)*FM113*FN113*VLOOKUP('Données projet'!$B$16,'Paramètres'!$A$1:$I$89,3,0)*0.475*44/12</f>
        <v>36.52180422</v>
      </c>
      <c r="FR113" s="142">
        <f>EXP(-LN(2)/25)*FR112+(1-EXP(-LN(2)/25))/(LN(2)/25)*Calculateur!FM113*Calculateur!FO113*VLOOKUP('Données projet'!$B$16,'Paramètres'!$A$1:$I$89,3,0)*0.475*44/12</f>
        <v>0</v>
      </c>
      <c r="FS113" s="142">
        <f>EXP(-LN(2)/2)*FS112+(1-EXP(-LN(2)/2))/(LN(2)/2)*FM113*FP113*VLOOKUP('Données projet'!$B$16,'Paramètres'!$A$1:$I$89,3,0)*0.475*44/12</f>
        <v>0</v>
      </c>
      <c r="FT113" s="143">
        <f t="shared" si="25"/>
        <v>36.52180422</v>
      </c>
      <c r="FU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1" t="str">
        <f>VLOOKUP(A113,'Données projet'!$A$243:$I$263,2,0)</f>
        <v>#N/A</v>
      </c>
      <c r="FX113" s="131" t="str">
        <f>VLOOKUP(A113,'Données projet'!$A$243:$I$263,9,0)</f>
        <v>#N/A</v>
      </c>
      <c r="FY113" s="131" t="str">
        <f t="array" ref="FY113">INDEX(FX:FX,MIN(IF(ISNUMBER(FX113:FX309),ROW(FX113:FX309),"")))</f>
        <v/>
      </c>
      <c r="FZ113" s="138">
        <f>IF('Données projet'!$A$244&gt;35,FZ112+FY113-GH112,IF(A113&lt;'Données projet'!$A$244,$FW$205^A113,IF(A113='Données projet'!$A$244,'Données projet'!$B$244,FZ112+FY113-GH112)))</f>
        <v>0</v>
      </c>
      <c r="GA113" s="138">
        <f>FZ113*VLOOKUP('Données projet'!$B$17,'Paramètres'!$A$1:$I$89,3,0)*VLOOKUP('Données projet'!$B$17,'Paramètres'!$A$1:$I$89,5,0)</f>
        <v>0</v>
      </c>
      <c r="GB113" s="130">
        <f t="shared" si="50"/>
        <v>0</v>
      </c>
      <c r="GC113" s="141">
        <f t="shared" si="26"/>
        <v>0</v>
      </c>
      <c r="GD113" s="133">
        <f t="shared" si="27"/>
        <v>293.3333333</v>
      </c>
      <c r="GE113" s="133">
        <f>AVERAGE(OFFSET($GD$3,0,0,'Données projet'!$E$17+1,1))-AVERAGE(OFFSET($H$3,0,0,'Données projet'!$E$17+1,1))</f>
        <v>118.7368745</v>
      </c>
      <c r="GF113" s="133">
        <f t="shared" si="51"/>
        <v>135.1233677</v>
      </c>
      <c r="GG113" s="134">
        <f>IF(ISNA(VLOOKUP(A113,'Données projet'!$A$243:$I$263,3,0)),0,VLOOKUP(A113,'Données projet'!$A$243:$I$263,3,0))</f>
        <v>0</v>
      </c>
      <c r="GH113" s="134">
        <f>IF(ISNA(VLOOKUP(A113,'Données projet'!$A$243:$I$263,4,0)),0,VLOOKUP(A113,'Données projet'!$A$243:$I$263,4,0))</f>
        <v>0</v>
      </c>
      <c r="GI113" s="135">
        <f>IF(ISNA(VLOOKUP(A113,'Données projet'!$A$243:$I$263,5,0)),0%,VLOOKUP(A113,'Données projet'!$A$243:$I$263,5,0)*VLOOKUP('Données projet'!$B$17,'Paramètres'!$A$1:$I$89,7,0))</f>
        <v>0</v>
      </c>
      <c r="GJ113" s="135">
        <f>IF(ISNA(VLOOKUP(A113,'Données projet'!$A$243:$I$263,6,0)),0%,VLOOKUP(A113,'Données projet'!$A$243:$I$263,6,0)*VLOOKUP('Données projet'!$B$17,'Paramètres'!$A$1:$I$89,7,0))</f>
        <v>0</v>
      </c>
      <c r="GK113" s="135">
        <f>IF(ISNA(VLOOKUP(A113,'Données projet'!$A$243:$I$263,7,0)),0%,VLOOKUP(A113,'Données projet'!$A$243:$I$263,7,0))</f>
        <v>0</v>
      </c>
      <c r="GL113" s="142">
        <f>EXP(-LN(2)/35)*GL112+(1-EXP(-LN(2)/35))/(LN(2)/35)*GH113*GI113*VLOOKUP('Données projet'!$B$17,'Paramètres'!$A$1:$I$89,3,0)*0.475*44/12</f>
        <v>38.58517322</v>
      </c>
      <c r="GM113" s="142">
        <f>EXP(-LN(2)/25)*GM112+(1-EXP(-LN(2)/25))/(LN(2)/25)*Calculateur!GH113*Calculateur!GJ113*VLOOKUP('Données projet'!$B$17,'Paramètres'!$A$1:$I$89,3,0)*0.475*44/12</f>
        <v>0</v>
      </c>
      <c r="GN113" s="142">
        <f>EXP(-LN(2)/2)*GN112+(1-EXP(-LN(2)/2))/(LN(2)/2)*GH113*GK113*VLOOKUP('Données projet'!$B$17,'Paramètres'!$A$1:$I$89,3,0)*0.475*44/12</f>
        <v>0</v>
      </c>
      <c r="GO113" s="142">
        <f t="shared" si="28"/>
        <v>38.58517322</v>
      </c>
      <c r="GP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1" t="str">
        <f>VLOOKUP(A113,'Données projet'!$A$269:$I$289,2,0)</f>
        <v>#N/A</v>
      </c>
      <c r="GS113" s="131" t="str">
        <f>VLOOKUP(A113,'Données projet'!$A$269:$I$289,9,0)</f>
        <v>#N/A</v>
      </c>
      <c r="GT113" s="131" t="str">
        <f t="array" ref="GT113">INDEX(GS:GS,MIN(IF(ISNUMBER(GS113:GS309),ROW(GS113:GS309),"")))</f>
        <v/>
      </c>
      <c r="GU113" s="138">
        <f>IF('Données projet'!$A$270&gt;35,GU112+GT113-HC112,IF(A113&lt;'Données projet'!$A$270,$GR$205^A113,IF(A113='Données projet'!$A$270,'Données projet'!$B$270,GU112+GT113-HC112)))</f>
        <v>0</v>
      </c>
      <c r="GV113" s="138">
        <f>GU113*VLOOKUP('Données projet'!$B$18,'Paramètres'!$A$1:$I$89,3,0)*VLOOKUP('Données projet'!$B$18,'Paramètres'!$A$1:$I$89,5,0)</f>
        <v>0</v>
      </c>
      <c r="GW113" s="130" t="str">
        <f t="shared" si="52"/>
        <v>#NUM!</v>
      </c>
      <c r="GX113" s="141" t="str">
        <f t="shared" si="29"/>
        <v>#NUM!</v>
      </c>
      <c r="GY113" s="133" t="str">
        <f t="shared" si="30"/>
        <v>#NUM!</v>
      </c>
      <c r="GZ113" s="133">
        <f>AVERAGE(OFFSET($GY$3,0,0,'Données projet'!$E$18+1,1))-AVERAGE(OFFSET($H$3,0,0,'Données projet'!$E$18+1,1))</f>
        <v>100.5427875</v>
      </c>
      <c r="HA113" s="133">
        <f t="shared" si="53"/>
        <v>92.28663609</v>
      </c>
      <c r="HB113" s="134">
        <f>IF(ISNA(VLOOKUP(A113,'Données projet'!$A$269:$I$289,3,0)),0,VLOOKUP(A113,'Données projet'!$A$269:$I$289,3,0))</f>
        <v>0</v>
      </c>
      <c r="HC113" s="134">
        <f>IF(ISNA(VLOOKUP(A113,'Données projet'!$A$269:$I$289,4,0)),0,VLOOKUP(A113,'Données projet'!$A$269:$I$289,4,0))</f>
        <v>0</v>
      </c>
      <c r="HD113" s="135">
        <f>IF(ISNA(VLOOKUP(A113,'Données projet'!$A$269:$I$289,5,0)),0%,VLOOKUP(A113,'Données projet'!$A$269:$I$289,5,0)*VLOOKUP('Données projet'!$B$18,'Paramètres'!$A$1:$I$89,7,0))</f>
        <v>0</v>
      </c>
      <c r="HE113" s="135">
        <f>IF(ISNA(VLOOKUP(A113,'Données projet'!$A$269:$I$289,6,0)),0%,VLOOKUP(A113,'Données projet'!$A$269:$I$289,6,0)*VLOOKUP('Données projet'!$B$18,'Paramètres'!$A$1:$I$89,7,0))</f>
        <v>0</v>
      </c>
      <c r="HF113" s="135">
        <f>IF(ISNA(VLOOKUP(A113,'Données projet'!$A$269:$I$289,7,0)),0%,VLOOKUP(A113,'Données projet'!$A$269:$I$289,7,0))</f>
        <v>0</v>
      </c>
      <c r="HG113" s="142">
        <f>EXP(-LN(2)/35)*HG112+(1-EXP(-LN(2)/35))/(LN(2)/35)*HC113*HD113*VLOOKUP('Données projet'!$B$18,'Paramètres'!$A$1:$I$89,3,0)*0.475*44/12</f>
        <v>26.27568896</v>
      </c>
      <c r="HH113" s="142">
        <f>EXP(-LN(2)/25)*HH112+(1-EXP(-LN(2)/25))/(LN(2)/25)*Calculateur!HC113*Calculateur!HE113*VLOOKUP('Données projet'!$B$18,'Paramètres'!$A$1:$I$89,3,0)*0.475*44/12</f>
        <v>0</v>
      </c>
      <c r="HI113" s="142">
        <f>EXP(-LN(2)/2)*HI112+(1-EXP(-LN(2)/2))/(LN(2)/2)*HC113*HF113*VLOOKUP('Données projet'!$B$18,'Paramètres'!$A$1:$I$89,3,0)*0.475*44/12</f>
        <v>0</v>
      </c>
      <c r="HJ113" s="143">
        <f t="shared" si="31"/>
        <v>26.27568896</v>
      </c>
    </row>
    <row r="114" ht="15.75" customHeight="1">
      <c r="A114" s="125">
        <f t="shared" si="32"/>
        <v>111</v>
      </c>
      <c r="B114" s="126">
        <f>'Scénario référence'!$B$16*5+'Scénario référence'!$B$17*0+'Scénario référence'!$B$18*5</f>
        <v>0</v>
      </c>
      <c r="C114" s="140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60.606</v>
      </c>
      <c r="D114" s="127">
        <f t="shared" si="33"/>
        <v>17.3213951</v>
      </c>
      <c r="E11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7">
        <f>IF(OR('Scénario référence'!$F$8&gt;0,'Scénario référence'!$F$9&gt;0),('Scénario référence'!$F$8+'Scénario référence'!$F$9)*10,0)</f>
        <v>10</v>
      </c>
      <c r="G114" s="127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601.5448043</v>
      </c>
      <c r="H114" s="128">
        <f t="shared" si="1"/>
        <v>429.0568798</v>
      </c>
      <c r="I114" s="12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1" t="str">
        <f>VLOOKUP(A114,'Données projet'!$A$35:$I$55,2,0)</f>
        <v>#N/A</v>
      </c>
      <c r="L114" s="131" t="str">
        <f>VLOOKUP(A114,'Données projet'!$A$35:$I$55,9,0)</f>
        <v>#N/A</v>
      </c>
      <c r="M114" s="131" t="str">
        <f t="array" ref="M114">INDEX(L:L,MIN(IF(ISNUMBER(L114:L310),ROW(L114:L310),"")))</f>
        <v/>
      </c>
      <c r="N114" s="130">
        <f>IF('Données projet'!$A$36&gt;35,N113+M114-V113,IF(A114&lt;'Données projet'!$A$36,$K$205^A114,IF(A114='Données projet'!$A$36,'Données projet'!$B$36,N113+M114-V113)))</f>
        <v>0</v>
      </c>
      <c r="O114" s="130">
        <f>N114*VLOOKUP('Données projet'!$B$9,'Paramètres'!$A$1:$I$89,3,0)*VLOOKUP('Données projet'!$B$9,'Paramètres'!$A$1:$I$89,5,0)</f>
        <v>0</v>
      </c>
      <c r="P114" s="130">
        <f t="shared" si="34"/>
        <v>0</v>
      </c>
      <c r="Q114" s="141">
        <f t="shared" si="2"/>
        <v>0</v>
      </c>
      <c r="R114" s="133">
        <f t="shared" si="3"/>
        <v>293.3333333</v>
      </c>
      <c r="S114" s="133">
        <f>AVERAGE(OFFSET($R$3,0,0,'Données projet'!$E$9+1,1))-AVERAGE(OFFSET($H$3,0,0,'Données projet'!$E$9+1,1))</f>
        <v>126.9946492</v>
      </c>
      <c r="T114" s="133">
        <f t="shared" si="35"/>
        <v>140.039049</v>
      </c>
      <c r="U114" s="134">
        <f>IF(ISNA(VLOOKUP(A114,'Données projet'!$A$35:$I$55,3,0)),0,VLOOKUP(A114,'Données projet'!$A$35:$I$55,3,0))</f>
        <v>0</v>
      </c>
      <c r="V114" s="134">
        <f>IF(ISNA(VLOOKUP(A114,'Données projet'!$A$35:$I$55,4,0)),0,VLOOKUP(A114,'Données projet'!$A$35:$I$55,4,0))</f>
        <v>0</v>
      </c>
      <c r="W114" s="135">
        <f>IF(ISNA(VLOOKUP(A114,'Données projet'!$A$35:$I$55,5,0)),0%,VLOOKUP(A114,'Données projet'!$A$35:$I$55,5,0)*VLOOKUP('Données projet'!$B$9,'Paramètres'!$A$1:$I$89,7,0))</f>
        <v>0</v>
      </c>
      <c r="X114" s="135">
        <f>IF(ISNA(VLOOKUP(A114,'Données projet'!$A$35:$I$55,6,0)),0%,VLOOKUP(A114,'Données projet'!$A$35:$I$55,6,0)*VLOOKUP('Données projet'!$B$9,'Paramètres'!$A$1:$I$89,7,0))</f>
        <v>0</v>
      </c>
      <c r="Y114" s="135">
        <f>IF(ISNA(VLOOKUP(A114,'Données projet'!$A$35:$I$55,7,0)),0%,VLOOKUP(A114,'Données projet'!$A$35:$I$55,7,0))</f>
        <v>0</v>
      </c>
      <c r="Z114" s="142">
        <f>EXP(-LN(2)/35)*Z113+(1-EXP(-LN(2)/35))/(LN(2)/35)*V114*W114*VLOOKUP('Données projet'!$B$9,'Paramètres'!$A$1:$I$89,3,0)*0.475*44/12</f>
        <v>38.69017719</v>
      </c>
      <c r="AA114" s="142">
        <f>EXP(-LN(2)/25)*AA113+(1-EXP(-LN(2)/25))/(LN(2)/25)*Calculateur!V114*Calculateur!X114*VLOOKUP('Données projet'!$B$9,'Paramètres'!$A$1:$I$89,3,0)*0.475*44/12</f>
        <v>5.650796339</v>
      </c>
      <c r="AB114" s="142">
        <f>EXP(-LN(2)/2)*AB113+(1-EXP(-LN(2)/2))/(LN(2)/2)*V114*Y114*VLOOKUP('Données projet'!$B$9,'Paramètres'!$A$1:$I$89,3,0)*0.475*44/12</f>
        <v>0.0000004001710759</v>
      </c>
      <c r="AC114" s="143">
        <f t="shared" si="4"/>
        <v>44.34097393</v>
      </c>
      <c r="AD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1" t="str">
        <f>VLOOKUP(A114,'Données projet'!$A$61:$I$81,2,0)</f>
        <v>#N/A</v>
      </c>
      <c r="AG114" s="131" t="str">
        <f>VLOOKUP(A114,'Données projet'!$A$61:$I$81,9,0)</f>
        <v>#N/A</v>
      </c>
      <c r="AH114" s="131" t="str">
        <f t="array" ref="AH114">INDEX(AG:AG,MIN(IF(ISNUMBER(AG114:AG310),ROW(AG114:AG310),"")))</f>
        <v/>
      </c>
      <c r="AI114" s="130">
        <f>IF('Données projet'!$A$62&gt;35,AI113+AH114-AQ113,IF(A114&lt;'Données projet'!$A$62,$AF$205^A114,IF(A114='Données projet'!$A$62,'Données projet'!$B$62,AI113+AH114-AQ113)))</f>
        <v>0</v>
      </c>
      <c r="AJ114" s="130">
        <f>AI114*VLOOKUP('Données projet'!$B$10,'Paramètres'!$A$1:$I$89,3,0)*VLOOKUP('Données projet'!$B$10,'Paramètres'!$A$1:$I$89,5,0)</f>
        <v>0</v>
      </c>
      <c r="AK114" s="130" t="str">
        <f t="shared" si="36"/>
        <v>#NUM!</v>
      </c>
      <c r="AL114" s="141" t="str">
        <f t="shared" si="5"/>
        <v>#NUM!</v>
      </c>
      <c r="AM114" s="133" t="str">
        <f t="shared" si="6"/>
        <v>#NUM!</v>
      </c>
      <c r="AN114" s="133">
        <f>AVERAGE(OFFSET($AM$3,0,0,'Données projet'!$E$10+1,1))-AVERAGE(OFFSET($H$3,0,0,'Données projet'!$E$10+1,1))</f>
        <v>196.874484</v>
      </c>
      <c r="AO114" s="133">
        <f t="shared" si="37"/>
        <v>217.5750859</v>
      </c>
      <c r="AP114" s="134">
        <f>IF(ISNA(VLOOKUP(A114,'Données projet'!$A$61:$I$81,3,0)),0,VLOOKUP(A114,'Données projet'!$A$61:$I$81,3,0))</f>
        <v>0</v>
      </c>
      <c r="AQ114" s="134">
        <f>IF(ISNA(VLOOKUP(A114,'Données projet'!$A$61:$I$81,4,0)),0,VLOOKUP(A114,'Données projet'!$A$61:$I$81,4,0))</f>
        <v>0</v>
      </c>
      <c r="AR114" s="135">
        <f>IF(ISNA(VLOOKUP(A114,'Données projet'!$A$61:$I$81,5,0)),0%,VLOOKUP(A114,'Données projet'!$A$61:$I$81,5,0)*VLOOKUP('Données projet'!$B$10,'Paramètres'!$A$1:$I$89,7,0))</f>
        <v>0</v>
      </c>
      <c r="AS114" s="135">
        <f>IF(ISNA(VLOOKUP(A114,'Données projet'!$A$61:$I$81,6,0)),0%,VLOOKUP(A114,'Données projet'!$A$61:$I$81,6,0)*VLOOKUP('Données projet'!$B$10,'Paramètres'!$A$1:$I$89,7,0))</f>
        <v>0</v>
      </c>
      <c r="AT114" s="135">
        <f>IF(ISNA(VLOOKUP(A114,'Données projet'!$A$61:$I$81,7,0)),0%,VLOOKUP(A114,'Données projet'!$A$61:$I$81,7,0))</f>
        <v>0</v>
      </c>
      <c r="AU114" s="142">
        <f>EXP(-LN(2)/35)*AU113+(1-EXP(-LN(2)/35))/(LN(2)/35)*AQ114*AR114*VLOOKUP('Données projet'!$B$10,'Paramètres'!$A$1:$I$89,3,0)*0.475*44/12</f>
        <v>53.77824735</v>
      </c>
      <c r="AV114" s="142">
        <f>EXP(-LN(2)/25)*AV113+(1-EXP(-LN(2)/25))/(LN(2)/25)*Calculateur!AQ114*Calculateur!AS114*VLOOKUP('Données projet'!$B$10,'Paramètres'!$A$1:$I$89,3,0)*0.475*44/12</f>
        <v>8.688106921</v>
      </c>
      <c r="AW114" s="142">
        <f>EXP(-LN(2)/2)*AW113+(1-EXP(-LN(2)/2))/(LN(2)/2)*AQ114*AT114*VLOOKUP('Données projet'!$B$10,'Paramètres'!$A$1:$I$89,3,0)*0.475*44/12</f>
        <v>0.0000005579224984</v>
      </c>
      <c r="AX114" s="142">
        <f t="shared" si="7"/>
        <v>62.46635483</v>
      </c>
      <c r="AY114" s="13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1" t="str">
        <f>VLOOKUP(A114,'Données projet'!$A$87:$I$107,2,0)</f>
        <v>#N/A</v>
      </c>
      <c r="BB114" s="131" t="str">
        <f>VLOOKUP(A114,'Données projet'!$A$87:$I$107,9,0)</f>
        <v>#N/A</v>
      </c>
      <c r="BC114" s="131" t="str">
        <f t="array" ref="BC114">INDEX(BB:BB,MIN(IF(ISNUMBER(BB114:BB310),ROW(BB114:BB310),"")))</f>
        <v/>
      </c>
      <c r="BD114" s="130">
        <f>IF('Données projet'!$A$88&gt;35,BD113+BC114-BL113,IF(A114&lt;'Données projet'!$A$88,$BA$205^A114,IF(A114='Données projet'!$A$88,'Données projet'!$B$88,BD113+BC114-BL113)))</f>
        <v>0</v>
      </c>
      <c r="BE114" s="130">
        <f>BD114*VLOOKUP('Données projet'!$B$11,'Paramètres'!$A$1:$I$89,3,0)*VLOOKUP('Données projet'!$B$11,'Paramètres'!$A$1:$I$89,5,0)</f>
        <v>0</v>
      </c>
      <c r="BF114" s="130" t="str">
        <f t="shared" si="38"/>
        <v>#NUM!</v>
      </c>
      <c r="BG114" s="141" t="str">
        <f t="shared" si="8"/>
        <v>#NUM!</v>
      </c>
      <c r="BH114" s="133" t="str">
        <f t="shared" si="9"/>
        <v>#NUM!</v>
      </c>
      <c r="BI114" s="133">
        <f>AVERAGE(OFFSET($BH$3,0,0,'Données projet'!$E$11+1,1))-AVERAGE(OFFSET($H$3,0,0,'Données projet'!$E$11+1,1))</f>
        <v>134.0948534</v>
      </c>
      <c r="BJ114" s="133">
        <f t="shared" si="39"/>
        <v>108.4102536</v>
      </c>
      <c r="BK114" s="134">
        <f>IF(ISNA(VLOOKUP(A114,'Données projet'!$A$87:$I$107,3,0)),0,VLOOKUP(A114,'Données projet'!$A$87:$I$107,3,0))</f>
        <v>0</v>
      </c>
      <c r="BL114" s="134">
        <f>IF(ISNA(VLOOKUP(A114,'Données projet'!$A$87:$I$107,4,0)),0,VLOOKUP(A114,'Données projet'!$A$87:$I$107,4,0))</f>
        <v>0</v>
      </c>
      <c r="BM114" s="135">
        <f>IF(ISNA(VLOOKUP(A114,'Données projet'!$A$87:$I$107,5,0)),0%,VLOOKUP(A114,'Données projet'!$A$87:$I$107,5,0)*VLOOKUP('Données projet'!$B$11,'Paramètres'!$A$1:$I$89,7,0))</f>
        <v>0</v>
      </c>
      <c r="BN114" s="135">
        <f>IF(ISNA(VLOOKUP(A114,'Données projet'!$A$87:$I$107,6,0)),0%,VLOOKUP(A114,'Données projet'!$A$87:$I$107,6,0)*VLOOKUP('Données projet'!$B$11,'Paramètres'!$A$1:$I$89,7,0))</f>
        <v>0</v>
      </c>
      <c r="BO114" s="135">
        <f>IF(ISNA(VLOOKUP(A114,'Données projet'!$A$87:$I$107,7,0)),0%,VLOOKUP(A114,'Données projet'!$A$87:$I$107,7,0))</f>
        <v>0</v>
      </c>
      <c r="BP114" s="142">
        <f>EXP(-LN(2)/35)*BP113+(1-EXP(-LN(2)/35))/(LN(2)/35)*BL114*BM114*VLOOKUP('Données projet'!$B$11,'Paramètres'!$A$1:$I$89,3,0)*0.475*44/12</f>
        <v>74.38535963</v>
      </c>
      <c r="BQ114" s="142">
        <f>EXP(-LN(2)/25)*BQ113+(1-EXP(-LN(2)/25))/(LN(2)/25)*Calculateur!BL114*Calculateur!BN114*VLOOKUP('Données projet'!$B$11,'Paramètres'!$A$1:$I$89,3,0)*0.475*44/12</f>
        <v>5.480465305</v>
      </c>
      <c r="BR114" s="142">
        <f>EXP(-LN(2)/2)*BR113+(1-EXP(-LN(2)/2))/(LN(2)/2)*BL114*BO114*VLOOKUP('Données projet'!$B$11,'Paramètres'!$A$1:$I$89,3,0)*0.475*44/12</f>
        <v>0.000007441885446</v>
      </c>
      <c r="BS114" s="143">
        <f t="shared" si="10"/>
        <v>79.86583238</v>
      </c>
      <c r="BT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1" t="str">
        <f>VLOOKUP(A114,'Données projet'!$A$113:$I$133,2,0)</f>
        <v>#N/A</v>
      </c>
      <c r="BW114" s="131" t="str">
        <f>VLOOKUP(A114,'Données projet'!$A$113:$I$133,9,0)</f>
        <v>#N/A</v>
      </c>
      <c r="BX114" s="131" t="str">
        <f t="array" ref="BX114">INDEX(BW:BW,MIN(IF(ISNUMBER(BW114:BW310),ROW(BW114:BW310),"")))</f>
        <v/>
      </c>
      <c r="BY114" s="130">
        <f>IF('Données projet'!$A$114&gt;35,BY113+BX114-CG113,IF(A114&lt;'Données projet'!$A$114,$BV$205^A114,IF(A114='Données projet'!$A$114,'Données projet'!$B$114,BY113+BX114-CG113)))</f>
        <v>0</v>
      </c>
      <c r="BZ114" s="130">
        <f>BY114*VLOOKUP('Données projet'!$B$12,'Paramètres'!$A$1:$I$89,3,0)*VLOOKUP('Données projet'!$B$12,'Paramètres'!$A$1:$I$89,5,0)</f>
        <v>0</v>
      </c>
      <c r="CA114" s="130" t="str">
        <f t="shared" si="40"/>
        <v>#NUM!</v>
      </c>
      <c r="CB114" s="141" t="str">
        <f t="shared" si="11"/>
        <v>#NUM!</v>
      </c>
      <c r="CC114" s="133" t="str">
        <f t="shared" si="12"/>
        <v>#NUM!</v>
      </c>
      <c r="CD114" s="133">
        <f>AVERAGE(OFFSET($CC$3,0,0,'Données projet'!$E$12+1,1))-AVERAGE(OFFSET($H$3,0,0,'Données projet'!$E$12+1,1))</f>
        <v>258.1672054</v>
      </c>
      <c r="CE114" s="133">
        <f t="shared" si="41"/>
        <v>296.0724261</v>
      </c>
      <c r="CF114" s="134">
        <f>IF(ISNA(VLOOKUP(A114,'Données projet'!$A$113:$I$133,3,0)),0,VLOOKUP(A114,'Données projet'!$A$113:$I$133,3,0))</f>
        <v>0</v>
      </c>
      <c r="CG114" s="134">
        <f>IF(ISNA(VLOOKUP(A114,'Données projet'!$A$113:$I$133,4,0)),0,VLOOKUP(A114,'Données projet'!$A$113:$I$133,4,0))</f>
        <v>0</v>
      </c>
      <c r="CH114" s="135">
        <f>IF(ISNA(VLOOKUP(A114,'Données projet'!$A$113:$I$133,5,0)),0%,VLOOKUP(A114,'Données projet'!$A$113:$I$133,5,0)*VLOOKUP('Données projet'!$B$12,'Paramètres'!$A$1:$I$89,7,0))</f>
        <v>0</v>
      </c>
      <c r="CI114" s="135">
        <f>IF(ISNA(VLOOKUP(A114,'Données projet'!$A$113:$I$133,6,0)),0%,VLOOKUP(A114,'Données projet'!$A$113:$I$133,6,0)*VLOOKUP('Données projet'!$B$12,'Paramètres'!$A$1:$I$89,7,0))</f>
        <v>0</v>
      </c>
      <c r="CJ114" s="135">
        <f>IF(ISNA(VLOOKUP(A114,'Données projet'!$A$113:$I$133,7,0)),0%,VLOOKUP(A114,'Données projet'!$A$113:$I$133,7,0))</f>
        <v>0</v>
      </c>
      <c r="CK114" s="142">
        <f>EXP(-LN(2)/35)*CK113+(1-EXP(-LN(2)/35))/(LN(2)/35)*CG114*CH114*VLOOKUP('Données projet'!$B$12,'Paramètres'!$A$1:$I$89,3,0)*0.475*44/12</f>
        <v>94.04584999</v>
      </c>
      <c r="CL114" s="142">
        <f>EXP(-LN(2)/25)*CL113+(1-EXP(-LN(2)/25))/(LN(2)/25)*Calculateur!CG114*Calculateur!CI114*VLOOKUP('Données projet'!$B$12,'Paramètres'!$A$1:$I$89,3,0)*0.475*44/12</f>
        <v>9.613047256</v>
      </c>
      <c r="CM114" s="142">
        <f>EXP(-LN(2)/2)*CM113+(1-EXP(-LN(2)/2))/(LN(2)/2)*CG114*CJ114*VLOOKUP('Données projet'!$B$12,'Paramètres'!$A$1:$I$89,3,0)*0.475*44/12</f>
        <v>0.0000003135178501</v>
      </c>
      <c r="CN114" s="143">
        <f t="shared" si="13"/>
        <v>103.6588976</v>
      </c>
      <c r="CO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1" t="str">
        <f>VLOOKUP(A114,'Données projet'!$A$139:$I$159,2,0)</f>
        <v>#N/A</v>
      </c>
      <c r="CR114" s="131" t="str">
        <f>VLOOKUP(A114,'Données projet'!$A$139:$I$159,9,0)</f>
        <v>#N/A</v>
      </c>
      <c r="CS114" s="130">
        <f t="array" ref="CS114">INDEX(CR:CR,MIN(IF(ISNUMBER(CR114:CR310),ROW(CR114:CR310),"")))</f>
        <v>1.5</v>
      </c>
      <c r="CT114" s="138">
        <f>IF('Données projet'!$A$140&gt;35,CT113+CS114-DB113,IF(A114&lt;'Données projet'!$A$140,$CQ$205^A114,IF(A114='Données projet'!$A$140,'Données projet'!$B$140,CT113+CS114-DB113)))</f>
        <v>207.5</v>
      </c>
      <c r="CU114" s="138">
        <f>CT114*VLOOKUP('Données projet'!$B$13,'Paramètres'!$A$1:$I$89,3,0)*VLOOKUP('Données projet'!$B$13,'Paramètres'!$A$1:$I$89,5,0)</f>
        <v>210.405</v>
      </c>
      <c r="CV114" s="130">
        <f t="shared" si="42"/>
        <v>52.02407846</v>
      </c>
      <c r="CW114" s="141">
        <f t="shared" si="14"/>
        <v>457.0639783</v>
      </c>
      <c r="CX114" s="133">
        <f t="shared" si="15"/>
        <v>750.3973117</v>
      </c>
      <c r="CY114" s="133">
        <f>AVERAGE(OFFSET($CX$3,0,0,'Données projet'!$E$13+1,1))-AVERAGE(OFFSET($H$3,0,0,'Données projet'!$E$13+1,1))</f>
        <v>223.783507</v>
      </c>
      <c r="CZ114" s="133">
        <f t="shared" si="43"/>
        <v>84.92349117</v>
      </c>
      <c r="DA114" s="134">
        <f>IF(ISNA(VLOOKUP(A114,'Données projet'!$A$139:$I$159,3,0)),0,VLOOKUP(A114,'Données projet'!$A$139:$I$159,3,0))</f>
        <v>0</v>
      </c>
      <c r="DB114" s="134">
        <f>IF(ISNA(VLOOKUP(A114,'Données projet'!$A$139:$I$159,4,0)),0,VLOOKUP(A114,'Données projet'!$A$139:$I$159,4,0))</f>
        <v>0</v>
      </c>
      <c r="DC114" s="135">
        <f>IF(ISNA(VLOOKUP(A114,'Données projet'!$A$139:$I$159,5,0)),0%,VLOOKUP(A114,'Données projet'!$A$139:$I$159,5,0)*VLOOKUP('Données projet'!$B$13,'Paramètres'!$A$1:$I$89,7,0))</f>
        <v>0</v>
      </c>
      <c r="DD114" s="135">
        <f>IF(ISNA(VLOOKUP(A114,'Données projet'!$A$139:$I$159,6,0)),0%,VLOOKUP(A114,'Données projet'!$A$139:$I$159,6,0)*VLOOKUP('Données projet'!$B$13,'Paramètres'!$A$1:$I$89,7,0))</f>
        <v>0</v>
      </c>
      <c r="DE114" s="135">
        <f>IF(ISNA(VLOOKUP(A114,'Données projet'!$A$139:$I$159,7,0)),0%,VLOOKUP(A114,'Données projet'!$A$139:$I$159,7,0))</f>
        <v>0</v>
      </c>
      <c r="DF114" s="142">
        <f>EXP(-LN(2)/35)*DF113+(1-EXP(-LN(2)/35))/(LN(2)/35)*DB114*DC114*VLOOKUP('Données projet'!$B$13,'Paramètres'!$A$1:$I$89,3,0)*0.475*44/12</f>
        <v>21.12741218</v>
      </c>
      <c r="DG114" s="142">
        <f>EXP(-LN(2)/25)*DG113+(1-EXP(-LN(2)/25))/(LN(2)/25)*Calculateur!DB114*Calculateur!DD114*VLOOKUP('Données projet'!$B$13,'Paramètres'!$A$1:$I$89,3,0)*0.475*44/12</f>
        <v>0</v>
      </c>
      <c r="DH114" s="142">
        <f>EXP(-LN(2)/2)*DH113+(1-EXP(-LN(2)/2))/(LN(2)/2)*DB114*DE114*VLOOKUP('Données projet'!$B$13,'Paramètres'!$A$1:$I$89,3,0)*0.475*44/12</f>
        <v>0</v>
      </c>
      <c r="DI114" s="143">
        <f t="shared" si="16"/>
        <v>21.12741218</v>
      </c>
      <c r="DJ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1" t="str">
        <f>VLOOKUP(A114,'Données projet'!$A$165:$I$185,2,0)</f>
        <v>#N/A</v>
      </c>
      <c r="DM114" s="131" t="str">
        <f>VLOOKUP(A114,'Données projet'!$A$165:$I$185,9,0)</f>
        <v>#N/A</v>
      </c>
      <c r="DN114" s="131">
        <f t="array" ref="DN114">INDEX(DM:DM,MIN(IF(ISNUMBER(DM114:DM310),ROW(DM114:DM310),"")))</f>
        <v>1.9</v>
      </c>
      <c r="DO114" s="138">
        <f>IF('Données projet'!$A$166&gt;35,DO113+DN114-DW113,IF(A114&lt;'Données projet'!$A$166,$DL$205^A114,IF(A114='Données projet'!$A$166,'Données projet'!$B$166,DO113+DN114-DW113)))</f>
        <v>267.9</v>
      </c>
      <c r="DP114" s="138">
        <f>DO114*VLOOKUP('Données projet'!$B$14,'Paramètres'!$A$1:$I$89,3,0)*VLOOKUP('Données projet'!$B$14,'Paramètres'!$A$1:$I$89,5,0)</f>
        <v>242.39592</v>
      </c>
      <c r="DQ114" s="130">
        <f t="shared" si="44"/>
        <v>58.95472594</v>
      </c>
      <c r="DR114" s="141">
        <f t="shared" si="17"/>
        <v>524.852375</v>
      </c>
      <c r="DS114" s="133">
        <f t="shared" si="18"/>
        <v>818.1857083</v>
      </c>
      <c r="DT114" s="133">
        <f>AVERAGE(OFFSET($DS$3,0,0,'Données projet'!$E$14+1,1))-AVERAGE(OFFSET($H$3,0,0,'Données projet'!$E$14+1,1))</f>
        <v>287.9334714</v>
      </c>
      <c r="DU114" s="133">
        <f t="shared" si="45"/>
        <v>156.6796502</v>
      </c>
      <c r="DV114" s="134">
        <f>IF(ISNA(VLOOKUP(A114,'Données projet'!$A$165:$I$185,3,0)),0,VLOOKUP(A114,'Données projet'!$A$165:$I$185,3,0))</f>
        <v>0</v>
      </c>
      <c r="DW114" s="134">
        <f>IF(ISNA(VLOOKUP(A114,'Données projet'!$A$165:$I$185,4,0)),0,VLOOKUP(A114,'Données projet'!$A$165:$I$185,4,0))</f>
        <v>0</v>
      </c>
      <c r="DX114" s="135">
        <f>IF(ISNA(VLOOKUP(A114,'Données projet'!$A$165:$I$185,5,0)),0%,VLOOKUP(A114,'Données projet'!$A$165:$I$185,5,0)*VLOOKUP('Données projet'!$B$14,'Paramètres'!$A$1:$I$89,7,0))</f>
        <v>0</v>
      </c>
      <c r="DY114" s="135">
        <f>IF(ISNA(VLOOKUP(A114,'Données projet'!$A$165:$I$185,6,0)),0%,VLOOKUP(A114,'Données projet'!$A$165:$I$185,6,0)*VLOOKUP('Données projet'!$B$14,'Paramètres'!$A$1:$I$89,7,0))</f>
        <v>0</v>
      </c>
      <c r="DZ114" s="135">
        <f>IF(ISNA(VLOOKUP(A114,'Données projet'!$A$165:$I$185,7,0)),0%,VLOOKUP(A114,'Données projet'!$A$165:$I$185,7,0))</f>
        <v>0</v>
      </c>
      <c r="EA114" s="142">
        <f>EXP(-LN(2)/35)*EA113+(1-EXP(-LN(2)/35))/(LN(2)/35)*DW114*DX114*VLOOKUP('Données projet'!$B$14,'Paramètres'!$A$1:$I$89,3,0)*0.475*44/12</f>
        <v>31.45911074</v>
      </c>
      <c r="EB114" s="142">
        <f>EXP(-LN(2)/25)*EB113+(1-EXP(-LN(2)/25))/(LN(2)/25)*Calculateur!DW114*Calculateur!DY114*VLOOKUP('Données projet'!$B$14,'Paramètres'!$A$1:$I$89,3,0)*0.475*44/12</f>
        <v>0</v>
      </c>
      <c r="EC114" s="142">
        <f>EXP(-LN(2)/2)*EC113+(1-EXP(-LN(2)/2))/(LN(2)/2)*DW114*DZ114*VLOOKUP('Données projet'!$B$14,'Paramètres'!$A$1:$I$89,3,0)*0.475*44/12</f>
        <v>0</v>
      </c>
      <c r="ED114" s="143">
        <f t="shared" si="19"/>
        <v>31.45911074</v>
      </c>
      <c r="EE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1" t="str">
        <f>VLOOKUP(A114,'Données projet'!$A$191:$I$211,2,0)</f>
        <v>#N/A</v>
      </c>
      <c r="EH114" s="131" t="str">
        <f>VLOOKUP(A114,'Données projet'!$A$191:$I$211,9,0)</f>
        <v>#N/A</v>
      </c>
      <c r="EI114" s="131" t="str">
        <f t="array" ref="EI114">INDEX(EH:EH,MIN(IF(ISNUMBER(EH114:EH310),ROW(EH114:EH310),"")))</f>
        <v/>
      </c>
      <c r="EJ114" s="138">
        <f>IF('Données projet'!$A$192&gt;35,EJ113+EI114-ER113,IF(A114&lt;'Données projet'!$A$192,$EG$205^A114,IF(A114='Données projet'!$A$192,'Données projet'!$B$192,EJ113+EI114-ER113)))</f>
        <v>0</v>
      </c>
      <c r="EK114" s="138">
        <f>EJ114*VLOOKUP('Données projet'!$B$15,'Paramètres'!$A$1:$I$89,3,0)*VLOOKUP('Données projet'!$B$15,'Paramètres'!$A$1:$I$89,5,0)</f>
        <v>0</v>
      </c>
      <c r="EL114" s="130" t="str">
        <f t="shared" si="46"/>
        <v>#NUM!</v>
      </c>
      <c r="EM114" s="141" t="str">
        <f t="shared" si="20"/>
        <v>#NUM!</v>
      </c>
      <c r="EN114" s="133" t="str">
        <f t="shared" si="21"/>
        <v>#NUM!</v>
      </c>
      <c r="EO114" s="133">
        <f>AVERAGE(OFFSET($EN$3,0,0,'Données projet'!$E$15+1,1))-AVERAGE(OFFSET($H$3,0,0,'Données projet'!$E$15+1,1))</f>
        <v>130.3193339</v>
      </c>
      <c r="EP114" s="133">
        <f t="shared" si="47"/>
        <v>82.22784365</v>
      </c>
      <c r="EQ114" s="134">
        <f>IF(ISNA(VLOOKUP(A114,'Données projet'!$A$191:$I$211,3,0)),0,VLOOKUP(A114,'Données projet'!$A$191:$I$211,3,0))</f>
        <v>0</v>
      </c>
      <c r="ER114" s="134">
        <f>IF(ISNA(VLOOKUP(A114,'Données projet'!$A$191:$I$211,4,0)),0,VLOOKUP(A114,'Données projet'!$A$191:$I$211,4,0))</f>
        <v>0</v>
      </c>
      <c r="ES114" s="135">
        <f>IF(ISNA(VLOOKUP(A114,'Données projet'!$A$191:$I$211,5,0)),0%,VLOOKUP(A114,'Données projet'!$A$191:$I$211,5,0)*VLOOKUP('Données projet'!$B$15,'Paramètres'!$A$1:$I$89,7,0))</f>
        <v>0</v>
      </c>
      <c r="ET114" s="135">
        <f>IF(ISNA(VLOOKUP(A114,'Données projet'!$A$191:$I$211,6,0)),0%,VLOOKUP(A114,'Données projet'!$A$191:$I$211,6,0)*VLOOKUP('Données projet'!$B$15,'Paramètres'!$A$1:$I$89,7,0))</f>
        <v>0</v>
      </c>
      <c r="EU114" s="135">
        <f>IF(ISNA(VLOOKUP(A114,'Données projet'!$A$191:$I$211,7,0)),0%,VLOOKUP(A114,'Données projet'!$A$191:$I$211,7,0))</f>
        <v>0</v>
      </c>
      <c r="EV114" s="142">
        <f>EXP(-LN(2)/35)*EV113+(1-EXP(-LN(2)/35))/(LN(2)/35)*ER114*ES114*VLOOKUP('Données projet'!$B$15,'Paramètres'!$A$1:$I$89,3,0)*0.475*44/12</f>
        <v>57.50709172</v>
      </c>
      <c r="EW114" s="142">
        <f>EXP(-LN(2)/25)*EW113+(1-EXP(-LN(2)/25))/(LN(2)/25)*Calculateur!ER114*Calculateur!ET114*VLOOKUP('Données projet'!$B$15,'Paramètres'!$A$1:$I$89,3,0)*0.475*44/12</f>
        <v>0</v>
      </c>
      <c r="EX114" s="142">
        <f>EXP(-LN(2)/2)*EX113+(1-EXP(-LN(2)/2))/(LN(2)/2)*ER114*EU114*VLOOKUP('Données projet'!$B$15,'Paramètres'!$A$1:$I$89,3,0)*0.475*44/12</f>
        <v>0</v>
      </c>
      <c r="EY114" s="143">
        <f t="shared" si="22"/>
        <v>57.50709172</v>
      </c>
      <c r="EZ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1" t="str">
        <f>VLOOKUP(A114,'Données projet'!$A$217:$I$237,2,0)</f>
        <v>#N/A</v>
      </c>
      <c r="FC114" s="131" t="str">
        <f>VLOOKUP(A114,'Données projet'!$A$217:$I$237,9,0)</f>
        <v>#N/A</v>
      </c>
      <c r="FD114" s="131" t="str">
        <f t="array" ref="FD114">INDEX(FC:FC,MIN(IF(ISNUMBER(FC114:FC310),ROW(FC114:FC310),"")))</f>
        <v/>
      </c>
      <c r="FE114" s="130">
        <f>IF('Données projet'!$A$218&gt;35,FE113+FD114-FM113,IF(A114&lt;'Données projet'!$A$218,$FB$205^A114,IF(A114='Données projet'!$A$218,'Données projet'!$B$218,FE113+FD114-FM113)))</f>
        <v>0</v>
      </c>
      <c r="FF114" s="138">
        <f>FE114*VLOOKUP('Données projet'!$B$16,'Paramètres'!$A$1:$I$89,3,0)*VLOOKUP('Données projet'!$B$16,'Paramètres'!$A$1:$I$89,5,0)</f>
        <v>0</v>
      </c>
      <c r="FG114" s="130">
        <f t="shared" si="48"/>
        <v>0</v>
      </c>
      <c r="FH114" s="141">
        <f t="shared" si="23"/>
        <v>0</v>
      </c>
      <c r="FI114" s="133">
        <f t="shared" si="24"/>
        <v>293.3333333</v>
      </c>
      <c r="FJ114" s="133">
        <f>AVERAGE(OFFSET($FI$3,0,0,'Données projet'!$E$16+1,1))-AVERAGE(OFFSET($H$3,0,0,'Données projet'!$E$16+1,1))</f>
        <v>305.6252353</v>
      </c>
      <c r="FK114" s="133">
        <f t="shared" si="49"/>
        <v>331.397916</v>
      </c>
      <c r="FL114" s="134">
        <f>IF(ISNA(VLOOKUP(A114,'Données projet'!$A$217:$I$237,3,0)),0,VLOOKUP(A114,'Données projet'!$A$217:$I$237,3,0))</f>
        <v>0</v>
      </c>
      <c r="FM114" s="134">
        <f>IF(ISNA(VLOOKUP(A114,'Données projet'!$A$217:$I$237,4,0)),0,VLOOKUP(A114,'Données projet'!$A$217:$I$237,4,0))</f>
        <v>0</v>
      </c>
      <c r="FN114" s="135">
        <f>IF(ISNA(VLOOKUP(A114,'Données projet'!$A$217:$I$237,5,0)),0%,VLOOKUP(A114,'Données projet'!$A$217:$I$237,5,0)*VLOOKUP('Données projet'!$B$16,'Paramètres'!$A$1:$I$89,7,0))</f>
        <v>0</v>
      </c>
      <c r="FO114" s="135">
        <f>IF(ISNA(VLOOKUP(A114,'Données projet'!$A$217:$I$237,6,0)),0%,VLOOKUP(A114,'Données projet'!$A$217:$I$237,6,0)*VLOOKUP('Données projet'!$B$16,'Paramètres'!$A$1:$I$89,7,0))</f>
        <v>0</v>
      </c>
      <c r="FP114" s="135">
        <f>IF(ISNA(VLOOKUP(A114,'Données projet'!$A$217:$I$237,7,0)),0%,VLOOKUP(A114,'Données projet'!$A$217:$I$237,7,0))</f>
        <v>0</v>
      </c>
      <c r="FQ114" s="142">
        <f>EXP(-LN(2)/35)*FQ113+(1-EXP(-LN(2)/35))/(LN(2)/35)*FM114*FN114*VLOOKUP('Données projet'!$B$16,'Paramètres'!$A$1:$I$89,3,0)*0.475*44/12</f>
        <v>35.80563392</v>
      </c>
      <c r="FR114" s="142">
        <f>EXP(-LN(2)/25)*FR113+(1-EXP(-LN(2)/25))/(LN(2)/25)*Calculateur!FM114*Calculateur!FO114*VLOOKUP('Données projet'!$B$16,'Paramètres'!$A$1:$I$89,3,0)*0.475*44/12</f>
        <v>0</v>
      </c>
      <c r="FS114" s="142">
        <f>EXP(-LN(2)/2)*FS113+(1-EXP(-LN(2)/2))/(LN(2)/2)*FM114*FP114*VLOOKUP('Données projet'!$B$16,'Paramètres'!$A$1:$I$89,3,0)*0.475*44/12</f>
        <v>0</v>
      </c>
      <c r="FT114" s="143">
        <f t="shared" si="25"/>
        <v>35.80563392</v>
      </c>
      <c r="FU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1" t="str">
        <f>VLOOKUP(A114,'Données projet'!$A$243:$I$263,2,0)</f>
        <v>#N/A</v>
      </c>
      <c r="FX114" s="131" t="str">
        <f>VLOOKUP(A114,'Données projet'!$A$243:$I$263,9,0)</f>
        <v>#N/A</v>
      </c>
      <c r="FY114" s="131" t="str">
        <f t="array" ref="FY114">INDEX(FX:FX,MIN(IF(ISNUMBER(FX114:FX310),ROW(FX114:FX310),"")))</f>
        <v/>
      </c>
      <c r="FZ114" s="138">
        <f>IF('Données projet'!$A$244&gt;35,FZ113+FY114-GH113,IF(A114&lt;'Données projet'!$A$244,$FW$205^A114,IF(A114='Données projet'!$A$244,'Données projet'!$B$244,FZ113+FY114-GH113)))</f>
        <v>0</v>
      </c>
      <c r="GA114" s="138">
        <f>FZ114*VLOOKUP('Données projet'!$B$17,'Paramètres'!$A$1:$I$89,3,0)*VLOOKUP('Données projet'!$B$17,'Paramètres'!$A$1:$I$89,5,0)</f>
        <v>0</v>
      </c>
      <c r="GB114" s="130">
        <f t="shared" si="50"/>
        <v>0</v>
      </c>
      <c r="GC114" s="141">
        <f t="shared" si="26"/>
        <v>0</v>
      </c>
      <c r="GD114" s="133">
        <f t="shared" si="27"/>
        <v>293.3333333</v>
      </c>
      <c r="GE114" s="133">
        <f>AVERAGE(OFFSET($GD$3,0,0,'Données projet'!$E$17+1,1))-AVERAGE(OFFSET($H$3,0,0,'Données projet'!$E$17+1,1))</f>
        <v>118.7368745</v>
      </c>
      <c r="GF114" s="133">
        <f t="shared" si="51"/>
        <v>135.1233677</v>
      </c>
      <c r="GG114" s="134">
        <f>IF(ISNA(VLOOKUP(A114,'Données projet'!$A$243:$I$263,3,0)),0,VLOOKUP(A114,'Données projet'!$A$243:$I$263,3,0))</f>
        <v>0</v>
      </c>
      <c r="GH114" s="134">
        <f>IF(ISNA(VLOOKUP(A114,'Données projet'!$A$243:$I$263,4,0)),0,VLOOKUP(A114,'Données projet'!$A$243:$I$263,4,0))</f>
        <v>0</v>
      </c>
      <c r="GI114" s="135">
        <f>IF(ISNA(VLOOKUP(A114,'Données projet'!$A$243:$I$263,5,0)),0%,VLOOKUP(A114,'Données projet'!$A$243:$I$263,5,0)*VLOOKUP('Données projet'!$B$17,'Paramètres'!$A$1:$I$89,7,0))</f>
        <v>0</v>
      </c>
      <c r="GJ114" s="135">
        <f>IF(ISNA(VLOOKUP(A114,'Données projet'!$A$243:$I$263,6,0)),0%,VLOOKUP(A114,'Données projet'!$A$243:$I$263,6,0)*VLOOKUP('Données projet'!$B$17,'Paramètres'!$A$1:$I$89,7,0))</f>
        <v>0</v>
      </c>
      <c r="GK114" s="135">
        <f>IF(ISNA(VLOOKUP(A114,'Données projet'!$A$243:$I$263,7,0)),0%,VLOOKUP(A114,'Données projet'!$A$243:$I$263,7,0))</f>
        <v>0</v>
      </c>
      <c r="GL114" s="142">
        <f>EXP(-LN(2)/35)*GL113+(1-EXP(-LN(2)/35))/(LN(2)/35)*GH114*GI114*VLOOKUP('Données projet'!$B$17,'Paramètres'!$A$1:$I$89,3,0)*0.475*44/12</f>
        <v>37.8285415</v>
      </c>
      <c r="GM114" s="142">
        <f>EXP(-LN(2)/25)*GM113+(1-EXP(-LN(2)/25))/(LN(2)/25)*Calculateur!GH114*Calculateur!GJ114*VLOOKUP('Données projet'!$B$17,'Paramètres'!$A$1:$I$89,3,0)*0.475*44/12</f>
        <v>0</v>
      </c>
      <c r="GN114" s="142">
        <f>EXP(-LN(2)/2)*GN113+(1-EXP(-LN(2)/2))/(LN(2)/2)*GH114*GK114*VLOOKUP('Données projet'!$B$17,'Paramètres'!$A$1:$I$89,3,0)*0.475*44/12</f>
        <v>0</v>
      </c>
      <c r="GO114" s="142">
        <f t="shared" si="28"/>
        <v>37.8285415</v>
      </c>
      <c r="GP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1" t="str">
        <f>VLOOKUP(A114,'Données projet'!$A$269:$I$289,2,0)</f>
        <v>#N/A</v>
      </c>
      <c r="GS114" s="131" t="str">
        <f>VLOOKUP(A114,'Données projet'!$A$269:$I$289,9,0)</f>
        <v>#N/A</v>
      </c>
      <c r="GT114" s="131" t="str">
        <f t="array" ref="GT114">INDEX(GS:GS,MIN(IF(ISNUMBER(GS114:GS310),ROW(GS114:GS310),"")))</f>
        <v/>
      </c>
      <c r="GU114" s="138">
        <f>IF('Données projet'!$A$270&gt;35,GU113+GT114-HC113,IF(A114&lt;'Données projet'!$A$270,$GR$205^A114,IF(A114='Données projet'!$A$270,'Données projet'!$B$270,GU113+GT114-HC113)))</f>
        <v>0</v>
      </c>
      <c r="GV114" s="138">
        <f>GU114*VLOOKUP('Données projet'!$B$18,'Paramètres'!$A$1:$I$89,3,0)*VLOOKUP('Données projet'!$B$18,'Paramètres'!$A$1:$I$89,5,0)</f>
        <v>0</v>
      </c>
      <c r="GW114" s="130" t="str">
        <f t="shared" si="52"/>
        <v>#NUM!</v>
      </c>
      <c r="GX114" s="141" t="str">
        <f t="shared" si="29"/>
        <v>#NUM!</v>
      </c>
      <c r="GY114" s="133" t="str">
        <f t="shared" si="30"/>
        <v>#NUM!</v>
      </c>
      <c r="GZ114" s="133">
        <f>AVERAGE(OFFSET($GY$3,0,0,'Données projet'!$E$18+1,1))-AVERAGE(OFFSET($H$3,0,0,'Données projet'!$E$18+1,1))</f>
        <v>100.5427875</v>
      </c>
      <c r="HA114" s="133">
        <f t="shared" si="53"/>
        <v>92.28663609</v>
      </c>
      <c r="HB114" s="134">
        <f>IF(ISNA(VLOOKUP(A114,'Données projet'!$A$269:$I$289,3,0)),0,VLOOKUP(A114,'Données projet'!$A$269:$I$289,3,0))</f>
        <v>0</v>
      </c>
      <c r="HC114" s="134">
        <f>IF(ISNA(VLOOKUP(A114,'Données projet'!$A$269:$I$289,4,0)),0,VLOOKUP(A114,'Données projet'!$A$269:$I$289,4,0))</f>
        <v>0</v>
      </c>
      <c r="HD114" s="135">
        <f>IF(ISNA(VLOOKUP(A114,'Données projet'!$A$269:$I$289,5,0)),0%,VLOOKUP(A114,'Données projet'!$A$269:$I$289,5,0)*VLOOKUP('Données projet'!$B$18,'Paramètres'!$A$1:$I$89,7,0))</f>
        <v>0</v>
      </c>
      <c r="HE114" s="135">
        <f>IF(ISNA(VLOOKUP(A114,'Données projet'!$A$269:$I$289,6,0)),0%,VLOOKUP(A114,'Données projet'!$A$269:$I$289,6,0)*VLOOKUP('Données projet'!$B$18,'Paramètres'!$A$1:$I$89,7,0))</f>
        <v>0</v>
      </c>
      <c r="HF114" s="135">
        <f>IF(ISNA(VLOOKUP(A114,'Données projet'!$A$269:$I$289,7,0)),0%,VLOOKUP(A114,'Données projet'!$A$269:$I$289,7,0))</f>
        <v>0</v>
      </c>
      <c r="HG114" s="142">
        <f>EXP(-LN(2)/35)*HG113+(1-EXP(-LN(2)/35))/(LN(2)/35)*HC114*HD114*VLOOKUP('Données projet'!$B$18,'Paramètres'!$A$1:$I$89,3,0)*0.475*44/12</f>
        <v>25.76043873</v>
      </c>
      <c r="HH114" s="142">
        <f>EXP(-LN(2)/25)*HH113+(1-EXP(-LN(2)/25))/(LN(2)/25)*Calculateur!HC114*Calculateur!HE114*VLOOKUP('Données projet'!$B$18,'Paramètres'!$A$1:$I$89,3,0)*0.475*44/12</f>
        <v>0</v>
      </c>
      <c r="HI114" s="142">
        <f>EXP(-LN(2)/2)*HI113+(1-EXP(-LN(2)/2))/(LN(2)/2)*HC114*HF114*VLOOKUP('Données projet'!$B$18,'Paramètres'!$A$1:$I$89,3,0)*0.475*44/12</f>
        <v>0</v>
      </c>
      <c r="HJ114" s="143">
        <f t="shared" si="31"/>
        <v>25.76043873</v>
      </c>
    </row>
    <row r="115" ht="15.75" customHeight="1">
      <c r="A115" s="125">
        <f t="shared" si="32"/>
        <v>112</v>
      </c>
      <c r="B115" s="126">
        <f>'Scénario référence'!$B$16*5+'Scénario référence'!$B$17*0+'Scénario référence'!$B$18*5</f>
        <v>0</v>
      </c>
      <c r="C115" s="140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61.152</v>
      </c>
      <c r="D115" s="127">
        <f t="shared" si="33"/>
        <v>17.45920759</v>
      </c>
      <c r="E11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7">
        <f>IF(OR('Scénario référence'!$F$8&gt;0,'Scénario référence'!$F$9&gt;0),('Scénario référence'!$F$8+'Scénario référence'!$F$9)*10,0)</f>
        <v>10</v>
      </c>
      <c r="G115" s="127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</v>
      </c>
      <c r="H115" s="128">
        <f t="shared" si="1"/>
        <v>430.2478532</v>
      </c>
      <c r="I115" s="12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1" t="str">
        <f>VLOOKUP(A115,'Données projet'!$A$35:$I$55,2,0)</f>
        <v>#N/A</v>
      </c>
      <c r="L115" s="131" t="str">
        <f>VLOOKUP(A115,'Données projet'!$A$35:$I$55,9,0)</f>
        <v>#N/A</v>
      </c>
      <c r="M115" s="131" t="str">
        <f t="array" ref="M115">INDEX(L:L,MIN(IF(ISNUMBER(L115:L311),ROW(L115:L311),"")))</f>
        <v/>
      </c>
      <c r="N115" s="130">
        <f>IF('Données projet'!$A$36&gt;35,N114+M115-V114,IF(A115&lt;'Données projet'!$A$36,$K$205^A115,IF(A115='Données projet'!$A$36,'Données projet'!$B$36,N114+M115-V114)))</f>
        <v>0</v>
      </c>
      <c r="O115" s="130">
        <f>N115*VLOOKUP('Données projet'!$B$9,'Paramètres'!$A$1:$I$89,3,0)*VLOOKUP('Données projet'!$B$9,'Paramètres'!$A$1:$I$89,5,0)</f>
        <v>0</v>
      </c>
      <c r="P115" s="130">
        <f t="shared" si="34"/>
        <v>0</v>
      </c>
      <c r="Q115" s="141">
        <f t="shared" si="2"/>
        <v>0</v>
      </c>
      <c r="R115" s="133">
        <f t="shared" si="3"/>
        <v>293.3333333</v>
      </c>
      <c r="S115" s="133">
        <f>AVERAGE(OFFSET($R$3,0,0,'Données projet'!$E$9+1,1))-AVERAGE(OFFSET($H$3,0,0,'Données projet'!$E$9+1,1))</f>
        <v>126.9946492</v>
      </c>
      <c r="T115" s="133">
        <f t="shared" si="35"/>
        <v>140.039049</v>
      </c>
      <c r="U115" s="134">
        <f>IF(ISNA(VLOOKUP(A115,'Données projet'!$A$35:$I$55,3,0)),0,VLOOKUP(A115,'Données projet'!$A$35:$I$55,3,0))</f>
        <v>0</v>
      </c>
      <c r="V115" s="134">
        <f>IF(ISNA(VLOOKUP(A115,'Données projet'!$A$35:$I$55,4,0)),0,VLOOKUP(A115,'Données projet'!$A$35:$I$55,4,0))</f>
        <v>0</v>
      </c>
      <c r="W115" s="135">
        <f>IF(ISNA(VLOOKUP(A115,'Données projet'!$A$35:$I$55,5,0)),0%,VLOOKUP(A115,'Données projet'!$A$35:$I$55,5,0)*VLOOKUP('Données projet'!$B$9,'Paramètres'!$A$1:$I$89,7,0))</f>
        <v>0</v>
      </c>
      <c r="X115" s="135">
        <f>IF(ISNA(VLOOKUP(A115,'Données projet'!$A$35:$I$55,6,0)),0%,VLOOKUP(A115,'Données projet'!$A$35:$I$55,6,0)*VLOOKUP('Données projet'!$B$9,'Paramètres'!$A$1:$I$89,7,0))</f>
        <v>0</v>
      </c>
      <c r="Y115" s="135">
        <f>IF(ISNA(VLOOKUP(A115,'Données projet'!$A$35:$I$55,7,0)),0%,VLOOKUP(A115,'Données projet'!$A$35:$I$55,7,0))</f>
        <v>0</v>
      </c>
      <c r="Z115" s="142">
        <f>EXP(-LN(2)/35)*Z114+(1-EXP(-LN(2)/35))/(LN(2)/35)*V115*W115*VLOOKUP('Données projet'!$B$9,'Paramètres'!$A$1:$I$89,3,0)*0.475*44/12</f>
        <v>37.93148642</v>
      </c>
      <c r="AA115" s="142">
        <f>EXP(-LN(2)/25)*AA114+(1-EXP(-LN(2)/25))/(LN(2)/25)*Calculateur!V115*Calculateur!X115*VLOOKUP('Données projet'!$B$9,'Paramètres'!$A$1:$I$89,3,0)*0.475*44/12</f>
        <v>5.496275016</v>
      </c>
      <c r="AB115" s="142">
        <f>EXP(-LN(2)/2)*AB114+(1-EXP(-LN(2)/2))/(LN(2)/2)*V115*Y115*VLOOKUP('Données projet'!$B$9,'Paramètres'!$A$1:$I$89,3,0)*0.475*44/12</f>
        <v>0.0000002829636814</v>
      </c>
      <c r="AC115" s="143">
        <f t="shared" si="4"/>
        <v>43.42776172</v>
      </c>
      <c r="AD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1" t="str">
        <f>VLOOKUP(A115,'Données projet'!$A$61:$I$81,2,0)</f>
        <v>#N/A</v>
      </c>
      <c r="AG115" s="131" t="str">
        <f>VLOOKUP(A115,'Données projet'!$A$61:$I$81,9,0)</f>
        <v>#N/A</v>
      </c>
      <c r="AH115" s="131" t="str">
        <f t="array" ref="AH115">INDEX(AG:AG,MIN(IF(ISNUMBER(AG115:AG311),ROW(AG115:AG311),"")))</f>
        <v/>
      </c>
      <c r="AI115" s="130">
        <f>IF('Données projet'!$A$62&gt;35,AI114+AH115-AQ114,IF(A115&lt;'Données projet'!$A$62,$AF$205^A115,IF(A115='Données projet'!$A$62,'Données projet'!$B$62,AI114+AH115-AQ114)))</f>
        <v>0</v>
      </c>
      <c r="AJ115" s="130">
        <f>AI115*VLOOKUP('Données projet'!$B$10,'Paramètres'!$A$1:$I$89,3,0)*VLOOKUP('Données projet'!$B$10,'Paramètres'!$A$1:$I$89,5,0)</f>
        <v>0</v>
      </c>
      <c r="AK115" s="130" t="str">
        <f t="shared" si="36"/>
        <v>#NUM!</v>
      </c>
      <c r="AL115" s="141" t="str">
        <f t="shared" si="5"/>
        <v>#NUM!</v>
      </c>
      <c r="AM115" s="133" t="str">
        <f t="shared" si="6"/>
        <v>#NUM!</v>
      </c>
      <c r="AN115" s="133">
        <f>AVERAGE(OFFSET($AM$3,0,0,'Données projet'!$E$10+1,1))-AVERAGE(OFFSET($H$3,0,0,'Données projet'!$E$10+1,1))</f>
        <v>196.874484</v>
      </c>
      <c r="AO115" s="133">
        <f t="shared" si="37"/>
        <v>217.5750859</v>
      </c>
      <c r="AP115" s="134">
        <f>IF(ISNA(VLOOKUP(A115,'Données projet'!$A$61:$I$81,3,0)),0,VLOOKUP(A115,'Données projet'!$A$61:$I$81,3,0))</f>
        <v>0</v>
      </c>
      <c r="AQ115" s="134">
        <f>IF(ISNA(VLOOKUP(A115,'Données projet'!$A$61:$I$81,4,0)),0,VLOOKUP(A115,'Données projet'!$A$61:$I$81,4,0))</f>
        <v>0</v>
      </c>
      <c r="AR115" s="135">
        <f>IF(ISNA(VLOOKUP(A115,'Données projet'!$A$61:$I$81,5,0)),0%,VLOOKUP(A115,'Données projet'!$A$61:$I$81,5,0)*VLOOKUP('Données projet'!$B$10,'Paramètres'!$A$1:$I$89,7,0))</f>
        <v>0</v>
      </c>
      <c r="AS115" s="135">
        <f>IF(ISNA(VLOOKUP(A115,'Données projet'!$A$61:$I$81,6,0)),0%,VLOOKUP(A115,'Données projet'!$A$61:$I$81,6,0)*VLOOKUP('Données projet'!$B$10,'Paramètres'!$A$1:$I$89,7,0))</f>
        <v>0</v>
      </c>
      <c r="AT115" s="135">
        <f>IF(ISNA(VLOOKUP(A115,'Données projet'!$A$61:$I$81,7,0)),0%,VLOOKUP(A115,'Données projet'!$A$61:$I$81,7,0))</f>
        <v>0</v>
      </c>
      <c r="AU115" s="142">
        <f>EXP(-LN(2)/35)*AU114+(1-EXP(-LN(2)/35))/(LN(2)/35)*AQ115*AR115*VLOOKUP('Données projet'!$B$10,'Paramètres'!$A$1:$I$89,3,0)*0.475*44/12</f>
        <v>52.72368872</v>
      </c>
      <c r="AV115" s="142">
        <f>EXP(-LN(2)/25)*AV114+(1-EXP(-LN(2)/25))/(LN(2)/25)*Calculateur!AQ115*Calculateur!AS115*VLOOKUP('Données projet'!$B$10,'Paramètres'!$A$1:$I$89,3,0)*0.475*44/12</f>
        <v>8.450530181</v>
      </c>
      <c r="AW115" s="142">
        <f>EXP(-LN(2)/2)*AW114+(1-EXP(-LN(2)/2))/(LN(2)/2)*AQ115*AT115*VLOOKUP('Données projet'!$B$10,'Paramètres'!$A$1:$I$89,3,0)*0.475*44/12</f>
        <v>0.000000394510782</v>
      </c>
      <c r="AX115" s="142">
        <f t="shared" si="7"/>
        <v>61.1742193</v>
      </c>
      <c r="AY115" s="13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1" t="str">
        <f>VLOOKUP(A115,'Données projet'!$A$87:$I$107,2,0)</f>
        <v>#N/A</v>
      </c>
      <c r="BB115" s="131" t="str">
        <f>VLOOKUP(A115,'Données projet'!$A$87:$I$107,9,0)</f>
        <v>#N/A</v>
      </c>
      <c r="BC115" s="131" t="str">
        <f t="array" ref="BC115">INDEX(BB:BB,MIN(IF(ISNUMBER(BB115:BB311),ROW(BB115:BB311),"")))</f>
        <v/>
      </c>
      <c r="BD115" s="130">
        <f>IF('Données projet'!$A$88&gt;35,BD114+BC115-BL114,IF(A115&lt;'Données projet'!$A$88,$BA$205^A115,IF(A115='Données projet'!$A$88,'Données projet'!$B$88,BD114+BC115-BL114)))</f>
        <v>0</v>
      </c>
      <c r="BE115" s="130">
        <f>BD115*VLOOKUP('Données projet'!$B$11,'Paramètres'!$A$1:$I$89,3,0)*VLOOKUP('Données projet'!$B$11,'Paramètres'!$A$1:$I$89,5,0)</f>
        <v>0</v>
      </c>
      <c r="BF115" s="130" t="str">
        <f t="shared" si="38"/>
        <v>#NUM!</v>
      </c>
      <c r="BG115" s="141" t="str">
        <f t="shared" si="8"/>
        <v>#NUM!</v>
      </c>
      <c r="BH115" s="133" t="str">
        <f t="shared" si="9"/>
        <v>#NUM!</v>
      </c>
      <c r="BI115" s="133">
        <f>AVERAGE(OFFSET($BH$3,0,0,'Données projet'!$E$11+1,1))-AVERAGE(OFFSET($H$3,0,0,'Données projet'!$E$11+1,1))</f>
        <v>134.0948534</v>
      </c>
      <c r="BJ115" s="133">
        <f t="shared" si="39"/>
        <v>108.4102536</v>
      </c>
      <c r="BK115" s="134">
        <f>IF(ISNA(VLOOKUP(A115,'Données projet'!$A$87:$I$107,3,0)),0,VLOOKUP(A115,'Données projet'!$A$87:$I$107,3,0))</f>
        <v>0</v>
      </c>
      <c r="BL115" s="134">
        <f>IF(ISNA(VLOOKUP(A115,'Données projet'!$A$87:$I$107,4,0)),0,VLOOKUP(A115,'Données projet'!$A$87:$I$107,4,0))</f>
        <v>0</v>
      </c>
      <c r="BM115" s="135">
        <f>IF(ISNA(VLOOKUP(A115,'Données projet'!$A$87:$I$107,5,0)),0%,VLOOKUP(A115,'Données projet'!$A$87:$I$107,5,0)*VLOOKUP('Données projet'!$B$11,'Paramètres'!$A$1:$I$89,7,0))</f>
        <v>0</v>
      </c>
      <c r="BN115" s="135">
        <f>IF(ISNA(VLOOKUP(A115,'Données projet'!$A$87:$I$107,6,0)),0%,VLOOKUP(A115,'Données projet'!$A$87:$I$107,6,0)*VLOOKUP('Données projet'!$B$11,'Paramètres'!$A$1:$I$89,7,0))</f>
        <v>0</v>
      </c>
      <c r="BO115" s="135">
        <f>IF(ISNA(VLOOKUP(A115,'Données projet'!$A$87:$I$107,7,0)),0%,VLOOKUP(A115,'Données projet'!$A$87:$I$107,7,0))</f>
        <v>0</v>
      </c>
      <c r="BP115" s="142">
        <f>EXP(-LN(2)/35)*BP114+(1-EXP(-LN(2)/35))/(LN(2)/35)*BL115*BM115*VLOOKUP('Données projet'!$B$11,'Paramètres'!$A$1:$I$89,3,0)*0.475*44/12</f>
        <v>72.9267081</v>
      </c>
      <c r="BQ115" s="142">
        <f>EXP(-LN(2)/25)*BQ114+(1-EXP(-LN(2)/25))/(LN(2)/25)*Calculateur!BL115*Calculateur!BN115*VLOOKUP('Données projet'!$B$11,'Paramètres'!$A$1:$I$89,3,0)*0.475*44/12</f>
        <v>5.330601693</v>
      </c>
      <c r="BR115" s="142">
        <f>EXP(-LN(2)/2)*BR114+(1-EXP(-LN(2)/2))/(LN(2)/2)*BL115*BO115*VLOOKUP('Données projet'!$B$11,'Paramètres'!$A$1:$I$89,3,0)*0.475*44/12</f>
        <v>0.000005262207664</v>
      </c>
      <c r="BS115" s="143">
        <f t="shared" si="10"/>
        <v>78.25731505</v>
      </c>
      <c r="BT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1" t="str">
        <f>VLOOKUP(A115,'Données projet'!$A$113:$I$133,2,0)</f>
        <v>#N/A</v>
      </c>
      <c r="BW115" s="131" t="str">
        <f>VLOOKUP(A115,'Données projet'!$A$113:$I$133,9,0)</f>
        <v>#N/A</v>
      </c>
      <c r="BX115" s="131" t="str">
        <f t="array" ref="BX115">INDEX(BW:BW,MIN(IF(ISNUMBER(BW115:BW311),ROW(BW115:BW311),"")))</f>
        <v/>
      </c>
      <c r="BY115" s="130">
        <f>IF('Données projet'!$A$114&gt;35,BY114+BX115-CG114,IF(A115&lt;'Données projet'!$A$114,$BV$205^A115,IF(A115='Données projet'!$A$114,'Données projet'!$B$114,BY114+BX115-CG114)))</f>
        <v>0</v>
      </c>
      <c r="BZ115" s="130">
        <f>BY115*VLOOKUP('Données projet'!$B$12,'Paramètres'!$A$1:$I$89,3,0)*VLOOKUP('Données projet'!$B$12,'Paramètres'!$A$1:$I$89,5,0)</f>
        <v>0</v>
      </c>
      <c r="CA115" s="130" t="str">
        <f t="shared" si="40"/>
        <v>#NUM!</v>
      </c>
      <c r="CB115" s="141" t="str">
        <f t="shared" si="11"/>
        <v>#NUM!</v>
      </c>
      <c r="CC115" s="133" t="str">
        <f t="shared" si="12"/>
        <v>#NUM!</v>
      </c>
      <c r="CD115" s="133">
        <f>AVERAGE(OFFSET($CC$3,0,0,'Données projet'!$E$12+1,1))-AVERAGE(OFFSET($H$3,0,0,'Données projet'!$E$12+1,1))</f>
        <v>258.1672054</v>
      </c>
      <c r="CE115" s="133">
        <f t="shared" si="41"/>
        <v>296.0724261</v>
      </c>
      <c r="CF115" s="134">
        <f>IF(ISNA(VLOOKUP(A115,'Données projet'!$A$113:$I$133,3,0)),0,VLOOKUP(A115,'Données projet'!$A$113:$I$133,3,0))</f>
        <v>0</v>
      </c>
      <c r="CG115" s="134">
        <f>IF(ISNA(VLOOKUP(A115,'Données projet'!$A$113:$I$133,4,0)),0,VLOOKUP(A115,'Données projet'!$A$113:$I$133,4,0))</f>
        <v>0</v>
      </c>
      <c r="CH115" s="135">
        <f>IF(ISNA(VLOOKUP(A115,'Données projet'!$A$113:$I$133,5,0)),0%,VLOOKUP(A115,'Données projet'!$A$113:$I$133,5,0)*VLOOKUP('Données projet'!$B$12,'Paramètres'!$A$1:$I$89,7,0))</f>
        <v>0</v>
      </c>
      <c r="CI115" s="135">
        <f>IF(ISNA(VLOOKUP(A115,'Données projet'!$A$113:$I$133,6,0)),0%,VLOOKUP(A115,'Données projet'!$A$113:$I$133,6,0)*VLOOKUP('Données projet'!$B$12,'Paramètres'!$A$1:$I$89,7,0))</f>
        <v>0</v>
      </c>
      <c r="CJ115" s="135">
        <f>IF(ISNA(VLOOKUP(A115,'Données projet'!$A$113:$I$133,7,0)),0%,VLOOKUP(A115,'Données projet'!$A$113:$I$133,7,0))</f>
        <v>0</v>
      </c>
      <c r="CK115" s="142">
        <f>EXP(-LN(2)/35)*CK114+(1-EXP(-LN(2)/35))/(LN(2)/35)*CG115*CH115*VLOOKUP('Données projet'!$B$12,'Paramètres'!$A$1:$I$89,3,0)*0.475*44/12</f>
        <v>92.20166823</v>
      </c>
      <c r="CL115" s="142">
        <f>EXP(-LN(2)/25)*CL114+(1-EXP(-LN(2)/25))/(LN(2)/25)*Calculateur!CG115*Calculateur!CI115*VLOOKUP('Données projet'!$B$12,'Paramètres'!$A$1:$I$89,3,0)*0.475*44/12</f>
        <v>9.350177974</v>
      </c>
      <c r="CM115" s="142">
        <f>EXP(-LN(2)/2)*CM114+(1-EXP(-LN(2)/2))/(LN(2)/2)*CG115*CJ115*VLOOKUP('Données projet'!$B$12,'Paramètres'!$A$1:$I$89,3,0)*0.475*44/12</f>
        <v>0.0000002216905978</v>
      </c>
      <c r="CN115" s="143">
        <f t="shared" si="13"/>
        <v>101.5518464</v>
      </c>
      <c r="CO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1" t="str">
        <f>VLOOKUP(A115,'Données projet'!$A$139:$I$159,2,0)</f>
        <v>#N/A</v>
      </c>
      <c r="CR115" s="131" t="str">
        <f>VLOOKUP(A115,'Données projet'!$A$139:$I$159,9,0)</f>
        <v>#N/A</v>
      </c>
      <c r="CS115" s="130">
        <f t="array" ref="CS115">INDEX(CR:CR,MIN(IF(ISNUMBER(CR115:CR311),ROW(CR115:CR311),"")))</f>
        <v>1.5</v>
      </c>
      <c r="CT115" s="138">
        <f>IF('Données projet'!$A$140&gt;35,CT114+CS115-DB114,IF(A115&lt;'Données projet'!$A$140,$CQ$205^A115,IF(A115='Données projet'!$A$140,'Données projet'!$B$140,CT114+CS115-DB114)))</f>
        <v>209</v>
      </c>
      <c r="CU115" s="138">
        <f>CT115*VLOOKUP('Données projet'!$B$13,'Paramètres'!$A$1:$I$89,3,0)*VLOOKUP('Données projet'!$B$13,'Paramètres'!$A$1:$I$89,5,0)</f>
        <v>211.926</v>
      </c>
      <c r="CV115" s="130">
        <f t="shared" si="42"/>
        <v>52.35624126</v>
      </c>
      <c r="CW115" s="141">
        <f t="shared" si="14"/>
        <v>460.2915702</v>
      </c>
      <c r="CX115" s="133">
        <f t="shared" si="15"/>
        <v>753.6249035</v>
      </c>
      <c r="CY115" s="133">
        <f>AVERAGE(OFFSET($CX$3,0,0,'Données projet'!$E$13+1,1))-AVERAGE(OFFSET($H$3,0,0,'Données projet'!$E$13+1,1))</f>
        <v>223.783507</v>
      </c>
      <c r="CZ115" s="133">
        <f t="shared" si="43"/>
        <v>84.92349117</v>
      </c>
      <c r="DA115" s="134">
        <f>IF(ISNA(VLOOKUP(A115,'Données projet'!$A$139:$I$159,3,0)),0,VLOOKUP(A115,'Données projet'!$A$139:$I$159,3,0))</f>
        <v>0</v>
      </c>
      <c r="DB115" s="134">
        <f>IF(ISNA(VLOOKUP(A115,'Données projet'!$A$139:$I$159,4,0)),0,VLOOKUP(A115,'Données projet'!$A$139:$I$159,4,0))</f>
        <v>0</v>
      </c>
      <c r="DC115" s="135">
        <f>IF(ISNA(VLOOKUP(A115,'Données projet'!$A$139:$I$159,5,0)),0%,VLOOKUP(A115,'Données projet'!$A$139:$I$159,5,0)*VLOOKUP('Données projet'!$B$13,'Paramètres'!$A$1:$I$89,7,0))</f>
        <v>0</v>
      </c>
      <c r="DD115" s="135">
        <f>IF(ISNA(VLOOKUP(A115,'Données projet'!$A$139:$I$159,6,0)),0%,VLOOKUP(A115,'Données projet'!$A$139:$I$159,6,0)*VLOOKUP('Données projet'!$B$13,'Paramètres'!$A$1:$I$89,7,0))</f>
        <v>0</v>
      </c>
      <c r="DE115" s="135">
        <f>IF(ISNA(VLOOKUP(A115,'Données projet'!$A$139:$I$159,7,0)),0%,VLOOKUP(A115,'Données projet'!$A$139:$I$159,7,0))</f>
        <v>0</v>
      </c>
      <c r="DF115" s="142">
        <f>EXP(-LN(2)/35)*DF114+(1-EXP(-LN(2)/35))/(LN(2)/35)*DB115*DC115*VLOOKUP('Données projet'!$B$13,'Paramètres'!$A$1:$I$89,3,0)*0.475*44/12</f>
        <v>20.71311651</v>
      </c>
      <c r="DG115" s="142">
        <f>EXP(-LN(2)/25)*DG114+(1-EXP(-LN(2)/25))/(LN(2)/25)*Calculateur!DB115*Calculateur!DD115*VLOOKUP('Données projet'!$B$13,'Paramètres'!$A$1:$I$89,3,0)*0.475*44/12</f>
        <v>0</v>
      </c>
      <c r="DH115" s="142">
        <f>EXP(-LN(2)/2)*DH114+(1-EXP(-LN(2)/2))/(LN(2)/2)*DB115*DE115*VLOOKUP('Données projet'!$B$13,'Paramètres'!$A$1:$I$89,3,0)*0.475*44/12</f>
        <v>0</v>
      </c>
      <c r="DI115" s="143">
        <f t="shared" si="16"/>
        <v>20.71311651</v>
      </c>
      <c r="DJ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1" t="str">
        <f>VLOOKUP(A115,'Données projet'!$A$165:$I$185,2,0)</f>
        <v>#N/A</v>
      </c>
      <c r="DM115" s="131" t="str">
        <f>VLOOKUP(A115,'Données projet'!$A$165:$I$185,9,0)</f>
        <v>#N/A</v>
      </c>
      <c r="DN115" s="131">
        <f t="array" ref="DN115">INDEX(DM:DM,MIN(IF(ISNUMBER(DM115:DM311),ROW(DM115:DM311),"")))</f>
        <v>1.9</v>
      </c>
      <c r="DO115" s="138">
        <f>IF('Données projet'!$A$166&gt;35,DO114+DN115-DW114,IF(A115&lt;'Données projet'!$A$166,$DL$205^A115,IF(A115='Données projet'!$A$166,'Données projet'!$B$166,DO114+DN115-DW114)))</f>
        <v>269.8</v>
      </c>
      <c r="DP115" s="138">
        <f>DO115*VLOOKUP('Données projet'!$B$14,'Paramètres'!$A$1:$I$89,3,0)*VLOOKUP('Données projet'!$B$14,'Paramètres'!$A$1:$I$89,5,0)</f>
        <v>244.11504</v>
      </c>
      <c r="DQ115" s="130">
        <f t="shared" si="44"/>
        <v>59.32402346</v>
      </c>
      <c r="DR115" s="141">
        <f t="shared" si="17"/>
        <v>528.4897022</v>
      </c>
      <c r="DS115" s="133">
        <f t="shared" si="18"/>
        <v>821.8230355</v>
      </c>
      <c r="DT115" s="133">
        <f>AVERAGE(OFFSET($DS$3,0,0,'Données projet'!$E$14+1,1))-AVERAGE(OFFSET($H$3,0,0,'Données projet'!$E$14+1,1))</f>
        <v>287.9334714</v>
      </c>
      <c r="DU115" s="133">
        <f t="shared" si="45"/>
        <v>156.6796502</v>
      </c>
      <c r="DV115" s="134">
        <f>IF(ISNA(VLOOKUP(A115,'Données projet'!$A$165:$I$185,3,0)),0,VLOOKUP(A115,'Données projet'!$A$165:$I$185,3,0))</f>
        <v>0</v>
      </c>
      <c r="DW115" s="134">
        <f>IF(ISNA(VLOOKUP(A115,'Données projet'!$A$165:$I$185,4,0)),0,VLOOKUP(A115,'Données projet'!$A$165:$I$185,4,0))</f>
        <v>0</v>
      </c>
      <c r="DX115" s="135">
        <f>IF(ISNA(VLOOKUP(A115,'Données projet'!$A$165:$I$185,5,0)),0%,VLOOKUP(A115,'Données projet'!$A$165:$I$185,5,0)*VLOOKUP('Données projet'!$B$14,'Paramètres'!$A$1:$I$89,7,0))</f>
        <v>0</v>
      </c>
      <c r="DY115" s="135">
        <f>IF(ISNA(VLOOKUP(A115,'Données projet'!$A$165:$I$185,6,0)),0%,VLOOKUP(A115,'Données projet'!$A$165:$I$185,6,0)*VLOOKUP('Données projet'!$B$14,'Paramètres'!$A$1:$I$89,7,0))</f>
        <v>0</v>
      </c>
      <c r="DZ115" s="135">
        <f>IF(ISNA(VLOOKUP(A115,'Données projet'!$A$165:$I$185,7,0)),0%,VLOOKUP(A115,'Données projet'!$A$165:$I$185,7,0))</f>
        <v>0</v>
      </c>
      <c r="EA115" s="142">
        <f>EXP(-LN(2)/35)*EA114+(1-EXP(-LN(2)/35))/(LN(2)/35)*DW115*DX115*VLOOKUP('Données projet'!$B$14,'Paramètres'!$A$1:$I$89,3,0)*0.475*44/12</f>
        <v>30.84221677</v>
      </c>
      <c r="EB115" s="142">
        <f>EXP(-LN(2)/25)*EB114+(1-EXP(-LN(2)/25))/(LN(2)/25)*Calculateur!DW115*Calculateur!DY115*VLOOKUP('Données projet'!$B$14,'Paramètres'!$A$1:$I$89,3,0)*0.475*44/12</f>
        <v>0</v>
      </c>
      <c r="EC115" s="142">
        <f>EXP(-LN(2)/2)*EC114+(1-EXP(-LN(2)/2))/(LN(2)/2)*DW115*DZ115*VLOOKUP('Données projet'!$B$14,'Paramètres'!$A$1:$I$89,3,0)*0.475*44/12</f>
        <v>0</v>
      </c>
      <c r="ED115" s="143">
        <f t="shared" si="19"/>
        <v>30.84221677</v>
      </c>
      <c r="EE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1" t="str">
        <f>VLOOKUP(A115,'Données projet'!$A$191:$I$211,2,0)</f>
        <v>#N/A</v>
      </c>
      <c r="EH115" s="131" t="str">
        <f>VLOOKUP(A115,'Données projet'!$A$191:$I$211,9,0)</f>
        <v>#N/A</v>
      </c>
      <c r="EI115" s="131" t="str">
        <f t="array" ref="EI115">INDEX(EH:EH,MIN(IF(ISNUMBER(EH115:EH311),ROW(EH115:EH311),"")))</f>
        <v/>
      </c>
      <c r="EJ115" s="138">
        <f>IF('Données projet'!$A$192&gt;35,EJ114+EI115-ER114,IF(A115&lt;'Données projet'!$A$192,$EG$205^A115,IF(A115='Données projet'!$A$192,'Données projet'!$B$192,EJ114+EI115-ER114)))</f>
        <v>0</v>
      </c>
      <c r="EK115" s="138">
        <f>EJ115*VLOOKUP('Données projet'!$B$15,'Paramètres'!$A$1:$I$89,3,0)*VLOOKUP('Données projet'!$B$15,'Paramètres'!$A$1:$I$89,5,0)</f>
        <v>0</v>
      </c>
      <c r="EL115" s="130" t="str">
        <f t="shared" si="46"/>
        <v>#NUM!</v>
      </c>
      <c r="EM115" s="141" t="str">
        <f t="shared" si="20"/>
        <v>#NUM!</v>
      </c>
      <c r="EN115" s="133" t="str">
        <f t="shared" si="21"/>
        <v>#NUM!</v>
      </c>
      <c r="EO115" s="133">
        <f>AVERAGE(OFFSET($EN$3,0,0,'Données projet'!$E$15+1,1))-AVERAGE(OFFSET($H$3,0,0,'Données projet'!$E$15+1,1))</f>
        <v>130.3193339</v>
      </c>
      <c r="EP115" s="133">
        <f t="shared" si="47"/>
        <v>82.22784365</v>
      </c>
      <c r="EQ115" s="134">
        <f>IF(ISNA(VLOOKUP(A115,'Données projet'!$A$191:$I$211,3,0)),0,VLOOKUP(A115,'Données projet'!$A$191:$I$211,3,0))</f>
        <v>0</v>
      </c>
      <c r="ER115" s="134">
        <f>IF(ISNA(VLOOKUP(A115,'Données projet'!$A$191:$I$211,4,0)),0,VLOOKUP(A115,'Données projet'!$A$191:$I$211,4,0))</f>
        <v>0</v>
      </c>
      <c r="ES115" s="135">
        <f>IF(ISNA(VLOOKUP(A115,'Données projet'!$A$191:$I$211,5,0)),0%,VLOOKUP(A115,'Données projet'!$A$191:$I$211,5,0)*VLOOKUP('Données projet'!$B$15,'Paramètres'!$A$1:$I$89,7,0))</f>
        <v>0</v>
      </c>
      <c r="ET115" s="135">
        <f>IF(ISNA(VLOOKUP(A115,'Données projet'!$A$191:$I$211,6,0)),0%,VLOOKUP(A115,'Données projet'!$A$191:$I$211,6,0)*VLOOKUP('Données projet'!$B$15,'Paramètres'!$A$1:$I$89,7,0))</f>
        <v>0</v>
      </c>
      <c r="EU115" s="135">
        <f>IF(ISNA(VLOOKUP(A115,'Données projet'!$A$191:$I$211,7,0)),0%,VLOOKUP(A115,'Données projet'!$A$191:$I$211,7,0))</f>
        <v>0</v>
      </c>
      <c r="EV115" s="142">
        <f>EXP(-LN(2)/35)*EV114+(1-EXP(-LN(2)/35))/(LN(2)/35)*ER115*ES115*VLOOKUP('Données projet'!$B$15,'Paramètres'!$A$1:$I$89,3,0)*0.475*44/12</f>
        <v>56.37941272</v>
      </c>
      <c r="EW115" s="142">
        <f>EXP(-LN(2)/25)*EW114+(1-EXP(-LN(2)/25))/(LN(2)/25)*Calculateur!ER115*Calculateur!ET115*VLOOKUP('Données projet'!$B$15,'Paramètres'!$A$1:$I$89,3,0)*0.475*44/12</f>
        <v>0</v>
      </c>
      <c r="EX115" s="142">
        <f>EXP(-LN(2)/2)*EX114+(1-EXP(-LN(2)/2))/(LN(2)/2)*ER115*EU115*VLOOKUP('Données projet'!$B$15,'Paramètres'!$A$1:$I$89,3,0)*0.475*44/12</f>
        <v>0</v>
      </c>
      <c r="EY115" s="143">
        <f t="shared" si="22"/>
        <v>56.37941272</v>
      </c>
      <c r="EZ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1" t="str">
        <f>VLOOKUP(A115,'Données projet'!$A$217:$I$237,2,0)</f>
        <v>#N/A</v>
      </c>
      <c r="FC115" s="131" t="str">
        <f>VLOOKUP(A115,'Données projet'!$A$217:$I$237,9,0)</f>
        <v>#N/A</v>
      </c>
      <c r="FD115" s="131" t="str">
        <f t="array" ref="FD115">INDEX(FC:FC,MIN(IF(ISNUMBER(FC115:FC311),ROW(FC115:FC311),"")))</f>
        <v/>
      </c>
      <c r="FE115" s="130">
        <f>IF('Données projet'!$A$218&gt;35,FE114+FD115-FM114,IF(A115&lt;'Données projet'!$A$218,$FB$205^A115,IF(A115='Données projet'!$A$218,'Données projet'!$B$218,FE114+FD115-FM114)))</f>
        <v>0</v>
      </c>
      <c r="FF115" s="138">
        <f>FE115*VLOOKUP('Données projet'!$B$16,'Paramètres'!$A$1:$I$89,3,0)*VLOOKUP('Données projet'!$B$16,'Paramètres'!$A$1:$I$89,5,0)</f>
        <v>0</v>
      </c>
      <c r="FG115" s="130">
        <f t="shared" si="48"/>
        <v>0</v>
      </c>
      <c r="FH115" s="141">
        <f t="shared" si="23"/>
        <v>0</v>
      </c>
      <c r="FI115" s="133">
        <f t="shared" si="24"/>
        <v>293.3333333</v>
      </c>
      <c r="FJ115" s="133">
        <f>AVERAGE(OFFSET($FI$3,0,0,'Données projet'!$E$16+1,1))-AVERAGE(OFFSET($H$3,0,0,'Données projet'!$E$16+1,1))</f>
        <v>305.6252353</v>
      </c>
      <c r="FK115" s="133">
        <f t="shared" si="49"/>
        <v>331.397916</v>
      </c>
      <c r="FL115" s="134">
        <f>IF(ISNA(VLOOKUP(A115,'Données projet'!$A$217:$I$237,3,0)),0,VLOOKUP(A115,'Données projet'!$A$217:$I$237,3,0))</f>
        <v>0</v>
      </c>
      <c r="FM115" s="134">
        <f>IF(ISNA(VLOOKUP(A115,'Données projet'!$A$217:$I$237,4,0)),0,VLOOKUP(A115,'Données projet'!$A$217:$I$237,4,0))</f>
        <v>0</v>
      </c>
      <c r="FN115" s="135">
        <f>IF(ISNA(VLOOKUP(A115,'Données projet'!$A$217:$I$237,5,0)),0%,VLOOKUP(A115,'Données projet'!$A$217:$I$237,5,0)*VLOOKUP('Données projet'!$B$16,'Paramètres'!$A$1:$I$89,7,0))</f>
        <v>0</v>
      </c>
      <c r="FO115" s="135">
        <f>IF(ISNA(VLOOKUP(A115,'Données projet'!$A$217:$I$237,6,0)),0%,VLOOKUP(A115,'Données projet'!$A$217:$I$237,6,0)*VLOOKUP('Données projet'!$B$16,'Paramètres'!$A$1:$I$89,7,0))</f>
        <v>0</v>
      </c>
      <c r="FP115" s="135">
        <f>IF(ISNA(VLOOKUP(A115,'Données projet'!$A$217:$I$237,7,0)),0%,VLOOKUP(A115,'Données projet'!$A$217:$I$237,7,0))</f>
        <v>0</v>
      </c>
      <c r="FQ115" s="142">
        <f>EXP(-LN(2)/35)*FQ114+(1-EXP(-LN(2)/35))/(LN(2)/35)*FM115*FN115*VLOOKUP('Données projet'!$B$16,'Paramètres'!$A$1:$I$89,3,0)*0.475*44/12</f>
        <v>35.10350728</v>
      </c>
      <c r="FR115" s="142">
        <f>EXP(-LN(2)/25)*FR114+(1-EXP(-LN(2)/25))/(LN(2)/25)*Calculateur!FM115*Calculateur!FO115*VLOOKUP('Données projet'!$B$16,'Paramètres'!$A$1:$I$89,3,0)*0.475*44/12</f>
        <v>0</v>
      </c>
      <c r="FS115" s="142">
        <f>EXP(-LN(2)/2)*FS114+(1-EXP(-LN(2)/2))/(LN(2)/2)*FM115*FP115*VLOOKUP('Données projet'!$B$16,'Paramètres'!$A$1:$I$89,3,0)*0.475*44/12</f>
        <v>0</v>
      </c>
      <c r="FT115" s="143">
        <f t="shared" si="25"/>
        <v>35.10350728</v>
      </c>
      <c r="FU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1" t="str">
        <f>VLOOKUP(A115,'Données projet'!$A$243:$I$263,2,0)</f>
        <v>#N/A</v>
      </c>
      <c r="FX115" s="131" t="str">
        <f>VLOOKUP(A115,'Données projet'!$A$243:$I$263,9,0)</f>
        <v>#N/A</v>
      </c>
      <c r="FY115" s="131" t="str">
        <f t="array" ref="FY115">INDEX(FX:FX,MIN(IF(ISNUMBER(FX115:FX311),ROW(FX115:FX311),"")))</f>
        <v/>
      </c>
      <c r="FZ115" s="138">
        <f>IF('Données projet'!$A$244&gt;35,FZ114+FY115-GH114,IF(A115&lt;'Données projet'!$A$244,$FW$205^A115,IF(A115='Données projet'!$A$244,'Données projet'!$B$244,FZ114+FY115-GH114)))</f>
        <v>0</v>
      </c>
      <c r="GA115" s="138">
        <f>FZ115*VLOOKUP('Données projet'!$B$17,'Paramètres'!$A$1:$I$89,3,0)*VLOOKUP('Données projet'!$B$17,'Paramètres'!$A$1:$I$89,5,0)</f>
        <v>0</v>
      </c>
      <c r="GB115" s="130">
        <f t="shared" si="50"/>
        <v>0</v>
      </c>
      <c r="GC115" s="141">
        <f t="shared" si="26"/>
        <v>0</v>
      </c>
      <c r="GD115" s="133">
        <f t="shared" si="27"/>
        <v>293.3333333</v>
      </c>
      <c r="GE115" s="133">
        <f>AVERAGE(OFFSET($GD$3,0,0,'Données projet'!$E$17+1,1))-AVERAGE(OFFSET($H$3,0,0,'Données projet'!$E$17+1,1))</f>
        <v>118.7368745</v>
      </c>
      <c r="GF115" s="133">
        <f t="shared" si="51"/>
        <v>135.1233677</v>
      </c>
      <c r="GG115" s="134">
        <f>IF(ISNA(VLOOKUP(A115,'Données projet'!$A$243:$I$263,3,0)),0,VLOOKUP(A115,'Données projet'!$A$243:$I$263,3,0))</f>
        <v>0</v>
      </c>
      <c r="GH115" s="134">
        <f>IF(ISNA(VLOOKUP(A115,'Données projet'!$A$243:$I$263,4,0)),0,VLOOKUP(A115,'Données projet'!$A$243:$I$263,4,0))</f>
        <v>0</v>
      </c>
      <c r="GI115" s="135">
        <f>IF(ISNA(VLOOKUP(A115,'Données projet'!$A$243:$I$263,5,0)),0%,VLOOKUP(A115,'Données projet'!$A$243:$I$263,5,0)*VLOOKUP('Données projet'!$B$17,'Paramètres'!$A$1:$I$89,7,0))</f>
        <v>0</v>
      </c>
      <c r="GJ115" s="135">
        <f>IF(ISNA(VLOOKUP(A115,'Données projet'!$A$243:$I$263,6,0)),0%,VLOOKUP(A115,'Données projet'!$A$243:$I$263,6,0)*VLOOKUP('Données projet'!$B$17,'Paramètres'!$A$1:$I$89,7,0))</f>
        <v>0</v>
      </c>
      <c r="GK115" s="135">
        <f>IF(ISNA(VLOOKUP(A115,'Données projet'!$A$243:$I$263,7,0)),0%,VLOOKUP(A115,'Données projet'!$A$243:$I$263,7,0))</f>
        <v>0</v>
      </c>
      <c r="GL115" s="142">
        <f>EXP(-LN(2)/35)*GL114+(1-EXP(-LN(2)/35))/(LN(2)/35)*GH115*GI115*VLOOKUP('Données projet'!$B$17,'Paramètres'!$A$1:$I$89,3,0)*0.475*44/12</f>
        <v>37.08674688</v>
      </c>
      <c r="GM115" s="142">
        <f>EXP(-LN(2)/25)*GM114+(1-EXP(-LN(2)/25))/(LN(2)/25)*Calculateur!GH115*Calculateur!GJ115*VLOOKUP('Données projet'!$B$17,'Paramètres'!$A$1:$I$89,3,0)*0.475*44/12</f>
        <v>0</v>
      </c>
      <c r="GN115" s="142">
        <f>EXP(-LN(2)/2)*GN114+(1-EXP(-LN(2)/2))/(LN(2)/2)*GH115*GK115*VLOOKUP('Données projet'!$B$17,'Paramètres'!$A$1:$I$89,3,0)*0.475*44/12</f>
        <v>0</v>
      </c>
      <c r="GO115" s="142">
        <f t="shared" si="28"/>
        <v>37.08674688</v>
      </c>
      <c r="GP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1" t="str">
        <f>VLOOKUP(A115,'Données projet'!$A$269:$I$289,2,0)</f>
        <v>#N/A</v>
      </c>
      <c r="GS115" s="131" t="str">
        <f>VLOOKUP(A115,'Données projet'!$A$269:$I$289,9,0)</f>
        <v>#N/A</v>
      </c>
      <c r="GT115" s="131" t="str">
        <f t="array" ref="GT115">INDEX(GS:GS,MIN(IF(ISNUMBER(GS115:GS311),ROW(GS115:GS311),"")))</f>
        <v/>
      </c>
      <c r="GU115" s="138">
        <f>IF('Données projet'!$A$270&gt;35,GU114+GT115-HC114,IF(A115&lt;'Données projet'!$A$270,$GR$205^A115,IF(A115='Données projet'!$A$270,'Données projet'!$B$270,GU114+GT115-HC114)))</f>
        <v>0</v>
      </c>
      <c r="GV115" s="138">
        <f>GU115*VLOOKUP('Données projet'!$B$18,'Paramètres'!$A$1:$I$89,3,0)*VLOOKUP('Données projet'!$B$18,'Paramètres'!$A$1:$I$89,5,0)</f>
        <v>0</v>
      </c>
      <c r="GW115" s="130" t="str">
        <f t="shared" si="52"/>
        <v>#NUM!</v>
      </c>
      <c r="GX115" s="141" t="str">
        <f t="shared" si="29"/>
        <v>#NUM!</v>
      </c>
      <c r="GY115" s="133" t="str">
        <f t="shared" si="30"/>
        <v>#NUM!</v>
      </c>
      <c r="GZ115" s="133">
        <f>AVERAGE(OFFSET($GY$3,0,0,'Données projet'!$E$18+1,1))-AVERAGE(OFFSET($H$3,0,0,'Données projet'!$E$18+1,1))</f>
        <v>100.5427875</v>
      </c>
      <c r="HA115" s="133">
        <f t="shared" si="53"/>
        <v>92.28663609</v>
      </c>
      <c r="HB115" s="134">
        <f>IF(ISNA(VLOOKUP(A115,'Données projet'!$A$269:$I$289,3,0)),0,VLOOKUP(A115,'Données projet'!$A$269:$I$289,3,0))</f>
        <v>0</v>
      </c>
      <c r="HC115" s="134">
        <f>IF(ISNA(VLOOKUP(A115,'Données projet'!$A$269:$I$289,4,0)),0,VLOOKUP(A115,'Données projet'!$A$269:$I$289,4,0))</f>
        <v>0</v>
      </c>
      <c r="HD115" s="135">
        <f>IF(ISNA(VLOOKUP(A115,'Données projet'!$A$269:$I$289,5,0)),0%,VLOOKUP(A115,'Données projet'!$A$269:$I$289,5,0)*VLOOKUP('Données projet'!$B$18,'Paramètres'!$A$1:$I$89,7,0))</f>
        <v>0</v>
      </c>
      <c r="HE115" s="135">
        <f>IF(ISNA(VLOOKUP(A115,'Données projet'!$A$269:$I$289,6,0)),0%,VLOOKUP(A115,'Données projet'!$A$269:$I$289,6,0)*VLOOKUP('Données projet'!$B$18,'Paramètres'!$A$1:$I$89,7,0))</f>
        <v>0</v>
      </c>
      <c r="HF115" s="135">
        <f>IF(ISNA(VLOOKUP(A115,'Données projet'!$A$269:$I$289,7,0)),0%,VLOOKUP(A115,'Données projet'!$A$269:$I$289,7,0))</f>
        <v>0</v>
      </c>
      <c r="HG115" s="142">
        <f>EXP(-LN(2)/35)*HG114+(1-EXP(-LN(2)/35))/(LN(2)/35)*HC115*HD115*VLOOKUP('Données projet'!$B$18,'Paramètres'!$A$1:$I$89,3,0)*0.475*44/12</f>
        <v>25.25529224</v>
      </c>
      <c r="HH115" s="142">
        <f>EXP(-LN(2)/25)*HH114+(1-EXP(-LN(2)/25))/(LN(2)/25)*Calculateur!HC115*Calculateur!HE115*VLOOKUP('Données projet'!$B$18,'Paramètres'!$A$1:$I$89,3,0)*0.475*44/12</f>
        <v>0</v>
      </c>
      <c r="HI115" s="142">
        <f>EXP(-LN(2)/2)*HI114+(1-EXP(-LN(2)/2))/(LN(2)/2)*HC115*HF115*VLOOKUP('Données projet'!$B$18,'Paramètres'!$A$1:$I$89,3,0)*0.475*44/12</f>
        <v>0</v>
      </c>
      <c r="HJ115" s="143">
        <f t="shared" si="31"/>
        <v>25.25529224</v>
      </c>
    </row>
    <row r="116" ht="15.75" customHeight="1">
      <c r="A116" s="125">
        <f t="shared" si="32"/>
        <v>113</v>
      </c>
      <c r="B116" s="126">
        <f>'Scénario référence'!$B$16*5+'Scénario référence'!$B$17*0+'Scénario référence'!$B$18*5</f>
        <v>0</v>
      </c>
      <c r="C116" s="140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61.698</v>
      </c>
      <c r="D116" s="127">
        <f t="shared" si="33"/>
        <v>17.59687693</v>
      </c>
      <c r="E11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7">
        <f>IF(OR('Scénario référence'!$F$8&gt;0,'Scénario référence'!$F$9&gt;0),('Scénario référence'!$F$8+'Scénario référence'!$F$9)*10,0)</f>
        <v>10</v>
      </c>
      <c r="G116" s="127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612.1008044</v>
      </c>
      <c r="H116" s="128">
        <f t="shared" si="1"/>
        <v>431.4385773</v>
      </c>
      <c r="I116" s="12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1" t="str">
        <f>VLOOKUP(A116,'Données projet'!$A$35:$I$55,2,0)</f>
        <v>#N/A</v>
      </c>
      <c r="L116" s="131" t="str">
        <f>VLOOKUP(A116,'Données projet'!$A$35:$I$55,9,0)</f>
        <v>#N/A</v>
      </c>
      <c r="M116" s="131" t="str">
        <f t="array" ref="M116">INDEX(L:L,MIN(IF(ISNUMBER(L116:L312),ROW(L116:L312),"")))</f>
        <v/>
      </c>
      <c r="N116" s="130">
        <f>IF('Données projet'!$A$36&gt;35,N115+M116-V115,IF(A116&lt;'Données projet'!$A$36,$K$205^A116,IF(A116='Données projet'!$A$36,'Données projet'!$B$36,N115+M116-V115)))</f>
        <v>0</v>
      </c>
      <c r="O116" s="130">
        <f>N116*VLOOKUP('Données projet'!$B$9,'Paramètres'!$A$1:$I$89,3,0)*VLOOKUP('Données projet'!$B$9,'Paramètres'!$A$1:$I$89,5,0)</f>
        <v>0</v>
      </c>
      <c r="P116" s="130">
        <f t="shared" si="34"/>
        <v>0</v>
      </c>
      <c r="Q116" s="141">
        <f t="shared" si="2"/>
        <v>0</v>
      </c>
      <c r="R116" s="133">
        <f t="shared" si="3"/>
        <v>293.3333333</v>
      </c>
      <c r="S116" s="133">
        <f>AVERAGE(OFFSET($R$3,0,0,'Données projet'!$E$9+1,1))-AVERAGE(OFFSET($H$3,0,0,'Données projet'!$E$9+1,1))</f>
        <v>126.9946492</v>
      </c>
      <c r="T116" s="133">
        <f t="shared" si="35"/>
        <v>140.039049</v>
      </c>
      <c r="U116" s="134">
        <f>IF(ISNA(VLOOKUP(A116,'Données projet'!$A$35:$I$55,3,0)),0,VLOOKUP(A116,'Données projet'!$A$35:$I$55,3,0))</f>
        <v>0</v>
      </c>
      <c r="V116" s="134">
        <f>IF(ISNA(VLOOKUP(A116,'Données projet'!$A$35:$I$55,4,0)),0,VLOOKUP(A116,'Données projet'!$A$35:$I$55,4,0))</f>
        <v>0</v>
      </c>
      <c r="W116" s="135">
        <f>IF(ISNA(VLOOKUP(A116,'Données projet'!$A$35:$I$55,5,0)),0%,VLOOKUP(A116,'Données projet'!$A$35:$I$55,5,0)*VLOOKUP('Données projet'!$B$9,'Paramètres'!$A$1:$I$89,7,0))</f>
        <v>0</v>
      </c>
      <c r="X116" s="135">
        <f>IF(ISNA(VLOOKUP(A116,'Données projet'!$A$35:$I$55,6,0)),0%,VLOOKUP(A116,'Données projet'!$A$35:$I$55,6,0)*VLOOKUP('Données projet'!$B$9,'Paramètres'!$A$1:$I$89,7,0))</f>
        <v>0</v>
      </c>
      <c r="Y116" s="135">
        <f>IF(ISNA(VLOOKUP(A116,'Données projet'!$A$35:$I$55,7,0)),0%,VLOOKUP(A116,'Données projet'!$A$35:$I$55,7,0))</f>
        <v>0</v>
      </c>
      <c r="Z116" s="142">
        <f>EXP(-LN(2)/35)*Z115+(1-EXP(-LN(2)/35))/(LN(2)/35)*V116*W116*VLOOKUP('Données projet'!$B$9,'Paramètres'!$A$1:$I$89,3,0)*0.475*44/12</f>
        <v>37.18767311</v>
      </c>
      <c r="AA116" s="142">
        <f>EXP(-LN(2)/25)*AA115+(1-EXP(-LN(2)/25))/(LN(2)/25)*Calculateur!V116*Calculateur!X116*VLOOKUP('Données projet'!$B$9,'Paramètres'!$A$1:$I$89,3,0)*0.475*44/12</f>
        <v>5.345979087</v>
      </c>
      <c r="AB116" s="142">
        <f>EXP(-LN(2)/2)*AB115+(1-EXP(-LN(2)/2))/(LN(2)/2)*V116*Y116*VLOOKUP('Données projet'!$B$9,'Paramètres'!$A$1:$I$89,3,0)*0.475*44/12</f>
        <v>0.0000002000855379</v>
      </c>
      <c r="AC116" s="143">
        <f t="shared" si="4"/>
        <v>42.53365239</v>
      </c>
      <c r="AD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1" t="str">
        <f>VLOOKUP(A116,'Données projet'!$A$61:$I$81,2,0)</f>
        <v>#N/A</v>
      </c>
      <c r="AG116" s="131" t="str">
        <f>VLOOKUP(A116,'Données projet'!$A$61:$I$81,9,0)</f>
        <v>#N/A</v>
      </c>
      <c r="AH116" s="131" t="str">
        <f t="array" ref="AH116">INDEX(AG:AG,MIN(IF(ISNUMBER(AG116:AG312),ROW(AG116:AG312),"")))</f>
        <v/>
      </c>
      <c r="AI116" s="130">
        <f>IF('Données projet'!$A$62&gt;35,AI115+AH116-AQ115,IF(A116&lt;'Données projet'!$A$62,$AF$205^A116,IF(A116='Données projet'!$A$62,'Données projet'!$B$62,AI115+AH116-AQ115)))</f>
        <v>0</v>
      </c>
      <c r="AJ116" s="130">
        <f>AI116*VLOOKUP('Données projet'!$B$10,'Paramètres'!$A$1:$I$89,3,0)*VLOOKUP('Données projet'!$B$10,'Paramètres'!$A$1:$I$89,5,0)</f>
        <v>0</v>
      </c>
      <c r="AK116" s="130" t="str">
        <f t="shared" si="36"/>
        <v>#NUM!</v>
      </c>
      <c r="AL116" s="141" t="str">
        <f t="shared" si="5"/>
        <v>#NUM!</v>
      </c>
      <c r="AM116" s="133" t="str">
        <f t="shared" si="6"/>
        <v>#NUM!</v>
      </c>
      <c r="AN116" s="133">
        <f>AVERAGE(OFFSET($AM$3,0,0,'Données projet'!$E$10+1,1))-AVERAGE(OFFSET($H$3,0,0,'Données projet'!$E$10+1,1))</f>
        <v>196.874484</v>
      </c>
      <c r="AO116" s="133">
        <f t="shared" si="37"/>
        <v>217.5750859</v>
      </c>
      <c r="AP116" s="134">
        <f>IF(ISNA(VLOOKUP(A116,'Données projet'!$A$61:$I$81,3,0)),0,VLOOKUP(A116,'Données projet'!$A$61:$I$81,3,0))</f>
        <v>0</v>
      </c>
      <c r="AQ116" s="134">
        <f>IF(ISNA(VLOOKUP(A116,'Données projet'!$A$61:$I$81,4,0)),0,VLOOKUP(A116,'Données projet'!$A$61:$I$81,4,0))</f>
        <v>0</v>
      </c>
      <c r="AR116" s="135">
        <f>IF(ISNA(VLOOKUP(A116,'Données projet'!$A$61:$I$81,5,0)),0%,VLOOKUP(A116,'Données projet'!$A$61:$I$81,5,0)*VLOOKUP('Données projet'!$B$10,'Paramètres'!$A$1:$I$89,7,0))</f>
        <v>0</v>
      </c>
      <c r="AS116" s="135">
        <f>IF(ISNA(VLOOKUP(A116,'Données projet'!$A$61:$I$81,6,0)),0%,VLOOKUP(A116,'Données projet'!$A$61:$I$81,6,0)*VLOOKUP('Données projet'!$B$10,'Paramètres'!$A$1:$I$89,7,0))</f>
        <v>0</v>
      </c>
      <c r="AT116" s="135">
        <f>IF(ISNA(VLOOKUP(A116,'Données projet'!$A$61:$I$81,7,0)),0%,VLOOKUP(A116,'Données projet'!$A$61:$I$81,7,0))</f>
        <v>0</v>
      </c>
      <c r="AU116" s="142">
        <f>EXP(-LN(2)/35)*AU115+(1-EXP(-LN(2)/35))/(LN(2)/35)*AQ116*AR116*VLOOKUP('Données projet'!$B$10,'Paramètres'!$A$1:$I$89,3,0)*0.475*44/12</f>
        <v>51.68980934</v>
      </c>
      <c r="AV116" s="142">
        <f>EXP(-LN(2)/25)*AV115+(1-EXP(-LN(2)/25))/(LN(2)/25)*Calculateur!AQ116*Calculateur!AS116*VLOOKUP('Données projet'!$B$10,'Paramètres'!$A$1:$I$89,3,0)*0.475*44/12</f>
        <v>8.219449989</v>
      </c>
      <c r="AW116" s="142">
        <f>EXP(-LN(2)/2)*AW115+(1-EXP(-LN(2)/2))/(LN(2)/2)*AQ116*AT116*VLOOKUP('Données projet'!$B$10,'Paramètres'!$A$1:$I$89,3,0)*0.475*44/12</f>
        <v>0.0000002789612492</v>
      </c>
      <c r="AX116" s="142">
        <f t="shared" si="7"/>
        <v>59.90925961</v>
      </c>
      <c r="AY116" s="13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1" t="str">
        <f>VLOOKUP(A116,'Données projet'!$A$87:$I$107,2,0)</f>
        <v>#N/A</v>
      </c>
      <c r="BB116" s="131" t="str">
        <f>VLOOKUP(A116,'Données projet'!$A$87:$I$107,9,0)</f>
        <v>#N/A</v>
      </c>
      <c r="BC116" s="131" t="str">
        <f t="array" ref="BC116">INDEX(BB:BB,MIN(IF(ISNUMBER(BB116:BB312),ROW(BB116:BB312),"")))</f>
        <v/>
      </c>
      <c r="BD116" s="130">
        <f>IF('Données projet'!$A$88&gt;35,BD115+BC116-BL115,IF(A116&lt;'Données projet'!$A$88,$BA$205^A116,IF(A116='Données projet'!$A$88,'Données projet'!$B$88,BD115+BC116-BL115)))</f>
        <v>0</v>
      </c>
      <c r="BE116" s="130">
        <f>BD116*VLOOKUP('Données projet'!$B$11,'Paramètres'!$A$1:$I$89,3,0)*VLOOKUP('Données projet'!$B$11,'Paramètres'!$A$1:$I$89,5,0)</f>
        <v>0</v>
      </c>
      <c r="BF116" s="130" t="str">
        <f t="shared" si="38"/>
        <v>#NUM!</v>
      </c>
      <c r="BG116" s="141" t="str">
        <f t="shared" si="8"/>
        <v>#NUM!</v>
      </c>
      <c r="BH116" s="133" t="str">
        <f t="shared" si="9"/>
        <v>#NUM!</v>
      </c>
      <c r="BI116" s="133">
        <f>AVERAGE(OFFSET($BH$3,0,0,'Données projet'!$E$11+1,1))-AVERAGE(OFFSET($H$3,0,0,'Données projet'!$E$11+1,1))</f>
        <v>134.0948534</v>
      </c>
      <c r="BJ116" s="133">
        <f t="shared" si="39"/>
        <v>108.4102536</v>
      </c>
      <c r="BK116" s="134">
        <f>IF(ISNA(VLOOKUP(A116,'Données projet'!$A$87:$I$107,3,0)),0,VLOOKUP(A116,'Données projet'!$A$87:$I$107,3,0))</f>
        <v>0</v>
      </c>
      <c r="BL116" s="134">
        <f>IF(ISNA(VLOOKUP(A116,'Données projet'!$A$87:$I$107,4,0)),0,VLOOKUP(A116,'Données projet'!$A$87:$I$107,4,0))</f>
        <v>0</v>
      </c>
      <c r="BM116" s="135">
        <f>IF(ISNA(VLOOKUP(A116,'Données projet'!$A$87:$I$107,5,0)),0%,VLOOKUP(A116,'Données projet'!$A$87:$I$107,5,0)*VLOOKUP('Données projet'!$B$11,'Paramètres'!$A$1:$I$89,7,0))</f>
        <v>0</v>
      </c>
      <c r="BN116" s="135">
        <f>IF(ISNA(VLOOKUP(A116,'Données projet'!$A$87:$I$107,6,0)),0%,VLOOKUP(A116,'Données projet'!$A$87:$I$107,6,0)*VLOOKUP('Données projet'!$B$11,'Paramètres'!$A$1:$I$89,7,0))</f>
        <v>0</v>
      </c>
      <c r="BO116" s="135">
        <f>IF(ISNA(VLOOKUP(A116,'Données projet'!$A$87:$I$107,7,0)),0%,VLOOKUP(A116,'Données projet'!$A$87:$I$107,7,0))</f>
        <v>0</v>
      </c>
      <c r="BP116" s="142">
        <f>EXP(-LN(2)/35)*BP115+(1-EXP(-LN(2)/35))/(LN(2)/35)*BL116*BM116*VLOOKUP('Données projet'!$B$11,'Paramètres'!$A$1:$I$89,3,0)*0.475*44/12</f>
        <v>71.49665983</v>
      </c>
      <c r="BQ116" s="142">
        <f>EXP(-LN(2)/25)*BQ115+(1-EXP(-LN(2)/25))/(LN(2)/25)*Calculateur!BL116*Calculateur!BN116*VLOOKUP('Données projet'!$B$11,'Paramètres'!$A$1:$I$89,3,0)*0.475*44/12</f>
        <v>5.18483611</v>
      </c>
      <c r="BR116" s="142">
        <f>EXP(-LN(2)/2)*BR115+(1-EXP(-LN(2)/2))/(LN(2)/2)*BL116*BO116*VLOOKUP('Données projet'!$B$11,'Paramètres'!$A$1:$I$89,3,0)*0.475*44/12</f>
        <v>0.000003720942723</v>
      </c>
      <c r="BS116" s="143">
        <f t="shared" si="10"/>
        <v>76.68149966</v>
      </c>
      <c r="BT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1" t="str">
        <f>VLOOKUP(A116,'Données projet'!$A$113:$I$133,2,0)</f>
        <v>#N/A</v>
      </c>
      <c r="BW116" s="131" t="str">
        <f>VLOOKUP(A116,'Données projet'!$A$113:$I$133,9,0)</f>
        <v>#N/A</v>
      </c>
      <c r="BX116" s="131" t="str">
        <f t="array" ref="BX116">INDEX(BW:BW,MIN(IF(ISNUMBER(BW116:BW312),ROW(BW116:BW312),"")))</f>
        <v/>
      </c>
      <c r="BY116" s="130">
        <f>IF('Données projet'!$A$114&gt;35,BY115+BX116-CG115,IF(A116&lt;'Données projet'!$A$114,$BV$205^A116,IF(A116='Données projet'!$A$114,'Données projet'!$B$114,BY115+BX116-CG115)))</f>
        <v>0</v>
      </c>
      <c r="BZ116" s="130">
        <f>BY116*VLOOKUP('Données projet'!$B$12,'Paramètres'!$A$1:$I$89,3,0)*VLOOKUP('Données projet'!$B$12,'Paramètres'!$A$1:$I$89,5,0)</f>
        <v>0</v>
      </c>
      <c r="CA116" s="130" t="str">
        <f t="shared" si="40"/>
        <v>#NUM!</v>
      </c>
      <c r="CB116" s="141" t="str">
        <f t="shared" si="11"/>
        <v>#NUM!</v>
      </c>
      <c r="CC116" s="133" t="str">
        <f t="shared" si="12"/>
        <v>#NUM!</v>
      </c>
      <c r="CD116" s="133">
        <f>AVERAGE(OFFSET($CC$3,0,0,'Données projet'!$E$12+1,1))-AVERAGE(OFFSET($H$3,0,0,'Données projet'!$E$12+1,1))</f>
        <v>258.1672054</v>
      </c>
      <c r="CE116" s="133">
        <f t="shared" si="41"/>
        <v>296.0724261</v>
      </c>
      <c r="CF116" s="134">
        <f>IF(ISNA(VLOOKUP(A116,'Données projet'!$A$113:$I$133,3,0)),0,VLOOKUP(A116,'Données projet'!$A$113:$I$133,3,0))</f>
        <v>0</v>
      </c>
      <c r="CG116" s="134">
        <f>IF(ISNA(VLOOKUP(A116,'Données projet'!$A$113:$I$133,4,0)),0,VLOOKUP(A116,'Données projet'!$A$113:$I$133,4,0))</f>
        <v>0</v>
      </c>
      <c r="CH116" s="135">
        <f>IF(ISNA(VLOOKUP(A116,'Données projet'!$A$113:$I$133,5,0)),0%,VLOOKUP(A116,'Données projet'!$A$113:$I$133,5,0)*VLOOKUP('Données projet'!$B$12,'Paramètres'!$A$1:$I$89,7,0))</f>
        <v>0</v>
      </c>
      <c r="CI116" s="135">
        <f>IF(ISNA(VLOOKUP(A116,'Données projet'!$A$113:$I$133,6,0)),0%,VLOOKUP(A116,'Données projet'!$A$113:$I$133,6,0)*VLOOKUP('Données projet'!$B$12,'Paramètres'!$A$1:$I$89,7,0))</f>
        <v>0</v>
      </c>
      <c r="CJ116" s="135">
        <f>IF(ISNA(VLOOKUP(A116,'Données projet'!$A$113:$I$133,7,0)),0%,VLOOKUP(A116,'Données projet'!$A$113:$I$133,7,0))</f>
        <v>0</v>
      </c>
      <c r="CK116" s="142">
        <f>EXP(-LN(2)/35)*CK115+(1-EXP(-LN(2)/35))/(LN(2)/35)*CG116*CH116*VLOOKUP('Données projet'!$B$12,'Paramètres'!$A$1:$I$89,3,0)*0.475*44/12</f>
        <v>90.39364975</v>
      </c>
      <c r="CL116" s="142">
        <f>EXP(-LN(2)/25)*CL115+(1-EXP(-LN(2)/25))/(LN(2)/25)*Calculateur!CG116*Calculateur!CI116*VLOOKUP('Données projet'!$B$12,'Paramètres'!$A$1:$I$89,3,0)*0.475*44/12</f>
        <v>9.094496865</v>
      </c>
      <c r="CM116" s="142">
        <f>EXP(-LN(2)/2)*CM115+(1-EXP(-LN(2)/2))/(LN(2)/2)*CG116*CJ116*VLOOKUP('Données projet'!$B$12,'Paramètres'!$A$1:$I$89,3,0)*0.475*44/12</f>
        <v>0.0000001567589251</v>
      </c>
      <c r="CN116" s="143">
        <f t="shared" si="13"/>
        <v>99.48814677</v>
      </c>
      <c r="CO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1" t="str">
        <f>VLOOKUP(A116,'Données projet'!$A$139:$I$159,2,0)</f>
        <v>#N/A</v>
      </c>
      <c r="CR116" s="131" t="str">
        <f>VLOOKUP(A116,'Données projet'!$A$139:$I$159,9,0)</f>
        <v>#N/A</v>
      </c>
      <c r="CS116" s="130">
        <f t="array" ref="CS116">INDEX(CR:CR,MIN(IF(ISNUMBER(CR116:CR312),ROW(CR116:CR312),"")))</f>
        <v>1.5</v>
      </c>
      <c r="CT116" s="138">
        <f>IF('Données projet'!$A$140&gt;35,CT115+CS116-DB115,IF(A116&lt;'Données projet'!$A$140,$CQ$205^A116,IF(A116='Données projet'!$A$140,'Données projet'!$B$140,CT115+CS116-DB115)))</f>
        <v>210.5</v>
      </c>
      <c r="CU116" s="138">
        <f>CT116*VLOOKUP('Données projet'!$B$13,'Paramètres'!$A$1:$I$89,3,0)*VLOOKUP('Données projet'!$B$13,'Paramètres'!$A$1:$I$89,5,0)</f>
        <v>213.447</v>
      </c>
      <c r="CV116" s="130">
        <f t="shared" si="42"/>
        <v>52.68812669</v>
      </c>
      <c r="CW116" s="141">
        <f t="shared" si="14"/>
        <v>463.518679</v>
      </c>
      <c r="CX116" s="133">
        <f t="shared" si="15"/>
        <v>756.8520123</v>
      </c>
      <c r="CY116" s="133">
        <f>AVERAGE(OFFSET($CX$3,0,0,'Données projet'!$E$13+1,1))-AVERAGE(OFFSET($H$3,0,0,'Données projet'!$E$13+1,1))</f>
        <v>223.783507</v>
      </c>
      <c r="CZ116" s="133">
        <f t="shared" si="43"/>
        <v>84.92349117</v>
      </c>
      <c r="DA116" s="134">
        <f>IF(ISNA(VLOOKUP(A116,'Données projet'!$A$139:$I$159,3,0)),0,VLOOKUP(A116,'Données projet'!$A$139:$I$159,3,0))</f>
        <v>0</v>
      </c>
      <c r="DB116" s="134">
        <f>IF(ISNA(VLOOKUP(A116,'Données projet'!$A$139:$I$159,4,0)),0,VLOOKUP(A116,'Données projet'!$A$139:$I$159,4,0))</f>
        <v>0</v>
      </c>
      <c r="DC116" s="135">
        <f>IF(ISNA(VLOOKUP(A116,'Données projet'!$A$139:$I$159,5,0)),0%,VLOOKUP(A116,'Données projet'!$A$139:$I$159,5,0)*VLOOKUP('Données projet'!$B$13,'Paramètres'!$A$1:$I$89,7,0))</f>
        <v>0</v>
      </c>
      <c r="DD116" s="135">
        <f>IF(ISNA(VLOOKUP(A116,'Données projet'!$A$139:$I$159,6,0)),0%,VLOOKUP(A116,'Données projet'!$A$139:$I$159,6,0)*VLOOKUP('Données projet'!$B$13,'Paramètres'!$A$1:$I$89,7,0))</f>
        <v>0</v>
      </c>
      <c r="DE116" s="135">
        <f>IF(ISNA(VLOOKUP(A116,'Données projet'!$A$139:$I$159,7,0)),0%,VLOOKUP(A116,'Données projet'!$A$139:$I$159,7,0))</f>
        <v>0</v>
      </c>
      <c r="DF116" s="142">
        <f>EXP(-LN(2)/35)*DF115+(1-EXP(-LN(2)/35))/(LN(2)/35)*DB116*DC116*VLOOKUP('Données projet'!$B$13,'Paramètres'!$A$1:$I$89,3,0)*0.475*44/12</f>
        <v>20.30694493</v>
      </c>
      <c r="DG116" s="142">
        <f>EXP(-LN(2)/25)*DG115+(1-EXP(-LN(2)/25))/(LN(2)/25)*Calculateur!DB116*Calculateur!DD116*VLOOKUP('Données projet'!$B$13,'Paramètres'!$A$1:$I$89,3,0)*0.475*44/12</f>
        <v>0</v>
      </c>
      <c r="DH116" s="142">
        <f>EXP(-LN(2)/2)*DH115+(1-EXP(-LN(2)/2))/(LN(2)/2)*DB116*DE116*VLOOKUP('Données projet'!$B$13,'Paramètres'!$A$1:$I$89,3,0)*0.475*44/12</f>
        <v>0</v>
      </c>
      <c r="DI116" s="143">
        <f t="shared" si="16"/>
        <v>20.30694493</v>
      </c>
      <c r="DJ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1" t="str">
        <f>VLOOKUP(A116,'Données projet'!$A$165:$I$185,2,0)</f>
        <v>#N/A</v>
      </c>
      <c r="DM116" s="131" t="str">
        <f>VLOOKUP(A116,'Données projet'!$A$165:$I$185,9,0)</f>
        <v>#N/A</v>
      </c>
      <c r="DN116" s="131">
        <f t="array" ref="DN116">INDEX(DM:DM,MIN(IF(ISNUMBER(DM116:DM312),ROW(DM116:DM312),"")))</f>
        <v>1.9</v>
      </c>
      <c r="DO116" s="138">
        <f>IF('Données projet'!$A$166&gt;35,DO115+DN116-DW115,IF(A116&lt;'Données projet'!$A$166,$DL$205^A116,IF(A116='Données projet'!$A$166,'Données projet'!$B$166,DO115+DN116-DW115)))</f>
        <v>271.7</v>
      </c>
      <c r="DP116" s="138">
        <f>DO116*VLOOKUP('Données projet'!$B$14,'Paramètres'!$A$1:$I$89,3,0)*VLOOKUP('Données projet'!$B$14,'Paramètres'!$A$1:$I$89,5,0)</f>
        <v>245.83416</v>
      </c>
      <c r="DQ116" s="130">
        <f t="shared" si="44"/>
        <v>59.69301838</v>
      </c>
      <c r="DR116" s="141">
        <f t="shared" si="17"/>
        <v>532.1265024</v>
      </c>
      <c r="DS116" s="133">
        <f t="shared" si="18"/>
        <v>825.4598357</v>
      </c>
      <c r="DT116" s="133">
        <f>AVERAGE(OFFSET($DS$3,0,0,'Données projet'!$E$14+1,1))-AVERAGE(OFFSET($H$3,0,0,'Données projet'!$E$14+1,1))</f>
        <v>287.9334714</v>
      </c>
      <c r="DU116" s="133">
        <f t="shared" si="45"/>
        <v>156.6796502</v>
      </c>
      <c r="DV116" s="134">
        <f>IF(ISNA(VLOOKUP(A116,'Données projet'!$A$165:$I$185,3,0)),0,VLOOKUP(A116,'Données projet'!$A$165:$I$185,3,0))</f>
        <v>0</v>
      </c>
      <c r="DW116" s="134">
        <f>IF(ISNA(VLOOKUP(A116,'Données projet'!$A$165:$I$185,4,0)),0,VLOOKUP(A116,'Données projet'!$A$165:$I$185,4,0))</f>
        <v>0</v>
      </c>
      <c r="DX116" s="135">
        <f>IF(ISNA(VLOOKUP(A116,'Données projet'!$A$165:$I$185,5,0)),0%,VLOOKUP(A116,'Données projet'!$A$165:$I$185,5,0)*VLOOKUP('Données projet'!$B$14,'Paramètres'!$A$1:$I$89,7,0))</f>
        <v>0</v>
      </c>
      <c r="DY116" s="135">
        <f>IF(ISNA(VLOOKUP(A116,'Données projet'!$A$165:$I$185,6,0)),0%,VLOOKUP(A116,'Données projet'!$A$165:$I$185,6,0)*VLOOKUP('Données projet'!$B$14,'Paramètres'!$A$1:$I$89,7,0))</f>
        <v>0</v>
      </c>
      <c r="DZ116" s="135">
        <f>IF(ISNA(VLOOKUP(A116,'Données projet'!$A$165:$I$185,7,0)),0%,VLOOKUP(A116,'Données projet'!$A$165:$I$185,7,0))</f>
        <v>0</v>
      </c>
      <c r="EA116" s="142">
        <f>EXP(-LN(2)/35)*EA115+(1-EXP(-LN(2)/35))/(LN(2)/35)*DW116*DX116*VLOOKUP('Données projet'!$B$14,'Paramètres'!$A$1:$I$89,3,0)*0.475*44/12</f>
        <v>30.23741971</v>
      </c>
      <c r="EB116" s="142">
        <f>EXP(-LN(2)/25)*EB115+(1-EXP(-LN(2)/25))/(LN(2)/25)*Calculateur!DW116*Calculateur!DY116*VLOOKUP('Données projet'!$B$14,'Paramètres'!$A$1:$I$89,3,0)*0.475*44/12</f>
        <v>0</v>
      </c>
      <c r="EC116" s="142">
        <f>EXP(-LN(2)/2)*EC115+(1-EXP(-LN(2)/2))/(LN(2)/2)*DW116*DZ116*VLOOKUP('Données projet'!$B$14,'Paramètres'!$A$1:$I$89,3,0)*0.475*44/12</f>
        <v>0</v>
      </c>
      <c r="ED116" s="143">
        <f t="shared" si="19"/>
        <v>30.23741971</v>
      </c>
      <c r="EE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1" t="str">
        <f>VLOOKUP(A116,'Données projet'!$A$191:$I$211,2,0)</f>
        <v>#N/A</v>
      </c>
      <c r="EH116" s="131" t="str">
        <f>VLOOKUP(A116,'Données projet'!$A$191:$I$211,9,0)</f>
        <v>#N/A</v>
      </c>
      <c r="EI116" s="131" t="str">
        <f t="array" ref="EI116">INDEX(EH:EH,MIN(IF(ISNUMBER(EH116:EH312),ROW(EH116:EH312),"")))</f>
        <v/>
      </c>
      <c r="EJ116" s="138">
        <f>IF('Données projet'!$A$192&gt;35,EJ115+EI116-ER115,IF(A116&lt;'Données projet'!$A$192,$EG$205^A116,IF(A116='Données projet'!$A$192,'Données projet'!$B$192,EJ115+EI116-ER115)))</f>
        <v>0</v>
      </c>
      <c r="EK116" s="138">
        <f>EJ116*VLOOKUP('Données projet'!$B$15,'Paramètres'!$A$1:$I$89,3,0)*VLOOKUP('Données projet'!$B$15,'Paramètres'!$A$1:$I$89,5,0)</f>
        <v>0</v>
      </c>
      <c r="EL116" s="130" t="str">
        <f t="shared" si="46"/>
        <v>#NUM!</v>
      </c>
      <c r="EM116" s="141" t="str">
        <f t="shared" si="20"/>
        <v>#NUM!</v>
      </c>
      <c r="EN116" s="133" t="str">
        <f t="shared" si="21"/>
        <v>#NUM!</v>
      </c>
      <c r="EO116" s="133">
        <f>AVERAGE(OFFSET($EN$3,0,0,'Données projet'!$E$15+1,1))-AVERAGE(OFFSET($H$3,0,0,'Données projet'!$E$15+1,1))</f>
        <v>130.3193339</v>
      </c>
      <c r="EP116" s="133">
        <f t="shared" si="47"/>
        <v>82.22784365</v>
      </c>
      <c r="EQ116" s="134">
        <f>IF(ISNA(VLOOKUP(A116,'Données projet'!$A$191:$I$211,3,0)),0,VLOOKUP(A116,'Données projet'!$A$191:$I$211,3,0))</f>
        <v>0</v>
      </c>
      <c r="ER116" s="134">
        <f>IF(ISNA(VLOOKUP(A116,'Données projet'!$A$191:$I$211,4,0)),0,VLOOKUP(A116,'Données projet'!$A$191:$I$211,4,0))</f>
        <v>0</v>
      </c>
      <c r="ES116" s="135">
        <f>IF(ISNA(VLOOKUP(A116,'Données projet'!$A$191:$I$211,5,0)),0%,VLOOKUP(A116,'Données projet'!$A$191:$I$211,5,0)*VLOOKUP('Données projet'!$B$15,'Paramètres'!$A$1:$I$89,7,0))</f>
        <v>0</v>
      </c>
      <c r="ET116" s="135">
        <f>IF(ISNA(VLOOKUP(A116,'Données projet'!$A$191:$I$211,6,0)),0%,VLOOKUP(A116,'Données projet'!$A$191:$I$211,6,0)*VLOOKUP('Données projet'!$B$15,'Paramètres'!$A$1:$I$89,7,0))</f>
        <v>0</v>
      </c>
      <c r="EU116" s="135">
        <f>IF(ISNA(VLOOKUP(A116,'Données projet'!$A$191:$I$211,7,0)),0%,VLOOKUP(A116,'Données projet'!$A$191:$I$211,7,0))</f>
        <v>0</v>
      </c>
      <c r="EV116" s="142">
        <f>EXP(-LN(2)/35)*EV115+(1-EXP(-LN(2)/35))/(LN(2)/35)*ER116*ES116*VLOOKUP('Données projet'!$B$15,'Paramètres'!$A$1:$I$89,3,0)*0.475*44/12</f>
        <v>55.27384683</v>
      </c>
      <c r="EW116" s="142">
        <f>EXP(-LN(2)/25)*EW115+(1-EXP(-LN(2)/25))/(LN(2)/25)*Calculateur!ER116*Calculateur!ET116*VLOOKUP('Données projet'!$B$15,'Paramètres'!$A$1:$I$89,3,0)*0.475*44/12</f>
        <v>0</v>
      </c>
      <c r="EX116" s="142">
        <f>EXP(-LN(2)/2)*EX115+(1-EXP(-LN(2)/2))/(LN(2)/2)*ER116*EU116*VLOOKUP('Données projet'!$B$15,'Paramètres'!$A$1:$I$89,3,0)*0.475*44/12</f>
        <v>0</v>
      </c>
      <c r="EY116" s="143">
        <f t="shared" si="22"/>
        <v>55.27384683</v>
      </c>
      <c r="EZ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1" t="str">
        <f>VLOOKUP(A116,'Données projet'!$A$217:$I$237,2,0)</f>
        <v>#N/A</v>
      </c>
      <c r="FC116" s="131" t="str">
        <f>VLOOKUP(A116,'Données projet'!$A$217:$I$237,9,0)</f>
        <v>#N/A</v>
      </c>
      <c r="FD116" s="131" t="str">
        <f t="array" ref="FD116">INDEX(FC:FC,MIN(IF(ISNUMBER(FC116:FC312),ROW(FC116:FC312),"")))</f>
        <v/>
      </c>
      <c r="FE116" s="130">
        <f>IF('Données projet'!$A$218&gt;35,FE115+FD116-FM115,IF(A116&lt;'Données projet'!$A$218,$FB$205^A116,IF(A116='Données projet'!$A$218,'Données projet'!$B$218,FE115+FD116-FM115)))</f>
        <v>0</v>
      </c>
      <c r="FF116" s="138">
        <f>FE116*VLOOKUP('Données projet'!$B$16,'Paramètres'!$A$1:$I$89,3,0)*VLOOKUP('Données projet'!$B$16,'Paramètres'!$A$1:$I$89,5,0)</f>
        <v>0</v>
      </c>
      <c r="FG116" s="130">
        <f t="shared" si="48"/>
        <v>0</v>
      </c>
      <c r="FH116" s="141">
        <f t="shared" si="23"/>
        <v>0</v>
      </c>
      <c r="FI116" s="133">
        <f t="shared" si="24"/>
        <v>293.3333333</v>
      </c>
      <c r="FJ116" s="133">
        <f>AVERAGE(OFFSET($FI$3,0,0,'Données projet'!$E$16+1,1))-AVERAGE(OFFSET($H$3,0,0,'Données projet'!$E$16+1,1))</f>
        <v>305.6252353</v>
      </c>
      <c r="FK116" s="133">
        <f t="shared" si="49"/>
        <v>331.397916</v>
      </c>
      <c r="FL116" s="134">
        <f>IF(ISNA(VLOOKUP(A116,'Données projet'!$A$217:$I$237,3,0)),0,VLOOKUP(A116,'Données projet'!$A$217:$I$237,3,0))</f>
        <v>0</v>
      </c>
      <c r="FM116" s="134">
        <f>IF(ISNA(VLOOKUP(A116,'Données projet'!$A$217:$I$237,4,0)),0,VLOOKUP(A116,'Données projet'!$A$217:$I$237,4,0))</f>
        <v>0</v>
      </c>
      <c r="FN116" s="135">
        <f>IF(ISNA(VLOOKUP(A116,'Données projet'!$A$217:$I$237,5,0)),0%,VLOOKUP(A116,'Données projet'!$A$217:$I$237,5,0)*VLOOKUP('Données projet'!$B$16,'Paramètres'!$A$1:$I$89,7,0))</f>
        <v>0</v>
      </c>
      <c r="FO116" s="135">
        <f>IF(ISNA(VLOOKUP(A116,'Données projet'!$A$217:$I$237,6,0)),0%,VLOOKUP(A116,'Données projet'!$A$217:$I$237,6,0)*VLOOKUP('Données projet'!$B$16,'Paramètres'!$A$1:$I$89,7,0))</f>
        <v>0</v>
      </c>
      <c r="FP116" s="135">
        <f>IF(ISNA(VLOOKUP(A116,'Données projet'!$A$217:$I$237,7,0)),0%,VLOOKUP(A116,'Données projet'!$A$217:$I$237,7,0))</f>
        <v>0</v>
      </c>
      <c r="FQ116" s="142">
        <f>EXP(-LN(2)/35)*FQ115+(1-EXP(-LN(2)/35))/(LN(2)/35)*FM116*FN116*VLOOKUP('Données projet'!$B$16,'Paramètres'!$A$1:$I$89,3,0)*0.475*44/12</f>
        <v>34.41514891</v>
      </c>
      <c r="FR116" s="142">
        <f>EXP(-LN(2)/25)*FR115+(1-EXP(-LN(2)/25))/(LN(2)/25)*Calculateur!FM116*Calculateur!FO116*VLOOKUP('Données projet'!$B$16,'Paramètres'!$A$1:$I$89,3,0)*0.475*44/12</f>
        <v>0</v>
      </c>
      <c r="FS116" s="142">
        <f>EXP(-LN(2)/2)*FS115+(1-EXP(-LN(2)/2))/(LN(2)/2)*FM116*FP116*VLOOKUP('Données projet'!$B$16,'Paramètres'!$A$1:$I$89,3,0)*0.475*44/12</f>
        <v>0</v>
      </c>
      <c r="FT116" s="143">
        <f t="shared" si="25"/>
        <v>34.41514891</v>
      </c>
      <c r="FU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1" t="str">
        <f>VLOOKUP(A116,'Données projet'!$A$243:$I$263,2,0)</f>
        <v>#N/A</v>
      </c>
      <c r="FX116" s="131" t="str">
        <f>VLOOKUP(A116,'Données projet'!$A$243:$I$263,9,0)</f>
        <v>#N/A</v>
      </c>
      <c r="FY116" s="131" t="str">
        <f t="array" ref="FY116">INDEX(FX:FX,MIN(IF(ISNUMBER(FX116:FX312),ROW(FX116:FX312),"")))</f>
        <v/>
      </c>
      <c r="FZ116" s="138">
        <f>IF('Données projet'!$A$244&gt;35,FZ115+FY116-GH115,IF(A116&lt;'Données projet'!$A$244,$FW$205^A116,IF(A116='Données projet'!$A$244,'Données projet'!$B$244,FZ115+FY116-GH115)))</f>
        <v>0</v>
      </c>
      <c r="GA116" s="138">
        <f>FZ116*VLOOKUP('Données projet'!$B$17,'Paramètres'!$A$1:$I$89,3,0)*VLOOKUP('Données projet'!$B$17,'Paramètres'!$A$1:$I$89,5,0)</f>
        <v>0</v>
      </c>
      <c r="GB116" s="130">
        <f t="shared" si="50"/>
        <v>0</v>
      </c>
      <c r="GC116" s="141">
        <f t="shared" si="26"/>
        <v>0</v>
      </c>
      <c r="GD116" s="133">
        <f t="shared" si="27"/>
        <v>293.3333333</v>
      </c>
      <c r="GE116" s="133">
        <f>AVERAGE(OFFSET($GD$3,0,0,'Données projet'!$E$17+1,1))-AVERAGE(OFFSET($H$3,0,0,'Données projet'!$E$17+1,1))</f>
        <v>118.7368745</v>
      </c>
      <c r="GF116" s="133">
        <f t="shared" si="51"/>
        <v>135.1233677</v>
      </c>
      <c r="GG116" s="134">
        <f>IF(ISNA(VLOOKUP(A116,'Données projet'!$A$243:$I$263,3,0)),0,VLOOKUP(A116,'Données projet'!$A$243:$I$263,3,0))</f>
        <v>0</v>
      </c>
      <c r="GH116" s="134">
        <f>IF(ISNA(VLOOKUP(A116,'Données projet'!$A$243:$I$263,4,0)),0,VLOOKUP(A116,'Données projet'!$A$243:$I$263,4,0))</f>
        <v>0</v>
      </c>
      <c r="GI116" s="135">
        <f>IF(ISNA(VLOOKUP(A116,'Données projet'!$A$243:$I$263,5,0)),0%,VLOOKUP(A116,'Données projet'!$A$243:$I$263,5,0)*VLOOKUP('Données projet'!$B$17,'Paramètres'!$A$1:$I$89,7,0))</f>
        <v>0</v>
      </c>
      <c r="GJ116" s="135">
        <f>IF(ISNA(VLOOKUP(A116,'Données projet'!$A$243:$I$263,6,0)),0%,VLOOKUP(A116,'Données projet'!$A$243:$I$263,6,0)*VLOOKUP('Données projet'!$B$17,'Paramètres'!$A$1:$I$89,7,0))</f>
        <v>0</v>
      </c>
      <c r="GK116" s="135">
        <f>IF(ISNA(VLOOKUP(A116,'Données projet'!$A$243:$I$263,7,0)),0%,VLOOKUP(A116,'Données projet'!$A$243:$I$263,7,0))</f>
        <v>0</v>
      </c>
      <c r="GL116" s="142">
        <f>EXP(-LN(2)/35)*GL115+(1-EXP(-LN(2)/35))/(LN(2)/35)*GH116*GI116*VLOOKUP('Données projet'!$B$17,'Paramètres'!$A$1:$I$89,3,0)*0.475*44/12</f>
        <v>36.35949839</v>
      </c>
      <c r="GM116" s="142">
        <f>EXP(-LN(2)/25)*GM115+(1-EXP(-LN(2)/25))/(LN(2)/25)*Calculateur!GH116*Calculateur!GJ116*VLOOKUP('Données projet'!$B$17,'Paramètres'!$A$1:$I$89,3,0)*0.475*44/12</f>
        <v>0</v>
      </c>
      <c r="GN116" s="142">
        <f>EXP(-LN(2)/2)*GN115+(1-EXP(-LN(2)/2))/(LN(2)/2)*GH116*GK116*VLOOKUP('Données projet'!$B$17,'Paramètres'!$A$1:$I$89,3,0)*0.475*44/12</f>
        <v>0</v>
      </c>
      <c r="GO116" s="142">
        <f t="shared" si="28"/>
        <v>36.35949839</v>
      </c>
      <c r="GP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1" t="str">
        <f>VLOOKUP(A116,'Données projet'!$A$269:$I$289,2,0)</f>
        <v>#N/A</v>
      </c>
      <c r="GS116" s="131" t="str">
        <f>VLOOKUP(A116,'Données projet'!$A$269:$I$289,9,0)</f>
        <v>#N/A</v>
      </c>
      <c r="GT116" s="131" t="str">
        <f t="array" ref="GT116">INDEX(GS:GS,MIN(IF(ISNUMBER(GS116:GS312),ROW(GS116:GS312),"")))</f>
        <v/>
      </c>
      <c r="GU116" s="138">
        <f>IF('Données projet'!$A$270&gt;35,GU115+GT116-HC115,IF(A116&lt;'Données projet'!$A$270,$GR$205^A116,IF(A116='Données projet'!$A$270,'Données projet'!$B$270,GU115+GT116-HC115)))</f>
        <v>0</v>
      </c>
      <c r="GV116" s="138">
        <f>GU116*VLOOKUP('Données projet'!$B$18,'Paramètres'!$A$1:$I$89,3,0)*VLOOKUP('Données projet'!$B$18,'Paramètres'!$A$1:$I$89,5,0)</f>
        <v>0</v>
      </c>
      <c r="GW116" s="130" t="str">
        <f t="shared" si="52"/>
        <v>#NUM!</v>
      </c>
      <c r="GX116" s="141" t="str">
        <f t="shared" si="29"/>
        <v>#NUM!</v>
      </c>
      <c r="GY116" s="133" t="str">
        <f t="shared" si="30"/>
        <v>#NUM!</v>
      </c>
      <c r="GZ116" s="133">
        <f>AVERAGE(OFFSET($GY$3,0,0,'Données projet'!$E$18+1,1))-AVERAGE(OFFSET($H$3,0,0,'Données projet'!$E$18+1,1))</f>
        <v>100.5427875</v>
      </c>
      <c r="HA116" s="133">
        <f t="shared" si="53"/>
        <v>92.28663609</v>
      </c>
      <c r="HB116" s="134">
        <f>IF(ISNA(VLOOKUP(A116,'Données projet'!$A$269:$I$289,3,0)),0,VLOOKUP(A116,'Données projet'!$A$269:$I$289,3,0))</f>
        <v>0</v>
      </c>
      <c r="HC116" s="134">
        <f>IF(ISNA(VLOOKUP(A116,'Données projet'!$A$269:$I$289,4,0)),0,VLOOKUP(A116,'Données projet'!$A$269:$I$289,4,0))</f>
        <v>0</v>
      </c>
      <c r="HD116" s="135">
        <f>IF(ISNA(VLOOKUP(A116,'Données projet'!$A$269:$I$289,5,0)),0%,VLOOKUP(A116,'Données projet'!$A$269:$I$289,5,0)*VLOOKUP('Données projet'!$B$18,'Paramètres'!$A$1:$I$89,7,0))</f>
        <v>0</v>
      </c>
      <c r="HE116" s="135">
        <f>IF(ISNA(VLOOKUP(A116,'Données projet'!$A$269:$I$289,6,0)),0%,VLOOKUP(A116,'Données projet'!$A$269:$I$289,6,0)*VLOOKUP('Données projet'!$B$18,'Paramètres'!$A$1:$I$89,7,0))</f>
        <v>0</v>
      </c>
      <c r="HF116" s="135">
        <f>IF(ISNA(VLOOKUP(A116,'Données projet'!$A$269:$I$289,7,0)),0%,VLOOKUP(A116,'Données projet'!$A$269:$I$289,7,0))</f>
        <v>0</v>
      </c>
      <c r="HG116" s="142">
        <f>EXP(-LN(2)/35)*HG115+(1-EXP(-LN(2)/35))/(LN(2)/35)*HC116*HD116*VLOOKUP('Données projet'!$B$18,'Paramètres'!$A$1:$I$89,3,0)*0.475*44/12</f>
        <v>24.76005136</v>
      </c>
      <c r="HH116" s="142">
        <f>EXP(-LN(2)/25)*HH115+(1-EXP(-LN(2)/25))/(LN(2)/25)*Calculateur!HC116*Calculateur!HE116*VLOOKUP('Données projet'!$B$18,'Paramètres'!$A$1:$I$89,3,0)*0.475*44/12</f>
        <v>0</v>
      </c>
      <c r="HI116" s="142">
        <f>EXP(-LN(2)/2)*HI115+(1-EXP(-LN(2)/2))/(LN(2)/2)*HC116*HF116*VLOOKUP('Données projet'!$B$18,'Paramètres'!$A$1:$I$89,3,0)*0.475*44/12</f>
        <v>0</v>
      </c>
      <c r="HJ116" s="143">
        <f t="shared" si="31"/>
        <v>24.76005136</v>
      </c>
    </row>
    <row r="117" ht="15.75" customHeight="1">
      <c r="A117" s="125">
        <f t="shared" si="32"/>
        <v>114</v>
      </c>
      <c r="B117" s="126">
        <f>'Scénario référence'!$B$16*5+'Scénario référence'!$B$17*0+'Scénario référence'!$B$18*5</f>
        <v>0</v>
      </c>
      <c r="C117" s="140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62.244</v>
      </c>
      <c r="D117" s="127">
        <f t="shared" si="33"/>
        <v>17.73440453</v>
      </c>
      <c r="E11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7">
        <f>IF(OR('Scénario référence'!$F$8&gt;0,'Scénario référence'!$F$9&gt;0),('Scénario référence'!$F$8+'Scénario référence'!$F$9)*10,0)</f>
        <v>10</v>
      </c>
      <c r="G117" s="127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</v>
      </c>
      <c r="H117" s="128">
        <f t="shared" si="1"/>
        <v>432.6290545</v>
      </c>
      <c r="I117" s="12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1" t="str">
        <f>VLOOKUP(A117,'Données projet'!$A$35:$I$55,2,0)</f>
        <v>#N/A</v>
      </c>
      <c r="L117" s="131" t="str">
        <f>VLOOKUP(A117,'Données projet'!$A$35:$I$55,9,0)</f>
        <v>#N/A</v>
      </c>
      <c r="M117" s="131" t="str">
        <f t="array" ref="M117">INDEX(L:L,MIN(IF(ISNUMBER(L117:L313),ROW(L117:L313),"")))</f>
        <v/>
      </c>
      <c r="N117" s="130">
        <f>IF('Données projet'!$A$36&gt;35,N116+M117-V116,IF(A117&lt;'Données projet'!$A$36,$K$205^A117,IF(A117='Données projet'!$A$36,'Données projet'!$B$36,N116+M117-V116)))</f>
        <v>0</v>
      </c>
      <c r="O117" s="130">
        <f>N117*VLOOKUP('Données projet'!$B$9,'Paramètres'!$A$1:$I$89,3,0)*VLOOKUP('Données projet'!$B$9,'Paramètres'!$A$1:$I$89,5,0)</f>
        <v>0</v>
      </c>
      <c r="P117" s="130">
        <f t="shared" si="34"/>
        <v>0</v>
      </c>
      <c r="Q117" s="141">
        <f t="shared" si="2"/>
        <v>0</v>
      </c>
      <c r="R117" s="133">
        <f t="shared" si="3"/>
        <v>293.3333333</v>
      </c>
      <c r="S117" s="133">
        <f>AVERAGE(OFFSET($R$3,0,0,'Données projet'!$E$9+1,1))-AVERAGE(OFFSET($H$3,0,0,'Données projet'!$E$9+1,1))</f>
        <v>126.9946492</v>
      </c>
      <c r="T117" s="133">
        <f t="shared" si="35"/>
        <v>140.039049</v>
      </c>
      <c r="U117" s="134">
        <f>IF(ISNA(VLOOKUP(A117,'Données projet'!$A$35:$I$55,3,0)),0,VLOOKUP(A117,'Données projet'!$A$35:$I$55,3,0))</f>
        <v>0</v>
      </c>
      <c r="V117" s="134">
        <f>IF(ISNA(VLOOKUP(A117,'Données projet'!$A$35:$I$55,4,0)),0,VLOOKUP(A117,'Données projet'!$A$35:$I$55,4,0))</f>
        <v>0</v>
      </c>
      <c r="W117" s="135">
        <f>IF(ISNA(VLOOKUP(A117,'Données projet'!$A$35:$I$55,5,0)),0%,VLOOKUP(A117,'Données projet'!$A$35:$I$55,5,0)*VLOOKUP('Données projet'!$B$9,'Paramètres'!$A$1:$I$89,7,0))</f>
        <v>0</v>
      </c>
      <c r="X117" s="135">
        <f>IF(ISNA(VLOOKUP(A117,'Données projet'!$A$35:$I$55,6,0)),0%,VLOOKUP(A117,'Données projet'!$A$35:$I$55,6,0)*VLOOKUP('Données projet'!$B$9,'Paramètres'!$A$1:$I$89,7,0))</f>
        <v>0</v>
      </c>
      <c r="Y117" s="135">
        <f>IF(ISNA(VLOOKUP(A117,'Données projet'!$A$35:$I$55,7,0)),0%,VLOOKUP(A117,'Données projet'!$A$35:$I$55,7,0))</f>
        <v>0</v>
      </c>
      <c r="Z117" s="142">
        <f>EXP(-LN(2)/35)*Z116+(1-EXP(-LN(2)/35))/(LN(2)/35)*V117*W117*VLOOKUP('Données projet'!$B$9,'Paramètres'!$A$1:$I$89,3,0)*0.475*44/12</f>
        <v>36.45844552</v>
      </c>
      <c r="AA117" s="142">
        <f>EXP(-LN(2)/25)*AA116+(1-EXP(-LN(2)/25))/(LN(2)/25)*Calculateur!V117*Calculateur!X117*VLOOKUP('Données projet'!$B$9,'Paramètres'!$A$1:$I$89,3,0)*0.475*44/12</f>
        <v>5.199793008</v>
      </c>
      <c r="AB117" s="142">
        <f>EXP(-LN(2)/2)*AB116+(1-EXP(-LN(2)/2))/(LN(2)/2)*V117*Y117*VLOOKUP('Données projet'!$B$9,'Paramètres'!$A$1:$I$89,3,0)*0.475*44/12</f>
        <v>0.0000001414818407</v>
      </c>
      <c r="AC117" s="143">
        <f t="shared" si="4"/>
        <v>41.65823867</v>
      </c>
      <c r="AD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1" t="str">
        <f>VLOOKUP(A117,'Données projet'!$A$61:$I$81,2,0)</f>
        <v>#N/A</v>
      </c>
      <c r="AG117" s="131" t="str">
        <f>VLOOKUP(A117,'Données projet'!$A$61:$I$81,9,0)</f>
        <v>#N/A</v>
      </c>
      <c r="AH117" s="131" t="str">
        <f t="array" ref="AH117">INDEX(AG:AG,MIN(IF(ISNUMBER(AG117:AG313),ROW(AG117:AG313),"")))</f>
        <v/>
      </c>
      <c r="AI117" s="130">
        <f>IF('Données projet'!$A$62&gt;35,AI116+AH117-AQ116,IF(A117&lt;'Données projet'!$A$62,$AF$205^A117,IF(A117='Données projet'!$A$62,'Données projet'!$B$62,AI116+AH117-AQ116)))</f>
        <v>0</v>
      </c>
      <c r="AJ117" s="130">
        <f>AI117*VLOOKUP('Données projet'!$B$10,'Paramètres'!$A$1:$I$89,3,0)*VLOOKUP('Données projet'!$B$10,'Paramètres'!$A$1:$I$89,5,0)</f>
        <v>0</v>
      </c>
      <c r="AK117" s="130" t="str">
        <f t="shared" si="36"/>
        <v>#NUM!</v>
      </c>
      <c r="AL117" s="141" t="str">
        <f t="shared" si="5"/>
        <v>#NUM!</v>
      </c>
      <c r="AM117" s="133" t="str">
        <f t="shared" si="6"/>
        <v>#NUM!</v>
      </c>
      <c r="AN117" s="133">
        <f>AVERAGE(OFFSET($AM$3,0,0,'Données projet'!$E$10+1,1))-AVERAGE(OFFSET($H$3,0,0,'Données projet'!$E$10+1,1))</f>
        <v>196.874484</v>
      </c>
      <c r="AO117" s="133">
        <f t="shared" si="37"/>
        <v>217.5750859</v>
      </c>
      <c r="AP117" s="134">
        <f>IF(ISNA(VLOOKUP(A117,'Données projet'!$A$61:$I$81,3,0)),0,VLOOKUP(A117,'Données projet'!$A$61:$I$81,3,0))</f>
        <v>0</v>
      </c>
      <c r="AQ117" s="134">
        <f>IF(ISNA(VLOOKUP(A117,'Données projet'!$A$61:$I$81,4,0)),0,VLOOKUP(A117,'Données projet'!$A$61:$I$81,4,0))</f>
        <v>0</v>
      </c>
      <c r="AR117" s="135">
        <f>IF(ISNA(VLOOKUP(A117,'Données projet'!$A$61:$I$81,5,0)),0%,VLOOKUP(A117,'Données projet'!$A$61:$I$81,5,0)*VLOOKUP('Données projet'!$B$10,'Paramètres'!$A$1:$I$89,7,0))</f>
        <v>0</v>
      </c>
      <c r="AS117" s="135">
        <f>IF(ISNA(VLOOKUP(A117,'Données projet'!$A$61:$I$81,6,0)),0%,VLOOKUP(A117,'Données projet'!$A$61:$I$81,6,0)*VLOOKUP('Données projet'!$B$10,'Paramètres'!$A$1:$I$89,7,0))</f>
        <v>0</v>
      </c>
      <c r="AT117" s="135">
        <f>IF(ISNA(VLOOKUP(A117,'Données projet'!$A$61:$I$81,7,0)),0%,VLOOKUP(A117,'Données projet'!$A$61:$I$81,7,0))</f>
        <v>0</v>
      </c>
      <c r="AU117" s="142">
        <f>EXP(-LN(2)/35)*AU116+(1-EXP(-LN(2)/35))/(LN(2)/35)*AQ117*AR117*VLOOKUP('Données projet'!$B$10,'Paramètres'!$A$1:$I$89,3,0)*0.475*44/12</f>
        <v>50.67620371</v>
      </c>
      <c r="AV117" s="142">
        <f>EXP(-LN(2)/25)*AV116+(1-EXP(-LN(2)/25))/(LN(2)/25)*Calculateur!AQ117*Calculateur!AS117*VLOOKUP('Données projet'!$B$10,'Paramètres'!$A$1:$I$89,3,0)*0.475*44/12</f>
        <v>7.994688696</v>
      </c>
      <c r="AW117" s="142">
        <f>EXP(-LN(2)/2)*AW116+(1-EXP(-LN(2)/2))/(LN(2)/2)*AQ117*AT117*VLOOKUP('Données projet'!$B$10,'Paramètres'!$A$1:$I$89,3,0)*0.475*44/12</f>
        <v>0.000000197255391</v>
      </c>
      <c r="AX117" s="142">
        <f t="shared" si="7"/>
        <v>58.6708926</v>
      </c>
      <c r="AY117" s="13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1" t="str">
        <f>VLOOKUP(A117,'Données projet'!$A$87:$I$107,2,0)</f>
        <v>#N/A</v>
      </c>
      <c r="BB117" s="131" t="str">
        <f>VLOOKUP(A117,'Données projet'!$A$87:$I$107,9,0)</f>
        <v>#N/A</v>
      </c>
      <c r="BC117" s="131" t="str">
        <f t="array" ref="BC117">INDEX(BB:BB,MIN(IF(ISNUMBER(BB117:BB313),ROW(BB117:BB313),"")))</f>
        <v/>
      </c>
      <c r="BD117" s="130">
        <f>IF('Données projet'!$A$88&gt;35,BD116+BC117-BL116,IF(A117&lt;'Données projet'!$A$88,$BA$205^A117,IF(A117='Données projet'!$A$88,'Données projet'!$B$88,BD116+BC117-BL116)))</f>
        <v>0</v>
      </c>
      <c r="BE117" s="130">
        <f>BD117*VLOOKUP('Données projet'!$B$11,'Paramètres'!$A$1:$I$89,3,0)*VLOOKUP('Données projet'!$B$11,'Paramètres'!$A$1:$I$89,5,0)</f>
        <v>0</v>
      </c>
      <c r="BF117" s="130" t="str">
        <f t="shared" si="38"/>
        <v>#NUM!</v>
      </c>
      <c r="BG117" s="141" t="str">
        <f t="shared" si="8"/>
        <v>#NUM!</v>
      </c>
      <c r="BH117" s="133" t="str">
        <f t="shared" si="9"/>
        <v>#NUM!</v>
      </c>
      <c r="BI117" s="133">
        <f>AVERAGE(OFFSET($BH$3,0,0,'Données projet'!$E$11+1,1))-AVERAGE(OFFSET($H$3,0,0,'Données projet'!$E$11+1,1))</f>
        <v>134.0948534</v>
      </c>
      <c r="BJ117" s="133">
        <f t="shared" si="39"/>
        <v>108.4102536</v>
      </c>
      <c r="BK117" s="134">
        <f>IF(ISNA(VLOOKUP(A117,'Données projet'!$A$87:$I$107,3,0)),0,VLOOKUP(A117,'Données projet'!$A$87:$I$107,3,0))</f>
        <v>0</v>
      </c>
      <c r="BL117" s="134">
        <f>IF(ISNA(VLOOKUP(A117,'Données projet'!$A$87:$I$107,4,0)),0,VLOOKUP(A117,'Données projet'!$A$87:$I$107,4,0))</f>
        <v>0</v>
      </c>
      <c r="BM117" s="135">
        <f>IF(ISNA(VLOOKUP(A117,'Données projet'!$A$87:$I$107,5,0)),0%,VLOOKUP(A117,'Données projet'!$A$87:$I$107,5,0)*VLOOKUP('Données projet'!$B$11,'Paramètres'!$A$1:$I$89,7,0))</f>
        <v>0</v>
      </c>
      <c r="BN117" s="135">
        <f>IF(ISNA(VLOOKUP(A117,'Données projet'!$A$87:$I$107,6,0)),0%,VLOOKUP(A117,'Données projet'!$A$87:$I$107,6,0)*VLOOKUP('Données projet'!$B$11,'Paramètres'!$A$1:$I$89,7,0))</f>
        <v>0</v>
      </c>
      <c r="BO117" s="135">
        <f>IF(ISNA(VLOOKUP(A117,'Données projet'!$A$87:$I$107,7,0)),0%,VLOOKUP(A117,'Données projet'!$A$87:$I$107,7,0))</f>
        <v>0</v>
      </c>
      <c r="BP117" s="142">
        <f>EXP(-LN(2)/35)*BP116+(1-EXP(-LN(2)/35))/(LN(2)/35)*BL117*BM117*VLOOKUP('Données projet'!$B$11,'Paramètres'!$A$1:$I$89,3,0)*0.475*44/12</f>
        <v>70.09465394</v>
      </c>
      <c r="BQ117" s="142">
        <f>EXP(-LN(2)/25)*BQ116+(1-EXP(-LN(2)/25))/(LN(2)/25)*Calculateur!BL117*Calculateur!BN117*VLOOKUP('Données projet'!$B$11,'Paramètres'!$A$1:$I$89,3,0)*0.475*44/12</f>
        <v>5.043056494</v>
      </c>
      <c r="BR117" s="142">
        <f>EXP(-LN(2)/2)*BR116+(1-EXP(-LN(2)/2))/(LN(2)/2)*BL117*BO117*VLOOKUP('Données projet'!$B$11,'Paramètres'!$A$1:$I$89,3,0)*0.475*44/12</f>
        <v>0.000002631103832</v>
      </c>
      <c r="BS117" s="143">
        <f t="shared" si="10"/>
        <v>75.13771307</v>
      </c>
      <c r="BT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1" t="str">
        <f>VLOOKUP(A117,'Données projet'!$A$113:$I$133,2,0)</f>
        <v>#N/A</v>
      </c>
      <c r="BW117" s="131" t="str">
        <f>VLOOKUP(A117,'Données projet'!$A$113:$I$133,9,0)</f>
        <v>#N/A</v>
      </c>
      <c r="BX117" s="131" t="str">
        <f t="array" ref="BX117">INDEX(BW:BW,MIN(IF(ISNUMBER(BW117:BW313),ROW(BW117:BW313),"")))</f>
        <v/>
      </c>
      <c r="BY117" s="130">
        <f>IF('Données projet'!$A$114&gt;35,BY116+BX117-CG116,IF(A117&lt;'Données projet'!$A$114,$BV$205^A117,IF(A117='Données projet'!$A$114,'Données projet'!$B$114,BY116+BX117-CG116)))</f>
        <v>0</v>
      </c>
      <c r="BZ117" s="130">
        <f>BY117*VLOOKUP('Données projet'!$B$12,'Paramètres'!$A$1:$I$89,3,0)*VLOOKUP('Données projet'!$B$12,'Paramètres'!$A$1:$I$89,5,0)</f>
        <v>0</v>
      </c>
      <c r="CA117" s="130" t="str">
        <f t="shared" si="40"/>
        <v>#NUM!</v>
      </c>
      <c r="CB117" s="141" t="str">
        <f t="shared" si="11"/>
        <v>#NUM!</v>
      </c>
      <c r="CC117" s="133" t="str">
        <f t="shared" si="12"/>
        <v>#NUM!</v>
      </c>
      <c r="CD117" s="133">
        <f>AVERAGE(OFFSET($CC$3,0,0,'Données projet'!$E$12+1,1))-AVERAGE(OFFSET($H$3,0,0,'Données projet'!$E$12+1,1))</f>
        <v>258.1672054</v>
      </c>
      <c r="CE117" s="133">
        <f t="shared" si="41"/>
        <v>296.0724261</v>
      </c>
      <c r="CF117" s="134">
        <f>IF(ISNA(VLOOKUP(A117,'Données projet'!$A$113:$I$133,3,0)),0,VLOOKUP(A117,'Données projet'!$A$113:$I$133,3,0))</f>
        <v>0</v>
      </c>
      <c r="CG117" s="134">
        <f>IF(ISNA(VLOOKUP(A117,'Données projet'!$A$113:$I$133,4,0)),0,VLOOKUP(A117,'Données projet'!$A$113:$I$133,4,0))</f>
        <v>0</v>
      </c>
      <c r="CH117" s="135">
        <f>IF(ISNA(VLOOKUP(A117,'Données projet'!$A$113:$I$133,5,0)),0%,VLOOKUP(A117,'Données projet'!$A$113:$I$133,5,0)*VLOOKUP('Données projet'!$B$12,'Paramètres'!$A$1:$I$89,7,0))</f>
        <v>0</v>
      </c>
      <c r="CI117" s="135">
        <f>IF(ISNA(VLOOKUP(A117,'Données projet'!$A$113:$I$133,6,0)),0%,VLOOKUP(A117,'Données projet'!$A$113:$I$133,6,0)*VLOOKUP('Données projet'!$B$12,'Paramètres'!$A$1:$I$89,7,0))</f>
        <v>0</v>
      </c>
      <c r="CJ117" s="135">
        <f>IF(ISNA(VLOOKUP(A117,'Données projet'!$A$113:$I$133,7,0)),0%,VLOOKUP(A117,'Données projet'!$A$113:$I$133,7,0))</f>
        <v>0</v>
      </c>
      <c r="CK117" s="142">
        <f>EXP(-LN(2)/35)*CK116+(1-EXP(-LN(2)/35))/(LN(2)/35)*CG117*CH117*VLOOKUP('Données projet'!$B$12,'Paramètres'!$A$1:$I$89,3,0)*0.475*44/12</f>
        <v>88.62108542</v>
      </c>
      <c r="CL117" s="142">
        <f>EXP(-LN(2)/25)*CL116+(1-EXP(-LN(2)/25))/(LN(2)/25)*Calculateur!CG117*Calculateur!CI117*VLOOKUP('Données projet'!$B$12,'Paramètres'!$A$1:$I$89,3,0)*0.475*44/12</f>
        <v>8.84580737</v>
      </c>
      <c r="CM117" s="142">
        <f>EXP(-LN(2)/2)*CM116+(1-EXP(-LN(2)/2))/(LN(2)/2)*CG117*CJ117*VLOOKUP('Données projet'!$B$12,'Paramètres'!$A$1:$I$89,3,0)*0.475*44/12</f>
        <v>0.0000001108452989</v>
      </c>
      <c r="CN117" s="143">
        <f t="shared" si="13"/>
        <v>97.4668929</v>
      </c>
      <c r="CO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1" t="str">
        <f>VLOOKUP(A117,'Données projet'!$A$139:$I$159,2,0)</f>
        <v>#N/A</v>
      </c>
      <c r="CR117" s="131" t="str">
        <f>VLOOKUP(A117,'Données projet'!$A$139:$I$159,9,0)</f>
        <v>#N/A</v>
      </c>
      <c r="CS117" s="130">
        <f t="array" ref="CS117">INDEX(CR:CR,MIN(IF(ISNUMBER(CR117:CR313),ROW(CR117:CR313),"")))</f>
        <v>1.5</v>
      </c>
      <c r="CT117" s="138">
        <f>IF('Données projet'!$A$140&gt;35,CT116+CS117-DB116,IF(A117&lt;'Données projet'!$A$140,$CQ$205^A117,IF(A117='Données projet'!$A$140,'Données projet'!$B$140,CT116+CS117-DB116)))</f>
        <v>212</v>
      </c>
      <c r="CU117" s="138">
        <f>CT117*VLOOKUP('Données projet'!$B$13,'Paramètres'!$A$1:$I$89,3,0)*VLOOKUP('Données projet'!$B$13,'Paramètres'!$A$1:$I$89,5,0)</f>
        <v>214.968</v>
      </c>
      <c r="CV117" s="130">
        <f t="shared" si="42"/>
        <v>53.01973694</v>
      </c>
      <c r="CW117" s="141">
        <f t="shared" si="14"/>
        <v>466.7453085</v>
      </c>
      <c r="CX117" s="133">
        <f t="shared" si="15"/>
        <v>760.0786418</v>
      </c>
      <c r="CY117" s="133">
        <f>AVERAGE(OFFSET($CX$3,0,0,'Données projet'!$E$13+1,1))-AVERAGE(OFFSET($H$3,0,0,'Données projet'!$E$13+1,1))</f>
        <v>223.783507</v>
      </c>
      <c r="CZ117" s="133">
        <f t="shared" si="43"/>
        <v>84.92349117</v>
      </c>
      <c r="DA117" s="134">
        <f>IF(ISNA(VLOOKUP(A117,'Données projet'!$A$139:$I$159,3,0)),0,VLOOKUP(A117,'Données projet'!$A$139:$I$159,3,0))</f>
        <v>0</v>
      </c>
      <c r="DB117" s="134">
        <f>IF(ISNA(VLOOKUP(A117,'Données projet'!$A$139:$I$159,4,0)),0,VLOOKUP(A117,'Données projet'!$A$139:$I$159,4,0))</f>
        <v>0</v>
      </c>
      <c r="DC117" s="135">
        <f>IF(ISNA(VLOOKUP(A117,'Données projet'!$A$139:$I$159,5,0)),0%,VLOOKUP(A117,'Données projet'!$A$139:$I$159,5,0)*VLOOKUP('Données projet'!$B$13,'Paramètres'!$A$1:$I$89,7,0))</f>
        <v>0</v>
      </c>
      <c r="DD117" s="135">
        <f>IF(ISNA(VLOOKUP(A117,'Données projet'!$A$139:$I$159,6,0)),0%,VLOOKUP(A117,'Données projet'!$A$139:$I$159,6,0)*VLOOKUP('Données projet'!$B$13,'Paramètres'!$A$1:$I$89,7,0))</f>
        <v>0</v>
      </c>
      <c r="DE117" s="135">
        <f>IF(ISNA(VLOOKUP(A117,'Données projet'!$A$139:$I$159,7,0)),0%,VLOOKUP(A117,'Données projet'!$A$139:$I$159,7,0))</f>
        <v>0</v>
      </c>
      <c r="DF117" s="142">
        <f>EXP(-LN(2)/35)*DF116+(1-EXP(-LN(2)/35))/(LN(2)/35)*DB117*DC117*VLOOKUP('Données projet'!$B$13,'Paramètres'!$A$1:$I$89,3,0)*0.475*44/12</f>
        <v>19.90873813</v>
      </c>
      <c r="DG117" s="142">
        <f>EXP(-LN(2)/25)*DG116+(1-EXP(-LN(2)/25))/(LN(2)/25)*Calculateur!DB117*Calculateur!DD117*VLOOKUP('Données projet'!$B$13,'Paramètres'!$A$1:$I$89,3,0)*0.475*44/12</f>
        <v>0</v>
      </c>
      <c r="DH117" s="142">
        <f>EXP(-LN(2)/2)*DH116+(1-EXP(-LN(2)/2))/(LN(2)/2)*DB117*DE117*VLOOKUP('Données projet'!$B$13,'Paramètres'!$A$1:$I$89,3,0)*0.475*44/12</f>
        <v>0</v>
      </c>
      <c r="DI117" s="143">
        <f t="shared" si="16"/>
        <v>19.90873813</v>
      </c>
      <c r="DJ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1" t="str">
        <f>VLOOKUP(A117,'Données projet'!$A$165:$I$185,2,0)</f>
        <v>#N/A</v>
      </c>
      <c r="DM117" s="131" t="str">
        <f>VLOOKUP(A117,'Données projet'!$A$165:$I$185,9,0)</f>
        <v>#N/A</v>
      </c>
      <c r="DN117" s="131">
        <f t="array" ref="DN117">INDEX(DM:DM,MIN(IF(ISNUMBER(DM117:DM313),ROW(DM117:DM313),"")))</f>
        <v>1.9</v>
      </c>
      <c r="DO117" s="138">
        <f>IF('Données projet'!$A$166&gt;35,DO116+DN117-DW116,IF(A117&lt;'Données projet'!$A$166,$DL$205^A117,IF(A117='Données projet'!$A$166,'Données projet'!$B$166,DO116+DN117-DW116)))</f>
        <v>273.6</v>
      </c>
      <c r="DP117" s="138">
        <f>DO117*VLOOKUP('Données projet'!$B$14,'Paramètres'!$A$1:$I$89,3,0)*VLOOKUP('Données projet'!$B$14,'Paramètres'!$A$1:$I$89,5,0)</f>
        <v>247.55328</v>
      </c>
      <c r="DQ117" s="130">
        <f t="shared" si="44"/>
        <v>60.06171307</v>
      </c>
      <c r="DR117" s="141">
        <f t="shared" si="17"/>
        <v>535.7627796</v>
      </c>
      <c r="DS117" s="133">
        <f t="shared" si="18"/>
        <v>829.0961129</v>
      </c>
      <c r="DT117" s="133">
        <f>AVERAGE(OFFSET($DS$3,0,0,'Données projet'!$E$14+1,1))-AVERAGE(OFFSET($H$3,0,0,'Données projet'!$E$14+1,1))</f>
        <v>287.9334714</v>
      </c>
      <c r="DU117" s="133">
        <f t="shared" si="45"/>
        <v>156.6796502</v>
      </c>
      <c r="DV117" s="134">
        <f>IF(ISNA(VLOOKUP(A117,'Données projet'!$A$165:$I$185,3,0)),0,VLOOKUP(A117,'Données projet'!$A$165:$I$185,3,0))</f>
        <v>0</v>
      </c>
      <c r="DW117" s="134">
        <f>IF(ISNA(VLOOKUP(A117,'Données projet'!$A$165:$I$185,4,0)),0,VLOOKUP(A117,'Données projet'!$A$165:$I$185,4,0))</f>
        <v>0</v>
      </c>
      <c r="DX117" s="135">
        <f>IF(ISNA(VLOOKUP(A117,'Données projet'!$A$165:$I$185,5,0)),0%,VLOOKUP(A117,'Données projet'!$A$165:$I$185,5,0)*VLOOKUP('Données projet'!$B$14,'Paramètres'!$A$1:$I$89,7,0))</f>
        <v>0</v>
      </c>
      <c r="DY117" s="135">
        <f>IF(ISNA(VLOOKUP(A117,'Données projet'!$A$165:$I$185,6,0)),0%,VLOOKUP(A117,'Données projet'!$A$165:$I$185,6,0)*VLOOKUP('Données projet'!$B$14,'Paramètres'!$A$1:$I$89,7,0))</f>
        <v>0</v>
      </c>
      <c r="DZ117" s="135">
        <f>IF(ISNA(VLOOKUP(A117,'Données projet'!$A$165:$I$185,7,0)),0%,VLOOKUP(A117,'Données projet'!$A$165:$I$185,7,0))</f>
        <v>0</v>
      </c>
      <c r="EA117" s="142">
        <f>EXP(-LN(2)/35)*EA116+(1-EXP(-LN(2)/35))/(LN(2)/35)*DW117*DX117*VLOOKUP('Données projet'!$B$14,'Paramètres'!$A$1:$I$89,3,0)*0.475*44/12</f>
        <v>29.64448235</v>
      </c>
      <c r="EB117" s="142">
        <f>EXP(-LN(2)/25)*EB116+(1-EXP(-LN(2)/25))/(LN(2)/25)*Calculateur!DW117*Calculateur!DY117*VLOOKUP('Données projet'!$B$14,'Paramètres'!$A$1:$I$89,3,0)*0.475*44/12</f>
        <v>0</v>
      </c>
      <c r="EC117" s="142">
        <f>EXP(-LN(2)/2)*EC116+(1-EXP(-LN(2)/2))/(LN(2)/2)*DW117*DZ117*VLOOKUP('Données projet'!$B$14,'Paramètres'!$A$1:$I$89,3,0)*0.475*44/12</f>
        <v>0</v>
      </c>
      <c r="ED117" s="143">
        <f t="shared" si="19"/>
        <v>29.64448235</v>
      </c>
      <c r="EE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1" t="str">
        <f>VLOOKUP(A117,'Données projet'!$A$191:$I$211,2,0)</f>
        <v>#N/A</v>
      </c>
      <c r="EH117" s="131" t="str">
        <f>VLOOKUP(A117,'Données projet'!$A$191:$I$211,9,0)</f>
        <v>#N/A</v>
      </c>
      <c r="EI117" s="131" t="str">
        <f t="array" ref="EI117">INDEX(EH:EH,MIN(IF(ISNUMBER(EH117:EH313),ROW(EH117:EH313),"")))</f>
        <v/>
      </c>
      <c r="EJ117" s="138">
        <f>IF('Données projet'!$A$192&gt;35,EJ116+EI117-ER116,IF(A117&lt;'Données projet'!$A$192,$EG$205^A117,IF(A117='Données projet'!$A$192,'Données projet'!$B$192,EJ116+EI117-ER116)))</f>
        <v>0</v>
      </c>
      <c r="EK117" s="138">
        <f>EJ117*VLOOKUP('Données projet'!$B$15,'Paramètres'!$A$1:$I$89,3,0)*VLOOKUP('Données projet'!$B$15,'Paramètres'!$A$1:$I$89,5,0)</f>
        <v>0</v>
      </c>
      <c r="EL117" s="130" t="str">
        <f t="shared" si="46"/>
        <v>#NUM!</v>
      </c>
      <c r="EM117" s="141" t="str">
        <f t="shared" si="20"/>
        <v>#NUM!</v>
      </c>
      <c r="EN117" s="133" t="str">
        <f t="shared" si="21"/>
        <v>#NUM!</v>
      </c>
      <c r="EO117" s="133">
        <f>AVERAGE(OFFSET($EN$3,0,0,'Données projet'!$E$15+1,1))-AVERAGE(OFFSET($H$3,0,0,'Données projet'!$E$15+1,1))</f>
        <v>130.3193339</v>
      </c>
      <c r="EP117" s="133">
        <f t="shared" si="47"/>
        <v>82.22784365</v>
      </c>
      <c r="EQ117" s="134">
        <f>IF(ISNA(VLOOKUP(A117,'Données projet'!$A$191:$I$211,3,0)),0,VLOOKUP(A117,'Données projet'!$A$191:$I$211,3,0))</f>
        <v>0</v>
      </c>
      <c r="ER117" s="134">
        <f>IF(ISNA(VLOOKUP(A117,'Données projet'!$A$191:$I$211,4,0)),0,VLOOKUP(A117,'Données projet'!$A$191:$I$211,4,0))</f>
        <v>0</v>
      </c>
      <c r="ES117" s="135">
        <f>IF(ISNA(VLOOKUP(A117,'Données projet'!$A$191:$I$211,5,0)),0%,VLOOKUP(A117,'Données projet'!$A$191:$I$211,5,0)*VLOOKUP('Données projet'!$B$15,'Paramètres'!$A$1:$I$89,7,0))</f>
        <v>0</v>
      </c>
      <c r="ET117" s="135">
        <f>IF(ISNA(VLOOKUP(A117,'Données projet'!$A$191:$I$211,6,0)),0%,VLOOKUP(A117,'Données projet'!$A$191:$I$211,6,0)*VLOOKUP('Données projet'!$B$15,'Paramètres'!$A$1:$I$89,7,0))</f>
        <v>0</v>
      </c>
      <c r="EU117" s="135">
        <f>IF(ISNA(VLOOKUP(A117,'Données projet'!$A$191:$I$211,7,0)),0%,VLOOKUP(A117,'Données projet'!$A$191:$I$211,7,0))</f>
        <v>0</v>
      </c>
      <c r="EV117" s="142">
        <f>EXP(-LN(2)/35)*EV116+(1-EXP(-LN(2)/35))/(LN(2)/35)*ER117*ES117*VLOOKUP('Données projet'!$B$15,'Paramètres'!$A$1:$I$89,3,0)*0.475*44/12</f>
        <v>54.1899604</v>
      </c>
      <c r="EW117" s="142">
        <f>EXP(-LN(2)/25)*EW116+(1-EXP(-LN(2)/25))/(LN(2)/25)*Calculateur!ER117*Calculateur!ET117*VLOOKUP('Données projet'!$B$15,'Paramètres'!$A$1:$I$89,3,0)*0.475*44/12</f>
        <v>0</v>
      </c>
      <c r="EX117" s="142">
        <f>EXP(-LN(2)/2)*EX116+(1-EXP(-LN(2)/2))/(LN(2)/2)*ER117*EU117*VLOOKUP('Données projet'!$B$15,'Paramètres'!$A$1:$I$89,3,0)*0.475*44/12</f>
        <v>0</v>
      </c>
      <c r="EY117" s="143">
        <f t="shared" si="22"/>
        <v>54.1899604</v>
      </c>
      <c r="EZ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1" t="str">
        <f>VLOOKUP(A117,'Données projet'!$A$217:$I$237,2,0)</f>
        <v>#N/A</v>
      </c>
      <c r="FC117" s="131" t="str">
        <f>VLOOKUP(A117,'Données projet'!$A$217:$I$237,9,0)</f>
        <v>#N/A</v>
      </c>
      <c r="FD117" s="131" t="str">
        <f t="array" ref="FD117">INDEX(FC:FC,MIN(IF(ISNUMBER(FC117:FC313),ROW(FC117:FC313),"")))</f>
        <v/>
      </c>
      <c r="FE117" s="130">
        <f>IF('Données projet'!$A$218&gt;35,FE116+FD117-FM116,IF(A117&lt;'Données projet'!$A$218,$FB$205^A117,IF(A117='Données projet'!$A$218,'Données projet'!$B$218,FE116+FD117-FM116)))</f>
        <v>0</v>
      </c>
      <c r="FF117" s="138">
        <f>FE117*VLOOKUP('Données projet'!$B$16,'Paramètres'!$A$1:$I$89,3,0)*VLOOKUP('Données projet'!$B$16,'Paramètres'!$A$1:$I$89,5,0)</f>
        <v>0</v>
      </c>
      <c r="FG117" s="130">
        <f t="shared" si="48"/>
        <v>0</v>
      </c>
      <c r="FH117" s="141">
        <f t="shared" si="23"/>
        <v>0</v>
      </c>
      <c r="FI117" s="133">
        <f t="shared" si="24"/>
        <v>293.3333333</v>
      </c>
      <c r="FJ117" s="133">
        <f>AVERAGE(OFFSET($FI$3,0,0,'Données projet'!$E$16+1,1))-AVERAGE(OFFSET($H$3,0,0,'Données projet'!$E$16+1,1))</f>
        <v>305.6252353</v>
      </c>
      <c r="FK117" s="133">
        <f t="shared" si="49"/>
        <v>331.397916</v>
      </c>
      <c r="FL117" s="134">
        <f>IF(ISNA(VLOOKUP(A117,'Données projet'!$A$217:$I$237,3,0)),0,VLOOKUP(A117,'Données projet'!$A$217:$I$237,3,0))</f>
        <v>0</v>
      </c>
      <c r="FM117" s="134">
        <f>IF(ISNA(VLOOKUP(A117,'Données projet'!$A$217:$I$237,4,0)),0,VLOOKUP(A117,'Données projet'!$A$217:$I$237,4,0))</f>
        <v>0</v>
      </c>
      <c r="FN117" s="135">
        <f>IF(ISNA(VLOOKUP(A117,'Données projet'!$A$217:$I$237,5,0)),0%,VLOOKUP(A117,'Données projet'!$A$217:$I$237,5,0)*VLOOKUP('Données projet'!$B$16,'Paramètres'!$A$1:$I$89,7,0))</f>
        <v>0</v>
      </c>
      <c r="FO117" s="135">
        <f>IF(ISNA(VLOOKUP(A117,'Données projet'!$A$217:$I$237,6,0)),0%,VLOOKUP(A117,'Données projet'!$A$217:$I$237,6,0)*VLOOKUP('Données projet'!$B$16,'Paramètres'!$A$1:$I$89,7,0))</f>
        <v>0</v>
      </c>
      <c r="FP117" s="135">
        <f>IF(ISNA(VLOOKUP(A117,'Données projet'!$A$217:$I$237,7,0)),0%,VLOOKUP(A117,'Données projet'!$A$217:$I$237,7,0))</f>
        <v>0</v>
      </c>
      <c r="FQ117" s="142">
        <f>EXP(-LN(2)/35)*FQ116+(1-EXP(-LN(2)/35))/(LN(2)/35)*FM117*FN117*VLOOKUP('Données projet'!$B$16,'Paramètres'!$A$1:$I$89,3,0)*0.475*44/12</f>
        <v>33.74028883</v>
      </c>
      <c r="FR117" s="142">
        <f>EXP(-LN(2)/25)*FR116+(1-EXP(-LN(2)/25))/(LN(2)/25)*Calculateur!FM117*Calculateur!FO117*VLOOKUP('Données projet'!$B$16,'Paramètres'!$A$1:$I$89,3,0)*0.475*44/12</f>
        <v>0</v>
      </c>
      <c r="FS117" s="142">
        <f>EXP(-LN(2)/2)*FS116+(1-EXP(-LN(2)/2))/(LN(2)/2)*FM117*FP117*VLOOKUP('Données projet'!$B$16,'Paramètres'!$A$1:$I$89,3,0)*0.475*44/12</f>
        <v>0</v>
      </c>
      <c r="FT117" s="143">
        <f t="shared" si="25"/>
        <v>33.74028883</v>
      </c>
      <c r="FU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1" t="str">
        <f>VLOOKUP(A117,'Données projet'!$A$243:$I$263,2,0)</f>
        <v>#N/A</v>
      </c>
      <c r="FX117" s="131" t="str">
        <f>VLOOKUP(A117,'Données projet'!$A$243:$I$263,9,0)</f>
        <v>#N/A</v>
      </c>
      <c r="FY117" s="131" t="str">
        <f t="array" ref="FY117">INDEX(FX:FX,MIN(IF(ISNUMBER(FX117:FX313),ROW(FX117:FX313),"")))</f>
        <v/>
      </c>
      <c r="FZ117" s="138">
        <f>IF('Données projet'!$A$244&gt;35,FZ116+FY117-GH116,IF(A117&lt;'Données projet'!$A$244,$FW$205^A117,IF(A117='Données projet'!$A$244,'Données projet'!$B$244,FZ116+FY117-GH116)))</f>
        <v>0</v>
      </c>
      <c r="GA117" s="138">
        <f>FZ117*VLOOKUP('Données projet'!$B$17,'Paramètres'!$A$1:$I$89,3,0)*VLOOKUP('Données projet'!$B$17,'Paramètres'!$A$1:$I$89,5,0)</f>
        <v>0</v>
      </c>
      <c r="GB117" s="130">
        <f t="shared" si="50"/>
        <v>0</v>
      </c>
      <c r="GC117" s="141">
        <f t="shared" si="26"/>
        <v>0</v>
      </c>
      <c r="GD117" s="133">
        <f t="shared" si="27"/>
        <v>293.3333333</v>
      </c>
      <c r="GE117" s="133">
        <f>AVERAGE(OFFSET($GD$3,0,0,'Données projet'!$E$17+1,1))-AVERAGE(OFFSET($H$3,0,0,'Données projet'!$E$17+1,1))</f>
        <v>118.7368745</v>
      </c>
      <c r="GF117" s="133">
        <f t="shared" si="51"/>
        <v>135.1233677</v>
      </c>
      <c r="GG117" s="134">
        <f>IF(ISNA(VLOOKUP(A117,'Données projet'!$A$243:$I$263,3,0)),0,VLOOKUP(A117,'Données projet'!$A$243:$I$263,3,0))</f>
        <v>0</v>
      </c>
      <c r="GH117" s="134">
        <f>IF(ISNA(VLOOKUP(A117,'Données projet'!$A$243:$I$263,4,0)),0,VLOOKUP(A117,'Données projet'!$A$243:$I$263,4,0))</f>
        <v>0</v>
      </c>
      <c r="GI117" s="135">
        <f>IF(ISNA(VLOOKUP(A117,'Données projet'!$A$243:$I$263,5,0)),0%,VLOOKUP(A117,'Données projet'!$A$243:$I$263,5,0)*VLOOKUP('Données projet'!$B$17,'Paramètres'!$A$1:$I$89,7,0))</f>
        <v>0</v>
      </c>
      <c r="GJ117" s="135">
        <f>IF(ISNA(VLOOKUP(A117,'Données projet'!$A$243:$I$263,6,0)),0%,VLOOKUP(A117,'Données projet'!$A$243:$I$263,6,0)*VLOOKUP('Données projet'!$B$17,'Paramètres'!$A$1:$I$89,7,0))</f>
        <v>0</v>
      </c>
      <c r="GK117" s="135">
        <f>IF(ISNA(VLOOKUP(A117,'Données projet'!$A$243:$I$263,7,0)),0%,VLOOKUP(A117,'Données projet'!$A$243:$I$263,7,0))</f>
        <v>0</v>
      </c>
      <c r="GL117" s="142">
        <f>EXP(-LN(2)/35)*GL116+(1-EXP(-LN(2)/35))/(LN(2)/35)*GH117*GI117*VLOOKUP('Données projet'!$B$17,'Paramètres'!$A$1:$I$89,3,0)*0.475*44/12</f>
        <v>35.64651081</v>
      </c>
      <c r="GM117" s="142">
        <f>EXP(-LN(2)/25)*GM116+(1-EXP(-LN(2)/25))/(LN(2)/25)*Calculateur!GH117*Calculateur!GJ117*VLOOKUP('Données projet'!$B$17,'Paramètres'!$A$1:$I$89,3,0)*0.475*44/12</f>
        <v>0</v>
      </c>
      <c r="GN117" s="142">
        <f>EXP(-LN(2)/2)*GN116+(1-EXP(-LN(2)/2))/(LN(2)/2)*GH117*GK117*VLOOKUP('Données projet'!$B$17,'Paramètres'!$A$1:$I$89,3,0)*0.475*44/12</f>
        <v>0</v>
      </c>
      <c r="GO117" s="142">
        <f t="shared" si="28"/>
        <v>35.64651081</v>
      </c>
      <c r="GP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1" t="str">
        <f>VLOOKUP(A117,'Données projet'!$A$269:$I$289,2,0)</f>
        <v>#N/A</v>
      </c>
      <c r="GS117" s="131" t="str">
        <f>VLOOKUP(A117,'Données projet'!$A$269:$I$289,9,0)</f>
        <v>#N/A</v>
      </c>
      <c r="GT117" s="131" t="str">
        <f t="array" ref="GT117">INDEX(GS:GS,MIN(IF(ISNUMBER(GS117:GS313),ROW(GS117:GS313),"")))</f>
        <v/>
      </c>
      <c r="GU117" s="138">
        <f>IF('Données projet'!$A$270&gt;35,GU116+GT117-HC116,IF(A117&lt;'Données projet'!$A$270,$GR$205^A117,IF(A117='Données projet'!$A$270,'Données projet'!$B$270,GU116+GT117-HC116)))</f>
        <v>0</v>
      </c>
      <c r="GV117" s="138">
        <f>GU117*VLOOKUP('Données projet'!$B$18,'Paramètres'!$A$1:$I$89,3,0)*VLOOKUP('Données projet'!$B$18,'Paramètres'!$A$1:$I$89,5,0)</f>
        <v>0</v>
      </c>
      <c r="GW117" s="130" t="str">
        <f t="shared" si="52"/>
        <v>#NUM!</v>
      </c>
      <c r="GX117" s="141" t="str">
        <f t="shared" si="29"/>
        <v>#NUM!</v>
      </c>
      <c r="GY117" s="133" t="str">
        <f t="shared" si="30"/>
        <v>#NUM!</v>
      </c>
      <c r="GZ117" s="133">
        <f>AVERAGE(OFFSET($GY$3,0,0,'Données projet'!$E$18+1,1))-AVERAGE(OFFSET($H$3,0,0,'Données projet'!$E$18+1,1))</f>
        <v>100.5427875</v>
      </c>
      <c r="HA117" s="133">
        <f t="shared" si="53"/>
        <v>92.28663609</v>
      </c>
      <c r="HB117" s="134">
        <f>IF(ISNA(VLOOKUP(A117,'Données projet'!$A$269:$I$289,3,0)),0,VLOOKUP(A117,'Données projet'!$A$269:$I$289,3,0))</f>
        <v>0</v>
      </c>
      <c r="HC117" s="134">
        <f>IF(ISNA(VLOOKUP(A117,'Données projet'!$A$269:$I$289,4,0)),0,VLOOKUP(A117,'Données projet'!$A$269:$I$289,4,0))</f>
        <v>0</v>
      </c>
      <c r="HD117" s="135">
        <f>IF(ISNA(VLOOKUP(A117,'Données projet'!$A$269:$I$289,5,0)),0%,VLOOKUP(A117,'Données projet'!$A$269:$I$289,5,0)*VLOOKUP('Données projet'!$B$18,'Paramètres'!$A$1:$I$89,7,0))</f>
        <v>0</v>
      </c>
      <c r="HE117" s="135">
        <f>IF(ISNA(VLOOKUP(A117,'Données projet'!$A$269:$I$289,6,0)),0%,VLOOKUP(A117,'Données projet'!$A$269:$I$289,6,0)*VLOOKUP('Données projet'!$B$18,'Paramètres'!$A$1:$I$89,7,0))</f>
        <v>0</v>
      </c>
      <c r="HF117" s="135">
        <f>IF(ISNA(VLOOKUP(A117,'Données projet'!$A$269:$I$289,7,0)),0%,VLOOKUP(A117,'Données projet'!$A$269:$I$289,7,0))</f>
        <v>0</v>
      </c>
      <c r="HG117" s="142">
        <f>EXP(-LN(2)/35)*HG116+(1-EXP(-LN(2)/35))/(LN(2)/35)*HC117*HD117*VLOOKUP('Données projet'!$B$18,'Paramètres'!$A$1:$I$89,3,0)*0.475*44/12</f>
        <v>24.27452186</v>
      </c>
      <c r="HH117" s="142">
        <f>EXP(-LN(2)/25)*HH116+(1-EXP(-LN(2)/25))/(LN(2)/25)*Calculateur!HC117*Calculateur!HE117*VLOOKUP('Données projet'!$B$18,'Paramètres'!$A$1:$I$89,3,0)*0.475*44/12</f>
        <v>0</v>
      </c>
      <c r="HI117" s="142">
        <f>EXP(-LN(2)/2)*HI116+(1-EXP(-LN(2)/2))/(LN(2)/2)*HC117*HF117*VLOOKUP('Données projet'!$B$18,'Paramètres'!$A$1:$I$89,3,0)*0.475*44/12</f>
        <v>0</v>
      </c>
      <c r="HJ117" s="143">
        <f t="shared" si="31"/>
        <v>24.27452186</v>
      </c>
    </row>
    <row r="118" ht="15.75" customHeight="1">
      <c r="A118" s="125">
        <f t="shared" si="32"/>
        <v>115</v>
      </c>
      <c r="B118" s="126">
        <f>'Scénario référence'!$B$16*5+'Scénario référence'!$B$17*0+'Scénario référence'!$B$18*5</f>
        <v>0</v>
      </c>
      <c r="C118" s="140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18" s="127">
        <f t="shared" si="33"/>
        <v>17.87179177</v>
      </c>
      <c r="E11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7">
        <f>IF(OR('Scénario référence'!$F$8&gt;0,'Scénario référence'!$F$9&gt;0),('Scénario référence'!$F$8+'Scénario référence'!$F$9)*10,0)</f>
        <v>10</v>
      </c>
      <c r="G118" s="127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622.6524277</v>
      </c>
      <c r="H118" s="128">
        <f t="shared" si="1"/>
        <v>433.8192873</v>
      </c>
      <c r="I118" s="12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1" t="str">
        <f>VLOOKUP(A118,'Données projet'!$A$35:$I$55,2,0)</f>
        <v>#N/A</v>
      </c>
      <c r="L118" s="131" t="str">
        <f>VLOOKUP(A118,'Données projet'!$A$35:$I$55,9,0)</f>
        <v>#N/A</v>
      </c>
      <c r="M118" s="131" t="str">
        <f t="array" ref="M118">INDEX(L:L,MIN(IF(ISNUMBER(L118:L314),ROW(L118:L314),"")))</f>
        <v/>
      </c>
      <c r="N118" s="130">
        <f>IF('Données projet'!$A$36&gt;35,N117+M118-V117,IF(A118&lt;'Données projet'!$A$36,$K$205^A118,IF(A118='Données projet'!$A$36,'Données projet'!$B$36,N117+M118-V117)))</f>
        <v>0</v>
      </c>
      <c r="O118" s="130">
        <f>N118*VLOOKUP('Données projet'!$B$9,'Paramètres'!$A$1:$I$89,3,0)*VLOOKUP('Données projet'!$B$9,'Paramètres'!$A$1:$I$89,5,0)</f>
        <v>0</v>
      </c>
      <c r="P118" s="130">
        <f t="shared" si="34"/>
        <v>0</v>
      </c>
      <c r="Q118" s="141">
        <f t="shared" si="2"/>
        <v>0</v>
      </c>
      <c r="R118" s="133">
        <f t="shared" si="3"/>
        <v>293.3333333</v>
      </c>
      <c r="S118" s="133">
        <f>AVERAGE(OFFSET($R$3,0,0,'Données projet'!$E$9+1,1))-AVERAGE(OFFSET($H$3,0,0,'Données projet'!$E$9+1,1))</f>
        <v>126.9946492</v>
      </c>
      <c r="T118" s="133">
        <f t="shared" si="35"/>
        <v>140.039049</v>
      </c>
      <c r="U118" s="134">
        <f>IF(ISNA(VLOOKUP(A118,'Données projet'!$A$35:$I$55,3,0)),0,VLOOKUP(A118,'Données projet'!$A$35:$I$55,3,0))</f>
        <v>0</v>
      </c>
      <c r="V118" s="134">
        <f>IF(ISNA(VLOOKUP(A118,'Données projet'!$A$35:$I$55,4,0)),0,VLOOKUP(A118,'Données projet'!$A$35:$I$55,4,0))</f>
        <v>0</v>
      </c>
      <c r="W118" s="135">
        <f>IF(ISNA(VLOOKUP(A118,'Données projet'!$A$35:$I$55,5,0)),0%,VLOOKUP(A118,'Données projet'!$A$35:$I$55,5,0)*VLOOKUP('Données projet'!$B$9,'Paramètres'!$A$1:$I$89,7,0))</f>
        <v>0</v>
      </c>
      <c r="X118" s="135">
        <f>IF(ISNA(VLOOKUP(A118,'Données projet'!$A$35:$I$55,6,0)),0%,VLOOKUP(A118,'Données projet'!$A$35:$I$55,6,0)*VLOOKUP('Données projet'!$B$9,'Paramètres'!$A$1:$I$89,7,0))</f>
        <v>0</v>
      </c>
      <c r="Y118" s="135">
        <f>IF(ISNA(VLOOKUP(A118,'Données projet'!$A$35:$I$55,7,0)),0%,VLOOKUP(A118,'Données projet'!$A$35:$I$55,7,0))</f>
        <v>0</v>
      </c>
      <c r="Z118" s="142">
        <f>EXP(-LN(2)/35)*Z117+(1-EXP(-LN(2)/35))/(LN(2)/35)*V118*W118*VLOOKUP('Données projet'!$B$9,'Paramètres'!$A$1:$I$89,3,0)*0.475*44/12</f>
        <v>35.74351764</v>
      </c>
      <c r="AA118" s="142">
        <f>EXP(-LN(2)/25)*AA117+(1-EXP(-LN(2)/25))/(LN(2)/25)*Calculateur!V118*Calculateur!X118*VLOOKUP('Données projet'!$B$9,'Paramètres'!$A$1:$I$89,3,0)*0.475*44/12</f>
        <v>5.057604394</v>
      </c>
      <c r="AB118" s="142">
        <f>EXP(-LN(2)/2)*AB117+(1-EXP(-LN(2)/2))/(LN(2)/2)*V118*Y118*VLOOKUP('Données projet'!$B$9,'Paramètres'!$A$1:$I$89,3,0)*0.475*44/12</f>
        <v>0.000000100042769</v>
      </c>
      <c r="AC118" s="143">
        <f t="shared" si="4"/>
        <v>40.80112213</v>
      </c>
      <c r="AD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1" t="str">
        <f>VLOOKUP(A118,'Données projet'!$A$61:$I$81,2,0)</f>
        <v>#N/A</v>
      </c>
      <c r="AG118" s="131" t="str">
        <f>VLOOKUP(A118,'Données projet'!$A$61:$I$81,9,0)</f>
        <v>#N/A</v>
      </c>
      <c r="AH118" s="131" t="str">
        <f t="array" ref="AH118">INDEX(AG:AG,MIN(IF(ISNUMBER(AG118:AG314),ROW(AG118:AG314),"")))</f>
        <v/>
      </c>
      <c r="AI118" s="130">
        <f>IF('Données projet'!$A$62&gt;35,AI117+AH118-AQ117,IF(A118&lt;'Données projet'!$A$62,$AF$205^A118,IF(A118='Données projet'!$A$62,'Données projet'!$B$62,AI117+AH118-AQ117)))</f>
        <v>0</v>
      </c>
      <c r="AJ118" s="130">
        <f>AI118*VLOOKUP('Données projet'!$B$10,'Paramètres'!$A$1:$I$89,3,0)*VLOOKUP('Données projet'!$B$10,'Paramètres'!$A$1:$I$89,5,0)</f>
        <v>0</v>
      </c>
      <c r="AK118" s="130" t="str">
        <f t="shared" si="36"/>
        <v>#NUM!</v>
      </c>
      <c r="AL118" s="141" t="str">
        <f t="shared" si="5"/>
        <v>#NUM!</v>
      </c>
      <c r="AM118" s="133" t="str">
        <f t="shared" si="6"/>
        <v>#NUM!</v>
      </c>
      <c r="AN118" s="133">
        <f>AVERAGE(OFFSET($AM$3,0,0,'Données projet'!$E$10+1,1))-AVERAGE(OFFSET($H$3,0,0,'Données projet'!$E$10+1,1))</f>
        <v>196.874484</v>
      </c>
      <c r="AO118" s="133">
        <f t="shared" si="37"/>
        <v>217.5750859</v>
      </c>
      <c r="AP118" s="134">
        <f>IF(ISNA(VLOOKUP(A118,'Données projet'!$A$61:$I$81,3,0)),0,VLOOKUP(A118,'Données projet'!$A$61:$I$81,3,0))</f>
        <v>0</v>
      </c>
      <c r="AQ118" s="134">
        <f>IF(ISNA(VLOOKUP(A118,'Données projet'!$A$61:$I$81,4,0)),0,VLOOKUP(A118,'Données projet'!$A$61:$I$81,4,0))</f>
        <v>0</v>
      </c>
      <c r="AR118" s="135">
        <f>IF(ISNA(VLOOKUP(A118,'Données projet'!$A$61:$I$81,5,0)),0%,VLOOKUP(A118,'Données projet'!$A$61:$I$81,5,0)*VLOOKUP('Données projet'!$B$10,'Paramètres'!$A$1:$I$89,7,0))</f>
        <v>0</v>
      </c>
      <c r="AS118" s="135">
        <f>IF(ISNA(VLOOKUP(A118,'Données projet'!$A$61:$I$81,6,0)),0%,VLOOKUP(A118,'Données projet'!$A$61:$I$81,6,0)*VLOOKUP('Données projet'!$B$10,'Paramètres'!$A$1:$I$89,7,0))</f>
        <v>0</v>
      </c>
      <c r="AT118" s="135">
        <f>IF(ISNA(VLOOKUP(A118,'Données projet'!$A$61:$I$81,7,0)),0%,VLOOKUP(A118,'Données projet'!$A$61:$I$81,7,0))</f>
        <v>0</v>
      </c>
      <c r="AU118" s="142">
        <f>EXP(-LN(2)/35)*AU117+(1-EXP(-LN(2)/35))/(LN(2)/35)*AQ118*AR118*VLOOKUP('Données projet'!$B$10,'Paramètres'!$A$1:$I$89,3,0)*0.475*44/12</f>
        <v>49.68247427</v>
      </c>
      <c r="AV118" s="142">
        <f>EXP(-LN(2)/25)*AV117+(1-EXP(-LN(2)/25))/(LN(2)/25)*Calculateur!AQ118*Calculateur!AS118*VLOOKUP('Données projet'!$B$10,'Paramètres'!$A$1:$I$89,3,0)*0.475*44/12</f>
        <v>7.776073514</v>
      </c>
      <c r="AW118" s="142">
        <f>EXP(-LN(2)/2)*AW117+(1-EXP(-LN(2)/2))/(LN(2)/2)*AQ118*AT118*VLOOKUP('Données projet'!$B$10,'Paramètres'!$A$1:$I$89,3,0)*0.475*44/12</f>
        <v>0.0000001394806246</v>
      </c>
      <c r="AX118" s="142">
        <f t="shared" si="7"/>
        <v>57.45854792</v>
      </c>
      <c r="AY118" s="13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1" t="str">
        <f>VLOOKUP(A118,'Données projet'!$A$87:$I$107,2,0)</f>
        <v>#N/A</v>
      </c>
      <c r="BB118" s="131" t="str">
        <f>VLOOKUP(A118,'Données projet'!$A$87:$I$107,9,0)</f>
        <v>#N/A</v>
      </c>
      <c r="BC118" s="131" t="str">
        <f t="array" ref="BC118">INDEX(BB:BB,MIN(IF(ISNUMBER(BB118:BB314),ROW(BB118:BB314),"")))</f>
        <v/>
      </c>
      <c r="BD118" s="130">
        <f>IF('Données projet'!$A$88&gt;35,BD117+BC118-BL117,IF(A118&lt;'Données projet'!$A$88,$BA$205^A118,IF(A118='Données projet'!$A$88,'Données projet'!$B$88,BD117+BC118-BL117)))</f>
        <v>0</v>
      </c>
      <c r="BE118" s="130">
        <f>BD118*VLOOKUP('Données projet'!$B$11,'Paramètres'!$A$1:$I$89,3,0)*VLOOKUP('Données projet'!$B$11,'Paramètres'!$A$1:$I$89,5,0)</f>
        <v>0</v>
      </c>
      <c r="BF118" s="130" t="str">
        <f t="shared" si="38"/>
        <v>#NUM!</v>
      </c>
      <c r="BG118" s="141" t="str">
        <f t="shared" si="8"/>
        <v>#NUM!</v>
      </c>
      <c r="BH118" s="133" t="str">
        <f t="shared" si="9"/>
        <v>#NUM!</v>
      </c>
      <c r="BI118" s="133">
        <f>AVERAGE(OFFSET($BH$3,0,0,'Données projet'!$E$11+1,1))-AVERAGE(OFFSET($H$3,0,0,'Données projet'!$E$11+1,1))</f>
        <v>134.0948534</v>
      </c>
      <c r="BJ118" s="133">
        <f t="shared" si="39"/>
        <v>108.4102536</v>
      </c>
      <c r="BK118" s="134">
        <f>IF(ISNA(VLOOKUP(A118,'Données projet'!$A$87:$I$107,3,0)),0,VLOOKUP(A118,'Données projet'!$A$87:$I$107,3,0))</f>
        <v>0</v>
      </c>
      <c r="BL118" s="134">
        <f>IF(ISNA(VLOOKUP(A118,'Données projet'!$A$87:$I$107,4,0)),0,VLOOKUP(A118,'Données projet'!$A$87:$I$107,4,0))</f>
        <v>0</v>
      </c>
      <c r="BM118" s="135">
        <f>IF(ISNA(VLOOKUP(A118,'Données projet'!$A$87:$I$107,5,0)),0%,VLOOKUP(A118,'Données projet'!$A$87:$I$107,5,0)*VLOOKUP('Données projet'!$B$11,'Paramètres'!$A$1:$I$89,7,0))</f>
        <v>0</v>
      </c>
      <c r="BN118" s="135">
        <f>IF(ISNA(VLOOKUP(A118,'Données projet'!$A$87:$I$107,6,0)),0%,VLOOKUP(A118,'Données projet'!$A$87:$I$107,6,0)*VLOOKUP('Données projet'!$B$11,'Paramètres'!$A$1:$I$89,7,0))</f>
        <v>0</v>
      </c>
      <c r="BO118" s="135">
        <f>IF(ISNA(VLOOKUP(A118,'Données projet'!$A$87:$I$107,7,0)),0%,VLOOKUP(A118,'Données projet'!$A$87:$I$107,7,0))</f>
        <v>0</v>
      </c>
      <c r="BP118" s="142">
        <f>EXP(-LN(2)/35)*BP117+(1-EXP(-LN(2)/35))/(LN(2)/35)*BL118*BM118*VLOOKUP('Données projet'!$B$11,'Paramètres'!$A$1:$I$89,3,0)*0.475*44/12</f>
        <v>68.72014053</v>
      </c>
      <c r="BQ118" s="142">
        <f>EXP(-LN(2)/25)*BQ117+(1-EXP(-LN(2)/25))/(LN(2)/25)*Calculateur!BL118*Calculateur!BN118*VLOOKUP('Données projet'!$B$11,'Paramètres'!$A$1:$I$89,3,0)*0.475*44/12</f>
        <v>4.905153849</v>
      </c>
      <c r="BR118" s="142">
        <f>EXP(-LN(2)/2)*BR117+(1-EXP(-LN(2)/2))/(LN(2)/2)*BL118*BO118*VLOOKUP('Données projet'!$B$11,'Paramètres'!$A$1:$I$89,3,0)*0.475*44/12</f>
        <v>0.000001860471361</v>
      </c>
      <c r="BS118" s="143">
        <f t="shared" si="10"/>
        <v>73.62529624</v>
      </c>
      <c r="BT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1" t="str">
        <f>VLOOKUP(A118,'Données projet'!$A$113:$I$133,2,0)</f>
        <v>#N/A</v>
      </c>
      <c r="BW118" s="131" t="str">
        <f>VLOOKUP(A118,'Données projet'!$A$113:$I$133,9,0)</f>
        <v>#N/A</v>
      </c>
      <c r="BX118" s="131" t="str">
        <f t="array" ref="BX118">INDEX(BW:BW,MIN(IF(ISNUMBER(BW118:BW314),ROW(BW118:BW314),"")))</f>
        <v/>
      </c>
      <c r="BY118" s="130">
        <f>IF('Données projet'!$A$114&gt;35,BY117+BX118-CG117,IF(A118&lt;'Données projet'!$A$114,$BV$205^A118,IF(A118='Données projet'!$A$114,'Données projet'!$B$114,BY117+BX118-CG117)))</f>
        <v>0</v>
      </c>
      <c r="BZ118" s="130">
        <f>BY118*VLOOKUP('Données projet'!$B$12,'Paramètres'!$A$1:$I$89,3,0)*VLOOKUP('Données projet'!$B$12,'Paramètres'!$A$1:$I$89,5,0)</f>
        <v>0</v>
      </c>
      <c r="CA118" s="130" t="str">
        <f t="shared" si="40"/>
        <v>#NUM!</v>
      </c>
      <c r="CB118" s="141" t="str">
        <f t="shared" si="11"/>
        <v>#NUM!</v>
      </c>
      <c r="CC118" s="133" t="str">
        <f t="shared" si="12"/>
        <v>#NUM!</v>
      </c>
      <c r="CD118" s="133">
        <f>AVERAGE(OFFSET($CC$3,0,0,'Données projet'!$E$12+1,1))-AVERAGE(OFFSET($H$3,0,0,'Données projet'!$E$12+1,1))</f>
        <v>258.1672054</v>
      </c>
      <c r="CE118" s="133">
        <f t="shared" si="41"/>
        <v>296.0724261</v>
      </c>
      <c r="CF118" s="134">
        <f>IF(ISNA(VLOOKUP(A118,'Données projet'!$A$113:$I$133,3,0)),0,VLOOKUP(A118,'Données projet'!$A$113:$I$133,3,0))</f>
        <v>0</v>
      </c>
      <c r="CG118" s="134">
        <f>IF(ISNA(VLOOKUP(A118,'Données projet'!$A$113:$I$133,4,0)),0,VLOOKUP(A118,'Données projet'!$A$113:$I$133,4,0))</f>
        <v>0</v>
      </c>
      <c r="CH118" s="135">
        <f>IF(ISNA(VLOOKUP(A118,'Données projet'!$A$113:$I$133,5,0)),0%,VLOOKUP(A118,'Données projet'!$A$113:$I$133,5,0)*VLOOKUP('Données projet'!$B$12,'Paramètres'!$A$1:$I$89,7,0))</f>
        <v>0</v>
      </c>
      <c r="CI118" s="135">
        <f>IF(ISNA(VLOOKUP(A118,'Données projet'!$A$113:$I$133,6,0)),0%,VLOOKUP(A118,'Données projet'!$A$113:$I$133,6,0)*VLOOKUP('Données projet'!$B$12,'Paramètres'!$A$1:$I$89,7,0))</f>
        <v>0</v>
      </c>
      <c r="CJ118" s="135">
        <f>IF(ISNA(VLOOKUP(A118,'Données projet'!$A$113:$I$133,7,0)),0%,VLOOKUP(A118,'Données projet'!$A$113:$I$133,7,0))</f>
        <v>0</v>
      </c>
      <c r="CK118" s="142">
        <f>EXP(-LN(2)/35)*CK117+(1-EXP(-LN(2)/35))/(LN(2)/35)*CG118*CH118*VLOOKUP('Données projet'!$B$12,'Paramètres'!$A$1:$I$89,3,0)*0.475*44/12</f>
        <v>86.88327998</v>
      </c>
      <c r="CL118" s="142">
        <f>EXP(-LN(2)/25)*CL117+(1-EXP(-LN(2)/25))/(LN(2)/25)*Calculateur!CG118*Calculateur!CI118*VLOOKUP('Données projet'!$B$12,'Paramètres'!$A$1:$I$89,3,0)*0.475*44/12</f>
        <v>8.603918303</v>
      </c>
      <c r="CM118" s="142">
        <f>EXP(-LN(2)/2)*CM117+(1-EXP(-LN(2)/2))/(LN(2)/2)*CG118*CJ118*VLOOKUP('Données projet'!$B$12,'Paramètres'!$A$1:$I$89,3,0)*0.475*44/12</f>
        <v>0.00000007837946253</v>
      </c>
      <c r="CN118" s="143">
        <f t="shared" si="13"/>
        <v>95.48719837</v>
      </c>
      <c r="CO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1" t="str">
        <f>VLOOKUP(A118,'Données projet'!$A$139:$I$159,2,0)</f>
        <v>#N/A</v>
      </c>
      <c r="CR118" s="131" t="str">
        <f>VLOOKUP(A118,'Données projet'!$A$139:$I$159,9,0)</f>
        <v>#N/A</v>
      </c>
      <c r="CS118" s="130">
        <f t="array" ref="CS118">INDEX(CR:CR,MIN(IF(ISNUMBER(CR118:CR314),ROW(CR118:CR314),"")))</f>
        <v>1.5</v>
      </c>
      <c r="CT118" s="138">
        <f>IF('Données projet'!$A$140&gt;35,CT117+CS118-DB117,IF(A118&lt;'Données projet'!$A$140,$CQ$205^A118,IF(A118='Données projet'!$A$140,'Données projet'!$B$140,CT117+CS118-DB117)))</f>
        <v>213.5</v>
      </c>
      <c r="CU118" s="138">
        <f>CT118*VLOOKUP('Données projet'!$B$13,'Paramètres'!$A$1:$I$89,3,0)*VLOOKUP('Données projet'!$B$13,'Paramètres'!$A$1:$I$89,5,0)</f>
        <v>216.489</v>
      </c>
      <c r="CV118" s="130">
        <f t="shared" si="42"/>
        <v>53.35107419</v>
      </c>
      <c r="CW118" s="141">
        <f t="shared" si="14"/>
        <v>469.9714626</v>
      </c>
      <c r="CX118" s="133">
        <f t="shared" si="15"/>
        <v>763.3047959</v>
      </c>
      <c r="CY118" s="133">
        <f>AVERAGE(OFFSET($CX$3,0,0,'Données projet'!$E$13+1,1))-AVERAGE(OFFSET($H$3,0,0,'Données projet'!$E$13+1,1))</f>
        <v>223.783507</v>
      </c>
      <c r="CZ118" s="133">
        <f t="shared" si="43"/>
        <v>84.92349117</v>
      </c>
      <c r="DA118" s="134">
        <f>IF(ISNA(VLOOKUP(A118,'Données projet'!$A$139:$I$159,3,0)),0,VLOOKUP(A118,'Données projet'!$A$139:$I$159,3,0))</f>
        <v>0</v>
      </c>
      <c r="DB118" s="134">
        <f>IF(ISNA(VLOOKUP(A118,'Données projet'!$A$139:$I$159,4,0)),0,VLOOKUP(A118,'Données projet'!$A$139:$I$159,4,0))</f>
        <v>0</v>
      </c>
      <c r="DC118" s="135">
        <f>IF(ISNA(VLOOKUP(A118,'Données projet'!$A$139:$I$159,5,0)),0%,VLOOKUP(A118,'Données projet'!$A$139:$I$159,5,0)*VLOOKUP('Données projet'!$B$13,'Paramètres'!$A$1:$I$89,7,0))</f>
        <v>0</v>
      </c>
      <c r="DD118" s="135">
        <f>IF(ISNA(VLOOKUP(A118,'Données projet'!$A$139:$I$159,6,0)),0%,VLOOKUP(A118,'Données projet'!$A$139:$I$159,6,0)*VLOOKUP('Données projet'!$B$13,'Paramètres'!$A$1:$I$89,7,0))</f>
        <v>0</v>
      </c>
      <c r="DE118" s="135">
        <f>IF(ISNA(VLOOKUP(A118,'Données projet'!$A$139:$I$159,7,0)),0%,VLOOKUP(A118,'Données projet'!$A$139:$I$159,7,0))</f>
        <v>0</v>
      </c>
      <c r="DF118" s="142">
        <f>EXP(-LN(2)/35)*DF117+(1-EXP(-LN(2)/35))/(LN(2)/35)*DB118*DC118*VLOOKUP('Données projet'!$B$13,'Paramètres'!$A$1:$I$89,3,0)*0.475*44/12</f>
        <v>19.51833991</v>
      </c>
      <c r="DG118" s="142">
        <f>EXP(-LN(2)/25)*DG117+(1-EXP(-LN(2)/25))/(LN(2)/25)*Calculateur!DB118*Calculateur!DD118*VLOOKUP('Données projet'!$B$13,'Paramètres'!$A$1:$I$89,3,0)*0.475*44/12</f>
        <v>0</v>
      </c>
      <c r="DH118" s="142">
        <f>EXP(-LN(2)/2)*DH117+(1-EXP(-LN(2)/2))/(LN(2)/2)*DB118*DE118*VLOOKUP('Données projet'!$B$13,'Paramètres'!$A$1:$I$89,3,0)*0.475*44/12</f>
        <v>0</v>
      </c>
      <c r="DI118" s="143">
        <f t="shared" si="16"/>
        <v>19.51833991</v>
      </c>
      <c r="DJ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1" t="str">
        <f>VLOOKUP(A118,'Données projet'!$A$165:$I$185,2,0)</f>
        <v>#N/A</v>
      </c>
      <c r="DM118" s="131" t="str">
        <f>VLOOKUP(A118,'Données projet'!$A$165:$I$185,9,0)</f>
        <v>#N/A</v>
      </c>
      <c r="DN118" s="131">
        <f t="array" ref="DN118">INDEX(DM:DM,MIN(IF(ISNUMBER(DM118:DM314),ROW(DM118:DM314),"")))</f>
        <v>1.9</v>
      </c>
      <c r="DO118" s="138">
        <f>IF('Données projet'!$A$166&gt;35,DO117+DN118-DW117,IF(A118&lt;'Données projet'!$A$166,$DL$205^A118,IF(A118='Données projet'!$A$166,'Données projet'!$B$166,DO117+DN118-DW117)))</f>
        <v>275.5</v>
      </c>
      <c r="DP118" s="138">
        <f>DO118*VLOOKUP('Données projet'!$B$14,'Paramètres'!$A$1:$I$89,3,0)*VLOOKUP('Données projet'!$B$14,'Paramètres'!$A$1:$I$89,5,0)</f>
        <v>249.2724</v>
      </c>
      <c r="DQ118" s="130">
        <f t="shared" si="44"/>
        <v>60.43010984</v>
      </c>
      <c r="DR118" s="141">
        <f t="shared" si="17"/>
        <v>539.398538</v>
      </c>
      <c r="DS118" s="133">
        <f t="shared" si="18"/>
        <v>832.7318713</v>
      </c>
      <c r="DT118" s="133">
        <f>AVERAGE(OFFSET($DS$3,0,0,'Données projet'!$E$14+1,1))-AVERAGE(OFFSET($H$3,0,0,'Données projet'!$E$14+1,1))</f>
        <v>287.9334714</v>
      </c>
      <c r="DU118" s="133">
        <f t="shared" si="45"/>
        <v>156.6796502</v>
      </c>
      <c r="DV118" s="134">
        <f>IF(ISNA(VLOOKUP(A118,'Données projet'!$A$165:$I$185,3,0)),0,VLOOKUP(A118,'Données projet'!$A$165:$I$185,3,0))</f>
        <v>0</v>
      </c>
      <c r="DW118" s="134">
        <f>IF(ISNA(VLOOKUP(A118,'Données projet'!$A$165:$I$185,4,0)),0,VLOOKUP(A118,'Données projet'!$A$165:$I$185,4,0))</f>
        <v>0</v>
      </c>
      <c r="DX118" s="135">
        <f>IF(ISNA(VLOOKUP(A118,'Données projet'!$A$165:$I$185,5,0)),0%,VLOOKUP(A118,'Données projet'!$A$165:$I$185,5,0)*VLOOKUP('Données projet'!$B$14,'Paramètres'!$A$1:$I$89,7,0))</f>
        <v>0</v>
      </c>
      <c r="DY118" s="135">
        <f>IF(ISNA(VLOOKUP(A118,'Données projet'!$A$165:$I$185,6,0)),0%,VLOOKUP(A118,'Données projet'!$A$165:$I$185,6,0)*VLOOKUP('Données projet'!$B$14,'Paramètres'!$A$1:$I$89,7,0))</f>
        <v>0</v>
      </c>
      <c r="DZ118" s="135">
        <f>IF(ISNA(VLOOKUP(A118,'Données projet'!$A$165:$I$185,7,0)),0%,VLOOKUP(A118,'Données projet'!$A$165:$I$185,7,0))</f>
        <v>0</v>
      </c>
      <c r="EA118" s="142">
        <f>EXP(-LN(2)/35)*EA117+(1-EXP(-LN(2)/35))/(LN(2)/35)*DW118*DX118*VLOOKUP('Données projet'!$B$14,'Paramètres'!$A$1:$I$89,3,0)*0.475*44/12</f>
        <v>29.06317213</v>
      </c>
      <c r="EB118" s="142">
        <f>EXP(-LN(2)/25)*EB117+(1-EXP(-LN(2)/25))/(LN(2)/25)*Calculateur!DW118*Calculateur!DY118*VLOOKUP('Données projet'!$B$14,'Paramètres'!$A$1:$I$89,3,0)*0.475*44/12</f>
        <v>0</v>
      </c>
      <c r="EC118" s="142">
        <f>EXP(-LN(2)/2)*EC117+(1-EXP(-LN(2)/2))/(LN(2)/2)*DW118*DZ118*VLOOKUP('Données projet'!$B$14,'Paramètres'!$A$1:$I$89,3,0)*0.475*44/12</f>
        <v>0</v>
      </c>
      <c r="ED118" s="143">
        <f t="shared" si="19"/>
        <v>29.06317213</v>
      </c>
      <c r="EE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1" t="str">
        <f>VLOOKUP(A118,'Données projet'!$A$191:$I$211,2,0)</f>
        <v>#N/A</v>
      </c>
      <c r="EH118" s="131" t="str">
        <f>VLOOKUP(A118,'Données projet'!$A$191:$I$211,9,0)</f>
        <v>#N/A</v>
      </c>
      <c r="EI118" s="131" t="str">
        <f t="array" ref="EI118">INDEX(EH:EH,MIN(IF(ISNUMBER(EH118:EH314),ROW(EH118:EH314),"")))</f>
        <v/>
      </c>
      <c r="EJ118" s="138">
        <f>IF('Données projet'!$A$192&gt;35,EJ117+EI118-ER117,IF(A118&lt;'Données projet'!$A$192,$EG$205^A118,IF(A118='Données projet'!$A$192,'Données projet'!$B$192,EJ117+EI118-ER117)))</f>
        <v>0</v>
      </c>
      <c r="EK118" s="138">
        <f>EJ118*VLOOKUP('Données projet'!$B$15,'Paramètres'!$A$1:$I$89,3,0)*VLOOKUP('Données projet'!$B$15,'Paramètres'!$A$1:$I$89,5,0)</f>
        <v>0</v>
      </c>
      <c r="EL118" s="130" t="str">
        <f t="shared" si="46"/>
        <v>#NUM!</v>
      </c>
      <c r="EM118" s="141" t="str">
        <f t="shared" si="20"/>
        <v>#NUM!</v>
      </c>
      <c r="EN118" s="133" t="str">
        <f t="shared" si="21"/>
        <v>#NUM!</v>
      </c>
      <c r="EO118" s="133">
        <f>AVERAGE(OFFSET($EN$3,0,0,'Données projet'!$E$15+1,1))-AVERAGE(OFFSET($H$3,0,0,'Données projet'!$E$15+1,1))</f>
        <v>130.3193339</v>
      </c>
      <c r="EP118" s="133">
        <f t="shared" si="47"/>
        <v>82.22784365</v>
      </c>
      <c r="EQ118" s="134">
        <f>IF(ISNA(VLOOKUP(A118,'Données projet'!$A$191:$I$211,3,0)),0,VLOOKUP(A118,'Données projet'!$A$191:$I$211,3,0))</f>
        <v>0</v>
      </c>
      <c r="ER118" s="134">
        <f>IF(ISNA(VLOOKUP(A118,'Données projet'!$A$191:$I$211,4,0)),0,VLOOKUP(A118,'Données projet'!$A$191:$I$211,4,0))</f>
        <v>0</v>
      </c>
      <c r="ES118" s="135">
        <f>IF(ISNA(VLOOKUP(A118,'Données projet'!$A$191:$I$211,5,0)),0%,VLOOKUP(A118,'Données projet'!$A$191:$I$211,5,0)*VLOOKUP('Données projet'!$B$15,'Paramètres'!$A$1:$I$89,7,0))</f>
        <v>0</v>
      </c>
      <c r="ET118" s="135">
        <f>IF(ISNA(VLOOKUP(A118,'Données projet'!$A$191:$I$211,6,0)),0%,VLOOKUP(A118,'Données projet'!$A$191:$I$211,6,0)*VLOOKUP('Données projet'!$B$15,'Paramètres'!$A$1:$I$89,7,0))</f>
        <v>0</v>
      </c>
      <c r="EU118" s="135">
        <f>IF(ISNA(VLOOKUP(A118,'Données projet'!$A$191:$I$211,7,0)),0%,VLOOKUP(A118,'Données projet'!$A$191:$I$211,7,0))</f>
        <v>0</v>
      </c>
      <c r="EV118" s="142">
        <f>EXP(-LN(2)/35)*EV117+(1-EXP(-LN(2)/35))/(LN(2)/35)*ER118*ES118*VLOOKUP('Données projet'!$B$15,'Paramètres'!$A$1:$I$89,3,0)*0.475*44/12</f>
        <v>53.12732833</v>
      </c>
      <c r="EW118" s="142">
        <f>EXP(-LN(2)/25)*EW117+(1-EXP(-LN(2)/25))/(LN(2)/25)*Calculateur!ER118*Calculateur!ET118*VLOOKUP('Données projet'!$B$15,'Paramètres'!$A$1:$I$89,3,0)*0.475*44/12</f>
        <v>0</v>
      </c>
      <c r="EX118" s="142">
        <f>EXP(-LN(2)/2)*EX117+(1-EXP(-LN(2)/2))/(LN(2)/2)*ER118*EU118*VLOOKUP('Données projet'!$B$15,'Paramètres'!$A$1:$I$89,3,0)*0.475*44/12</f>
        <v>0</v>
      </c>
      <c r="EY118" s="143">
        <f t="shared" si="22"/>
        <v>53.12732833</v>
      </c>
      <c r="EZ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1" t="str">
        <f>VLOOKUP(A118,'Données projet'!$A$217:$I$237,2,0)</f>
        <v>#N/A</v>
      </c>
      <c r="FC118" s="131" t="str">
        <f>VLOOKUP(A118,'Données projet'!$A$217:$I$237,9,0)</f>
        <v>#N/A</v>
      </c>
      <c r="FD118" s="131" t="str">
        <f t="array" ref="FD118">INDEX(FC:FC,MIN(IF(ISNUMBER(FC118:FC314),ROW(FC118:FC314),"")))</f>
        <v/>
      </c>
      <c r="FE118" s="130">
        <f>IF('Données projet'!$A$218&gt;35,FE117+FD118-FM117,IF(A118&lt;'Données projet'!$A$218,$FB$205^A118,IF(A118='Données projet'!$A$218,'Données projet'!$B$218,FE117+FD118-FM117)))</f>
        <v>0</v>
      </c>
      <c r="FF118" s="138">
        <f>FE118*VLOOKUP('Données projet'!$B$16,'Paramètres'!$A$1:$I$89,3,0)*VLOOKUP('Données projet'!$B$16,'Paramètres'!$A$1:$I$89,5,0)</f>
        <v>0</v>
      </c>
      <c r="FG118" s="130">
        <f t="shared" si="48"/>
        <v>0</v>
      </c>
      <c r="FH118" s="141">
        <f t="shared" si="23"/>
        <v>0</v>
      </c>
      <c r="FI118" s="133">
        <f t="shared" si="24"/>
        <v>293.3333333</v>
      </c>
      <c r="FJ118" s="133">
        <f>AVERAGE(OFFSET($FI$3,0,0,'Données projet'!$E$16+1,1))-AVERAGE(OFFSET($H$3,0,0,'Données projet'!$E$16+1,1))</f>
        <v>305.6252353</v>
      </c>
      <c r="FK118" s="133">
        <f t="shared" si="49"/>
        <v>331.397916</v>
      </c>
      <c r="FL118" s="134">
        <f>IF(ISNA(VLOOKUP(A118,'Données projet'!$A$217:$I$237,3,0)),0,VLOOKUP(A118,'Données projet'!$A$217:$I$237,3,0))</f>
        <v>0</v>
      </c>
      <c r="FM118" s="134">
        <f>IF(ISNA(VLOOKUP(A118,'Données projet'!$A$217:$I$237,4,0)),0,VLOOKUP(A118,'Données projet'!$A$217:$I$237,4,0))</f>
        <v>0</v>
      </c>
      <c r="FN118" s="135">
        <f>IF(ISNA(VLOOKUP(A118,'Données projet'!$A$217:$I$237,5,0)),0%,VLOOKUP(A118,'Données projet'!$A$217:$I$237,5,0)*VLOOKUP('Données projet'!$B$16,'Paramètres'!$A$1:$I$89,7,0))</f>
        <v>0</v>
      </c>
      <c r="FO118" s="135">
        <f>IF(ISNA(VLOOKUP(A118,'Données projet'!$A$217:$I$237,6,0)),0%,VLOOKUP(A118,'Données projet'!$A$217:$I$237,6,0)*VLOOKUP('Données projet'!$B$16,'Paramètres'!$A$1:$I$89,7,0))</f>
        <v>0</v>
      </c>
      <c r="FP118" s="135">
        <f>IF(ISNA(VLOOKUP(A118,'Données projet'!$A$217:$I$237,7,0)),0%,VLOOKUP(A118,'Données projet'!$A$217:$I$237,7,0))</f>
        <v>0</v>
      </c>
      <c r="FQ118" s="142">
        <f>EXP(-LN(2)/35)*FQ117+(1-EXP(-LN(2)/35))/(LN(2)/35)*FM118*FN118*VLOOKUP('Données projet'!$B$16,'Paramètres'!$A$1:$I$89,3,0)*0.475*44/12</f>
        <v>33.07866235</v>
      </c>
      <c r="FR118" s="142">
        <f>EXP(-LN(2)/25)*FR117+(1-EXP(-LN(2)/25))/(LN(2)/25)*Calculateur!FM118*Calculateur!FO118*VLOOKUP('Données projet'!$B$16,'Paramètres'!$A$1:$I$89,3,0)*0.475*44/12</f>
        <v>0</v>
      </c>
      <c r="FS118" s="142">
        <f>EXP(-LN(2)/2)*FS117+(1-EXP(-LN(2)/2))/(LN(2)/2)*FM118*FP118*VLOOKUP('Données projet'!$B$16,'Paramètres'!$A$1:$I$89,3,0)*0.475*44/12</f>
        <v>0</v>
      </c>
      <c r="FT118" s="143">
        <f t="shared" si="25"/>
        <v>33.07866235</v>
      </c>
      <c r="FU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1" t="str">
        <f>VLOOKUP(A118,'Données projet'!$A$243:$I$263,2,0)</f>
        <v>#N/A</v>
      </c>
      <c r="FX118" s="131" t="str">
        <f>VLOOKUP(A118,'Données projet'!$A$243:$I$263,9,0)</f>
        <v>#N/A</v>
      </c>
      <c r="FY118" s="131" t="str">
        <f t="array" ref="FY118">INDEX(FX:FX,MIN(IF(ISNUMBER(FX118:FX314),ROW(FX118:FX314),"")))</f>
        <v/>
      </c>
      <c r="FZ118" s="138">
        <f>IF('Données projet'!$A$244&gt;35,FZ117+FY118-GH117,IF(A118&lt;'Données projet'!$A$244,$FW$205^A118,IF(A118='Données projet'!$A$244,'Données projet'!$B$244,FZ117+FY118-GH117)))</f>
        <v>0</v>
      </c>
      <c r="GA118" s="138">
        <f>FZ118*VLOOKUP('Données projet'!$B$17,'Paramètres'!$A$1:$I$89,3,0)*VLOOKUP('Données projet'!$B$17,'Paramètres'!$A$1:$I$89,5,0)</f>
        <v>0</v>
      </c>
      <c r="GB118" s="130">
        <f t="shared" si="50"/>
        <v>0</v>
      </c>
      <c r="GC118" s="141">
        <f t="shared" si="26"/>
        <v>0</v>
      </c>
      <c r="GD118" s="133">
        <f t="shared" si="27"/>
        <v>293.3333333</v>
      </c>
      <c r="GE118" s="133">
        <f>AVERAGE(OFFSET($GD$3,0,0,'Données projet'!$E$17+1,1))-AVERAGE(OFFSET($H$3,0,0,'Données projet'!$E$17+1,1))</f>
        <v>118.7368745</v>
      </c>
      <c r="GF118" s="133">
        <f t="shared" si="51"/>
        <v>135.1233677</v>
      </c>
      <c r="GG118" s="134">
        <f>IF(ISNA(VLOOKUP(A118,'Données projet'!$A$243:$I$263,3,0)),0,VLOOKUP(A118,'Données projet'!$A$243:$I$263,3,0))</f>
        <v>0</v>
      </c>
      <c r="GH118" s="134">
        <f>IF(ISNA(VLOOKUP(A118,'Données projet'!$A$243:$I$263,4,0)),0,VLOOKUP(A118,'Données projet'!$A$243:$I$263,4,0))</f>
        <v>0</v>
      </c>
      <c r="GI118" s="135">
        <f>IF(ISNA(VLOOKUP(A118,'Données projet'!$A$243:$I$263,5,0)),0%,VLOOKUP(A118,'Données projet'!$A$243:$I$263,5,0)*VLOOKUP('Données projet'!$B$17,'Paramètres'!$A$1:$I$89,7,0))</f>
        <v>0</v>
      </c>
      <c r="GJ118" s="135">
        <f>IF(ISNA(VLOOKUP(A118,'Données projet'!$A$243:$I$263,6,0)),0%,VLOOKUP(A118,'Données projet'!$A$243:$I$263,6,0)*VLOOKUP('Données projet'!$B$17,'Paramètres'!$A$1:$I$89,7,0))</f>
        <v>0</v>
      </c>
      <c r="GK118" s="135">
        <f>IF(ISNA(VLOOKUP(A118,'Données projet'!$A$243:$I$263,7,0)),0%,VLOOKUP(A118,'Données projet'!$A$243:$I$263,7,0))</f>
        <v>0</v>
      </c>
      <c r="GL118" s="142">
        <f>EXP(-LN(2)/35)*GL117+(1-EXP(-LN(2)/35))/(LN(2)/35)*GH118*GI118*VLOOKUP('Données projet'!$B$17,'Paramètres'!$A$1:$I$89,3,0)*0.475*44/12</f>
        <v>34.94750447</v>
      </c>
      <c r="GM118" s="142">
        <f>EXP(-LN(2)/25)*GM117+(1-EXP(-LN(2)/25))/(LN(2)/25)*Calculateur!GH118*Calculateur!GJ118*VLOOKUP('Données projet'!$B$17,'Paramètres'!$A$1:$I$89,3,0)*0.475*44/12</f>
        <v>0</v>
      </c>
      <c r="GN118" s="142">
        <f>EXP(-LN(2)/2)*GN117+(1-EXP(-LN(2)/2))/(LN(2)/2)*GH118*GK118*VLOOKUP('Données projet'!$B$17,'Paramètres'!$A$1:$I$89,3,0)*0.475*44/12</f>
        <v>0</v>
      </c>
      <c r="GO118" s="142">
        <f t="shared" si="28"/>
        <v>34.94750447</v>
      </c>
      <c r="GP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1" t="str">
        <f>VLOOKUP(A118,'Données projet'!$A$269:$I$289,2,0)</f>
        <v>#N/A</v>
      </c>
      <c r="GS118" s="131" t="str">
        <f>VLOOKUP(A118,'Données projet'!$A$269:$I$289,9,0)</f>
        <v>#N/A</v>
      </c>
      <c r="GT118" s="131" t="str">
        <f t="array" ref="GT118">INDEX(GS:GS,MIN(IF(ISNUMBER(GS118:GS314),ROW(GS118:GS314),"")))</f>
        <v/>
      </c>
      <c r="GU118" s="138">
        <f>IF('Données projet'!$A$270&gt;35,GU117+GT118-HC117,IF(A118&lt;'Données projet'!$A$270,$GR$205^A118,IF(A118='Données projet'!$A$270,'Données projet'!$B$270,GU117+GT118-HC117)))</f>
        <v>0</v>
      </c>
      <c r="GV118" s="138">
        <f>GU118*VLOOKUP('Données projet'!$B$18,'Paramètres'!$A$1:$I$89,3,0)*VLOOKUP('Données projet'!$B$18,'Paramètres'!$A$1:$I$89,5,0)</f>
        <v>0</v>
      </c>
      <c r="GW118" s="130" t="str">
        <f t="shared" si="52"/>
        <v>#NUM!</v>
      </c>
      <c r="GX118" s="141" t="str">
        <f t="shared" si="29"/>
        <v>#NUM!</v>
      </c>
      <c r="GY118" s="133" t="str">
        <f t="shared" si="30"/>
        <v>#NUM!</v>
      </c>
      <c r="GZ118" s="133">
        <f>AVERAGE(OFFSET($GY$3,0,0,'Données projet'!$E$18+1,1))-AVERAGE(OFFSET($H$3,0,0,'Données projet'!$E$18+1,1))</f>
        <v>100.5427875</v>
      </c>
      <c r="HA118" s="133">
        <f t="shared" si="53"/>
        <v>92.28663609</v>
      </c>
      <c r="HB118" s="134">
        <f>IF(ISNA(VLOOKUP(A118,'Données projet'!$A$269:$I$289,3,0)),0,VLOOKUP(A118,'Données projet'!$A$269:$I$289,3,0))</f>
        <v>0</v>
      </c>
      <c r="HC118" s="134">
        <f>IF(ISNA(VLOOKUP(A118,'Données projet'!$A$269:$I$289,4,0)),0,VLOOKUP(A118,'Données projet'!$A$269:$I$289,4,0))</f>
        <v>0</v>
      </c>
      <c r="HD118" s="135">
        <f>IF(ISNA(VLOOKUP(A118,'Données projet'!$A$269:$I$289,5,0)),0%,VLOOKUP(A118,'Données projet'!$A$269:$I$289,5,0)*VLOOKUP('Données projet'!$B$18,'Paramètres'!$A$1:$I$89,7,0))</f>
        <v>0</v>
      </c>
      <c r="HE118" s="135">
        <f>IF(ISNA(VLOOKUP(A118,'Données projet'!$A$269:$I$289,6,0)),0%,VLOOKUP(A118,'Données projet'!$A$269:$I$289,6,0)*VLOOKUP('Données projet'!$B$18,'Paramètres'!$A$1:$I$89,7,0))</f>
        <v>0</v>
      </c>
      <c r="HF118" s="135">
        <f>IF(ISNA(VLOOKUP(A118,'Données projet'!$A$269:$I$289,7,0)),0%,VLOOKUP(A118,'Données projet'!$A$269:$I$289,7,0))</f>
        <v>0</v>
      </c>
      <c r="HG118" s="142">
        <f>EXP(-LN(2)/35)*HG117+(1-EXP(-LN(2)/35))/(LN(2)/35)*HC118*HD118*VLOOKUP('Données projet'!$B$18,'Paramètres'!$A$1:$I$89,3,0)*0.475*44/12</f>
        <v>23.79851329</v>
      </c>
      <c r="HH118" s="142">
        <f>EXP(-LN(2)/25)*HH117+(1-EXP(-LN(2)/25))/(LN(2)/25)*Calculateur!HC118*Calculateur!HE118*VLOOKUP('Données projet'!$B$18,'Paramètres'!$A$1:$I$89,3,0)*0.475*44/12</f>
        <v>0</v>
      </c>
      <c r="HI118" s="142">
        <f>EXP(-LN(2)/2)*HI117+(1-EXP(-LN(2)/2))/(LN(2)/2)*HC118*HF118*VLOOKUP('Données projet'!$B$18,'Paramètres'!$A$1:$I$89,3,0)*0.475*44/12</f>
        <v>0</v>
      </c>
      <c r="HJ118" s="143">
        <f t="shared" si="31"/>
        <v>23.79851329</v>
      </c>
    </row>
    <row r="119" ht="15.75" customHeight="1">
      <c r="A119" s="125">
        <f t="shared" si="32"/>
        <v>116</v>
      </c>
      <c r="B119" s="126">
        <f>'Scénario référence'!$B$16*5+'Scénario référence'!$B$17*0+'Scénario référence'!$B$18*5</f>
        <v>0</v>
      </c>
      <c r="C119" s="140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119" s="127">
        <f t="shared" si="33"/>
        <v>18.00904002</v>
      </c>
      <c r="E11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7">
        <f>IF(OR('Scénario référence'!$F$8&gt;0,'Scénario référence'!$F$9&gt;0),('Scénario référence'!$F$8+'Scénario référence'!$F$9)*10,0)</f>
        <v>10</v>
      </c>
      <c r="G119" s="127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</v>
      </c>
      <c r="H119" s="128">
        <f t="shared" si="1"/>
        <v>435.009278</v>
      </c>
      <c r="I119" s="12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1" t="str">
        <f>VLOOKUP(A119,'Données projet'!$A$35:$I$55,2,0)</f>
        <v>#N/A</v>
      </c>
      <c r="L119" s="131" t="str">
        <f>VLOOKUP(A119,'Données projet'!$A$35:$I$55,9,0)</f>
        <v>#N/A</v>
      </c>
      <c r="M119" s="131" t="str">
        <f t="array" ref="M119">INDEX(L:L,MIN(IF(ISNUMBER(L119:L315),ROW(L119:L315),"")))</f>
        <v/>
      </c>
      <c r="N119" s="130">
        <f>IF('Données projet'!$A$36&gt;35,N118+M119-V118,IF(A119&lt;'Données projet'!$A$36,$K$205^A119,IF(A119='Données projet'!$A$36,'Données projet'!$B$36,N118+M119-V118)))</f>
        <v>0</v>
      </c>
      <c r="O119" s="130">
        <f>N119*VLOOKUP('Données projet'!$B$9,'Paramètres'!$A$1:$I$89,3,0)*VLOOKUP('Données projet'!$B$9,'Paramètres'!$A$1:$I$89,5,0)</f>
        <v>0</v>
      </c>
      <c r="P119" s="130">
        <f t="shared" si="34"/>
        <v>0</v>
      </c>
      <c r="Q119" s="141">
        <f t="shared" si="2"/>
        <v>0</v>
      </c>
      <c r="R119" s="133">
        <f t="shared" si="3"/>
        <v>293.3333333</v>
      </c>
      <c r="S119" s="133">
        <f>AVERAGE(OFFSET($R$3,0,0,'Données projet'!$E$9+1,1))-AVERAGE(OFFSET($H$3,0,0,'Données projet'!$E$9+1,1))</f>
        <v>126.9946492</v>
      </c>
      <c r="T119" s="133">
        <f t="shared" si="35"/>
        <v>140.039049</v>
      </c>
      <c r="U119" s="134">
        <f>IF(ISNA(VLOOKUP(A119,'Données projet'!$A$35:$I$55,3,0)),0,VLOOKUP(A119,'Données projet'!$A$35:$I$55,3,0))</f>
        <v>0</v>
      </c>
      <c r="V119" s="134">
        <f>IF(ISNA(VLOOKUP(A119,'Données projet'!$A$35:$I$55,4,0)),0,VLOOKUP(A119,'Données projet'!$A$35:$I$55,4,0))</f>
        <v>0</v>
      </c>
      <c r="W119" s="135">
        <f>IF(ISNA(VLOOKUP(A119,'Données projet'!$A$35:$I$55,5,0)),0%,VLOOKUP(A119,'Données projet'!$A$35:$I$55,5,0)*VLOOKUP('Données projet'!$B$9,'Paramètres'!$A$1:$I$89,7,0))</f>
        <v>0</v>
      </c>
      <c r="X119" s="135">
        <f>IF(ISNA(VLOOKUP(A119,'Données projet'!$A$35:$I$55,6,0)),0%,VLOOKUP(A119,'Données projet'!$A$35:$I$55,6,0)*VLOOKUP('Données projet'!$B$9,'Paramètres'!$A$1:$I$89,7,0))</f>
        <v>0</v>
      </c>
      <c r="Y119" s="135">
        <f>IF(ISNA(VLOOKUP(A119,'Données projet'!$A$35:$I$55,7,0)),0%,VLOOKUP(A119,'Données projet'!$A$35:$I$55,7,0))</f>
        <v>0</v>
      </c>
      <c r="Z119" s="142">
        <f>EXP(-LN(2)/35)*Z118+(1-EXP(-LN(2)/35))/(LN(2)/35)*V119*W119*VLOOKUP('Données projet'!$B$9,'Paramètres'!$A$1:$I$89,3,0)*0.475*44/12</f>
        <v>35.04260906</v>
      </c>
      <c r="AA119" s="142">
        <f>EXP(-LN(2)/25)*AA118+(1-EXP(-LN(2)/25))/(LN(2)/25)*Calculateur!V119*Calculateur!X119*VLOOKUP('Données projet'!$B$9,'Paramètres'!$A$1:$I$89,3,0)*0.475*44/12</f>
        <v>4.919303936</v>
      </c>
      <c r="AB119" s="142">
        <f>EXP(-LN(2)/2)*AB118+(1-EXP(-LN(2)/2))/(LN(2)/2)*V119*Y119*VLOOKUP('Données projet'!$B$9,'Paramètres'!$A$1:$I$89,3,0)*0.475*44/12</f>
        <v>0.00000007074092034</v>
      </c>
      <c r="AC119" s="143">
        <f t="shared" si="4"/>
        <v>39.96191307</v>
      </c>
      <c r="AD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1" t="str">
        <f>VLOOKUP(A119,'Données projet'!$A$61:$I$81,2,0)</f>
        <v>#N/A</v>
      </c>
      <c r="AG119" s="131" t="str">
        <f>VLOOKUP(A119,'Données projet'!$A$61:$I$81,9,0)</f>
        <v>#N/A</v>
      </c>
      <c r="AH119" s="131" t="str">
        <f t="array" ref="AH119">INDEX(AG:AG,MIN(IF(ISNUMBER(AG119:AG315),ROW(AG119:AG315),"")))</f>
        <v/>
      </c>
      <c r="AI119" s="130">
        <f>IF('Données projet'!$A$62&gt;35,AI118+AH119-AQ118,IF(A119&lt;'Données projet'!$A$62,$AF$205^A119,IF(A119='Données projet'!$A$62,'Données projet'!$B$62,AI118+AH119-AQ118)))</f>
        <v>0</v>
      </c>
      <c r="AJ119" s="130">
        <f>AI119*VLOOKUP('Données projet'!$B$10,'Paramètres'!$A$1:$I$89,3,0)*VLOOKUP('Données projet'!$B$10,'Paramètres'!$A$1:$I$89,5,0)</f>
        <v>0</v>
      </c>
      <c r="AK119" s="130" t="str">
        <f t="shared" si="36"/>
        <v>#NUM!</v>
      </c>
      <c r="AL119" s="141" t="str">
        <f t="shared" si="5"/>
        <v>#NUM!</v>
      </c>
      <c r="AM119" s="133" t="str">
        <f t="shared" si="6"/>
        <v>#NUM!</v>
      </c>
      <c r="AN119" s="133">
        <f>AVERAGE(OFFSET($AM$3,0,0,'Données projet'!$E$10+1,1))-AVERAGE(OFFSET($H$3,0,0,'Données projet'!$E$10+1,1))</f>
        <v>196.874484</v>
      </c>
      <c r="AO119" s="133">
        <f t="shared" si="37"/>
        <v>217.5750859</v>
      </c>
      <c r="AP119" s="134">
        <f>IF(ISNA(VLOOKUP(A119,'Données projet'!$A$61:$I$81,3,0)),0,VLOOKUP(A119,'Données projet'!$A$61:$I$81,3,0))</f>
        <v>0</v>
      </c>
      <c r="AQ119" s="134">
        <f>IF(ISNA(VLOOKUP(A119,'Données projet'!$A$61:$I$81,4,0)),0,VLOOKUP(A119,'Données projet'!$A$61:$I$81,4,0))</f>
        <v>0</v>
      </c>
      <c r="AR119" s="135">
        <f>IF(ISNA(VLOOKUP(A119,'Données projet'!$A$61:$I$81,5,0)),0%,VLOOKUP(A119,'Données projet'!$A$61:$I$81,5,0)*VLOOKUP('Données projet'!$B$10,'Paramètres'!$A$1:$I$89,7,0))</f>
        <v>0</v>
      </c>
      <c r="AS119" s="135">
        <f>IF(ISNA(VLOOKUP(A119,'Données projet'!$A$61:$I$81,6,0)),0%,VLOOKUP(A119,'Données projet'!$A$61:$I$81,6,0)*VLOOKUP('Données projet'!$B$10,'Paramètres'!$A$1:$I$89,7,0))</f>
        <v>0</v>
      </c>
      <c r="AT119" s="135">
        <f>IF(ISNA(VLOOKUP(A119,'Données projet'!$A$61:$I$81,7,0)),0%,VLOOKUP(A119,'Données projet'!$A$61:$I$81,7,0))</f>
        <v>0</v>
      </c>
      <c r="AU119" s="142">
        <f>EXP(-LN(2)/35)*AU118+(1-EXP(-LN(2)/35))/(LN(2)/35)*AQ119*AR119*VLOOKUP('Données projet'!$B$10,'Paramètres'!$A$1:$I$89,3,0)*0.475*44/12</f>
        <v>48.70823125</v>
      </c>
      <c r="AV119" s="142">
        <f>EXP(-LN(2)/25)*AV118+(1-EXP(-LN(2)/25))/(LN(2)/25)*Calculateur!AQ119*Calculateur!AS119*VLOOKUP('Données projet'!$B$10,'Paramètres'!$A$1:$I$89,3,0)*0.475*44/12</f>
        <v>7.563436374</v>
      </c>
      <c r="AW119" s="142">
        <f>EXP(-LN(2)/2)*AW118+(1-EXP(-LN(2)/2))/(LN(2)/2)*AQ119*AT119*VLOOKUP('Données projet'!$B$10,'Paramètres'!$A$1:$I$89,3,0)*0.475*44/12</f>
        <v>0.0000000986276955</v>
      </c>
      <c r="AX119" s="142">
        <f t="shared" si="7"/>
        <v>56.27166772</v>
      </c>
      <c r="AY119" s="13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1" t="str">
        <f>VLOOKUP(A119,'Données projet'!$A$87:$I$107,2,0)</f>
        <v>#N/A</v>
      </c>
      <c r="BB119" s="131" t="str">
        <f>VLOOKUP(A119,'Données projet'!$A$87:$I$107,9,0)</f>
        <v>#N/A</v>
      </c>
      <c r="BC119" s="131" t="str">
        <f t="array" ref="BC119">INDEX(BB:BB,MIN(IF(ISNUMBER(BB119:BB315),ROW(BB119:BB315),"")))</f>
        <v/>
      </c>
      <c r="BD119" s="130">
        <f>IF('Données projet'!$A$88&gt;35,BD118+BC119-BL118,IF(A119&lt;'Données projet'!$A$88,$BA$205^A119,IF(A119='Données projet'!$A$88,'Données projet'!$B$88,BD118+BC119-BL118)))</f>
        <v>0</v>
      </c>
      <c r="BE119" s="130">
        <f>BD119*VLOOKUP('Données projet'!$B$11,'Paramètres'!$A$1:$I$89,3,0)*VLOOKUP('Données projet'!$B$11,'Paramètres'!$A$1:$I$89,5,0)</f>
        <v>0</v>
      </c>
      <c r="BF119" s="130" t="str">
        <f t="shared" si="38"/>
        <v>#NUM!</v>
      </c>
      <c r="BG119" s="141" t="str">
        <f t="shared" si="8"/>
        <v>#NUM!</v>
      </c>
      <c r="BH119" s="133" t="str">
        <f t="shared" si="9"/>
        <v>#NUM!</v>
      </c>
      <c r="BI119" s="133">
        <f>AVERAGE(OFFSET($BH$3,0,0,'Données projet'!$E$11+1,1))-AVERAGE(OFFSET($H$3,0,0,'Données projet'!$E$11+1,1))</f>
        <v>134.0948534</v>
      </c>
      <c r="BJ119" s="133">
        <f t="shared" si="39"/>
        <v>108.4102536</v>
      </c>
      <c r="BK119" s="134">
        <f>IF(ISNA(VLOOKUP(A119,'Données projet'!$A$87:$I$107,3,0)),0,VLOOKUP(A119,'Données projet'!$A$87:$I$107,3,0))</f>
        <v>0</v>
      </c>
      <c r="BL119" s="134">
        <f>IF(ISNA(VLOOKUP(A119,'Données projet'!$A$87:$I$107,4,0)),0,VLOOKUP(A119,'Données projet'!$A$87:$I$107,4,0))</f>
        <v>0</v>
      </c>
      <c r="BM119" s="135">
        <f>IF(ISNA(VLOOKUP(A119,'Données projet'!$A$87:$I$107,5,0)),0%,VLOOKUP(A119,'Données projet'!$A$87:$I$107,5,0)*VLOOKUP('Données projet'!$B$11,'Paramètres'!$A$1:$I$89,7,0))</f>
        <v>0</v>
      </c>
      <c r="BN119" s="135">
        <f>IF(ISNA(VLOOKUP(A119,'Données projet'!$A$87:$I$107,6,0)),0%,VLOOKUP(A119,'Données projet'!$A$87:$I$107,6,0)*VLOOKUP('Données projet'!$B$11,'Paramètres'!$A$1:$I$89,7,0))</f>
        <v>0</v>
      </c>
      <c r="BO119" s="135">
        <f>IF(ISNA(VLOOKUP(A119,'Données projet'!$A$87:$I$107,7,0)),0%,VLOOKUP(A119,'Données projet'!$A$87:$I$107,7,0))</f>
        <v>0</v>
      </c>
      <c r="BP119" s="142">
        <f>EXP(-LN(2)/35)*BP118+(1-EXP(-LN(2)/35))/(LN(2)/35)*BL119*BM119*VLOOKUP('Données projet'!$B$11,'Paramètres'!$A$1:$I$89,3,0)*0.475*44/12</f>
        <v>67.37258049</v>
      </c>
      <c r="BQ119" s="142">
        <f>EXP(-LN(2)/25)*BQ118+(1-EXP(-LN(2)/25))/(LN(2)/25)*Calculateur!BL119*Calculateur!BN119*VLOOKUP('Données projet'!$B$11,'Paramètres'!$A$1:$I$89,3,0)*0.475*44/12</f>
        <v>4.771022159</v>
      </c>
      <c r="BR119" s="142">
        <f>EXP(-LN(2)/2)*BR118+(1-EXP(-LN(2)/2))/(LN(2)/2)*BL119*BO119*VLOOKUP('Données projet'!$B$11,'Paramètres'!$A$1:$I$89,3,0)*0.475*44/12</f>
        <v>0.000001315551916</v>
      </c>
      <c r="BS119" s="143">
        <f t="shared" si="10"/>
        <v>72.14360397</v>
      </c>
      <c r="BT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1" t="str">
        <f>VLOOKUP(A119,'Données projet'!$A$113:$I$133,2,0)</f>
        <v>#N/A</v>
      </c>
      <c r="BW119" s="131" t="str">
        <f>VLOOKUP(A119,'Données projet'!$A$113:$I$133,9,0)</f>
        <v>#N/A</v>
      </c>
      <c r="BX119" s="131" t="str">
        <f t="array" ref="BX119">INDEX(BW:BW,MIN(IF(ISNUMBER(BW119:BW315),ROW(BW119:BW315),"")))</f>
        <v/>
      </c>
      <c r="BY119" s="130">
        <f>IF('Données projet'!$A$114&gt;35,BY118+BX119-CG118,IF(A119&lt;'Données projet'!$A$114,$BV$205^A119,IF(A119='Données projet'!$A$114,'Données projet'!$B$114,BY118+BX119-CG118)))</f>
        <v>0</v>
      </c>
      <c r="BZ119" s="130">
        <f>BY119*VLOOKUP('Données projet'!$B$12,'Paramètres'!$A$1:$I$89,3,0)*VLOOKUP('Données projet'!$B$12,'Paramètres'!$A$1:$I$89,5,0)</f>
        <v>0</v>
      </c>
      <c r="CA119" s="130" t="str">
        <f t="shared" si="40"/>
        <v>#NUM!</v>
      </c>
      <c r="CB119" s="141" t="str">
        <f t="shared" si="11"/>
        <v>#NUM!</v>
      </c>
      <c r="CC119" s="133" t="str">
        <f t="shared" si="12"/>
        <v>#NUM!</v>
      </c>
      <c r="CD119" s="133">
        <f>AVERAGE(OFFSET($CC$3,0,0,'Données projet'!$E$12+1,1))-AVERAGE(OFFSET($H$3,0,0,'Données projet'!$E$12+1,1))</f>
        <v>258.1672054</v>
      </c>
      <c r="CE119" s="133">
        <f t="shared" si="41"/>
        <v>296.0724261</v>
      </c>
      <c r="CF119" s="134">
        <f>IF(ISNA(VLOOKUP(A119,'Données projet'!$A$113:$I$133,3,0)),0,VLOOKUP(A119,'Données projet'!$A$113:$I$133,3,0))</f>
        <v>0</v>
      </c>
      <c r="CG119" s="134">
        <f>IF(ISNA(VLOOKUP(A119,'Données projet'!$A$113:$I$133,4,0)),0,VLOOKUP(A119,'Données projet'!$A$113:$I$133,4,0))</f>
        <v>0</v>
      </c>
      <c r="CH119" s="135">
        <f>IF(ISNA(VLOOKUP(A119,'Données projet'!$A$113:$I$133,5,0)),0%,VLOOKUP(A119,'Données projet'!$A$113:$I$133,5,0)*VLOOKUP('Données projet'!$B$12,'Paramètres'!$A$1:$I$89,7,0))</f>
        <v>0</v>
      </c>
      <c r="CI119" s="135">
        <f>IF(ISNA(VLOOKUP(A119,'Données projet'!$A$113:$I$133,6,0)),0%,VLOOKUP(A119,'Données projet'!$A$113:$I$133,6,0)*VLOOKUP('Données projet'!$B$12,'Paramètres'!$A$1:$I$89,7,0))</f>
        <v>0</v>
      </c>
      <c r="CJ119" s="135">
        <f>IF(ISNA(VLOOKUP(A119,'Données projet'!$A$113:$I$133,7,0)),0%,VLOOKUP(A119,'Données projet'!$A$113:$I$133,7,0))</f>
        <v>0</v>
      </c>
      <c r="CK119" s="142">
        <f>EXP(-LN(2)/35)*CK118+(1-EXP(-LN(2)/35))/(LN(2)/35)*CG119*CH119*VLOOKUP('Données projet'!$B$12,'Paramètres'!$A$1:$I$89,3,0)*0.475*44/12</f>
        <v>85.17955186</v>
      </c>
      <c r="CL119" s="142">
        <f>EXP(-LN(2)/25)*CL118+(1-EXP(-LN(2)/25))/(LN(2)/25)*Calculateur!CG119*Calculateur!CI119*VLOOKUP('Données projet'!$B$12,'Paramètres'!$A$1:$I$89,3,0)*0.475*44/12</f>
        <v>8.368643704</v>
      </c>
      <c r="CM119" s="142">
        <f>EXP(-LN(2)/2)*CM118+(1-EXP(-LN(2)/2))/(LN(2)/2)*CG119*CJ119*VLOOKUP('Données projet'!$B$12,'Paramètres'!$A$1:$I$89,3,0)*0.475*44/12</f>
        <v>0.00000005542264946</v>
      </c>
      <c r="CN119" s="143">
        <f t="shared" si="13"/>
        <v>93.54819562</v>
      </c>
      <c r="CO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1" t="str">
        <f>VLOOKUP(A119,'Données projet'!$A$139:$I$159,2,0)</f>
        <v>#N/A</v>
      </c>
      <c r="CR119" s="131" t="str">
        <f>VLOOKUP(A119,'Données projet'!$A$139:$I$159,9,0)</f>
        <v>#N/A</v>
      </c>
      <c r="CS119" s="130">
        <f t="array" ref="CS119">INDEX(CR:CR,MIN(IF(ISNUMBER(CR119:CR315),ROW(CR119:CR315),"")))</f>
        <v>1.5</v>
      </c>
      <c r="CT119" s="138">
        <f>IF('Données projet'!$A$140&gt;35,CT118+CS119-DB118,IF(A119&lt;'Données projet'!$A$140,$CQ$205^A119,IF(A119='Données projet'!$A$140,'Données projet'!$B$140,CT118+CS119-DB118)))</f>
        <v>215</v>
      </c>
      <c r="CU119" s="138">
        <f>CT119*VLOOKUP('Données projet'!$B$13,'Paramètres'!$A$1:$I$89,3,0)*VLOOKUP('Données projet'!$B$13,'Paramètres'!$A$1:$I$89,5,0)</f>
        <v>218.01</v>
      </c>
      <c r="CV119" s="130">
        <f t="shared" si="42"/>
        <v>53.68214059</v>
      </c>
      <c r="CW119" s="141">
        <f t="shared" si="14"/>
        <v>473.1971449</v>
      </c>
      <c r="CX119" s="133">
        <f t="shared" si="15"/>
        <v>766.5304782</v>
      </c>
      <c r="CY119" s="133">
        <f>AVERAGE(OFFSET($CX$3,0,0,'Données projet'!$E$13+1,1))-AVERAGE(OFFSET($H$3,0,0,'Données projet'!$E$13+1,1))</f>
        <v>223.783507</v>
      </c>
      <c r="CZ119" s="133">
        <f t="shared" si="43"/>
        <v>84.92349117</v>
      </c>
      <c r="DA119" s="134">
        <f>IF(ISNA(VLOOKUP(A119,'Données projet'!$A$139:$I$159,3,0)),0,VLOOKUP(A119,'Données projet'!$A$139:$I$159,3,0))</f>
        <v>0</v>
      </c>
      <c r="DB119" s="134">
        <f>IF(ISNA(VLOOKUP(A119,'Données projet'!$A$139:$I$159,4,0)),0,VLOOKUP(A119,'Données projet'!$A$139:$I$159,4,0))</f>
        <v>0</v>
      </c>
      <c r="DC119" s="135">
        <f>IF(ISNA(VLOOKUP(A119,'Données projet'!$A$139:$I$159,5,0)),0%,VLOOKUP(A119,'Données projet'!$A$139:$I$159,5,0)*VLOOKUP('Données projet'!$B$13,'Paramètres'!$A$1:$I$89,7,0))</f>
        <v>0</v>
      </c>
      <c r="DD119" s="135">
        <f>IF(ISNA(VLOOKUP(A119,'Données projet'!$A$139:$I$159,6,0)),0%,VLOOKUP(A119,'Données projet'!$A$139:$I$159,6,0)*VLOOKUP('Données projet'!$B$13,'Paramètres'!$A$1:$I$89,7,0))</f>
        <v>0</v>
      </c>
      <c r="DE119" s="135">
        <f>IF(ISNA(VLOOKUP(A119,'Données projet'!$A$139:$I$159,7,0)),0%,VLOOKUP(A119,'Données projet'!$A$139:$I$159,7,0))</f>
        <v>0</v>
      </c>
      <c r="DF119" s="142">
        <f>EXP(-LN(2)/35)*DF118+(1-EXP(-LN(2)/35))/(LN(2)/35)*DB119*DC119*VLOOKUP('Données projet'!$B$13,'Paramètres'!$A$1:$I$89,3,0)*0.475*44/12</f>
        <v>19.13559717</v>
      </c>
      <c r="DG119" s="142">
        <f>EXP(-LN(2)/25)*DG118+(1-EXP(-LN(2)/25))/(LN(2)/25)*Calculateur!DB119*Calculateur!DD119*VLOOKUP('Données projet'!$B$13,'Paramètres'!$A$1:$I$89,3,0)*0.475*44/12</f>
        <v>0</v>
      </c>
      <c r="DH119" s="142">
        <f>EXP(-LN(2)/2)*DH118+(1-EXP(-LN(2)/2))/(LN(2)/2)*DB119*DE119*VLOOKUP('Données projet'!$B$13,'Paramètres'!$A$1:$I$89,3,0)*0.475*44/12</f>
        <v>0</v>
      </c>
      <c r="DI119" s="143">
        <f t="shared" si="16"/>
        <v>19.13559717</v>
      </c>
      <c r="DJ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1" t="str">
        <f>VLOOKUP(A119,'Données projet'!$A$165:$I$185,2,0)</f>
        <v>#N/A</v>
      </c>
      <c r="DM119" s="131" t="str">
        <f>VLOOKUP(A119,'Données projet'!$A$165:$I$185,9,0)</f>
        <v>#N/A</v>
      </c>
      <c r="DN119" s="131">
        <f t="array" ref="DN119">INDEX(DM:DM,MIN(IF(ISNUMBER(DM119:DM315),ROW(DM119:DM315),"")))</f>
        <v>1.9</v>
      </c>
      <c r="DO119" s="138">
        <f>IF('Données projet'!$A$166&gt;35,DO118+DN119-DW118,IF(A119&lt;'Données projet'!$A$166,$DL$205^A119,IF(A119='Données projet'!$A$166,'Données projet'!$B$166,DO118+DN119-DW118)))</f>
        <v>277.4</v>
      </c>
      <c r="DP119" s="138">
        <f>DO119*VLOOKUP('Données projet'!$B$14,'Paramètres'!$A$1:$I$89,3,0)*VLOOKUP('Données projet'!$B$14,'Paramètres'!$A$1:$I$89,5,0)</f>
        <v>250.99152</v>
      </c>
      <c r="DQ119" s="130">
        <f t="shared" si="44"/>
        <v>60.798211</v>
      </c>
      <c r="DR119" s="141">
        <f t="shared" si="17"/>
        <v>543.0337815</v>
      </c>
      <c r="DS119" s="133">
        <f t="shared" si="18"/>
        <v>836.3671148</v>
      </c>
      <c r="DT119" s="133">
        <f>AVERAGE(OFFSET($DS$3,0,0,'Données projet'!$E$14+1,1))-AVERAGE(OFFSET($H$3,0,0,'Données projet'!$E$14+1,1))</f>
        <v>287.9334714</v>
      </c>
      <c r="DU119" s="133">
        <f t="shared" si="45"/>
        <v>156.6796502</v>
      </c>
      <c r="DV119" s="134">
        <f>IF(ISNA(VLOOKUP(A119,'Données projet'!$A$165:$I$185,3,0)),0,VLOOKUP(A119,'Données projet'!$A$165:$I$185,3,0))</f>
        <v>0</v>
      </c>
      <c r="DW119" s="134">
        <f>IF(ISNA(VLOOKUP(A119,'Données projet'!$A$165:$I$185,4,0)),0,VLOOKUP(A119,'Données projet'!$A$165:$I$185,4,0))</f>
        <v>0</v>
      </c>
      <c r="DX119" s="135">
        <f>IF(ISNA(VLOOKUP(A119,'Données projet'!$A$165:$I$185,5,0)),0%,VLOOKUP(A119,'Données projet'!$A$165:$I$185,5,0)*VLOOKUP('Données projet'!$B$14,'Paramètres'!$A$1:$I$89,7,0))</f>
        <v>0</v>
      </c>
      <c r="DY119" s="135">
        <f>IF(ISNA(VLOOKUP(A119,'Données projet'!$A$165:$I$185,6,0)),0%,VLOOKUP(A119,'Données projet'!$A$165:$I$185,6,0)*VLOOKUP('Données projet'!$B$14,'Paramètres'!$A$1:$I$89,7,0))</f>
        <v>0</v>
      </c>
      <c r="DZ119" s="135">
        <f>IF(ISNA(VLOOKUP(A119,'Données projet'!$A$165:$I$185,7,0)),0%,VLOOKUP(A119,'Données projet'!$A$165:$I$185,7,0))</f>
        <v>0</v>
      </c>
      <c r="EA119" s="142">
        <f>EXP(-LN(2)/35)*EA118+(1-EXP(-LN(2)/35))/(LN(2)/35)*DW119*DX119*VLOOKUP('Données projet'!$B$14,'Paramètres'!$A$1:$I$89,3,0)*0.475*44/12</f>
        <v>28.49326105</v>
      </c>
      <c r="EB119" s="142">
        <f>EXP(-LN(2)/25)*EB118+(1-EXP(-LN(2)/25))/(LN(2)/25)*Calculateur!DW119*Calculateur!DY119*VLOOKUP('Données projet'!$B$14,'Paramètres'!$A$1:$I$89,3,0)*0.475*44/12</f>
        <v>0</v>
      </c>
      <c r="EC119" s="142">
        <f>EXP(-LN(2)/2)*EC118+(1-EXP(-LN(2)/2))/(LN(2)/2)*DW119*DZ119*VLOOKUP('Données projet'!$B$14,'Paramètres'!$A$1:$I$89,3,0)*0.475*44/12</f>
        <v>0</v>
      </c>
      <c r="ED119" s="143">
        <f t="shared" si="19"/>
        <v>28.49326105</v>
      </c>
      <c r="EE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1" t="str">
        <f>VLOOKUP(A119,'Données projet'!$A$191:$I$211,2,0)</f>
        <v>#N/A</v>
      </c>
      <c r="EH119" s="131" t="str">
        <f>VLOOKUP(A119,'Données projet'!$A$191:$I$211,9,0)</f>
        <v>#N/A</v>
      </c>
      <c r="EI119" s="131" t="str">
        <f t="array" ref="EI119">INDEX(EH:EH,MIN(IF(ISNUMBER(EH119:EH315),ROW(EH119:EH315),"")))</f>
        <v/>
      </c>
      <c r="EJ119" s="138">
        <f>IF('Données projet'!$A$192&gt;35,EJ118+EI119-ER118,IF(A119&lt;'Données projet'!$A$192,$EG$205^A119,IF(A119='Données projet'!$A$192,'Données projet'!$B$192,EJ118+EI119-ER118)))</f>
        <v>0</v>
      </c>
      <c r="EK119" s="138">
        <f>EJ119*VLOOKUP('Données projet'!$B$15,'Paramètres'!$A$1:$I$89,3,0)*VLOOKUP('Données projet'!$B$15,'Paramètres'!$A$1:$I$89,5,0)</f>
        <v>0</v>
      </c>
      <c r="EL119" s="130" t="str">
        <f t="shared" si="46"/>
        <v>#NUM!</v>
      </c>
      <c r="EM119" s="141" t="str">
        <f t="shared" si="20"/>
        <v>#NUM!</v>
      </c>
      <c r="EN119" s="133" t="str">
        <f t="shared" si="21"/>
        <v>#NUM!</v>
      </c>
      <c r="EO119" s="133">
        <f>AVERAGE(OFFSET($EN$3,0,0,'Données projet'!$E$15+1,1))-AVERAGE(OFFSET($H$3,0,0,'Données projet'!$E$15+1,1))</f>
        <v>130.3193339</v>
      </c>
      <c r="EP119" s="133">
        <f t="shared" si="47"/>
        <v>82.22784365</v>
      </c>
      <c r="EQ119" s="134">
        <f>IF(ISNA(VLOOKUP(A119,'Données projet'!$A$191:$I$211,3,0)),0,VLOOKUP(A119,'Données projet'!$A$191:$I$211,3,0))</f>
        <v>0</v>
      </c>
      <c r="ER119" s="134">
        <f>IF(ISNA(VLOOKUP(A119,'Données projet'!$A$191:$I$211,4,0)),0,VLOOKUP(A119,'Données projet'!$A$191:$I$211,4,0))</f>
        <v>0</v>
      </c>
      <c r="ES119" s="135">
        <f>IF(ISNA(VLOOKUP(A119,'Données projet'!$A$191:$I$211,5,0)),0%,VLOOKUP(A119,'Données projet'!$A$191:$I$211,5,0)*VLOOKUP('Données projet'!$B$15,'Paramètres'!$A$1:$I$89,7,0))</f>
        <v>0</v>
      </c>
      <c r="ET119" s="135">
        <f>IF(ISNA(VLOOKUP(A119,'Données projet'!$A$191:$I$211,6,0)),0%,VLOOKUP(A119,'Données projet'!$A$191:$I$211,6,0)*VLOOKUP('Données projet'!$B$15,'Paramètres'!$A$1:$I$89,7,0))</f>
        <v>0</v>
      </c>
      <c r="EU119" s="135">
        <f>IF(ISNA(VLOOKUP(A119,'Données projet'!$A$191:$I$211,7,0)),0%,VLOOKUP(A119,'Données projet'!$A$191:$I$211,7,0))</f>
        <v>0</v>
      </c>
      <c r="EV119" s="142">
        <f>EXP(-LN(2)/35)*EV118+(1-EXP(-LN(2)/35))/(LN(2)/35)*ER119*ES119*VLOOKUP('Données projet'!$B$15,'Paramètres'!$A$1:$I$89,3,0)*0.475*44/12</f>
        <v>52.08553383</v>
      </c>
      <c r="EW119" s="142">
        <f>EXP(-LN(2)/25)*EW118+(1-EXP(-LN(2)/25))/(LN(2)/25)*Calculateur!ER119*Calculateur!ET119*VLOOKUP('Données projet'!$B$15,'Paramètres'!$A$1:$I$89,3,0)*0.475*44/12</f>
        <v>0</v>
      </c>
      <c r="EX119" s="142">
        <f>EXP(-LN(2)/2)*EX118+(1-EXP(-LN(2)/2))/(LN(2)/2)*ER119*EU119*VLOOKUP('Données projet'!$B$15,'Paramètres'!$A$1:$I$89,3,0)*0.475*44/12</f>
        <v>0</v>
      </c>
      <c r="EY119" s="143">
        <f t="shared" si="22"/>
        <v>52.08553383</v>
      </c>
      <c r="EZ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1" t="str">
        <f>VLOOKUP(A119,'Données projet'!$A$217:$I$237,2,0)</f>
        <v>#N/A</v>
      </c>
      <c r="FC119" s="131" t="str">
        <f>VLOOKUP(A119,'Données projet'!$A$217:$I$237,9,0)</f>
        <v>#N/A</v>
      </c>
      <c r="FD119" s="131" t="str">
        <f t="array" ref="FD119">INDEX(FC:FC,MIN(IF(ISNUMBER(FC119:FC315),ROW(FC119:FC315),"")))</f>
        <v/>
      </c>
      <c r="FE119" s="130">
        <f>IF('Données projet'!$A$218&gt;35,FE118+FD119-FM118,IF(A119&lt;'Données projet'!$A$218,$FB$205^A119,IF(A119='Données projet'!$A$218,'Données projet'!$B$218,FE118+FD119-FM118)))</f>
        <v>0</v>
      </c>
      <c r="FF119" s="138">
        <f>FE119*VLOOKUP('Données projet'!$B$16,'Paramètres'!$A$1:$I$89,3,0)*VLOOKUP('Données projet'!$B$16,'Paramètres'!$A$1:$I$89,5,0)</f>
        <v>0</v>
      </c>
      <c r="FG119" s="130">
        <f t="shared" si="48"/>
        <v>0</v>
      </c>
      <c r="FH119" s="141">
        <f t="shared" si="23"/>
        <v>0</v>
      </c>
      <c r="FI119" s="133">
        <f t="shared" si="24"/>
        <v>293.3333333</v>
      </c>
      <c r="FJ119" s="133">
        <f>AVERAGE(OFFSET($FI$3,0,0,'Données projet'!$E$16+1,1))-AVERAGE(OFFSET($H$3,0,0,'Données projet'!$E$16+1,1))</f>
        <v>305.6252353</v>
      </c>
      <c r="FK119" s="133">
        <f t="shared" si="49"/>
        <v>331.397916</v>
      </c>
      <c r="FL119" s="134">
        <f>IF(ISNA(VLOOKUP(A119,'Données projet'!$A$217:$I$237,3,0)),0,VLOOKUP(A119,'Données projet'!$A$217:$I$237,3,0))</f>
        <v>0</v>
      </c>
      <c r="FM119" s="134">
        <f>IF(ISNA(VLOOKUP(A119,'Données projet'!$A$217:$I$237,4,0)),0,VLOOKUP(A119,'Données projet'!$A$217:$I$237,4,0))</f>
        <v>0</v>
      </c>
      <c r="FN119" s="135">
        <f>IF(ISNA(VLOOKUP(A119,'Données projet'!$A$217:$I$237,5,0)),0%,VLOOKUP(A119,'Données projet'!$A$217:$I$237,5,0)*VLOOKUP('Données projet'!$B$16,'Paramètres'!$A$1:$I$89,7,0))</f>
        <v>0</v>
      </c>
      <c r="FO119" s="135">
        <f>IF(ISNA(VLOOKUP(A119,'Données projet'!$A$217:$I$237,6,0)),0%,VLOOKUP(A119,'Données projet'!$A$217:$I$237,6,0)*VLOOKUP('Données projet'!$B$16,'Paramètres'!$A$1:$I$89,7,0))</f>
        <v>0</v>
      </c>
      <c r="FP119" s="135">
        <f>IF(ISNA(VLOOKUP(A119,'Données projet'!$A$217:$I$237,7,0)),0%,VLOOKUP(A119,'Données projet'!$A$217:$I$237,7,0))</f>
        <v>0</v>
      </c>
      <c r="FQ119" s="142">
        <f>EXP(-LN(2)/35)*FQ118+(1-EXP(-LN(2)/35))/(LN(2)/35)*FM119*FN119*VLOOKUP('Données projet'!$B$16,'Paramètres'!$A$1:$I$89,3,0)*0.475*44/12</f>
        <v>32.43000995</v>
      </c>
      <c r="FR119" s="142">
        <f>EXP(-LN(2)/25)*FR118+(1-EXP(-LN(2)/25))/(LN(2)/25)*Calculateur!FM119*Calculateur!FO119*VLOOKUP('Données projet'!$B$16,'Paramètres'!$A$1:$I$89,3,0)*0.475*44/12</f>
        <v>0</v>
      </c>
      <c r="FS119" s="142">
        <f>EXP(-LN(2)/2)*FS118+(1-EXP(-LN(2)/2))/(LN(2)/2)*FM119*FP119*VLOOKUP('Données projet'!$B$16,'Paramètres'!$A$1:$I$89,3,0)*0.475*44/12</f>
        <v>0</v>
      </c>
      <c r="FT119" s="143">
        <f t="shared" si="25"/>
        <v>32.43000995</v>
      </c>
      <c r="FU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1" t="str">
        <f>VLOOKUP(A119,'Données projet'!$A$243:$I$263,2,0)</f>
        <v>#N/A</v>
      </c>
      <c r="FX119" s="131" t="str">
        <f>VLOOKUP(A119,'Données projet'!$A$243:$I$263,9,0)</f>
        <v>#N/A</v>
      </c>
      <c r="FY119" s="131" t="str">
        <f t="array" ref="FY119">INDEX(FX:FX,MIN(IF(ISNUMBER(FX119:FX315),ROW(FX119:FX315),"")))</f>
        <v/>
      </c>
      <c r="FZ119" s="138">
        <f>IF('Données projet'!$A$244&gt;35,FZ118+FY119-GH118,IF(A119&lt;'Données projet'!$A$244,$FW$205^A119,IF(A119='Données projet'!$A$244,'Données projet'!$B$244,FZ118+FY119-GH118)))</f>
        <v>0</v>
      </c>
      <c r="GA119" s="138">
        <f>FZ119*VLOOKUP('Données projet'!$B$17,'Paramètres'!$A$1:$I$89,3,0)*VLOOKUP('Données projet'!$B$17,'Paramètres'!$A$1:$I$89,5,0)</f>
        <v>0</v>
      </c>
      <c r="GB119" s="130">
        <f t="shared" si="50"/>
        <v>0</v>
      </c>
      <c r="GC119" s="141">
        <f t="shared" si="26"/>
        <v>0</v>
      </c>
      <c r="GD119" s="133">
        <f t="shared" si="27"/>
        <v>293.3333333</v>
      </c>
      <c r="GE119" s="133">
        <f>AVERAGE(OFFSET($GD$3,0,0,'Données projet'!$E$17+1,1))-AVERAGE(OFFSET($H$3,0,0,'Données projet'!$E$17+1,1))</f>
        <v>118.7368745</v>
      </c>
      <c r="GF119" s="133">
        <f t="shared" si="51"/>
        <v>135.1233677</v>
      </c>
      <c r="GG119" s="134">
        <f>IF(ISNA(VLOOKUP(A119,'Données projet'!$A$243:$I$263,3,0)),0,VLOOKUP(A119,'Données projet'!$A$243:$I$263,3,0))</f>
        <v>0</v>
      </c>
      <c r="GH119" s="134">
        <f>IF(ISNA(VLOOKUP(A119,'Données projet'!$A$243:$I$263,4,0)),0,VLOOKUP(A119,'Données projet'!$A$243:$I$263,4,0))</f>
        <v>0</v>
      </c>
      <c r="GI119" s="135">
        <f>IF(ISNA(VLOOKUP(A119,'Données projet'!$A$243:$I$263,5,0)),0%,VLOOKUP(A119,'Données projet'!$A$243:$I$263,5,0)*VLOOKUP('Données projet'!$B$17,'Paramètres'!$A$1:$I$89,7,0))</f>
        <v>0</v>
      </c>
      <c r="GJ119" s="135">
        <f>IF(ISNA(VLOOKUP(A119,'Données projet'!$A$243:$I$263,6,0)),0%,VLOOKUP(A119,'Données projet'!$A$243:$I$263,6,0)*VLOOKUP('Données projet'!$B$17,'Paramètres'!$A$1:$I$89,7,0))</f>
        <v>0</v>
      </c>
      <c r="GK119" s="135">
        <f>IF(ISNA(VLOOKUP(A119,'Données projet'!$A$243:$I$263,7,0)),0%,VLOOKUP(A119,'Données projet'!$A$243:$I$263,7,0))</f>
        <v>0</v>
      </c>
      <c r="GL119" s="142">
        <f>EXP(-LN(2)/35)*GL118+(1-EXP(-LN(2)/35))/(LN(2)/35)*GH119*GI119*VLOOKUP('Données projet'!$B$17,'Paramètres'!$A$1:$I$89,3,0)*0.475*44/12</f>
        <v>34.26220522</v>
      </c>
      <c r="GM119" s="142">
        <f>EXP(-LN(2)/25)*GM118+(1-EXP(-LN(2)/25))/(LN(2)/25)*Calculateur!GH119*Calculateur!GJ119*VLOOKUP('Données projet'!$B$17,'Paramètres'!$A$1:$I$89,3,0)*0.475*44/12</f>
        <v>0</v>
      </c>
      <c r="GN119" s="142">
        <f>EXP(-LN(2)/2)*GN118+(1-EXP(-LN(2)/2))/(LN(2)/2)*GH119*GK119*VLOOKUP('Données projet'!$B$17,'Paramètres'!$A$1:$I$89,3,0)*0.475*44/12</f>
        <v>0</v>
      </c>
      <c r="GO119" s="142">
        <f t="shared" si="28"/>
        <v>34.26220522</v>
      </c>
      <c r="GP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1" t="str">
        <f>VLOOKUP(A119,'Données projet'!$A$269:$I$289,2,0)</f>
        <v>#N/A</v>
      </c>
      <c r="GS119" s="131" t="str">
        <f>VLOOKUP(A119,'Données projet'!$A$269:$I$289,9,0)</f>
        <v>#N/A</v>
      </c>
      <c r="GT119" s="131" t="str">
        <f t="array" ref="GT119">INDEX(GS:GS,MIN(IF(ISNUMBER(GS119:GS315),ROW(GS119:GS315),"")))</f>
        <v/>
      </c>
      <c r="GU119" s="138">
        <f>IF('Données projet'!$A$270&gt;35,GU118+GT119-HC118,IF(A119&lt;'Données projet'!$A$270,$GR$205^A119,IF(A119='Données projet'!$A$270,'Données projet'!$B$270,GU118+GT119-HC118)))</f>
        <v>0</v>
      </c>
      <c r="GV119" s="138">
        <f>GU119*VLOOKUP('Données projet'!$B$18,'Paramètres'!$A$1:$I$89,3,0)*VLOOKUP('Données projet'!$B$18,'Paramètres'!$A$1:$I$89,5,0)</f>
        <v>0</v>
      </c>
      <c r="GW119" s="130" t="str">
        <f t="shared" si="52"/>
        <v>#NUM!</v>
      </c>
      <c r="GX119" s="141" t="str">
        <f t="shared" si="29"/>
        <v>#NUM!</v>
      </c>
      <c r="GY119" s="133" t="str">
        <f t="shared" si="30"/>
        <v>#NUM!</v>
      </c>
      <c r="GZ119" s="133">
        <f>AVERAGE(OFFSET($GY$3,0,0,'Données projet'!$E$18+1,1))-AVERAGE(OFFSET($H$3,0,0,'Données projet'!$E$18+1,1))</f>
        <v>100.5427875</v>
      </c>
      <c r="HA119" s="133">
        <f t="shared" si="53"/>
        <v>92.28663609</v>
      </c>
      <c r="HB119" s="134">
        <f>IF(ISNA(VLOOKUP(A119,'Données projet'!$A$269:$I$289,3,0)),0,VLOOKUP(A119,'Données projet'!$A$269:$I$289,3,0))</f>
        <v>0</v>
      </c>
      <c r="HC119" s="134">
        <f>IF(ISNA(VLOOKUP(A119,'Données projet'!$A$269:$I$289,4,0)),0,VLOOKUP(A119,'Données projet'!$A$269:$I$289,4,0))</f>
        <v>0</v>
      </c>
      <c r="HD119" s="135">
        <f>IF(ISNA(VLOOKUP(A119,'Données projet'!$A$269:$I$289,5,0)),0%,VLOOKUP(A119,'Données projet'!$A$269:$I$289,5,0)*VLOOKUP('Données projet'!$B$18,'Paramètres'!$A$1:$I$89,7,0))</f>
        <v>0</v>
      </c>
      <c r="HE119" s="135">
        <f>IF(ISNA(VLOOKUP(A119,'Données projet'!$A$269:$I$289,6,0)),0%,VLOOKUP(A119,'Données projet'!$A$269:$I$289,6,0)*VLOOKUP('Données projet'!$B$18,'Paramètres'!$A$1:$I$89,7,0))</f>
        <v>0</v>
      </c>
      <c r="HF119" s="135">
        <f>IF(ISNA(VLOOKUP(A119,'Données projet'!$A$269:$I$289,7,0)),0%,VLOOKUP(A119,'Données projet'!$A$269:$I$289,7,0))</f>
        <v>0</v>
      </c>
      <c r="HG119" s="142">
        <f>EXP(-LN(2)/35)*HG118+(1-EXP(-LN(2)/35))/(LN(2)/35)*HC119*HD119*VLOOKUP('Données projet'!$B$18,'Paramètres'!$A$1:$I$89,3,0)*0.475*44/12</f>
        <v>23.33183896</v>
      </c>
      <c r="HH119" s="142">
        <f>EXP(-LN(2)/25)*HH118+(1-EXP(-LN(2)/25))/(LN(2)/25)*Calculateur!HC119*Calculateur!HE119*VLOOKUP('Données projet'!$B$18,'Paramètres'!$A$1:$I$89,3,0)*0.475*44/12</f>
        <v>0</v>
      </c>
      <c r="HI119" s="142">
        <f>EXP(-LN(2)/2)*HI118+(1-EXP(-LN(2)/2))/(LN(2)/2)*HC119*HF119*VLOOKUP('Données projet'!$B$18,'Paramètres'!$A$1:$I$89,3,0)*0.475*44/12</f>
        <v>0</v>
      </c>
      <c r="HJ119" s="143">
        <f t="shared" si="31"/>
        <v>23.33183896</v>
      </c>
    </row>
    <row r="120" ht="15.75" customHeight="1">
      <c r="A120" s="125">
        <f t="shared" si="32"/>
        <v>117</v>
      </c>
      <c r="B120" s="126">
        <f>'Scénario référence'!$B$16*5+'Scénario référence'!$B$17*0+'Scénario référence'!$B$18*5</f>
        <v>0</v>
      </c>
      <c r="C120" s="140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63.882</v>
      </c>
      <c r="D120" s="127">
        <f t="shared" si="33"/>
        <v>18.14615062</v>
      </c>
      <c r="E12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7">
        <f>IF(OR('Scénario référence'!$F$8&gt;0,'Scénario référence'!$F$9&gt;0),('Scénario référence'!$F$8+'Scénario référence'!$F$9)*10,0)</f>
        <v>10</v>
      </c>
      <c r="G120" s="127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633.1997592</v>
      </c>
      <c r="H120" s="128">
        <f t="shared" si="1"/>
        <v>436.199029</v>
      </c>
      <c r="I120" s="12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1" t="str">
        <f>VLOOKUP(A120,'Données projet'!$A$35:$I$55,2,0)</f>
        <v>#N/A</v>
      </c>
      <c r="L120" s="131" t="str">
        <f>VLOOKUP(A120,'Données projet'!$A$35:$I$55,9,0)</f>
        <v>#N/A</v>
      </c>
      <c r="M120" s="131" t="str">
        <f t="array" ref="M120">INDEX(L:L,MIN(IF(ISNUMBER(L120:L316),ROW(L120:L316),"")))</f>
        <v/>
      </c>
      <c r="N120" s="130">
        <f>IF('Données projet'!$A$36&gt;35,N119+M120-V119,IF(A120&lt;'Données projet'!$A$36,$K$205^A120,IF(A120='Données projet'!$A$36,'Données projet'!$B$36,N119+M120-V119)))</f>
        <v>0</v>
      </c>
      <c r="O120" s="130">
        <f>N120*VLOOKUP('Données projet'!$B$9,'Paramètres'!$A$1:$I$89,3,0)*VLOOKUP('Données projet'!$B$9,'Paramètres'!$A$1:$I$89,5,0)</f>
        <v>0</v>
      </c>
      <c r="P120" s="130">
        <f t="shared" si="34"/>
        <v>0</v>
      </c>
      <c r="Q120" s="141">
        <f t="shared" si="2"/>
        <v>0</v>
      </c>
      <c r="R120" s="133">
        <f t="shared" si="3"/>
        <v>293.3333333</v>
      </c>
      <c r="S120" s="133">
        <f>AVERAGE(OFFSET($R$3,0,0,'Données projet'!$E$9+1,1))-AVERAGE(OFFSET($H$3,0,0,'Données projet'!$E$9+1,1))</f>
        <v>126.9946492</v>
      </c>
      <c r="T120" s="133">
        <f t="shared" si="35"/>
        <v>140.039049</v>
      </c>
      <c r="U120" s="134">
        <f>IF(ISNA(VLOOKUP(A120,'Données projet'!$A$35:$I$55,3,0)),0,VLOOKUP(A120,'Données projet'!$A$35:$I$55,3,0))</f>
        <v>0</v>
      </c>
      <c r="V120" s="134">
        <f>IF(ISNA(VLOOKUP(A120,'Données projet'!$A$35:$I$55,4,0)),0,VLOOKUP(A120,'Données projet'!$A$35:$I$55,4,0))</f>
        <v>0</v>
      </c>
      <c r="W120" s="135">
        <f>IF(ISNA(VLOOKUP(A120,'Données projet'!$A$35:$I$55,5,0)),0%,VLOOKUP(A120,'Données projet'!$A$35:$I$55,5,0)*VLOOKUP('Données projet'!$B$9,'Paramètres'!$A$1:$I$89,7,0))</f>
        <v>0</v>
      </c>
      <c r="X120" s="135">
        <f>IF(ISNA(VLOOKUP(A120,'Données projet'!$A$35:$I$55,6,0)),0%,VLOOKUP(A120,'Données projet'!$A$35:$I$55,6,0)*VLOOKUP('Données projet'!$B$9,'Paramètres'!$A$1:$I$89,7,0))</f>
        <v>0</v>
      </c>
      <c r="Y120" s="135">
        <f>IF(ISNA(VLOOKUP(A120,'Données projet'!$A$35:$I$55,7,0)),0%,VLOOKUP(A120,'Données projet'!$A$35:$I$55,7,0))</f>
        <v>0</v>
      </c>
      <c r="Z120" s="142">
        <f>EXP(-LN(2)/35)*Z119+(1-EXP(-LN(2)/35))/(LN(2)/35)*V120*W120*VLOOKUP('Données projet'!$B$9,'Paramètres'!$A$1:$I$89,3,0)*0.475*44/12</f>
        <v>34.35544487</v>
      </c>
      <c r="AA120" s="142">
        <f>EXP(-LN(2)/25)*AA119+(1-EXP(-LN(2)/25))/(LN(2)/25)*Calculateur!V120*Calculateur!X120*VLOOKUP('Données projet'!$B$9,'Paramètres'!$A$1:$I$89,3,0)*0.475*44/12</f>
        <v>4.784785311</v>
      </c>
      <c r="AB120" s="142">
        <f>EXP(-LN(2)/2)*AB119+(1-EXP(-LN(2)/2))/(LN(2)/2)*V120*Y120*VLOOKUP('Données projet'!$B$9,'Paramètres'!$A$1:$I$89,3,0)*0.475*44/12</f>
        <v>0.00000005002138448</v>
      </c>
      <c r="AC120" s="143">
        <f t="shared" si="4"/>
        <v>39.14023023</v>
      </c>
      <c r="AD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1" t="str">
        <f>VLOOKUP(A120,'Données projet'!$A$61:$I$81,2,0)</f>
        <v>#N/A</v>
      </c>
      <c r="AG120" s="131" t="str">
        <f>VLOOKUP(A120,'Données projet'!$A$61:$I$81,9,0)</f>
        <v>#N/A</v>
      </c>
      <c r="AH120" s="131" t="str">
        <f t="array" ref="AH120">INDEX(AG:AG,MIN(IF(ISNUMBER(AG120:AG316),ROW(AG120:AG316),"")))</f>
        <v/>
      </c>
      <c r="AI120" s="130">
        <f>IF('Données projet'!$A$62&gt;35,AI119+AH120-AQ119,IF(A120&lt;'Données projet'!$A$62,$AF$205^A120,IF(A120='Données projet'!$A$62,'Données projet'!$B$62,AI119+AH120-AQ119)))</f>
        <v>0</v>
      </c>
      <c r="AJ120" s="130">
        <f>AI120*VLOOKUP('Données projet'!$B$10,'Paramètres'!$A$1:$I$89,3,0)*VLOOKUP('Données projet'!$B$10,'Paramètres'!$A$1:$I$89,5,0)</f>
        <v>0</v>
      </c>
      <c r="AK120" s="130" t="str">
        <f t="shared" si="36"/>
        <v>#NUM!</v>
      </c>
      <c r="AL120" s="141" t="str">
        <f t="shared" si="5"/>
        <v>#NUM!</v>
      </c>
      <c r="AM120" s="133" t="str">
        <f t="shared" si="6"/>
        <v>#NUM!</v>
      </c>
      <c r="AN120" s="133">
        <f>AVERAGE(OFFSET($AM$3,0,0,'Données projet'!$E$10+1,1))-AVERAGE(OFFSET($H$3,0,0,'Données projet'!$E$10+1,1))</f>
        <v>196.874484</v>
      </c>
      <c r="AO120" s="133">
        <f t="shared" si="37"/>
        <v>217.5750859</v>
      </c>
      <c r="AP120" s="134">
        <f>IF(ISNA(VLOOKUP(A120,'Données projet'!$A$61:$I$81,3,0)),0,VLOOKUP(A120,'Données projet'!$A$61:$I$81,3,0))</f>
        <v>0</v>
      </c>
      <c r="AQ120" s="134">
        <f>IF(ISNA(VLOOKUP(A120,'Données projet'!$A$61:$I$81,4,0)),0,VLOOKUP(A120,'Données projet'!$A$61:$I$81,4,0))</f>
        <v>0</v>
      </c>
      <c r="AR120" s="135">
        <f>IF(ISNA(VLOOKUP(A120,'Données projet'!$A$61:$I$81,5,0)),0%,VLOOKUP(A120,'Données projet'!$A$61:$I$81,5,0)*VLOOKUP('Données projet'!$B$10,'Paramètres'!$A$1:$I$89,7,0))</f>
        <v>0</v>
      </c>
      <c r="AS120" s="135">
        <f>IF(ISNA(VLOOKUP(A120,'Données projet'!$A$61:$I$81,6,0)),0%,VLOOKUP(A120,'Données projet'!$A$61:$I$81,6,0)*VLOOKUP('Données projet'!$B$10,'Paramètres'!$A$1:$I$89,7,0))</f>
        <v>0</v>
      </c>
      <c r="AT120" s="135">
        <f>IF(ISNA(VLOOKUP(A120,'Données projet'!$A$61:$I$81,7,0)),0%,VLOOKUP(A120,'Données projet'!$A$61:$I$81,7,0))</f>
        <v>0</v>
      </c>
      <c r="AU120" s="142">
        <f>EXP(-LN(2)/35)*AU119+(1-EXP(-LN(2)/35))/(LN(2)/35)*AQ120*AR120*VLOOKUP('Données projet'!$B$10,'Paramètres'!$A$1:$I$89,3,0)*0.475*44/12</f>
        <v>47.75309254</v>
      </c>
      <c r="AV120" s="142">
        <f>EXP(-LN(2)/25)*AV119+(1-EXP(-LN(2)/25))/(LN(2)/25)*Calculateur!AQ120*Calculateur!AS120*VLOOKUP('Données projet'!$B$10,'Paramètres'!$A$1:$I$89,3,0)*0.475*44/12</f>
        <v>7.356613809</v>
      </c>
      <c r="AW120" s="142">
        <f>EXP(-LN(2)/2)*AW119+(1-EXP(-LN(2)/2))/(LN(2)/2)*AQ120*AT120*VLOOKUP('Données projet'!$B$10,'Paramètres'!$A$1:$I$89,3,0)*0.475*44/12</f>
        <v>0.0000000697403123</v>
      </c>
      <c r="AX120" s="142">
        <f t="shared" si="7"/>
        <v>55.10970642</v>
      </c>
      <c r="AY120" s="13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1" t="str">
        <f>VLOOKUP(A120,'Données projet'!$A$87:$I$107,2,0)</f>
        <v>#N/A</v>
      </c>
      <c r="BB120" s="131" t="str">
        <f>VLOOKUP(A120,'Données projet'!$A$87:$I$107,9,0)</f>
        <v>#N/A</v>
      </c>
      <c r="BC120" s="131" t="str">
        <f t="array" ref="BC120">INDEX(BB:BB,MIN(IF(ISNUMBER(BB120:BB316),ROW(BB120:BB316),"")))</f>
        <v/>
      </c>
      <c r="BD120" s="130">
        <f>IF('Données projet'!$A$88&gt;35,BD119+BC120-BL119,IF(A120&lt;'Données projet'!$A$88,$BA$205^A120,IF(A120='Données projet'!$A$88,'Données projet'!$B$88,BD119+BC120-BL119)))</f>
        <v>0</v>
      </c>
      <c r="BE120" s="130">
        <f>BD120*VLOOKUP('Données projet'!$B$11,'Paramètres'!$A$1:$I$89,3,0)*VLOOKUP('Données projet'!$B$11,'Paramètres'!$A$1:$I$89,5,0)</f>
        <v>0</v>
      </c>
      <c r="BF120" s="130" t="str">
        <f t="shared" si="38"/>
        <v>#NUM!</v>
      </c>
      <c r="BG120" s="141" t="str">
        <f t="shared" si="8"/>
        <v>#NUM!</v>
      </c>
      <c r="BH120" s="133" t="str">
        <f t="shared" si="9"/>
        <v>#NUM!</v>
      </c>
      <c r="BI120" s="133">
        <f>AVERAGE(OFFSET($BH$3,0,0,'Données projet'!$E$11+1,1))-AVERAGE(OFFSET($H$3,0,0,'Données projet'!$E$11+1,1))</f>
        <v>134.0948534</v>
      </c>
      <c r="BJ120" s="133">
        <f t="shared" si="39"/>
        <v>108.4102536</v>
      </c>
      <c r="BK120" s="134">
        <f>IF(ISNA(VLOOKUP(A120,'Données projet'!$A$87:$I$107,3,0)),0,VLOOKUP(A120,'Données projet'!$A$87:$I$107,3,0))</f>
        <v>0</v>
      </c>
      <c r="BL120" s="134">
        <f>IF(ISNA(VLOOKUP(A120,'Données projet'!$A$87:$I$107,4,0)),0,VLOOKUP(A120,'Données projet'!$A$87:$I$107,4,0))</f>
        <v>0</v>
      </c>
      <c r="BM120" s="135">
        <f>IF(ISNA(VLOOKUP(A120,'Données projet'!$A$87:$I$107,5,0)),0%,VLOOKUP(A120,'Données projet'!$A$87:$I$107,5,0)*VLOOKUP('Données projet'!$B$11,'Paramètres'!$A$1:$I$89,7,0))</f>
        <v>0</v>
      </c>
      <c r="BN120" s="135">
        <f>IF(ISNA(VLOOKUP(A120,'Données projet'!$A$87:$I$107,6,0)),0%,VLOOKUP(A120,'Données projet'!$A$87:$I$107,6,0)*VLOOKUP('Données projet'!$B$11,'Paramètres'!$A$1:$I$89,7,0))</f>
        <v>0</v>
      </c>
      <c r="BO120" s="135">
        <f>IF(ISNA(VLOOKUP(A120,'Données projet'!$A$87:$I$107,7,0)),0%,VLOOKUP(A120,'Données projet'!$A$87:$I$107,7,0))</f>
        <v>0</v>
      </c>
      <c r="BP120" s="142">
        <f>EXP(-LN(2)/35)*BP119+(1-EXP(-LN(2)/35))/(LN(2)/35)*BL120*BM120*VLOOKUP('Données projet'!$B$11,'Paramètres'!$A$1:$I$89,3,0)*0.475*44/12</f>
        <v>66.05144528</v>
      </c>
      <c r="BQ120" s="142">
        <f>EXP(-LN(2)/25)*BQ119+(1-EXP(-LN(2)/25))/(LN(2)/25)*Calculateur!BL120*Calculateur!BN120*VLOOKUP('Données projet'!$B$11,'Paramètres'!$A$1:$I$89,3,0)*0.475*44/12</f>
        <v>4.640558307</v>
      </c>
      <c r="BR120" s="142">
        <f>EXP(-LN(2)/2)*BR119+(1-EXP(-LN(2)/2))/(LN(2)/2)*BL120*BO120*VLOOKUP('Données projet'!$B$11,'Paramètres'!$A$1:$I$89,3,0)*0.475*44/12</f>
        <v>0.0000009302356807</v>
      </c>
      <c r="BS120" s="143">
        <f t="shared" si="10"/>
        <v>70.69200452</v>
      </c>
      <c r="BT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1" t="str">
        <f>VLOOKUP(A120,'Données projet'!$A$113:$I$133,2,0)</f>
        <v>#N/A</v>
      </c>
      <c r="BW120" s="131" t="str">
        <f>VLOOKUP(A120,'Données projet'!$A$113:$I$133,9,0)</f>
        <v>#N/A</v>
      </c>
      <c r="BX120" s="131" t="str">
        <f t="array" ref="BX120">INDEX(BW:BW,MIN(IF(ISNUMBER(BW120:BW316),ROW(BW120:BW316),"")))</f>
        <v/>
      </c>
      <c r="BY120" s="130">
        <f>IF('Données projet'!$A$114&gt;35,BY119+BX120-CG119,IF(A120&lt;'Données projet'!$A$114,$BV$205^A120,IF(A120='Données projet'!$A$114,'Données projet'!$B$114,BY119+BX120-CG119)))</f>
        <v>0</v>
      </c>
      <c r="BZ120" s="130">
        <f>BY120*VLOOKUP('Données projet'!$B$12,'Paramètres'!$A$1:$I$89,3,0)*VLOOKUP('Données projet'!$B$12,'Paramètres'!$A$1:$I$89,5,0)</f>
        <v>0</v>
      </c>
      <c r="CA120" s="130" t="str">
        <f t="shared" si="40"/>
        <v>#NUM!</v>
      </c>
      <c r="CB120" s="141" t="str">
        <f t="shared" si="11"/>
        <v>#NUM!</v>
      </c>
      <c r="CC120" s="133" t="str">
        <f t="shared" si="12"/>
        <v>#NUM!</v>
      </c>
      <c r="CD120" s="133">
        <f>AVERAGE(OFFSET($CC$3,0,0,'Données projet'!$E$12+1,1))-AVERAGE(OFFSET($H$3,0,0,'Données projet'!$E$12+1,1))</f>
        <v>258.1672054</v>
      </c>
      <c r="CE120" s="133">
        <f t="shared" si="41"/>
        <v>296.0724261</v>
      </c>
      <c r="CF120" s="134">
        <f>IF(ISNA(VLOOKUP(A120,'Données projet'!$A$113:$I$133,3,0)),0,VLOOKUP(A120,'Données projet'!$A$113:$I$133,3,0))</f>
        <v>0</v>
      </c>
      <c r="CG120" s="134">
        <f>IF(ISNA(VLOOKUP(A120,'Données projet'!$A$113:$I$133,4,0)),0,VLOOKUP(A120,'Données projet'!$A$113:$I$133,4,0))</f>
        <v>0</v>
      </c>
      <c r="CH120" s="135">
        <f>IF(ISNA(VLOOKUP(A120,'Données projet'!$A$113:$I$133,5,0)),0%,VLOOKUP(A120,'Données projet'!$A$113:$I$133,5,0)*VLOOKUP('Données projet'!$B$12,'Paramètres'!$A$1:$I$89,7,0))</f>
        <v>0</v>
      </c>
      <c r="CI120" s="135">
        <f>IF(ISNA(VLOOKUP(A120,'Données projet'!$A$113:$I$133,6,0)),0%,VLOOKUP(A120,'Données projet'!$A$113:$I$133,6,0)*VLOOKUP('Données projet'!$B$12,'Paramètres'!$A$1:$I$89,7,0))</f>
        <v>0</v>
      </c>
      <c r="CJ120" s="135">
        <f>IF(ISNA(VLOOKUP(A120,'Données projet'!$A$113:$I$133,7,0)),0%,VLOOKUP(A120,'Données projet'!$A$113:$I$133,7,0))</f>
        <v>0</v>
      </c>
      <c r="CK120" s="142">
        <f>EXP(-LN(2)/35)*CK119+(1-EXP(-LN(2)/35))/(LN(2)/35)*CG120*CH120*VLOOKUP('Données projet'!$B$12,'Paramètres'!$A$1:$I$89,3,0)*0.475*44/12</f>
        <v>83.5092328</v>
      </c>
      <c r="CL120" s="142">
        <f>EXP(-LN(2)/25)*CL119+(1-EXP(-LN(2)/25))/(LN(2)/25)*Calculateur!CG120*Calculateur!CI120*VLOOKUP('Données projet'!$B$12,'Paramètres'!$A$1:$I$89,3,0)*0.475*44/12</f>
        <v>8.139802702</v>
      </c>
      <c r="CM120" s="142">
        <f>EXP(-LN(2)/2)*CM119+(1-EXP(-LN(2)/2))/(LN(2)/2)*CG120*CJ120*VLOOKUP('Données projet'!$B$12,'Paramètres'!$A$1:$I$89,3,0)*0.475*44/12</f>
        <v>0.00000003918973126</v>
      </c>
      <c r="CN120" s="143">
        <f t="shared" si="13"/>
        <v>91.64903554</v>
      </c>
      <c r="CO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1" t="str">
        <f>VLOOKUP(A120,'Données projet'!$A$139:$I$159,2,0)</f>
        <v>#N/A</v>
      </c>
      <c r="CR120" s="131" t="str">
        <f>VLOOKUP(A120,'Données projet'!$A$139:$I$159,9,0)</f>
        <v>#N/A</v>
      </c>
      <c r="CS120" s="130">
        <f t="array" ref="CS120">INDEX(CR:CR,MIN(IF(ISNUMBER(CR120:CR316),ROW(CR120:CR316),"")))</f>
        <v>1.5</v>
      </c>
      <c r="CT120" s="138">
        <f>IF('Données projet'!$A$140&gt;35,CT119+CS120-DB119,IF(A120&lt;'Données projet'!$A$140,$CQ$205^A120,IF(A120='Données projet'!$A$140,'Données projet'!$B$140,CT119+CS120-DB119)))</f>
        <v>216.5</v>
      </c>
      <c r="CU120" s="138">
        <f>CT120*VLOOKUP('Données projet'!$B$13,'Paramètres'!$A$1:$I$89,3,0)*VLOOKUP('Données projet'!$B$13,'Paramètres'!$A$1:$I$89,5,0)</f>
        <v>219.531</v>
      </c>
      <c r="CV120" s="130">
        <f t="shared" si="42"/>
        <v>54.01293823</v>
      </c>
      <c r="CW120" s="141">
        <f t="shared" si="14"/>
        <v>476.4223591</v>
      </c>
      <c r="CX120" s="133">
        <f t="shared" si="15"/>
        <v>769.7556924</v>
      </c>
      <c r="CY120" s="133">
        <f>AVERAGE(OFFSET($CX$3,0,0,'Données projet'!$E$13+1,1))-AVERAGE(OFFSET($H$3,0,0,'Données projet'!$E$13+1,1))</f>
        <v>223.783507</v>
      </c>
      <c r="CZ120" s="133">
        <f t="shared" si="43"/>
        <v>84.92349117</v>
      </c>
      <c r="DA120" s="134">
        <f>IF(ISNA(VLOOKUP(A120,'Données projet'!$A$139:$I$159,3,0)),0,VLOOKUP(A120,'Données projet'!$A$139:$I$159,3,0))</f>
        <v>0</v>
      </c>
      <c r="DB120" s="134">
        <f>IF(ISNA(VLOOKUP(A120,'Données projet'!$A$139:$I$159,4,0)),0,VLOOKUP(A120,'Données projet'!$A$139:$I$159,4,0))</f>
        <v>0</v>
      </c>
      <c r="DC120" s="135">
        <f>IF(ISNA(VLOOKUP(A120,'Données projet'!$A$139:$I$159,5,0)),0%,VLOOKUP(A120,'Données projet'!$A$139:$I$159,5,0)*VLOOKUP('Données projet'!$B$13,'Paramètres'!$A$1:$I$89,7,0))</f>
        <v>0</v>
      </c>
      <c r="DD120" s="135">
        <f>IF(ISNA(VLOOKUP(A120,'Données projet'!$A$139:$I$159,6,0)),0%,VLOOKUP(A120,'Données projet'!$A$139:$I$159,6,0)*VLOOKUP('Données projet'!$B$13,'Paramètres'!$A$1:$I$89,7,0))</f>
        <v>0</v>
      </c>
      <c r="DE120" s="135">
        <f>IF(ISNA(VLOOKUP(A120,'Données projet'!$A$139:$I$159,7,0)),0%,VLOOKUP(A120,'Données projet'!$A$139:$I$159,7,0))</f>
        <v>0</v>
      </c>
      <c r="DF120" s="142">
        <f>EXP(-LN(2)/35)*DF119+(1-EXP(-LN(2)/35))/(LN(2)/35)*DB120*DC120*VLOOKUP('Données projet'!$B$13,'Paramètres'!$A$1:$I$89,3,0)*0.475*44/12</f>
        <v>18.76035978</v>
      </c>
      <c r="DG120" s="142">
        <f>EXP(-LN(2)/25)*DG119+(1-EXP(-LN(2)/25))/(LN(2)/25)*Calculateur!DB120*Calculateur!DD120*VLOOKUP('Données projet'!$B$13,'Paramètres'!$A$1:$I$89,3,0)*0.475*44/12</f>
        <v>0</v>
      </c>
      <c r="DH120" s="142">
        <f>EXP(-LN(2)/2)*DH119+(1-EXP(-LN(2)/2))/(LN(2)/2)*DB120*DE120*VLOOKUP('Données projet'!$B$13,'Paramètres'!$A$1:$I$89,3,0)*0.475*44/12</f>
        <v>0</v>
      </c>
      <c r="DI120" s="143">
        <f t="shared" si="16"/>
        <v>18.76035978</v>
      </c>
      <c r="DJ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1" t="str">
        <f>VLOOKUP(A120,'Données projet'!$A$165:$I$185,2,0)</f>
        <v>#N/A</v>
      </c>
      <c r="DM120" s="131" t="str">
        <f>VLOOKUP(A120,'Données projet'!$A$165:$I$185,9,0)</f>
        <v>#N/A</v>
      </c>
      <c r="DN120" s="131">
        <f t="array" ref="DN120">INDEX(DM:DM,MIN(IF(ISNUMBER(DM120:DM316),ROW(DM120:DM316),"")))</f>
        <v>1.9</v>
      </c>
      <c r="DO120" s="138">
        <f>IF('Données projet'!$A$166&gt;35,DO119+DN120-DW119,IF(A120&lt;'Données projet'!$A$166,$DL$205^A120,IF(A120='Données projet'!$A$166,'Données projet'!$B$166,DO119+DN120-DW119)))</f>
        <v>279.3</v>
      </c>
      <c r="DP120" s="138">
        <f>DO120*VLOOKUP('Données projet'!$B$14,'Paramètres'!$A$1:$I$89,3,0)*VLOOKUP('Données projet'!$B$14,'Paramètres'!$A$1:$I$89,5,0)</f>
        <v>252.71064</v>
      </c>
      <c r="DQ120" s="130">
        <f t="shared" si="44"/>
        <v>61.1660188</v>
      </c>
      <c r="DR120" s="141">
        <f t="shared" si="17"/>
        <v>546.6685141</v>
      </c>
      <c r="DS120" s="133">
        <f t="shared" si="18"/>
        <v>840.0018474</v>
      </c>
      <c r="DT120" s="133">
        <f>AVERAGE(OFFSET($DS$3,0,0,'Données projet'!$E$14+1,1))-AVERAGE(OFFSET($H$3,0,0,'Données projet'!$E$14+1,1))</f>
        <v>287.9334714</v>
      </c>
      <c r="DU120" s="133">
        <f t="shared" si="45"/>
        <v>156.6796502</v>
      </c>
      <c r="DV120" s="134">
        <f>IF(ISNA(VLOOKUP(A120,'Données projet'!$A$165:$I$185,3,0)),0,VLOOKUP(A120,'Données projet'!$A$165:$I$185,3,0))</f>
        <v>0</v>
      </c>
      <c r="DW120" s="134">
        <f>IF(ISNA(VLOOKUP(A120,'Données projet'!$A$165:$I$185,4,0)),0,VLOOKUP(A120,'Données projet'!$A$165:$I$185,4,0))</f>
        <v>0</v>
      </c>
      <c r="DX120" s="135">
        <f>IF(ISNA(VLOOKUP(A120,'Données projet'!$A$165:$I$185,5,0)),0%,VLOOKUP(A120,'Données projet'!$A$165:$I$185,5,0)*VLOOKUP('Données projet'!$B$14,'Paramètres'!$A$1:$I$89,7,0))</f>
        <v>0</v>
      </c>
      <c r="DY120" s="135">
        <f>IF(ISNA(VLOOKUP(A120,'Données projet'!$A$165:$I$185,6,0)),0%,VLOOKUP(A120,'Données projet'!$A$165:$I$185,6,0)*VLOOKUP('Données projet'!$B$14,'Paramètres'!$A$1:$I$89,7,0))</f>
        <v>0</v>
      </c>
      <c r="DZ120" s="135">
        <f>IF(ISNA(VLOOKUP(A120,'Données projet'!$A$165:$I$185,7,0)),0%,VLOOKUP(A120,'Données projet'!$A$165:$I$185,7,0))</f>
        <v>0</v>
      </c>
      <c r="EA120" s="142">
        <f>EXP(-LN(2)/35)*EA119+(1-EXP(-LN(2)/35))/(LN(2)/35)*DW120*DX120*VLOOKUP('Données projet'!$B$14,'Paramètres'!$A$1:$I$89,3,0)*0.475*44/12</f>
        <v>27.93452558</v>
      </c>
      <c r="EB120" s="142">
        <f>EXP(-LN(2)/25)*EB119+(1-EXP(-LN(2)/25))/(LN(2)/25)*Calculateur!DW120*Calculateur!DY120*VLOOKUP('Données projet'!$B$14,'Paramètres'!$A$1:$I$89,3,0)*0.475*44/12</f>
        <v>0</v>
      </c>
      <c r="EC120" s="142">
        <f>EXP(-LN(2)/2)*EC119+(1-EXP(-LN(2)/2))/(LN(2)/2)*DW120*DZ120*VLOOKUP('Données projet'!$B$14,'Paramètres'!$A$1:$I$89,3,0)*0.475*44/12</f>
        <v>0</v>
      </c>
      <c r="ED120" s="143">
        <f t="shared" si="19"/>
        <v>27.93452558</v>
      </c>
      <c r="EE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1" t="str">
        <f>VLOOKUP(A120,'Données projet'!$A$191:$I$211,2,0)</f>
        <v>#N/A</v>
      </c>
      <c r="EH120" s="131" t="str">
        <f>VLOOKUP(A120,'Données projet'!$A$191:$I$211,9,0)</f>
        <v>#N/A</v>
      </c>
      <c r="EI120" s="131" t="str">
        <f t="array" ref="EI120">INDEX(EH:EH,MIN(IF(ISNUMBER(EH120:EH316),ROW(EH120:EH316),"")))</f>
        <v/>
      </c>
      <c r="EJ120" s="138">
        <f>IF('Données projet'!$A$192&gt;35,EJ119+EI120-ER119,IF(A120&lt;'Données projet'!$A$192,$EG$205^A120,IF(A120='Données projet'!$A$192,'Données projet'!$B$192,EJ119+EI120-ER119)))</f>
        <v>0</v>
      </c>
      <c r="EK120" s="138">
        <f>EJ120*VLOOKUP('Données projet'!$B$15,'Paramètres'!$A$1:$I$89,3,0)*VLOOKUP('Données projet'!$B$15,'Paramètres'!$A$1:$I$89,5,0)</f>
        <v>0</v>
      </c>
      <c r="EL120" s="130" t="str">
        <f t="shared" si="46"/>
        <v>#NUM!</v>
      </c>
      <c r="EM120" s="141" t="str">
        <f t="shared" si="20"/>
        <v>#NUM!</v>
      </c>
      <c r="EN120" s="133" t="str">
        <f t="shared" si="21"/>
        <v>#NUM!</v>
      </c>
      <c r="EO120" s="133">
        <f>AVERAGE(OFFSET($EN$3,0,0,'Données projet'!$E$15+1,1))-AVERAGE(OFFSET($H$3,0,0,'Données projet'!$E$15+1,1))</f>
        <v>130.3193339</v>
      </c>
      <c r="EP120" s="133">
        <f t="shared" si="47"/>
        <v>82.22784365</v>
      </c>
      <c r="EQ120" s="134">
        <f>IF(ISNA(VLOOKUP(A120,'Données projet'!$A$191:$I$211,3,0)),0,VLOOKUP(A120,'Données projet'!$A$191:$I$211,3,0))</f>
        <v>0</v>
      </c>
      <c r="ER120" s="134">
        <f>IF(ISNA(VLOOKUP(A120,'Données projet'!$A$191:$I$211,4,0)),0,VLOOKUP(A120,'Données projet'!$A$191:$I$211,4,0))</f>
        <v>0</v>
      </c>
      <c r="ES120" s="135">
        <f>IF(ISNA(VLOOKUP(A120,'Données projet'!$A$191:$I$211,5,0)),0%,VLOOKUP(A120,'Données projet'!$A$191:$I$211,5,0)*VLOOKUP('Données projet'!$B$15,'Paramètres'!$A$1:$I$89,7,0))</f>
        <v>0</v>
      </c>
      <c r="ET120" s="135">
        <f>IF(ISNA(VLOOKUP(A120,'Données projet'!$A$191:$I$211,6,0)),0%,VLOOKUP(A120,'Données projet'!$A$191:$I$211,6,0)*VLOOKUP('Données projet'!$B$15,'Paramètres'!$A$1:$I$89,7,0))</f>
        <v>0</v>
      </c>
      <c r="EU120" s="135">
        <f>IF(ISNA(VLOOKUP(A120,'Données projet'!$A$191:$I$211,7,0)),0%,VLOOKUP(A120,'Données projet'!$A$191:$I$211,7,0))</f>
        <v>0</v>
      </c>
      <c r="EV120" s="142">
        <f>EXP(-LN(2)/35)*EV119+(1-EXP(-LN(2)/35))/(LN(2)/35)*ER120*ES120*VLOOKUP('Données projet'!$B$15,'Paramètres'!$A$1:$I$89,3,0)*0.475*44/12</f>
        <v>51.06416828</v>
      </c>
      <c r="EW120" s="142">
        <f>EXP(-LN(2)/25)*EW119+(1-EXP(-LN(2)/25))/(LN(2)/25)*Calculateur!ER120*Calculateur!ET120*VLOOKUP('Données projet'!$B$15,'Paramètres'!$A$1:$I$89,3,0)*0.475*44/12</f>
        <v>0</v>
      </c>
      <c r="EX120" s="142">
        <f>EXP(-LN(2)/2)*EX119+(1-EXP(-LN(2)/2))/(LN(2)/2)*ER120*EU120*VLOOKUP('Données projet'!$B$15,'Paramètres'!$A$1:$I$89,3,0)*0.475*44/12</f>
        <v>0</v>
      </c>
      <c r="EY120" s="143">
        <f t="shared" si="22"/>
        <v>51.06416828</v>
      </c>
      <c r="EZ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1" t="str">
        <f>VLOOKUP(A120,'Données projet'!$A$217:$I$237,2,0)</f>
        <v>#N/A</v>
      </c>
      <c r="FC120" s="131" t="str">
        <f>VLOOKUP(A120,'Données projet'!$A$217:$I$237,9,0)</f>
        <v>#N/A</v>
      </c>
      <c r="FD120" s="131" t="str">
        <f t="array" ref="FD120">INDEX(FC:FC,MIN(IF(ISNUMBER(FC120:FC316),ROW(FC120:FC316),"")))</f>
        <v/>
      </c>
      <c r="FE120" s="130">
        <f>IF('Données projet'!$A$218&gt;35,FE119+FD120-FM119,IF(A120&lt;'Données projet'!$A$218,$FB$205^A120,IF(A120='Données projet'!$A$218,'Données projet'!$B$218,FE119+FD120-FM119)))</f>
        <v>0</v>
      </c>
      <c r="FF120" s="138">
        <f>FE120*VLOOKUP('Données projet'!$B$16,'Paramètres'!$A$1:$I$89,3,0)*VLOOKUP('Données projet'!$B$16,'Paramètres'!$A$1:$I$89,5,0)</f>
        <v>0</v>
      </c>
      <c r="FG120" s="130">
        <f t="shared" si="48"/>
        <v>0</v>
      </c>
      <c r="FH120" s="141">
        <f t="shared" si="23"/>
        <v>0</v>
      </c>
      <c r="FI120" s="133">
        <f t="shared" si="24"/>
        <v>293.3333333</v>
      </c>
      <c r="FJ120" s="133">
        <f>AVERAGE(OFFSET($FI$3,0,0,'Données projet'!$E$16+1,1))-AVERAGE(OFFSET($H$3,0,0,'Données projet'!$E$16+1,1))</f>
        <v>305.6252353</v>
      </c>
      <c r="FK120" s="133">
        <f t="shared" si="49"/>
        <v>331.397916</v>
      </c>
      <c r="FL120" s="134">
        <f>IF(ISNA(VLOOKUP(A120,'Données projet'!$A$217:$I$237,3,0)),0,VLOOKUP(A120,'Données projet'!$A$217:$I$237,3,0))</f>
        <v>0</v>
      </c>
      <c r="FM120" s="134">
        <f>IF(ISNA(VLOOKUP(A120,'Données projet'!$A$217:$I$237,4,0)),0,VLOOKUP(A120,'Données projet'!$A$217:$I$237,4,0))</f>
        <v>0</v>
      </c>
      <c r="FN120" s="135">
        <f>IF(ISNA(VLOOKUP(A120,'Données projet'!$A$217:$I$237,5,0)),0%,VLOOKUP(A120,'Données projet'!$A$217:$I$237,5,0)*VLOOKUP('Données projet'!$B$16,'Paramètres'!$A$1:$I$89,7,0))</f>
        <v>0</v>
      </c>
      <c r="FO120" s="135">
        <f>IF(ISNA(VLOOKUP(A120,'Données projet'!$A$217:$I$237,6,0)),0%,VLOOKUP(A120,'Données projet'!$A$217:$I$237,6,0)*VLOOKUP('Données projet'!$B$16,'Paramètres'!$A$1:$I$89,7,0))</f>
        <v>0</v>
      </c>
      <c r="FP120" s="135">
        <f>IF(ISNA(VLOOKUP(A120,'Données projet'!$A$217:$I$237,7,0)),0%,VLOOKUP(A120,'Données projet'!$A$217:$I$237,7,0))</f>
        <v>0</v>
      </c>
      <c r="FQ120" s="142">
        <f>EXP(-LN(2)/35)*FQ119+(1-EXP(-LN(2)/35))/(LN(2)/35)*FM120*FN120*VLOOKUP('Données projet'!$B$16,'Paramètres'!$A$1:$I$89,3,0)*0.475*44/12</f>
        <v>31.79407724</v>
      </c>
      <c r="FR120" s="142">
        <f>EXP(-LN(2)/25)*FR119+(1-EXP(-LN(2)/25))/(LN(2)/25)*Calculateur!FM120*Calculateur!FO120*VLOOKUP('Données projet'!$B$16,'Paramètres'!$A$1:$I$89,3,0)*0.475*44/12</f>
        <v>0</v>
      </c>
      <c r="FS120" s="142">
        <f>EXP(-LN(2)/2)*FS119+(1-EXP(-LN(2)/2))/(LN(2)/2)*FM120*FP120*VLOOKUP('Données projet'!$B$16,'Paramètres'!$A$1:$I$89,3,0)*0.475*44/12</f>
        <v>0</v>
      </c>
      <c r="FT120" s="143">
        <f t="shared" si="25"/>
        <v>31.79407724</v>
      </c>
      <c r="FU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1" t="str">
        <f>VLOOKUP(A120,'Données projet'!$A$243:$I$263,2,0)</f>
        <v>#N/A</v>
      </c>
      <c r="FX120" s="131" t="str">
        <f>VLOOKUP(A120,'Données projet'!$A$243:$I$263,9,0)</f>
        <v>#N/A</v>
      </c>
      <c r="FY120" s="131" t="str">
        <f t="array" ref="FY120">INDEX(FX:FX,MIN(IF(ISNUMBER(FX120:FX316),ROW(FX120:FX316),"")))</f>
        <v/>
      </c>
      <c r="FZ120" s="138">
        <f>IF('Données projet'!$A$244&gt;35,FZ119+FY120-GH119,IF(A120&lt;'Données projet'!$A$244,$FW$205^A120,IF(A120='Données projet'!$A$244,'Données projet'!$B$244,FZ119+FY120-GH119)))</f>
        <v>0</v>
      </c>
      <c r="GA120" s="138">
        <f>FZ120*VLOOKUP('Données projet'!$B$17,'Paramètres'!$A$1:$I$89,3,0)*VLOOKUP('Données projet'!$B$17,'Paramètres'!$A$1:$I$89,5,0)</f>
        <v>0</v>
      </c>
      <c r="GB120" s="130">
        <f t="shared" si="50"/>
        <v>0</v>
      </c>
      <c r="GC120" s="141">
        <f t="shared" si="26"/>
        <v>0</v>
      </c>
      <c r="GD120" s="133">
        <f t="shared" si="27"/>
        <v>293.3333333</v>
      </c>
      <c r="GE120" s="133">
        <f>AVERAGE(OFFSET($GD$3,0,0,'Données projet'!$E$17+1,1))-AVERAGE(OFFSET($H$3,0,0,'Données projet'!$E$17+1,1))</f>
        <v>118.7368745</v>
      </c>
      <c r="GF120" s="133">
        <f t="shared" si="51"/>
        <v>135.1233677</v>
      </c>
      <c r="GG120" s="134">
        <f>IF(ISNA(VLOOKUP(A120,'Données projet'!$A$243:$I$263,3,0)),0,VLOOKUP(A120,'Données projet'!$A$243:$I$263,3,0))</f>
        <v>0</v>
      </c>
      <c r="GH120" s="134">
        <f>IF(ISNA(VLOOKUP(A120,'Données projet'!$A$243:$I$263,4,0)),0,VLOOKUP(A120,'Données projet'!$A$243:$I$263,4,0))</f>
        <v>0</v>
      </c>
      <c r="GI120" s="135">
        <f>IF(ISNA(VLOOKUP(A120,'Données projet'!$A$243:$I$263,5,0)),0%,VLOOKUP(A120,'Données projet'!$A$243:$I$263,5,0)*VLOOKUP('Données projet'!$B$17,'Paramètres'!$A$1:$I$89,7,0))</f>
        <v>0</v>
      </c>
      <c r="GJ120" s="135">
        <f>IF(ISNA(VLOOKUP(A120,'Données projet'!$A$243:$I$263,6,0)),0%,VLOOKUP(A120,'Données projet'!$A$243:$I$263,6,0)*VLOOKUP('Données projet'!$B$17,'Paramètres'!$A$1:$I$89,7,0))</f>
        <v>0</v>
      </c>
      <c r="GK120" s="135">
        <f>IF(ISNA(VLOOKUP(A120,'Données projet'!$A$243:$I$263,7,0)),0%,VLOOKUP(A120,'Données projet'!$A$243:$I$263,7,0))</f>
        <v>0</v>
      </c>
      <c r="GL120" s="142">
        <f>EXP(-LN(2)/35)*GL119+(1-EXP(-LN(2)/35))/(LN(2)/35)*GH120*GI120*VLOOKUP('Données projet'!$B$17,'Paramètres'!$A$1:$I$89,3,0)*0.475*44/12</f>
        <v>33.59034428</v>
      </c>
      <c r="GM120" s="142">
        <f>EXP(-LN(2)/25)*GM119+(1-EXP(-LN(2)/25))/(LN(2)/25)*Calculateur!GH120*Calculateur!GJ120*VLOOKUP('Données projet'!$B$17,'Paramètres'!$A$1:$I$89,3,0)*0.475*44/12</f>
        <v>0</v>
      </c>
      <c r="GN120" s="142">
        <f>EXP(-LN(2)/2)*GN119+(1-EXP(-LN(2)/2))/(LN(2)/2)*GH120*GK120*VLOOKUP('Données projet'!$B$17,'Paramètres'!$A$1:$I$89,3,0)*0.475*44/12</f>
        <v>0</v>
      </c>
      <c r="GO120" s="142">
        <f t="shared" si="28"/>
        <v>33.59034428</v>
      </c>
      <c r="GP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1" t="str">
        <f>VLOOKUP(A120,'Données projet'!$A$269:$I$289,2,0)</f>
        <v>#N/A</v>
      </c>
      <c r="GS120" s="131" t="str">
        <f>VLOOKUP(A120,'Données projet'!$A$269:$I$289,9,0)</f>
        <v>#N/A</v>
      </c>
      <c r="GT120" s="131" t="str">
        <f t="array" ref="GT120">INDEX(GS:GS,MIN(IF(ISNUMBER(GS120:GS316),ROW(GS120:GS316),"")))</f>
        <v/>
      </c>
      <c r="GU120" s="138">
        <f>IF('Données projet'!$A$270&gt;35,GU119+GT120-HC119,IF(A120&lt;'Données projet'!$A$270,$GR$205^A120,IF(A120='Données projet'!$A$270,'Données projet'!$B$270,GU119+GT120-HC119)))</f>
        <v>0</v>
      </c>
      <c r="GV120" s="138">
        <f>GU120*VLOOKUP('Données projet'!$B$18,'Paramètres'!$A$1:$I$89,3,0)*VLOOKUP('Données projet'!$B$18,'Paramètres'!$A$1:$I$89,5,0)</f>
        <v>0</v>
      </c>
      <c r="GW120" s="130" t="str">
        <f t="shared" si="52"/>
        <v>#NUM!</v>
      </c>
      <c r="GX120" s="141" t="str">
        <f t="shared" si="29"/>
        <v>#NUM!</v>
      </c>
      <c r="GY120" s="133" t="str">
        <f t="shared" si="30"/>
        <v>#NUM!</v>
      </c>
      <c r="GZ120" s="133">
        <f>AVERAGE(OFFSET($GY$3,0,0,'Données projet'!$E$18+1,1))-AVERAGE(OFFSET($H$3,0,0,'Données projet'!$E$18+1,1))</f>
        <v>100.5427875</v>
      </c>
      <c r="HA120" s="133">
        <f t="shared" si="53"/>
        <v>92.28663609</v>
      </c>
      <c r="HB120" s="134">
        <f>IF(ISNA(VLOOKUP(A120,'Données projet'!$A$269:$I$289,3,0)),0,VLOOKUP(A120,'Données projet'!$A$269:$I$289,3,0))</f>
        <v>0</v>
      </c>
      <c r="HC120" s="134">
        <f>IF(ISNA(VLOOKUP(A120,'Données projet'!$A$269:$I$289,4,0)),0,VLOOKUP(A120,'Données projet'!$A$269:$I$289,4,0))</f>
        <v>0</v>
      </c>
      <c r="HD120" s="135">
        <f>IF(ISNA(VLOOKUP(A120,'Données projet'!$A$269:$I$289,5,0)),0%,VLOOKUP(A120,'Données projet'!$A$269:$I$289,5,0)*VLOOKUP('Données projet'!$B$18,'Paramètres'!$A$1:$I$89,7,0))</f>
        <v>0</v>
      </c>
      <c r="HE120" s="135">
        <f>IF(ISNA(VLOOKUP(A120,'Données projet'!$A$269:$I$289,6,0)),0%,VLOOKUP(A120,'Données projet'!$A$269:$I$289,6,0)*VLOOKUP('Données projet'!$B$18,'Paramètres'!$A$1:$I$89,7,0))</f>
        <v>0</v>
      </c>
      <c r="HF120" s="135">
        <f>IF(ISNA(VLOOKUP(A120,'Données projet'!$A$269:$I$289,7,0)),0%,VLOOKUP(A120,'Données projet'!$A$269:$I$289,7,0))</f>
        <v>0</v>
      </c>
      <c r="HG120" s="142">
        <f>EXP(-LN(2)/35)*HG119+(1-EXP(-LN(2)/35))/(LN(2)/35)*HC120*HD120*VLOOKUP('Données projet'!$B$18,'Paramètres'!$A$1:$I$89,3,0)*0.475*44/12</f>
        <v>22.87431583</v>
      </c>
      <c r="HH120" s="142">
        <f>EXP(-LN(2)/25)*HH119+(1-EXP(-LN(2)/25))/(LN(2)/25)*Calculateur!HC120*Calculateur!HE120*VLOOKUP('Données projet'!$B$18,'Paramètres'!$A$1:$I$89,3,0)*0.475*44/12</f>
        <v>0</v>
      </c>
      <c r="HI120" s="142">
        <f>EXP(-LN(2)/2)*HI119+(1-EXP(-LN(2)/2))/(LN(2)/2)*HC120*HF120*VLOOKUP('Données projet'!$B$18,'Paramètres'!$A$1:$I$89,3,0)*0.475*44/12</f>
        <v>0</v>
      </c>
      <c r="HJ120" s="143">
        <f t="shared" si="31"/>
        <v>22.87431583</v>
      </c>
    </row>
    <row r="121" ht="15.75" customHeight="1">
      <c r="A121" s="125">
        <f t="shared" si="32"/>
        <v>118</v>
      </c>
      <c r="B121" s="126">
        <f>'Scénario référence'!$B$16*5+'Scénario référence'!$B$17*0+'Scénario référence'!$B$18*5</f>
        <v>0</v>
      </c>
      <c r="C121" s="140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64.428</v>
      </c>
      <c r="D121" s="127">
        <f t="shared" si="33"/>
        <v>18.28312488</v>
      </c>
      <c r="E12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7">
        <f>IF(OR('Scénario référence'!$F$8&gt;0,'Scénario référence'!$F$9&gt;0),('Scénario référence'!$F$8+'Scénario référence'!$F$9)*10,0)</f>
        <v>10</v>
      </c>
      <c r="G121" s="127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638.4718412</v>
      </c>
      <c r="H121" s="128">
        <f t="shared" si="1"/>
        <v>437.3885425</v>
      </c>
      <c r="I121" s="12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1" t="str">
        <f>VLOOKUP(A121,'Données projet'!$A$35:$I$55,2,0)</f>
        <v>#N/A</v>
      </c>
      <c r="L121" s="131" t="str">
        <f>VLOOKUP(A121,'Données projet'!$A$35:$I$55,9,0)</f>
        <v>#N/A</v>
      </c>
      <c r="M121" s="131" t="str">
        <f t="array" ref="M121">INDEX(L:L,MIN(IF(ISNUMBER(L121:L317),ROW(L121:L317),"")))</f>
        <v/>
      </c>
      <c r="N121" s="130">
        <f>IF('Données projet'!$A$36&gt;35,N120+M121-V120,IF(A121&lt;'Données projet'!$A$36,$K$205^A121,IF(A121='Données projet'!$A$36,'Données projet'!$B$36,N120+M121-V120)))</f>
        <v>0</v>
      </c>
      <c r="O121" s="130">
        <f>N121*VLOOKUP('Données projet'!$B$9,'Paramètres'!$A$1:$I$89,3,0)*VLOOKUP('Données projet'!$B$9,'Paramètres'!$A$1:$I$89,5,0)</f>
        <v>0</v>
      </c>
      <c r="P121" s="130">
        <f t="shared" si="34"/>
        <v>0</v>
      </c>
      <c r="Q121" s="141">
        <f t="shared" si="2"/>
        <v>0</v>
      </c>
      <c r="R121" s="133">
        <f t="shared" si="3"/>
        <v>293.3333333</v>
      </c>
      <c r="S121" s="133">
        <f>AVERAGE(OFFSET($R$3,0,0,'Données projet'!$E$9+1,1))-AVERAGE(OFFSET($H$3,0,0,'Données projet'!$E$9+1,1))</f>
        <v>126.9946492</v>
      </c>
      <c r="T121" s="133">
        <f t="shared" si="35"/>
        <v>140.039049</v>
      </c>
      <c r="U121" s="134">
        <f>IF(ISNA(VLOOKUP(A121,'Données projet'!$A$35:$I$55,3,0)),0,VLOOKUP(A121,'Données projet'!$A$35:$I$55,3,0))</f>
        <v>0</v>
      </c>
      <c r="V121" s="134">
        <f>IF(ISNA(VLOOKUP(A121,'Données projet'!$A$35:$I$55,4,0)),0,VLOOKUP(A121,'Données projet'!$A$35:$I$55,4,0))</f>
        <v>0</v>
      </c>
      <c r="W121" s="135">
        <f>IF(ISNA(VLOOKUP(A121,'Données projet'!$A$35:$I$55,5,0)),0%,VLOOKUP(A121,'Données projet'!$A$35:$I$55,5,0)*VLOOKUP('Données projet'!$B$9,'Paramètres'!$A$1:$I$89,7,0))</f>
        <v>0</v>
      </c>
      <c r="X121" s="135">
        <f>IF(ISNA(VLOOKUP(A121,'Données projet'!$A$35:$I$55,6,0)),0%,VLOOKUP(A121,'Données projet'!$A$35:$I$55,6,0)*VLOOKUP('Données projet'!$B$9,'Paramètres'!$A$1:$I$89,7,0))</f>
        <v>0</v>
      </c>
      <c r="Y121" s="135">
        <f>IF(ISNA(VLOOKUP(A121,'Données projet'!$A$35:$I$55,7,0)),0%,VLOOKUP(A121,'Données projet'!$A$35:$I$55,7,0))</f>
        <v>0</v>
      </c>
      <c r="Z121" s="142">
        <f>EXP(-LN(2)/35)*Z120+(1-EXP(-LN(2)/35))/(LN(2)/35)*V121*W121*VLOOKUP('Données projet'!$B$9,'Paramètres'!$A$1:$I$89,3,0)*0.475*44/12</f>
        <v>33.68175555</v>
      </c>
      <c r="AA121" s="142">
        <f>EXP(-LN(2)/25)*AA120+(1-EXP(-LN(2)/25))/(LN(2)/25)*Calculateur!V121*Calculateur!X121*VLOOKUP('Données projet'!$B$9,'Paramètres'!$A$1:$I$89,3,0)*0.475*44/12</f>
        <v>4.653945106</v>
      </c>
      <c r="AB121" s="142">
        <f>EXP(-LN(2)/2)*AB120+(1-EXP(-LN(2)/2))/(LN(2)/2)*V121*Y121*VLOOKUP('Données projet'!$B$9,'Paramètres'!$A$1:$I$89,3,0)*0.475*44/12</f>
        <v>0.00000003537046017</v>
      </c>
      <c r="AC121" s="143">
        <f t="shared" si="4"/>
        <v>38.33570069</v>
      </c>
      <c r="AD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1" t="str">
        <f>VLOOKUP(A121,'Données projet'!$A$61:$I$81,2,0)</f>
        <v>#N/A</v>
      </c>
      <c r="AG121" s="131" t="str">
        <f>VLOOKUP(A121,'Données projet'!$A$61:$I$81,9,0)</f>
        <v>#N/A</v>
      </c>
      <c r="AH121" s="131" t="str">
        <f t="array" ref="AH121">INDEX(AG:AG,MIN(IF(ISNUMBER(AG121:AG317),ROW(AG121:AG317),"")))</f>
        <v/>
      </c>
      <c r="AI121" s="130">
        <f>IF('Données projet'!$A$62&gt;35,AI120+AH121-AQ120,IF(A121&lt;'Données projet'!$A$62,$AF$205^A121,IF(A121='Données projet'!$A$62,'Données projet'!$B$62,AI120+AH121-AQ120)))</f>
        <v>0</v>
      </c>
      <c r="AJ121" s="130">
        <f>AI121*VLOOKUP('Données projet'!$B$10,'Paramètres'!$A$1:$I$89,3,0)*VLOOKUP('Données projet'!$B$10,'Paramètres'!$A$1:$I$89,5,0)</f>
        <v>0</v>
      </c>
      <c r="AK121" s="130" t="str">
        <f t="shared" si="36"/>
        <v>#NUM!</v>
      </c>
      <c r="AL121" s="141" t="str">
        <f t="shared" si="5"/>
        <v>#NUM!</v>
      </c>
      <c r="AM121" s="133" t="str">
        <f t="shared" si="6"/>
        <v>#NUM!</v>
      </c>
      <c r="AN121" s="133">
        <f>AVERAGE(OFFSET($AM$3,0,0,'Données projet'!$E$10+1,1))-AVERAGE(OFFSET($H$3,0,0,'Données projet'!$E$10+1,1))</f>
        <v>196.874484</v>
      </c>
      <c r="AO121" s="133">
        <f t="shared" si="37"/>
        <v>217.5750859</v>
      </c>
      <c r="AP121" s="134">
        <f>IF(ISNA(VLOOKUP(A121,'Données projet'!$A$61:$I$81,3,0)),0,VLOOKUP(A121,'Données projet'!$A$61:$I$81,3,0))</f>
        <v>0</v>
      </c>
      <c r="AQ121" s="134">
        <f>IF(ISNA(VLOOKUP(A121,'Données projet'!$A$61:$I$81,4,0)),0,VLOOKUP(A121,'Données projet'!$A$61:$I$81,4,0))</f>
        <v>0</v>
      </c>
      <c r="AR121" s="135">
        <f>IF(ISNA(VLOOKUP(A121,'Données projet'!$A$61:$I$81,5,0)),0%,VLOOKUP(A121,'Données projet'!$A$61:$I$81,5,0)*VLOOKUP('Données projet'!$B$10,'Paramètres'!$A$1:$I$89,7,0))</f>
        <v>0</v>
      </c>
      <c r="AS121" s="135">
        <f>IF(ISNA(VLOOKUP(A121,'Données projet'!$A$61:$I$81,6,0)),0%,VLOOKUP(A121,'Données projet'!$A$61:$I$81,6,0)*VLOOKUP('Données projet'!$B$10,'Paramètres'!$A$1:$I$89,7,0))</f>
        <v>0</v>
      </c>
      <c r="AT121" s="135">
        <f>IF(ISNA(VLOOKUP(A121,'Données projet'!$A$61:$I$81,7,0)),0%,VLOOKUP(A121,'Données projet'!$A$61:$I$81,7,0))</f>
        <v>0</v>
      </c>
      <c r="AU121" s="142">
        <f>EXP(-LN(2)/35)*AU120+(1-EXP(-LN(2)/35))/(LN(2)/35)*AQ121*AR121*VLOOKUP('Données projet'!$B$10,'Paramètres'!$A$1:$I$89,3,0)*0.475*44/12</f>
        <v>46.81668353</v>
      </c>
      <c r="AV121" s="142">
        <f>EXP(-LN(2)/25)*AV120+(1-EXP(-LN(2)/25))/(LN(2)/25)*Calculateur!AQ121*Calculateur!AS121*VLOOKUP('Données projet'!$B$10,'Paramètres'!$A$1:$I$89,3,0)*0.475*44/12</f>
        <v>7.155446817</v>
      </c>
      <c r="AW121" s="142">
        <f>EXP(-LN(2)/2)*AW120+(1-EXP(-LN(2)/2))/(LN(2)/2)*AQ121*AT121*VLOOKUP('Données projet'!$B$10,'Paramètres'!$A$1:$I$89,3,0)*0.475*44/12</f>
        <v>0.00000004931384775</v>
      </c>
      <c r="AX121" s="142">
        <f t="shared" si="7"/>
        <v>53.97213039</v>
      </c>
      <c r="AY121" s="13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1" t="str">
        <f>VLOOKUP(A121,'Données projet'!$A$87:$I$107,2,0)</f>
        <v>#N/A</v>
      </c>
      <c r="BB121" s="131" t="str">
        <f>VLOOKUP(A121,'Données projet'!$A$87:$I$107,9,0)</f>
        <v>#N/A</v>
      </c>
      <c r="BC121" s="131" t="str">
        <f t="array" ref="BC121">INDEX(BB:BB,MIN(IF(ISNUMBER(BB121:BB317),ROW(BB121:BB317),"")))</f>
        <v/>
      </c>
      <c r="BD121" s="130">
        <f>IF('Données projet'!$A$88&gt;35,BD120+BC121-BL120,IF(A121&lt;'Données projet'!$A$88,$BA$205^A121,IF(A121='Données projet'!$A$88,'Données projet'!$B$88,BD120+BC121-BL120)))</f>
        <v>0</v>
      </c>
      <c r="BE121" s="130">
        <f>BD121*VLOOKUP('Données projet'!$B$11,'Paramètres'!$A$1:$I$89,3,0)*VLOOKUP('Données projet'!$B$11,'Paramètres'!$A$1:$I$89,5,0)</f>
        <v>0</v>
      </c>
      <c r="BF121" s="130" t="str">
        <f t="shared" si="38"/>
        <v>#NUM!</v>
      </c>
      <c r="BG121" s="141" t="str">
        <f t="shared" si="8"/>
        <v>#NUM!</v>
      </c>
      <c r="BH121" s="133" t="str">
        <f t="shared" si="9"/>
        <v>#NUM!</v>
      </c>
      <c r="BI121" s="133">
        <f>AVERAGE(OFFSET($BH$3,0,0,'Données projet'!$E$11+1,1))-AVERAGE(OFFSET($H$3,0,0,'Données projet'!$E$11+1,1))</f>
        <v>134.0948534</v>
      </c>
      <c r="BJ121" s="133">
        <f t="shared" si="39"/>
        <v>108.4102536</v>
      </c>
      <c r="BK121" s="134">
        <f>IF(ISNA(VLOOKUP(A121,'Données projet'!$A$87:$I$107,3,0)),0,VLOOKUP(A121,'Données projet'!$A$87:$I$107,3,0))</f>
        <v>0</v>
      </c>
      <c r="BL121" s="134">
        <f>IF(ISNA(VLOOKUP(A121,'Données projet'!$A$87:$I$107,4,0)),0,VLOOKUP(A121,'Données projet'!$A$87:$I$107,4,0))</f>
        <v>0</v>
      </c>
      <c r="BM121" s="135">
        <f>IF(ISNA(VLOOKUP(A121,'Données projet'!$A$87:$I$107,5,0)),0%,VLOOKUP(A121,'Données projet'!$A$87:$I$107,5,0)*VLOOKUP('Données projet'!$B$11,'Paramètres'!$A$1:$I$89,7,0))</f>
        <v>0</v>
      </c>
      <c r="BN121" s="135">
        <f>IF(ISNA(VLOOKUP(A121,'Données projet'!$A$87:$I$107,6,0)),0%,VLOOKUP(A121,'Données projet'!$A$87:$I$107,6,0)*VLOOKUP('Données projet'!$B$11,'Paramètres'!$A$1:$I$89,7,0))</f>
        <v>0</v>
      </c>
      <c r="BO121" s="135">
        <f>IF(ISNA(VLOOKUP(A121,'Données projet'!$A$87:$I$107,7,0)),0%,VLOOKUP(A121,'Données projet'!$A$87:$I$107,7,0))</f>
        <v>0</v>
      </c>
      <c r="BP121" s="142">
        <f>EXP(-LN(2)/35)*BP120+(1-EXP(-LN(2)/35))/(LN(2)/35)*BL121*BM121*VLOOKUP('Données projet'!$B$11,'Paramètres'!$A$1:$I$89,3,0)*0.475*44/12</f>
        <v>64.75621673</v>
      </c>
      <c r="BQ121" s="142">
        <f>EXP(-LN(2)/25)*BQ120+(1-EXP(-LN(2)/25))/(LN(2)/25)*Calculateur!BL121*Calculateur!BN121*VLOOKUP('Données projet'!$B$11,'Paramètres'!$A$1:$I$89,3,0)*0.475*44/12</f>
        <v>4.513661996</v>
      </c>
      <c r="BR121" s="142">
        <f>EXP(-LN(2)/2)*BR120+(1-EXP(-LN(2)/2))/(LN(2)/2)*BL121*BO121*VLOOKUP('Données projet'!$B$11,'Paramètres'!$A$1:$I$89,3,0)*0.475*44/12</f>
        <v>0.0000006577759579</v>
      </c>
      <c r="BS121" s="143">
        <f t="shared" si="10"/>
        <v>69.26987938</v>
      </c>
      <c r="BT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1" t="str">
        <f>VLOOKUP(A121,'Données projet'!$A$113:$I$133,2,0)</f>
        <v>#N/A</v>
      </c>
      <c r="BW121" s="131" t="str">
        <f>VLOOKUP(A121,'Données projet'!$A$113:$I$133,9,0)</f>
        <v>#N/A</v>
      </c>
      <c r="BX121" s="131" t="str">
        <f t="array" ref="BX121">INDEX(BW:BW,MIN(IF(ISNUMBER(BW121:BW317),ROW(BW121:BW317),"")))</f>
        <v/>
      </c>
      <c r="BY121" s="130">
        <f>IF('Données projet'!$A$114&gt;35,BY120+BX121-CG120,IF(A121&lt;'Données projet'!$A$114,$BV$205^A121,IF(A121='Données projet'!$A$114,'Données projet'!$B$114,BY120+BX121-CG120)))</f>
        <v>0</v>
      </c>
      <c r="BZ121" s="130">
        <f>BY121*VLOOKUP('Données projet'!$B$12,'Paramètres'!$A$1:$I$89,3,0)*VLOOKUP('Données projet'!$B$12,'Paramètres'!$A$1:$I$89,5,0)</f>
        <v>0</v>
      </c>
      <c r="CA121" s="130" t="str">
        <f t="shared" si="40"/>
        <v>#NUM!</v>
      </c>
      <c r="CB121" s="141" t="str">
        <f t="shared" si="11"/>
        <v>#NUM!</v>
      </c>
      <c r="CC121" s="133" t="str">
        <f t="shared" si="12"/>
        <v>#NUM!</v>
      </c>
      <c r="CD121" s="133">
        <f>AVERAGE(OFFSET($CC$3,0,0,'Données projet'!$E$12+1,1))-AVERAGE(OFFSET($H$3,0,0,'Données projet'!$E$12+1,1))</f>
        <v>258.1672054</v>
      </c>
      <c r="CE121" s="133">
        <f t="shared" si="41"/>
        <v>296.0724261</v>
      </c>
      <c r="CF121" s="134">
        <f>IF(ISNA(VLOOKUP(A121,'Données projet'!$A$113:$I$133,3,0)),0,VLOOKUP(A121,'Données projet'!$A$113:$I$133,3,0))</f>
        <v>0</v>
      </c>
      <c r="CG121" s="134">
        <f>IF(ISNA(VLOOKUP(A121,'Données projet'!$A$113:$I$133,4,0)),0,VLOOKUP(A121,'Données projet'!$A$113:$I$133,4,0))</f>
        <v>0</v>
      </c>
      <c r="CH121" s="135">
        <f>IF(ISNA(VLOOKUP(A121,'Données projet'!$A$113:$I$133,5,0)),0%,VLOOKUP(A121,'Données projet'!$A$113:$I$133,5,0)*VLOOKUP('Données projet'!$B$12,'Paramètres'!$A$1:$I$89,7,0))</f>
        <v>0</v>
      </c>
      <c r="CI121" s="135">
        <f>IF(ISNA(VLOOKUP(A121,'Données projet'!$A$113:$I$133,6,0)),0%,VLOOKUP(A121,'Données projet'!$A$113:$I$133,6,0)*VLOOKUP('Données projet'!$B$12,'Paramètres'!$A$1:$I$89,7,0))</f>
        <v>0</v>
      </c>
      <c r="CJ121" s="135">
        <f>IF(ISNA(VLOOKUP(A121,'Données projet'!$A$113:$I$133,7,0)),0%,VLOOKUP(A121,'Données projet'!$A$113:$I$133,7,0))</f>
        <v>0</v>
      </c>
      <c r="CK121" s="142">
        <f>EXP(-LN(2)/35)*CK120+(1-EXP(-LN(2)/35))/(LN(2)/35)*CG121*CH121*VLOOKUP('Données projet'!$B$12,'Paramètres'!$A$1:$I$89,3,0)*0.475*44/12</f>
        <v>81.87166768</v>
      </c>
      <c r="CL121" s="142">
        <f>EXP(-LN(2)/25)*CL120+(1-EXP(-LN(2)/25))/(LN(2)/25)*Calculateur!CG121*Calculateur!CI121*VLOOKUP('Données projet'!$B$12,'Paramètres'!$A$1:$I$89,3,0)*0.475*44/12</f>
        <v>7.917219369</v>
      </c>
      <c r="CM121" s="142">
        <f>EXP(-LN(2)/2)*CM120+(1-EXP(-LN(2)/2))/(LN(2)/2)*CG121*CJ121*VLOOKUP('Données projet'!$B$12,'Paramètres'!$A$1:$I$89,3,0)*0.475*44/12</f>
        <v>0.00000002771132473</v>
      </c>
      <c r="CN121" s="143">
        <f t="shared" si="13"/>
        <v>89.78888708</v>
      </c>
      <c r="CO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1" t="str">
        <f>VLOOKUP(A121,'Données projet'!$A$139:$I$159,2,0)</f>
        <v>#N/A</v>
      </c>
      <c r="CR121" s="131" t="str">
        <f>VLOOKUP(A121,'Données projet'!$A$139:$I$159,9,0)</f>
        <v>#N/A</v>
      </c>
      <c r="CS121" s="130">
        <f t="array" ref="CS121">INDEX(CR:CR,MIN(IF(ISNUMBER(CR121:CR317),ROW(CR121:CR317),"")))</f>
        <v>1.5</v>
      </c>
      <c r="CT121" s="138">
        <f>IF('Données projet'!$A$140&gt;35,CT120+CS121-DB120,IF(A121&lt;'Données projet'!$A$140,$CQ$205^A121,IF(A121='Données projet'!$A$140,'Données projet'!$B$140,CT120+CS121-DB120)))</f>
        <v>218</v>
      </c>
      <c r="CU121" s="138">
        <f>CT121*VLOOKUP('Données projet'!$B$13,'Paramètres'!$A$1:$I$89,3,0)*VLOOKUP('Données projet'!$B$13,'Paramètres'!$A$1:$I$89,5,0)</f>
        <v>221.052</v>
      </c>
      <c r="CV121" s="130">
        <f t="shared" si="42"/>
        <v>54.3434692</v>
      </c>
      <c r="CW121" s="141">
        <f t="shared" si="14"/>
        <v>479.6471089</v>
      </c>
      <c r="CX121" s="133">
        <f t="shared" si="15"/>
        <v>772.9804422</v>
      </c>
      <c r="CY121" s="133">
        <f>AVERAGE(OFFSET($CX$3,0,0,'Données projet'!$E$13+1,1))-AVERAGE(OFFSET($H$3,0,0,'Données projet'!$E$13+1,1))</f>
        <v>223.783507</v>
      </c>
      <c r="CZ121" s="133">
        <f t="shared" si="43"/>
        <v>84.92349117</v>
      </c>
      <c r="DA121" s="134">
        <f>IF(ISNA(VLOOKUP(A121,'Données projet'!$A$139:$I$159,3,0)),0,VLOOKUP(A121,'Données projet'!$A$139:$I$159,3,0))</f>
        <v>0</v>
      </c>
      <c r="DB121" s="134">
        <f>IF(ISNA(VLOOKUP(A121,'Données projet'!$A$139:$I$159,4,0)),0,VLOOKUP(A121,'Données projet'!$A$139:$I$159,4,0))</f>
        <v>0</v>
      </c>
      <c r="DC121" s="135">
        <f>IF(ISNA(VLOOKUP(A121,'Données projet'!$A$139:$I$159,5,0)),0%,VLOOKUP(A121,'Données projet'!$A$139:$I$159,5,0)*VLOOKUP('Données projet'!$B$13,'Paramètres'!$A$1:$I$89,7,0))</f>
        <v>0</v>
      </c>
      <c r="DD121" s="135">
        <f>IF(ISNA(VLOOKUP(A121,'Données projet'!$A$139:$I$159,6,0)),0%,VLOOKUP(A121,'Données projet'!$A$139:$I$159,6,0)*VLOOKUP('Données projet'!$B$13,'Paramètres'!$A$1:$I$89,7,0))</f>
        <v>0</v>
      </c>
      <c r="DE121" s="135">
        <f>IF(ISNA(VLOOKUP(A121,'Données projet'!$A$139:$I$159,7,0)),0%,VLOOKUP(A121,'Données projet'!$A$139:$I$159,7,0))</f>
        <v>0</v>
      </c>
      <c r="DF121" s="142">
        <f>EXP(-LN(2)/35)*DF120+(1-EXP(-LN(2)/35))/(LN(2)/35)*DB121*DC121*VLOOKUP('Données projet'!$B$13,'Paramètres'!$A$1:$I$89,3,0)*0.475*44/12</f>
        <v>18.39248057</v>
      </c>
      <c r="DG121" s="142">
        <f>EXP(-LN(2)/25)*DG120+(1-EXP(-LN(2)/25))/(LN(2)/25)*Calculateur!DB121*Calculateur!DD121*VLOOKUP('Données projet'!$B$13,'Paramètres'!$A$1:$I$89,3,0)*0.475*44/12</f>
        <v>0</v>
      </c>
      <c r="DH121" s="142">
        <f>EXP(-LN(2)/2)*DH120+(1-EXP(-LN(2)/2))/(LN(2)/2)*DB121*DE121*VLOOKUP('Données projet'!$B$13,'Paramètres'!$A$1:$I$89,3,0)*0.475*44/12</f>
        <v>0</v>
      </c>
      <c r="DI121" s="143">
        <f t="shared" si="16"/>
        <v>18.39248057</v>
      </c>
      <c r="DJ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1" t="str">
        <f>VLOOKUP(A121,'Données projet'!$A$165:$I$185,2,0)</f>
        <v>#N/A</v>
      </c>
      <c r="DM121" s="131" t="str">
        <f>VLOOKUP(A121,'Données projet'!$A$165:$I$185,9,0)</f>
        <v>#N/A</v>
      </c>
      <c r="DN121" s="131">
        <f t="array" ref="DN121">INDEX(DM:DM,MIN(IF(ISNUMBER(DM121:DM317),ROW(DM121:DM317),"")))</f>
        <v>1.9</v>
      </c>
      <c r="DO121" s="138">
        <f>IF('Données projet'!$A$166&gt;35,DO120+DN121-DW120,IF(A121&lt;'Données projet'!$A$166,$DL$205^A121,IF(A121='Données projet'!$A$166,'Données projet'!$B$166,DO120+DN121-DW120)))</f>
        <v>281.2</v>
      </c>
      <c r="DP121" s="138">
        <f>DO121*VLOOKUP('Données projet'!$B$14,'Paramètres'!$A$1:$I$89,3,0)*VLOOKUP('Données projet'!$B$14,'Paramètres'!$A$1:$I$89,5,0)</f>
        <v>254.42976</v>
      </c>
      <c r="DQ121" s="130">
        <f t="shared" si="44"/>
        <v>61.53353547</v>
      </c>
      <c r="DR121" s="141">
        <f t="shared" si="17"/>
        <v>550.3027396</v>
      </c>
      <c r="DS121" s="133">
        <f t="shared" si="18"/>
        <v>843.6360729</v>
      </c>
      <c r="DT121" s="133">
        <f>AVERAGE(OFFSET($DS$3,0,0,'Données projet'!$E$14+1,1))-AVERAGE(OFFSET($H$3,0,0,'Données projet'!$E$14+1,1))</f>
        <v>287.9334714</v>
      </c>
      <c r="DU121" s="133">
        <f t="shared" si="45"/>
        <v>156.6796502</v>
      </c>
      <c r="DV121" s="134">
        <f>IF(ISNA(VLOOKUP(A121,'Données projet'!$A$165:$I$185,3,0)),0,VLOOKUP(A121,'Données projet'!$A$165:$I$185,3,0))</f>
        <v>0</v>
      </c>
      <c r="DW121" s="134">
        <f>IF(ISNA(VLOOKUP(A121,'Données projet'!$A$165:$I$185,4,0)),0,VLOOKUP(A121,'Données projet'!$A$165:$I$185,4,0))</f>
        <v>0</v>
      </c>
      <c r="DX121" s="135">
        <f>IF(ISNA(VLOOKUP(A121,'Données projet'!$A$165:$I$185,5,0)),0%,VLOOKUP(A121,'Données projet'!$A$165:$I$185,5,0)*VLOOKUP('Données projet'!$B$14,'Paramètres'!$A$1:$I$89,7,0))</f>
        <v>0</v>
      </c>
      <c r="DY121" s="135">
        <f>IF(ISNA(VLOOKUP(A121,'Données projet'!$A$165:$I$185,6,0)),0%,VLOOKUP(A121,'Données projet'!$A$165:$I$185,6,0)*VLOOKUP('Données projet'!$B$14,'Paramètres'!$A$1:$I$89,7,0))</f>
        <v>0</v>
      </c>
      <c r="DZ121" s="135">
        <f>IF(ISNA(VLOOKUP(A121,'Données projet'!$A$165:$I$185,7,0)),0%,VLOOKUP(A121,'Données projet'!$A$165:$I$185,7,0))</f>
        <v>0</v>
      </c>
      <c r="EA121" s="142">
        <f>EXP(-LN(2)/35)*EA120+(1-EXP(-LN(2)/35))/(LN(2)/35)*DW121*DX121*VLOOKUP('Données projet'!$B$14,'Paramètres'!$A$1:$I$89,3,0)*0.475*44/12</f>
        <v>27.38674658</v>
      </c>
      <c r="EB121" s="142">
        <f>EXP(-LN(2)/25)*EB120+(1-EXP(-LN(2)/25))/(LN(2)/25)*Calculateur!DW121*Calculateur!DY121*VLOOKUP('Données projet'!$B$14,'Paramètres'!$A$1:$I$89,3,0)*0.475*44/12</f>
        <v>0</v>
      </c>
      <c r="EC121" s="142">
        <f>EXP(-LN(2)/2)*EC120+(1-EXP(-LN(2)/2))/(LN(2)/2)*DW121*DZ121*VLOOKUP('Données projet'!$B$14,'Paramètres'!$A$1:$I$89,3,0)*0.475*44/12</f>
        <v>0</v>
      </c>
      <c r="ED121" s="143">
        <f t="shared" si="19"/>
        <v>27.38674658</v>
      </c>
      <c r="EE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1" t="str">
        <f>VLOOKUP(A121,'Données projet'!$A$191:$I$211,2,0)</f>
        <v>#N/A</v>
      </c>
      <c r="EH121" s="131" t="str">
        <f>VLOOKUP(A121,'Données projet'!$A$191:$I$211,9,0)</f>
        <v>#N/A</v>
      </c>
      <c r="EI121" s="131" t="str">
        <f t="array" ref="EI121">INDEX(EH:EH,MIN(IF(ISNUMBER(EH121:EH317),ROW(EH121:EH317),"")))</f>
        <v/>
      </c>
      <c r="EJ121" s="138">
        <f>IF('Données projet'!$A$192&gt;35,EJ120+EI121-ER120,IF(A121&lt;'Données projet'!$A$192,$EG$205^A121,IF(A121='Données projet'!$A$192,'Données projet'!$B$192,EJ120+EI121-ER120)))</f>
        <v>0</v>
      </c>
      <c r="EK121" s="138">
        <f>EJ121*VLOOKUP('Données projet'!$B$15,'Paramètres'!$A$1:$I$89,3,0)*VLOOKUP('Données projet'!$B$15,'Paramètres'!$A$1:$I$89,5,0)</f>
        <v>0</v>
      </c>
      <c r="EL121" s="130" t="str">
        <f t="shared" si="46"/>
        <v>#NUM!</v>
      </c>
      <c r="EM121" s="141" t="str">
        <f t="shared" si="20"/>
        <v>#NUM!</v>
      </c>
      <c r="EN121" s="133" t="str">
        <f t="shared" si="21"/>
        <v>#NUM!</v>
      </c>
      <c r="EO121" s="133">
        <f>AVERAGE(OFFSET($EN$3,0,0,'Données projet'!$E$15+1,1))-AVERAGE(OFFSET($H$3,0,0,'Données projet'!$E$15+1,1))</f>
        <v>130.3193339</v>
      </c>
      <c r="EP121" s="133">
        <f t="shared" si="47"/>
        <v>82.22784365</v>
      </c>
      <c r="EQ121" s="134">
        <f>IF(ISNA(VLOOKUP(A121,'Données projet'!$A$191:$I$211,3,0)),0,VLOOKUP(A121,'Données projet'!$A$191:$I$211,3,0))</f>
        <v>0</v>
      </c>
      <c r="ER121" s="134">
        <f>IF(ISNA(VLOOKUP(A121,'Données projet'!$A$191:$I$211,4,0)),0,VLOOKUP(A121,'Données projet'!$A$191:$I$211,4,0))</f>
        <v>0</v>
      </c>
      <c r="ES121" s="135">
        <f>IF(ISNA(VLOOKUP(A121,'Données projet'!$A$191:$I$211,5,0)),0%,VLOOKUP(A121,'Données projet'!$A$191:$I$211,5,0)*VLOOKUP('Données projet'!$B$15,'Paramètres'!$A$1:$I$89,7,0))</f>
        <v>0</v>
      </c>
      <c r="ET121" s="135">
        <f>IF(ISNA(VLOOKUP(A121,'Données projet'!$A$191:$I$211,6,0)),0%,VLOOKUP(A121,'Données projet'!$A$191:$I$211,6,0)*VLOOKUP('Données projet'!$B$15,'Paramètres'!$A$1:$I$89,7,0))</f>
        <v>0</v>
      </c>
      <c r="EU121" s="135">
        <f>IF(ISNA(VLOOKUP(A121,'Données projet'!$A$191:$I$211,7,0)),0%,VLOOKUP(A121,'Données projet'!$A$191:$I$211,7,0))</f>
        <v>0</v>
      </c>
      <c r="EV121" s="142">
        <f>EXP(-LN(2)/35)*EV120+(1-EXP(-LN(2)/35))/(LN(2)/35)*ER121*ES121*VLOOKUP('Données projet'!$B$15,'Paramètres'!$A$1:$I$89,3,0)*0.475*44/12</f>
        <v>50.06283109</v>
      </c>
      <c r="EW121" s="142">
        <f>EXP(-LN(2)/25)*EW120+(1-EXP(-LN(2)/25))/(LN(2)/25)*Calculateur!ER121*Calculateur!ET121*VLOOKUP('Données projet'!$B$15,'Paramètres'!$A$1:$I$89,3,0)*0.475*44/12</f>
        <v>0</v>
      </c>
      <c r="EX121" s="142">
        <f>EXP(-LN(2)/2)*EX120+(1-EXP(-LN(2)/2))/(LN(2)/2)*ER121*EU121*VLOOKUP('Données projet'!$B$15,'Paramètres'!$A$1:$I$89,3,0)*0.475*44/12</f>
        <v>0</v>
      </c>
      <c r="EY121" s="143">
        <f t="shared" si="22"/>
        <v>50.06283109</v>
      </c>
      <c r="EZ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1" t="str">
        <f>VLOOKUP(A121,'Données projet'!$A$217:$I$237,2,0)</f>
        <v>#N/A</v>
      </c>
      <c r="FC121" s="131" t="str">
        <f>VLOOKUP(A121,'Données projet'!$A$217:$I$237,9,0)</f>
        <v>#N/A</v>
      </c>
      <c r="FD121" s="131" t="str">
        <f t="array" ref="FD121">INDEX(FC:FC,MIN(IF(ISNUMBER(FC121:FC317),ROW(FC121:FC317),"")))</f>
        <v/>
      </c>
      <c r="FE121" s="130">
        <f>IF('Données projet'!$A$218&gt;35,FE120+FD121-FM120,IF(A121&lt;'Données projet'!$A$218,$FB$205^A121,IF(A121='Données projet'!$A$218,'Données projet'!$B$218,FE120+FD121-FM120)))</f>
        <v>0</v>
      </c>
      <c r="FF121" s="138">
        <f>FE121*VLOOKUP('Données projet'!$B$16,'Paramètres'!$A$1:$I$89,3,0)*VLOOKUP('Données projet'!$B$16,'Paramètres'!$A$1:$I$89,5,0)</f>
        <v>0</v>
      </c>
      <c r="FG121" s="130">
        <f t="shared" si="48"/>
        <v>0</v>
      </c>
      <c r="FH121" s="141">
        <f t="shared" si="23"/>
        <v>0</v>
      </c>
      <c r="FI121" s="133">
        <f t="shared" si="24"/>
        <v>293.3333333</v>
      </c>
      <c r="FJ121" s="133">
        <f>AVERAGE(OFFSET($FI$3,0,0,'Données projet'!$E$16+1,1))-AVERAGE(OFFSET($H$3,0,0,'Données projet'!$E$16+1,1))</f>
        <v>305.6252353</v>
      </c>
      <c r="FK121" s="133">
        <f t="shared" si="49"/>
        <v>331.397916</v>
      </c>
      <c r="FL121" s="134">
        <f>IF(ISNA(VLOOKUP(A121,'Données projet'!$A$217:$I$237,3,0)),0,VLOOKUP(A121,'Données projet'!$A$217:$I$237,3,0))</f>
        <v>0</v>
      </c>
      <c r="FM121" s="134">
        <f>IF(ISNA(VLOOKUP(A121,'Données projet'!$A$217:$I$237,4,0)),0,VLOOKUP(A121,'Données projet'!$A$217:$I$237,4,0))</f>
        <v>0</v>
      </c>
      <c r="FN121" s="135">
        <f>IF(ISNA(VLOOKUP(A121,'Données projet'!$A$217:$I$237,5,0)),0%,VLOOKUP(A121,'Données projet'!$A$217:$I$237,5,0)*VLOOKUP('Données projet'!$B$16,'Paramètres'!$A$1:$I$89,7,0))</f>
        <v>0</v>
      </c>
      <c r="FO121" s="135">
        <f>IF(ISNA(VLOOKUP(A121,'Données projet'!$A$217:$I$237,6,0)),0%,VLOOKUP(A121,'Données projet'!$A$217:$I$237,6,0)*VLOOKUP('Données projet'!$B$16,'Paramètres'!$A$1:$I$89,7,0))</f>
        <v>0</v>
      </c>
      <c r="FP121" s="135">
        <f>IF(ISNA(VLOOKUP(A121,'Données projet'!$A$217:$I$237,7,0)),0%,VLOOKUP(A121,'Données projet'!$A$217:$I$237,7,0))</f>
        <v>0</v>
      </c>
      <c r="FQ121" s="142">
        <f>EXP(-LN(2)/35)*FQ120+(1-EXP(-LN(2)/35))/(LN(2)/35)*FM121*FN121*VLOOKUP('Données projet'!$B$16,'Paramètres'!$A$1:$I$89,3,0)*0.475*44/12</f>
        <v>31.17061478</v>
      </c>
      <c r="FR121" s="142">
        <f>EXP(-LN(2)/25)*FR120+(1-EXP(-LN(2)/25))/(LN(2)/25)*Calculateur!FM121*Calculateur!FO121*VLOOKUP('Données projet'!$B$16,'Paramètres'!$A$1:$I$89,3,0)*0.475*44/12</f>
        <v>0</v>
      </c>
      <c r="FS121" s="142">
        <f>EXP(-LN(2)/2)*FS120+(1-EXP(-LN(2)/2))/(LN(2)/2)*FM121*FP121*VLOOKUP('Données projet'!$B$16,'Paramètres'!$A$1:$I$89,3,0)*0.475*44/12</f>
        <v>0</v>
      </c>
      <c r="FT121" s="143">
        <f t="shared" si="25"/>
        <v>31.17061478</v>
      </c>
      <c r="FU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1" t="str">
        <f>VLOOKUP(A121,'Données projet'!$A$243:$I$263,2,0)</f>
        <v>#N/A</v>
      </c>
      <c r="FX121" s="131" t="str">
        <f>VLOOKUP(A121,'Données projet'!$A$243:$I$263,9,0)</f>
        <v>#N/A</v>
      </c>
      <c r="FY121" s="131" t="str">
        <f t="array" ref="FY121">INDEX(FX:FX,MIN(IF(ISNUMBER(FX121:FX317),ROW(FX121:FX317),"")))</f>
        <v/>
      </c>
      <c r="FZ121" s="138">
        <f>IF('Données projet'!$A$244&gt;35,FZ120+FY121-GH120,IF(A121&lt;'Données projet'!$A$244,$FW$205^A121,IF(A121='Données projet'!$A$244,'Données projet'!$B$244,FZ120+FY121-GH120)))</f>
        <v>0</v>
      </c>
      <c r="GA121" s="138">
        <f>FZ121*VLOOKUP('Données projet'!$B$17,'Paramètres'!$A$1:$I$89,3,0)*VLOOKUP('Données projet'!$B$17,'Paramètres'!$A$1:$I$89,5,0)</f>
        <v>0</v>
      </c>
      <c r="GB121" s="130">
        <f t="shared" si="50"/>
        <v>0</v>
      </c>
      <c r="GC121" s="141">
        <f t="shared" si="26"/>
        <v>0</v>
      </c>
      <c r="GD121" s="133">
        <f t="shared" si="27"/>
        <v>293.3333333</v>
      </c>
      <c r="GE121" s="133">
        <f>AVERAGE(OFFSET($GD$3,0,0,'Données projet'!$E$17+1,1))-AVERAGE(OFFSET($H$3,0,0,'Données projet'!$E$17+1,1))</f>
        <v>118.7368745</v>
      </c>
      <c r="GF121" s="133">
        <f t="shared" si="51"/>
        <v>135.1233677</v>
      </c>
      <c r="GG121" s="134">
        <f>IF(ISNA(VLOOKUP(A121,'Données projet'!$A$243:$I$263,3,0)),0,VLOOKUP(A121,'Données projet'!$A$243:$I$263,3,0))</f>
        <v>0</v>
      </c>
      <c r="GH121" s="134">
        <f>IF(ISNA(VLOOKUP(A121,'Données projet'!$A$243:$I$263,4,0)),0,VLOOKUP(A121,'Données projet'!$A$243:$I$263,4,0))</f>
        <v>0</v>
      </c>
      <c r="GI121" s="135">
        <f>IF(ISNA(VLOOKUP(A121,'Données projet'!$A$243:$I$263,5,0)),0%,VLOOKUP(A121,'Données projet'!$A$243:$I$263,5,0)*VLOOKUP('Données projet'!$B$17,'Paramètres'!$A$1:$I$89,7,0))</f>
        <v>0</v>
      </c>
      <c r="GJ121" s="135">
        <f>IF(ISNA(VLOOKUP(A121,'Données projet'!$A$243:$I$263,6,0)),0%,VLOOKUP(A121,'Données projet'!$A$243:$I$263,6,0)*VLOOKUP('Données projet'!$B$17,'Paramètres'!$A$1:$I$89,7,0))</f>
        <v>0</v>
      </c>
      <c r="GK121" s="135">
        <f>IF(ISNA(VLOOKUP(A121,'Données projet'!$A$243:$I$263,7,0)),0%,VLOOKUP(A121,'Données projet'!$A$243:$I$263,7,0))</f>
        <v>0</v>
      </c>
      <c r="GL121" s="142">
        <f>EXP(-LN(2)/35)*GL120+(1-EXP(-LN(2)/35))/(LN(2)/35)*GH121*GI121*VLOOKUP('Données projet'!$B$17,'Paramètres'!$A$1:$I$89,3,0)*0.475*44/12</f>
        <v>32.93165811</v>
      </c>
      <c r="GM121" s="142">
        <f>EXP(-LN(2)/25)*GM120+(1-EXP(-LN(2)/25))/(LN(2)/25)*Calculateur!GH121*Calculateur!GJ121*VLOOKUP('Données projet'!$B$17,'Paramètres'!$A$1:$I$89,3,0)*0.475*44/12</f>
        <v>0</v>
      </c>
      <c r="GN121" s="142">
        <f>EXP(-LN(2)/2)*GN120+(1-EXP(-LN(2)/2))/(LN(2)/2)*GH121*GK121*VLOOKUP('Données projet'!$B$17,'Paramètres'!$A$1:$I$89,3,0)*0.475*44/12</f>
        <v>0</v>
      </c>
      <c r="GO121" s="142">
        <f t="shared" si="28"/>
        <v>32.93165811</v>
      </c>
      <c r="GP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1" t="str">
        <f>VLOOKUP(A121,'Données projet'!$A$269:$I$289,2,0)</f>
        <v>#N/A</v>
      </c>
      <c r="GS121" s="131" t="str">
        <f>VLOOKUP(A121,'Données projet'!$A$269:$I$289,9,0)</f>
        <v>#N/A</v>
      </c>
      <c r="GT121" s="131" t="str">
        <f t="array" ref="GT121">INDEX(GS:GS,MIN(IF(ISNUMBER(GS121:GS317),ROW(GS121:GS317),"")))</f>
        <v/>
      </c>
      <c r="GU121" s="138">
        <f>IF('Données projet'!$A$270&gt;35,GU120+GT121-HC120,IF(A121&lt;'Données projet'!$A$270,$GR$205^A121,IF(A121='Données projet'!$A$270,'Données projet'!$B$270,GU120+GT121-HC120)))</f>
        <v>0</v>
      </c>
      <c r="GV121" s="138">
        <f>GU121*VLOOKUP('Données projet'!$B$18,'Paramètres'!$A$1:$I$89,3,0)*VLOOKUP('Données projet'!$B$18,'Paramètres'!$A$1:$I$89,5,0)</f>
        <v>0</v>
      </c>
      <c r="GW121" s="130" t="str">
        <f t="shared" si="52"/>
        <v>#NUM!</v>
      </c>
      <c r="GX121" s="141" t="str">
        <f t="shared" si="29"/>
        <v>#NUM!</v>
      </c>
      <c r="GY121" s="133" t="str">
        <f t="shared" si="30"/>
        <v>#NUM!</v>
      </c>
      <c r="GZ121" s="133">
        <f>AVERAGE(OFFSET($GY$3,0,0,'Données projet'!$E$18+1,1))-AVERAGE(OFFSET($H$3,0,0,'Données projet'!$E$18+1,1))</f>
        <v>100.5427875</v>
      </c>
      <c r="HA121" s="133">
        <f t="shared" si="53"/>
        <v>92.28663609</v>
      </c>
      <c r="HB121" s="134">
        <f>IF(ISNA(VLOOKUP(A121,'Données projet'!$A$269:$I$289,3,0)),0,VLOOKUP(A121,'Données projet'!$A$269:$I$289,3,0))</f>
        <v>0</v>
      </c>
      <c r="HC121" s="134">
        <f>IF(ISNA(VLOOKUP(A121,'Données projet'!$A$269:$I$289,4,0)),0,VLOOKUP(A121,'Données projet'!$A$269:$I$289,4,0))</f>
        <v>0</v>
      </c>
      <c r="HD121" s="135">
        <f>IF(ISNA(VLOOKUP(A121,'Données projet'!$A$269:$I$289,5,0)),0%,VLOOKUP(A121,'Données projet'!$A$269:$I$289,5,0)*VLOOKUP('Données projet'!$B$18,'Paramètres'!$A$1:$I$89,7,0))</f>
        <v>0</v>
      </c>
      <c r="HE121" s="135">
        <f>IF(ISNA(VLOOKUP(A121,'Données projet'!$A$269:$I$289,6,0)),0%,VLOOKUP(A121,'Données projet'!$A$269:$I$289,6,0)*VLOOKUP('Données projet'!$B$18,'Paramètres'!$A$1:$I$89,7,0))</f>
        <v>0</v>
      </c>
      <c r="HF121" s="135">
        <f>IF(ISNA(VLOOKUP(A121,'Données projet'!$A$269:$I$289,7,0)),0%,VLOOKUP(A121,'Données projet'!$A$269:$I$289,7,0))</f>
        <v>0</v>
      </c>
      <c r="HG121" s="142">
        <f>EXP(-LN(2)/35)*HG120+(1-EXP(-LN(2)/35))/(LN(2)/35)*HC121*HD121*VLOOKUP('Données projet'!$B$18,'Paramètres'!$A$1:$I$89,3,0)*0.475*44/12</f>
        <v>22.42576445</v>
      </c>
      <c r="HH121" s="142">
        <f>EXP(-LN(2)/25)*HH120+(1-EXP(-LN(2)/25))/(LN(2)/25)*Calculateur!HC121*Calculateur!HE121*VLOOKUP('Données projet'!$B$18,'Paramètres'!$A$1:$I$89,3,0)*0.475*44/12</f>
        <v>0</v>
      </c>
      <c r="HI121" s="142">
        <f>EXP(-LN(2)/2)*HI120+(1-EXP(-LN(2)/2))/(LN(2)/2)*HC121*HF121*VLOOKUP('Données projet'!$B$18,'Paramètres'!$A$1:$I$89,3,0)*0.475*44/12</f>
        <v>0</v>
      </c>
      <c r="HJ121" s="143">
        <f t="shared" si="31"/>
        <v>22.42576445</v>
      </c>
    </row>
    <row r="122" ht="15.75" customHeight="1">
      <c r="A122" s="125">
        <f t="shared" si="32"/>
        <v>119</v>
      </c>
      <c r="B122" s="126">
        <f>'Scénario référence'!$B$16*5+'Scénario référence'!$B$17*0+'Scénario référence'!$B$18*5</f>
        <v>0</v>
      </c>
      <c r="C122" s="140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64.974</v>
      </c>
      <c r="D122" s="127">
        <f t="shared" si="33"/>
        <v>18.41996408</v>
      </c>
      <c r="E12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7">
        <f>IF(OR('Scénario référence'!$F$8&gt;0,'Scénario référence'!$F$9&gt;0),('Scénario référence'!$F$8+'Scénario référence'!$F$9)*10,0)</f>
        <v>10</v>
      </c>
      <c r="G122" s="127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</v>
      </c>
      <c r="H122" s="128">
        <f t="shared" si="1"/>
        <v>438.5778208</v>
      </c>
      <c r="I122" s="12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1" t="str">
        <f>VLOOKUP(A122,'Données projet'!$A$35:$I$55,2,0)</f>
        <v>#N/A</v>
      </c>
      <c r="L122" s="131" t="str">
        <f>VLOOKUP(A122,'Données projet'!$A$35:$I$55,9,0)</f>
        <v>#N/A</v>
      </c>
      <c r="M122" s="131" t="str">
        <f t="array" ref="M122">INDEX(L:L,MIN(IF(ISNUMBER(L122:L318),ROW(L122:L318),"")))</f>
        <v/>
      </c>
      <c r="N122" s="130">
        <f>IF('Données projet'!$A$36&gt;35,N121+M122-V121,IF(A122&lt;'Données projet'!$A$36,$K$205^A122,IF(A122='Données projet'!$A$36,'Données projet'!$B$36,N121+M122-V121)))</f>
        <v>0</v>
      </c>
      <c r="O122" s="130">
        <f>N122*VLOOKUP('Données projet'!$B$9,'Paramètres'!$A$1:$I$89,3,0)*VLOOKUP('Données projet'!$B$9,'Paramètres'!$A$1:$I$89,5,0)</f>
        <v>0</v>
      </c>
      <c r="P122" s="130">
        <f t="shared" si="34"/>
        <v>0</v>
      </c>
      <c r="Q122" s="141">
        <f t="shared" si="2"/>
        <v>0</v>
      </c>
      <c r="R122" s="133">
        <f t="shared" si="3"/>
        <v>293.3333333</v>
      </c>
      <c r="S122" s="133">
        <f>AVERAGE(OFFSET($R$3,0,0,'Données projet'!$E$9+1,1))-AVERAGE(OFFSET($H$3,0,0,'Données projet'!$E$9+1,1))</f>
        <v>126.9946492</v>
      </c>
      <c r="T122" s="133">
        <f t="shared" si="35"/>
        <v>140.039049</v>
      </c>
      <c r="U122" s="134">
        <f>IF(ISNA(VLOOKUP(A122,'Données projet'!$A$35:$I$55,3,0)),0,VLOOKUP(A122,'Données projet'!$A$35:$I$55,3,0))</f>
        <v>0</v>
      </c>
      <c r="V122" s="134">
        <f>IF(ISNA(VLOOKUP(A122,'Données projet'!$A$35:$I$55,4,0)),0,VLOOKUP(A122,'Données projet'!$A$35:$I$55,4,0))</f>
        <v>0</v>
      </c>
      <c r="W122" s="135">
        <f>IF(ISNA(VLOOKUP(A122,'Données projet'!$A$35:$I$55,5,0)),0%,VLOOKUP(A122,'Données projet'!$A$35:$I$55,5,0)*VLOOKUP('Données projet'!$B$9,'Paramètres'!$A$1:$I$89,7,0))</f>
        <v>0</v>
      </c>
      <c r="X122" s="135">
        <f>IF(ISNA(VLOOKUP(A122,'Données projet'!$A$35:$I$55,6,0)),0%,VLOOKUP(A122,'Données projet'!$A$35:$I$55,6,0)*VLOOKUP('Données projet'!$B$9,'Paramètres'!$A$1:$I$89,7,0))</f>
        <v>0</v>
      </c>
      <c r="Y122" s="135">
        <f>IF(ISNA(VLOOKUP(A122,'Données projet'!$A$35:$I$55,7,0)),0%,VLOOKUP(A122,'Données projet'!$A$35:$I$55,7,0))</f>
        <v>0</v>
      </c>
      <c r="Z122" s="142">
        <f>EXP(-LN(2)/35)*Z121+(1-EXP(-LN(2)/35))/(LN(2)/35)*V122*W122*VLOOKUP('Données projet'!$B$9,'Paramètres'!$A$1:$I$89,3,0)*0.475*44/12</f>
        <v>33.02127687</v>
      </c>
      <c r="AA122" s="142">
        <f>EXP(-LN(2)/25)*AA121+(1-EXP(-LN(2)/25))/(LN(2)/25)*Calculateur!V122*Calculateur!X122*VLOOKUP('Données projet'!$B$9,'Paramètres'!$A$1:$I$89,3,0)*0.475*44/12</f>
        <v>4.526682732</v>
      </c>
      <c r="AB122" s="142">
        <f>EXP(-LN(2)/2)*AB121+(1-EXP(-LN(2)/2))/(LN(2)/2)*V122*Y122*VLOOKUP('Données projet'!$B$9,'Paramètres'!$A$1:$I$89,3,0)*0.475*44/12</f>
        <v>0.00000002501069224</v>
      </c>
      <c r="AC122" s="143">
        <f t="shared" si="4"/>
        <v>37.54795962</v>
      </c>
      <c r="AD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1" t="str">
        <f>VLOOKUP(A122,'Données projet'!$A$61:$I$81,2,0)</f>
        <v>#N/A</v>
      </c>
      <c r="AG122" s="131" t="str">
        <f>VLOOKUP(A122,'Données projet'!$A$61:$I$81,9,0)</f>
        <v>#N/A</v>
      </c>
      <c r="AH122" s="131" t="str">
        <f t="array" ref="AH122">INDEX(AG:AG,MIN(IF(ISNUMBER(AG122:AG318),ROW(AG122:AG318),"")))</f>
        <v/>
      </c>
      <c r="AI122" s="130">
        <f>IF('Données projet'!$A$62&gt;35,AI121+AH122-AQ121,IF(A122&lt;'Données projet'!$A$62,$AF$205^A122,IF(A122='Données projet'!$A$62,'Données projet'!$B$62,AI121+AH122-AQ121)))</f>
        <v>0</v>
      </c>
      <c r="AJ122" s="130">
        <f>AI122*VLOOKUP('Données projet'!$B$10,'Paramètres'!$A$1:$I$89,3,0)*VLOOKUP('Données projet'!$B$10,'Paramètres'!$A$1:$I$89,5,0)</f>
        <v>0</v>
      </c>
      <c r="AK122" s="130" t="str">
        <f t="shared" si="36"/>
        <v>#NUM!</v>
      </c>
      <c r="AL122" s="141" t="str">
        <f t="shared" si="5"/>
        <v>#NUM!</v>
      </c>
      <c r="AM122" s="133" t="str">
        <f t="shared" si="6"/>
        <v>#NUM!</v>
      </c>
      <c r="AN122" s="133">
        <f>AVERAGE(OFFSET($AM$3,0,0,'Données projet'!$E$10+1,1))-AVERAGE(OFFSET($H$3,0,0,'Données projet'!$E$10+1,1))</f>
        <v>196.874484</v>
      </c>
      <c r="AO122" s="133">
        <f t="shared" si="37"/>
        <v>217.5750859</v>
      </c>
      <c r="AP122" s="134">
        <f>IF(ISNA(VLOOKUP(A122,'Données projet'!$A$61:$I$81,3,0)),0,VLOOKUP(A122,'Données projet'!$A$61:$I$81,3,0))</f>
        <v>0</v>
      </c>
      <c r="AQ122" s="134">
        <f>IF(ISNA(VLOOKUP(A122,'Données projet'!$A$61:$I$81,4,0)),0,VLOOKUP(A122,'Données projet'!$A$61:$I$81,4,0))</f>
        <v>0</v>
      </c>
      <c r="AR122" s="135">
        <f>IF(ISNA(VLOOKUP(A122,'Données projet'!$A$61:$I$81,5,0)),0%,VLOOKUP(A122,'Données projet'!$A$61:$I$81,5,0)*VLOOKUP('Données projet'!$B$10,'Paramètres'!$A$1:$I$89,7,0))</f>
        <v>0</v>
      </c>
      <c r="AS122" s="135">
        <f>IF(ISNA(VLOOKUP(A122,'Données projet'!$A$61:$I$81,6,0)),0%,VLOOKUP(A122,'Données projet'!$A$61:$I$81,6,0)*VLOOKUP('Données projet'!$B$10,'Paramètres'!$A$1:$I$89,7,0))</f>
        <v>0</v>
      </c>
      <c r="AT122" s="135">
        <f>IF(ISNA(VLOOKUP(A122,'Données projet'!$A$61:$I$81,7,0)),0%,VLOOKUP(A122,'Données projet'!$A$61:$I$81,7,0))</f>
        <v>0</v>
      </c>
      <c r="AU122" s="142">
        <f>EXP(-LN(2)/35)*AU121+(1-EXP(-LN(2)/35))/(LN(2)/35)*AQ122*AR122*VLOOKUP('Données projet'!$B$10,'Paramètres'!$A$1:$I$89,3,0)*0.475*44/12</f>
        <v>45.89863692</v>
      </c>
      <c r="AV122" s="142">
        <f>EXP(-LN(2)/25)*AV121+(1-EXP(-LN(2)/25))/(LN(2)/25)*Calculateur!AQ122*Calculateur!AS122*VLOOKUP('Données projet'!$B$10,'Paramètres'!$A$1:$I$89,3,0)*0.475*44/12</f>
        <v>6.959780748</v>
      </c>
      <c r="AW122" s="142">
        <f>EXP(-LN(2)/2)*AW121+(1-EXP(-LN(2)/2))/(LN(2)/2)*AQ122*AT122*VLOOKUP('Données projet'!$B$10,'Paramètres'!$A$1:$I$89,3,0)*0.475*44/12</f>
        <v>0.00000003487015615</v>
      </c>
      <c r="AX122" s="142">
        <f t="shared" si="7"/>
        <v>52.8584177</v>
      </c>
      <c r="AY122" s="13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1" t="str">
        <f>VLOOKUP(A122,'Données projet'!$A$87:$I$107,2,0)</f>
        <v>#N/A</v>
      </c>
      <c r="BB122" s="131" t="str">
        <f>VLOOKUP(A122,'Données projet'!$A$87:$I$107,9,0)</f>
        <v>#N/A</v>
      </c>
      <c r="BC122" s="131" t="str">
        <f t="array" ref="BC122">INDEX(BB:BB,MIN(IF(ISNUMBER(BB122:BB318),ROW(BB122:BB318),"")))</f>
        <v/>
      </c>
      <c r="BD122" s="130">
        <f>IF('Données projet'!$A$88&gt;35,BD121+BC122-BL121,IF(A122&lt;'Données projet'!$A$88,$BA$205^A122,IF(A122='Données projet'!$A$88,'Données projet'!$B$88,BD121+BC122-BL121)))</f>
        <v>0</v>
      </c>
      <c r="BE122" s="130">
        <f>BD122*VLOOKUP('Données projet'!$B$11,'Paramètres'!$A$1:$I$89,3,0)*VLOOKUP('Données projet'!$B$11,'Paramètres'!$A$1:$I$89,5,0)</f>
        <v>0</v>
      </c>
      <c r="BF122" s="130" t="str">
        <f t="shared" si="38"/>
        <v>#NUM!</v>
      </c>
      <c r="BG122" s="141" t="str">
        <f t="shared" si="8"/>
        <v>#NUM!</v>
      </c>
      <c r="BH122" s="133" t="str">
        <f t="shared" si="9"/>
        <v>#NUM!</v>
      </c>
      <c r="BI122" s="133">
        <f>AVERAGE(OFFSET($BH$3,0,0,'Données projet'!$E$11+1,1))-AVERAGE(OFFSET($H$3,0,0,'Données projet'!$E$11+1,1))</f>
        <v>134.0948534</v>
      </c>
      <c r="BJ122" s="133">
        <f t="shared" si="39"/>
        <v>108.4102536</v>
      </c>
      <c r="BK122" s="134">
        <f>IF(ISNA(VLOOKUP(A122,'Données projet'!$A$87:$I$107,3,0)),0,VLOOKUP(A122,'Données projet'!$A$87:$I$107,3,0))</f>
        <v>0</v>
      </c>
      <c r="BL122" s="134">
        <f>IF(ISNA(VLOOKUP(A122,'Données projet'!$A$87:$I$107,4,0)),0,VLOOKUP(A122,'Données projet'!$A$87:$I$107,4,0))</f>
        <v>0</v>
      </c>
      <c r="BM122" s="135">
        <f>IF(ISNA(VLOOKUP(A122,'Données projet'!$A$87:$I$107,5,0)),0%,VLOOKUP(A122,'Données projet'!$A$87:$I$107,5,0)*VLOOKUP('Données projet'!$B$11,'Paramètres'!$A$1:$I$89,7,0))</f>
        <v>0</v>
      </c>
      <c r="BN122" s="135">
        <f>IF(ISNA(VLOOKUP(A122,'Données projet'!$A$87:$I$107,6,0)),0%,VLOOKUP(A122,'Données projet'!$A$87:$I$107,6,0)*VLOOKUP('Données projet'!$B$11,'Paramètres'!$A$1:$I$89,7,0))</f>
        <v>0</v>
      </c>
      <c r="BO122" s="135">
        <f>IF(ISNA(VLOOKUP(A122,'Données projet'!$A$87:$I$107,7,0)),0%,VLOOKUP(A122,'Données projet'!$A$87:$I$107,7,0))</f>
        <v>0</v>
      </c>
      <c r="BP122" s="142">
        <f>EXP(-LN(2)/35)*BP121+(1-EXP(-LN(2)/35))/(LN(2)/35)*BL122*BM122*VLOOKUP('Données projet'!$B$11,'Paramètres'!$A$1:$I$89,3,0)*0.475*44/12</f>
        <v>63.48638681</v>
      </c>
      <c r="BQ122" s="142">
        <f>EXP(-LN(2)/25)*BQ121+(1-EXP(-LN(2)/25))/(LN(2)/25)*Calculateur!BL122*Calculateur!BN122*VLOOKUP('Données projet'!$B$11,'Paramètres'!$A$1:$I$89,3,0)*0.475*44/12</f>
        <v>4.390235671</v>
      </c>
      <c r="BR122" s="142">
        <f>EXP(-LN(2)/2)*BR121+(1-EXP(-LN(2)/2))/(LN(2)/2)*BL122*BO122*VLOOKUP('Données projet'!$B$11,'Paramètres'!$A$1:$I$89,3,0)*0.475*44/12</f>
        <v>0.0000004651178404</v>
      </c>
      <c r="BS122" s="143">
        <f t="shared" si="10"/>
        <v>67.87662295</v>
      </c>
      <c r="BT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1" t="str">
        <f>VLOOKUP(A122,'Données projet'!$A$113:$I$133,2,0)</f>
        <v>#N/A</v>
      </c>
      <c r="BW122" s="131" t="str">
        <f>VLOOKUP(A122,'Données projet'!$A$113:$I$133,9,0)</f>
        <v>#N/A</v>
      </c>
      <c r="BX122" s="131" t="str">
        <f t="array" ref="BX122">INDEX(BW:BW,MIN(IF(ISNUMBER(BW122:BW318),ROW(BW122:BW318),"")))</f>
        <v/>
      </c>
      <c r="BY122" s="130">
        <f>IF('Données projet'!$A$114&gt;35,BY121+BX122-CG121,IF(A122&lt;'Données projet'!$A$114,$BV$205^A122,IF(A122='Données projet'!$A$114,'Données projet'!$B$114,BY121+BX122-CG121)))</f>
        <v>0</v>
      </c>
      <c r="BZ122" s="130">
        <f>BY122*VLOOKUP('Données projet'!$B$12,'Paramètres'!$A$1:$I$89,3,0)*VLOOKUP('Données projet'!$B$12,'Paramètres'!$A$1:$I$89,5,0)</f>
        <v>0</v>
      </c>
      <c r="CA122" s="130" t="str">
        <f t="shared" si="40"/>
        <v>#NUM!</v>
      </c>
      <c r="CB122" s="141" t="str">
        <f t="shared" si="11"/>
        <v>#NUM!</v>
      </c>
      <c r="CC122" s="133" t="str">
        <f t="shared" si="12"/>
        <v>#NUM!</v>
      </c>
      <c r="CD122" s="133">
        <f>AVERAGE(OFFSET($CC$3,0,0,'Données projet'!$E$12+1,1))-AVERAGE(OFFSET($H$3,0,0,'Données projet'!$E$12+1,1))</f>
        <v>258.1672054</v>
      </c>
      <c r="CE122" s="133">
        <f t="shared" si="41"/>
        <v>296.0724261</v>
      </c>
      <c r="CF122" s="134">
        <f>IF(ISNA(VLOOKUP(A122,'Données projet'!$A$113:$I$133,3,0)),0,VLOOKUP(A122,'Données projet'!$A$113:$I$133,3,0))</f>
        <v>0</v>
      </c>
      <c r="CG122" s="134">
        <f>IF(ISNA(VLOOKUP(A122,'Données projet'!$A$113:$I$133,4,0)),0,VLOOKUP(A122,'Données projet'!$A$113:$I$133,4,0))</f>
        <v>0</v>
      </c>
      <c r="CH122" s="135">
        <f>IF(ISNA(VLOOKUP(A122,'Données projet'!$A$113:$I$133,5,0)),0%,VLOOKUP(A122,'Données projet'!$A$113:$I$133,5,0)*VLOOKUP('Données projet'!$B$12,'Paramètres'!$A$1:$I$89,7,0))</f>
        <v>0</v>
      </c>
      <c r="CI122" s="135">
        <f>IF(ISNA(VLOOKUP(A122,'Données projet'!$A$113:$I$133,6,0)),0%,VLOOKUP(A122,'Données projet'!$A$113:$I$133,6,0)*VLOOKUP('Données projet'!$B$12,'Paramètres'!$A$1:$I$89,7,0))</f>
        <v>0</v>
      </c>
      <c r="CJ122" s="135">
        <f>IF(ISNA(VLOOKUP(A122,'Données projet'!$A$113:$I$133,7,0)),0%,VLOOKUP(A122,'Données projet'!$A$113:$I$133,7,0))</f>
        <v>0</v>
      </c>
      <c r="CK122" s="142">
        <f>EXP(-LN(2)/35)*CK121+(1-EXP(-LN(2)/35))/(LN(2)/35)*CG122*CH122*VLOOKUP('Données projet'!$B$12,'Paramètres'!$A$1:$I$89,3,0)*0.475*44/12</f>
        <v>80.26621421</v>
      </c>
      <c r="CL122" s="142">
        <f>EXP(-LN(2)/25)*CL121+(1-EXP(-LN(2)/25))/(LN(2)/25)*Calculateur!CG122*Calculateur!CI122*VLOOKUP('Données projet'!$B$12,'Paramètres'!$A$1:$I$89,3,0)*0.475*44/12</f>
        <v>7.700722589</v>
      </c>
      <c r="CM122" s="142">
        <f>EXP(-LN(2)/2)*CM121+(1-EXP(-LN(2)/2))/(LN(2)/2)*CG122*CJ122*VLOOKUP('Données projet'!$B$12,'Paramètres'!$A$1:$I$89,3,0)*0.475*44/12</f>
        <v>0.00000001959486563</v>
      </c>
      <c r="CN122" s="143">
        <f t="shared" si="13"/>
        <v>87.96693682</v>
      </c>
      <c r="CO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1" t="str">
        <f>VLOOKUP(A122,'Données projet'!$A$139:$I$159,2,0)</f>
        <v>#N/A</v>
      </c>
      <c r="CR122" s="131" t="str">
        <f>VLOOKUP(A122,'Données projet'!$A$139:$I$159,9,0)</f>
        <v>#N/A</v>
      </c>
      <c r="CS122" s="130">
        <f t="array" ref="CS122">INDEX(CR:CR,MIN(IF(ISNUMBER(CR122:CR318),ROW(CR122:CR318),"")))</f>
        <v>1.5</v>
      </c>
      <c r="CT122" s="138">
        <f>IF('Données projet'!$A$140&gt;35,CT121+CS122-DB121,IF(A122&lt;'Données projet'!$A$140,$CQ$205^A122,IF(A122='Données projet'!$A$140,'Données projet'!$B$140,CT121+CS122-DB121)))</f>
        <v>219.5</v>
      </c>
      <c r="CU122" s="138">
        <f>CT122*VLOOKUP('Données projet'!$B$13,'Paramètres'!$A$1:$I$89,3,0)*VLOOKUP('Données projet'!$B$13,'Paramètres'!$A$1:$I$89,5,0)</f>
        <v>222.573</v>
      </c>
      <c r="CV122" s="130">
        <f t="shared" si="42"/>
        <v>54.67373555</v>
      </c>
      <c r="CW122" s="141">
        <f t="shared" si="14"/>
        <v>482.8713978</v>
      </c>
      <c r="CX122" s="133">
        <f t="shared" si="15"/>
        <v>776.2047311</v>
      </c>
      <c r="CY122" s="133">
        <f>AVERAGE(OFFSET($CX$3,0,0,'Données projet'!$E$13+1,1))-AVERAGE(OFFSET($H$3,0,0,'Données projet'!$E$13+1,1))</f>
        <v>223.783507</v>
      </c>
      <c r="CZ122" s="133">
        <f t="shared" si="43"/>
        <v>84.92349117</v>
      </c>
      <c r="DA122" s="134">
        <f>IF(ISNA(VLOOKUP(A122,'Données projet'!$A$139:$I$159,3,0)),0,VLOOKUP(A122,'Données projet'!$A$139:$I$159,3,0))</f>
        <v>0</v>
      </c>
      <c r="DB122" s="134">
        <f>IF(ISNA(VLOOKUP(A122,'Données projet'!$A$139:$I$159,4,0)),0,VLOOKUP(A122,'Données projet'!$A$139:$I$159,4,0))</f>
        <v>0</v>
      </c>
      <c r="DC122" s="135">
        <f>IF(ISNA(VLOOKUP(A122,'Données projet'!$A$139:$I$159,5,0)),0%,VLOOKUP(A122,'Données projet'!$A$139:$I$159,5,0)*VLOOKUP('Données projet'!$B$13,'Paramètres'!$A$1:$I$89,7,0))</f>
        <v>0</v>
      </c>
      <c r="DD122" s="135">
        <f>IF(ISNA(VLOOKUP(A122,'Données projet'!$A$139:$I$159,6,0)),0%,VLOOKUP(A122,'Données projet'!$A$139:$I$159,6,0)*VLOOKUP('Données projet'!$B$13,'Paramètres'!$A$1:$I$89,7,0))</f>
        <v>0</v>
      </c>
      <c r="DE122" s="135">
        <f>IF(ISNA(VLOOKUP(A122,'Données projet'!$A$139:$I$159,7,0)),0%,VLOOKUP(A122,'Données projet'!$A$139:$I$159,7,0))</f>
        <v>0</v>
      </c>
      <c r="DF122" s="142">
        <f>EXP(-LN(2)/35)*DF121+(1-EXP(-LN(2)/35))/(LN(2)/35)*DB122*DC122*VLOOKUP('Données projet'!$B$13,'Paramètres'!$A$1:$I$89,3,0)*0.475*44/12</f>
        <v>18.03181525</v>
      </c>
      <c r="DG122" s="142">
        <f>EXP(-LN(2)/25)*DG121+(1-EXP(-LN(2)/25))/(LN(2)/25)*Calculateur!DB122*Calculateur!DD122*VLOOKUP('Données projet'!$B$13,'Paramètres'!$A$1:$I$89,3,0)*0.475*44/12</f>
        <v>0</v>
      </c>
      <c r="DH122" s="142">
        <f>EXP(-LN(2)/2)*DH121+(1-EXP(-LN(2)/2))/(LN(2)/2)*DB122*DE122*VLOOKUP('Données projet'!$B$13,'Paramètres'!$A$1:$I$89,3,0)*0.475*44/12</f>
        <v>0</v>
      </c>
      <c r="DI122" s="143">
        <f t="shared" si="16"/>
        <v>18.03181525</v>
      </c>
      <c r="DJ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1" t="str">
        <f>VLOOKUP(A122,'Données projet'!$A$165:$I$185,2,0)</f>
        <v>#N/A</v>
      </c>
      <c r="DM122" s="131" t="str">
        <f>VLOOKUP(A122,'Données projet'!$A$165:$I$185,9,0)</f>
        <v>#N/A</v>
      </c>
      <c r="DN122" s="131">
        <f t="array" ref="DN122">INDEX(DM:DM,MIN(IF(ISNUMBER(DM122:DM318),ROW(DM122:DM318),"")))</f>
        <v>1.9</v>
      </c>
      <c r="DO122" s="138">
        <f>IF('Données projet'!$A$166&gt;35,DO121+DN122-DW121,IF(A122&lt;'Données projet'!$A$166,$DL$205^A122,IF(A122='Données projet'!$A$166,'Données projet'!$B$166,DO121+DN122-DW121)))</f>
        <v>283.1</v>
      </c>
      <c r="DP122" s="138">
        <f>DO122*VLOOKUP('Données projet'!$B$14,'Paramètres'!$A$1:$I$89,3,0)*VLOOKUP('Données projet'!$B$14,'Paramètres'!$A$1:$I$89,5,0)</f>
        <v>256.14888</v>
      </c>
      <c r="DQ122" s="130">
        <f t="shared" si="44"/>
        <v>61.9007632</v>
      </c>
      <c r="DR122" s="141">
        <f t="shared" si="17"/>
        <v>553.9364619</v>
      </c>
      <c r="DS122" s="133">
        <f t="shared" si="18"/>
        <v>847.2697952</v>
      </c>
      <c r="DT122" s="133">
        <f>AVERAGE(OFFSET($DS$3,0,0,'Données projet'!$E$14+1,1))-AVERAGE(OFFSET($H$3,0,0,'Données projet'!$E$14+1,1))</f>
        <v>287.9334714</v>
      </c>
      <c r="DU122" s="133">
        <f t="shared" si="45"/>
        <v>156.6796502</v>
      </c>
      <c r="DV122" s="134">
        <f>IF(ISNA(VLOOKUP(A122,'Données projet'!$A$165:$I$185,3,0)),0,VLOOKUP(A122,'Données projet'!$A$165:$I$185,3,0))</f>
        <v>0</v>
      </c>
      <c r="DW122" s="134">
        <f>IF(ISNA(VLOOKUP(A122,'Données projet'!$A$165:$I$185,4,0)),0,VLOOKUP(A122,'Données projet'!$A$165:$I$185,4,0))</f>
        <v>0</v>
      </c>
      <c r="DX122" s="135">
        <f>IF(ISNA(VLOOKUP(A122,'Données projet'!$A$165:$I$185,5,0)),0%,VLOOKUP(A122,'Données projet'!$A$165:$I$185,5,0)*VLOOKUP('Données projet'!$B$14,'Paramètres'!$A$1:$I$89,7,0))</f>
        <v>0</v>
      </c>
      <c r="DY122" s="135">
        <f>IF(ISNA(VLOOKUP(A122,'Données projet'!$A$165:$I$185,6,0)),0%,VLOOKUP(A122,'Données projet'!$A$165:$I$185,6,0)*VLOOKUP('Données projet'!$B$14,'Paramètres'!$A$1:$I$89,7,0))</f>
        <v>0</v>
      </c>
      <c r="DZ122" s="135">
        <f>IF(ISNA(VLOOKUP(A122,'Données projet'!$A$165:$I$185,7,0)),0%,VLOOKUP(A122,'Données projet'!$A$165:$I$185,7,0))</f>
        <v>0</v>
      </c>
      <c r="EA122" s="142">
        <f>EXP(-LN(2)/35)*EA121+(1-EXP(-LN(2)/35))/(LN(2)/35)*DW122*DX122*VLOOKUP('Données projet'!$B$14,'Paramètres'!$A$1:$I$89,3,0)*0.475*44/12</f>
        <v>26.84970918</v>
      </c>
      <c r="EB122" s="142">
        <f>EXP(-LN(2)/25)*EB121+(1-EXP(-LN(2)/25))/(LN(2)/25)*Calculateur!DW122*Calculateur!DY122*VLOOKUP('Données projet'!$B$14,'Paramètres'!$A$1:$I$89,3,0)*0.475*44/12</f>
        <v>0</v>
      </c>
      <c r="EC122" s="142">
        <f>EXP(-LN(2)/2)*EC121+(1-EXP(-LN(2)/2))/(LN(2)/2)*DW122*DZ122*VLOOKUP('Données projet'!$B$14,'Paramètres'!$A$1:$I$89,3,0)*0.475*44/12</f>
        <v>0</v>
      </c>
      <c r="ED122" s="143">
        <f t="shared" si="19"/>
        <v>26.84970918</v>
      </c>
      <c r="EE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1" t="str">
        <f>VLOOKUP(A122,'Données projet'!$A$191:$I$211,2,0)</f>
        <v>#N/A</v>
      </c>
      <c r="EH122" s="131" t="str">
        <f>VLOOKUP(A122,'Données projet'!$A$191:$I$211,9,0)</f>
        <v>#N/A</v>
      </c>
      <c r="EI122" s="131" t="str">
        <f t="array" ref="EI122">INDEX(EH:EH,MIN(IF(ISNUMBER(EH122:EH318),ROW(EH122:EH318),"")))</f>
        <v/>
      </c>
      <c r="EJ122" s="138">
        <f>IF('Données projet'!$A$192&gt;35,EJ121+EI122-ER121,IF(A122&lt;'Données projet'!$A$192,$EG$205^A122,IF(A122='Données projet'!$A$192,'Données projet'!$B$192,EJ121+EI122-ER121)))</f>
        <v>0</v>
      </c>
      <c r="EK122" s="138">
        <f>EJ122*VLOOKUP('Données projet'!$B$15,'Paramètres'!$A$1:$I$89,3,0)*VLOOKUP('Données projet'!$B$15,'Paramètres'!$A$1:$I$89,5,0)</f>
        <v>0</v>
      </c>
      <c r="EL122" s="130" t="str">
        <f t="shared" si="46"/>
        <v>#NUM!</v>
      </c>
      <c r="EM122" s="141" t="str">
        <f t="shared" si="20"/>
        <v>#NUM!</v>
      </c>
      <c r="EN122" s="133" t="str">
        <f t="shared" si="21"/>
        <v>#NUM!</v>
      </c>
      <c r="EO122" s="133">
        <f>AVERAGE(OFFSET($EN$3,0,0,'Données projet'!$E$15+1,1))-AVERAGE(OFFSET($H$3,0,0,'Données projet'!$E$15+1,1))</f>
        <v>130.3193339</v>
      </c>
      <c r="EP122" s="133">
        <f t="shared" si="47"/>
        <v>82.22784365</v>
      </c>
      <c r="EQ122" s="134">
        <f>IF(ISNA(VLOOKUP(A122,'Données projet'!$A$191:$I$211,3,0)),0,VLOOKUP(A122,'Données projet'!$A$191:$I$211,3,0))</f>
        <v>0</v>
      </c>
      <c r="ER122" s="134">
        <f>IF(ISNA(VLOOKUP(A122,'Données projet'!$A$191:$I$211,4,0)),0,VLOOKUP(A122,'Données projet'!$A$191:$I$211,4,0))</f>
        <v>0</v>
      </c>
      <c r="ES122" s="135">
        <f>IF(ISNA(VLOOKUP(A122,'Données projet'!$A$191:$I$211,5,0)),0%,VLOOKUP(A122,'Données projet'!$A$191:$I$211,5,0)*VLOOKUP('Données projet'!$B$15,'Paramètres'!$A$1:$I$89,7,0))</f>
        <v>0</v>
      </c>
      <c r="ET122" s="135">
        <f>IF(ISNA(VLOOKUP(A122,'Données projet'!$A$191:$I$211,6,0)),0%,VLOOKUP(A122,'Données projet'!$A$191:$I$211,6,0)*VLOOKUP('Données projet'!$B$15,'Paramètres'!$A$1:$I$89,7,0))</f>
        <v>0</v>
      </c>
      <c r="EU122" s="135">
        <f>IF(ISNA(VLOOKUP(A122,'Données projet'!$A$191:$I$211,7,0)),0%,VLOOKUP(A122,'Données projet'!$A$191:$I$211,7,0))</f>
        <v>0</v>
      </c>
      <c r="EV122" s="142">
        <f>EXP(-LN(2)/35)*EV121+(1-EXP(-LN(2)/35))/(LN(2)/35)*ER122*ES122*VLOOKUP('Données projet'!$B$15,'Paramètres'!$A$1:$I$89,3,0)*0.475*44/12</f>
        <v>49.0811295</v>
      </c>
      <c r="EW122" s="142">
        <f>EXP(-LN(2)/25)*EW121+(1-EXP(-LN(2)/25))/(LN(2)/25)*Calculateur!ER122*Calculateur!ET122*VLOOKUP('Données projet'!$B$15,'Paramètres'!$A$1:$I$89,3,0)*0.475*44/12</f>
        <v>0</v>
      </c>
      <c r="EX122" s="142">
        <f>EXP(-LN(2)/2)*EX121+(1-EXP(-LN(2)/2))/(LN(2)/2)*ER122*EU122*VLOOKUP('Données projet'!$B$15,'Paramètres'!$A$1:$I$89,3,0)*0.475*44/12</f>
        <v>0</v>
      </c>
      <c r="EY122" s="143">
        <f t="shared" si="22"/>
        <v>49.0811295</v>
      </c>
      <c r="EZ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1" t="str">
        <f>VLOOKUP(A122,'Données projet'!$A$217:$I$237,2,0)</f>
        <v>#N/A</v>
      </c>
      <c r="FC122" s="131" t="str">
        <f>VLOOKUP(A122,'Données projet'!$A$217:$I$237,9,0)</f>
        <v>#N/A</v>
      </c>
      <c r="FD122" s="131" t="str">
        <f t="array" ref="FD122">INDEX(FC:FC,MIN(IF(ISNUMBER(FC122:FC318),ROW(FC122:FC318),"")))</f>
        <v/>
      </c>
      <c r="FE122" s="130">
        <f>IF('Données projet'!$A$218&gt;35,FE121+FD122-FM121,IF(A122&lt;'Données projet'!$A$218,$FB$205^A122,IF(A122='Données projet'!$A$218,'Données projet'!$B$218,FE121+FD122-FM121)))</f>
        <v>0</v>
      </c>
      <c r="FF122" s="138">
        <f>FE122*VLOOKUP('Données projet'!$B$16,'Paramètres'!$A$1:$I$89,3,0)*VLOOKUP('Données projet'!$B$16,'Paramètres'!$A$1:$I$89,5,0)</f>
        <v>0</v>
      </c>
      <c r="FG122" s="130">
        <f t="shared" si="48"/>
        <v>0</v>
      </c>
      <c r="FH122" s="141">
        <f t="shared" si="23"/>
        <v>0</v>
      </c>
      <c r="FI122" s="133">
        <f t="shared" si="24"/>
        <v>293.3333333</v>
      </c>
      <c r="FJ122" s="133">
        <f>AVERAGE(OFFSET($FI$3,0,0,'Données projet'!$E$16+1,1))-AVERAGE(OFFSET($H$3,0,0,'Données projet'!$E$16+1,1))</f>
        <v>305.6252353</v>
      </c>
      <c r="FK122" s="133">
        <f t="shared" si="49"/>
        <v>331.397916</v>
      </c>
      <c r="FL122" s="134">
        <f>IF(ISNA(VLOOKUP(A122,'Données projet'!$A$217:$I$237,3,0)),0,VLOOKUP(A122,'Données projet'!$A$217:$I$237,3,0))</f>
        <v>0</v>
      </c>
      <c r="FM122" s="134">
        <f>IF(ISNA(VLOOKUP(A122,'Données projet'!$A$217:$I$237,4,0)),0,VLOOKUP(A122,'Données projet'!$A$217:$I$237,4,0))</f>
        <v>0</v>
      </c>
      <c r="FN122" s="135">
        <f>IF(ISNA(VLOOKUP(A122,'Données projet'!$A$217:$I$237,5,0)),0%,VLOOKUP(A122,'Données projet'!$A$217:$I$237,5,0)*VLOOKUP('Données projet'!$B$16,'Paramètres'!$A$1:$I$89,7,0))</f>
        <v>0</v>
      </c>
      <c r="FO122" s="135">
        <f>IF(ISNA(VLOOKUP(A122,'Données projet'!$A$217:$I$237,6,0)),0%,VLOOKUP(A122,'Données projet'!$A$217:$I$237,6,0)*VLOOKUP('Données projet'!$B$16,'Paramètres'!$A$1:$I$89,7,0))</f>
        <v>0</v>
      </c>
      <c r="FP122" s="135">
        <f>IF(ISNA(VLOOKUP(A122,'Données projet'!$A$217:$I$237,7,0)),0%,VLOOKUP(A122,'Données projet'!$A$217:$I$237,7,0))</f>
        <v>0</v>
      </c>
      <c r="FQ122" s="142">
        <f>EXP(-LN(2)/35)*FQ121+(1-EXP(-LN(2)/35))/(LN(2)/35)*FM122*FN122*VLOOKUP('Données projet'!$B$16,'Paramètres'!$A$1:$I$89,3,0)*0.475*44/12</f>
        <v>30.55937803</v>
      </c>
      <c r="FR122" s="142">
        <f>EXP(-LN(2)/25)*FR121+(1-EXP(-LN(2)/25))/(LN(2)/25)*Calculateur!FM122*Calculateur!FO122*VLOOKUP('Données projet'!$B$16,'Paramètres'!$A$1:$I$89,3,0)*0.475*44/12</f>
        <v>0</v>
      </c>
      <c r="FS122" s="142">
        <f>EXP(-LN(2)/2)*FS121+(1-EXP(-LN(2)/2))/(LN(2)/2)*FM122*FP122*VLOOKUP('Données projet'!$B$16,'Paramètres'!$A$1:$I$89,3,0)*0.475*44/12</f>
        <v>0</v>
      </c>
      <c r="FT122" s="143">
        <f t="shared" si="25"/>
        <v>30.55937803</v>
      </c>
      <c r="FU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1" t="str">
        <f>VLOOKUP(A122,'Données projet'!$A$243:$I$263,2,0)</f>
        <v>#N/A</v>
      </c>
      <c r="FX122" s="131" t="str">
        <f>VLOOKUP(A122,'Données projet'!$A$243:$I$263,9,0)</f>
        <v>#N/A</v>
      </c>
      <c r="FY122" s="131" t="str">
        <f t="array" ref="FY122">INDEX(FX:FX,MIN(IF(ISNUMBER(FX122:FX318),ROW(FX122:FX318),"")))</f>
        <v/>
      </c>
      <c r="FZ122" s="138">
        <f>IF('Données projet'!$A$244&gt;35,FZ121+FY122-GH121,IF(A122&lt;'Données projet'!$A$244,$FW$205^A122,IF(A122='Données projet'!$A$244,'Données projet'!$B$244,FZ121+FY122-GH121)))</f>
        <v>0</v>
      </c>
      <c r="GA122" s="138">
        <f>FZ122*VLOOKUP('Données projet'!$B$17,'Paramètres'!$A$1:$I$89,3,0)*VLOOKUP('Données projet'!$B$17,'Paramètres'!$A$1:$I$89,5,0)</f>
        <v>0</v>
      </c>
      <c r="GB122" s="130">
        <f t="shared" si="50"/>
        <v>0</v>
      </c>
      <c r="GC122" s="141">
        <f t="shared" si="26"/>
        <v>0</v>
      </c>
      <c r="GD122" s="133">
        <f t="shared" si="27"/>
        <v>293.3333333</v>
      </c>
      <c r="GE122" s="133">
        <f>AVERAGE(OFFSET($GD$3,0,0,'Données projet'!$E$17+1,1))-AVERAGE(OFFSET($H$3,0,0,'Données projet'!$E$17+1,1))</f>
        <v>118.7368745</v>
      </c>
      <c r="GF122" s="133">
        <f t="shared" si="51"/>
        <v>135.1233677</v>
      </c>
      <c r="GG122" s="134">
        <f>IF(ISNA(VLOOKUP(A122,'Données projet'!$A$243:$I$263,3,0)),0,VLOOKUP(A122,'Données projet'!$A$243:$I$263,3,0))</f>
        <v>0</v>
      </c>
      <c r="GH122" s="134">
        <f>IF(ISNA(VLOOKUP(A122,'Données projet'!$A$243:$I$263,4,0)),0,VLOOKUP(A122,'Données projet'!$A$243:$I$263,4,0))</f>
        <v>0</v>
      </c>
      <c r="GI122" s="135">
        <f>IF(ISNA(VLOOKUP(A122,'Données projet'!$A$243:$I$263,5,0)),0%,VLOOKUP(A122,'Données projet'!$A$243:$I$263,5,0)*VLOOKUP('Données projet'!$B$17,'Paramètres'!$A$1:$I$89,7,0))</f>
        <v>0</v>
      </c>
      <c r="GJ122" s="135">
        <f>IF(ISNA(VLOOKUP(A122,'Données projet'!$A$243:$I$263,6,0)),0%,VLOOKUP(A122,'Données projet'!$A$243:$I$263,6,0)*VLOOKUP('Données projet'!$B$17,'Paramètres'!$A$1:$I$89,7,0))</f>
        <v>0</v>
      </c>
      <c r="GK122" s="135">
        <f>IF(ISNA(VLOOKUP(A122,'Données projet'!$A$243:$I$263,7,0)),0%,VLOOKUP(A122,'Données projet'!$A$243:$I$263,7,0))</f>
        <v>0</v>
      </c>
      <c r="GL122" s="142">
        <f>EXP(-LN(2)/35)*GL121+(1-EXP(-LN(2)/35))/(LN(2)/35)*GH122*GI122*VLOOKUP('Données projet'!$B$17,'Paramètres'!$A$1:$I$89,3,0)*0.475*44/12</f>
        <v>32.28588838</v>
      </c>
      <c r="GM122" s="142">
        <f>EXP(-LN(2)/25)*GM121+(1-EXP(-LN(2)/25))/(LN(2)/25)*Calculateur!GH122*Calculateur!GJ122*VLOOKUP('Données projet'!$B$17,'Paramètres'!$A$1:$I$89,3,0)*0.475*44/12</f>
        <v>0</v>
      </c>
      <c r="GN122" s="142">
        <f>EXP(-LN(2)/2)*GN121+(1-EXP(-LN(2)/2))/(LN(2)/2)*GH122*GK122*VLOOKUP('Données projet'!$B$17,'Paramètres'!$A$1:$I$89,3,0)*0.475*44/12</f>
        <v>0</v>
      </c>
      <c r="GO122" s="142">
        <f t="shared" si="28"/>
        <v>32.28588838</v>
      </c>
      <c r="GP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1" t="str">
        <f>VLOOKUP(A122,'Données projet'!$A$269:$I$289,2,0)</f>
        <v>#N/A</v>
      </c>
      <c r="GS122" s="131" t="str">
        <f>VLOOKUP(A122,'Données projet'!$A$269:$I$289,9,0)</f>
        <v>#N/A</v>
      </c>
      <c r="GT122" s="131" t="str">
        <f t="array" ref="GT122">INDEX(GS:GS,MIN(IF(ISNUMBER(GS122:GS318),ROW(GS122:GS318),"")))</f>
        <v/>
      </c>
      <c r="GU122" s="138">
        <f>IF('Données projet'!$A$270&gt;35,GU121+GT122-HC121,IF(A122&lt;'Données projet'!$A$270,$GR$205^A122,IF(A122='Données projet'!$A$270,'Données projet'!$B$270,GU121+GT122-HC121)))</f>
        <v>0</v>
      </c>
      <c r="GV122" s="138">
        <f>GU122*VLOOKUP('Données projet'!$B$18,'Paramètres'!$A$1:$I$89,3,0)*VLOOKUP('Données projet'!$B$18,'Paramètres'!$A$1:$I$89,5,0)</f>
        <v>0</v>
      </c>
      <c r="GW122" s="130" t="str">
        <f t="shared" si="52"/>
        <v>#NUM!</v>
      </c>
      <c r="GX122" s="141" t="str">
        <f t="shared" si="29"/>
        <v>#NUM!</v>
      </c>
      <c r="GY122" s="133" t="str">
        <f t="shared" si="30"/>
        <v>#NUM!</v>
      </c>
      <c r="GZ122" s="133">
        <f>AVERAGE(OFFSET($GY$3,0,0,'Données projet'!$E$18+1,1))-AVERAGE(OFFSET($H$3,0,0,'Données projet'!$E$18+1,1))</f>
        <v>100.5427875</v>
      </c>
      <c r="HA122" s="133">
        <f t="shared" si="53"/>
        <v>92.28663609</v>
      </c>
      <c r="HB122" s="134">
        <f>IF(ISNA(VLOOKUP(A122,'Données projet'!$A$269:$I$289,3,0)),0,VLOOKUP(A122,'Données projet'!$A$269:$I$289,3,0))</f>
        <v>0</v>
      </c>
      <c r="HC122" s="134">
        <f>IF(ISNA(VLOOKUP(A122,'Données projet'!$A$269:$I$289,4,0)),0,VLOOKUP(A122,'Données projet'!$A$269:$I$289,4,0))</f>
        <v>0</v>
      </c>
      <c r="HD122" s="135">
        <f>IF(ISNA(VLOOKUP(A122,'Données projet'!$A$269:$I$289,5,0)),0%,VLOOKUP(A122,'Données projet'!$A$269:$I$289,5,0)*VLOOKUP('Données projet'!$B$18,'Paramètres'!$A$1:$I$89,7,0))</f>
        <v>0</v>
      </c>
      <c r="HE122" s="135">
        <f>IF(ISNA(VLOOKUP(A122,'Données projet'!$A$269:$I$289,6,0)),0%,VLOOKUP(A122,'Données projet'!$A$269:$I$289,6,0)*VLOOKUP('Données projet'!$B$18,'Paramètres'!$A$1:$I$89,7,0))</f>
        <v>0</v>
      </c>
      <c r="HF122" s="135">
        <f>IF(ISNA(VLOOKUP(A122,'Données projet'!$A$269:$I$289,7,0)),0%,VLOOKUP(A122,'Données projet'!$A$269:$I$289,7,0))</f>
        <v>0</v>
      </c>
      <c r="HG122" s="142">
        <f>EXP(-LN(2)/35)*HG121+(1-EXP(-LN(2)/35))/(LN(2)/35)*HC122*HD122*VLOOKUP('Données projet'!$B$18,'Paramètres'!$A$1:$I$89,3,0)*0.475*44/12</f>
        <v>21.98600888</v>
      </c>
      <c r="HH122" s="142">
        <f>EXP(-LN(2)/25)*HH121+(1-EXP(-LN(2)/25))/(LN(2)/25)*Calculateur!HC122*Calculateur!HE122*VLOOKUP('Données projet'!$B$18,'Paramètres'!$A$1:$I$89,3,0)*0.475*44/12</f>
        <v>0</v>
      </c>
      <c r="HI122" s="142">
        <f>EXP(-LN(2)/2)*HI121+(1-EXP(-LN(2)/2))/(LN(2)/2)*HC122*HF122*VLOOKUP('Données projet'!$B$18,'Paramètres'!$A$1:$I$89,3,0)*0.475*44/12</f>
        <v>0</v>
      </c>
      <c r="HJ122" s="143">
        <f t="shared" si="31"/>
        <v>21.98600888</v>
      </c>
    </row>
    <row r="123" ht="15.75" customHeight="1">
      <c r="A123" s="125">
        <f t="shared" si="32"/>
        <v>120</v>
      </c>
      <c r="B123" s="126">
        <f>'Scénario référence'!$B$16*5+'Scénario référence'!$B$17*0+'Scénario référence'!$B$18*5</f>
        <v>0</v>
      </c>
      <c r="C123" s="140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65.52</v>
      </c>
      <c r="D123" s="127">
        <f t="shared" si="33"/>
        <v>18.5566695</v>
      </c>
      <c r="E12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7">
        <f>IF(OR('Scénario référence'!$F$8&gt;0,'Scénario référence'!$F$9&gt;0),('Scénario référence'!$F$8+'Scénario référence'!$F$9)*10,0)</f>
        <v>10</v>
      </c>
      <c r="G123" s="127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649.0128874</v>
      </c>
      <c r="H123" s="128">
        <f t="shared" si="1"/>
        <v>439.7668661</v>
      </c>
      <c r="I123" s="12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1" t="str">
        <f>VLOOKUP(A123,'Données projet'!$A$35:$I$55,2,0)</f>
        <v>#N/A</v>
      </c>
      <c r="L123" s="131" t="str">
        <f>VLOOKUP(A123,'Données projet'!$A$35:$I$55,9,0)</f>
        <v>#N/A</v>
      </c>
      <c r="M123" s="131" t="str">
        <f t="array" ref="M123">INDEX(L:L,MIN(IF(ISNUMBER(L123:L319),ROW(L123:L319),"")))</f>
        <v/>
      </c>
      <c r="N123" s="130">
        <f>IF('Données projet'!$A$36&gt;35,N122+M123-V122,IF(A123&lt;'Données projet'!$A$36,$K$205^A123,IF(A123='Données projet'!$A$36,'Données projet'!$B$36,N122+M123-V122)))</f>
        <v>0</v>
      </c>
      <c r="O123" s="130">
        <f>N123*VLOOKUP('Données projet'!$B$9,'Paramètres'!$A$1:$I$89,3,0)*VLOOKUP('Données projet'!$B$9,'Paramètres'!$A$1:$I$89,5,0)</f>
        <v>0</v>
      </c>
      <c r="P123" s="130">
        <f t="shared" si="34"/>
        <v>0</v>
      </c>
      <c r="Q123" s="141">
        <f t="shared" si="2"/>
        <v>0</v>
      </c>
      <c r="R123" s="133">
        <f t="shared" si="3"/>
        <v>293.3333333</v>
      </c>
      <c r="S123" s="133">
        <f>AVERAGE(OFFSET($R$3,0,0,'Données projet'!$E$9+1,1))-AVERAGE(OFFSET($H$3,0,0,'Données projet'!$E$9+1,1))</f>
        <v>126.9946492</v>
      </c>
      <c r="T123" s="133">
        <f t="shared" si="35"/>
        <v>140.039049</v>
      </c>
      <c r="U123" s="134">
        <f>IF(ISNA(VLOOKUP(A123,'Données projet'!$A$35:$I$55,3,0)),0,VLOOKUP(A123,'Données projet'!$A$35:$I$55,3,0))</f>
        <v>0</v>
      </c>
      <c r="V123" s="134">
        <f>IF(ISNA(VLOOKUP(A123,'Données projet'!$A$35:$I$55,4,0)),0,VLOOKUP(A123,'Données projet'!$A$35:$I$55,4,0))</f>
        <v>0</v>
      </c>
      <c r="W123" s="135">
        <f>IF(ISNA(VLOOKUP(A123,'Données projet'!$A$35:$I$55,5,0)),0%,VLOOKUP(A123,'Données projet'!$A$35:$I$55,5,0)*VLOOKUP('Données projet'!$B$9,'Paramètres'!$A$1:$I$89,7,0))</f>
        <v>0</v>
      </c>
      <c r="X123" s="135">
        <f>IF(ISNA(VLOOKUP(A123,'Données projet'!$A$35:$I$55,6,0)),0%,VLOOKUP(A123,'Données projet'!$A$35:$I$55,6,0)*VLOOKUP('Données projet'!$B$9,'Paramètres'!$A$1:$I$89,7,0))</f>
        <v>0</v>
      </c>
      <c r="Y123" s="135">
        <f>IF(ISNA(VLOOKUP(A123,'Données projet'!$A$35:$I$55,7,0)),0%,VLOOKUP(A123,'Données projet'!$A$35:$I$55,7,0))</f>
        <v>0</v>
      </c>
      <c r="Z123" s="142">
        <f>EXP(-LN(2)/35)*Z122+(1-EXP(-LN(2)/35))/(LN(2)/35)*V123*W123*VLOOKUP('Données projet'!$B$9,'Paramètres'!$A$1:$I$89,3,0)*0.475*44/12</f>
        <v>32.37374977</v>
      </c>
      <c r="AA123" s="142">
        <f>EXP(-LN(2)/25)*AA122+(1-EXP(-LN(2)/25))/(LN(2)/25)*Calculateur!V123*Calculateur!X123*VLOOKUP('Données projet'!$B$9,'Paramètres'!$A$1:$I$89,3,0)*0.475*44/12</f>
        <v>4.402900355</v>
      </c>
      <c r="AB123" s="142">
        <f>EXP(-LN(2)/2)*AB122+(1-EXP(-LN(2)/2))/(LN(2)/2)*V123*Y123*VLOOKUP('Données projet'!$B$9,'Paramètres'!$A$1:$I$89,3,0)*0.475*44/12</f>
        <v>0.00000001768523009</v>
      </c>
      <c r="AC123" s="143">
        <f t="shared" si="4"/>
        <v>36.77665014</v>
      </c>
      <c r="AD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1" t="str">
        <f>VLOOKUP(A123,'Données projet'!$A$61:$I$81,2,0)</f>
        <v>#N/A</v>
      </c>
      <c r="AG123" s="131" t="str">
        <f>VLOOKUP(A123,'Données projet'!$A$61:$I$81,9,0)</f>
        <v>#N/A</v>
      </c>
      <c r="AH123" s="131" t="str">
        <f t="array" ref="AH123">INDEX(AG:AG,MIN(IF(ISNUMBER(AG123:AG319),ROW(AG123:AG319),"")))</f>
        <v/>
      </c>
      <c r="AI123" s="130">
        <f>IF('Données projet'!$A$62&gt;35,AI122+AH123-AQ122,IF(A123&lt;'Données projet'!$A$62,$AF$205^A123,IF(A123='Données projet'!$A$62,'Données projet'!$B$62,AI122+AH123-AQ122)))</f>
        <v>0</v>
      </c>
      <c r="AJ123" s="130">
        <f>AI123*VLOOKUP('Données projet'!$B$10,'Paramètres'!$A$1:$I$89,3,0)*VLOOKUP('Données projet'!$B$10,'Paramètres'!$A$1:$I$89,5,0)</f>
        <v>0</v>
      </c>
      <c r="AK123" s="130" t="str">
        <f t="shared" si="36"/>
        <v>#NUM!</v>
      </c>
      <c r="AL123" s="141" t="str">
        <f t="shared" si="5"/>
        <v>#NUM!</v>
      </c>
      <c r="AM123" s="133" t="str">
        <f t="shared" si="6"/>
        <v>#NUM!</v>
      </c>
      <c r="AN123" s="133">
        <f>AVERAGE(OFFSET($AM$3,0,0,'Données projet'!$E$10+1,1))-AVERAGE(OFFSET($H$3,0,0,'Données projet'!$E$10+1,1))</f>
        <v>196.874484</v>
      </c>
      <c r="AO123" s="133">
        <f t="shared" si="37"/>
        <v>217.5750859</v>
      </c>
      <c r="AP123" s="134">
        <f>IF(ISNA(VLOOKUP(A123,'Données projet'!$A$61:$I$81,3,0)),0,VLOOKUP(A123,'Données projet'!$A$61:$I$81,3,0))</f>
        <v>0</v>
      </c>
      <c r="AQ123" s="134">
        <f>IF(ISNA(VLOOKUP(A123,'Données projet'!$A$61:$I$81,4,0)),0,VLOOKUP(A123,'Données projet'!$A$61:$I$81,4,0))</f>
        <v>0</v>
      </c>
      <c r="AR123" s="135">
        <f>IF(ISNA(VLOOKUP(A123,'Données projet'!$A$61:$I$81,5,0)),0%,VLOOKUP(A123,'Données projet'!$A$61:$I$81,5,0)*VLOOKUP('Données projet'!$B$10,'Paramètres'!$A$1:$I$89,7,0))</f>
        <v>0</v>
      </c>
      <c r="AS123" s="135">
        <f>IF(ISNA(VLOOKUP(A123,'Données projet'!$A$61:$I$81,6,0)),0%,VLOOKUP(A123,'Données projet'!$A$61:$I$81,6,0)*VLOOKUP('Données projet'!$B$10,'Paramètres'!$A$1:$I$89,7,0))</f>
        <v>0</v>
      </c>
      <c r="AT123" s="135">
        <f>IF(ISNA(VLOOKUP(A123,'Données projet'!$A$61:$I$81,7,0)),0%,VLOOKUP(A123,'Données projet'!$A$61:$I$81,7,0))</f>
        <v>0</v>
      </c>
      <c r="AU123" s="142">
        <f>EXP(-LN(2)/35)*AU122+(1-EXP(-LN(2)/35))/(LN(2)/35)*AQ123*AR123*VLOOKUP('Données projet'!$B$10,'Paramètres'!$A$1:$I$89,3,0)*0.475*44/12</f>
        <v>44.99859264</v>
      </c>
      <c r="AV123" s="142">
        <f>EXP(-LN(2)/25)*AV122+(1-EXP(-LN(2)/25))/(LN(2)/25)*Calculateur!AQ123*Calculateur!AS123*VLOOKUP('Données projet'!$B$10,'Paramètres'!$A$1:$I$89,3,0)*0.475*44/12</f>
        <v>6.769465177</v>
      </c>
      <c r="AW123" s="142">
        <f>EXP(-LN(2)/2)*AW122+(1-EXP(-LN(2)/2))/(LN(2)/2)*AQ123*AT123*VLOOKUP('Données projet'!$B$10,'Paramètres'!$A$1:$I$89,3,0)*0.475*44/12</f>
        <v>0.00000002465692388</v>
      </c>
      <c r="AX123" s="142">
        <f t="shared" si="7"/>
        <v>51.76805784</v>
      </c>
      <c r="AY123" s="13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1" t="str">
        <f>VLOOKUP(A123,'Données projet'!$A$87:$I$107,2,0)</f>
        <v>#N/A</v>
      </c>
      <c r="BB123" s="131" t="str">
        <f>VLOOKUP(A123,'Données projet'!$A$87:$I$107,9,0)</f>
        <v>#N/A</v>
      </c>
      <c r="BC123" s="131" t="str">
        <f t="array" ref="BC123">INDEX(BB:BB,MIN(IF(ISNUMBER(BB123:BB319),ROW(BB123:BB319),"")))</f>
        <v/>
      </c>
      <c r="BD123" s="130">
        <f>IF('Données projet'!$A$88&gt;35,BD122+BC123-BL122,IF(A123&lt;'Données projet'!$A$88,$BA$205^A123,IF(A123='Données projet'!$A$88,'Données projet'!$B$88,BD122+BC123-BL122)))</f>
        <v>0</v>
      </c>
      <c r="BE123" s="130">
        <f>BD123*VLOOKUP('Données projet'!$B$11,'Paramètres'!$A$1:$I$89,3,0)*VLOOKUP('Données projet'!$B$11,'Paramètres'!$A$1:$I$89,5,0)</f>
        <v>0</v>
      </c>
      <c r="BF123" s="130" t="str">
        <f t="shared" si="38"/>
        <v>#NUM!</v>
      </c>
      <c r="BG123" s="141" t="str">
        <f t="shared" si="8"/>
        <v>#NUM!</v>
      </c>
      <c r="BH123" s="133" t="str">
        <f t="shared" si="9"/>
        <v>#NUM!</v>
      </c>
      <c r="BI123" s="133">
        <f>AVERAGE(OFFSET($BH$3,0,0,'Données projet'!$E$11+1,1))-AVERAGE(OFFSET($H$3,0,0,'Données projet'!$E$11+1,1))</f>
        <v>134.0948534</v>
      </c>
      <c r="BJ123" s="133">
        <f t="shared" si="39"/>
        <v>108.4102536</v>
      </c>
      <c r="BK123" s="134">
        <f>IF(ISNA(VLOOKUP(A123,'Données projet'!$A$87:$I$107,3,0)),0,VLOOKUP(A123,'Données projet'!$A$87:$I$107,3,0))</f>
        <v>0</v>
      </c>
      <c r="BL123" s="134">
        <f>IF(ISNA(VLOOKUP(A123,'Données projet'!$A$87:$I$107,4,0)),0,VLOOKUP(A123,'Données projet'!$A$87:$I$107,4,0))</f>
        <v>0</v>
      </c>
      <c r="BM123" s="135">
        <f>IF(ISNA(VLOOKUP(A123,'Données projet'!$A$87:$I$107,5,0)),0%,VLOOKUP(A123,'Données projet'!$A$87:$I$107,5,0)*VLOOKUP('Données projet'!$B$11,'Paramètres'!$A$1:$I$89,7,0))</f>
        <v>0</v>
      </c>
      <c r="BN123" s="135">
        <f>IF(ISNA(VLOOKUP(A123,'Données projet'!$A$87:$I$107,6,0)),0%,VLOOKUP(A123,'Données projet'!$A$87:$I$107,6,0)*VLOOKUP('Données projet'!$B$11,'Paramètres'!$A$1:$I$89,7,0))</f>
        <v>0</v>
      </c>
      <c r="BO123" s="135">
        <f>IF(ISNA(VLOOKUP(A123,'Données projet'!$A$87:$I$107,7,0)),0%,VLOOKUP(A123,'Données projet'!$A$87:$I$107,7,0))</f>
        <v>0</v>
      </c>
      <c r="BP123" s="142">
        <f>EXP(-LN(2)/35)*BP122+(1-EXP(-LN(2)/35))/(LN(2)/35)*BL123*BM123*VLOOKUP('Données projet'!$B$11,'Paramètres'!$A$1:$I$89,3,0)*0.475*44/12</f>
        <v>62.24145749</v>
      </c>
      <c r="BQ123" s="142">
        <f>EXP(-LN(2)/25)*BQ122+(1-EXP(-LN(2)/25))/(LN(2)/25)*Calculateur!BL123*Calculateur!BN123*VLOOKUP('Données projet'!$B$11,'Paramètres'!$A$1:$I$89,3,0)*0.475*44/12</f>
        <v>4.270184446</v>
      </c>
      <c r="BR123" s="142">
        <f>EXP(-LN(2)/2)*BR122+(1-EXP(-LN(2)/2))/(LN(2)/2)*BL123*BO123*VLOOKUP('Données projet'!$B$11,'Paramètres'!$A$1:$I$89,3,0)*0.475*44/12</f>
        <v>0.000000328887979</v>
      </c>
      <c r="BS123" s="143">
        <f t="shared" si="10"/>
        <v>66.51164227</v>
      </c>
      <c r="BT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1" t="str">
        <f>VLOOKUP(A123,'Données projet'!$A$113:$I$133,2,0)</f>
        <v>#N/A</v>
      </c>
      <c r="BW123" s="131" t="str">
        <f>VLOOKUP(A123,'Données projet'!$A$113:$I$133,9,0)</f>
        <v>#N/A</v>
      </c>
      <c r="BX123" s="131" t="str">
        <f t="array" ref="BX123">INDEX(BW:BW,MIN(IF(ISNUMBER(BW123:BW319),ROW(BW123:BW319),"")))</f>
        <v/>
      </c>
      <c r="BY123" s="130">
        <f>IF('Données projet'!$A$114&gt;35,BY122+BX123-CG122,IF(A123&lt;'Données projet'!$A$114,$BV$205^A123,IF(A123='Données projet'!$A$114,'Données projet'!$B$114,BY122+BX123-CG122)))</f>
        <v>0</v>
      </c>
      <c r="BZ123" s="130">
        <f>BY123*VLOOKUP('Données projet'!$B$12,'Paramètres'!$A$1:$I$89,3,0)*VLOOKUP('Données projet'!$B$12,'Paramètres'!$A$1:$I$89,5,0)</f>
        <v>0</v>
      </c>
      <c r="CA123" s="130" t="str">
        <f t="shared" si="40"/>
        <v>#NUM!</v>
      </c>
      <c r="CB123" s="141" t="str">
        <f t="shared" si="11"/>
        <v>#NUM!</v>
      </c>
      <c r="CC123" s="133" t="str">
        <f t="shared" si="12"/>
        <v>#NUM!</v>
      </c>
      <c r="CD123" s="133">
        <f>AVERAGE(OFFSET($CC$3,0,0,'Données projet'!$E$12+1,1))-AVERAGE(OFFSET($H$3,0,0,'Données projet'!$E$12+1,1))</f>
        <v>258.1672054</v>
      </c>
      <c r="CE123" s="133">
        <f t="shared" si="41"/>
        <v>296.0724261</v>
      </c>
      <c r="CF123" s="134">
        <f>IF(ISNA(VLOOKUP(A123,'Données projet'!$A$113:$I$133,3,0)),0,VLOOKUP(A123,'Données projet'!$A$113:$I$133,3,0))</f>
        <v>0</v>
      </c>
      <c r="CG123" s="134">
        <f>IF(ISNA(VLOOKUP(A123,'Données projet'!$A$113:$I$133,4,0)),0,VLOOKUP(A123,'Données projet'!$A$113:$I$133,4,0))</f>
        <v>0</v>
      </c>
      <c r="CH123" s="135">
        <f>IF(ISNA(VLOOKUP(A123,'Données projet'!$A$113:$I$133,5,0)),0%,VLOOKUP(A123,'Données projet'!$A$113:$I$133,5,0)*VLOOKUP('Données projet'!$B$12,'Paramètres'!$A$1:$I$89,7,0))</f>
        <v>0</v>
      </c>
      <c r="CI123" s="135">
        <f>IF(ISNA(VLOOKUP(A123,'Données projet'!$A$113:$I$133,6,0)),0%,VLOOKUP(A123,'Données projet'!$A$113:$I$133,6,0)*VLOOKUP('Données projet'!$B$12,'Paramètres'!$A$1:$I$89,7,0))</f>
        <v>0</v>
      </c>
      <c r="CJ123" s="135">
        <f>IF(ISNA(VLOOKUP(A123,'Données projet'!$A$113:$I$133,7,0)),0%,VLOOKUP(A123,'Données projet'!$A$113:$I$133,7,0))</f>
        <v>0</v>
      </c>
      <c r="CK123" s="142">
        <f>EXP(-LN(2)/35)*CK122+(1-EXP(-LN(2)/35))/(LN(2)/35)*CG123*CH123*VLOOKUP('Données projet'!$B$12,'Paramètres'!$A$1:$I$89,3,0)*0.475*44/12</f>
        <v>78.69224271</v>
      </c>
      <c r="CL123" s="142">
        <f>EXP(-LN(2)/25)*CL122+(1-EXP(-LN(2)/25))/(LN(2)/25)*Calculateur!CG123*Calculateur!CI123*VLOOKUP('Données projet'!$B$12,'Paramètres'!$A$1:$I$89,3,0)*0.475*44/12</f>
        <v>7.490145925</v>
      </c>
      <c r="CM123" s="142">
        <f>EXP(-LN(2)/2)*CM122+(1-EXP(-LN(2)/2))/(LN(2)/2)*CG123*CJ123*VLOOKUP('Données projet'!$B$12,'Paramètres'!$A$1:$I$89,3,0)*0.475*44/12</f>
        <v>0.00000001385566236</v>
      </c>
      <c r="CN123" s="143">
        <f t="shared" si="13"/>
        <v>86.18238865</v>
      </c>
      <c r="CO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8">
        <f>VLOOKUP(A123,'Données projet'!$A$139:$I$159,2,0)</f>
        <v>221</v>
      </c>
      <c r="CR123" s="130">
        <f>VLOOKUP(A123,'Données projet'!$A$139:$I$159,9,0)</f>
        <v>1.5</v>
      </c>
      <c r="CS123" s="130">
        <f t="array" ref="CS123">INDEX(CR:CR,MIN(IF(ISNUMBER(CR123:CR319),ROW(CR123:CR319),"")))</f>
        <v>1.5</v>
      </c>
      <c r="CT123" s="138">
        <f>IF('Données projet'!$A$140&gt;35,CT122+CS123-DB122,IF(A123&lt;'Données projet'!$A$140,$CQ$205^A123,IF(A123='Données projet'!$A$140,'Données projet'!$B$140,CT122+CS123-DB122)))</f>
        <v>221</v>
      </c>
      <c r="CU123" s="138">
        <f>CT123*VLOOKUP('Données projet'!$B$13,'Paramètres'!$A$1:$I$89,3,0)*VLOOKUP('Données projet'!$B$13,'Paramètres'!$A$1:$I$89,5,0)</f>
        <v>224.094</v>
      </c>
      <c r="CV123" s="130">
        <f t="shared" si="42"/>
        <v>55.00373929</v>
      </c>
      <c r="CW123" s="141">
        <f t="shared" si="14"/>
        <v>486.0952293</v>
      </c>
      <c r="CX123" s="133">
        <f t="shared" si="15"/>
        <v>779.4285626</v>
      </c>
      <c r="CY123" s="133">
        <f>AVERAGE(OFFSET($CX$3,0,0,'Données projet'!$E$13+1,1))-AVERAGE(OFFSET($H$3,0,0,'Données projet'!$E$13+1,1))</f>
        <v>223.783507</v>
      </c>
      <c r="CZ123" s="133">
        <f t="shared" si="43"/>
        <v>84.92349117</v>
      </c>
      <c r="DA123" s="134">
        <f>IF(ISNA(VLOOKUP(A123,'Données projet'!$A$139:$I$159,3,0)),0,VLOOKUP(A123,'Données projet'!$A$139:$I$159,3,0))</f>
        <v>17</v>
      </c>
      <c r="DB123" s="144">
        <f>IF(ISNA(VLOOKUP(A123,'Données projet'!$A$139:$I$159,4,0)),0,VLOOKUP(A123,'Données projet'!$A$139:$I$159,4,0))</f>
        <v>12</v>
      </c>
      <c r="DC123" s="135">
        <f>IF(ISNA(VLOOKUP(A123,'Données projet'!$A$139:$I$159,5,0)),0%,VLOOKUP(A123,'Données projet'!$A$139:$I$159,5,0)*VLOOKUP('Données projet'!$B$13,'Paramètres'!$A$1:$I$89,7,0))</f>
        <v>0.344</v>
      </c>
      <c r="DD123" s="135">
        <f>IF(ISNA(VLOOKUP(A123,'Données projet'!$A$139:$I$159,6,0)),0%,VLOOKUP(A123,'Données projet'!$A$139:$I$159,6,0)*VLOOKUP('Données projet'!$B$13,'Paramètres'!$A$1:$I$89,7,0))</f>
        <v>0</v>
      </c>
      <c r="DE123" s="135" t="str">
        <f>IF(ISNA(VLOOKUP(A123,'Données projet'!$A$139:$I$159,7,0)),0%,VLOOKUP(A123,'Données projet'!$A$139:$I$159,7,0))</f>
        <v/>
      </c>
      <c r="DF123" s="142">
        <f>EXP(-LN(2)/35)*DF122+(1-EXP(-LN(2)/35))/(LN(2)/35)*DB123*DC123*VLOOKUP('Données projet'!$B$13,'Paramètres'!$A$1:$I$89,3,0)*0.475*44/12</f>
        <v>22.30549142</v>
      </c>
      <c r="DG123" s="142">
        <f>EXP(-LN(2)/25)*DG122+(1-EXP(-LN(2)/25))/(LN(2)/25)*Calculateur!DB123*Calculateur!DD123*VLOOKUP('Données projet'!$B$13,'Paramètres'!$A$1:$I$89,3,0)*0.475*44/12</f>
        <v>0</v>
      </c>
      <c r="DH123" s="142">
        <f>EXP(-LN(2)/2)*DH122+(1-EXP(-LN(2)/2))/(LN(2)/2)*DB123*DE123*VLOOKUP('Données projet'!$B$13,'Paramètres'!$A$1:$I$89,3,0)*0.475*44/12</f>
        <v>0</v>
      </c>
      <c r="DI123" s="143">
        <f t="shared" si="16"/>
        <v>22.30549142</v>
      </c>
      <c r="DJ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8">
        <f>VLOOKUP(A123,'Données projet'!$A$165:$I$185,2,0)</f>
        <v>285</v>
      </c>
      <c r="DM123" s="131">
        <f>VLOOKUP(A123,'Données projet'!$A$165:$I$185,9,0)</f>
        <v>1.9</v>
      </c>
      <c r="DN123" s="131">
        <f t="array" ref="DN123">INDEX(DM:DM,MIN(IF(ISNUMBER(DM123:DM319),ROW(DM123:DM319),"")))</f>
        <v>1.9</v>
      </c>
      <c r="DO123" s="138">
        <f>IF('Données projet'!$A$166&gt;35,DO122+DN123-DW122,IF(A123&lt;'Données projet'!$A$166,$DL$205^A123,IF(A123='Données projet'!$A$166,'Données projet'!$B$166,DO122+DN123-DW122)))</f>
        <v>285</v>
      </c>
      <c r="DP123" s="138">
        <f>DO123*VLOOKUP('Données projet'!$B$14,'Paramètres'!$A$1:$I$89,3,0)*VLOOKUP('Données projet'!$B$14,'Paramètres'!$A$1:$I$89,5,0)</f>
        <v>257.868</v>
      </c>
      <c r="DQ123" s="130">
        <f t="shared" si="44"/>
        <v>62.26770416</v>
      </c>
      <c r="DR123" s="141">
        <f t="shared" si="17"/>
        <v>557.5696848</v>
      </c>
      <c r="DS123" s="133">
        <f t="shared" si="18"/>
        <v>850.9030181</v>
      </c>
      <c r="DT123" s="133">
        <f>AVERAGE(OFFSET($DS$3,0,0,'Données projet'!$E$14+1,1))-AVERAGE(OFFSET($H$3,0,0,'Données projet'!$E$14+1,1))</f>
        <v>287.9334714</v>
      </c>
      <c r="DU123" s="133">
        <f t="shared" si="45"/>
        <v>156.6796502</v>
      </c>
      <c r="DV123" s="134">
        <f>IF(ISNA(VLOOKUP(A123,'Données projet'!$A$165:$I$185,3,0)),0,VLOOKUP(A123,'Données projet'!$A$165:$I$185,3,0))</f>
        <v>18</v>
      </c>
      <c r="DW123" s="144">
        <f>IF(ISNA(VLOOKUP(A123,'Données projet'!$A$165:$I$185,4,0)),0,VLOOKUP(A123,'Données projet'!$A$165:$I$185,4,0))</f>
        <v>17</v>
      </c>
      <c r="DX123" s="135">
        <f>IF(ISNA(VLOOKUP(A123,'Données projet'!$A$165:$I$185,5,0)),0%,VLOOKUP(A123,'Données projet'!$A$165:$I$185,5,0)*VLOOKUP('Données projet'!$B$14,'Paramètres'!$A$1:$I$89,7,0))</f>
        <v>0.344</v>
      </c>
      <c r="DY123" s="135">
        <f>IF(ISNA(VLOOKUP(A123,'Données projet'!$A$165:$I$185,6,0)),0%,VLOOKUP(A123,'Données projet'!$A$165:$I$185,6,0)*VLOOKUP('Données projet'!$B$14,'Paramètres'!$A$1:$I$89,7,0))</f>
        <v>0</v>
      </c>
      <c r="DZ123" s="135" t="str">
        <f>IF(ISNA(VLOOKUP(A123,'Données projet'!$A$165:$I$185,7,0)),0%,VLOOKUP(A123,'Données projet'!$A$165:$I$185,7,0))</f>
        <v/>
      </c>
      <c r="EA123" s="142">
        <f>EXP(-LN(2)/35)*EA122+(1-EXP(-LN(2)/35))/(LN(2)/35)*DW123*DX123*VLOOKUP('Données projet'!$B$14,'Paramètres'!$A$1:$I$89,3,0)*0.475*44/12</f>
        <v>32.17254546</v>
      </c>
      <c r="EB123" s="142">
        <f>EXP(-LN(2)/25)*EB122+(1-EXP(-LN(2)/25))/(LN(2)/25)*Calculateur!DW123*Calculateur!DY123*VLOOKUP('Données projet'!$B$14,'Paramètres'!$A$1:$I$89,3,0)*0.475*44/12</f>
        <v>0</v>
      </c>
      <c r="EC123" s="142">
        <f>EXP(-LN(2)/2)*EC122+(1-EXP(-LN(2)/2))/(LN(2)/2)*DW123*DZ123*VLOOKUP('Données projet'!$B$14,'Paramètres'!$A$1:$I$89,3,0)*0.475*44/12</f>
        <v>0</v>
      </c>
      <c r="ED123" s="143">
        <f t="shared" si="19"/>
        <v>32.17254546</v>
      </c>
      <c r="EE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1" t="str">
        <f>VLOOKUP(A123,'Données projet'!$A$191:$I$211,2,0)</f>
        <v>#N/A</v>
      </c>
      <c r="EH123" s="131" t="str">
        <f>VLOOKUP(A123,'Données projet'!$A$191:$I$211,9,0)</f>
        <v>#N/A</v>
      </c>
      <c r="EI123" s="131" t="str">
        <f t="array" ref="EI123">INDEX(EH:EH,MIN(IF(ISNUMBER(EH123:EH319),ROW(EH123:EH319),"")))</f>
        <v/>
      </c>
      <c r="EJ123" s="138">
        <f>IF('Données projet'!$A$192&gt;35,EJ122+EI123-ER122,IF(A123&lt;'Données projet'!$A$192,$EG$205^A123,IF(A123='Données projet'!$A$192,'Données projet'!$B$192,EJ122+EI123-ER122)))</f>
        <v>0</v>
      </c>
      <c r="EK123" s="138">
        <f>EJ123*VLOOKUP('Données projet'!$B$15,'Paramètres'!$A$1:$I$89,3,0)*VLOOKUP('Données projet'!$B$15,'Paramètres'!$A$1:$I$89,5,0)</f>
        <v>0</v>
      </c>
      <c r="EL123" s="130" t="str">
        <f t="shared" si="46"/>
        <v>#NUM!</v>
      </c>
      <c r="EM123" s="141" t="str">
        <f t="shared" si="20"/>
        <v>#NUM!</v>
      </c>
      <c r="EN123" s="133" t="str">
        <f t="shared" si="21"/>
        <v>#NUM!</v>
      </c>
      <c r="EO123" s="133">
        <f>AVERAGE(OFFSET($EN$3,0,0,'Données projet'!$E$15+1,1))-AVERAGE(OFFSET($H$3,0,0,'Données projet'!$E$15+1,1))</f>
        <v>130.3193339</v>
      </c>
      <c r="EP123" s="133">
        <f t="shared" si="47"/>
        <v>82.22784365</v>
      </c>
      <c r="EQ123" s="134">
        <f>IF(ISNA(VLOOKUP(A123,'Données projet'!$A$191:$I$211,3,0)),0,VLOOKUP(A123,'Données projet'!$A$191:$I$211,3,0))</f>
        <v>0</v>
      </c>
      <c r="ER123" s="134">
        <f>IF(ISNA(VLOOKUP(A123,'Données projet'!$A$191:$I$211,4,0)),0,VLOOKUP(A123,'Données projet'!$A$191:$I$211,4,0))</f>
        <v>0</v>
      </c>
      <c r="ES123" s="135">
        <f>IF(ISNA(VLOOKUP(A123,'Données projet'!$A$191:$I$211,5,0)),0%,VLOOKUP(A123,'Données projet'!$A$191:$I$211,5,0)*VLOOKUP('Données projet'!$B$15,'Paramètres'!$A$1:$I$89,7,0))</f>
        <v>0</v>
      </c>
      <c r="ET123" s="135">
        <f>IF(ISNA(VLOOKUP(A123,'Données projet'!$A$191:$I$211,6,0)),0%,VLOOKUP(A123,'Données projet'!$A$191:$I$211,6,0)*VLOOKUP('Données projet'!$B$15,'Paramètres'!$A$1:$I$89,7,0))</f>
        <v>0</v>
      </c>
      <c r="EU123" s="135">
        <f>IF(ISNA(VLOOKUP(A123,'Données projet'!$A$191:$I$211,7,0)),0%,VLOOKUP(A123,'Données projet'!$A$191:$I$211,7,0))</f>
        <v>0</v>
      </c>
      <c r="EV123" s="142">
        <f>EXP(-LN(2)/35)*EV122+(1-EXP(-LN(2)/35))/(LN(2)/35)*ER123*ES123*VLOOKUP('Données projet'!$B$15,'Paramètres'!$A$1:$I$89,3,0)*0.475*44/12</f>
        <v>48.11867849</v>
      </c>
      <c r="EW123" s="142">
        <f>EXP(-LN(2)/25)*EW122+(1-EXP(-LN(2)/25))/(LN(2)/25)*Calculateur!ER123*Calculateur!ET123*VLOOKUP('Données projet'!$B$15,'Paramètres'!$A$1:$I$89,3,0)*0.475*44/12</f>
        <v>0</v>
      </c>
      <c r="EX123" s="142">
        <f>EXP(-LN(2)/2)*EX122+(1-EXP(-LN(2)/2))/(LN(2)/2)*ER123*EU123*VLOOKUP('Données projet'!$B$15,'Paramètres'!$A$1:$I$89,3,0)*0.475*44/12</f>
        <v>0</v>
      </c>
      <c r="EY123" s="143">
        <f t="shared" si="22"/>
        <v>48.11867849</v>
      </c>
      <c r="EZ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1" t="str">
        <f>VLOOKUP(A123,'Données projet'!$A$217:$I$237,2,0)</f>
        <v>#N/A</v>
      </c>
      <c r="FC123" s="131" t="str">
        <f>VLOOKUP(A123,'Données projet'!$A$217:$I$237,9,0)</f>
        <v>#N/A</v>
      </c>
      <c r="FD123" s="131" t="str">
        <f t="array" ref="FD123">INDEX(FC:FC,MIN(IF(ISNUMBER(FC123:FC319),ROW(FC123:FC319),"")))</f>
        <v/>
      </c>
      <c r="FE123" s="130">
        <f>IF('Données projet'!$A$218&gt;35,FE122+FD123-FM122,IF(A123&lt;'Données projet'!$A$218,$FB$205^A123,IF(A123='Données projet'!$A$218,'Données projet'!$B$218,FE122+FD123-FM122)))</f>
        <v>0</v>
      </c>
      <c r="FF123" s="138">
        <f>FE123*VLOOKUP('Données projet'!$B$16,'Paramètres'!$A$1:$I$89,3,0)*VLOOKUP('Données projet'!$B$16,'Paramètres'!$A$1:$I$89,5,0)</f>
        <v>0</v>
      </c>
      <c r="FG123" s="130">
        <f t="shared" si="48"/>
        <v>0</v>
      </c>
      <c r="FH123" s="141">
        <f t="shared" si="23"/>
        <v>0</v>
      </c>
      <c r="FI123" s="133">
        <f t="shared" si="24"/>
        <v>293.3333333</v>
      </c>
      <c r="FJ123" s="133">
        <f>AVERAGE(OFFSET($FI$3,0,0,'Données projet'!$E$16+1,1))-AVERAGE(OFFSET($H$3,0,0,'Données projet'!$E$16+1,1))</f>
        <v>305.6252353</v>
      </c>
      <c r="FK123" s="133">
        <f t="shared" si="49"/>
        <v>331.397916</v>
      </c>
      <c r="FL123" s="134">
        <f>IF(ISNA(VLOOKUP(A123,'Données projet'!$A$217:$I$237,3,0)),0,VLOOKUP(A123,'Données projet'!$A$217:$I$237,3,0))</f>
        <v>0</v>
      </c>
      <c r="FM123" s="134">
        <f>IF(ISNA(VLOOKUP(A123,'Données projet'!$A$217:$I$237,4,0)),0,VLOOKUP(A123,'Données projet'!$A$217:$I$237,4,0))</f>
        <v>0</v>
      </c>
      <c r="FN123" s="135">
        <f>IF(ISNA(VLOOKUP(A123,'Données projet'!$A$217:$I$237,5,0)),0%,VLOOKUP(A123,'Données projet'!$A$217:$I$237,5,0)*VLOOKUP('Données projet'!$B$16,'Paramètres'!$A$1:$I$89,7,0))</f>
        <v>0</v>
      </c>
      <c r="FO123" s="135">
        <f>IF(ISNA(VLOOKUP(A123,'Données projet'!$A$217:$I$237,6,0)),0%,VLOOKUP(A123,'Données projet'!$A$217:$I$237,6,0)*VLOOKUP('Données projet'!$B$16,'Paramètres'!$A$1:$I$89,7,0))</f>
        <v>0</v>
      </c>
      <c r="FP123" s="135">
        <f>IF(ISNA(VLOOKUP(A123,'Données projet'!$A$217:$I$237,7,0)),0%,VLOOKUP(A123,'Données projet'!$A$217:$I$237,7,0))</f>
        <v>0</v>
      </c>
      <c r="FQ123" s="142">
        <f>EXP(-LN(2)/35)*FQ122+(1-EXP(-LN(2)/35))/(LN(2)/35)*FM123*FN123*VLOOKUP('Données projet'!$B$16,'Paramètres'!$A$1:$I$89,3,0)*0.475*44/12</f>
        <v>29.96012727</v>
      </c>
      <c r="FR123" s="142">
        <f>EXP(-LN(2)/25)*FR122+(1-EXP(-LN(2)/25))/(LN(2)/25)*Calculateur!FM123*Calculateur!FO123*VLOOKUP('Données projet'!$B$16,'Paramètres'!$A$1:$I$89,3,0)*0.475*44/12</f>
        <v>0</v>
      </c>
      <c r="FS123" s="142">
        <f>EXP(-LN(2)/2)*FS122+(1-EXP(-LN(2)/2))/(LN(2)/2)*FM123*FP123*VLOOKUP('Données projet'!$B$16,'Paramètres'!$A$1:$I$89,3,0)*0.475*44/12</f>
        <v>0</v>
      </c>
      <c r="FT123" s="143">
        <f t="shared" si="25"/>
        <v>29.96012727</v>
      </c>
      <c r="FU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1" t="str">
        <f>VLOOKUP(A123,'Données projet'!$A$243:$I$263,2,0)</f>
        <v>#N/A</v>
      </c>
      <c r="FX123" s="131" t="str">
        <f>VLOOKUP(A123,'Données projet'!$A$243:$I$263,9,0)</f>
        <v>#N/A</v>
      </c>
      <c r="FY123" s="131" t="str">
        <f t="array" ref="FY123">INDEX(FX:FX,MIN(IF(ISNUMBER(FX123:FX319),ROW(FX123:FX319),"")))</f>
        <v/>
      </c>
      <c r="FZ123" s="138">
        <f>IF('Données projet'!$A$244&gt;35,FZ122+FY123-GH122,IF(A123&lt;'Données projet'!$A$244,$FW$205^A123,IF(A123='Données projet'!$A$244,'Données projet'!$B$244,FZ122+FY123-GH122)))</f>
        <v>0</v>
      </c>
      <c r="GA123" s="138">
        <f>FZ123*VLOOKUP('Données projet'!$B$17,'Paramètres'!$A$1:$I$89,3,0)*VLOOKUP('Données projet'!$B$17,'Paramètres'!$A$1:$I$89,5,0)</f>
        <v>0</v>
      </c>
      <c r="GB123" s="130">
        <f t="shared" si="50"/>
        <v>0</v>
      </c>
      <c r="GC123" s="141">
        <f t="shared" si="26"/>
        <v>0</v>
      </c>
      <c r="GD123" s="133">
        <f t="shared" si="27"/>
        <v>293.3333333</v>
      </c>
      <c r="GE123" s="133">
        <f>AVERAGE(OFFSET($GD$3,0,0,'Données projet'!$E$17+1,1))-AVERAGE(OFFSET($H$3,0,0,'Données projet'!$E$17+1,1))</f>
        <v>118.7368745</v>
      </c>
      <c r="GF123" s="133">
        <f t="shared" si="51"/>
        <v>135.1233677</v>
      </c>
      <c r="GG123" s="134">
        <f>IF(ISNA(VLOOKUP(A123,'Données projet'!$A$243:$I$263,3,0)),0,VLOOKUP(A123,'Données projet'!$A$243:$I$263,3,0))</f>
        <v>0</v>
      </c>
      <c r="GH123" s="134">
        <f>IF(ISNA(VLOOKUP(A123,'Données projet'!$A$243:$I$263,4,0)),0,VLOOKUP(A123,'Données projet'!$A$243:$I$263,4,0))</f>
        <v>0</v>
      </c>
      <c r="GI123" s="135">
        <f>IF(ISNA(VLOOKUP(A123,'Données projet'!$A$243:$I$263,5,0)),0%,VLOOKUP(A123,'Données projet'!$A$243:$I$263,5,0)*VLOOKUP('Données projet'!$B$17,'Paramètres'!$A$1:$I$89,7,0))</f>
        <v>0</v>
      </c>
      <c r="GJ123" s="135">
        <f>IF(ISNA(VLOOKUP(A123,'Données projet'!$A$243:$I$263,6,0)),0%,VLOOKUP(A123,'Données projet'!$A$243:$I$263,6,0)*VLOOKUP('Données projet'!$B$17,'Paramètres'!$A$1:$I$89,7,0))</f>
        <v>0</v>
      </c>
      <c r="GK123" s="135">
        <f>IF(ISNA(VLOOKUP(A123,'Données projet'!$A$243:$I$263,7,0)),0%,VLOOKUP(A123,'Données projet'!$A$243:$I$263,7,0))</f>
        <v>0</v>
      </c>
      <c r="GL123" s="142">
        <f>EXP(-LN(2)/35)*GL122+(1-EXP(-LN(2)/35))/(LN(2)/35)*GH123*GI123*VLOOKUP('Données projet'!$B$17,'Paramètres'!$A$1:$I$89,3,0)*0.475*44/12</f>
        <v>31.65278181</v>
      </c>
      <c r="GM123" s="142">
        <f>EXP(-LN(2)/25)*GM122+(1-EXP(-LN(2)/25))/(LN(2)/25)*Calculateur!GH123*Calculateur!GJ123*VLOOKUP('Données projet'!$B$17,'Paramètres'!$A$1:$I$89,3,0)*0.475*44/12</f>
        <v>0</v>
      </c>
      <c r="GN123" s="142">
        <f>EXP(-LN(2)/2)*GN122+(1-EXP(-LN(2)/2))/(LN(2)/2)*GH123*GK123*VLOOKUP('Données projet'!$B$17,'Paramètres'!$A$1:$I$89,3,0)*0.475*44/12</f>
        <v>0</v>
      </c>
      <c r="GO123" s="142">
        <f t="shared" si="28"/>
        <v>31.65278181</v>
      </c>
      <c r="GP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1" t="str">
        <f>VLOOKUP(A123,'Données projet'!$A$269:$I$289,2,0)</f>
        <v>#N/A</v>
      </c>
      <c r="GS123" s="131" t="str">
        <f>VLOOKUP(A123,'Données projet'!$A$269:$I$289,9,0)</f>
        <v>#N/A</v>
      </c>
      <c r="GT123" s="131" t="str">
        <f t="array" ref="GT123">INDEX(GS:GS,MIN(IF(ISNUMBER(GS123:GS319),ROW(GS123:GS319),"")))</f>
        <v/>
      </c>
      <c r="GU123" s="138">
        <f>IF('Données projet'!$A$270&gt;35,GU122+GT123-HC122,IF(A123&lt;'Données projet'!$A$270,$GR$205^A123,IF(A123='Données projet'!$A$270,'Données projet'!$B$270,GU122+GT123-HC122)))</f>
        <v>0</v>
      </c>
      <c r="GV123" s="138">
        <f>GU123*VLOOKUP('Données projet'!$B$18,'Paramètres'!$A$1:$I$89,3,0)*VLOOKUP('Données projet'!$B$18,'Paramètres'!$A$1:$I$89,5,0)</f>
        <v>0</v>
      </c>
      <c r="GW123" s="130" t="str">
        <f t="shared" si="52"/>
        <v>#NUM!</v>
      </c>
      <c r="GX123" s="141" t="str">
        <f t="shared" si="29"/>
        <v>#NUM!</v>
      </c>
      <c r="GY123" s="133" t="str">
        <f t="shared" si="30"/>
        <v>#NUM!</v>
      </c>
      <c r="GZ123" s="133">
        <f>AVERAGE(OFFSET($GY$3,0,0,'Données projet'!$E$18+1,1))-AVERAGE(OFFSET($H$3,0,0,'Données projet'!$E$18+1,1))</f>
        <v>100.5427875</v>
      </c>
      <c r="HA123" s="133">
        <f t="shared" si="53"/>
        <v>92.28663609</v>
      </c>
      <c r="HB123" s="134">
        <f>IF(ISNA(VLOOKUP(A123,'Données projet'!$A$269:$I$289,3,0)),0,VLOOKUP(A123,'Données projet'!$A$269:$I$289,3,0))</f>
        <v>0</v>
      </c>
      <c r="HC123" s="134">
        <f>IF(ISNA(VLOOKUP(A123,'Données projet'!$A$269:$I$289,4,0)),0,VLOOKUP(A123,'Données projet'!$A$269:$I$289,4,0))</f>
        <v>0</v>
      </c>
      <c r="HD123" s="135">
        <f>IF(ISNA(VLOOKUP(A123,'Données projet'!$A$269:$I$289,5,0)),0%,VLOOKUP(A123,'Données projet'!$A$269:$I$289,5,0)*VLOOKUP('Données projet'!$B$18,'Paramètres'!$A$1:$I$89,7,0))</f>
        <v>0</v>
      </c>
      <c r="HE123" s="135">
        <f>IF(ISNA(VLOOKUP(A123,'Données projet'!$A$269:$I$289,6,0)),0%,VLOOKUP(A123,'Données projet'!$A$269:$I$289,6,0)*VLOOKUP('Données projet'!$B$18,'Paramètres'!$A$1:$I$89,7,0))</f>
        <v>0</v>
      </c>
      <c r="HF123" s="135">
        <f>IF(ISNA(VLOOKUP(A123,'Données projet'!$A$269:$I$289,7,0)),0%,VLOOKUP(A123,'Données projet'!$A$269:$I$289,7,0))</f>
        <v>0</v>
      </c>
      <c r="HG123" s="142">
        <f>EXP(-LN(2)/35)*HG122+(1-EXP(-LN(2)/35))/(LN(2)/35)*HC123*HD123*VLOOKUP('Données projet'!$B$18,'Paramètres'!$A$1:$I$89,3,0)*0.475*44/12</f>
        <v>21.55487666</v>
      </c>
      <c r="HH123" s="142">
        <f>EXP(-LN(2)/25)*HH122+(1-EXP(-LN(2)/25))/(LN(2)/25)*Calculateur!HC123*Calculateur!HE123*VLOOKUP('Données projet'!$B$18,'Paramètres'!$A$1:$I$89,3,0)*0.475*44/12</f>
        <v>0</v>
      </c>
      <c r="HI123" s="142">
        <f>EXP(-LN(2)/2)*HI122+(1-EXP(-LN(2)/2))/(LN(2)/2)*HC123*HF123*VLOOKUP('Données projet'!$B$18,'Paramètres'!$A$1:$I$89,3,0)*0.475*44/12</f>
        <v>0</v>
      </c>
      <c r="HJ123" s="143">
        <f t="shared" si="31"/>
        <v>21.55487666</v>
      </c>
    </row>
    <row r="124" ht="15.75" customHeight="1">
      <c r="A124" s="125">
        <f t="shared" si="32"/>
        <v>121</v>
      </c>
      <c r="B124" s="126">
        <f>'Scénario référence'!$B$16*5+'Scénario référence'!$B$17*0+'Scénario référence'!$B$18*5</f>
        <v>0</v>
      </c>
      <c r="C124" s="140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66.066</v>
      </c>
      <c r="D124" s="127">
        <f t="shared" si="33"/>
        <v>18.69324238</v>
      </c>
      <c r="E12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7">
        <f>IF(OR('Scénario référence'!$F$8&gt;0,'Scénario référence'!$F$9&gt;0),('Scénario référence'!$F$8+'Scénario référence'!$F$9)*10,0)</f>
        <v>10</v>
      </c>
      <c r="G124" s="127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</v>
      </c>
      <c r="H124" s="128">
        <f t="shared" si="1"/>
        <v>440.9556805</v>
      </c>
      <c r="I124" s="12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1" t="str">
        <f>VLOOKUP(A124,'Données projet'!$A$35:$I$55,2,0)</f>
        <v>#N/A</v>
      </c>
      <c r="L124" s="131" t="str">
        <f>VLOOKUP(A124,'Données projet'!$A$35:$I$55,9,0)</f>
        <v>#N/A</v>
      </c>
      <c r="M124" s="131" t="str">
        <f t="array" ref="M124">INDEX(L:L,MIN(IF(ISNUMBER(L124:L320),ROW(L124:L320),"")))</f>
        <v/>
      </c>
      <c r="N124" s="130">
        <f>IF('Données projet'!$A$36&gt;35,N123+M124-V123,IF(A124&lt;'Données projet'!$A$36,$K$205^A124,IF(A124='Données projet'!$A$36,'Données projet'!$B$36,N123+M124-V123)))</f>
        <v>0</v>
      </c>
      <c r="O124" s="130">
        <f>N124*VLOOKUP('Données projet'!$B$9,'Paramètres'!$A$1:$I$89,3,0)*VLOOKUP('Données projet'!$B$9,'Paramètres'!$A$1:$I$89,5,0)</f>
        <v>0</v>
      </c>
      <c r="P124" s="130">
        <f t="shared" si="34"/>
        <v>0</v>
      </c>
      <c r="Q124" s="141">
        <f t="shared" si="2"/>
        <v>0</v>
      </c>
      <c r="R124" s="133">
        <f t="shared" si="3"/>
        <v>293.3333333</v>
      </c>
      <c r="S124" s="133">
        <f>AVERAGE(OFFSET($R$3,0,0,'Données projet'!$E$9+1,1))-AVERAGE(OFFSET($H$3,0,0,'Données projet'!$E$9+1,1))</f>
        <v>126.9946492</v>
      </c>
      <c r="T124" s="133">
        <f t="shared" si="35"/>
        <v>140.039049</v>
      </c>
      <c r="U124" s="134">
        <f>IF(ISNA(VLOOKUP(A124,'Données projet'!$A$35:$I$55,3,0)),0,VLOOKUP(A124,'Données projet'!$A$35:$I$55,3,0))</f>
        <v>0</v>
      </c>
      <c r="V124" s="134">
        <f>IF(ISNA(VLOOKUP(A124,'Données projet'!$A$35:$I$55,4,0)),0,VLOOKUP(A124,'Données projet'!$A$35:$I$55,4,0))</f>
        <v>0</v>
      </c>
      <c r="W124" s="135">
        <f>IF(ISNA(VLOOKUP(A124,'Données projet'!$A$35:$I$55,5,0)),0%,VLOOKUP(A124,'Données projet'!$A$35:$I$55,5,0)*VLOOKUP('Données projet'!$B$9,'Paramètres'!$A$1:$I$89,7,0))</f>
        <v>0</v>
      </c>
      <c r="X124" s="135">
        <f>IF(ISNA(VLOOKUP(A124,'Données projet'!$A$35:$I$55,6,0)),0%,VLOOKUP(A124,'Données projet'!$A$35:$I$55,6,0)*VLOOKUP('Données projet'!$B$9,'Paramètres'!$A$1:$I$89,7,0))</f>
        <v>0</v>
      </c>
      <c r="Y124" s="135">
        <f>IF(ISNA(VLOOKUP(A124,'Données projet'!$A$35:$I$55,7,0)),0%,VLOOKUP(A124,'Données projet'!$A$35:$I$55,7,0))</f>
        <v>0</v>
      </c>
      <c r="Z124" s="142">
        <f>EXP(-LN(2)/35)*Z123+(1-EXP(-LN(2)/35))/(LN(2)/35)*V124*W124*VLOOKUP('Données projet'!$B$9,'Paramètres'!$A$1:$I$89,3,0)*0.475*44/12</f>
        <v>31.73892028</v>
      </c>
      <c r="AA124" s="142">
        <f>EXP(-LN(2)/25)*AA123+(1-EXP(-LN(2)/25))/(LN(2)/25)*Calculateur!V124*Calculateur!X124*VLOOKUP('Données projet'!$B$9,'Paramètres'!$A$1:$I$89,3,0)*0.475*44/12</f>
        <v>4.282502813</v>
      </c>
      <c r="AB124" s="142">
        <f>EXP(-LN(2)/2)*AB123+(1-EXP(-LN(2)/2))/(LN(2)/2)*V124*Y124*VLOOKUP('Données projet'!$B$9,'Paramètres'!$A$1:$I$89,3,0)*0.475*44/12</f>
        <v>0.00000001250534612</v>
      </c>
      <c r="AC124" s="143">
        <f t="shared" si="4"/>
        <v>36.02142311</v>
      </c>
      <c r="AD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1" t="str">
        <f>VLOOKUP(A124,'Données projet'!$A$61:$I$81,2,0)</f>
        <v>#N/A</v>
      </c>
      <c r="AG124" s="131" t="str">
        <f>VLOOKUP(A124,'Données projet'!$A$61:$I$81,9,0)</f>
        <v>#N/A</v>
      </c>
      <c r="AH124" s="131" t="str">
        <f t="array" ref="AH124">INDEX(AG:AG,MIN(IF(ISNUMBER(AG124:AG320),ROW(AG124:AG320),"")))</f>
        <v/>
      </c>
      <c r="AI124" s="130">
        <f>IF('Données projet'!$A$62&gt;35,AI123+AH124-AQ123,IF(A124&lt;'Données projet'!$A$62,$AF$205^A124,IF(A124='Données projet'!$A$62,'Données projet'!$B$62,AI123+AH124-AQ123)))</f>
        <v>0</v>
      </c>
      <c r="AJ124" s="130">
        <f>AI124*VLOOKUP('Données projet'!$B$10,'Paramètres'!$A$1:$I$89,3,0)*VLOOKUP('Données projet'!$B$10,'Paramètres'!$A$1:$I$89,5,0)</f>
        <v>0</v>
      </c>
      <c r="AK124" s="130" t="str">
        <f t="shared" si="36"/>
        <v>#NUM!</v>
      </c>
      <c r="AL124" s="141" t="str">
        <f t="shared" si="5"/>
        <v>#NUM!</v>
      </c>
      <c r="AM124" s="133" t="str">
        <f t="shared" si="6"/>
        <v>#NUM!</v>
      </c>
      <c r="AN124" s="133">
        <f>AVERAGE(OFFSET($AM$3,0,0,'Données projet'!$E$10+1,1))-AVERAGE(OFFSET($H$3,0,0,'Données projet'!$E$10+1,1))</f>
        <v>196.874484</v>
      </c>
      <c r="AO124" s="133">
        <f t="shared" si="37"/>
        <v>217.5750859</v>
      </c>
      <c r="AP124" s="134">
        <f>IF(ISNA(VLOOKUP(A124,'Données projet'!$A$61:$I$81,3,0)),0,VLOOKUP(A124,'Données projet'!$A$61:$I$81,3,0))</f>
        <v>0</v>
      </c>
      <c r="AQ124" s="134">
        <f>IF(ISNA(VLOOKUP(A124,'Données projet'!$A$61:$I$81,4,0)),0,VLOOKUP(A124,'Données projet'!$A$61:$I$81,4,0))</f>
        <v>0</v>
      </c>
      <c r="AR124" s="135">
        <f>IF(ISNA(VLOOKUP(A124,'Données projet'!$A$61:$I$81,5,0)),0%,VLOOKUP(A124,'Données projet'!$A$61:$I$81,5,0)*VLOOKUP('Données projet'!$B$10,'Paramètres'!$A$1:$I$89,7,0))</f>
        <v>0</v>
      </c>
      <c r="AS124" s="135">
        <f>IF(ISNA(VLOOKUP(A124,'Données projet'!$A$61:$I$81,6,0)),0%,VLOOKUP(A124,'Données projet'!$A$61:$I$81,6,0)*VLOOKUP('Données projet'!$B$10,'Paramètres'!$A$1:$I$89,7,0))</f>
        <v>0</v>
      </c>
      <c r="AT124" s="135">
        <f>IF(ISNA(VLOOKUP(A124,'Données projet'!$A$61:$I$81,7,0)),0%,VLOOKUP(A124,'Données projet'!$A$61:$I$81,7,0))</f>
        <v>0</v>
      </c>
      <c r="AU124" s="142">
        <f>EXP(-LN(2)/35)*AU123+(1-EXP(-LN(2)/35))/(LN(2)/35)*AQ124*AR124*VLOOKUP('Données projet'!$B$10,'Paramètres'!$A$1:$I$89,3,0)*0.475*44/12</f>
        <v>44.11619769</v>
      </c>
      <c r="AV124" s="142">
        <f>EXP(-LN(2)/25)*AV123+(1-EXP(-LN(2)/25))/(LN(2)/25)*Calculateur!AQ124*Calculateur!AS124*VLOOKUP('Données projet'!$B$10,'Paramètres'!$A$1:$I$89,3,0)*0.475*44/12</f>
        <v>6.584353796</v>
      </c>
      <c r="AW124" s="142">
        <f>EXP(-LN(2)/2)*AW123+(1-EXP(-LN(2)/2))/(LN(2)/2)*AQ124*AT124*VLOOKUP('Données projet'!$B$10,'Paramètres'!$A$1:$I$89,3,0)*0.475*44/12</f>
        <v>0.00000001743507808</v>
      </c>
      <c r="AX124" s="142">
        <f t="shared" si="7"/>
        <v>50.7005515</v>
      </c>
      <c r="AY124" s="13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1" t="str">
        <f>VLOOKUP(A124,'Données projet'!$A$87:$I$107,2,0)</f>
        <v>#N/A</v>
      </c>
      <c r="BB124" s="131" t="str">
        <f>VLOOKUP(A124,'Données projet'!$A$87:$I$107,9,0)</f>
        <v>#N/A</v>
      </c>
      <c r="BC124" s="131" t="str">
        <f t="array" ref="BC124">INDEX(BB:BB,MIN(IF(ISNUMBER(BB124:BB320),ROW(BB124:BB320),"")))</f>
        <v/>
      </c>
      <c r="BD124" s="130">
        <f>IF('Données projet'!$A$88&gt;35,BD123+BC124-BL123,IF(A124&lt;'Données projet'!$A$88,$BA$205^A124,IF(A124='Données projet'!$A$88,'Données projet'!$B$88,BD123+BC124-BL123)))</f>
        <v>0</v>
      </c>
      <c r="BE124" s="130">
        <f>BD124*VLOOKUP('Données projet'!$B$11,'Paramètres'!$A$1:$I$89,3,0)*VLOOKUP('Données projet'!$B$11,'Paramètres'!$A$1:$I$89,5,0)</f>
        <v>0</v>
      </c>
      <c r="BF124" s="130" t="str">
        <f t="shared" si="38"/>
        <v>#NUM!</v>
      </c>
      <c r="BG124" s="141" t="str">
        <f t="shared" si="8"/>
        <v>#NUM!</v>
      </c>
      <c r="BH124" s="133" t="str">
        <f t="shared" si="9"/>
        <v>#NUM!</v>
      </c>
      <c r="BI124" s="133">
        <f>AVERAGE(OFFSET($BH$3,0,0,'Données projet'!$E$11+1,1))-AVERAGE(OFFSET($H$3,0,0,'Données projet'!$E$11+1,1))</f>
        <v>134.0948534</v>
      </c>
      <c r="BJ124" s="133">
        <f t="shared" si="39"/>
        <v>108.4102536</v>
      </c>
      <c r="BK124" s="134">
        <f>IF(ISNA(VLOOKUP(A124,'Données projet'!$A$87:$I$107,3,0)),0,VLOOKUP(A124,'Données projet'!$A$87:$I$107,3,0))</f>
        <v>0</v>
      </c>
      <c r="BL124" s="134">
        <f>IF(ISNA(VLOOKUP(A124,'Données projet'!$A$87:$I$107,4,0)),0,VLOOKUP(A124,'Données projet'!$A$87:$I$107,4,0))</f>
        <v>0</v>
      </c>
      <c r="BM124" s="135">
        <f>IF(ISNA(VLOOKUP(A124,'Données projet'!$A$87:$I$107,5,0)),0%,VLOOKUP(A124,'Données projet'!$A$87:$I$107,5,0)*VLOOKUP('Données projet'!$B$11,'Paramètres'!$A$1:$I$89,7,0))</f>
        <v>0</v>
      </c>
      <c r="BN124" s="135">
        <f>IF(ISNA(VLOOKUP(A124,'Données projet'!$A$87:$I$107,6,0)),0%,VLOOKUP(A124,'Données projet'!$A$87:$I$107,6,0)*VLOOKUP('Données projet'!$B$11,'Paramètres'!$A$1:$I$89,7,0))</f>
        <v>0</v>
      </c>
      <c r="BO124" s="135">
        <f>IF(ISNA(VLOOKUP(A124,'Données projet'!$A$87:$I$107,7,0)),0%,VLOOKUP(A124,'Données projet'!$A$87:$I$107,7,0))</f>
        <v>0</v>
      </c>
      <c r="BP124" s="142">
        <f>EXP(-LN(2)/35)*BP123+(1-EXP(-LN(2)/35))/(LN(2)/35)*BL124*BM124*VLOOKUP('Données projet'!$B$11,'Paramètres'!$A$1:$I$89,3,0)*0.475*44/12</f>
        <v>61.02094047</v>
      </c>
      <c r="BQ124" s="142">
        <f>EXP(-LN(2)/25)*BQ123+(1-EXP(-LN(2)/25))/(LN(2)/25)*Calculateur!BL124*Calculateur!BN124*VLOOKUP('Données projet'!$B$11,'Paramètres'!$A$1:$I$89,3,0)*0.475*44/12</f>
        <v>4.153416028</v>
      </c>
      <c r="BR124" s="142">
        <f>EXP(-LN(2)/2)*BR123+(1-EXP(-LN(2)/2))/(LN(2)/2)*BL124*BO124*VLOOKUP('Données projet'!$B$11,'Paramètres'!$A$1:$I$89,3,0)*0.475*44/12</f>
        <v>0.0000002325589202</v>
      </c>
      <c r="BS124" s="143">
        <f t="shared" si="10"/>
        <v>65.17435673</v>
      </c>
      <c r="BT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1" t="str">
        <f>VLOOKUP(A124,'Données projet'!$A$113:$I$133,2,0)</f>
        <v>#N/A</v>
      </c>
      <c r="BW124" s="131" t="str">
        <f>VLOOKUP(A124,'Données projet'!$A$113:$I$133,9,0)</f>
        <v>#N/A</v>
      </c>
      <c r="BX124" s="131" t="str">
        <f t="array" ref="BX124">INDEX(BW:BW,MIN(IF(ISNUMBER(BW124:BW320),ROW(BW124:BW320),"")))</f>
        <v/>
      </c>
      <c r="BY124" s="130">
        <f>IF('Données projet'!$A$114&gt;35,BY123+BX124-CG123,IF(A124&lt;'Données projet'!$A$114,$BV$205^A124,IF(A124='Données projet'!$A$114,'Données projet'!$B$114,BY123+BX124-CG123)))</f>
        <v>0</v>
      </c>
      <c r="BZ124" s="130">
        <f>BY124*VLOOKUP('Données projet'!$B$12,'Paramètres'!$A$1:$I$89,3,0)*VLOOKUP('Données projet'!$B$12,'Paramètres'!$A$1:$I$89,5,0)</f>
        <v>0</v>
      </c>
      <c r="CA124" s="130" t="str">
        <f t="shared" si="40"/>
        <v>#NUM!</v>
      </c>
      <c r="CB124" s="141" t="str">
        <f t="shared" si="11"/>
        <v>#NUM!</v>
      </c>
      <c r="CC124" s="133" t="str">
        <f t="shared" si="12"/>
        <v>#NUM!</v>
      </c>
      <c r="CD124" s="133">
        <f>AVERAGE(OFFSET($CC$3,0,0,'Données projet'!$E$12+1,1))-AVERAGE(OFFSET($H$3,0,0,'Données projet'!$E$12+1,1))</f>
        <v>258.1672054</v>
      </c>
      <c r="CE124" s="133">
        <f t="shared" si="41"/>
        <v>296.0724261</v>
      </c>
      <c r="CF124" s="134">
        <f>IF(ISNA(VLOOKUP(A124,'Données projet'!$A$113:$I$133,3,0)),0,VLOOKUP(A124,'Données projet'!$A$113:$I$133,3,0))</f>
        <v>0</v>
      </c>
      <c r="CG124" s="134">
        <f>IF(ISNA(VLOOKUP(A124,'Données projet'!$A$113:$I$133,4,0)),0,VLOOKUP(A124,'Données projet'!$A$113:$I$133,4,0))</f>
        <v>0</v>
      </c>
      <c r="CH124" s="135">
        <f>IF(ISNA(VLOOKUP(A124,'Données projet'!$A$113:$I$133,5,0)),0%,VLOOKUP(A124,'Données projet'!$A$113:$I$133,5,0)*VLOOKUP('Données projet'!$B$12,'Paramètres'!$A$1:$I$89,7,0))</f>
        <v>0</v>
      </c>
      <c r="CI124" s="135">
        <f>IF(ISNA(VLOOKUP(A124,'Données projet'!$A$113:$I$133,6,0)),0%,VLOOKUP(A124,'Données projet'!$A$113:$I$133,6,0)*VLOOKUP('Données projet'!$B$12,'Paramètres'!$A$1:$I$89,7,0))</f>
        <v>0</v>
      </c>
      <c r="CJ124" s="135">
        <f>IF(ISNA(VLOOKUP(A124,'Données projet'!$A$113:$I$133,7,0)),0%,VLOOKUP(A124,'Données projet'!$A$113:$I$133,7,0))</f>
        <v>0</v>
      </c>
      <c r="CK124" s="142">
        <f>EXP(-LN(2)/35)*CK123+(1-EXP(-LN(2)/35))/(LN(2)/35)*CG124*CH124*VLOOKUP('Données projet'!$B$12,'Paramètres'!$A$1:$I$89,3,0)*0.475*44/12</f>
        <v>77.14913583</v>
      </c>
      <c r="CL124" s="142">
        <f>EXP(-LN(2)/25)*CL123+(1-EXP(-LN(2)/25))/(LN(2)/25)*Calculateur!CG124*Calculateur!CI124*VLOOKUP('Données projet'!$B$12,'Paramètres'!$A$1:$I$89,3,0)*0.475*44/12</f>
        <v>7.285327491</v>
      </c>
      <c r="CM124" s="142">
        <f>EXP(-LN(2)/2)*CM123+(1-EXP(-LN(2)/2))/(LN(2)/2)*CG124*CJ124*VLOOKUP('Données projet'!$B$12,'Paramètres'!$A$1:$I$89,3,0)*0.475*44/12</f>
        <v>0.000000009797432816</v>
      </c>
      <c r="CN124" s="143">
        <f t="shared" si="13"/>
        <v>84.43446333</v>
      </c>
      <c r="CO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1" t="str">
        <f>VLOOKUP(A124,'Données projet'!$A$139:$I$159,2,0)</f>
        <v>#N/A</v>
      </c>
      <c r="CR124" s="131" t="str">
        <f>VLOOKUP(A124,'Données projet'!$A$139:$I$159,9,0)</f>
        <v>#N/A</v>
      </c>
      <c r="CS124" s="130">
        <f t="array" ref="CS124">INDEX(CR:CR,MIN(IF(ISNUMBER(CR124:CR320),ROW(CR124:CR320),"")))</f>
        <v>1.1</v>
      </c>
      <c r="CT124" s="138">
        <f>IF('Données projet'!$A$140&gt;35,CT123+CS124-DB123,IF(A124&lt;'Données projet'!$A$140,$CQ$205^A124,IF(A124='Données projet'!$A$140,'Données projet'!$B$140,CT123+CS124-DB123)))</f>
        <v>210.1</v>
      </c>
      <c r="CU124" s="138">
        <f>CT124*VLOOKUP('Données projet'!$B$13,'Paramètres'!$A$1:$I$89,3,0)*VLOOKUP('Données projet'!$B$13,'Paramètres'!$A$1:$I$89,5,0)</f>
        <v>213.0414</v>
      </c>
      <c r="CV124" s="130">
        <f t="shared" si="42"/>
        <v>52.5996509</v>
      </c>
      <c r="CW124" s="141">
        <f t="shared" si="14"/>
        <v>462.6581637</v>
      </c>
      <c r="CX124" s="133">
        <f t="shared" si="15"/>
        <v>755.991497</v>
      </c>
      <c r="CY124" s="133">
        <f>AVERAGE(OFFSET($CX$3,0,0,'Données projet'!$E$13+1,1))-AVERAGE(OFFSET($H$3,0,0,'Données projet'!$E$13+1,1))</f>
        <v>223.783507</v>
      </c>
      <c r="CZ124" s="133">
        <f t="shared" si="43"/>
        <v>84.92349117</v>
      </c>
      <c r="DA124" s="134">
        <f>IF(ISNA(VLOOKUP(A124,'Données projet'!$A$139:$I$159,3,0)),0,VLOOKUP(A124,'Données projet'!$A$139:$I$159,3,0))</f>
        <v>0</v>
      </c>
      <c r="DB124" s="134">
        <f>IF(ISNA(VLOOKUP(A124,'Données projet'!$A$139:$I$159,4,0)),0,VLOOKUP(A124,'Données projet'!$A$139:$I$159,4,0))</f>
        <v>0</v>
      </c>
      <c r="DC124" s="135">
        <f>IF(ISNA(VLOOKUP(A124,'Données projet'!$A$139:$I$159,5,0)),0%,VLOOKUP(A124,'Données projet'!$A$139:$I$159,5,0)*VLOOKUP('Données projet'!$B$13,'Paramètres'!$A$1:$I$89,7,0))</f>
        <v>0</v>
      </c>
      <c r="DD124" s="135">
        <f>IF(ISNA(VLOOKUP(A124,'Données projet'!$A$139:$I$159,6,0)),0%,VLOOKUP(A124,'Données projet'!$A$139:$I$159,6,0)*VLOOKUP('Données projet'!$B$13,'Paramètres'!$A$1:$I$89,7,0))</f>
        <v>0</v>
      </c>
      <c r="DE124" s="135">
        <f>IF(ISNA(VLOOKUP(A124,'Données projet'!$A$139:$I$159,7,0)),0%,VLOOKUP(A124,'Données projet'!$A$139:$I$159,7,0))</f>
        <v>0</v>
      </c>
      <c r="DF124" s="142">
        <f>EXP(-LN(2)/35)*DF123+(1-EXP(-LN(2)/35))/(LN(2)/35)*DB124*DC124*VLOOKUP('Données projet'!$B$13,'Paramètres'!$A$1:$I$89,3,0)*0.475*44/12</f>
        <v>21.86809434</v>
      </c>
      <c r="DG124" s="142">
        <f>EXP(-LN(2)/25)*DG123+(1-EXP(-LN(2)/25))/(LN(2)/25)*Calculateur!DB124*Calculateur!DD124*VLOOKUP('Données projet'!$B$13,'Paramètres'!$A$1:$I$89,3,0)*0.475*44/12</f>
        <v>0</v>
      </c>
      <c r="DH124" s="142">
        <f>EXP(-LN(2)/2)*DH123+(1-EXP(-LN(2)/2))/(LN(2)/2)*DB124*DE124*VLOOKUP('Données projet'!$B$13,'Paramètres'!$A$1:$I$89,3,0)*0.475*44/12</f>
        <v>0</v>
      </c>
      <c r="DI124" s="143">
        <f t="shared" si="16"/>
        <v>21.86809434</v>
      </c>
      <c r="DJ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1" t="str">
        <f>VLOOKUP(A124,'Données projet'!$A$165:$I$185,2,0)</f>
        <v>#N/A</v>
      </c>
      <c r="DM124" s="131" t="str">
        <f>VLOOKUP(A124,'Données projet'!$A$165:$I$185,9,0)</f>
        <v>#N/A</v>
      </c>
      <c r="DN124" s="131">
        <f t="array" ref="DN124">INDEX(DM:DM,MIN(IF(ISNUMBER(DM124:DM320),ROW(DM124:DM320),"")))</f>
        <v>1.6</v>
      </c>
      <c r="DO124" s="138">
        <f>IF('Données projet'!$A$166&gt;35,DO123+DN124-DW123,IF(A124&lt;'Données projet'!$A$166,$DL$205^A124,IF(A124='Données projet'!$A$166,'Données projet'!$B$166,DO123+DN124-DW123)))</f>
        <v>269.6</v>
      </c>
      <c r="DP124" s="138">
        <f>DO124*VLOOKUP('Données projet'!$B$14,'Paramètres'!$A$1:$I$89,3,0)*VLOOKUP('Données projet'!$B$14,'Paramètres'!$A$1:$I$89,5,0)</f>
        <v>243.93408</v>
      </c>
      <c r="DQ124" s="130">
        <f t="shared" si="44"/>
        <v>59.28516433</v>
      </c>
      <c r="DR124" s="141">
        <f t="shared" si="17"/>
        <v>528.1068505</v>
      </c>
      <c r="DS124" s="133">
        <f t="shared" si="18"/>
        <v>821.4401839</v>
      </c>
      <c r="DT124" s="133">
        <f>AVERAGE(OFFSET($DS$3,0,0,'Données projet'!$E$14+1,1))-AVERAGE(OFFSET($H$3,0,0,'Données projet'!$E$14+1,1))</f>
        <v>287.9334714</v>
      </c>
      <c r="DU124" s="133">
        <f t="shared" si="45"/>
        <v>156.6796502</v>
      </c>
      <c r="DV124" s="134">
        <f>IF(ISNA(VLOOKUP(A124,'Données projet'!$A$165:$I$185,3,0)),0,VLOOKUP(A124,'Données projet'!$A$165:$I$185,3,0))</f>
        <v>0</v>
      </c>
      <c r="DW124" s="134">
        <f>IF(ISNA(VLOOKUP(A124,'Données projet'!$A$165:$I$185,4,0)),0,VLOOKUP(A124,'Données projet'!$A$165:$I$185,4,0))</f>
        <v>0</v>
      </c>
      <c r="DX124" s="135">
        <f>IF(ISNA(VLOOKUP(A124,'Données projet'!$A$165:$I$185,5,0)),0%,VLOOKUP(A124,'Données projet'!$A$165:$I$185,5,0)*VLOOKUP('Données projet'!$B$14,'Paramètres'!$A$1:$I$89,7,0))</f>
        <v>0</v>
      </c>
      <c r="DY124" s="135">
        <f>IF(ISNA(VLOOKUP(A124,'Données projet'!$A$165:$I$185,6,0)),0%,VLOOKUP(A124,'Données projet'!$A$165:$I$185,6,0)*VLOOKUP('Données projet'!$B$14,'Paramètres'!$A$1:$I$89,7,0))</f>
        <v>0</v>
      </c>
      <c r="DZ124" s="135">
        <f>IF(ISNA(VLOOKUP(A124,'Données projet'!$A$165:$I$185,7,0)),0%,VLOOKUP(A124,'Données projet'!$A$165:$I$185,7,0))</f>
        <v>0</v>
      </c>
      <c r="EA124" s="142">
        <f>EXP(-LN(2)/35)*EA123+(1-EXP(-LN(2)/35))/(LN(2)/35)*DW124*DX124*VLOOKUP('Données projet'!$B$14,'Paramètres'!$A$1:$I$89,3,0)*0.475*44/12</f>
        <v>31.54166146</v>
      </c>
      <c r="EB124" s="142">
        <f>EXP(-LN(2)/25)*EB123+(1-EXP(-LN(2)/25))/(LN(2)/25)*Calculateur!DW124*Calculateur!DY124*VLOOKUP('Données projet'!$B$14,'Paramètres'!$A$1:$I$89,3,0)*0.475*44/12</f>
        <v>0</v>
      </c>
      <c r="EC124" s="142">
        <f>EXP(-LN(2)/2)*EC123+(1-EXP(-LN(2)/2))/(LN(2)/2)*DW124*DZ124*VLOOKUP('Données projet'!$B$14,'Paramètres'!$A$1:$I$89,3,0)*0.475*44/12</f>
        <v>0</v>
      </c>
      <c r="ED124" s="143">
        <f t="shared" si="19"/>
        <v>31.54166146</v>
      </c>
      <c r="EE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1" t="str">
        <f>VLOOKUP(A124,'Données projet'!$A$191:$I$211,2,0)</f>
        <v>#N/A</v>
      </c>
      <c r="EH124" s="131" t="str">
        <f>VLOOKUP(A124,'Données projet'!$A$191:$I$211,9,0)</f>
        <v>#N/A</v>
      </c>
      <c r="EI124" s="131" t="str">
        <f t="array" ref="EI124">INDEX(EH:EH,MIN(IF(ISNUMBER(EH124:EH320),ROW(EH124:EH320),"")))</f>
        <v/>
      </c>
      <c r="EJ124" s="138">
        <f>IF('Données projet'!$A$192&gt;35,EJ123+EI124-ER123,IF(A124&lt;'Données projet'!$A$192,$EG$205^A124,IF(A124='Données projet'!$A$192,'Données projet'!$B$192,EJ123+EI124-ER123)))</f>
        <v>0</v>
      </c>
      <c r="EK124" s="138">
        <f>EJ124*VLOOKUP('Données projet'!$B$15,'Paramètres'!$A$1:$I$89,3,0)*VLOOKUP('Données projet'!$B$15,'Paramètres'!$A$1:$I$89,5,0)</f>
        <v>0</v>
      </c>
      <c r="EL124" s="130" t="str">
        <f t="shared" si="46"/>
        <v>#NUM!</v>
      </c>
      <c r="EM124" s="141" t="str">
        <f t="shared" si="20"/>
        <v>#NUM!</v>
      </c>
      <c r="EN124" s="133" t="str">
        <f t="shared" si="21"/>
        <v>#NUM!</v>
      </c>
      <c r="EO124" s="133">
        <f>AVERAGE(OFFSET($EN$3,0,0,'Données projet'!$E$15+1,1))-AVERAGE(OFFSET($H$3,0,0,'Données projet'!$E$15+1,1))</f>
        <v>130.3193339</v>
      </c>
      <c r="EP124" s="133">
        <f t="shared" si="47"/>
        <v>82.22784365</v>
      </c>
      <c r="EQ124" s="134">
        <f>IF(ISNA(VLOOKUP(A124,'Données projet'!$A$191:$I$211,3,0)),0,VLOOKUP(A124,'Données projet'!$A$191:$I$211,3,0))</f>
        <v>0</v>
      </c>
      <c r="ER124" s="134">
        <f>IF(ISNA(VLOOKUP(A124,'Données projet'!$A$191:$I$211,4,0)),0,VLOOKUP(A124,'Données projet'!$A$191:$I$211,4,0))</f>
        <v>0</v>
      </c>
      <c r="ES124" s="135">
        <f>IF(ISNA(VLOOKUP(A124,'Données projet'!$A$191:$I$211,5,0)),0%,VLOOKUP(A124,'Données projet'!$A$191:$I$211,5,0)*VLOOKUP('Données projet'!$B$15,'Paramètres'!$A$1:$I$89,7,0))</f>
        <v>0</v>
      </c>
      <c r="ET124" s="135">
        <f>IF(ISNA(VLOOKUP(A124,'Données projet'!$A$191:$I$211,6,0)),0%,VLOOKUP(A124,'Données projet'!$A$191:$I$211,6,0)*VLOOKUP('Données projet'!$B$15,'Paramètres'!$A$1:$I$89,7,0))</f>
        <v>0</v>
      </c>
      <c r="EU124" s="135">
        <f>IF(ISNA(VLOOKUP(A124,'Données projet'!$A$191:$I$211,7,0)),0%,VLOOKUP(A124,'Données projet'!$A$191:$I$211,7,0))</f>
        <v>0</v>
      </c>
      <c r="EV124" s="142">
        <f>EXP(-LN(2)/35)*EV123+(1-EXP(-LN(2)/35))/(LN(2)/35)*ER124*ES124*VLOOKUP('Données projet'!$B$15,'Paramètres'!$A$1:$I$89,3,0)*0.475*44/12</f>
        <v>47.17510056</v>
      </c>
      <c r="EW124" s="142">
        <f>EXP(-LN(2)/25)*EW123+(1-EXP(-LN(2)/25))/(LN(2)/25)*Calculateur!ER124*Calculateur!ET124*VLOOKUP('Données projet'!$B$15,'Paramètres'!$A$1:$I$89,3,0)*0.475*44/12</f>
        <v>0</v>
      </c>
      <c r="EX124" s="142">
        <f>EXP(-LN(2)/2)*EX123+(1-EXP(-LN(2)/2))/(LN(2)/2)*ER124*EU124*VLOOKUP('Données projet'!$B$15,'Paramètres'!$A$1:$I$89,3,0)*0.475*44/12</f>
        <v>0</v>
      </c>
      <c r="EY124" s="143">
        <f t="shared" si="22"/>
        <v>47.17510056</v>
      </c>
      <c r="EZ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1" t="str">
        <f>VLOOKUP(A124,'Données projet'!$A$217:$I$237,2,0)</f>
        <v>#N/A</v>
      </c>
      <c r="FC124" s="131" t="str">
        <f>VLOOKUP(A124,'Données projet'!$A$217:$I$237,9,0)</f>
        <v>#N/A</v>
      </c>
      <c r="FD124" s="131" t="str">
        <f t="array" ref="FD124">INDEX(FC:FC,MIN(IF(ISNUMBER(FC124:FC320),ROW(FC124:FC320),"")))</f>
        <v/>
      </c>
      <c r="FE124" s="130">
        <f>IF('Données projet'!$A$218&gt;35,FE123+FD124-FM123,IF(A124&lt;'Données projet'!$A$218,$FB$205^A124,IF(A124='Données projet'!$A$218,'Données projet'!$B$218,FE123+FD124-FM123)))</f>
        <v>0</v>
      </c>
      <c r="FF124" s="138">
        <f>FE124*VLOOKUP('Données projet'!$B$16,'Paramètres'!$A$1:$I$89,3,0)*VLOOKUP('Données projet'!$B$16,'Paramètres'!$A$1:$I$89,5,0)</f>
        <v>0</v>
      </c>
      <c r="FG124" s="130">
        <f t="shared" si="48"/>
        <v>0</v>
      </c>
      <c r="FH124" s="141">
        <f t="shared" si="23"/>
        <v>0</v>
      </c>
      <c r="FI124" s="133">
        <f t="shared" si="24"/>
        <v>293.3333333</v>
      </c>
      <c r="FJ124" s="133">
        <f>AVERAGE(OFFSET($FI$3,0,0,'Données projet'!$E$16+1,1))-AVERAGE(OFFSET($H$3,0,0,'Données projet'!$E$16+1,1))</f>
        <v>305.6252353</v>
      </c>
      <c r="FK124" s="133">
        <f t="shared" si="49"/>
        <v>331.397916</v>
      </c>
      <c r="FL124" s="134">
        <f>IF(ISNA(VLOOKUP(A124,'Données projet'!$A$217:$I$237,3,0)),0,VLOOKUP(A124,'Données projet'!$A$217:$I$237,3,0))</f>
        <v>0</v>
      </c>
      <c r="FM124" s="134">
        <f>IF(ISNA(VLOOKUP(A124,'Données projet'!$A$217:$I$237,4,0)),0,VLOOKUP(A124,'Données projet'!$A$217:$I$237,4,0))</f>
        <v>0</v>
      </c>
      <c r="FN124" s="135">
        <f>IF(ISNA(VLOOKUP(A124,'Données projet'!$A$217:$I$237,5,0)),0%,VLOOKUP(A124,'Données projet'!$A$217:$I$237,5,0)*VLOOKUP('Données projet'!$B$16,'Paramètres'!$A$1:$I$89,7,0))</f>
        <v>0</v>
      </c>
      <c r="FO124" s="135">
        <f>IF(ISNA(VLOOKUP(A124,'Données projet'!$A$217:$I$237,6,0)),0%,VLOOKUP(A124,'Données projet'!$A$217:$I$237,6,0)*VLOOKUP('Données projet'!$B$16,'Paramètres'!$A$1:$I$89,7,0))</f>
        <v>0</v>
      </c>
      <c r="FP124" s="135">
        <f>IF(ISNA(VLOOKUP(A124,'Données projet'!$A$217:$I$237,7,0)),0%,VLOOKUP(A124,'Données projet'!$A$217:$I$237,7,0))</f>
        <v>0</v>
      </c>
      <c r="FQ124" s="142">
        <f>EXP(-LN(2)/35)*FQ123+(1-EXP(-LN(2)/35))/(LN(2)/35)*FM124*FN124*VLOOKUP('Données projet'!$B$16,'Paramètres'!$A$1:$I$89,3,0)*0.475*44/12</f>
        <v>29.37262745</v>
      </c>
      <c r="FR124" s="142">
        <f>EXP(-LN(2)/25)*FR123+(1-EXP(-LN(2)/25))/(LN(2)/25)*Calculateur!FM124*Calculateur!FO124*VLOOKUP('Données projet'!$B$16,'Paramètres'!$A$1:$I$89,3,0)*0.475*44/12</f>
        <v>0</v>
      </c>
      <c r="FS124" s="142">
        <f>EXP(-LN(2)/2)*FS123+(1-EXP(-LN(2)/2))/(LN(2)/2)*FM124*FP124*VLOOKUP('Données projet'!$B$16,'Paramètres'!$A$1:$I$89,3,0)*0.475*44/12</f>
        <v>0</v>
      </c>
      <c r="FT124" s="143">
        <f t="shared" si="25"/>
        <v>29.37262745</v>
      </c>
      <c r="FU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1" t="str">
        <f>VLOOKUP(A124,'Données projet'!$A$243:$I$263,2,0)</f>
        <v>#N/A</v>
      </c>
      <c r="FX124" s="131" t="str">
        <f>VLOOKUP(A124,'Données projet'!$A$243:$I$263,9,0)</f>
        <v>#N/A</v>
      </c>
      <c r="FY124" s="131" t="str">
        <f t="array" ref="FY124">INDEX(FX:FX,MIN(IF(ISNUMBER(FX124:FX320),ROW(FX124:FX320),"")))</f>
        <v/>
      </c>
      <c r="FZ124" s="138">
        <f>IF('Données projet'!$A$244&gt;35,FZ123+FY124-GH123,IF(A124&lt;'Données projet'!$A$244,$FW$205^A124,IF(A124='Données projet'!$A$244,'Données projet'!$B$244,FZ123+FY124-GH123)))</f>
        <v>0</v>
      </c>
      <c r="GA124" s="138">
        <f>FZ124*VLOOKUP('Données projet'!$B$17,'Paramètres'!$A$1:$I$89,3,0)*VLOOKUP('Données projet'!$B$17,'Paramètres'!$A$1:$I$89,5,0)</f>
        <v>0</v>
      </c>
      <c r="GB124" s="130">
        <f t="shared" si="50"/>
        <v>0</v>
      </c>
      <c r="GC124" s="141">
        <f t="shared" si="26"/>
        <v>0</v>
      </c>
      <c r="GD124" s="133">
        <f t="shared" si="27"/>
        <v>293.3333333</v>
      </c>
      <c r="GE124" s="133">
        <f>AVERAGE(OFFSET($GD$3,0,0,'Données projet'!$E$17+1,1))-AVERAGE(OFFSET($H$3,0,0,'Données projet'!$E$17+1,1))</f>
        <v>118.7368745</v>
      </c>
      <c r="GF124" s="133">
        <f t="shared" si="51"/>
        <v>135.1233677</v>
      </c>
      <c r="GG124" s="134">
        <f>IF(ISNA(VLOOKUP(A124,'Données projet'!$A$243:$I$263,3,0)),0,VLOOKUP(A124,'Données projet'!$A$243:$I$263,3,0))</f>
        <v>0</v>
      </c>
      <c r="GH124" s="134">
        <f>IF(ISNA(VLOOKUP(A124,'Données projet'!$A$243:$I$263,4,0)),0,VLOOKUP(A124,'Données projet'!$A$243:$I$263,4,0))</f>
        <v>0</v>
      </c>
      <c r="GI124" s="135">
        <f>IF(ISNA(VLOOKUP(A124,'Données projet'!$A$243:$I$263,5,0)),0%,VLOOKUP(A124,'Données projet'!$A$243:$I$263,5,0)*VLOOKUP('Données projet'!$B$17,'Paramètres'!$A$1:$I$89,7,0))</f>
        <v>0</v>
      </c>
      <c r="GJ124" s="135">
        <f>IF(ISNA(VLOOKUP(A124,'Données projet'!$A$243:$I$263,6,0)),0%,VLOOKUP(A124,'Données projet'!$A$243:$I$263,6,0)*VLOOKUP('Données projet'!$B$17,'Paramètres'!$A$1:$I$89,7,0))</f>
        <v>0</v>
      </c>
      <c r="GK124" s="135">
        <f>IF(ISNA(VLOOKUP(A124,'Données projet'!$A$243:$I$263,7,0)),0%,VLOOKUP(A124,'Données projet'!$A$243:$I$263,7,0))</f>
        <v>0</v>
      </c>
      <c r="GL124" s="142">
        <f>EXP(-LN(2)/35)*GL123+(1-EXP(-LN(2)/35))/(LN(2)/35)*GH124*GI124*VLOOKUP('Données projet'!$B$17,'Paramètres'!$A$1:$I$89,3,0)*0.475*44/12</f>
        <v>31.03209006</v>
      </c>
      <c r="GM124" s="142">
        <f>EXP(-LN(2)/25)*GM123+(1-EXP(-LN(2)/25))/(LN(2)/25)*Calculateur!GH124*Calculateur!GJ124*VLOOKUP('Données projet'!$B$17,'Paramètres'!$A$1:$I$89,3,0)*0.475*44/12</f>
        <v>0</v>
      </c>
      <c r="GN124" s="142">
        <f>EXP(-LN(2)/2)*GN123+(1-EXP(-LN(2)/2))/(LN(2)/2)*GH124*GK124*VLOOKUP('Données projet'!$B$17,'Paramètres'!$A$1:$I$89,3,0)*0.475*44/12</f>
        <v>0</v>
      </c>
      <c r="GO124" s="142">
        <f t="shared" si="28"/>
        <v>31.03209006</v>
      </c>
      <c r="GP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1" t="str">
        <f>VLOOKUP(A124,'Données projet'!$A$269:$I$289,2,0)</f>
        <v>#N/A</v>
      </c>
      <c r="GS124" s="131" t="str">
        <f>VLOOKUP(A124,'Données projet'!$A$269:$I$289,9,0)</f>
        <v>#N/A</v>
      </c>
      <c r="GT124" s="131" t="str">
        <f t="array" ref="GT124">INDEX(GS:GS,MIN(IF(ISNUMBER(GS124:GS320),ROW(GS124:GS320),"")))</f>
        <v/>
      </c>
      <c r="GU124" s="138">
        <f>IF('Données projet'!$A$270&gt;35,GU123+GT124-HC123,IF(A124&lt;'Données projet'!$A$270,$GR$205^A124,IF(A124='Données projet'!$A$270,'Données projet'!$B$270,GU123+GT124-HC123)))</f>
        <v>0</v>
      </c>
      <c r="GV124" s="138">
        <f>GU124*VLOOKUP('Données projet'!$B$18,'Paramètres'!$A$1:$I$89,3,0)*VLOOKUP('Données projet'!$B$18,'Paramètres'!$A$1:$I$89,5,0)</f>
        <v>0</v>
      </c>
      <c r="GW124" s="130" t="str">
        <f t="shared" si="52"/>
        <v>#NUM!</v>
      </c>
      <c r="GX124" s="141" t="str">
        <f t="shared" si="29"/>
        <v>#NUM!</v>
      </c>
      <c r="GY124" s="133" t="str">
        <f t="shared" si="30"/>
        <v>#NUM!</v>
      </c>
      <c r="GZ124" s="133">
        <f>AVERAGE(OFFSET($GY$3,0,0,'Données projet'!$E$18+1,1))-AVERAGE(OFFSET($H$3,0,0,'Données projet'!$E$18+1,1))</f>
        <v>100.5427875</v>
      </c>
      <c r="HA124" s="133">
        <f t="shared" si="53"/>
        <v>92.28663609</v>
      </c>
      <c r="HB124" s="134">
        <f>IF(ISNA(VLOOKUP(A124,'Données projet'!$A$269:$I$289,3,0)),0,VLOOKUP(A124,'Données projet'!$A$269:$I$289,3,0))</f>
        <v>0</v>
      </c>
      <c r="HC124" s="134">
        <f>IF(ISNA(VLOOKUP(A124,'Données projet'!$A$269:$I$289,4,0)),0,VLOOKUP(A124,'Données projet'!$A$269:$I$289,4,0))</f>
        <v>0</v>
      </c>
      <c r="HD124" s="135">
        <f>IF(ISNA(VLOOKUP(A124,'Données projet'!$A$269:$I$289,5,0)),0%,VLOOKUP(A124,'Données projet'!$A$269:$I$289,5,0)*VLOOKUP('Données projet'!$B$18,'Paramètres'!$A$1:$I$89,7,0))</f>
        <v>0</v>
      </c>
      <c r="HE124" s="135">
        <f>IF(ISNA(VLOOKUP(A124,'Données projet'!$A$269:$I$289,6,0)),0%,VLOOKUP(A124,'Données projet'!$A$269:$I$289,6,0)*VLOOKUP('Données projet'!$B$18,'Paramètres'!$A$1:$I$89,7,0))</f>
        <v>0</v>
      </c>
      <c r="HF124" s="135">
        <f>IF(ISNA(VLOOKUP(A124,'Données projet'!$A$269:$I$289,7,0)),0%,VLOOKUP(A124,'Données projet'!$A$269:$I$289,7,0))</f>
        <v>0</v>
      </c>
      <c r="HG124" s="142">
        <f>EXP(-LN(2)/35)*HG123+(1-EXP(-LN(2)/35))/(LN(2)/35)*HC124*HD124*VLOOKUP('Données projet'!$B$18,'Paramètres'!$A$1:$I$89,3,0)*0.475*44/12</f>
        <v>21.13219868</v>
      </c>
      <c r="HH124" s="142">
        <f>EXP(-LN(2)/25)*HH123+(1-EXP(-LN(2)/25))/(LN(2)/25)*Calculateur!HC124*Calculateur!HE124*VLOOKUP('Données projet'!$B$18,'Paramètres'!$A$1:$I$89,3,0)*0.475*44/12</f>
        <v>0</v>
      </c>
      <c r="HI124" s="142">
        <f>EXP(-LN(2)/2)*HI123+(1-EXP(-LN(2)/2))/(LN(2)/2)*HC124*HF124*VLOOKUP('Données projet'!$B$18,'Paramètres'!$A$1:$I$89,3,0)*0.475*44/12</f>
        <v>0</v>
      </c>
      <c r="HJ124" s="143">
        <f t="shared" si="31"/>
        <v>21.13219868</v>
      </c>
    </row>
    <row r="125" ht="15.75" customHeight="1">
      <c r="A125" s="125">
        <f t="shared" si="32"/>
        <v>122</v>
      </c>
      <c r="B125" s="126">
        <f>'Scénario référence'!$B$16*5+'Scénario référence'!$B$17*0+'Scénario référence'!$B$18*5</f>
        <v>0</v>
      </c>
      <c r="C125" s="140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66.612</v>
      </c>
      <c r="D125" s="127">
        <f t="shared" si="33"/>
        <v>18.82968394</v>
      </c>
      <c r="E12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7">
        <f>IF(OR('Scénario référence'!$F$8&gt;0,'Scénario référence'!$F$9&gt;0),('Scénario référence'!$F$8+'Scénario référence'!$F$9)*10,0)</f>
        <v>10</v>
      </c>
      <c r="G125" s="127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</v>
      </c>
      <c r="H125" s="128">
        <f t="shared" si="1"/>
        <v>442.1442662</v>
      </c>
      <c r="I125" s="12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1" t="str">
        <f>VLOOKUP(A125,'Données projet'!$A$35:$I$55,2,0)</f>
        <v>#N/A</v>
      </c>
      <c r="L125" s="131" t="str">
        <f>VLOOKUP(A125,'Données projet'!$A$35:$I$55,9,0)</f>
        <v>#N/A</v>
      </c>
      <c r="M125" s="131" t="str">
        <f t="array" ref="M125">INDEX(L:L,MIN(IF(ISNUMBER(L125:L321),ROW(L125:L321),"")))</f>
        <v/>
      </c>
      <c r="N125" s="130">
        <f>IF('Données projet'!$A$36&gt;35,N124+M125-V124,IF(A125&lt;'Données projet'!$A$36,$K$205^A125,IF(A125='Données projet'!$A$36,'Données projet'!$B$36,N124+M125-V124)))</f>
        <v>0</v>
      </c>
      <c r="O125" s="130">
        <f>N125*VLOOKUP('Données projet'!$B$9,'Paramètres'!$A$1:$I$89,3,0)*VLOOKUP('Données projet'!$B$9,'Paramètres'!$A$1:$I$89,5,0)</f>
        <v>0</v>
      </c>
      <c r="P125" s="130">
        <f t="shared" si="34"/>
        <v>0</v>
      </c>
      <c r="Q125" s="141">
        <f t="shared" si="2"/>
        <v>0</v>
      </c>
      <c r="R125" s="133">
        <f t="shared" si="3"/>
        <v>293.3333333</v>
      </c>
      <c r="S125" s="133">
        <f>AVERAGE(OFFSET($R$3,0,0,'Données projet'!$E$9+1,1))-AVERAGE(OFFSET($H$3,0,0,'Données projet'!$E$9+1,1))</f>
        <v>126.9946492</v>
      </c>
      <c r="T125" s="133">
        <f t="shared" si="35"/>
        <v>140.039049</v>
      </c>
      <c r="U125" s="134">
        <f>IF(ISNA(VLOOKUP(A125,'Données projet'!$A$35:$I$55,3,0)),0,VLOOKUP(A125,'Données projet'!$A$35:$I$55,3,0))</f>
        <v>0</v>
      </c>
      <c r="V125" s="134">
        <f>IF(ISNA(VLOOKUP(A125,'Données projet'!$A$35:$I$55,4,0)),0,VLOOKUP(A125,'Données projet'!$A$35:$I$55,4,0))</f>
        <v>0</v>
      </c>
      <c r="W125" s="135">
        <f>IF(ISNA(VLOOKUP(A125,'Données projet'!$A$35:$I$55,5,0)),0%,VLOOKUP(A125,'Données projet'!$A$35:$I$55,5,0)*VLOOKUP('Données projet'!$B$9,'Paramètres'!$A$1:$I$89,7,0))</f>
        <v>0</v>
      </c>
      <c r="X125" s="135">
        <f>IF(ISNA(VLOOKUP(A125,'Données projet'!$A$35:$I$55,6,0)),0%,VLOOKUP(A125,'Données projet'!$A$35:$I$55,6,0)*VLOOKUP('Données projet'!$B$9,'Paramètres'!$A$1:$I$89,7,0))</f>
        <v>0</v>
      </c>
      <c r="Y125" s="135">
        <f>IF(ISNA(VLOOKUP(A125,'Données projet'!$A$35:$I$55,7,0)),0%,VLOOKUP(A125,'Données projet'!$A$35:$I$55,7,0))</f>
        <v>0</v>
      </c>
      <c r="Z125" s="142">
        <f>EXP(-LN(2)/35)*Z124+(1-EXP(-LN(2)/35))/(LN(2)/35)*V125*W125*VLOOKUP('Données projet'!$B$9,'Paramètres'!$A$1:$I$89,3,0)*0.475*44/12</f>
        <v>31.11653941</v>
      </c>
      <c r="AA125" s="142">
        <f>EXP(-LN(2)/25)*AA124+(1-EXP(-LN(2)/25))/(LN(2)/25)*Calculateur!V125*Calculateur!X125*VLOOKUP('Données projet'!$B$9,'Paramètres'!$A$1:$I$89,3,0)*0.475*44/12</f>
        <v>4.165397548</v>
      </c>
      <c r="AB125" s="142">
        <f>EXP(-LN(2)/2)*AB124+(1-EXP(-LN(2)/2))/(LN(2)/2)*V125*Y125*VLOOKUP('Données projet'!$B$9,'Paramètres'!$A$1:$I$89,3,0)*0.475*44/12</f>
        <v>0.000000008842615043</v>
      </c>
      <c r="AC125" s="143">
        <f t="shared" si="4"/>
        <v>35.28193697</v>
      </c>
      <c r="AD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1" t="str">
        <f>VLOOKUP(A125,'Données projet'!$A$61:$I$81,2,0)</f>
        <v>#N/A</v>
      </c>
      <c r="AG125" s="131" t="str">
        <f>VLOOKUP(A125,'Données projet'!$A$61:$I$81,9,0)</f>
        <v>#N/A</v>
      </c>
      <c r="AH125" s="131" t="str">
        <f t="array" ref="AH125">INDEX(AG:AG,MIN(IF(ISNUMBER(AG125:AG321),ROW(AG125:AG321),"")))</f>
        <v/>
      </c>
      <c r="AI125" s="130">
        <f>IF('Données projet'!$A$62&gt;35,AI124+AH125-AQ124,IF(A125&lt;'Données projet'!$A$62,$AF$205^A125,IF(A125='Données projet'!$A$62,'Données projet'!$B$62,AI124+AH125-AQ124)))</f>
        <v>0</v>
      </c>
      <c r="AJ125" s="130">
        <f>AI125*VLOOKUP('Données projet'!$B$10,'Paramètres'!$A$1:$I$89,3,0)*VLOOKUP('Données projet'!$B$10,'Paramètres'!$A$1:$I$89,5,0)</f>
        <v>0</v>
      </c>
      <c r="AK125" s="130" t="str">
        <f t="shared" si="36"/>
        <v>#NUM!</v>
      </c>
      <c r="AL125" s="141" t="str">
        <f t="shared" si="5"/>
        <v>#NUM!</v>
      </c>
      <c r="AM125" s="133" t="str">
        <f t="shared" si="6"/>
        <v>#NUM!</v>
      </c>
      <c r="AN125" s="133">
        <f>AVERAGE(OFFSET($AM$3,0,0,'Données projet'!$E$10+1,1))-AVERAGE(OFFSET($H$3,0,0,'Données projet'!$E$10+1,1))</f>
        <v>196.874484</v>
      </c>
      <c r="AO125" s="133">
        <f t="shared" si="37"/>
        <v>217.5750859</v>
      </c>
      <c r="AP125" s="134">
        <f>IF(ISNA(VLOOKUP(A125,'Données projet'!$A$61:$I$81,3,0)),0,VLOOKUP(A125,'Données projet'!$A$61:$I$81,3,0))</f>
        <v>0</v>
      </c>
      <c r="AQ125" s="134">
        <f>IF(ISNA(VLOOKUP(A125,'Données projet'!$A$61:$I$81,4,0)),0,VLOOKUP(A125,'Données projet'!$A$61:$I$81,4,0))</f>
        <v>0</v>
      </c>
      <c r="AR125" s="135">
        <f>IF(ISNA(VLOOKUP(A125,'Données projet'!$A$61:$I$81,5,0)),0%,VLOOKUP(A125,'Données projet'!$A$61:$I$81,5,0)*VLOOKUP('Données projet'!$B$10,'Paramètres'!$A$1:$I$89,7,0))</f>
        <v>0</v>
      </c>
      <c r="AS125" s="135">
        <f>IF(ISNA(VLOOKUP(A125,'Données projet'!$A$61:$I$81,6,0)),0%,VLOOKUP(A125,'Données projet'!$A$61:$I$81,6,0)*VLOOKUP('Données projet'!$B$10,'Paramètres'!$A$1:$I$89,7,0))</f>
        <v>0</v>
      </c>
      <c r="AT125" s="135">
        <f>IF(ISNA(VLOOKUP(A125,'Données projet'!$A$61:$I$81,7,0)),0%,VLOOKUP(A125,'Données projet'!$A$61:$I$81,7,0))</f>
        <v>0</v>
      </c>
      <c r="AU125" s="142">
        <f>EXP(-LN(2)/35)*AU124+(1-EXP(-LN(2)/35))/(LN(2)/35)*AQ125*AR125*VLOOKUP('Données projet'!$B$10,'Paramètres'!$A$1:$I$89,3,0)*0.475*44/12</f>
        <v>43.25110596</v>
      </c>
      <c r="AV125" s="142">
        <f>EXP(-LN(2)/25)*AV124+(1-EXP(-LN(2)/25))/(LN(2)/25)*Calculateur!AQ125*Calculateur!AS125*VLOOKUP('Données projet'!$B$10,'Paramètres'!$A$1:$I$89,3,0)*0.475*44/12</f>
        <v>6.404304295</v>
      </c>
      <c r="AW125" s="142">
        <f>EXP(-LN(2)/2)*AW124+(1-EXP(-LN(2)/2))/(LN(2)/2)*AQ125*AT125*VLOOKUP('Données projet'!$B$10,'Paramètres'!$A$1:$I$89,3,0)*0.475*44/12</f>
        <v>0.00000001232846194</v>
      </c>
      <c r="AX125" s="142">
        <f t="shared" si="7"/>
        <v>49.65541027</v>
      </c>
      <c r="AY125" s="13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1" t="str">
        <f>VLOOKUP(A125,'Données projet'!$A$87:$I$107,2,0)</f>
        <v>#N/A</v>
      </c>
      <c r="BB125" s="131" t="str">
        <f>VLOOKUP(A125,'Données projet'!$A$87:$I$107,9,0)</f>
        <v>#N/A</v>
      </c>
      <c r="BC125" s="131" t="str">
        <f t="array" ref="BC125">INDEX(BB:BB,MIN(IF(ISNUMBER(BB125:BB321),ROW(BB125:BB321),"")))</f>
        <v/>
      </c>
      <c r="BD125" s="130">
        <f>IF('Données projet'!$A$88&gt;35,BD124+BC125-BL124,IF(A125&lt;'Données projet'!$A$88,$BA$205^A125,IF(A125='Données projet'!$A$88,'Données projet'!$B$88,BD124+BC125-BL124)))</f>
        <v>0</v>
      </c>
      <c r="BE125" s="130">
        <f>BD125*VLOOKUP('Données projet'!$B$11,'Paramètres'!$A$1:$I$89,3,0)*VLOOKUP('Données projet'!$B$11,'Paramètres'!$A$1:$I$89,5,0)</f>
        <v>0</v>
      </c>
      <c r="BF125" s="130" t="str">
        <f t="shared" si="38"/>
        <v>#NUM!</v>
      </c>
      <c r="BG125" s="141" t="str">
        <f t="shared" si="8"/>
        <v>#NUM!</v>
      </c>
      <c r="BH125" s="133" t="str">
        <f t="shared" si="9"/>
        <v>#NUM!</v>
      </c>
      <c r="BI125" s="133">
        <f>AVERAGE(OFFSET($BH$3,0,0,'Données projet'!$E$11+1,1))-AVERAGE(OFFSET($H$3,0,0,'Données projet'!$E$11+1,1))</f>
        <v>134.0948534</v>
      </c>
      <c r="BJ125" s="133">
        <f t="shared" si="39"/>
        <v>108.4102536</v>
      </c>
      <c r="BK125" s="134">
        <f>IF(ISNA(VLOOKUP(A125,'Données projet'!$A$87:$I$107,3,0)),0,VLOOKUP(A125,'Données projet'!$A$87:$I$107,3,0))</f>
        <v>0</v>
      </c>
      <c r="BL125" s="134">
        <f>IF(ISNA(VLOOKUP(A125,'Données projet'!$A$87:$I$107,4,0)),0,VLOOKUP(A125,'Données projet'!$A$87:$I$107,4,0))</f>
        <v>0</v>
      </c>
      <c r="BM125" s="135">
        <f>IF(ISNA(VLOOKUP(A125,'Données projet'!$A$87:$I$107,5,0)),0%,VLOOKUP(A125,'Données projet'!$A$87:$I$107,5,0)*VLOOKUP('Données projet'!$B$11,'Paramètres'!$A$1:$I$89,7,0))</f>
        <v>0</v>
      </c>
      <c r="BN125" s="135">
        <f>IF(ISNA(VLOOKUP(A125,'Données projet'!$A$87:$I$107,6,0)),0%,VLOOKUP(A125,'Données projet'!$A$87:$I$107,6,0)*VLOOKUP('Données projet'!$B$11,'Paramètres'!$A$1:$I$89,7,0))</f>
        <v>0</v>
      </c>
      <c r="BO125" s="135">
        <f>IF(ISNA(VLOOKUP(A125,'Données projet'!$A$87:$I$107,7,0)),0%,VLOOKUP(A125,'Données projet'!$A$87:$I$107,7,0))</f>
        <v>0</v>
      </c>
      <c r="BP125" s="142">
        <f>EXP(-LN(2)/35)*BP124+(1-EXP(-LN(2)/35))/(LN(2)/35)*BL125*BM125*VLOOKUP('Données projet'!$B$11,'Paramètres'!$A$1:$I$89,3,0)*0.475*44/12</f>
        <v>59.82435705</v>
      </c>
      <c r="BQ125" s="142">
        <f>EXP(-LN(2)/25)*BQ124+(1-EXP(-LN(2)/25))/(LN(2)/25)*Calculateur!BL125*Calculateur!BN125*VLOOKUP('Données projet'!$B$11,'Paramètres'!$A$1:$I$89,3,0)*0.475*44/12</f>
        <v>4.039840648</v>
      </c>
      <c r="BR125" s="142">
        <f>EXP(-LN(2)/2)*BR124+(1-EXP(-LN(2)/2))/(LN(2)/2)*BL125*BO125*VLOOKUP('Données projet'!$B$11,'Paramètres'!$A$1:$I$89,3,0)*0.475*44/12</f>
        <v>0.0000001644439895</v>
      </c>
      <c r="BS125" s="143">
        <f t="shared" si="10"/>
        <v>63.86419786</v>
      </c>
      <c r="BT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1" t="str">
        <f>VLOOKUP(A125,'Données projet'!$A$113:$I$133,2,0)</f>
        <v>#N/A</v>
      </c>
      <c r="BW125" s="131" t="str">
        <f>VLOOKUP(A125,'Données projet'!$A$113:$I$133,9,0)</f>
        <v>#N/A</v>
      </c>
      <c r="BX125" s="131" t="str">
        <f t="array" ref="BX125">INDEX(BW:BW,MIN(IF(ISNUMBER(BW125:BW321),ROW(BW125:BW321),"")))</f>
        <v/>
      </c>
      <c r="BY125" s="130">
        <f>IF('Données projet'!$A$114&gt;35,BY124+BX125-CG124,IF(A125&lt;'Données projet'!$A$114,$BV$205^A125,IF(A125='Données projet'!$A$114,'Données projet'!$B$114,BY124+BX125-CG124)))</f>
        <v>0</v>
      </c>
      <c r="BZ125" s="130">
        <f>BY125*VLOOKUP('Données projet'!$B$12,'Paramètres'!$A$1:$I$89,3,0)*VLOOKUP('Données projet'!$B$12,'Paramètres'!$A$1:$I$89,5,0)</f>
        <v>0</v>
      </c>
      <c r="CA125" s="130" t="str">
        <f t="shared" si="40"/>
        <v>#NUM!</v>
      </c>
      <c r="CB125" s="141" t="str">
        <f t="shared" si="11"/>
        <v>#NUM!</v>
      </c>
      <c r="CC125" s="133" t="str">
        <f t="shared" si="12"/>
        <v>#NUM!</v>
      </c>
      <c r="CD125" s="133">
        <f>AVERAGE(OFFSET($CC$3,0,0,'Données projet'!$E$12+1,1))-AVERAGE(OFFSET($H$3,0,0,'Données projet'!$E$12+1,1))</f>
        <v>258.1672054</v>
      </c>
      <c r="CE125" s="133">
        <f t="shared" si="41"/>
        <v>296.0724261</v>
      </c>
      <c r="CF125" s="134">
        <f>IF(ISNA(VLOOKUP(A125,'Données projet'!$A$113:$I$133,3,0)),0,VLOOKUP(A125,'Données projet'!$A$113:$I$133,3,0))</f>
        <v>0</v>
      </c>
      <c r="CG125" s="134">
        <f>IF(ISNA(VLOOKUP(A125,'Données projet'!$A$113:$I$133,4,0)),0,VLOOKUP(A125,'Données projet'!$A$113:$I$133,4,0))</f>
        <v>0</v>
      </c>
      <c r="CH125" s="135">
        <f>IF(ISNA(VLOOKUP(A125,'Données projet'!$A$113:$I$133,5,0)),0%,VLOOKUP(A125,'Données projet'!$A$113:$I$133,5,0)*VLOOKUP('Données projet'!$B$12,'Paramètres'!$A$1:$I$89,7,0))</f>
        <v>0</v>
      </c>
      <c r="CI125" s="135">
        <f>IF(ISNA(VLOOKUP(A125,'Données projet'!$A$113:$I$133,6,0)),0%,VLOOKUP(A125,'Données projet'!$A$113:$I$133,6,0)*VLOOKUP('Données projet'!$B$12,'Paramètres'!$A$1:$I$89,7,0))</f>
        <v>0</v>
      </c>
      <c r="CJ125" s="135">
        <f>IF(ISNA(VLOOKUP(A125,'Données projet'!$A$113:$I$133,7,0)),0%,VLOOKUP(A125,'Données projet'!$A$113:$I$133,7,0))</f>
        <v>0</v>
      </c>
      <c r="CK125" s="142">
        <f>EXP(-LN(2)/35)*CK124+(1-EXP(-LN(2)/35))/(LN(2)/35)*CG125*CH125*VLOOKUP('Données projet'!$B$12,'Paramètres'!$A$1:$I$89,3,0)*0.475*44/12</f>
        <v>75.63628833</v>
      </c>
      <c r="CL125" s="142">
        <f>EXP(-LN(2)/25)*CL124+(1-EXP(-LN(2)/25))/(LN(2)/25)*Calculateur!CG125*Calculateur!CI125*VLOOKUP('Données projet'!$B$12,'Paramètres'!$A$1:$I$89,3,0)*0.475*44/12</f>
        <v>7.086109827</v>
      </c>
      <c r="CM125" s="142">
        <f>EXP(-LN(2)/2)*CM124+(1-EXP(-LN(2)/2))/(LN(2)/2)*CG125*CJ125*VLOOKUP('Données projet'!$B$12,'Paramètres'!$A$1:$I$89,3,0)*0.475*44/12</f>
        <v>0.000000006927831182</v>
      </c>
      <c r="CN125" s="143">
        <f t="shared" si="13"/>
        <v>82.72239817</v>
      </c>
      <c r="CO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1" t="str">
        <f>VLOOKUP(A125,'Données projet'!$A$139:$I$159,2,0)</f>
        <v>#N/A</v>
      </c>
      <c r="CR125" s="131" t="str">
        <f>VLOOKUP(A125,'Données projet'!$A$139:$I$159,9,0)</f>
        <v>#N/A</v>
      </c>
      <c r="CS125" s="130">
        <f t="array" ref="CS125">INDEX(CR:CR,MIN(IF(ISNUMBER(CR125:CR321),ROW(CR125:CR321),"")))</f>
        <v>1.1</v>
      </c>
      <c r="CT125" s="138">
        <f>IF('Données projet'!$A$140&gt;35,CT124+CS125-DB124,IF(A125&lt;'Données projet'!$A$140,$CQ$205^A125,IF(A125='Données projet'!$A$140,'Données projet'!$B$140,CT124+CS125-DB124)))</f>
        <v>211.2</v>
      </c>
      <c r="CU125" s="138">
        <f>CT125*VLOOKUP('Données projet'!$B$13,'Paramètres'!$A$1:$I$89,3,0)*VLOOKUP('Données projet'!$B$13,'Paramètres'!$A$1:$I$89,5,0)</f>
        <v>214.1568</v>
      </c>
      <c r="CV125" s="130">
        <f t="shared" si="42"/>
        <v>52.84291225</v>
      </c>
      <c r="CW125" s="141">
        <f t="shared" si="14"/>
        <v>465.0244988</v>
      </c>
      <c r="CX125" s="133">
        <f t="shared" si="15"/>
        <v>758.3578322</v>
      </c>
      <c r="CY125" s="133">
        <f>AVERAGE(OFFSET($CX$3,0,0,'Données projet'!$E$13+1,1))-AVERAGE(OFFSET($H$3,0,0,'Données projet'!$E$13+1,1))</f>
        <v>223.783507</v>
      </c>
      <c r="CZ125" s="133">
        <f t="shared" si="43"/>
        <v>84.92349117</v>
      </c>
      <c r="DA125" s="134">
        <f>IF(ISNA(VLOOKUP(A125,'Données projet'!$A$139:$I$159,3,0)),0,VLOOKUP(A125,'Données projet'!$A$139:$I$159,3,0))</f>
        <v>0</v>
      </c>
      <c r="DB125" s="134">
        <f>IF(ISNA(VLOOKUP(A125,'Données projet'!$A$139:$I$159,4,0)),0,VLOOKUP(A125,'Données projet'!$A$139:$I$159,4,0))</f>
        <v>0</v>
      </c>
      <c r="DC125" s="135">
        <f>IF(ISNA(VLOOKUP(A125,'Données projet'!$A$139:$I$159,5,0)),0%,VLOOKUP(A125,'Données projet'!$A$139:$I$159,5,0)*VLOOKUP('Données projet'!$B$13,'Paramètres'!$A$1:$I$89,7,0))</f>
        <v>0</v>
      </c>
      <c r="DD125" s="135">
        <f>IF(ISNA(VLOOKUP(A125,'Données projet'!$A$139:$I$159,6,0)),0%,VLOOKUP(A125,'Données projet'!$A$139:$I$159,6,0)*VLOOKUP('Données projet'!$B$13,'Paramètres'!$A$1:$I$89,7,0))</f>
        <v>0</v>
      </c>
      <c r="DE125" s="135">
        <f>IF(ISNA(VLOOKUP(A125,'Données projet'!$A$139:$I$159,7,0)),0%,VLOOKUP(A125,'Données projet'!$A$139:$I$159,7,0))</f>
        <v>0</v>
      </c>
      <c r="DF125" s="142">
        <f>EXP(-LN(2)/35)*DF124+(1-EXP(-LN(2)/35))/(LN(2)/35)*DB125*DC125*VLOOKUP('Données projet'!$B$13,'Paramètres'!$A$1:$I$89,3,0)*0.475*44/12</f>
        <v>21.43927434</v>
      </c>
      <c r="DG125" s="142">
        <f>EXP(-LN(2)/25)*DG124+(1-EXP(-LN(2)/25))/(LN(2)/25)*Calculateur!DB125*Calculateur!DD125*VLOOKUP('Données projet'!$B$13,'Paramètres'!$A$1:$I$89,3,0)*0.475*44/12</f>
        <v>0</v>
      </c>
      <c r="DH125" s="142">
        <f>EXP(-LN(2)/2)*DH124+(1-EXP(-LN(2)/2))/(LN(2)/2)*DB125*DE125*VLOOKUP('Données projet'!$B$13,'Paramètres'!$A$1:$I$89,3,0)*0.475*44/12</f>
        <v>0</v>
      </c>
      <c r="DI125" s="143">
        <f t="shared" si="16"/>
        <v>21.43927434</v>
      </c>
      <c r="DJ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1" t="str">
        <f>VLOOKUP(A125,'Données projet'!$A$165:$I$185,2,0)</f>
        <v>#N/A</v>
      </c>
      <c r="DM125" s="131" t="str">
        <f>VLOOKUP(A125,'Données projet'!$A$165:$I$185,9,0)</f>
        <v>#N/A</v>
      </c>
      <c r="DN125" s="131">
        <f t="array" ref="DN125">INDEX(DM:DM,MIN(IF(ISNUMBER(DM125:DM321),ROW(DM125:DM321),"")))</f>
        <v>1.6</v>
      </c>
      <c r="DO125" s="138">
        <f>IF('Données projet'!$A$166&gt;35,DO124+DN125-DW124,IF(A125&lt;'Données projet'!$A$166,$DL$205^A125,IF(A125='Données projet'!$A$166,'Données projet'!$B$166,DO124+DN125-DW124)))</f>
        <v>271.2</v>
      </c>
      <c r="DP125" s="138">
        <f>DO125*VLOOKUP('Données projet'!$B$14,'Paramètres'!$A$1:$I$89,3,0)*VLOOKUP('Données projet'!$B$14,'Paramètres'!$A$1:$I$89,5,0)</f>
        <v>245.38176</v>
      </c>
      <c r="DQ125" s="130">
        <f t="shared" si="44"/>
        <v>59.59594366</v>
      </c>
      <c r="DR125" s="141">
        <f t="shared" si="17"/>
        <v>531.1695005</v>
      </c>
      <c r="DS125" s="133">
        <f t="shared" si="18"/>
        <v>824.5028339</v>
      </c>
      <c r="DT125" s="133">
        <f>AVERAGE(OFFSET($DS$3,0,0,'Données projet'!$E$14+1,1))-AVERAGE(OFFSET($H$3,0,0,'Données projet'!$E$14+1,1))</f>
        <v>287.9334714</v>
      </c>
      <c r="DU125" s="133">
        <f t="shared" si="45"/>
        <v>156.6796502</v>
      </c>
      <c r="DV125" s="134">
        <f>IF(ISNA(VLOOKUP(A125,'Données projet'!$A$165:$I$185,3,0)),0,VLOOKUP(A125,'Données projet'!$A$165:$I$185,3,0))</f>
        <v>0</v>
      </c>
      <c r="DW125" s="134">
        <f>IF(ISNA(VLOOKUP(A125,'Données projet'!$A$165:$I$185,4,0)),0,VLOOKUP(A125,'Données projet'!$A$165:$I$185,4,0))</f>
        <v>0</v>
      </c>
      <c r="DX125" s="135">
        <f>IF(ISNA(VLOOKUP(A125,'Données projet'!$A$165:$I$185,5,0)),0%,VLOOKUP(A125,'Données projet'!$A$165:$I$185,5,0)*VLOOKUP('Données projet'!$B$14,'Paramètres'!$A$1:$I$89,7,0))</f>
        <v>0</v>
      </c>
      <c r="DY125" s="135">
        <f>IF(ISNA(VLOOKUP(A125,'Données projet'!$A$165:$I$185,6,0)),0%,VLOOKUP(A125,'Données projet'!$A$165:$I$185,6,0)*VLOOKUP('Données projet'!$B$14,'Paramètres'!$A$1:$I$89,7,0))</f>
        <v>0</v>
      </c>
      <c r="DZ125" s="135">
        <f>IF(ISNA(VLOOKUP(A125,'Données projet'!$A$165:$I$185,7,0)),0%,VLOOKUP(A125,'Données projet'!$A$165:$I$185,7,0))</f>
        <v>0</v>
      </c>
      <c r="EA125" s="142">
        <f>EXP(-LN(2)/35)*EA124+(1-EXP(-LN(2)/35))/(LN(2)/35)*DW125*DX125*VLOOKUP('Données projet'!$B$14,'Paramètres'!$A$1:$I$89,3,0)*0.475*44/12</f>
        <v>30.92314872</v>
      </c>
      <c r="EB125" s="142">
        <f>EXP(-LN(2)/25)*EB124+(1-EXP(-LN(2)/25))/(LN(2)/25)*Calculateur!DW125*Calculateur!DY125*VLOOKUP('Données projet'!$B$14,'Paramètres'!$A$1:$I$89,3,0)*0.475*44/12</f>
        <v>0</v>
      </c>
      <c r="EC125" s="142">
        <f>EXP(-LN(2)/2)*EC124+(1-EXP(-LN(2)/2))/(LN(2)/2)*DW125*DZ125*VLOOKUP('Données projet'!$B$14,'Paramètres'!$A$1:$I$89,3,0)*0.475*44/12</f>
        <v>0</v>
      </c>
      <c r="ED125" s="143">
        <f t="shared" si="19"/>
        <v>30.92314872</v>
      </c>
      <c r="EE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1" t="str">
        <f>VLOOKUP(A125,'Données projet'!$A$191:$I$211,2,0)</f>
        <v>#N/A</v>
      </c>
      <c r="EH125" s="131" t="str">
        <f>VLOOKUP(A125,'Données projet'!$A$191:$I$211,9,0)</f>
        <v>#N/A</v>
      </c>
      <c r="EI125" s="131" t="str">
        <f t="array" ref="EI125">INDEX(EH:EH,MIN(IF(ISNUMBER(EH125:EH321),ROW(EH125:EH321),"")))</f>
        <v/>
      </c>
      <c r="EJ125" s="138">
        <f>IF('Données projet'!$A$192&gt;35,EJ124+EI125-ER124,IF(A125&lt;'Données projet'!$A$192,$EG$205^A125,IF(A125='Données projet'!$A$192,'Données projet'!$B$192,EJ124+EI125-ER124)))</f>
        <v>0</v>
      </c>
      <c r="EK125" s="138">
        <f>EJ125*VLOOKUP('Données projet'!$B$15,'Paramètres'!$A$1:$I$89,3,0)*VLOOKUP('Données projet'!$B$15,'Paramètres'!$A$1:$I$89,5,0)</f>
        <v>0</v>
      </c>
      <c r="EL125" s="130" t="str">
        <f t="shared" si="46"/>
        <v>#NUM!</v>
      </c>
      <c r="EM125" s="141" t="str">
        <f t="shared" si="20"/>
        <v>#NUM!</v>
      </c>
      <c r="EN125" s="133" t="str">
        <f t="shared" si="21"/>
        <v>#NUM!</v>
      </c>
      <c r="EO125" s="133">
        <f>AVERAGE(OFFSET($EN$3,0,0,'Données projet'!$E$15+1,1))-AVERAGE(OFFSET($H$3,0,0,'Données projet'!$E$15+1,1))</f>
        <v>130.3193339</v>
      </c>
      <c r="EP125" s="133">
        <f t="shared" si="47"/>
        <v>82.22784365</v>
      </c>
      <c r="EQ125" s="134">
        <f>IF(ISNA(VLOOKUP(A125,'Données projet'!$A$191:$I$211,3,0)),0,VLOOKUP(A125,'Données projet'!$A$191:$I$211,3,0))</f>
        <v>0</v>
      </c>
      <c r="ER125" s="134">
        <f>IF(ISNA(VLOOKUP(A125,'Données projet'!$A$191:$I$211,4,0)),0,VLOOKUP(A125,'Données projet'!$A$191:$I$211,4,0))</f>
        <v>0</v>
      </c>
      <c r="ES125" s="135">
        <f>IF(ISNA(VLOOKUP(A125,'Données projet'!$A$191:$I$211,5,0)),0%,VLOOKUP(A125,'Données projet'!$A$191:$I$211,5,0)*VLOOKUP('Données projet'!$B$15,'Paramètres'!$A$1:$I$89,7,0))</f>
        <v>0</v>
      </c>
      <c r="ET125" s="135">
        <f>IF(ISNA(VLOOKUP(A125,'Données projet'!$A$191:$I$211,6,0)),0%,VLOOKUP(A125,'Données projet'!$A$191:$I$211,6,0)*VLOOKUP('Données projet'!$B$15,'Paramètres'!$A$1:$I$89,7,0))</f>
        <v>0</v>
      </c>
      <c r="EU125" s="135">
        <f>IF(ISNA(VLOOKUP(A125,'Données projet'!$A$191:$I$211,7,0)),0%,VLOOKUP(A125,'Données projet'!$A$191:$I$211,7,0))</f>
        <v>0</v>
      </c>
      <c r="EV125" s="142">
        <f>EXP(-LN(2)/35)*EV124+(1-EXP(-LN(2)/35))/(LN(2)/35)*ER125*ES125*VLOOKUP('Données projet'!$B$15,'Paramètres'!$A$1:$I$89,3,0)*0.475*44/12</f>
        <v>46.25002561</v>
      </c>
      <c r="EW125" s="142">
        <f>EXP(-LN(2)/25)*EW124+(1-EXP(-LN(2)/25))/(LN(2)/25)*Calculateur!ER125*Calculateur!ET125*VLOOKUP('Données projet'!$B$15,'Paramètres'!$A$1:$I$89,3,0)*0.475*44/12</f>
        <v>0</v>
      </c>
      <c r="EX125" s="142">
        <f>EXP(-LN(2)/2)*EX124+(1-EXP(-LN(2)/2))/(LN(2)/2)*ER125*EU125*VLOOKUP('Données projet'!$B$15,'Paramètres'!$A$1:$I$89,3,0)*0.475*44/12</f>
        <v>0</v>
      </c>
      <c r="EY125" s="143">
        <f t="shared" si="22"/>
        <v>46.25002561</v>
      </c>
      <c r="EZ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1" t="str">
        <f>VLOOKUP(A125,'Données projet'!$A$217:$I$237,2,0)</f>
        <v>#N/A</v>
      </c>
      <c r="FC125" s="131" t="str">
        <f>VLOOKUP(A125,'Données projet'!$A$217:$I$237,9,0)</f>
        <v>#N/A</v>
      </c>
      <c r="FD125" s="131" t="str">
        <f t="array" ref="FD125">INDEX(FC:FC,MIN(IF(ISNUMBER(FC125:FC321),ROW(FC125:FC321),"")))</f>
        <v/>
      </c>
      <c r="FE125" s="130">
        <f>IF('Données projet'!$A$218&gt;35,FE124+FD125-FM124,IF(A125&lt;'Données projet'!$A$218,$FB$205^A125,IF(A125='Données projet'!$A$218,'Données projet'!$B$218,FE124+FD125-FM124)))</f>
        <v>0</v>
      </c>
      <c r="FF125" s="138">
        <f>FE125*VLOOKUP('Données projet'!$B$16,'Paramètres'!$A$1:$I$89,3,0)*VLOOKUP('Données projet'!$B$16,'Paramètres'!$A$1:$I$89,5,0)</f>
        <v>0</v>
      </c>
      <c r="FG125" s="130">
        <f t="shared" si="48"/>
        <v>0</v>
      </c>
      <c r="FH125" s="141">
        <f t="shared" si="23"/>
        <v>0</v>
      </c>
      <c r="FI125" s="133">
        <f t="shared" si="24"/>
        <v>293.3333333</v>
      </c>
      <c r="FJ125" s="133">
        <f>AVERAGE(OFFSET($FI$3,0,0,'Données projet'!$E$16+1,1))-AVERAGE(OFFSET($H$3,0,0,'Données projet'!$E$16+1,1))</f>
        <v>305.6252353</v>
      </c>
      <c r="FK125" s="133">
        <f t="shared" si="49"/>
        <v>331.397916</v>
      </c>
      <c r="FL125" s="134">
        <f>IF(ISNA(VLOOKUP(A125,'Données projet'!$A$217:$I$237,3,0)),0,VLOOKUP(A125,'Données projet'!$A$217:$I$237,3,0))</f>
        <v>0</v>
      </c>
      <c r="FM125" s="134">
        <f>IF(ISNA(VLOOKUP(A125,'Données projet'!$A$217:$I$237,4,0)),0,VLOOKUP(A125,'Données projet'!$A$217:$I$237,4,0))</f>
        <v>0</v>
      </c>
      <c r="FN125" s="135">
        <f>IF(ISNA(VLOOKUP(A125,'Données projet'!$A$217:$I$237,5,0)),0%,VLOOKUP(A125,'Données projet'!$A$217:$I$237,5,0)*VLOOKUP('Données projet'!$B$16,'Paramètres'!$A$1:$I$89,7,0))</f>
        <v>0</v>
      </c>
      <c r="FO125" s="135">
        <f>IF(ISNA(VLOOKUP(A125,'Données projet'!$A$217:$I$237,6,0)),0%,VLOOKUP(A125,'Données projet'!$A$217:$I$237,6,0)*VLOOKUP('Données projet'!$B$16,'Paramètres'!$A$1:$I$89,7,0))</f>
        <v>0</v>
      </c>
      <c r="FP125" s="135">
        <f>IF(ISNA(VLOOKUP(A125,'Données projet'!$A$217:$I$237,7,0)),0%,VLOOKUP(A125,'Données projet'!$A$217:$I$237,7,0))</f>
        <v>0</v>
      </c>
      <c r="FQ125" s="142">
        <f>EXP(-LN(2)/35)*FQ124+(1-EXP(-LN(2)/35))/(LN(2)/35)*FM125*FN125*VLOOKUP('Données projet'!$B$16,'Paramètres'!$A$1:$I$89,3,0)*0.475*44/12</f>
        <v>28.79664814</v>
      </c>
      <c r="FR125" s="142">
        <f>EXP(-LN(2)/25)*FR124+(1-EXP(-LN(2)/25))/(LN(2)/25)*Calculateur!FM125*Calculateur!FO125*VLOOKUP('Données projet'!$B$16,'Paramètres'!$A$1:$I$89,3,0)*0.475*44/12</f>
        <v>0</v>
      </c>
      <c r="FS125" s="142">
        <f>EXP(-LN(2)/2)*FS124+(1-EXP(-LN(2)/2))/(LN(2)/2)*FM125*FP125*VLOOKUP('Données projet'!$B$16,'Paramètres'!$A$1:$I$89,3,0)*0.475*44/12</f>
        <v>0</v>
      </c>
      <c r="FT125" s="143">
        <f t="shared" si="25"/>
        <v>28.79664814</v>
      </c>
      <c r="FU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1" t="str">
        <f>VLOOKUP(A125,'Données projet'!$A$243:$I$263,2,0)</f>
        <v>#N/A</v>
      </c>
      <c r="FX125" s="131" t="str">
        <f>VLOOKUP(A125,'Données projet'!$A$243:$I$263,9,0)</f>
        <v>#N/A</v>
      </c>
      <c r="FY125" s="131" t="str">
        <f t="array" ref="FY125">INDEX(FX:FX,MIN(IF(ISNUMBER(FX125:FX321),ROW(FX125:FX321),"")))</f>
        <v/>
      </c>
      <c r="FZ125" s="138">
        <f>IF('Données projet'!$A$244&gt;35,FZ124+FY125-GH124,IF(A125&lt;'Données projet'!$A$244,$FW$205^A125,IF(A125='Données projet'!$A$244,'Données projet'!$B$244,FZ124+FY125-GH124)))</f>
        <v>0</v>
      </c>
      <c r="GA125" s="138">
        <f>FZ125*VLOOKUP('Données projet'!$B$17,'Paramètres'!$A$1:$I$89,3,0)*VLOOKUP('Données projet'!$B$17,'Paramètres'!$A$1:$I$89,5,0)</f>
        <v>0</v>
      </c>
      <c r="GB125" s="130">
        <f t="shared" si="50"/>
        <v>0</v>
      </c>
      <c r="GC125" s="141">
        <f t="shared" si="26"/>
        <v>0</v>
      </c>
      <c r="GD125" s="133">
        <f t="shared" si="27"/>
        <v>293.3333333</v>
      </c>
      <c r="GE125" s="133">
        <f>AVERAGE(OFFSET($GD$3,0,0,'Données projet'!$E$17+1,1))-AVERAGE(OFFSET($H$3,0,0,'Données projet'!$E$17+1,1))</f>
        <v>118.7368745</v>
      </c>
      <c r="GF125" s="133">
        <f t="shared" si="51"/>
        <v>135.1233677</v>
      </c>
      <c r="GG125" s="134">
        <f>IF(ISNA(VLOOKUP(A125,'Données projet'!$A$243:$I$263,3,0)),0,VLOOKUP(A125,'Données projet'!$A$243:$I$263,3,0))</f>
        <v>0</v>
      </c>
      <c r="GH125" s="134">
        <f>IF(ISNA(VLOOKUP(A125,'Données projet'!$A$243:$I$263,4,0)),0,VLOOKUP(A125,'Données projet'!$A$243:$I$263,4,0))</f>
        <v>0</v>
      </c>
      <c r="GI125" s="135">
        <f>IF(ISNA(VLOOKUP(A125,'Données projet'!$A$243:$I$263,5,0)),0%,VLOOKUP(A125,'Données projet'!$A$243:$I$263,5,0)*VLOOKUP('Données projet'!$B$17,'Paramètres'!$A$1:$I$89,7,0))</f>
        <v>0</v>
      </c>
      <c r="GJ125" s="135">
        <f>IF(ISNA(VLOOKUP(A125,'Données projet'!$A$243:$I$263,6,0)),0%,VLOOKUP(A125,'Données projet'!$A$243:$I$263,6,0)*VLOOKUP('Données projet'!$B$17,'Paramètres'!$A$1:$I$89,7,0))</f>
        <v>0</v>
      </c>
      <c r="GK125" s="135">
        <f>IF(ISNA(VLOOKUP(A125,'Données projet'!$A$243:$I$263,7,0)),0%,VLOOKUP(A125,'Données projet'!$A$243:$I$263,7,0))</f>
        <v>0</v>
      </c>
      <c r="GL125" s="142">
        <f>EXP(-LN(2)/35)*GL124+(1-EXP(-LN(2)/35))/(LN(2)/35)*GH125*GI125*VLOOKUP('Données projet'!$B$17,'Paramètres'!$A$1:$I$89,3,0)*0.475*44/12</f>
        <v>30.4235697</v>
      </c>
      <c r="GM125" s="142">
        <f>EXP(-LN(2)/25)*GM124+(1-EXP(-LN(2)/25))/(LN(2)/25)*Calculateur!GH125*Calculateur!GJ125*VLOOKUP('Données projet'!$B$17,'Paramètres'!$A$1:$I$89,3,0)*0.475*44/12</f>
        <v>0</v>
      </c>
      <c r="GN125" s="142">
        <f>EXP(-LN(2)/2)*GN124+(1-EXP(-LN(2)/2))/(LN(2)/2)*GH125*GK125*VLOOKUP('Données projet'!$B$17,'Paramètres'!$A$1:$I$89,3,0)*0.475*44/12</f>
        <v>0</v>
      </c>
      <c r="GO125" s="142">
        <f t="shared" si="28"/>
        <v>30.4235697</v>
      </c>
      <c r="GP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1" t="str">
        <f>VLOOKUP(A125,'Données projet'!$A$269:$I$289,2,0)</f>
        <v>#N/A</v>
      </c>
      <c r="GS125" s="131" t="str">
        <f>VLOOKUP(A125,'Données projet'!$A$269:$I$289,9,0)</f>
        <v>#N/A</v>
      </c>
      <c r="GT125" s="131" t="str">
        <f t="array" ref="GT125">INDEX(GS:GS,MIN(IF(ISNUMBER(GS125:GS321),ROW(GS125:GS321),"")))</f>
        <v/>
      </c>
      <c r="GU125" s="138">
        <f>IF('Données projet'!$A$270&gt;35,GU124+GT125-HC124,IF(A125&lt;'Données projet'!$A$270,$GR$205^A125,IF(A125='Données projet'!$A$270,'Données projet'!$B$270,GU124+GT125-HC124)))</f>
        <v>0</v>
      </c>
      <c r="GV125" s="138">
        <f>GU125*VLOOKUP('Données projet'!$B$18,'Paramètres'!$A$1:$I$89,3,0)*VLOOKUP('Données projet'!$B$18,'Paramètres'!$A$1:$I$89,5,0)</f>
        <v>0</v>
      </c>
      <c r="GW125" s="130" t="str">
        <f t="shared" si="52"/>
        <v>#NUM!</v>
      </c>
      <c r="GX125" s="141" t="str">
        <f t="shared" si="29"/>
        <v>#NUM!</v>
      </c>
      <c r="GY125" s="133" t="str">
        <f t="shared" si="30"/>
        <v>#NUM!</v>
      </c>
      <c r="GZ125" s="133">
        <f>AVERAGE(OFFSET($GY$3,0,0,'Données projet'!$E$18+1,1))-AVERAGE(OFFSET($H$3,0,0,'Données projet'!$E$18+1,1))</f>
        <v>100.5427875</v>
      </c>
      <c r="HA125" s="133">
        <f t="shared" si="53"/>
        <v>92.28663609</v>
      </c>
      <c r="HB125" s="134">
        <f>IF(ISNA(VLOOKUP(A125,'Données projet'!$A$269:$I$289,3,0)),0,VLOOKUP(A125,'Données projet'!$A$269:$I$289,3,0))</f>
        <v>0</v>
      </c>
      <c r="HC125" s="134">
        <f>IF(ISNA(VLOOKUP(A125,'Données projet'!$A$269:$I$289,4,0)),0,VLOOKUP(A125,'Données projet'!$A$269:$I$289,4,0))</f>
        <v>0</v>
      </c>
      <c r="HD125" s="135">
        <f>IF(ISNA(VLOOKUP(A125,'Données projet'!$A$269:$I$289,5,0)),0%,VLOOKUP(A125,'Données projet'!$A$269:$I$289,5,0)*VLOOKUP('Données projet'!$B$18,'Paramètres'!$A$1:$I$89,7,0))</f>
        <v>0</v>
      </c>
      <c r="HE125" s="135">
        <f>IF(ISNA(VLOOKUP(A125,'Données projet'!$A$269:$I$289,6,0)),0%,VLOOKUP(A125,'Données projet'!$A$269:$I$289,6,0)*VLOOKUP('Données projet'!$B$18,'Paramètres'!$A$1:$I$89,7,0))</f>
        <v>0</v>
      </c>
      <c r="HF125" s="135">
        <f>IF(ISNA(VLOOKUP(A125,'Données projet'!$A$269:$I$289,7,0)),0%,VLOOKUP(A125,'Données projet'!$A$269:$I$289,7,0))</f>
        <v>0</v>
      </c>
      <c r="HG125" s="142">
        <f>EXP(-LN(2)/35)*HG124+(1-EXP(-LN(2)/35))/(LN(2)/35)*HC125*HD125*VLOOKUP('Données projet'!$B$18,'Paramètres'!$A$1:$I$89,3,0)*0.475*44/12</f>
        <v>20.71780915</v>
      </c>
      <c r="HH125" s="142">
        <f>EXP(-LN(2)/25)*HH124+(1-EXP(-LN(2)/25))/(LN(2)/25)*Calculateur!HC125*Calculateur!HE125*VLOOKUP('Données projet'!$B$18,'Paramètres'!$A$1:$I$89,3,0)*0.475*44/12</f>
        <v>0</v>
      </c>
      <c r="HI125" s="142">
        <f>EXP(-LN(2)/2)*HI124+(1-EXP(-LN(2)/2))/(LN(2)/2)*HC125*HF125*VLOOKUP('Données projet'!$B$18,'Paramètres'!$A$1:$I$89,3,0)*0.475*44/12</f>
        <v>0</v>
      </c>
      <c r="HJ125" s="143">
        <f t="shared" si="31"/>
        <v>20.71780915</v>
      </c>
    </row>
    <row r="126" ht="15.75" customHeight="1">
      <c r="A126" s="125">
        <f t="shared" si="32"/>
        <v>123</v>
      </c>
      <c r="B126" s="126">
        <f>'Scénario référence'!$B$16*5+'Scénario référence'!$B$17*0+'Scénario référence'!$B$18*5</f>
        <v>0</v>
      </c>
      <c r="C126" s="140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67.158</v>
      </c>
      <c r="D126" s="127">
        <f t="shared" si="33"/>
        <v>18.96599538</v>
      </c>
      <c r="E12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7">
        <f>IF(OR('Scénario référence'!$F$8&gt;0,'Scénario référence'!$F$9&gt;0),('Scénario référence'!$F$8+'Scénario référence'!$F$9)*10,0)</f>
        <v>10</v>
      </c>
      <c r="G126" s="127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</v>
      </c>
      <c r="H126" s="128">
        <f t="shared" si="1"/>
        <v>443.3326253</v>
      </c>
      <c r="I126" s="12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1" t="str">
        <f>VLOOKUP(A126,'Données projet'!$A$35:$I$55,2,0)</f>
        <v>#N/A</v>
      </c>
      <c r="L126" s="131" t="str">
        <f>VLOOKUP(A126,'Données projet'!$A$35:$I$55,9,0)</f>
        <v>#N/A</v>
      </c>
      <c r="M126" s="131" t="str">
        <f t="array" ref="M126">INDEX(L:L,MIN(IF(ISNUMBER(L126:L322),ROW(L126:L322),"")))</f>
        <v/>
      </c>
      <c r="N126" s="130">
        <f>IF('Données projet'!$A$36&gt;35,N125+M126-V125,IF(A126&lt;'Données projet'!$A$36,$K$205^A126,IF(A126='Données projet'!$A$36,'Données projet'!$B$36,N125+M126-V125)))</f>
        <v>0</v>
      </c>
      <c r="O126" s="130">
        <f>N126*VLOOKUP('Données projet'!$B$9,'Paramètres'!$A$1:$I$89,3,0)*VLOOKUP('Données projet'!$B$9,'Paramètres'!$A$1:$I$89,5,0)</f>
        <v>0</v>
      </c>
      <c r="P126" s="130">
        <f t="shared" si="34"/>
        <v>0</v>
      </c>
      <c r="Q126" s="141">
        <f t="shared" si="2"/>
        <v>0</v>
      </c>
      <c r="R126" s="133">
        <f t="shared" si="3"/>
        <v>293.3333333</v>
      </c>
      <c r="S126" s="133">
        <f>AVERAGE(OFFSET($R$3,0,0,'Données projet'!$E$9+1,1))-AVERAGE(OFFSET($H$3,0,0,'Données projet'!$E$9+1,1))</f>
        <v>126.9946492</v>
      </c>
      <c r="T126" s="133">
        <f t="shared" si="35"/>
        <v>140.039049</v>
      </c>
      <c r="U126" s="134">
        <f>IF(ISNA(VLOOKUP(A126,'Données projet'!$A$35:$I$55,3,0)),0,VLOOKUP(A126,'Données projet'!$A$35:$I$55,3,0))</f>
        <v>0</v>
      </c>
      <c r="V126" s="134">
        <f>IF(ISNA(VLOOKUP(A126,'Données projet'!$A$35:$I$55,4,0)),0,VLOOKUP(A126,'Données projet'!$A$35:$I$55,4,0))</f>
        <v>0</v>
      </c>
      <c r="W126" s="135">
        <f>IF(ISNA(VLOOKUP(A126,'Données projet'!$A$35:$I$55,5,0)),0%,VLOOKUP(A126,'Données projet'!$A$35:$I$55,5,0)*VLOOKUP('Données projet'!$B$9,'Paramètres'!$A$1:$I$89,7,0))</f>
        <v>0</v>
      </c>
      <c r="X126" s="135">
        <f>IF(ISNA(VLOOKUP(A126,'Données projet'!$A$35:$I$55,6,0)),0%,VLOOKUP(A126,'Données projet'!$A$35:$I$55,6,0)*VLOOKUP('Données projet'!$B$9,'Paramètres'!$A$1:$I$89,7,0))</f>
        <v>0</v>
      </c>
      <c r="Y126" s="135">
        <f>IF(ISNA(VLOOKUP(A126,'Données projet'!$A$35:$I$55,7,0)),0%,VLOOKUP(A126,'Données projet'!$A$35:$I$55,7,0))</f>
        <v>0</v>
      </c>
      <c r="Z126" s="142">
        <f>EXP(-LN(2)/35)*Z125+(1-EXP(-LN(2)/35))/(LN(2)/35)*V126*W126*VLOOKUP('Données projet'!$B$9,'Paramètres'!$A$1:$I$89,3,0)*0.475*44/12</f>
        <v>30.50636306</v>
      </c>
      <c r="AA126" s="142">
        <f>EXP(-LN(2)/25)*AA125+(1-EXP(-LN(2)/25))/(LN(2)/25)*Calculateur!V126*Calculateur!X126*VLOOKUP('Données projet'!$B$9,'Paramètres'!$A$1:$I$89,3,0)*0.475*44/12</f>
        <v>4.051494533</v>
      </c>
      <c r="AB126" s="142">
        <f>EXP(-LN(2)/2)*AB125+(1-EXP(-LN(2)/2))/(LN(2)/2)*V126*Y126*VLOOKUP('Données projet'!$B$9,'Paramètres'!$A$1:$I$89,3,0)*0.475*44/12</f>
        <v>0.00000000625267306</v>
      </c>
      <c r="AC126" s="143">
        <f t="shared" si="4"/>
        <v>34.5578576</v>
      </c>
      <c r="AD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1" t="str">
        <f>VLOOKUP(A126,'Données projet'!$A$61:$I$81,2,0)</f>
        <v>#N/A</v>
      </c>
      <c r="AG126" s="131" t="str">
        <f>VLOOKUP(A126,'Données projet'!$A$61:$I$81,9,0)</f>
        <v>#N/A</v>
      </c>
      <c r="AH126" s="131" t="str">
        <f t="array" ref="AH126">INDEX(AG:AG,MIN(IF(ISNUMBER(AG126:AG322),ROW(AG126:AG322),"")))</f>
        <v/>
      </c>
      <c r="AI126" s="130">
        <f>IF('Données projet'!$A$62&gt;35,AI125+AH126-AQ125,IF(A126&lt;'Données projet'!$A$62,$AF$205^A126,IF(A126='Données projet'!$A$62,'Données projet'!$B$62,AI125+AH126-AQ125)))</f>
        <v>0</v>
      </c>
      <c r="AJ126" s="130">
        <f>AI126*VLOOKUP('Données projet'!$B$10,'Paramètres'!$A$1:$I$89,3,0)*VLOOKUP('Données projet'!$B$10,'Paramètres'!$A$1:$I$89,5,0)</f>
        <v>0</v>
      </c>
      <c r="AK126" s="130" t="str">
        <f t="shared" si="36"/>
        <v>#NUM!</v>
      </c>
      <c r="AL126" s="141" t="str">
        <f t="shared" si="5"/>
        <v>#NUM!</v>
      </c>
      <c r="AM126" s="133" t="str">
        <f t="shared" si="6"/>
        <v>#NUM!</v>
      </c>
      <c r="AN126" s="133">
        <f>AVERAGE(OFFSET($AM$3,0,0,'Données projet'!$E$10+1,1))-AVERAGE(OFFSET($H$3,0,0,'Données projet'!$E$10+1,1))</f>
        <v>196.874484</v>
      </c>
      <c r="AO126" s="133">
        <f t="shared" si="37"/>
        <v>217.5750859</v>
      </c>
      <c r="AP126" s="134">
        <f>IF(ISNA(VLOOKUP(A126,'Données projet'!$A$61:$I$81,3,0)),0,VLOOKUP(A126,'Données projet'!$A$61:$I$81,3,0))</f>
        <v>0</v>
      </c>
      <c r="AQ126" s="134">
        <f>IF(ISNA(VLOOKUP(A126,'Données projet'!$A$61:$I$81,4,0)),0,VLOOKUP(A126,'Données projet'!$A$61:$I$81,4,0))</f>
        <v>0</v>
      </c>
      <c r="AR126" s="135">
        <f>IF(ISNA(VLOOKUP(A126,'Données projet'!$A$61:$I$81,5,0)),0%,VLOOKUP(A126,'Données projet'!$A$61:$I$81,5,0)*VLOOKUP('Données projet'!$B$10,'Paramètres'!$A$1:$I$89,7,0))</f>
        <v>0</v>
      </c>
      <c r="AS126" s="135">
        <f>IF(ISNA(VLOOKUP(A126,'Données projet'!$A$61:$I$81,6,0)),0%,VLOOKUP(A126,'Données projet'!$A$61:$I$81,6,0)*VLOOKUP('Données projet'!$B$10,'Paramètres'!$A$1:$I$89,7,0))</f>
        <v>0</v>
      </c>
      <c r="AT126" s="135">
        <f>IF(ISNA(VLOOKUP(A126,'Données projet'!$A$61:$I$81,7,0)),0%,VLOOKUP(A126,'Données projet'!$A$61:$I$81,7,0))</f>
        <v>0</v>
      </c>
      <c r="AU126" s="142">
        <f>EXP(-LN(2)/35)*AU125+(1-EXP(-LN(2)/35))/(LN(2)/35)*AQ126*AR126*VLOOKUP('Données projet'!$B$10,'Paramètres'!$A$1:$I$89,3,0)*0.475*44/12</f>
        <v>42.40297815</v>
      </c>
      <c r="AV126" s="142">
        <f>EXP(-LN(2)/25)*AV125+(1-EXP(-LN(2)/25))/(LN(2)/25)*Calculateur!AQ126*Calculateur!AS126*VLOOKUP('Données projet'!$B$10,'Paramètres'!$A$1:$I$89,3,0)*0.475*44/12</f>
        <v>6.229178258</v>
      </c>
      <c r="AW126" s="142">
        <f>EXP(-LN(2)/2)*AW125+(1-EXP(-LN(2)/2))/(LN(2)/2)*AQ126*AT126*VLOOKUP('Données projet'!$B$10,'Paramètres'!$A$1:$I$89,3,0)*0.475*44/12</f>
        <v>0.000000008717539038</v>
      </c>
      <c r="AX126" s="142">
        <f t="shared" si="7"/>
        <v>48.63215642</v>
      </c>
      <c r="AY126" s="13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1" t="str">
        <f>VLOOKUP(A126,'Données projet'!$A$87:$I$107,2,0)</f>
        <v>#N/A</v>
      </c>
      <c r="BB126" s="131" t="str">
        <f>VLOOKUP(A126,'Données projet'!$A$87:$I$107,9,0)</f>
        <v>#N/A</v>
      </c>
      <c r="BC126" s="131" t="str">
        <f t="array" ref="BC126">INDEX(BB:BB,MIN(IF(ISNUMBER(BB126:BB322),ROW(BB126:BB322),"")))</f>
        <v/>
      </c>
      <c r="BD126" s="130">
        <f>IF('Données projet'!$A$88&gt;35,BD125+BC126-BL125,IF(A126&lt;'Données projet'!$A$88,$BA$205^A126,IF(A126='Données projet'!$A$88,'Données projet'!$B$88,BD125+BC126-BL125)))</f>
        <v>0</v>
      </c>
      <c r="BE126" s="130">
        <f>BD126*VLOOKUP('Données projet'!$B$11,'Paramètres'!$A$1:$I$89,3,0)*VLOOKUP('Données projet'!$B$11,'Paramètres'!$A$1:$I$89,5,0)</f>
        <v>0</v>
      </c>
      <c r="BF126" s="130" t="str">
        <f t="shared" si="38"/>
        <v>#NUM!</v>
      </c>
      <c r="BG126" s="141" t="str">
        <f t="shared" si="8"/>
        <v>#NUM!</v>
      </c>
      <c r="BH126" s="133" t="str">
        <f t="shared" si="9"/>
        <v>#NUM!</v>
      </c>
      <c r="BI126" s="133">
        <f>AVERAGE(OFFSET($BH$3,0,0,'Données projet'!$E$11+1,1))-AVERAGE(OFFSET($H$3,0,0,'Données projet'!$E$11+1,1))</f>
        <v>134.0948534</v>
      </c>
      <c r="BJ126" s="133">
        <f t="shared" si="39"/>
        <v>108.4102536</v>
      </c>
      <c r="BK126" s="134">
        <f>IF(ISNA(VLOOKUP(A126,'Données projet'!$A$87:$I$107,3,0)),0,VLOOKUP(A126,'Données projet'!$A$87:$I$107,3,0))</f>
        <v>0</v>
      </c>
      <c r="BL126" s="134">
        <f>IF(ISNA(VLOOKUP(A126,'Données projet'!$A$87:$I$107,4,0)),0,VLOOKUP(A126,'Données projet'!$A$87:$I$107,4,0))</f>
        <v>0</v>
      </c>
      <c r="BM126" s="135">
        <f>IF(ISNA(VLOOKUP(A126,'Données projet'!$A$87:$I$107,5,0)),0%,VLOOKUP(A126,'Données projet'!$A$87:$I$107,5,0)*VLOOKUP('Données projet'!$B$11,'Paramètres'!$A$1:$I$89,7,0))</f>
        <v>0</v>
      </c>
      <c r="BN126" s="135">
        <f>IF(ISNA(VLOOKUP(A126,'Données projet'!$A$87:$I$107,6,0)),0%,VLOOKUP(A126,'Données projet'!$A$87:$I$107,6,0)*VLOOKUP('Données projet'!$B$11,'Paramètres'!$A$1:$I$89,7,0))</f>
        <v>0</v>
      </c>
      <c r="BO126" s="135">
        <f>IF(ISNA(VLOOKUP(A126,'Données projet'!$A$87:$I$107,7,0)),0%,VLOOKUP(A126,'Données projet'!$A$87:$I$107,7,0))</f>
        <v>0</v>
      </c>
      <c r="BP126" s="142">
        <f>EXP(-LN(2)/35)*BP125+(1-EXP(-LN(2)/35))/(LN(2)/35)*BL126*BM126*VLOOKUP('Données projet'!$B$11,'Paramètres'!$A$1:$I$89,3,0)*0.475*44/12</f>
        <v>58.6512379</v>
      </c>
      <c r="BQ126" s="142">
        <f>EXP(-LN(2)/25)*BQ125+(1-EXP(-LN(2)/25))/(LN(2)/25)*Calculateur!BL126*Calculateur!BN126*VLOOKUP('Données projet'!$B$11,'Paramètres'!$A$1:$I$89,3,0)*0.475*44/12</f>
        <v>3.929370993</v>
      </c>
      <c r="BR126" s="142">
        <f>EXP(-LN(2)/2)*BR125+(1-EXP(-LN(2)/2))/(LN(2)/2)*BL126*BO126*VLOOKUP('Données projet'!$B$11,'Paramètres'!$A$1:$I$89,3,0)*0.475*44/12</f>
        <v>0.0000001162794601</v>
      </c>
      <c r="BS126" s="143">
        <f t="shared" si="10"/>
        <v>62.58060901</v>
      </c>
      <c r="BT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1" t="str">
        <f>VLOOKUP(A126,'Données projet'!$A$113:$I$133,2,0)</f>
        <v>#N/A</v>
      </c>
      <c r="BW126" s="131" t="str">
        <f>VLOOKUP(A126,'Données projet'!$A$113:$I$133,9,0)</f>
        <v>#N/A</v>
      </c>
      <c r="BX126" s="131" t="str">
        <f t="array" ref="BX126">INDEX(BW:BW,MIN(IF(ISNUMBER(BW126:BW322),ROW(BW126:BW322),"")))</f>
        <v/>
      </c>
      <c r="BY126" s="130">
        <f>IF('Données projet'!$A$114&gt;35,BY125+BX126-CG125,IF(A126&lt;'Données projet'!$A$114,$BV$205^A126,IF(A126='Données projet'!$A$114,'Données projet'!$B$114,BY125+BX126-CG125)))</f>
        <v>0</v>
      </c>
      <c r="BZ126" s="130">
        <f>BY126*VLOOKUP('Données projet'!$B$12,'Paramètres'!$A$1:$I$89,3,0)*VLOOKUP('Données projet'!$B$12,'Paramètres'!$A$1:$I$89,5,0)</f>
        <v>0</v>
      </c>
      <c r="CA126" s="130" t="str">
        <f t="shared" si="40"/>
        <v>#NUM!</v>
      </c>
      <c r="CB126" s="141" t="str">
        <f t="shared" si="11"/>
        <v>#NUM!</v>
      </c>
      <c r="CC126" s="133" t="str">
        <f t="shared" si="12"/>
        <v>#NUM!</v>
      </c>
      <c r="CD126" s="133">
        <f>AVERAGE(OFFSET($CC$3,0,0,'Données projet'!$E$12+1,1))-AVERAGE(OFFSET($H$3,0,0,'Données projet'!$E$12+1,1))</f>
        <v>258.1672054</v>
      </c>
      <c r="CE126" s="133">
        <f t="shared" si="41"/>
        <v>296.0724261</v>
      </c>
      <c r="CF126" s="134">
        <f>IF(ISNA(VLOOKUP(A126,'Données projet'!$A$113:$I$133,3,0)),0,VLOOKUP(A126,'Données projet'!$A$113:$I$133,3,0))</f>
        <v>0</v>
      </c>
      <c r="CG126" s="134">
        <f>IF(ISNA(VLOOKUP(A126,'Données projet'!$A$113:$I$133,4,0)),0,VLOOKUP(A126,'Données projet'!$A$113:$I$133,4,0))</f>
        <v>0</v>
      </c>
      <c r="CH126" s="135">
        <f>IF(ISNA(VLOOKUP(A126,'Données projet'!$A$113:$I$133,5,0)),0%,VLOOKUP(A126,'Données projet'!$A$113:$I$133,5,0)*VLOOKUP('Données projet'!$B$12,'Paramètres'!$A$1:$I$89,7,0))</f>
        <v>0</v>
      </c>
      <c r="CI126" s="135">
        <f>IF(ISNA(VLOOKUP(A126,'Données projet'!$A$113:$I$133,6,0)),0%,VLOOKUP(A126,'Données projet'!$A$113:$I$133,6,0)*VLOOKUP('Données projet'!$B$12,'Paramètres'!$A$1:$I$89,7,0))</f>
        <v>0</v>
      </c>
      <c r="CJ126" s="135">
        <f>IF(ISNA(VLOOKUP(A126,'Données projet'!$A$113:$I$133,7,0)),0%,VLOOKUP(A126,'Données projet'!$A$113:$I$133,7,0))</f>
        <v>0</v>
      </c>
      <c r="CK126" s="142">
        <f>EXP(-LN(2)/35)*CK125+(1-EXP(-LN(2)/35))/(LN(2)/35)*CG126*CH126*VLOOKUP('Données projet'!$B$12,'Paramètres'!$A$1:$I$89,3,0)*0.475*44/12</f>
        <v>74.15310685</v>
      </c>
      <c r="CL126" s="142">
        <f>EXP(-LN(2)/25)*CL125+(1-EXP(-LN(2)/25))/(LN(2)/25)*Calculateur!CG126*Calculateur!CI126*VLOOKUP('Données projet'!$B$12,'Paramètres'!$A$1:$I$89,3,0)*0.475*44/12</f>
        <v>6.892339781</v>
      </c>
      <c r="CM126" s="142">
        <f>EXP(-LN(2)/2)*CM125+(1-EXP(-LN(2)/2))/(LN(2)/2)*CG126*CJ126*VLOOKUP('Données projet'!$B$12,'Paramètres'!$A$1:$I$89,3,0)*0.475*44/12</f>
        <v>0.000000004898716408</v>
      </c>
      <c r="CN126" s="143">
        <f t="shared" si="13"/>
        <v>81.04544664</v>
      </c>
      <c r="CO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1" t="str">
        <f>VLOOKUP(A126,'Données projet'!$A$139:$I$159,2,0)</f>
        <v>#N/A</v>
      </c>
      <c r="CR126" s="131" t="str">
        <f>VLOOKUP(A126,'Données projet'!$A$139:$I$159,9,0)</f>
        <v>#N/A</v>
      </c>
      <c r="CS126" s="130">
        <f t="array" ref="CS126">INDEX(CR:CR,MIN(IF(ISNUMBER(CR126:CR322),ROW(CR126:CR322),"")))</f>
        <v>1.1</v>
      </c>
      <c r="CT126" s="138">
        <f>IF('Données projet'!$A$140&gt;35,CT125+CS126-DB125,IF(A126&lt;'Données projet'!$A$140,$CQ$205^A126,IF(A126='Données projet'!$A$140,'Données projet'!$B$140,CT125+CS126-DB125)))</f>
        <v>212.3</v>
      </c>
      <c r="CU126" s="138">
        <f>CT126*VLOOKUP('Données projet'!$B$13,'Paramètres'!$A$1:$I$89,3,0)*VLOOKUP('Données projet'!$B$13,'Paramètres'!$A$1:$I$89,5,0)</f>
        <v>215.2722</v>
      </c>
      <c r="CV126" s="130">
        <f t="shared" si="42"/>
        <v>53.08602616</v>
      </c>
      <c r="CW126" s="141">
        <f t="shared" si="14"/>
        <v>467.3905772</v>
      </c>
      <c r="CX126" s="133">
        <f t="shared" si="15"/>
        <v>760.7239106</v>
      </c>
      <c r="CY126" s="133">
        <f>AVERAGE(OFFSET($CX$3,0,0,'Données projet'!$E$13+1,1))-AVERAGE(OFFSET($H$3,0,0,'Données projet'!$E$13+1,1))</f>
        <v>223.783507</v>
      </c>
      <c r="CZ126" s="133">
        <f t="shared" si="43"/>
        <v>84.92349117</v>
      </c>
      <c r="DA126" s="134">
        <f>IF(ISNA(VLOOKUP(A126,'Données projet'!$A$139:$I$159,3,0)),0,VLOOKUP(A126,'Données projet'!$A$139:$I$159,3,0))</f>
        <v>0</v>
      </c>
      <c r="DB126" s="134">
        <f>IF(ISNA(VLOOKUP(A126,'Données projet'!$A$139:$I$159,4,0)),0,VLOOKUP(A126,'Données projet'!$A$139:$I$159,4,0))</f>
        <v>0</v>
      </c>
      <c r="DC126" s="135">
        <f>IF(ISNA(VLOOKUP(A126,'Données projet'!$A$139:$I$159,5,0)),0%,VLOOKUP(A126,'Données projet'!$A$139:$I$159,5,0)*VLOOKUP('Données projet'!$B$13,'Paramètres'!$A$1:$I$89,7,0))</f>
        <v>0</v>
      </c>
      <c r="DD126" s="135">
        <f>IF(ISNA(VLOOKUP(A126,'Données projet'!$A$139:$I$159,6,0)),0%,VLOOKUP(A126,'Données projet'!$A$139:$I$159,6,0)*VLOOKUP('Données projet'!$B$13,'Paramètres'!$A$1:$I$89,7,0))</f>
        <v>0</v>
      </c>
      <c r="DE126" s="135">
        <f>IF(ISNA(VLOOKUP(A126,'Données projet'!$A$139:$I$159,7,0)),0%,VLOOKUP(A126,'Données projet'!$A$139:$I$159,7,0))</f>
        <v>0</v>
      </c>
      <c r="DF126" s="142">
        <f>EXP(-LN(2)/35)*DF125+(1-EXP(-LN(2)/35))/(LN(2)/35)*DB126*DC126*VLOOKUP('Données projet'!$B$13,'Paramètres'!$A$1:$I$89,3,0)*0.475*44/12</f>
        <v>21.01886325</v>
      </c>
      <c r="DG126" s="142">
        <f>EXP(-LN(2)/25)*DG125+(1-EXP(-LN(2)/25))/(LN(2)/25)*Calculateur!DB126*Calculateur!DD126*VLOOKUP('Données projet'!$B$13,'Paramètres'!$A$1:$I$89,3,0)*0.475*44/12</f>
        <v>0</v>
      </c>
      <c r="DH126" s="142">
        <f>EXP(-LN(2)/2)*DH125+(1-EXP(-LN(2)/2))/(LN(2)/2)*DB126*DE126*VLOOKUP('Données projet'!$B$13,'Paramètres'!$A$1:$I$89,3,0)*0.475*44/12</f>
        <v>0</v>
      </c>
      <c r="DI126" s="143">
        <f t="shared" si="16"/>
        <v>21.01886325</v>
      </c>
      <c r="DJ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1" t="str">
        <f>VLOOKUP(A126,'Données projet'!$A$165:$I$185,2,0)</f>
        <v>#N/A</v>
      </c>
      <c r="DM126" s="131" t="str">
        <f>VLOOKUP(A126,'Données projet'!$A$165:$I$185,9,0)</f>
        <v>#N/A</v>
      </c>
      <c r="DN126" s="131">
        <f t="array" ref="DN126">INDEX(DM:DM,MIN(IF(ISNUMBER(DM126:DM322),ROW(DM126:DM322),"")))</f>
        <v>1.6</v>
      </c>
      <c r="DO126" s="138">
        <f>IF('Données projet'!$A$166&gt;35,DO125+DN126-DW125,IF(A126&lt;'Données projet'!$A$166,$DL$205^A126,IF(A126='Données projet'!$A$166,'Données projet'!$B$166,DO125+DN126-DW125)))</f>
        <v>272.8</v>
      </c>
      <c r="DP126" s="138">
        <f>DO126*VLOOKUP('Données projet'!$B$14,'Paramètres'!$A$1:$I$89,3,0)*VLOOKUP('Données projet'!$B$14,'Paramètres'!$A$1:$I$89,5,0)</f>
        <v>246.82944</v>
      </c>
      <c r="DQ126" s="130">
        <f t="shared" si="44"/>
        <v>59.90650965</v>
      </c>
      <c r="DR126" s="141">
        <f t="shared" si="17"/>
        <v>534.231779</v>
      </c>
      <c r="DS126" s="133">
        <f t="shared" si="18"/>
        <v>827.5651123</v>
      </c>
      <c r="DT126" s="133">
        <f>AVERAGE(OFFSET($DS$3,0,0,'Données projet'!$E$14+1,1))-AVERAGE(OFFSET($H$3,0,0,'Données projet'!$E$14+1,1))</f>
        <v>287.9334714</v>
      </c>
      <c r="DU126" s="133">
        <f t="shared" si="45"/>
        <v>156.6796502</v>
      </c>
      <c r="DV126" s="134">
        <f>IF(ISNA(VLOOKUP(A126,'Données projet'!$A$165:$I$185,3,0)),0,VLOOKUP(A126,'Données projet'!$A$165:$I$185,3,0))</f>
        <v>0</v>
      </c>
      <c r="DW126" s="134">
        <f>IF(ISNA(VLOOKUP(A126,'Données projet'!$A$165:$I$185,4,0)),0,VLOOKUP(A126,'Données projet'!$A$165:$I$185,4,0))</f>
        <v>0</v>
      </c>
      <c r="DX126" s="135">
        <f>IF(ISNA(VLOOKUP(A126,'Données projet'!$A$165:$I$185,5,0)),0%,VLOOKUP(A126,'Données projet'!$A$165:$I$185,5,0)*VLOOKUP('Données projet'!$B$14,'Paramètres'!$A$1:$I$89,7,0))</f>
        <v>0</v>
      </c>
      <c r="DY126" s="135">
        <f>IF(ISNA(VLOOKUP(A126,'Données projet'!$A$165:$I$185,6,0)),0%,VLOOKUP(A126,'Données projet'!$A$165:$I$185,6,0)*VLOOKUP('Données projet'!$B$14,'Paramètres'!$A$1:$I$89,7,0))</f>
        <v>0</v>
      </c>
      <c r="DZ126" s="135">
        <f>IF(ISNA(VLOOKUP(A126,'Données projet'!$A$165:$I$185,7,0)),0%,VLOOKUP(A126,'Données projet'!$A$165:$I$185,7,0))</f>
        <v>0</v>
      </c>
      <c r="EA126" s="142">
        <f>EXP(-LN(2)/35)*EA125+(1-EXP(-LN(2)/35))/(LN(2)/35)*DW126*DX126*VLOOKUP('Données projet'!$B$14,'Paramètres'!$A$1:$I$89,3,0)*0.475*44/12</f>
        <v>30.31676464</v>
      </c>
      <c r="EB126" s="142">
        <f>EXP(-LN(2)/25)*EB125+(1-EXP(-LN(2)/25))/(LN(2)/25)*Calculateur!DW126*Calculateur!DY126*VLOOKUP('Données projet'!$B$14,'Paramètres'!$A$1:$I$89,3,0)*0.475*44/12</f>
        <v>0</v>
      </c>
      <c r="EC126" s="142">
        <f>EXP(-LN(2)/2)*EC125+(1-EXP(-LN(2)/2))/(LN(2)/2)*DW126*DZ126*VLOOKUP('Données projet'!$B$14,'Paramètres'!$A$1:$I$89,3,0)*0.475*44/12</f>
        <v>0</v>
      </c>
      <c r="ED126" s="143">
        <f t="shared" si="19"/>
        <v>30.31676464</v>
      </c>
      <c r="EE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1" t="str">
        <f>VLOOKUP(A126,'Données projet'!$A$191:$I$211,2,0)</f>
        <v>#N/A</v>
      </c>
      <c r="EH126" s="131" t="str">
        <f>VLOOKUP(A126,'Données projet'!$A$191:$I$211,9,0)</f>
        <v>#N/A</v>
      </c>
      <c r="EI126" s="131" t="str">
        <f t="array" ref="EI126">INDEX(EH:EH,MIN(IF(ISNUMBER(EH126:EH322),ROW(EH126:EH322),"")))</f>
        <v/>
      </c>
      <c r="EJ126" s="138">
        <f>IF('Données projet'!$A$192&gt;35,EJ125+EI126-ER125,IF(A126&lt;'Données projet'!$A$192,$EG$205^A126,IF(A126='Données projet'!$A$192,'Données projet'!$B$192,EJ125+EI126-ER125)))</f>
        <v>0</v>
      </c>
      <c r="EK126" s="138">
        <f>EJ126*VLOOKUP('Données projet'!$B$15,'Paramètres'!$A$1:$I$89,3,0)*VLOOKUP('Données projet'!$B$15,'Paramètres'!$A$1:$I$89,5,0)</f>
        <v>0</v>
      </c>
      <c r="EL126" s="130" t="str">
        <f t="shared" si="46"/>
        <v>#NUM!</v>
      </c>
      <c r="EM126" s="141" t="str">
        <f t="shared" si="20"/>
        <v>#NUM!</v>
      </c>
      <c r="EN126" s="133" t="str">
        <f t="shared" si="21"/>
        <v>#NUM!</v>
      </c>
      <c r="EO126" s="133">
        <f>AVERAGE(OFFSET($EN$3,0,0,'Données projet'!$E$15+1,1))-AVERAGE(OFFSET($H$3,0,0,'Données projet'!$E$15+1,1))</f>
        <v>130.3193339</v>
      </c>
      <c r="EP126" s="133">
        <f t="shared" si="47"/>
        <v>82.22784365</v>
      </c>
      <c r="EQ126" s="134">
        <f>IF(ISNA(VLOOKUP(A126,'Données projet'!$A$191:$I$211,3,0)),0,VLOOKUP(A126,'Données projet'!$A$191:$I$211,3,0))</f>
        <v>0</v>
      </c>
      <c r="ER126" s="134">
        <f>IF(ISNA(VLOOKUP(A126,'Données projet'!$A$191:$I$211,4,0)),0,VLOOKUP(A126,'Données projet'!$A$191:$I$211,4,0))</f>
        <v>0</v>
      </c>
      <c r="ES126" s="135">
        <f>IF(ISNA(VLOOKUP(A126,'Données projet'!$A$191:$I$211,5,0)),0%,VLOOKUP(A126,'Données projet'!$A$191:$I$211,5,0)*VLOOKUP('Données projet'!$B$15,'Paramètres'!$A$1:$I$89,7,0))</f>
        <v>0</v>
      </c>
      <c r="ET126" s="135">
        <f>IF(ISNA(VLOOKUP(A126,'Données projet'!$A$191:$I$211,6,0)),0%,VLOOKUP(A126,'Données projet'!$A$191:$I$211,6,0)*VLOOKUP('Données projet'!$B$15,'Paramètres'!$A$1:$I$89,7,0))</f>
        <v>0</v>
      </c>
      <c r="EU126" s="135">
        <f>IF(ISNA(VLOOKUP(A126,'Données projet'!$A$191:$I$211,7,0)),0%,VLOOKUP(A126,'Données projet'!$A$191:$I$211,7,0))</f>
        <v>0</v>
      </c>
      <c r="EV126" s="142">
        <f>EXP(-LN(2)/35)*EV125+(1-EXP(-LN(2)/35))/(LN(2)/35)*ER126*ES126*VLOOKUP('Données projet'!$B$15,'Paramètres'!$A$1:$I$89,3,0)*0.475*44/12</f>
        <v>45.34309081</v>
      </c>
      <c r="EW126" s="142">
        <f>EXP(-LN(2)/25)*EW125+(1-EXP(-LN(2)/25))/(LN(2)/25)*Calculateur!ER126*Calculateur!ET126*VLOOKUP('Données projet'!$B$15,'Paramètres'!$A$1:$I$89,3,0)*0.475*44/12</f>
        <v>0</v>
      </c>
      <c r="EX126" s="142">
        <f>EXP(-LN(2)/2)*EX125+(1-EXP(-LN(2)/2))/(LN(2)/2)*ER126*EU126*VLOOKUP('Données projet'!$B$15,'Paramètres'!$A$1:$I$89,3,0)*0.475*44/12</f>
        <v>0</v>
      </c>
      <c r="EY126" s="143">
        <f t="shared" si="22"/>
        <v>45.34309081</v>
      </c>
      <c r="EZ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1" t="str">
        <f>VLOOKUP(A126,'Données projet'!$A$217:$I$237,2,0)</f>
        <v>#N/A</v>
      </c>
      <c r="FC126" s="131" t="str">
        <f>VLOOKUP(A126,'Données projet'!$A$217:$I$237,9,0)</f>
        <v>#N/A</v>
      </c>
      <c r="FD126" s="131" t="str">
        <f t="array" ref="FD126">INDEX(FC:FC,MIN(IF(ISNUMBER(FC126:FC322),ROW(FC126:FC322),"")))</f>
        <v/>
      </c>
      <c r="FE126" s="130">
        <f>IF('Données projet'!$A$218&gt;35,FE125+FD126-FM125,IF(A126&lt;'Données projet'!$A$218,$FB$205^A126,IF(A126='Données projet'!$A$218,'Données projet'!$B$218,FE125+FD126-FM125)))</f>
        <v>0</v>
      </c>
      <c r="FF126" s="138">
        <f>FE126*VLOOKUP('Données projet'!$B$16,'Paramètres'!$A$1:$I$89,3,0)*VLOOKUP('Données projet'!$B$16,'Paramètres'!$A$1:$I$89,5,0)</f>
        <v>0</v>
      </c>
      <c r="FG126" s="130">
        <f t="shared" si="48"/>
        <v>0</v>
      </c>
      <c r="FH126" s="141">
        <f t="shared" si="23"/>
        <v>0</v>
      </c>
      <c r="FI126" s="133">
        <f t="shared" si="24"/>
        <v>293.3333333</v>
      </c>
      <c r="FJ126" s="133">
        <f>AVERAGE(OFFSET($FI$3,0,0,'Données projet'!$E$16+1,1))-AVERAGE(OFFSET($H$3,0,0,'Données projet'!$E$16+1,1))</f>
        <v>305.6252353</v>
      </c>
      <c r="FK126" s="133">
        <f t="shared" si="49"/>
        <v>331.397916</v>
      </c>
      <c r="FL126" s="134">
        <f>IF(ISNA(VLOOKUP(A126,'Données projet'!$A$217:$I$237,3,0)),0,VLOOKUP(A126,'Données projet'!$A$217:$I$237,3,0))</f>
        <v>0</v>
      </c>
      <c r="FM126" s="134">
        <f>IF(ISNA(VLOOKUP(A126,'Données projet'!$A$217:$I$237,4,0)),0,VLOOKUP(A126,'Données projet'!$A$217:$I$237,4,0))</f>
        <v>0</v>
      </c>
      <c r="FN126" s="135">
        <f>IF(ISNA(VLOOKUP(A126,'Données projet'!$A$217:$I$237,5,0)),0%,VLOOKUP(A126,'Données projet'!$A$217:$I$237,5,0)*VLOOKUP('Données projet'!$B$16,'Paramètres'!$A$1:$I$89,7,0))</f>
        <v>0</v>
      </c>
      <c r="FO126" s="135">
        <f>IF(ISNA(VLOOKUP(A126,'Données projet'!$A$217:$I$237,6,0)),0%,VLOOKUP(A126,'Données projet'!$A$217:$I$237,6,0)*VLOOKUP('Données projet'!$B$16,'Paramètres'!$A$1:$I$89,7,0))</f>
        <v>0</v>
      </c>
      <c r="FP126" s="135">
        <f>IF(ISNA(VLOOKUP(A126,'Données projet'!$A$217:$I$237,7,0)),0%,VLOOKUP(A126,'Données projet'!$A$217:$I$237,7,0))</f>
        <v>0</v>
      </c>
      <c r="FQ126" s="142">
        <f>EXP(-LN(2)/35)*FQ125+(1-EXP(-LN(2)/35))/(LN(2)/35)*FM126*FN126*VLOOKUP('Données projet'!$B$16,'Paramètres'!$A$1:$I$89,3,0)*0.475*44/12</f>
        <v>28.23196343</v>
      </c>
      <c r="FR126" s="142">
        <f>EXP(-LN(2)/25)*FR125+(1-EXP(-LN(2)/25))/(LN(2)/25)*Calculateur!FM126*Calculateur!FO126*VLOOKUP('Données projet'!$B$16,'Paramètres'!$A$1:$I$89,3,0)*0.475*44/12</f>
        <v>0</v>
      </c>
      <c r="FS126" s="142">
        <f>EXP(-LN(2)/2)*FS125+(1-EXP(-LN(2)/2))/(LN(2)/2)*FM126*FP126*VLOOKUP('Données projet'!$B$16,'Paramètres'!$A$1:$I$89,3,0)*0.475*44/12</f>
        <v>0</v>
      </c>
      <c r="FT126" s="143">
        <f t="shared" si="25"/>
        <v>28.23196343</v>
      </c>
      <c r="FU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1" t="str">
        <f>VLOOKUP(A126,'Données projet'!$A$243:$I$263,2,0)</f>
        <v>#N/A</v>
      </c>
      <c r="FX126" s="131" t="str">
        <f>VLOOKUP(A126,'Données projet'!$A$243:$I$263,9,0)</f>
        <v>#N/A</v>
      </c>
      <c r="FY126" s="131" t="str">
        <f t="array" ref="FY126">INDEX(FX:FX,MIN(IF(ISNUMBER(FX126:FX322),ROW(FX126:FX322),"")))</f>
        <v/>
      </c>
      <c r="FZ126" s="138">
        <f>IF('Données projet'!$A$244&gt;35,FZ125+FY126-GH125,IF(A126&lt;'Données projet'!$A$244,$FW$205^A126,IF(A126='Données projet'!$A$244,'Données projet'!$B$244,FZ125+FY126-GH125)))</f>
        <v>0</v>
      </c>
      <c r="GA126" s="138">
        <f>FZ126*VLOOKUP('Données projet'!$B$17,'Paramètres'!$A$1:$I$89,3,0)*VLOOKUP('Données projet'!$B$17,'Paramètres'!$A$1:$I$89,5,0)</f>
        <v>0</v>
      </c>
      <c r="GB126" s="130">
        <f t="shared" si="50"/>
        <v>0</v>
      </c>
      <c r="GC126" s="141">
        <f t="shared" si="26"/>
        <v>0</v>
      </c>
      <c r="GD126" s="133">
        <f t="shared" si="27"/>
        <v>293.3333333</v>
      </c>
      <c r="GE126" s="133">
        <f>AVERAGE(OFFSET($GD$3,0,0,'Données projet'!$E$17+1,1))-AVERAGE(OFFSET($H$3,0,0,'Données projet'!$E$17+1,1))</f>
        <v>118.7368745</v>
      </c>
      <c r="GF126" s="133">
        <f t="shared" si="51"/>
        <v>135.1233677</v>
      </c>
      <c r="GG126" s="134">
        <f>IF(ISNA(VLOOKUP(A126,'Données projet'!$A$243:$I$263,3,0)),0,VLOOKUP(A126,'Données projet'!$A$243:$I$263,3,0))</f>
        <v>0</v>
      </c>
      <c r="GH126" s="134">
        <f>IF(ISNA(VLOOKUP(A126,'Données projet'!$A$243:$I$263,4,0)),0,VLOOKUP(A126,'Données projet'!$A$243:$I$263,4,0))</f>
        <v>0</v>
      </c>
      <c r="GI126" s="135">
        <f>IF(ISNA(VLOOKUP(A126,'Données projet'!$A$243:$I$263,5,0)),0%,VLOOKUP(A126,'Données projet'!$A$243:$I$263,5,0)*VLOOKUP('Données projet'!$B$17,'Paramètres'!$A$1:$I$89,7,0))</f>
        <v>0</v>
      </c>
      <c r="GJ126" s="135">
        <f>IF(ISNA(VLOOKUP(A126,'Données projet'!$A$243:$I$263,6,0)),0%,VLOOKUP(A126,'Données projet'!$A$243:$I$263,6,0)*VLOOKUP('Données projet'!$B$17,'Paramètres'!$A$1:$I$89,7,0))</f>
        <v>0</v>
      </c>
      <c r="GK126" s="135">
        <f>IF(ISNA(VLOOKUP(A126,'Données projet'!$A$243:$I$263,7,0)),0%,VLOOKUP(A126,'Données projet'!$A$243:$I$263,7,0))</f>
        <v>0</v>
      </c>
      <c r="GL126" s="142">
        <f>EXP(-LN(2)/35)*GL125+(1-EXP(-LN(2)/35))/(LN(2)/35)*GH126*GI126*VLOOKUP('Données projet'!$B$17,'Paramètres'!$A$1:$I$89,3,0)*0.475*44/12</f>
        <v>29.82698206</v>
      </c>
      <c r="GM126" s="142">
        <f>EXP(-LN(2)/25)*GM125+(1-EXP(-LN(2)/25))/(LN(2)/25)*Calculateur!GH126*Calculateur!GJ126*VLOOKUP('Données projet'!$B$17,'Paramètres'!$A$1:$I$89,3,0)*0.475*44/12</f>
        <v>0</v>
      </c>
      <c r="GN126" s="142">
        <f>EXP(-LN(2)/2)*GN125+(1-EXP(-LN(2)/2))/(LN(2)/2)*GH126*GK126*VLOOKUP('Données projet'!$B$17,'Paramètres'!$A$1:$I$89,3,0)*0.475*44/12</f>
        <v>0</v>
      </c>
      <c r="GO126" s="142">
        <f t="shared" si="28"/>
        <v>29.82698206</v>
      </c>
      <c r="GP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1" t="str">
        <f>VLOOKUP(A126,'Données projet'!$A$269:$I$289,2,0)</f>
        <v>#N/A</v>
      </c>
      <c r="GS126" s="131" t="str">
        <f>VLOOKUP(A126,'Données projet'!$A$269:$I$289,9,0)</f>
        <v>#N/A</v>
      </c>
      <c r="GT126" s="131" t="str">
        <f t="array" ref="GT126">INDEX(GS:GS,MIN(IF(ISNUMBER(GS126:GS322),ROW(GS126:GS322),"")))</f>
        <v/>
      </c>
      <c r="GU126" s="138">
        <f>IF('Données projet'!$A$270&gt;35,GU125+GT126-HC125,IF(A126&lt;'Données projet'!$A$270,$GR$205^A126,IF(A126='Données projet'!$A$270,'Données projet'!$B$270,GU125+GT126-HC125)))</f>
        <v>0</v>
      </c>
      <c r="GV126" s="138">
        <f>GU126*VLOOKUP('Données projet'!$B$18,'Paramètres'!$A$1:$I$89,3,0)*VLOOKUP('Données projet'!$B$18,'Paramètres'!$A$1:$I$89,5,0)</f>
        <v>0</v>
      </c>
      <c r="GW126" s="130" t="str">
        <f t="shared" si="52"/>
        <v>#NUM!</v>
      </c>
      <c r="GX126" s="141" t="str">
        <f t="shared" si="29"/>
        <v>#NUM!</v>
      </c>
      <c r="GY126" s="133" t="str">
        <f t="shared" si="30"/>
        <v>#NUM!</v>
      </c>
      <c r="GZ126" s="133">
        <f>AVERAGE(OFFSET($GY$3,0,0,'Données projet'!$E$18+1,1))-AVERAGE(OFFSET($H$3,0,0,'Données projet'!$E$18+1,1))</f>
        <v>100.5427875</v>
      </c>
      <c r="HA126" s="133">
        <f t="shared" si="53"/>
        <v>92.28663609</v>
      </c>
      <c r="HB126" s="134">
        <f>IF(ISNA(VLOOKUP(A126,'Données projet'!$A$269:$I$289,3,0)),0,VLOOKUP(A126,'Données projet'!$A$269:$I$289,3,0))</f>
        <v>0</v>
      </c>
      <c r="HC126" s="134">
        <f>IF(ISNA(VLOOKUP(A126,'Données projet'!$A$269:$I$289,4,0)),0,VLOOKUP(A126,'Données projet'!$A$269:$I$289,4,0))</f>
        <v>0</v>
      </c>
      <c r="HD126" s="135">
        <f>IF(ISNA(VLOOKUP(A126,'Données projet'!$A$269:$I$289,5,0)),0%,VLOOKUP(A126,'Données projet'!$A$269:$I$289,5,0)*VLOOKUP('Données projet'!$B$18,'Paramètres'!$A$1:$I$89,7,0))</f>
        <v>0</v>
      </c>
      <c r="HE126" s="135">
        <f>IF(ISNA(VLOOKUP(A126,'Données projet'!$A$269:$I$289,6,0)),0%,VLOOKUP(A126,'Données projet'!$A$269:$I$289,6,0)*VLOOKUP('Données projet'!$B$18,'Paramètres'!$A$1:$I$89,7,0))</f>
        <v>0</v>
      </c>
      <c r="HF126" s="135">
        <f>IF(ISNA(VLOOKUP(A126,'Données projet'!$A$269:$I$289,7,0)),0%,VLOOKUP(A126,'Données projet'!$A$269:$I$289,7,0))</f>
        <v>0</v>
      </c>
      <c r="HG126" s="142">
        <f>EXP(-LN(2)/35)*HG125+(1-EXP(-LN(2)/35))/(LN(2)/35)*HC126*HD126*VLOOKUP('Données projet'!$B$18,'Paramètres'!$A$1:$I$89,3,0)*0.475*44/12</f>
        <v>20.31154555</v>
      </c>
      <c r="HH126" s="142">
        <f>EXP(-LN(2)/25)*HH125+(1-EXP(-LN(2)/25))/(LN(2)/25)*Calculateur!HC126*Calculateur!HE126*VLOOKUP('Données projet'!$B$18,'Paramètres'!$A$1:$I$89,3,0)*0.475*44/12</f>
        <v>0</v>
      </c>
      <c r="HI126" s="142">
        <f>EXP(-LN(2)/2)*HI125+(1-EXP(-LN(2)/2))/(LN(2)/2)*HC126*HF126*VLOOKUP('Données projet'!$B$18,'Paramètres'!$A$1:$I$89,3,0)*0.475*44/12</f>
        <v>0</v>
      </c>
      <c r="HJ126" s="143">
        <f t="shared" si="31"/>
        <v>20.31154555</v>
      </c>
    </row>
    <row r="127" ht="15.75" customHeight="1">
      <c r="A127" s="125">
        <f t="shared" si="32"/>
        <v>124</v>
      </c>
      <c r="B127" s="126">
        <f>'Scénario référence'!$B$16*5+'Scénario référence'!$B$17*0+'Scénario référence'!$B$18*5</f>
        <v>0</v>
      </c>
      <c r="C127" s="140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67.704</v>
      </c>
      <c r="D127" s="127">
        <f t="shared" si="33"/>
        <v>19.10217788</v>
      </c>
      <c r="E12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7">
        <f>IF(OR('Scénario référence'!$F$8&gt;0,'Scénario référence'!$F$9&gt;0),('Scénario référence'!$F$8+'Scénario référence'!$F$9)*10,0)</f>
        <v>10</v>
      </c>
      <c r="G127" s="127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</v>
      </c>
      <c r="H127" s="128">
        <f t="shared" si="1"/>
        <v>444.5207598</v>
      </c>
      <c r="I127" s="12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1" t="str">
        <f>VLOOKUP(A127,'Données projet'!$A$35:$I$55,2,0)</f>
        <v>#N/A</v>
      </c>
      <c r="L127" s="131" t="str">
        <f>VLOOKUP(A127,'Données projet'!$A$35:$I$55,9,0)</f>
        <v>#N/A</v>
      </c>
      <c r="M127" s="131" t="str">
        <f t="array" ref="M127">INDEX(L:L,MIN(IF(ISNUMBER(L127:L323),ROW(L127:L323),"")))</f>
        <v/>
      </c>
      <c r="N127" s="130">
        <f>IF('Données projet'!$A$36&gt;35,N126+M127-V126,IF(A127&lt;'Données projet'!$A$36,$K$205^A127,IF(A127='Données projet'!$A$36,'Données projet'!$B$36,N126+M127-V126)))</f>
        <v>0</v>
      </c>
      <c r="O127" s="130">
        <f>N127*VLOOKUP('Données projet'!$B$9,'Paramètres'!$A$1:$I$89,3,0)*VLOOKUP('Données projet'!$B$9,'Paramètres'!$A$1:$I$89,5,0)</f>
        <v>0</v>
      </c>
      <c r="P127" s="130">
        <f t="shared" si="34"/>
        <v>0</v>
      </c>
      <c r="Q127" s="141">
        <f t="shared" si="2"/>
        <v>0</v>
      </c>
      <c r="R127" s="133">
        <f t="shared" si="3"/>
        <v>293.3333333</v>
      </c>
      <c r="S127" s="133">
        <f>AVERAGE(OFFSET($R$3,0,0,'Données projet'!$E$9+1,1))-AVERAGE(OFFSET($H$3,0,0,'Données projet'!$E$9+1,1))</f>
        <v>126.9946492</v>
      </c>
      <c r="T127" s="133">
        <f t="shared" si="35"/>
        <v>140.039049</v>
      </c>
      <c r="U127" s="134">
        <f>IF(ISNA(VLOOKUP(A127,'Données projet'!$A$35:$I$55,3,0)),0,VLOOKUP(A127,'Données projet'!$A$35:$I$55,3,0))</f>
        <v>0</v>
      </c>
      <c r="V127" s="134">
        <f>IF(ISNA(VLOOKUP(A127,'Données projet'!$A$35:$I$55,4,0)),0,VLOOKUP(A127,'Données projet'!$A$35:$I$55,4,0))</f>
        <v>0</v>
      </c>
      <c r="W127" s="135">
        <f>IF(ISNA(VLOOKUP(A127,'Données projet'!$A$35:$I$55,5,0)),0%,VLOOKUP(A127,'Données projet'!$A$35:$I$55,5,0)*VLOOKUP('Données projet'!$B$9,'Paramètres'!$A$1:$I$89,7,0))</f>
        <v>0</v>
      </c>
      <c r="X127" s="135">
        <f>IF(ISNA(VLOOKUP(A127,'Données projet'!$A$35:$I$55,6,0)),0%,VLOOKUP(A127,'Données projet'!$A$35:$I$55,6,0)*VLOOKUP('Données projet'!$B$9,'Paramètres'!$A$1:$I$89,7,0))</f>
        <v>0</v>
      </c>
      <c r="Y127" s="135">
        <f>IF(ISNA(VLOOKUP(A127,'Données projet'!$A$35:$I$55,7,0)),0%,VLOOKUP(A127,'Données projet'!$A$35:$I$55,7,0))</f>
        <v>0</v>
      </c>
      <c r="Z127" s="142">
        <f>EXP(-LN(2)/35)*Z126+(1-EXP(-LN(2)/35))/(LN(2)/35)*V127*W127*VLOOKUP('Données projet'!$B$9,'Paramètres'!$A$1:$I$89,3,0)*0.475*44/12</f>
        <v>29.90815188</v>
      </c>
      <c r="AA127" s="142">
        <f>EXP(-LN(2)/25)*AA126+(1-EXP(-LN(2)/25))/(LN(2)/25)*Calculateur!V127*Calculateur!X127*VLOOKUP('Données projet'!$B$9,'Paramètres'!$A$1:$I$89,3,0)*0.475*44/12</f>
        <v>3.940706202</v>
      </c>
      <c r="AB127" s="142">
        <f>EXP(-LN(2)/2)*AB126+(1-EXP(-LN(2)/2))/(LN(2)/2)*V127*Y127*VLOOKUP('Données projet'!$B$9,'Paramètres'!$A$1:$I$89,3,0)*0.475*44/12</f>
        <v>0.000000004421307522</v>
      </c>
      <c r="AC127" s="143">
        <f t="shared" si="4"/>
        <v>33.84885809</v>
      </c>
      <c r="AD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1" t="str">
        <f>VLOOKUP(A127,'Données projet'!$A$61:$I$81,2,0)</f>
        <v>#N/A</v>
      </c>
      <c r="AG127" s="131" t="str">
        <f>VLOOKUP(A127,'Données projet'!$A$61:$I$81,9,0)</f>
        <v>#N/A</v>
      </c>
      <c r="AH127" s="131" t="str">
        <f t="array" ref="AH127">INDEX(AG:AG,MIN(IF(ISNUMBER(AG127:AG323),ROW(AG127:AG323),"")))</f>
        <v/>
      </c>
      <c r="AI127" s="130">
        <f>IF('Données projet'!$A$62&gt;35,AI126+AH127-AQ126,IF(A127&lt;'Données projet'!$A$62,$AF$205^A127,IF(A127='Données projet'!$A$62,'Données projet'!$B$62,AI126+AH127-AQ126)))</f>
        <v>0</v>
      </c>
      <c r="AJ127" s="130">
        <f>AI127*VLOOKUP('Données projet'!$B$10,'Paramètres'!$A$1:$I$89,3,0)*VLOOKUP('Données projet'!$B$10,'Paramètres'!$A$1:$I$89,5,0)</f>
        <v>0</v>
      </c>
      <c r="AK127" s="130" t="str">
        <f t="shared" si="36"/>
        <v>#NUM!</v>
      </c>
      <c r="AL127" s="141" t="str">
        <f t="shared" si="5"/>
        <v>#NUM!</v>
      </c>
      <c r="AM127" s="133" t="str">
        <f t="shared" si="6"/>
        <v>#NUM!</v>
      </c>
      <c r="AN127" s="133">
        <f>AVERAGE(OFFSET($AM$3,0,0,'Données projet'!$E$10+1,1))-AVERAGE(OFFSET($H$3,0,0,'Données projet'!$E$10+1,1))</f>
        <v>196.874484</v>
      </c>
      <c r="AO127" s="133">
        <f t="shared" si="37"/>
        <v>217.5750859</v>
      </c>
      <c r="AP127" s="134">
        <f>IF(ISNA(VLOOKUP(A127,'Données projet'!$A$61:$I$81,3,0)),0,VLOOKUP(A127,'Données projet'!$A$61:$I$81,3,0))</f>
        <v>0</v>
      </c>
      <c r="AQ127" s="134">
        <f>IF(ISNA(VLOOKUP(A127,'Données projet'!$A$61:$I$81,4,0)),0,VLOOKUP(A127,'Données projet'!$A$61:$I$81,4,0))</f>
        <v>0</v>
      </c>
      <c r="AR127" s="135">
        <f>IF(ISNA(VLOOKUP(A127,'Données projet'!$A$61:$I$81,5,0)),0%,VLOOKUP(A127,'Données projet'!$A$61:$I$81,5,0)*VLOOKUP('Données projet'!$B$10,'Paramètres'!$A$1:$I$89,7,0))</f>
        <v>0</v>
      </c>
      <c r="AS127" s="135">
        <f>IF(ISNA(VLOOKUP(A127,'Données projet'!$A$61:$I$81,6,0)),0%,VLOOKUP(A127,'Données projet'!$A$61:$I$81,6,0)*VLOOKUP('Données projet'!$B$10,'Paramètres'!$A$1:$I$89,7,0))</f>
        <v>0</v>
      </c>
      <c r="AT127" s="135">
        <f>IF(ISNA(VLOOKUP(A127,'Données projet'!$A$61:$I$81,7,0)),0%,VLOOKUP(A127,'Données projet'!$A$61:$I$81,7,0))</f>
        <v>0</v>
      </c>
      <c r="AU127" s="142">
        <f>EXP(-LN(2)/35)*AU126+(1-EXP(-LN(2)/35))/(LN(2)/35)*AQ127*AR127*VLOOKUP('Données projet'!$B$10,'Paramètres'!$A$1:$I$89,3,0)*0.475*44/12</f>
        <v>41.57148161</v>
      </c>
      <c r="AV127" s="142">
        <f>EXP(-LN(2)/25)*AV126+(1-EXP(-LN(2)/25))/(LN(2)/25)*Calculateur!AQ127*Calculateur!AS127*VLOOKUP('Données projet'!$B$10,'Paramètres'!$A$1:$I$89,3,0)*0.475*44/12</f>
        <v>6.058841051</v>
      </c>
      <c r="AW127" s="142">
        <f>EXP(-LN(2)/2)*AW126+(1-EXP(-LN(2)/2))/(LN(2)/2)*AQ127*AT127*VLOOKUP('Données projet'!$B$10,'Paramètres'!$A$1:$I$89,3,0)*0.475*44/12</f>
        <v>0.000000006164230969</v>
      </c>
      <c r="AX127" s="142">
        <f t="shared" si="7"/>
        <v>47.63032267</v>
      </c>
      <c r="AY127" s="13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1" t="str">
        <f>VLOOKUP(A127,'Données projet'!$A$87:$I$107,2,0)</f>
        <v>#N/A</v>
      </c>
      <c r="BB127" s="131" t="str">
        <f>VLOOKUP(A127,'Données projet'!$A$87:$I$107,9,0)</f>
        <v>#N/A</v>
      </c>
      <c r="BC127" s="131" t="str">
        <f t="array" ref="BC127">INDEX(BB:BB,MIN(IF(ISNUMBER(BB127:BB323),ROW(BB127:BB323),"")))</f>
        <v/>
      </c>
      <c r="BD127" s="130">
        <f>IF('Données projet'!$A$88&gt;35,BD126+BC127-BL126,IF(A127&lt;'Données projet'!$A$88,$BA$205^A127,IF(A127='Données projet'!$A$88,'Données projet'!$B$88,BD126+BC127-BL126)))</f>
        <v>0</v>
      </c>
      <c r="BE127" s="130">
        <f>BD127*VLOOKUP('Données projet'!$B$11,'Paramètres'!$A$1:$I$89,3,0)*VLOOKUP('Données projet'!$B$11,'Paramètres'!$A$1:$I$89,5,0)</f>
        <v>0</v>
      </c>
      <c r="BF127" s="130" t="str">
        <f t="shared" si="38"/>
        <v>#NUM!</v>
      </c>
      <c r="BG127" s="141" t="str">
        <f t="shared" si="8"/>
        <v>#NUM!</v>
      </c>
      <c r="BH127" s="133" t="str">
        <f t="shared" si="9"/>
        <v>#NUM!</v>
      </c>
      <c r="BI127" s="133">
        <f>AVERAGE(OFFSET($BH$3,0,0,'Données projet'!$E$11+1,1))-AVERAGE(OFFSET($H$3,0,0,'Données projet'!$E$11+1,1))</f>
        <v>134.0948534</v>
      </c>
      <c r="BJ127" s="133">
        <f t="shared" si="39"/>
        <v>108.4102536</v>
      </c>
      <c r="BK127" s="134">
        <f>IF(ISNA(VLOOKUP(A127,'Données projet'!$A$87:$I$107,3,0)),0,VLOOKUP(A127,'Données projet'!$A$87:$I$107,3,0))</f>
        <v>0</v>
      </c>
      <c r="BL127" s="134">
        <f>IF(ISNA(VLOOKUP(A127,'Données projet'!$A$87:$I$107,4,0)),0,VLOOKUP(A127,'Données projet'!$A$87:$I$107,4,0))</f>
        <v>0</v>
      </c>
      <c r="BM127" s="135">
        <f>IF(ISNA(VLOOKUP(A127,'Données projet'!$A$87:$I$107,5,0)),0%,VLOOKUP(A127,'Données projet'!$A$87:$I$107,5,0)*VLOOKUP('Données projet'!$B$11,'Paramètres'!$A$1:$I$89,7,0))</f>
        <v>0</v>
      </c>
      <c r="BN127" s="135">
        <f>IF(ISNA(VLOOKUP(A127,'Données projet'!$A$87:$I$107,6,0)),0%,VLOOKUP(A127,'Données projet'!$A$87:$I$107,6,0)*VLOOKUP('Données projet'!$B$11,'Paramètres'!$A$1:$I$89,7,0))</f>
        <v>0</v>
      </c>
      <c r="BO127" s="135">
        <f>IF(ISNA(VLOOKUP(A127,'Données projet'!$A$87:$I$107,7,0)),0%,VLOOKUP(A127,'Données projet'!$A$87:$I$107,7,0))</f>
        <v>0</v>
      </c>
      <c r="BP127" s="142">
        <f>EXP(-LN(2)/35)*BP126+(1-EXP(-LN(2)/35))/(LN(2)/35)*BL127*BM127*VLOOKUP('Données projet'!$B$11,'Paramètres'!$A$1:$I$89,3,0)*0.475*44/12</f>
        <v>57.5011229</v>
      </c>
      <c r="BQ127" s="142">
        <f>EXP(-LN(2)/25)*BQ126+(1-EXP(-LN(2)/25))/(LN(2)/25)*Calculateur!BL127*Calculateur!BN127*VLOOKUP('Données projet'!$B$11,'Paramètres'!$A$1:$I$89,3,0)*0.475*44/12</f>
        <v>3.821922137</v>
      </c>
      <c r="BR127" s="142">
        <f>EXP(-LN(2)/2)*BR126+(1-EXP(-LN(2)/2))/(LN(2)/2)*BL127*BO127*VLOOKUP('Données projet'!$B$11,'Paramètres'!$A$1:$I$89,3,0)*0.475*44/12</f>
        <v>0.00000008222199474</v>
      </c>
      <c r="BS127" s="143">
        <f t="shared" si="10"/>
        <v>61.32304512</v>
      </c>
      <c r="BT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1" t="str">
        <f>VLOOKUP(A127,'Données projet'!$A$113:$I$133,2,0)</f>
        <v>#N/A</v>
      </c>
      <c r="BW127" s="131" t="str">
        <f>VLOOKUP(A127,'Données projet'!$A$113:$I$133,9,0)</f>
        <v>#N/A</v>
      </c>
      <c r="BX127" s="131" t="str">
        <f t="array" ref="BX127">INDEX(BW:BW,MIN(IF(ISNUMBER(BW127:BW323),ROW(BW127:BW323),"")))</f>
        <v/>
      </c>
      <c r="BY127" s="130">
        <f>IF('Données projet'!$A$114&gt;35,BY126+BX127-CG126,IF(A127&lt;'Données projet'!$A$114,$BV$205^A127,IF(A127='Données projet'!$A$114,'Données projet'!$B$114,BY126+BX127-CG126)))</f>
        <v>0</v>
      </c>
      <c r="BZ127" s="130">
        <f>BY127*VLOOKUP('Données projet'!$B$12,'Paramètres'!$A$1:$I$89,3,0)*VLOOKUP('Données projet'!$B$12,'Paramètres'!$A$1:$I$89,5,0)</f>
        <v>0</v>
      </c>
      <c r="CA127" s="130" t="str">
        <f t="shared" si="40"/>
        <v>#NUM!</v>
      </c>
      <c r="CB127" s="141" t="str">
        <f t="shared" si="11"/>
        <v>#NUM!</v>
      </c>
      <c r="CC127" s="133" t="str">
        <f t="shared" si="12"/>
        <v>#NUM!</v>
      </c>
      <c r="CD127" s="133">
        <f>AVERAGE(OFFSET($CC$3,0,0,'Données projet'!$E$12+1,1))-AVERAGE(OFFSET($H$3,0,0,'Données projet'!$E$12+1,1))</f>
        <v>258.1672054</v>
      </c>
      <c r="CE127" s="133">
        <f t="shared" si="41"/>
        <v>296.0724261</v>
      </c>
      <c r="CF127" s="134">
        <f>IF(ISNA(VLOOKUP(A127,'Données projet'!$A$113:$I$133,3,0)),0,VLOOKUP(A127,'Données projet'!$A$113:$I$133,3,0))</f>
        <v>0</v>
      </c>
      <c r="CG127" s="134">
        <f>IF(ISNA(VLOOKUP(A127,'Données projet'!$A$113:$I$133,4,0)),0,VLOOKUP(A127,'Données projet'!$A$113:$I$133,4,0))</f>
        <v>0</v>
      </c>
      <c r="CH127" s="135">
        <f>IF(ISNA(VLOOKUP(A127,'Données projet'!$A$113:$I$133,5,0)),0%,VLOOKUP(A127,'Données projet'!$A$113:$I$133,5,0)*VLOOKUP('Données projet'!$B$12,'Paramètres'!$A$1:$I$89,7,0))</f>
        <v>0</v>
      </c>
      <c r="CI127" s="135">
        <f>IF(ISNA(VLOOKUP(A127,'Données projet'!$A$113:$I$133,6,0)),0%,VLOOKUP(A127,'Données projet'!$A$113:$I$133,6,0)*VLOOKUP('Données projet'!$B$12,'Paramètres'!$A$1:$I$89,7,0))</f>
        <v>0</v>
      </c>
      <c r="CJ127" s="135">
        <f>IF(ISNA(VLOOKUP(A127,'Données projet'!$A$113:$I$133,7,0)),0%,VLOOKUP(A127,'Données projet'!$A$113:$I$133,7,0))</f>
        <v>0</v>
      </c>
      <c r="CK127" s="142">
        <f>EXP(-LN(2)/35)*CK126+(1-EXP(-LN(2)/35))/(LN(2)/35)*CG127*CH127*VLOOKUP('Données projet'!$B$12,'Paramètres'!$A$1:$I$89,3,0)*0.475*44/12</f>
        <v>72.69900965</v>
      </c>
      <c r="CL127" s="142">
        <f>EXP(-LN(2)/25)*CL126+(1-EXP(-LN(2)/25))/(LN(2)/25)*Calculateur!CG127*Calculateur!CI127*VLOOKUP('Données projet'!$B$12,'Paramètres'!$A$1:$I$89,3,0)*0.475*44/12</f>
        <v>6.703868388</v>
      </c>
      <c r="CM127" s="142">
        <f>EXP(-LN(2)/2)*CM126+(1-EXP(-LN(2)/2))/(LN(2)/2)*CG127*CJ127*VLOOKUP('Données projet'!$B$12,'Paramètres'!$A$1:$I$89,3,0)*0.475*44/12</f>
        <v>0.000000003463915591</v>
      </c>
      <c r="CN127" s="143">
        <f t="shared" si="13"/>
        <v>79.40287805</v>
      </c>
      <c r="CO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1" t="str">
        <f>VLOOKUP(A127,'Données projet'!$A$139:$I$159,2,0)</f>
        <v>#N/A</v>
      </c>
      <c r="CR127" s="131" t="str">
        <f>VLOOKUP(A127,'Données projet'!$A$139:$I$159,9,0)</f>
        <v>#N/A</v>
      </c>
      <c r="CS127" s="130">
        <f t="array" ref="CS127">INDEX(CR:CR,MIN(IF(ISNUMBER(CR127:CR323),ROW(CR127:CR323),"")))</f>
        <v>1.1</v>
      </c>
      <c r="CT127" s="138">
        <f>IF('Données projet'!$A$140&gt;35,CT126+CS127-DB126,IF(A127&lt;'Données projet'!$A$140,$CQ$205^A127,IF(A127='Données projet'!$A$140,'Données projet'!$B$140,CT126+CS127-DB126)))</f>
        <v>213.4</v>
      </c>
      <c r="CU127" s="138">
        <f>CT127*VLOOKUP('Données projet'!$B$13,'Paramètres'!$A$1:$I$89,3,0)*VLOOKUP('Données projet'!$B$13,'Paramètres'!$A$1:$I$89,5,0)</f>
        <v>216.3876</v>
      </c>
      <c r="CV127" s="130">
        <f t="shared" si="42"/>
        <v>53.32899349</v>
      </c>
      <c r="CW127" s="141">
        <f t="shared" si="14"/>
        <v>469.7564003</v>
      </c>
      <c r="CX127" s="133">
        <f t="shared" si="15"/>
        <v>763.0897337</v>
      </c>
      <c r="CY127" s="133">
        <f>AVERAGE(OFFSET($CX$3,0,0,'Données projet'!$E$13+1,1))-AVERAGE(OFFSET($H$3,0,0,'Données projet'!$E$13+1,1))</f>
        <v>223.783507</v>
      </c>
      <c r="CZ127" s="133">
        <f t="shared" si="43"/>
        <v>84.92349117</v>
      </c>
      <c r="DA127" s="134">
        <f>IF(ISNA(VLOOKUP(A127,'Données projet'!$A$139:$I$159,3,0)),0,VLOOKUP(A127,'Données projet'!$A$139:$I$159,3,0))</f>
        <v>0</v>
      </c>
      <c r="DB127" s="134">
        <f>IF(ISNA(VLOOKUP(A127,'Données projet'!$A$139:$I$159,4,0)),0,VLOOKUP(A127,'Données projet'!$A$139:$I$159,4,0))</f>
        <v>0</v>
      </c>
      <c r="DC127" s="135">
        <f>IF(ISNA(VLOOKUP(A127,'Données projet'!$A$139:$I$159,5,0)),0%,VLOOKUP(A127,'Données projet'!$A$139:$I$159,5,0)*VLOOKUP('Données projet'!$B$13,'Paramètres'!$A$1:$I$89,7,0))</f>
        <v>0</v>
      </c>
      <c r="DD127" s="135">
        <f>IF(ISNA(VLOOKUP(A127,'Données projet'!$A$139:$I$159,6,0)),0%,VLOOKUP(A127,'Données projet'!$A$139:$I$159,6,0)*VLOOKUP('Données projet'!$B$13,'Paramètres'!$A$1:$I$89,7,0))</f>
        <v>0</v>
      </c>
      <c r="DE127" s="135">
        <f>IF(ISNA(VLOOKUP(A127,'Données projet'!$A$139:$I$159,7,0)),0%,VLOOKUP(A127,'Données projet'!$A$139:$I$159,7,0))</f>
        <v>0</v>
      </c>
      <c r="DF127" s="142">
        <f>EXP(-LN(2)/35)*DF126+(1-EXP(-LN(2)/35))/(LN(2)/35)*DB127*DC127*VLOOKUP('Données projet'!$B$13,'Paramètres'!$A$1:$I$89,3,0)*0.475*44/12</f>
        <v>20.60669616</v>
      </c>
      <c r="DG127" s="142">
        <f>EXP(-LN(2)/25)*DG126+(1-EXP(-LN(2)/25))/(LN(2)/25)*Calculateur!DB127*Calculateur!DD127*VLOOKUP('Données projet'!$B$13,'Paramètres'!$A$1:$I$89,3,0)*0.475*44/12</f>
        <v>0</v>
      </c>
      <c r="DH127" s="142">
        <f>EXP(-LN(2)/2)*DH126+(1-EXP(-LN(2)/2))/(LN(2)/2)*DB127*DE127*VLOOKUP('Données projet'!$B$13,'Paramètres'!$A$1:$I$89,3,0)*0.475*44/12</f>
        <v>0</v>
      </c>
      <c r="DI127" s="143">
        <f t="shared" si="16"/>
        <v>20.60669616</v>
      </c>
      <c r="DJ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1" t="str">
        <f>VLOOKUP(A127,'Données projet'!$A$165:$I$185,2,0)</f>
        <v>#N/A</v>
      </c>
      <c r="DM127" s="131" t="str">
        <f>VLOOKUP(A127,'Données projet'!$A$165:$I$185,9,0)</f>
        <v>#N/A</v>
      </c>
      <c r="DN127" s="131">
        <f t="array" ref="DN127">INDEX(DM:DM,MIN(IF(ISNUMBER(DM127:DM323),ROW(DM127:DM323),"")))</f>
        <v>1.6</v>
      </c>
      <c r="DO127" s="138">
        <f>IF('Données projet'!$A$166&gt;35,DO126+DN127-DW126,IF(A127&lt;'Données projet'!$A$166,$DL$205^A127,IF(A127='Données projet'!$A$166,'Données projet'!$B$166,DO126+DN127-DW126)))</f>
        <v>274.4</v>
      </c>
      <c r="DP127" s="138">
        <f>DO127*VLOOKUP('Données projet'!$B$14,'Paramètres'!$A$1:$I$89,3,0)*VLOOKUP('Données projet'!$B$14,'Paramètres'!$A$1:$I$89,5,0)</f>
        <v>248.27712</v>
      </c>
      <c r="DQ127" s="130">
        <f t="shared" si="44"/>
        <v>60.21686368</v>
      </c>
      <c r="DR127" s="141">
        <f t="shared" si="17"/>
        <v>537.2936882</v>
      </c>
      <c r="DS127" s="133">
        <f t="shared" si="18"/>
        <v>830.6270216</v>
      </c>
      <c r="DT127" s="133">
        <f>AVERAGE(OFFSET($DS$3,0,0,'Données projet'!$E$14+1,1))-AVERAGE(OFFSET($H$3,0,0,'Données projet'!$E$14+1,1))</f>
        <v>287.9334714</v>
      </c>
      <c r="DU127" s="133">
        <f t="shared" si="45"/>
        <v>156.6796502</v>
      </c>
      <c r="DV127" s="134">
        <f>IF(ISNA(VLOOKUP(A127,'Données projet'!$A$165:$I$185,3,0)),0,VLOOKUP(A127,'Données projet'!$A$165:$I$185,3,0))</f>
        <v>0</v>
      </c>
      <c r="DW127" s="134">
        <f>IF(ISNA(VLOOKUP(A127,'Données projet'!$A$165:$I$185,4,0)),0,VLOOKUP(A127,'Données projet'!$A$165:$I$185,4,0))</f>
        <v>0</v>
      </c>
      <c r="DX127" s="135">
        <f>IF(ISNA(VLOOKUP(A127,'Données projet'!$A$165:$I$185,5,0)),0%,VLOOKUP(A127,'Données projet'!$A$165:$I$185,5,0)*VLOOKUP('Données projet'!$B$14,'Paramètres'!$A$1:$I$89,7,0))</f>
        <v>0</v>
      </c>
      <c r="DY127" s="135">
        <f>IF(ISNA(VLOOKUP(A127,'Données projet'!$A$165:$I$185,6,0)),0%,VLOOKUP(A127,'Données projet'!$A$165:$I$185,6,0)*VLOOKUP('Données projet'!$B$14,'Paramètres'!$A$1:$I$89,7,0))</f>
        <v>0</v>
      </c>
      <c r="DZ127" s="135">
        <f>IF(ISNA(VLOOKUP(A127,'Données projet'!$A$165:$I$185,7,0)),0%,VLOOKUP(A127,'Données projet'!$A$165:$I$185,7,0))</f>
        <v>0</v>
      </c>
      <c r="EA127" s="142">
        <f>EXP(-LN(2)/35)*EA126+(1-EXP(-LN(2)/35))/(LN(2)/35)*DW127*DX127*VLOOKUP('Données projet'!$B$14,'Paramètres'!$A$1:$I$89,3,0)*0.475*44/12</f>
        <v>29.72227137</v>
      </c>
      <c r="EB127" s="142">
        <f>EXP(-LN(2)/25)*EB126+(1-EXP(-LN(2)/25))/(LN(2)/25)*Calculateur!DW127*Calculateur!DY127*VLOOKUP('Données projet'!$B$14,'Paramètres'!$A$1:$I$89,3,0)*0.475*44/12</f>
        <v>0</v>
      </c>
      <c r="EC127" s="142">
        <f>EXP(-LN(2)/2)*EC126+(1-EXP(-LN(2)/2))/(LN(2)/2)*DW127*DZ127*VLOOKUP('Données projet'!$B$14,'Paramètres'!$A$1:$I$89,3,0)*0.475*44/12</f>
        <v>0</v>
      </c>
      <c r="ED127" s="143">
        <f t="shared" si="19"/>
        <v>29.72227137</v>
      </c>
      <c r="EE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1" t="str">
        <f>VLOOKUP(A127,'Données projet'!$A$191:$I$211,2,0)</f>
        <v>#N/A</v>
      </c>
      <c r="EH127" s="131" t="str">
        <f>VLOOKUP(A127,'Données projet'!$A$191:$I$211,9,0)</f>
        <v>#N/A</v>
      </c>
      <c r="EI127" s="131" t="str">
        <f t="array" ref="EI127">INDEX(EH:EH,MIN(IF(ISNUMBER(EH127:EH323),ROW(EH127:EH323),"")))</f>
        <v/>
      </c>
      <c r="EJ127" s="138">
        <f>IF('Données projet'!$A$192&gt;35,EJ126+EI127-ER126,IF(A127&lt;'Données projet'!$A$192,$EG$205^A127,IF(A127='Données projet'!$A$192,'Données projet'!$B$192,EJ126+EI127-ER126)))</f>
        <v>0</v>
      </c>
      <c r="EK127" s="138">
        <f>EJ127*VLOOKUP('Données projet'!$B$15,'Paramètres'!$A$1:$I$89,3,0)*VLOOKUP('Données projet'!$B$15,'Paramètres'!$A$1:$I$89,5,0)</f>
        <v>0</v>
      </c>
      <c r="EL127" s="130" t="str">
        <f t="shared" si="46"/>
        <v>#NUM!</v>
      </c>
      <c r="EM127" s="141" t="str">
        <f t="shared" si="20"/>
        <v>#NUM!</v>
      </c>
      <c r="EN127" s="133" t="str">
        <f t="shared" si="21"/>
        <v>#NUM!</v>
      </c>
      <c r="EO127" s="133">
        <f>AVERAGE(OFFSET($EN$3,0,0,'Données projet'!$E$15+1,1))-AVERAGE(OFFSET($H$3,0,0,'Données projet'!$E$15+1,1))</f>
        <v>130.3193339</v>
      </c>
      <c r="EP127" s="133">
        <f t="shared" si="47"/>
        <v>82.22784365</v>
      </c>
      <c r="EQ127" s="134">
        <f>IF(ISNA(VLOOKUP(A127,'Données projet'!$A$191:$I$211,3,0)),0,VLOOKUP(A127,'Données projet'!$A$191:$I$211,3,0))</f>
        <v>0</v>
      </c>
      <c r="ER127" s="134">
        <f>IF(ISNA(VLOOKUP(A127,'Données projet'!$A$191:$I$211,4,0)),0,VLOOKUP(A127,'Données projet'!$A$191:$I$211,4,0))</f>
        <v>0</v>
      </c>
      <c r="ES127" s="135">
        <f>IF(ISNA(VLOOKUP(A127,'Données projet'!$A$191:$I$211,5,0)),0%,VLOOKUP(A127,'Données projet'!$A$191:$I$211,5,0)*VLOOKUP('Données projet'!$B$15,'Paramètres'!$A$1:$I$89,7,0))</f>
        <v>0</v>
      </c>
      <c r="ET127" s="135">
        <f>IF(ISNA(VLOOKUP(A127,'Données projet'!$A$191:$I$211,6,0)),0%,VLOOKUP(A127,'Données projet'!$A$191:$I$211,6,0)*VLOOKUP('Données projet'!$B$15,'Paramètres'!$A$1:$I$89,7,0))</f>
        <v>0</v>
      </c>
      <c r="EU127" s="135">
        <f>IF(ISNA(VLOOKUP(A127,'Données projet'!$A$191:$I$211,7,0)),0%,VLOOKUP(A127,'Données projet'!$A$191:$I$211,7,0))</f>
        <v>0</v>
      </c>
      <c r="EV127" s="142">
        <f>EXP(-LN(2)/35)*EV126+(1-EXP(-LN(2)/35))/(LN(2)/35)*ER127*ES127*VLOOKUP('Données projet'!$B$15,'Paramètres'!$A$1:$I$89,3,0)*0.475*44/12</f>
        <v>44.45394046</v>
      </c>
      <c r="EW127" s="142">
        <f>EXP(-LN(2)/25)*EW126+(1-EXP(-LN(2)/25))/(LN(2)/25)*Calculateur!ER127*Calculateur!ET127*VLOOKUP('Données projet'!$B$15,'Paramètres'!$A$1:$I$89,3,0)*0.475*44/12</f>
        <v>0</v>
      </c>
      <c r="EX127" s="142">
        <f>EXP(-LN(2)/2)*EX126+(1-EXP(-LN(2)/2))/(LN(2)/2)*ER127*EU127*VLOOKUP('Données projet'!$B$15,'Paramètres'!$A$1:$I$89,3,0)*0.475*44/12</f>
        <v>0</v>
      </c>
      <c r="EY127" s="143">
        <f t="shared" si="22"/>
        <v>44.45394046</v>
      </c>
      <c r="EZ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1" t="str">
        <f>VLOOKUP(A127,'Données projet'!$A$217:$I$237,2,0)</f>
        <v>#N/A</v>
      </c>
      <c r="FC127" s="131" t="str">
        <f>VLOOKUP(A127,'Données projet'!$A$217:$I$237,9,0)</f>
        <v>#N/A</v>
      </c>
      <c r="FD127" s="131" t="str">
        <f t="array" ref="FD127">INDEX(FC:FC,MIN(IF(ISNUMBER(FC127:FC323),ROW(FC127:FC323),"")))</f>
        <v/>
      </c>
      <c r="FE127" s="130">
        <f>IF('Données projet'!$A$218&gt;35,FE126+FD127-FM126,IF(A127&lt;'Données projet'!$A$218,$FB$205^A127,IF(A127='Données projet'!$A$218,'Données projet'!$B$218,FE126+FD127-FM126)))</f>
        <v>0</v>
      </c>
      <c r="FF127" s="138">
        <f>FE127*VLOOKUP('Données projet'!$B$16,'Paramètres'!$A$1:$I$89,3,0)*VLOOKUP('Données projet'!$B$16,'Paramètres'!$A$1:$I$89,5,0)</f>
        <v>0</v>
      </c>
      <c r="FG127" s="130">
        <f t="shared" si="48"/>
        <v>0</v>
      </c>
      <c r="FH127" s="141">
        <f t="shared" si="23"/>
        <v>0</v>
      </c>
      <c r="FI127" s="133">
        <f t="shared" si="24"/>
        <v>293.3333333</v>
      </c>
      <c r="FJ127" s="133">
        <f>AVERAGE(OFFSET($FI$3,0,0,'Données projet'!$E$16+1,1))-AVERAGE(OFFSET($H$3,0,0,'Données projet'!$E$16+1,1))</f>
        <v>305.6252353</v>
      </c>
      <c r="FK127" s="133">
        <f t="shared" si="49"/>
        <v>331.397916</v>
      </c>
      <c r="FL127" s="134">
        <f>IF(ISNA(VLOOKUP(A127,'Données projet'!$A$217:$I$237,3,0)),0,VLOOKUP(A127,'Données projet'!$A$217:$I$237,3,0))</f>
        <v>0</v>
      </c>
      <c r="FM127" s="134">
        <f>IF(ISNA(VLOOKUP(A127,'Données projet'!$A$217:$I$237,4,0)),0,VLOOKUP(A127,'Données projet'!$A$217:$I$237,4,0))</f>
        <v>0</v>
      </c>
      <c r="FN127" s="135">
        <f>IF(ISNA(VLOOKUP(A127,'Données projet'!$A$217:$I$237,5,0)),0%,VLOOKUP(A127,'Données projet'!$A$217:$I$237,5,0)*VLOOKUP('Données projet'!$B$16,'Paramètres'!$A$1:$I$89,7,0))</f>
        <v>0</v>
      </c>
      <c r="FO127" s="135">
        <f>IF(ISNA(VLOOKUP(A127,'Données projet'!$A$217:$I$237,6,0)),0%,VLOOKUP(A127,'Données projet'!$A$217:$I$237,6,0)*VLOOKUP('Données projet'!$B$16,'Paramètres'!$A$1:$I$89,7,0))</f>
        <v>0</v>
      </c>
      <c r="FP127" s="135">
        <f>IF(ISNA(VLOOKUP(A127,'Données projet'!$A$217:$I$237,7,0)),0%,VLOOKUP(A127,'Données projet'!$A$217:$I$237,7,0))</f>
        <v>0</v>
      </c>
      <c r="FQ127" s="142">
        <f>EXP(-LN(2)/35)*FQ126+(1-EXP(-LN(2)/35))/(LN(2)/35)*FM127*FN127*VLOOKUP('Données projet'!$B$16,'Paramètres'!$A$1:$I$89,3,0)*0.475*44/12</f>
        <v>27.67835185</v>
      </c>
      <c r="FR127" s="142">
        <f>EXP(-LN(2)/25)*FR126+(1-EXP(-LN(2)/25))/(LN(2)/25)*Calculateur!FM127*Calculateur!FO127*VLOOKUP('Données projet'!$B$16,'Paramètres'!$A$1:$I$89,3,0)*0.475*44/12</f>
        <v>0</v>
      </c>
      <c r="FS127" s="142">
        <f>EXP(-LN(2)/2)*FS126+(1-EXP(-LN(2)/2))/(LN(2)/2)*FM127*FP127*VLOOKUP('Données projet'!$B$16,'Paramètres'!$A$1:$I$89,3,0)*0.475*44/12</f>
        <v>0</v>
      </c>
      <c r="FT127" s="143">
        <f t="shared" si="25"/>
        <v>27.67835185</v>
      </c>
      <c r="FU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1" t="str">
        <f>VLOOKUP(A127,'Données projet'!$A$243:$I$263,2,0)</f>
        <v>#N/A</v>
      </c>
      <c r="FX127" s="131" t="str">
        <f>VLOOKUP(A127,'Données projet'!$A$243:$I$263,9,0)</f>
        <v>#N/A</v>
      </c>
      <c r="FY127" s="131" t="str">
        <f t="array" ref="FY127">INDEX(FX:FX,MIN(IF(ISNUMBER(FX127:FX323),ROW(FX127:FX323),"")))</f>
        <v/>
      </c>
      <c r="FZ127" s="138">
        <f>IF('Données projet'!$A$244&gt;35,FZ126+FY127-GH126,IF(A127&lt;'Données projet'!$A$244,$FW$205^A127,IF(A127='Données projet'!$A$244,'Données projet'!$B$244,FZ126+FY127-GH126)))</f>
        <v>0</v>
      </c>
      <c r="GA127" s="138">
        <f>FZ127*VLOOKUP('Données projet'!$B$17,'Paramètres'!$A$1:$I$89,3,0)*VLOOKUP('Données projet'!$B$17,'Paramètres'!$A$1:$I$89,5,0)</f>
        <v>0</v>
      </c>
      <c r="GB127" s="130">
        <f t="shared" si="50"/>
        <v>0</v>
      </c>
      <c r="GC127" s="141">
        <f t="shared" si="26"/>
        <v>0</v>
      </c>
      <c r="GD127" s="133">
        <f t="shared" si="27"/>
        <v>293.3333333</v>
      </c>
      <c r="GE127" s="133">
        <f>AVERAGE(OFFSET($GD$3,0,0,'Données projet'!$E$17+1,1))-AVERAGE(OFFSET($H$3,0,0,'Données projet'!$E$17+1,1))</f>
        <v>118.7368745</v>
      </c>
      <c r="GF127" s="133">
        <f t="shared" si="51"/>
        <v>135.1233677</v>
      </c>
      <c r="GG127" s="134">
        <f>IF(ISNA(VLOOKUP(A127,'Données projet'!$A$243:$I$263,3,0)),0,VLOOKUP(A127,'Données projet'!$A$243:$I$263,3,0))</f>
        <v>0</v>
      </c>
      <c r="GH127" s="134">
        <f>IF(ISNA(VLOOKUP(A127,'Données projet'!$A$243:$I$263,4,0)),0,VLOOKUP(A127,'Données projet'!$A$243:$I$263,4,0))</f>
        <v>0</v>
      </c>
      <c r="GI127" s="135">
        <f>IF(ISNA(VLOOKUP(A127,'Données projet'!$A$243:$I$263,5,0)),0%,VLOOKUP(A127,'Données projet'!$A$243:$I$263,5,0)*VLOOKUP('Données projet'!$B$17,'Paramètres'!$A$1:$I$89,7,0))</f>
        <v>0</v>
      </c>
      <c r="GJ127" s="135">
        <f>IF(ISNA(VLOOKUP(A127,'Données projet'!$A$243:$I$263,6,0)),0%,VLOOKUP(A127,'Données projet'!$A$243:$I$263,6,0)*VLOOKUP('Données projet'!$B$17,'Paramètres'!$A$1:$I$89,7,0))</f>
        <v>0</v>
      </c>
      <c r="GK127" s="135">
        <f>IF(ISNA(VLOOKUP(A127,'Données projet'!$A$243:$I$263,7,0)),0%,VLOOKUP(A127,'Données projet'!$A$243:$I$263,7,0))</f>
        <v>0</v>
      </c>
      <c r="GL127" s="142">
        <f>EXP(-LN(2)/35)*GL126+(1-EXP(-LN(2)/35))/(LN(2)/35)*GH127*GI127*VLOOKUP('Données projet'!$B$17,'Paramètres'!$A$1:$I$89,3,0)*0.475*44/12</f>
        <v>29.24209313</v>
      </c>
      <c r="GM127" s="142">
        <f>EXP(-LN(2)/25)*GM126+(1-EXP(-LN(2)/25))/(LN(2)/25)*Calculateur!GH127*Calculateur!GJ127*VLOOKUP('Données projet'!$B$17,'Paramètres'!$A$1:$I$89,3,0)*0.475*44/12</f>
        <v>0</v>
      </c>
      <c r="GN127" s="142">
        <f>EXP(-LN(2)/2)*GN126+(1-EXP(-LN(2)/2))/(LN(2)/2)*GH127*GK127*VLOOKUP('Données projet'!$B$17,'Paramètres'!$A$1:$I$89,3,0)*0.475*44/12</f>
        <v>0</v>
      </c>
      <c r="GO127" s="142">
        <f t="shared" si="28"/>
        <v>29.24209313</v>
      </c>
      <c r="GP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1" t="str">
        <f>VLOOKUP(A127,'Données projet'!$A$269:$I$289,2,0)</f>
        <v>#N/A</v>
      </c>
      <c r="GS127" s="131" t="str">
        <f>VLOOKUP(A127,'Données projet'!$A$269:$I$289,9,0)</f>
        <v>#N/A</v>
      </c>
      <c r="GT127" s="131" t="str">
        <f t="array" ref="GT127">INDEX(GS:GS,MIN(IF(ISNUMBER(GS127:GS323),ROW(GS127:GS323),"")))</f>
        <v/>
      </c>
      <c r="GU127" s="138">
        <f>IF('Données projet'!$A$270&gt;35,GU126+GT127-HC126,IF(A127&lt;'Données projet'!$A$270,$GR$205^A127,IF(A127='Données projet'!$A$270,'Données projet'!$B$270,GU126+GT127-HC126)))</f>
        <v>0</v>
      </c>
      <c r="GV127" s="138">
        <f>GU127*VLOOKUP('Données projet'!$B$18,'Paramètres'!$A$1:$I$89,3,0)*VLOOKUP('Données projet'!$B$18,'Paramètres'!$A$1:$I$89,5,0)</f>
        <v>0</v>
      </c>
      <c r="GW127" s="130" t="str">
        <f t="shared" si="52"/>
        <v>#NUM!</v>
      </c>
      <c r="GX127" s="141" t="str">
        <f t="shared" si="29"/>
        <v>#NUM!</v>
      </c>
      <c r="GY127" s="133" t="str">
        <f t="shared" si="30"/>
        <v>#NUM!</v>
      </c>
      <c r="GZ127" s="133">
        <f>AVERAGE(OFFSET($GY$3,0,0,'Données projet'!$E$18+1,1))-AVERAGE(OFFSET($H$3,0,0,'Données projet'!$E$18+1,1))</f>
        <v>100.5427875</v>
      </c>
      <c r="HA127" s="133">
        <f t="shared" si="53"/>
        <v>92.28663609</v>
      </c>
      <c r="HB127" s="134">
        <f>IF(ISNA(VLOOKUP(A127,'Données projet'!$A$269:$I$289,3,0)),0,VLOOKUP(A127,'Données projet'!$A$269:$I$289,3,0))</f>
        <v>0</v>
      </c>
      <c r="HC127" s="134">
        <f>IF(ISNA(VLOOKUP(A127,'Données projet'!$A$269:$I$289,4,0)),0,VLOOKUP(A127,'Données projet'!$A$269:$I$289,4,0))</f>
        <v>0</v>
      </c>
      <c r="HD127" s="135">
        <f>IF(ISNA(VLOOKUP(A127,'Données projet'!$A$269:$I$289,5,0)),0%,VLOOKUP(A127,'Données projet'!$A$269:$I$289,5,0)*VLOOKUP('Données projet'!$B$18,'Paramètres'!$A$1:$I$89,7,0))</f>
        <v>0</v>
      </c>
      <c r="HE127" s="135">
        <f>IF(ISNA(VLOOKUP(A127,'Données projet'!$A$269:$I$289,6,0)),0%,VLOOKUP(A127,'Données projet'!$A$269:$I$289,6,0)*VLOOKUP('Données projet'!$B$18,'Paramètres'!$A$1:$I$89,7,0))</f>
        <v>0</v>
      </c>
      <c r="HF127" s="135">
        <f>IF(ISNA(VLOOKUP(A127,'Données projet'!$A$269:$I$289,7,0)),0%,VLOOKUP(A127,'Données projet'!$A$269:$I$289,7,0))</f>
        <v>0</v>
      </c>
      <c r="HG127" s="142">
        <f>EXP(-LN(2)/35)*HG126+(1-EXP(-LN(2)/35))/(LN(2)/35)*HC127*HD127*VLOOKUP('Données projet'!$B$18,'Paramètres'!$A$1:$I$89,3,0)*0.475*44/12</f>
        <v>19.91324853</v>
      </c>
      <c r="HH127" s="142">
        <f>EXP(-LN(2)/25)*HH126+(1-EXP(-LN(2)/25))/(LN(2)/25)*Calculateur!HC127*Calculateur!HE127*VLOOKUP('Données projet'!$B$18,'Paramètres'!$A$1:$I$89,3,0)*0.475*44/12</f>
        <v>0</v>
      </c>
      <c r="HI127" s="142">
        <f>EXP(-LN(2)/2)*HI126+(1-EXP(-LN(2)/2))/(LN(2)/2)*HC127*HF127*VLOOKUP('Données projet'!$B$18,'Paramètres'!$A$1:$I$89,3,0)*0.475*44/12</f>
        <v>0</v>
      </c>
      <c r="HJ127" s="143">
        <f t="shared" si="31"/>
        <v>19.91324853</v>
      </c>
    </row>
    <row r="128" ht="15.75" customHeight="1">
      <c r="A128" s="125">
        <f t="shared" si="32"/>
        <v>125</v>
      </c>
      <c r="B128" s="126">
        <f>'Scénario référence'!$B$16*5+'Scénario référence'!$B$17*0+'Scénario référence'!$B$18*5</f>
        <v>0</v>
      </c>
      <c r="C128" s="140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68.25</v>
      </c>
      <c r="D128" s="127">
        <f t="shared" si="33"/>
        <v>19.23823261</v>
      </c>
      <c r="E12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7">
        <f>IF(OR('Scénario référence'!$F$8&gt;0,'Scénario référence'!$F$9&gt;0),('Scénario référence'!$F$8+'Scénario référence'!$F$9)*10,0)</f>
        <v>10</v>
      </c>
      <c r="G128" s="127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675.3477605</v>
      </c>
      <c r="H128" s="128">
        <f t="shared" si="1"/>
        <v>445.7086718</v>
      </c>
      <c r="I128" s="12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1" t="str">
        <f>VLOOKUP(A128,'Données projet'!$A$35:$I$55,2,0)</f>
        <v>#N/A</v>
      </c>
      <c r="L128" s="131" t="str">
        <f>VLOOKUP(A128,'Données projet'!$A$35:$I$55,9,0)</f>
        <v>#N/A</v>
      </c>
      <c r="M128" s="131" t="str">
        <f t="array" ref="M128">INDEX(L:L,MIN(IF(ISNUMBER(L128:L324),ROW(L128:L324),"")))</f>
        <v/>
      </c>
      <c r="N128" s="130">
        <f>IF('Données projet'!$A$36&gt;35,N127+M128-V127,IF(A128&lt;'Données projet'!$A$36,$K$205^A128,IF(A128='Données projet'!$A$36,'Données projet'!$B$36,N127+M128-V127)))</f>
        <v>0</v>
      </c>
      <c r="O128" s="130">
        <f>N128*VLOOKUP('Données projet'!$B$9,'Paramètres'!$A$1:$I$89,3,0)*VLOOKUP('Données projet'!$B$9,'Paramètres'!$A$1:$I$89,5,0)</f>
        <v>0</v>
      </c>
      <c r="P128" s="130">
        <f t="shared" si="34"/>
        <v>0</v>
      </c>
      <c r="Q128" s="141">
        <f t="shared" si="2"/>
        <v>0</v>
      </c>
      <c r="R128" s="133">
        <f t="shared" si="3"/>
        <v>293.3333333</v>
      </c>
      <c r="S128" s="133">
        <f>AVERAGE(OFFSET($R$3,0,0,'Données projet'!$E$9+1,1))-AVERAGE(OFFSET($H$3,0,0,'Données projet'!$E$9+1,1))</f>
        <v>126.9946492</v>
      </c>
      <c r="T128" s="133">
        <f t="shared" si="35"/>
        <v>140.039049</v>
      </c>
      <c r="U128" s="134">
        <f>IF(ISNA(VLOOKUP(A128,'Données projet'!$A$35:$I$55,3,0)),0,VLOOKUP(A128,'Données projet'!$A$35:$I$55,3,0))</f>
        <v>0</v>
      </c>
      <c r="V128" s="134">
        <f>IF(ISNA(VLOOKUP(A128,'Données projet'!$A$35:$I$55,4,0)),0,VLOOKUP(A128,'Données projet'!$A$35:$I$55,4,0))</f>
        <v>0</v>
      </c>
      <c r="W128" s="135">
        <f>IF(ISNA(VLOOKUP(A128,'Données projet'!$A$35:$I$55,5,0)),0%,VLOOKUP(A128,'Données projet'!$A$35:$I$55,5,0)*VLOOKUP('Données projet'!$B$9,'Paramètres'!$A$1:$I$89,7,0))</f>
        <v>0</v>
      </c>
      <c r="X128" s="135">
        <f>IF(ISNA(VLOOKUP(A128,'Données projet'!$A$35:$I$55,6,0)),0%,VLOOKUP(A128,'Données projet'!$A$35:$I$55,6,0)*VLOOKUP('Données projet'!$B$9,'Paramètres'!$A$1:$I$89,7,0))</f>
        <v>0</v>
      </c>
      <c r="Y128" s="135">
        <f>IF(ISNA(VLOOKUP(A128,'Données projet'!$A$35:$I$55,7,0)),0%,VLOOKUP(A128,'Données projet'!$A$35:$I$55,7,0))</f>
        <v>0</v>
      </c>
      <c r="Z128" s="142">
        <f>EXP(-LN(2)/35)*Z127+(1-EXP(-LN(2)/35))/(LN(2)/35)*V128*W128*VLOOKUP('Données projet'!$B$9,'Paramètres'!$A$1:$I$89,3,0)*0.475*44/12</f>
        <v>29.32167127</v>
      </c>
      <c r="AA128" s="142">
        <f>EXP(-LN(2)/25)*AA127+(1-EXP(-LN(2)/25))/(LN(2)/25)*Calculateur!V128*Calculateur!X128*VLOOKUP('Données projet'!$B$9,'Paramètres'!$A$1:$I$89,3,0)*0.475*44/12</f>
        <v>3.832947384</v>
      </c>
      <c r="AB128" s="142">
        <f>EXP(-LN(2)/2)*AB127+(1-EXP(-LN(2)/2))/(LN(2)/2)*V128*Y128*VLOOKUP('Données projet'!$B$9,'Paramètres'!$A$1:$I$89,3,0)*0.475*44/12</f>
        <v>0.00000000312633653</v>
      </c>
      <c r="AC128" s="143">
        <f t="shared" si="4"/>
        <v>33.15461865</v>
      </c>
      <c r="AD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1" t="str">
        <f>VLOOKUP(A128,'Données projet'!$A$61:$I$81,2,0)</f>
        <v>#N/A</v>
      </c>
      <c r="AG128" s="131" t="str">
        <f>VLOOKUP(A128,'Données projet'!$A$61:$I$81,9,0)</f>
        <v>#N/A</v>
      </c>
      <c r="AH128" s="131" t="str">
        <f t="array" ref="AH128">INDEX(AG:AG,MIN(IF(ISNUMBER(AG128:AG324),ROW(AG128:AG324),"")))</f>
        <v/>
      </c>
      <c r="AI128" s="130">
        <f>IF('Données projet'!$A$62&gt;35,AI127+AH128-AQ127,IF(A128&lt;'Données projet'!$A$62,$AF$205^A128,IF(A128='Données projet'!$A$62,'Données projet'!$B$62,AI127+AH128-AQ127)))</f>
        <v>0</v>
      </c>
      <c r="AJ128" s="130">
        <f>AI128*VLOOKUP('Données projet'!$B$10,'Paramètres'!$A$1:$I$89,3,0)*VLOOKUP('Données projet'!$B$10,'Paramètres'!$A$1:$I$89,5,0)</f>
        <v>0</v>
      </c>
      <c r="AK128" s="130" t="str">
        <f t="shared" si="36"/>
        <v>#NUM!</v>
      </c>
      <c r="AL128" s="141" t="str">
        <f t="shared" si="5"/>
        <v>#NUM!</v>
      </c>
      <c r="AM128" s="133" t="str">
        <f t="shared" si="6"/>
        <v>#NUM!</v>
      </c>
      <c r="AN128" s="133">
        <f>AVERAGE(OFFSET($AM$3,0,0,'Données projet'!$E$10+1,1))-AVERAGE(OFFSET($H$3,0,0,'Données projet'!$E$10+1,1))</f>
        <v>196.874484</v>
      </c>
      <c r="AO128" s="133">
        <f t="shared" si="37"/>
        <v>217.5750859</v>
      </c>
      <c r="AP128" s="134">
        <f>IF(ISNA(VLOOKUP(A128,'Données projet'!$A$61:$I$81,3,0)),0,VLOOKUP(A128,'Données projet'!$A$61:$I$81,3,0))</f>
        <v>0</v>
      </c>
      <c r="AQ128" s="134">
        <f>IF(ISNA(VLOOKUP(A128,'Données projet'!$A$61:$I$81,4,0)),0,VLOOKUP(A128,'Données projet'!$A$61:$I$81,4,0))</f>
        <v>0</v>
      </c>
      <c r="AR128" s="135">
        <f>IF(ISNA(VLOOKUP(A128,'Données projet'!$A$61:$I$81,5,0)),0%,VLOOKUP(A128,'Données projet'!$A$61:$I$81,5,0)*VLOOKUP('Données projet'!$B$10,'Paramètres'!$A$1:$I$89,7,0))</f>
        <v>0</v>
      </c>
      <c r="AS128" s="135">
        <f>IF(ISNA(VLOOKUP(A128,'Données projet'!$A$61:$I$81,6,0)),0%,VLOOKUP(A128,'Données projet'!$A$61:$I$81,6,0)*VLOOKUP('Données projet'!$B$10,'Paramètres'!$A$1:$I$89,7,0))</f>
        <v>0</v>
      </c>
      <c r="AT128" s="135">
        <f>IF(ISNA(VLOOKUP(A128,'Données projet'!$A$61:$I$81,7,0)),0%,VLOOKUP(A128,'Données projet'!$A$61:$I$81,7,0))</f>
        <v>0</v>
      </c>
      <c r="AU128" s="142">
        <f>EXP(-LN(2)/35)*AU127+(1-EXP(-LN(2)/35))/(LN(2)/35)*AQ128*AR128*VLOOKUP('Données projet'!$B$10,'Paramètres'!$A$1:$I$89,3,0)*0.475*44/12</f>
        <v>40.75629021</v>
      </c>
      <c r="AV128" s="142">
        <f>EXP(-LN(2)/25)*AV127+(1-EXP(-LN(2)/25))/(LN(2)/25)*Calculateur!AQ128*Calculateur!AS128*VLOOKUP('Données projet'!$B$10,'Paramètres'!$A$1:$I$89,3,0)*0.475*44/12</f>
        <v>5.893161723</v>
      </c>
      <c r="AW128" s="142">
        <f>EXP(-LN(2)/2)*AW127+(1-EXP(-LN(2)/2))/(LN(2)/2)*AQ128*AT128*VLOOKUP('Données projet'!$B$10,'Paramètres'!$A$1:$I$89,3,0)*0.475*44/12</f>
        <v>0.000000004358769519</v>
      </c>
      <c r="AX128" s="142">
        <f t="shared" si="7"/>
        <v>46.64945194</v>
      </c>
      <c r="AY128" s="13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1" t="str">
        <f>VLOOKUP(A128,'Données projet'!$A$87:$I$107,2,0)</f>
        <v>#N/A</v>
      </c>
      <c r="BB128" s="131" t="str">
        <f>VLOOKUP(A128,'Données projet'!$A$87:$I$107,9,0)</f>
        <v>#N/A</v>
      </c>
      <c r="BC128" s="131" t="str">
        <f t="array" ref="BC128">INDEX(BB:BB,MIN(IF(ISNUMBER(BB128:BB324),ROW(BB128:BB324),"")))</f>
        <v/>
      </c>
      <c r="BD128" s="130">
        <f>IF('Données projet'!$A$88&gt;35,BD127+BC128-BL127,IF(A128&lt;'Données projet'!$A$88,$BA$205^A128,IF(A128='Données projet'!$A$88,'Données projet'!$B$88,BD127+BC128-BL127)))</f>
        <v>0</v>
      </c>
      <c r="BE128" s="130">
        <f>BD128*VLOOKUP('Données projet'!$B$11,'Paramètres'!$A$1:$I$89,3,0)*VLOOKUP('Données projet'!$B$11,'Paramètres'!$A$1:$I$89,5,0)</f>
        <v>0</v>
      </c>
      <c r="BF128" s="130" t="str">
        <f t="shared" si="38"/>
        <v>#NUM!</v>
      </c>
      <c r="BG128" s="141" t="str">
        <f t="shared" si="8"/>
        <v>#NUM!</v>
      </c>
      <c r="BH128" s="133" t="str">
        <f t="shared" si="9"/>
        <v>#NUM!</v>
      </c>
      <c r="BI128" s="133">
        <f>AVERAGE(OFFSET($BH$3,0,0,'Données projet'!$E$11+1,1))-AVERAGE(OFFSET($H$3,0,0,'Données projet'!$E$11+1,1))</f>
        <v>134.0948534</v>
      </c>
      <c r="BJ128" s="133">
        <f t="shared" si="39"/>
        <v>108.4102536</v>
      </c>
      <c r="BK128" s="134">
        <f>IF(ISNA(VLOOKUP(A128,'Données projet'!$A$87:$I$107,3,0)),0,VLOOKUP(A128,'Données projet'!$A$87:$I$107,3,0))</f>
        <v>0</v>
      </c>
      <c r="BL128" s="134">
        <f>IF(ISNA(VLOOKUP(A128,'Données projet'!$A$87:$I$107,4,0)),0,VLOOKUP(A128,'Données projet'!$A$87:$I$107,4,0))</f>
        <v>0</v>
      </c>
      <c r="BM128" s="135">
        <f>IF(ISNA(VLOOKUP(A128,'Données projet'!$A$87:$I$107,5,0)),0%,VLOOKUP(A128,'Données projet'!$A$87:$I$107,5,0)*VLOOKUP('Données projet'!$B$11,'Paramètres'!$A$1:$I$89,7,0))</f>
        <v>0</v>
      </c>
      <c r="BN128" s="135">
        <f>IF(ISNA(VLOOKUP(A128,'Données projet'!$A$87:$I$107,6,0)),0%,VLOOKUP(A128,'Données projet'!$A$87:$I$107,6,0)*VLOOKUP('Données projet'!$B$11,'Paramètres'!$A$1:$I$89,7,0))</f>
        <v>0</v>
      </c>
      <c r="BO128" s="135">
        <f>IF(ISNA(VLOOKUP(A128,'Données projet'!$A$87:$I$107,7,0)),0%,VLOOKUP(A128,'Données projet'!$A$87:$I$107,7,0))</f>
        <v>0</v>
      </c>
      <c r="BP128" s="142">
        <f>EXP(-LN(2)/35)*BP127+(1-EXP(-LN(2)/35))/(LN(2)/35)*BL128*BM128*VLOOKUP('Données projet'!$B$11,'Paramètres'!$A$1:$I$89,3,0)*0.475*44/12</f>
        <v>56.37356095</v>
      </c>
      <c r="BQ128" s="142">
        <f>EXP(-LN(2)/25)*BQ127+(1-EXP(-LN(2)/25))/(LN(2)/25)*Calculateur!BL128*Calculateur!BN128*VLOOKUP('Données projet'!$B$11,'Paramètres'!$A$1:$I$89,3,0)*0.475*44/12</f>
        <v>3.717411475</v>
      </c>
      <c r="BR128" s="142">
        <f>EXP(-LN(2)/2)*BR127+(1-EXP(-LN(2)/2))/(LN(2)/2)*BL128*BO128*VLOOKUP('Données projet'!$B$11,'Paramètres'!$A$1:$I$89,3,0)*0.475*44/12</f>
        <v>0.00000005813973005</v>
      </c>
      <c r="BS128" s="143">
        <f t="shared" si="10"/>
        <v>60.09097248</v>
      </c>
      <c r="BT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1" t="str">
        <f>VLOOKUP(A128,'Données projet'!$A$113:$I$133,2,0)</f>
        <v>#N/A</v>
      </c>
      <c r="BW128" s="131" t="str">
        <f>VLOOKUP(A128,'Données projet'!$A$113:$I$133,9,0)</f>
        <v>#N/A</v>
      </c>
      <c r="BX128" s="131" t="str">
        <f t="array" ref="BX128">INDEX(BW:BW,MIN(IF(ISNUMBER(BW128:BW324),ROW(BW128:BW324),"")))</f>
        <v/>
      </c>
      <c r="BY128" s="130">
        <f>IF('Données projet'!$A$114&gt;35,BY127+BX128-CG127,IF(A128&lt;'Données projet'!$A$114,$BV$205^A128,IF(A128='Données projet'!$A$114,'Données projet'!$B$114,BY127+BX128-CG127)))</f>
        <v>0</v>
      </c>
      <c r="BZ128" s="130">
        <f>BY128*VLOOKUP('Données projet'!$B$12,'Paramètres'!$A$1:$I$89,3,0)*VLOOKUP('Données projet'!$B$12,'Paramètres'!$A$1:$I$89,5,0)</f>
        <v>0</v>
      </c>
      <c r="CA128" s="130" t="str">
        <f t="shared" si="40"/>
        <v>#NUM!</v>
      </c>
      <c r="CB128" s="141" t="str">
        <f t="shared" si="11"/>
        <v>#NUM!</v>
      </c>
      <c r="CC128" s="133" t="str">
        <f t="shared" si="12"/>
        <v>#NUM!</v>
      </c>
      <c r="CD128" s="133">
        <f>AVERAGE(OFFSET($CC$3,0,0,'Données projet'!$E$12+1,1))-AVERAGE(OFFSET($H$3,0,0,'Données projet'!$E$12+1,1))</f>
        <v>258.1672054</v>
      </c>
      <c r="CE128" s="133">
        <f t="shared" si="41"/>
        <v>296.0724261</v>
      </c>
      <c r="CF128" s="134">
        <f>IF(ISNA(VLOOKUP(A128,'Données projet'!$A$113:$I$133,3,0)),0,VLOOKUP(A128,'Données projet'!$A$113:$I$133,3,0))</f>
        <v>0</v>
      </c>
      <c r="CG128" s="134">
        <f>IF(ISNA(VLOOKUP(A128,'Données projet'!$A$113:$I$133,4,0)),0,VLOOKUP(A128,'Données projet'!$A$113:$I$133,4,0))</f>
        <v>0</v>
      </c>
      <c r="CH128" s="135">
        <f>IF(ISNA(VLOOKUP(A128,'Données projet'!$A$113:$I$133,5,0)),0%,VLOOKUP(A128,'Données projet'!$A$113:$I$133,5,0)*VLOOKUP('Données projet'!$B$12,'Paramètres'!$A$1:$I$89,7,0))</f>
        <v>0</v>
      </c>
      <c r="CI128" s="135">
        <f>IF(ISNA(VLOOKUP(A128,'Données projet'!$A$113:$I$133,6,0)),0%,VLOOKUP(A128,'Données projet'!$A$113:$I$133,6,0)*VLOOKUP('Données projet'!$B$12,'Paramètres'!$A$1:$I$89,7,0))</f>
        <v>0</v>
      </c>
      <c r="CJ128" s="135">
        <f>IF(ISNA(VLOOKUP(A128,'Données projet'!$A$113:$I$133,7,0)),0%,VLOOKUP(A128,'Données projet'!$A$113:$I$133,7,0))</f>
        <v>0</v>
      </c>
      <c r="CK128" s="142">
        <f>EXP(-LN(2)/35)*CK127+(1-EXP(-LN(2)/35))/(LN(2)/35)*CG128*CH128*VLOOKUP('Données projet'!$B$12,'Paramètres'!$A$1:$I$89,3,0)*0.475*44/12</f>
        <v>71.27342642</v>
      </c>
      <c r="CL128" s="142">
        <f>EXP(-LN(2)/25)*CL127+(1-EXP(-LN(2)/25))/(LN(2)/25)*Calculateur!CG128*Calculateur!CI128*VLOOKUP('Données projet'!$B$12,'Paramètres'!$A$1:$I$89,3,0)*0.475*44/12</f>
        <v>6.520550754</v>
      </c>
      <c r="CM128" s="142">
        <f>EXP(-LN(2)/2)*CM127+(1-EXP(-LN(2)/2))/(LN(2)/2)*CG128*CJ128*VLOOKUP('Données projet'!$B$12,'Paramètres'!$A$1:$I$89,3,0)*0.475*44/12</f>
        <v>0.000000002449358204</v>
      </c>
      <c r="CN128" s="143">
        <f t="shared" si="13"/>
        <v>77.79397717</v>
      </c>
      <c r="CO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1" t="str">
        <f>VLOOKUP(A128,'Données projet'!$A$139:$I$159,2,0)</f>
        <v>#N/A</v>
      </c>
      <c r="CR128" s="131" t="str">
        <f>VLOOKUP(A128,'Données projet'!$A$139:$I$159,9,0)</f>
        <v>#N/A</v>
      </c>
      <c r="CS128" s="130">
        <f t="array" ref="CS128">INDEX(CR:CR,MIN(IF(ISNUMBER(CR128:CR324),ROW(CR128:CR324),"")))</f>
        <v>1.1</v>
      </c>
      <c r="CT128" s="138">
        <f>IF('Données projet'!$A$140&gt;35,CT127+CS128-DB127,IF(A128&lt;'Données projet'!$A$140,$CQ$205^A128,IF(A128='Données projet'!$A$140,'Données projet'!$B$140,CT127+CS128-DB127)))</f>
        <v>214.5</v>
      </c>
      <c r="CU128" s="138">
        <f>CT128*VLOOKUP('Données projet'!$B$13,'Paramètres'!$A$1:$I$89,3,0)*VLOOKUP('Données projet'!$B$13,'Paramètres'!$A$1:$I$89,5,0)</f>
        <v>217.503</v>
      </c>
      <c r="CV128" s="130">
        <f t="shared" si="42"/>
        <v>53.57181509</v>
      </c>
      <c r="CW128" s="141">
        <f t="shared" si="14"/>
        <v>472.1219696</v>
      </c>
      <c r="CX128" s="133">
        <f t="shared" si="15"/>
        <v>765.4553029</v>
      </c>
      <c r="CY128" s="133">
        <f>AVERAGE(OFFSET($CX$3,0,0,'Données projet'!$E$13+1,1))-AVERAGE(OFFSET($H$3,0,0,'Données projet'!$E$13+1,1))</f>
        <v>223.783507</v>
      </c>
      <c r="CZ128" s="133">
        <f t="shared" si="43"/>
        <v>84.92349117</v>
      </c>
      <c r="DA128" s="134">
        <f>IF(ISNA(VLOOKUP(A128,'Données projet'!$A$139:$I$159,3,0)),0,VLOOKUP(A128,'Données projet'!$A$139:$I$159,3,0))</f>
        <v>0</v>
      </c>
      <c r="DB128" s="134">
        <f>IF(ISNA(VLOOKUP(A128,'Données projet'!$A$139:$I$159,4,0)),0,VLOOKUP(A128,'Données projet'!$A$139:$I$159,4,0))</f>
        <v>0</v>
      </c>
      <c r="DC128" s="135">
        <f>IF(ISNA(VLOOKUP(A128,'Données projet'!$A$139:$I$159,5,0)),0%,VLOOKUP(A128,'Données projet'!$A$139:$I$159,5,0)*VLOOKUP('Données projet'!$B$13,'Paramètres'!$A$1:$I$89,7,0))</f>
        <v>0</v>
      </c>
      <c r="DD128" s="135">
        <f>IF(ISNA(VLOOKUP(A128,'Données projet'!$A$139:$I$159,6,0)),0%,VLOOKUP(A128,'Données projet'!$A$139:$I$159,6,0)*VLOOKUP('Données projet'!$B$13,'Paramètres'!$A$1:$I$89,7,0))</f>
        <v>0</v>
      </c>
      <c r="DE128" s="135">
        <f>IF(ISNA(VLOOKUP(A128,'Données projet'!$A$139:$I$159,7,0)),0%,VLOOKUP(A128,'Données projet'!$A$139:$I$159,7,0))</f>
        <v>0</v>
      </c>
      <c r="DF128" s="142">
        <f>EXP(-LN(2)/35)*DF127+(1-EXP(-LN(2)/35))/(LN(2)/35)*DB128*DC128*VLOOKUP('Données projet'!$B$13,'Paramètres'!$A$1:$I$89,3,0)*0.475*44/12</f>
        <v>20.20261142</v>
      </c>
      <c r="DG128" s="142">
        <f>EXP(-LN(2)/25)*DG127+(1-EXP(-LN(2)/25))/(LN(2)/25)*Calculateur!DB128*Calculateur!DD128*VLOOKUP('Données projet'!$B$13,'Paramètres'!$A$1:$I$89,3,0)*0.475*44/12</f>
        <v>0</v>
      </c>
      <c r="DH128" s="142">
        <f>EXP(-LN(2)/2)*DH127+(1-EXP(-LN(2)/2))/(LN(2)/2)*DB128*DE128*VLOOKUP('Données projet'!$B$13,'Paramètres'!$A$1:$I$89,3,0)*0.475*44/12</f>
        <v>0</v>
      </c>
      <c r="DI128" s="143">
        <f t="shared" si="16"/>
        <v>20.20261142</v>
      </c>
      <c r="DJ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1" t="str">
        <f>VLOOKUP(A128,'Données projet'!$A$165:$I$185,2,0)</f>
        <v>#N/A</v>
      </c>
      <c r="DM128" s="131" t="str">
        <f>VLOOKUP(A128,'Données projet'!$A$165:$I$185,9,0)</f>
        <v>#N/A</v>
      </c>
      <c r="DN128" s="131">
        <f t="array" ref="DN128">INDEX(DM:DM,MIN(IF(ISNUMBER(DM128:DM324),ROW(DM128:DM324),"")))</f>
        <v>1.6</v>
      </c>
      <c r="DO128" s="138">
        <f>IF('Données projet'!$A$166&gt;35,DO127+DN128-DW127,IF(A128&lt;'Données projet'!$A$166,$DL$205^A128,IF(A128='Données projet'!$A$166,'Données projet'!$B$166,DO127+DN128-DW127)))</f>
        <v>276</v>
      </c>
      <c r="DP128" s="138">
        <f>DO128*VLOOKUP('Données projet'!$B$14,'Paramètres'!$A$1:$I$89,3,0)*VLOOKUP('Données projet'!$B$14,'Paramètres'!$A$1:$I$89,5,0)</f>
        <v>249.7248</v>
      </c>
      <c r="DQ128" s="130">
        <f t="shared" si="44"/>
        <v>60.52700714</v>
      </c>
      <c r="DR128" s="141">
        <f t="shared" si="17"/>
        <v>540.3552308</v>
      </c>
      <c r="DS128" s="133">
        <f t="shared" si="18"/>
        <v>833.6885641</v>
      </c>
      <c r="DT128" s="133">
        <f>AVERAGE(OFFSET($DS$3,0,0,'Données projet'!$E$14+1,1))-AVERAGE(OFFSET($H$3,0,0,'Données projet'!$E$14+1,1))</f>
        <v>287.9334714</v>
      </c>
      <c r="DU128" s="133">
        <f t="shared" si="45"/>
        <v>156.6796502</v>
      </c>
      <c r="DV128" s="134">
        <f>IF(ISNA(VLOOKUP(A128,'Données projet'!$A$165:$I$185,3,0)),0,VLOOKUP(A128,'Données projet'!$A$165:$I$185,3,0))</f>
        <v>0</v>
      </c>
      <c r="DW128" s="134">
        <f>IF(ISNA(VLOOKUP(A128,'Données projet'!$A$165:$I$185,4,0)),0,VLOOKUP(A128,'Données projet'!$A$165:$I$185,4,0))</f>
        <v>0</v>
      </c>
      <c r="DX128" s="135">
        <f>IF(ISNA(VLOOKUP(A128,'Données projet'!$A$165:$I$185,5,0)),0%,VLOOKUP(A128,'Données projet'!$A$165:$I$185,5,0)*VLOOKUP('Données projet'!$B$14,'Paramètres'!$A$1:$I$89,7,0))</f>
        <v>0</v>
      </c>
      <c r="DY128" s="135">
        <f>IF(ISNA(VLOOKUP(A128,'Données projet'!$A$165:$I$185,6,0)),0%,VLOOKUP(A128,'Données projet'!$A$165:$I$185,6,0)*VLOOKUP('Données projet'!$B$14,'Paramètres'!$A$1:$I$89,7,0))</f>
        <v>0</v>
      </c>
      <c r="DZ128" s="135">
        <f>IF(ISNA(VLOOKUP(A128,'Données projet'!$A$165:$I$185,7,0)),0%,VLOOKUP(A128,'Données projet'!$A$165:$I$185,7,0))</f>
        <v>0</v>
      </c>
      <c r="EA128" s="142">
        <f>EXP(-LN(2)/35)*EA127+(1-EXP(-LN(2)/35))/(LN(2)/35)*DW128*DX128*VLOOKUP('Données projet'!$B$14,'Paramètres'!$A$1:$I$89,3,0)*0.475*44/12</f>
        <v>29.13943576</v>
      </c>
      <c r="EB128" s="142">
        <f>EXP(-LN(2)/25)*EB127+(1-EXP(-LN(2)/25))/(LN(2)/25)*Calculateur!DW128*Calculateur!DY128*VLOOKUP('Données projet'!$B$14,'Paramètres'!$A$1:$I$89,3,0)*0.475*44/12</f>
        <v>0</v>
      </c>
      <c r="EC128" s="142">
        <f>EXP(-LN(2)/2)*EC127+(1-EXP(-LN(2)/2))/(LN(2)/2)*DW128*DZ128*VLOOKUP('Données projet'!$B$14,'Paramètres'!$A$1:$I$89,3,0)*0.475*44/12</f>
        <v>0</v>
      </c>
      <c r="ED128" s="143">
        <f t="shared" si="19"/>
        <v>29.13943576</v>
      </c>
      <c r="EE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1" t="str">
        <f>VLOOKUP(A128,'Données projet'!$A$191:$I$211,2,0)</f>
        <v>#N/A</v>
      </c>
      <c r="EH128" s="131" t="str">
        <f>VLOOKUP(A128,'Données projet'!$A$191:$I$211,9,0)</f>
        <v>#N/A</v>
      </c>
      <c r="EI128" s="131" t="str">
        <f t="array" ref="EI128">INDEX(EH:EH,MIN(IF(ISNUMBER(EH128:EH324),ROW(EH128:EH324),"")))</f>
        <v/>
      </c>
      <c r="EJ128" s="138">
        <f>IF('Données projet'!$A$192&gt;35,EJ127+EI128-ER127,IF(A128&lt;'Données projet'!$A$192,$EG$205^A128,IF(A128='Données projet'!$A$192,'Données projet'!$B$192,EJ127+EI128-ER127)))</f>
        <v>0</v>
      </c>
      <c r="EK128" s="138">
        <f>EJ128*VLOOKUP('Données projet'!$B$15,'Paramètres'!$A$1:$I$89,3,0)*VLOOKUP('Données projet'!$B$15,'Paramètres'!$A$1:$I$89,5,0)</f>
        <v>0</v>
      </c>
      <c r="EL128" s="130" t="str">
        <f t="shared" si="46"/>
        <v>#NUM!</v>
      </c>
      <c r="EM128" s="141" t="str">
        <f t="shared" si="20"/>
        <v>#NUM!</v>
      </c>
      <c r="EN128" s="133" t="str">
        <f t="shared" si="21"/>
        <v>#NUM!</v>
      </c>
      <c r="EO128" s="133">
        <f>AVERAGE(OFFSET($EN$3,0,0,'Données projet'!$E$15+1,1))-AVERAGE(OFFSET($H$3,0,0,'Données projet'!$E$15+1,1))</f>
        <v>130.3193339</v>
      </c>
      <c r="EP128" s="133">
        <f t="shared" si="47"/>
        <v>82.22784365</v>
      </c>
      <c r="EQ128" s="134">
        <f>IF(ISNA(VLOOKUP(A128,'Données projet'!$A$191:$I$211,3,0)),0,VLOOKUP(A128,'Données projet'!$A$191:$I$211,3,0))</f>
        <v>0</v>
      </c>
      <c r="ER128" s="134">
        <f>IF(ISNA(VLOOKUP(A128,'Données projet'!$A$191:$I$211,4,0)),0,VLOOKUP(A128,'Données projet'!$A$191:$I$211,4,0))</f>
        <v>0</v>
      </c>
      <c r="ES128" s="135">
        <f>IF(ISNA(VLOOKUP(A128,'Données projet'!$A$191:$I$211,5,0)),0%,VLOOKUP(A128,'Données projet'!$A$191:$I$211,5,0)*VLOOKUP('Données projet'!$B$15,'Paramètres'!$A$1:$I$89,7,0))</f>
        <v>0</v>
      </c>
      <c r="ET128" s="135">
        <f>IF(ISNA(VLOOKUP(A128,'Données projet'!$A$191:$I$211,6,0)),0%,VLOOKUP(A128,'Données projet'!$A$191:$I$211,6,0)*VLOOKUP('Données projet'!$B$15,'Paramètres'!$A$1:$I$89,7,0))</f>
        <v>0</v>
      </c>
      <c r="EU128" s="135">
        <f>IF(ISNA(VLOOKUP(A128,'Données projet'!$A$191:$I$211,7,0)),0%,VLOOKUP(A128,'Données projet'!$A$191:$I$211,7,0))</f>
        <v>0</v>
      </c>
      <c r="EV128" s="142">
        <f>EXP(-LN(2)/35)*EV127+(1-EXP(-LN(2)/35))/(LN(2)/35)*ER128*ES128*VLOOKUP('Données projet'!$B$15,'Paramètres'!$A$1:$I$89,3,0)*0.475*44/12</f>
        <v>43.5822258</v>
      </c>
      <c r="EW128" s="142">
        <f>EXP(-LN(2)/25)*EW127+(1-EXP(-LN(2)/25))/(LN(2)/25)*Calculateur!ER128*Calculateur!ET128*VLOOKUP('Données projet'!$B$15,'Paramètres'!$A$1:$I$89,3,0)*0.475*44/12</f>
        <v>0</v>
      </c>
      <c r="EX128" s="142">
        <f>EXP(-LN(2)/2)*EX127+(1-EXP(-LN(2)/2))/(LN(2)/2)*ER128*EU128*VLOOKUP('Données projet'!$B$15,'Paramètres'!$A$1:$I$89,3,0)*0.475*44/12</f>
        <v>0</v>
      </c>
      <c r="EY128" s="143">
        <f t="shared" si="22"/>
        <v>43.5822258</v>
      </c>
      <c r="EZ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1" t="str">
        <f>VLOOKUP(A128,'Données projet'!$A$217:$I$237,2,0)</f>
        <v>#N/A</v>
      </c>
      <c r="FC128" s="131" t="str">
        <f>VLOOKUP(A128,'Données projet'!$A$217:$I$237,9,0)</f>
        <v>#N/A</v>
      </c>
      <c r="FD128" s="131" t="str">
        <f t="array" ref="FD128">INDEX(FC:FC,MIN(IF(ISNUMBER(FC128:FC324),ROW(FC128:FC324),"")))</f>
        <v/>
      </c>
      <c r="FE128" s="130">
        <f>IF('Données projet'!$A$218&gt;35,FE127+FD128-FM127,IF(A128&lt;'Données projet'!$A$218,$FB$205^A128,IF(A128='Données projet'!$A$218,'Données projet'!$B$218,FE127+FD128-FM127)))</f>
        <v>0</v>
      </c>
      <c r="FF128" s="138">
        <f>FE128*VLOOKUP('Données projet'!$B$16,'Paramètres'!$A$1:$I$89,3,0)*VLOOKUP('Données projet'!$B$16,'Paramètres'!$A$1:$I$89,5,0)</f>
        <v>0</v>
      </c>
      <c r="FG128" s="130">
        <f t="shared" si="48"/>
        <v>0</v>
      </c>
      <c r="FH128" s="141">
        <f t="shared" si="23"/>
        <v>0</v>
      </c>
      <c r="FI128" s="133">
        <f t="shared" si="24"/>
        <v>293.3333333</v>
      </c>
      <c r="FJ128" s="133">
        <f>AVERAGE(OFFSET($FI$3,0,0,'Données projet'!$E$16+1,1))-AVERAGE(OFFSET($H$3,0,0,'Données projet'!$E$16+1,1))</f>
        <v>305.6252353</v>
      </c>
      <c r="FK128" s="133">
        <f t="shared" si="49"/>
        <v>331.397916</v>
      </c>
      <c r="FL128" s="134">
        <f>IF(ISNA(VLOOKUP(A128,'Données projet'!$A$217:$I$237,3,0)),0,VLOOKUP(A128,'Données projet'!$A$217:$I$237,3,0))</f>
        <v>0</v>
      </c>
      <c r="FM128" s="134">
        <f>IF(ISNA(VLOOKUP(A128,'Données projet'!$A$217:$I$237,4,0)),0,VLOOKUP(A128,'Données projet'!$A$217:$I$237,4,0))</f>
        <v>0</v>
      </c>
      <c r="FN128" s="135">
        <f>IF(ISNA(VLOOKUP(A128,'Données projet'!$A$217:$I$237,5,0)),0%,VLOOKUP(A128,'Données projet'!$A$217:$I$237,5,0)*VLOOKUP('Données projet'!$B$16,'Paramètres'!$A$1:$I$89,7,0))</f>
        <v>0</v>
      </c>
      <c r="FO128" s="135">
        <f>IF(ISNA(VLOOKUP(A128,'Données projet'!$A$217:$I$237,6,0)),0%,VLOOKUP(A128,'Données projet'!$A$217:$I$237,6,0)*VLOOKUP('Données projet'!$B$16,'Paramètres'!$A$1:$I$89,7,0))</f>
        <v>0</v>
      </c>
      <c r="FP128" s="135">
        <f>IF(ISNA(VLOOKUP(A128,'Données projet'!$A$217:$I$237,7,0)),0%,VLOOKUP(A128,'Données projet'!$A$217:$I$237,7,0))</f>
        <v>0</v>
      </c>
      <c r="FQ128" s="142">
        <f>EXP(-LN(2)/35)*FQ127+(1-EXP(-LN(2)/35))/(LN(2)/35)*FM128*FN128*VLOOKUP('Données projet'!$B$16,'Paramètres'!$A$1:$I$89,3,0)*0.475*44/12</f>
        <v>27.13559625</v>
      </c>
      <c r="FR128" s="142">
        <f>EXP(-LN(2)/25)*FR127+(1-EXP(-LN(2)/25))/(LN(2)/25)*Calculateur!FM128*Calculateur!FO128*VLOOKUP('Données projet'!$B$16,'Paramètres'!$A$1:$I$89,3,0)*0.475*44/12</f>
        <v>0</v>
      </c>
      <c r="FS128" s="142">
        <f>EXP(-LN(2)/2)*FS127+(1-EXP(-LN(2)/2))/(LN(2)/2)*FM128*FP128*VLOOKUP('Données projet'!$B$16,'Paramètres'!$A$1:$I$89,3,0)*0.475*44/12</f>
        <v>0</v>
      </c>
      <c r="FT128" s="143">
        <f t="shared" si="25"/>
        <v>27.13559625</v>
      </c>
      <c r="FU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1" t="str">
        <f>VLOOKUP(A128,'Données projet'!$A$243:$I$263,2,0)</f>
        <v>#N/A</v>
      </c>
      <c r="FX128" s="131" t="str">
        <f>VLOOKUP(A128,'Données projet'!$A$243:$I$263,9,0)</f>
        <v>#N/A</v>
      </c>
      <c r="FY128" s="131" t="str">
        <f t="array" ref="FY128">INDEX(FX:FX,MIN(IF(ISNUMBER(FX128:FX324),ROW(FX128:FX324),"")))</f>
        <v/>
      </c>
      <c r="FZ128" s="138">
        <f>IF('Données projet'!$A$244&gt;35,FZ127+FY128-GH127,IF(A128&lt;'Données projet'!$A$244,$FW$205^A128,IF(A128='Données projet'!$A$244,'Données projet'!$B$244,FZ127+FY128-GH127)))</f>
        <v>0</v>
      </c>
      <c r="GA128" s="138">
        <f>FZ128*VLOOKUP('Données projet'!$B$17,'Paramètres'!$A$1:$I$89,3,0)*VLOOKUP('Données projet'!$B$17,'Paramètres'!$A$1:$I$89,5,0)</f>
        <v>0</v>
      </c>
      <c r="GB128" s="130">
        <f t="shared" si="50"/>
        <v>0</v>
      </c>
      <c r="GC128" s="141">
        <f t="shared" si="26"/>
        <v>0</v>
      </c>
      <c r="GD128" s="133">
        <f t="shared" si="27"/>
        <v>293.3333333</v>
      </c>
      <c r="GE128" s="133">
        <f>AVERAGE(OFFSET($GD$3,0,0,'Données projet'!$E$17+1,1))-AVERAGE(OFFSET($H$3,0,0,'Données projet'!$E$17+1,1))</f>
        <v>118.7368745</v>
      </c>
      <c r="GF128" s="133">
        <f t="shared" si="51"/>
        <v>135.1233677</v>
      </c>
      <c r="GG128" s="134">
        <f>IF(ISNA(VLOOKUP(A128,'Données projet'!$A$243:$I$263,3,0)),0,VLOOKUP(A128,'Données projet'!$A$243:$I$263,3,0))</f>
        <v>0</v>
      </c>
      <c r="GH128" s="134">
        <f>IF(ISNA(VLOOKUP(A128,'Données projet'!$A$243:$I$263,4,0)),0,VLOOKUP(A128,'Données projet'!$A$243:$I$263,4,0))</f>
        <v>0</v>
      </c>
      <c r="GI128" s="135">
        <f>IF(ISNA(VLOOKUP(A128,'Données projet'!$A$243:$I$263,5,0)),0%,VLOOKUP(A128,'Données projet'!$A$243:$I$263,5,0)*VLOOKUP('Données projet'!$B$17,'Paramètres'!$A$1:$I$89,7,0))</f>
        <v>0</v>
      </c>
      <c r="GJ128" s="135">
        <f>IF(ISNA(VLOOKUP(A128,'Données projet'!$A$243:$I$263,6,0)),0%,VLOOKUP(A128,'Données projet'!$A$243:$I$263,6,0)*VLOOKUP('Données projet'!$B$17,'Paramètres'!$A$1:$I$89,7,0))</f>
        <v>0</v>
      </c>
      <c r="GK128" s="135">
        <f>IF(ISNA(VLOOKUP(A128,'Données projet'!$A$243:$I$263,7,0)),0%,VLOOKUP(A128,'Données projet'!$A$243:$I$263,7,0))</f>
        <v>0</v>
      </c>
      <c r="GL128" s="142">
        <f>EXP(-LN(2)/35)*GL127+(1-EXP(-LN(2)/35))/(LN(2)/35)*GH128*GI128*VLOOKUP('Données projet'!$B$17,'Paramètres'!$A$1:$I$89,3,0)*0.475*44/12</f>
        <v>28.66867352</v>
      </c>
      <c r="GM128" s="142">
        <f>EXP(-LN(2)/25)*GM127+(1-EXP(-LN(2)/25))/(LN(2)/25)*Calculateur!GH128*Calculateur!GJ128*VLOOKUP('Données projet'!$B$17,'Paramètres'!$A$1:$I$89,3,0)*0.475*44/12</f>
        <v>0</v>
      </c>
      <c r="GN128" s="142">
        <f>EXP(-LN(2)/2)*GN127+(1-EXP(-LN(2)/2))/(LN(2)/2)*GH128*GK128*VLOOKUP('Données projet'!$B$17,'Paramètres'!$A$1:$I$89,3,0)*0.475*44/12</f>
        <v>0</v>
      </c>
      <c r="GO128" s="142">
        <f t="shared" si="28"/>
        <v>28.66867352</v>
      </c>
      <c r="GP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1" t="str">
        <f>VLOOKUP(A128,'Données projet'!$A$269:$I$289,2,0)</f>
        <v>#N/A</v>
      </c>
      <c r="GS128" s="131" t="str">
        <f>VLOOKUP(A128,'Données projet'!$A$269:$I$289,9,0)</f>
        <v>#N/A</v>
      </c>
      <c r="GT128" s="131" t="str">
        <f t="array" ref="GT128">INDEX(GS:GS,MIN(IF(ISNUMBER(GS128:GS324),ROW(GS128:GS324),"")))</f>
        <v/>
      </c>
      <c r="GU128" s="138">
        <f>IF('Données projet'!$A$270&gt;35,GU127+GT128-HC127,IF(A128&lt;'Données projet'!$A$270,$GR$205^A128,IF(A128='Données projet'!$A$270,'Données projet'!$B$270,GU127+GT128-HC127)))</f>
        <v>0</v>
      </c>
      <c r="GV128" s="138">
        <f>GU128*VLOOKUP('Données projet'!$B$18,'Paramètres'!$A$1:$I$89,3,0)*VLOOKUP('Données projet'!$B$18,'Paramètres'!$A$1:$I$89,5,0)</f>
        <v>0</v>
      </c>
      <c r="GW128" s="130" t="str">
        <f t="shared" si="52"/>
        <v>#NUM!</v>
      </c>
      <c r="GX128" s="141" t="str">
        <f t="shared" si="29"/>
        <v>#NUM!</v>
      </c>
      <c r="GY128" s="133" t="str">
        <f t="shared" si="30"/>
        <v>#NUM!</v>
      </c>
      <c r="GZ128" s="133">
        <f>AVERAGE(OFFSET($GY$3,0,0,'Données projet'!$E$18+1,1))-AVERAGE(OFFSET($H$3,0,0,'Données projet'!$E$18+1,1))</f>
        <v>100.5427875</v>
      </c>
      <c r="HA128" s="133">
        <f t="shared" si="53"/>
        <v>92.28663609</v>
      </c>
      <c r="HB128" s="134">
        <f>IF(ISNA(VLOOKUP(A128,'Données projet'!$A$269:$I$289,3,0)),0,VLOOKUP(A128,'Données projet'!$A$269:$I$289,3,0))</f>
        <v>0</v>
      </c>
      <c r="HC128" s="134">
        <f>IF(ISNA(VLOOKUP(A128,'Données projet'!$A$269:$I$289,4,0)),0,VLOOKUP(A128,'Données projet'!$A$269:$I$289,4,0))</f>
        <v>0</v>
      </c>
      <c r="HD128" s="135">
        <f>IF(ISNA(VLOOKUP(A128,'Données projet'!$A$269:$I$289,5,0)),0%,VLOOKUP(A128,'Données projet'!$A$269:$I$289,5,0)*VLOOKUP('Données projet'!$B$18,'Paramètres'!$A$1:$I$89,7,0))</f>
        <v>0</v>
      </c>
      <c r="HE128" s="135">
        <f>IF(ISNA(VLOOKUP(A128,'Données projet'!$A$269:$I$289,6,0)),0%,VLOOKUP(A128,'Données projet'!$A$269:$I$289,6,0)*VLOOKUP('Données projet'!$B$18,'Paramètres'!$A$1:$I$89,7,0))</f>
        <v>0</v>
      </c>
      <c r="HF128" s="135">
        <f>IF(ISNA(VLOOKUP(A128,'Données projet'!$A$269:$I$289,7,0)),0%,VLOOKUP(A128,'Données projet'!$A$269:$I$289,7,0))</f>
        <v>0</v>
      </c>
      <c r="HG128" s="142">
        <f>EXP(-LN(2)/35)*HG127+(1-EXP(-LN(2)/35))/(LN(2)/35)*HC128*HD128*VLOOKUP('Données projet'!$B$18,'Paramètres'!$A$1:$I$89,3,0)*0.475*44/12</f>
        <v>19.52276187</v>
      </c>
      <c r="HH128" s="142">
        <f>EXP(-LN(2)/25)*HH127+(1-EXP(-LN(2)/25))/(LN(2)/25)*Calculateur!HC128*Calculateur!HE128*VLOOKUP('Données projet'!$B$18,'Paramètres'!$A$1:$I$89,3,0)*0.475*44/12</f>
        <v>0</v>
      </c>
      <c r="HI128" s="142">
        <f>EXP(-LN(2)/2)*HI127+(1-EXP(-LN(2)/2))/(LN(2)/2)*HC128*HF128*VLOOKUP('Données projet'!$B$18,'Paramètres'!$A$1:$I$89,3,0)*0.475*44/12</f>
        <v>0</v>
      </c>
      <c r="HJ128" s="143">
        <f t="shared" si="31"/>
        <v>19.52276187</v>
      </c>
    </row>
    <row r="129" ht="15.75" customHeight="1">
      <c r="A129" s="125">
        <f t="shared" si="32"/>
        <v>126</v>
      </c>
      <c r="B129" s="126">
        <f>'Scénario référence'!$B$16*5+'Scénario référence'!$B$17*0+'Scénario référence'!$B$18*5</f>
        <v>0</v>
      </c>
      <c r="C129" s="140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68.796</v>
      </c>
      <c r="D129" s="127">
        <f t="shared" si="33"/>
        <v>19.3741607</v>
      </c>
      <c r="E12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7">
        <f>IF(OR('Scénario référence'!$F$8&gt;0,'Scénario référence'!$F$9&gt;0),('Scénario référence'!$F$8+'Scénario référence'!$F$9)*10,0)</f>
        <v>10</v>
      </c>
      <c r="G129" s="127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680.6117668</v>
      </c>
      <c r="H129" s="128">
        <f t="shared" si="1"/>
        <v>446.8963632</v>
      </c>
      <c r="I129" s="12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1" t="str">
        <f>VLOOKUP(A129,'Données projet'!$A$35:$I$55,2,0)</f>
        <v>#N/A</v>
      </c>
      <c r="L129" s="131" t="str">
        <f>VLOOKUP(A129,'Données projet'!$A$35:$I$55,9,0)</f>
        <v>#N/A</v>
      </c>
      <c r="M129" s="131" t="str">
        <f t="array" ref="M129">INDEX(L:L,MIN(IF(ISNUMBER(L129:L325),ROW(L129:L325),"")))</f>
        <v/>
      </c>
      <c r="N129" s="130">
        <f>IF('Données projet'!$A$36&gt;35,N128+M129-V128,IF(A129&lt;'Données projet'!$A$36,$K$205^A129,IF(A129='Données projet'!$A$36,'Données projet'!$B$36,N128+M129-V128)))</f>
        <v>0</v>
      </c>
      <c r="O129" s="130">
        <f>N129*VLOOKUP('Données projet'!$B$9,'Paramètres'!$A$1:$I$89,3,0)*VLOOKUP('Données projet'!$B$9,'Paramètres'!$A$1:$I$89,5,0)</f>
        <v>0</v>
      </c>
      <c r="P129" s="130">
        <f t="shared" si="34"/>
        <v>0</v>
      </c>
      <c r="Q129" s="141">
        <f t="shared" si="2"/>
        <v>0</v>
      </c>
      <c r="R129" s="133">
        <f t="shared" si="3"/>
        <v>293.3333333</v>
      </c>
      <c r="S129" s="133">
        <f>AVERAGE(OFFSET($R$3,0,0,'Données projet'!$E$9+1,1))-AVERAGE(OFFSET($H$3,0,0,'Données projet'!$E$9+1,1))</f>
        <v>126.9946492</v>
      </c>
      <c r="T129" s="133">
        <f t="shared" si="35"/>
        <v>140.039049</v>
      </c>
      <c r="U129" s="134">
        <f>IF(ISNA(VLOOKUP(A129,'Données projet'!$A$35:$I$55,3,0)),0,VLOOKUP(A129,'Données projet'!$A$35:$I$55,3,0))</f>
        <v>0</v>
      </c>
      <c r="V129" s="134">
        <f>IF(ISNA(VLOOKUP(A129,'Données projet'!$A$35:$I$55,4,0)),0,VLOOKUP(A129,'Données projet'!$A$35:$I$55,4,0))</f>
        <v>0</v>
      </c>
      <c r="W129" s="135">
        <f>IF(ISNA(VLOOKUP(A129,'Données projet'!$A$35:$I$55,5,0)),0%,VLOOKUP(A129,'Données projet'!$A$35:$I$55,5,0)*VLOOKUP('Données projet'!$B$9,'Paramètres'!$A$1:$I$89,7,0))</f>
        <v>0</v>
      </c>
      <c r="X129" s="135">
        <f>IF(ISNA(VLOOKUP(A129,'Données projet'!$A$35:$I$55,6,0)),0%,VLOOKUP(A129,'Données projet'!$A$35:$I$55,6,0)*VLOOKUP('Données projet'!$B$9,'Paramètres'!$A$1:$I$89,7,0))</f>
        <v>0</v>
      </c>
      <c r="Y129" s="135">
        <f>IF(ISNA(VLOOKUP(A129,'Données projet'!$A$35:$I$55,7,0)),0%,VLOOKUP(A129,'Données projet'!$A$35:$I$55,7,0))</f>
        <v>0</v>
      </c>
      <c r="Z129" s="142">
        <f>EXP(-LN(2)/35)*Z128+(1-EXP(-LN(2)/35))/(LN(2)/35)*V129*W129*VLOOKUP('Données projet'!$B$9,'Paramètres'!$A$1:$I$89,3,0)*0.475*44/12</f>
        <v>28.74669118</v>
      </c>
      <c r="AA129" s="142">
        <f>EXP(-LN(2)/25)*AA128+(1-EXP(-LN(2)/25))/(LN(2)/25)*Calculateur!V129*Calculateur!X129*VLOOKUP('Données projet'!$B$9,'Paramètres'!$A$1:$I$89,3,0)*0.475*44/12</f>
        <v>3.728135236</v>
      </c>
      <c r="AB129" s="142">
        <f>EXP(-LN(2)/2)*AB128+(1-EXP(-LN(2)/2))/(LN(2)/2)*V129*Y129*VLOOKUP('Données projet'!$B$9,'Paramètres'!$A$1:$I$89,3,0)*0.475*44/12</f>
        <v>0.000000002210653761</v>
      </c>
      <c r="AC129" s="143">
        <f t="shared" si="4"/>
        <v>32.47482642</v>
      </c>
      <c r="AD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1" t="str">
        <f>VLOOKUP(A129,'Données projet'!$A$61:$I$81,2,0)</f>
        <v>#N/A</v>
      </c>
      <c r="AG129" s="131" t="str">
        <f>VLOOKUP(A129,'Données projet'!$A$61:$I$81,9,0)</f>
        <v>#N/A</v>
      </c>
      <c r="AH129" s="131" t="str">
        <f t="array" ref="AH129">INDEX(AG:AG,MIN(IF(ISNUMBER(AG129:AG325),ROW(AG129:AG325),"")))</f>
        <v/>
      </c>
      <c r="AI129" s="130">
        <f>IF('Données projet'!$A$62&gt;35,AI128+AH129-AQ128,IF(A129&lt;'Données projet'!$A$62,$AF$205^A129,IF(A129='Données projet'!$A$62,'Données projet'!$B$62,AI128+AH129-AQ128)))</f>
        <v>0</v>
      </c>
      <c r="AJ129" s="130">
        <f>AI129*VLOOKUP('Données projet'!$B$10,'Paramètres'!$A$1:$I$89,3,0)*VLOOKUP('Données projet'!$B$10,'Paramètres'!$A$1:$I$89,5,0)</f>
        <v>0</v>
      </c>
      <c r="AK129" s="130" t="str">
        <f t="shared" si="36"/>
        <v>#NUM!</v>
      </c>
      <c r="AL129" s="141" t="str">
        <f t="shared" si="5"/>
        <v>#NUM!</v>
      </c>
      <c r="AM129" s="133" t="str">
        <f t="shared" si="6"/>
        <v>#NUM!</v>
      </c>
      <c r="AN129" s="133">
        <f>AVERAGE(OFFSET($AM$3,0,0,'Données projet'!$E$10+1,1))-AVERAGE(OFFSET($H$3,0,0,'Données projet'!$E$10+1,1))</f>
        <v>196.874484</v>
      </c>
      <c r="AO129" s="133">
        <f t="shared" si="37"/>
        <v>217.5750859</v>
      </c>
      <c r="AP129" s="134">
        <f>IF(ISNA(VLOOKUP(A129,'Données projet'!$A$61:$I$81,3,0)),0,VLOOKUP(A129,'Données projet'!$A$61:$I$81,3,0))</f>
        <v>0</v>
      </c>
      <c r="AQ129" s="134">
        <f>IF(ISNA(VLOOKUP(A129,'Données projet'!$A$61:$I$81,4,0)),0,VLOOKUP(A129,'Données projet'!$A$61:$I$81,4,0))</f>
        <v>0</v>
      </c>
      <c r="AR129" s="135">
        <f>IF(ISNA(VLOOKUP(A129,'Données projet'!$A$61:$I$81,5,0)),0%,VLOOKUP(A129,'Données projet'!$A$61:$I$81,5,0)*VLOOKUP('Données projet'!$B$10,'Paramètres'!$A$1:$I$89,7,0))</f>
        <v>0</v>
      </c>
      <c r="AS129" s="135">
        <f>IF(ISNA(VLOOKUP(A129,'Données projet'!$A$61:$I$81,6,0)),0%,VLOOKUP(A129,'Données projet'!$A$61:$I$81,6,0)*VLOOKUP('Données projet'!$B$10,'Paramètres'!$A$1:$I$89,7,0))</f>
        <v>0</v>
      </c>
      <c r="AT129" s="135">
        <f>IF(ISNA(VLOOKUP(A129,'Données projet'!$A$61:$I$81,7,0)),0%,VLOOKUP(A129,'Données projet'!$A$61:$I$81,7,0))</f>
        <v>0</v>
      </c>
      <c r="AU129" s="142">
        <f>EXP(-LN(2)/35)*AU128+(1-EXP(-LN(2)/35))/(LN(2)/35)*AQ129*AR129*VLOOKUP('Données projet'!$B$10,'Paramètres'!$A$1:$I$89,3,0)*0.475*44/12</f>
        <v>39.95708422</v>
      </c>
      <c r="AV129" s="142">
        <f>EXP(-LN(2)/25)*AV128+(1-EXP(-LN(2)/25))/(LN(2)/25)*Calculateur!AQ129*Calculateur!AS129*VLOOKUP('Données projet'!$B$10,'Paramètres'!$A$1:$I$89,3,0)*0.475*44/12</f>
        <v>5.732012906</v>
      </c>
      <c r="AW129" s="142">
        <f>EXP(-LN(2)/2)*AW128+(1-EXP(-LN(2)/2))/(LN(2)/2)*AQ129*AT129*VLOOKUP('Données projet'!$B$10,'Paramètres'!$A$1:$I$89,3,0)*0.475*44/12</f>
        <v>0.000000003082115485</v>
      </c>
      <c r="AX129" s="142">
        <f t="shared" si="7"/>
        <v>45.68909713</v>
      </c>
      <c r="AY129" s="13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1" t="str">
        <f>VLOOKUP(A129,'Données projet'!$A$87:$I$107,2,0)</f>
        <v>#N/A</v>
      </c>
      <c r="BB129" s="131" t="str">
        <f>VLOOKUP(A129,'Données projet'!$A$87:$I$107,9,0)</f>
        <v>#N/A</v>
      </c>
      <c r="BC129" s="131" t="str">
        <f t="array" ref="BC129">INDEX(BB:BB,MIN(IF(ISNUMBER(BB129:BB325),ROW(BB129:BB325),"")))</f>
        <v/>
      </c>
      <c r="BD129" s="130">
        <f>IF('Données projet'!$A$88&gt;35,BD128+BC129-BL128,IF(A129&lt;'Données projet'!$A$88,$BA$205^A129,IF(A129='Données projet'!$A$88,'Données projet'!$B$88,BD128+BC129-BL128)))</f>
        <v>0</v>
      </c>
      <c r="BE129" s="130">
        <f>BD129*VLOOKUP('Données projet'!$B$11,'Paramètres'!$A$1:$I$89,3,0)*VLOOKUP('Données projet'!$B$11,'Paramètres'!$A$1:$I$89,5,0)</f>
        <v>0</v>
      </c>
      <c r="BF129" s="130" t="str">
        <f t="shared" si="38"/>
        <v>#NUM!</v>
      </c>
      <c r="BG129" s="141" t="str">
        <f t="shared" si="8"/>
        <v>#NUM!</v>
      </c>
      <c r="BH129" s="133" t="str">
        <f t="shared" si="9"/>
        <v>#NUM!</v>
      </c>
      <c r="BI129" s="133">
        <f>AVERAGE(OFFSET($BH$3,0,0,'Données projet'!$E$11+1,1))-AVERAGE(OFFSET($H$3,0,0,'Données projet'!$E$11+1,1))</f>
        <v>134.0948534</v>
      </c>
      <c r="BJ129" s="133">
        <f t="shared" si="39"/>
        <v>108.4102536</v>
      </c>
      <c r="BK129" s="134">
        <f>IF(ISNA(VLOOKUP(A129,'Données projet'!$A$87:$I$107,3,0)),0,VLOOKUP(A129,'Données projet'!$A$87:$I$107,3,0))</f>
        <v>0</v>
      </c>
      <c r="BL129" s="134">
        <f>IF(ISNA(VLOOKUP(A129,'Données projet'!$A$87:$I$107,4,0)),0,VLOOKUP(A129,'Données projet'!$A$87:$I$107,4,0))</f>
        <v>0</v>
      </c>
      <c r="BM129" s="135">
        <f>IF(ISNA(VLOOKUP(A129,'Données projet'!$A$87:$I$107,5,0)),0%,VLOOKUP(A129,'Données projet'!$A$87:$I$107,5,0)*VLOOKUP('Données projet'!$B$11,'Paramètres'!$A$1:$I$89,7,0))</f>
        <v>0</v>
      </c>
      <c r="BN129" s="135">
        <f>IF(ISNA(VLOOKUP(A129,'Données projet'!$A$87:$I$107,6,0)),0%,VLOOKUP(A129,'Données projet'!$A$87:$I$107,6,0)*VLOOKUP('Données projet'!$B$11,'Paramètres'!$A$1:$I$89,7,0))</f>
        <v>0</v>
      </c>
      <c r="BO129" s="135">
        <f>IF(ISNA(VLOOKUP(A129,'Données projet'!$A$87:$I$107,7,0)),0%,VLOOKUP(A129,'Données projet'!$A$87:$I$107,7,0))</f>
        <v>0</v>
      </c>
      <c r="BP129" s="142">
        <f>EXP(-LN(2)/35)*BP128+(1-EXP(-LN(2)/35))/(LN(2)/35)*BL129*BM129*VLOOKUP('Données projet'!$B$11,'Paramètres'!$A$1:$I$89,3,0)*0.475*44/12</f>
        <v>55.2681098</v>
      </c>
      <c r="BQ129" s="142">
        <f>EXP(-LN(2)/25)*BQ128+(1-EXP(-LN(2)/25))/(LN(2)/25)*Calculateur!BL129*Calculateur!BN129*VLOOKUP('Données projet'!$B$11,'Paramètres'!$A$1:$I$89,3,0)*0.475*44/12</f>
        <v>3.615758663</v>
      </c>
      <c r="BR129" s="142">
        <f>EXP(-LN(2)/2)*BR128+(1-EXP(-LN(2)/2))/(LN(2)/2)*BL129*BO129*VLOOKUP('Données projet'!$B$11,'Paramètres'!$A$1:$I$89,3,0)*0.475*44/12</f>
        <v>0.00000004111099737</v>
      </c>
      <c r="BS129" s="143">
        <f t="shared" si="10"/>
        <v>58.88386851</v>
      </c>
      <c r="BT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1" t="str">
        <f>VLOOKUP(A129,'Données projet'!$A$113:$I$133,2,0)</f>
        <v>#N/A</v>
      </c>
      <c r="BW129" s="131" t="str">
        <f>VLOOKUP(A129,'Données projet'!$A$113:$I$133,9,0)</f>
        <v>#N/A</v>
      </c>
      <c r="BX129" s="131" t="str">
        <f t="array" ref="BX129">INDEX(BW:BW,MIN(IF(ISNUMBER(BW129:BW325),ROW(BW129:BW325),"")))</f>
        <v/>
      </c>
      <c r="BY129" s="130">
        <f>IF('Données projet'!$A$114&gt;35,BY128+BX129-CG128,IF(A129&lt;'Données projet'!$A$114,$BV$205^A129,IF(A129='Données projet'!$A$114,'Données projet'!$B$114,BY128+BX129-CG128)))</f>
        <v>0</v>
      </c>
      <c r="BZ129" s="130">
        <f>BY129*VLOOKUP('Données projet'!$B$12,'Paramètres'!$A$1:$I$89,3,0)*VLOOKUP('Données projet'!$B$12,'Paramètres'!$A$1:$I$89,5,0)</f>
        <v>0</v>
      </c>
      <c r="CA129" s="130" t="str">
        <f t="shared" si="40"/>
        <v>#NUM!</v>
      </c>
      <c r="CB129" s="141" t="str">
        <f t="shared" si="11"/>
        <v>#NUM!</v>
      </c>
      <c r="CC129" s="133" t="str">
        <f t="shared" si="12"/>
        <v>#NUM!</v>
      </c>
      <c r="CD129" s="133">
        <f>AVERAGE(OFFSET($CC$3,0,0,'Données projet'!$E$12+1,1))-AVERAGE(OFFSET($H$3,0,0,'Données projet'!$E$12+1,1))</f>
        <v>258.1672054</v>
      </c>
      <c r="CE129" s="133">
        <f t="shared" si="41"/>
        <v>296.0724261</v>
      </c>
      <c r="CF129" s="134">
        <f>IF(ISNA(VLOOKUP(A129,'Données projet'!$A$113:$I$133,3,0)),0,VLOOKUP(A129,'Données projet'!$A$113:$I$133,3,0))</f>
        <v>0</v>
      </c>
      <c r="CG129" s="134">
        <f>IF(ISNA(VLOOKUP(A129,'Données projet'!$A$113:$I$133,4,0)),0,VLOOKUP(A129,'Données projet'!$A$113:$I$133,4,0))</f>
        <v>0</v>
      </c>
      <c r="CH129" s="135">
        <f>IF(ISNA(VLOOKUP(A129,'Données projet'!$A$113:$I$133,5,0)),0%,VLOOKUP(A129,'Données projet'!$A$113:$I$133,5,0)*VLOOKUP('Données projet'!$B$12,'Paramètres'!$A$1:$I$89,7,0))</f>
        <v>0</v>
      </c>
      <c r="CI129" s="135">
        <f>IF(ISNA(VLOOKUP(A129,'Données projet'!$A$113:$I$133,6,0)),0%,VLOOKUP(A129,'Données projet'!$A$113:$I$133,6,0)*VLOOKUP('Données projet'!$B$12,'Paramètres'!$A$1:$I$89,7,0))</f>
        <v>0</v>
      </c>
      <c r="CJ129" s="135">
        <f>IF(ISNA(VLOOKUP(A129,'Données projet'!$A$113:$I$133,7,0)),0%,VLOOKUP(A129,'Données projet'!$A$113:$I$133,7,0))</f>
        <v>0</v>
      </c>
      <c r="CK129" s="142">
        <f>EXP(-LN(2)/35)*CK128+(1-EXP(-LN(2)/35))/(LN(2)/35)*CG129*CH129*VLOOKUP('Données projet'!$B$12,'Paramètres'!$A$1:$I$89,3,0)*0.475*44/12</f>
        <v>69.875798</v>
      </c>
      <c r="CL129" s="142">
        <f>EXP(-LN(2)/25)*CL128+(1-EXP(-LN(2)/25))/(LN(2)/25)*Calculateur!CG129*Calculateur!CI129*VLOOKUP('Données projet'!$B$12,'Paramètres'!$A$1:$I$89,3,0)*0.475*44/12</f>
        <v>6.342245951</v>
      </c>
      <c r="CM129" s="142">
        <f>EXP(-LN(2)/2)*CM128+(1-EXP(-LN(2)/2))/(LN(2)/2)*CG129*CJ129*VLOOKUP('Données projet'!$B$12,'Paramètres'!$A$1:$I$89,3,0)*0.475*44/12</f>
        <v>0.000000001731957796</v>
      </c>
      <c r="CN129" s="143">
        <f t="shared" si="13"/>
        <v>76.21804395</v>
      </c>
      <c r="CO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1" t="str">
        <f>VLOOKUP(A129,'Données projet'!$A$139:$I$159,2,0)</f>
        <v>#N/A</v>
      </c>
      <c r="CR129" s="131" t="str">
        <f>VLOOKUP(A129,'Données projet'!$A$139:$I$159,9,0)</f>
        <v>#N/A</v>
      </c>
      <c r="CS129" s="130">
        <f t="array" ref="CS129">INDEX(CR:CR,MIN(IF(ISNUMBER(CR129:CR325),ROW(CR129:CR325),"")))</f>
        <v>1.1</v>
      </c>
      <c r="CT129" s="138">
        <f>IF('Données projet'!$A$140&gt;35,CT128+CS129-DB128,IF(A129&lt;'Données projet'!$A$140,$CQ$205^A129,IF(A129='Données projet'!$A$140,'Données projet'!$B$140,CT128+CS129-DB128)))</f>
        <v>215.6</v>
      </c>
      <c r="CU129" s="138">
        <f>CT129*VLOOKUP('Données projet'!$B$13,'Paramètres'!$A$1:$I$89,3,0)*VLOOKUP('Données projet'!$B$13,'Paramètres'!$A$1:$I$89,5,0)</f>
        <v>218.6184</v>
      </c>
      <c r="CV129" s="130">
        <f t="shared" si="42"/>
        <v>53.81449178</v>
      </c>
      <c r="CW129" s="141">
        <f t="shared" si="14"/>
        <v>474.4872865</v>
      </c>
      <c r="CX129" s="133">
        <f t="shared" si="15"/>
        <v>767.8206198</v>
      </c>
      <c r="CY129" s="133">
        <f>AVERAGE(OFFSET($CX$3,0,0,'Données projet'!$E$13+1,1))-AVERAGE(OFFSET($H$3,0,0,'Données projet'!$E$13+1,1))</f>
        <v>223.783507</v>
      </c>
      <c r="CZ129" s="133">
        <f t="shared" si="43"/>
        <v>84.92349117</v>
      </c>
      <c r="DA129" s="134">
        <f>IF(ISNA(VLOOKUP(A129,'Données projet'!$A$139:$I$159,3,0)),0,VLOOKUP(A129,'Données projet'!$A$139:$I$159,3,0))</f>
        <v>0</v>
      </c>
      <c r="DB129" s="134">
        <f>IF(ISNA(VLOOKUP(A129,'Données projet'!$A$139:$I$159,4,0)),0,VLOOKUP(A129,'Données projet'!$A$139:$I$159,4,0))</f>
        <v>0</v>
      </c>
      <c r="DC129" s="135">
        <f>IF(ISNA(VLOOKUP(A129,'Données projet'!$A$139:$I$159,5,0)),0%,VLOOKUP(A129,'Données projet'!$A$139:$I$159,5,0)*VLOOKUP('Données projet'!$B$13,'Paramètres'!$A$1:$I$89,7,0))</f>
        <v>0</v>
      </c>
      <c r="DD129" s="135">
        <f>IF(ISNA(VLOOKUP(A129,'Données projet'!$A$139:$I$159,6,0)),0%,VLOOKUP(A129,'Données projet'!$A$139:$I$159,6,0)*VLOOKUP('Données projet'!$B$13,'Paramètres'!$A$1:$I$89,7,0))</f>
        <v>0</v>
      </c>
      <c r="DE129" s="135">
        <f>IF(ISNA(VLOOKUP(A129,'Données projet'!$A$139:$I$159,7,0)),0%,VLOOKUP(A129,'Données projet'!$A$139:$I$159,7,0))</f>
        <v>0</v>
      </c>
      <c r="DF129" s="142">
        <f>EXP(-LN(2)/35)*DF128+(1-EXP(-LN(2)/35))/(LN(2)/35)*DB129*DC129*VLOOKUP('Données projet'!$B$13,'Paramètres'!$A$1:$I$89,3,0)*0.475*44/12</f>
        <v>19.80645053</v>
      </c>
      <c r="DG129" s="142">
        <f>EXP(-LN(2)/25)*DG128+(1-EXP(-LN(2)/25))/(LN(2)/25)*Calculateur!DB129*Calculateur!DD129*VLOOKUP('Données projet'!$B$13,'Paramètres'!$A$1:$I$89,3,0)*0.475*44/12</f>
        <v>0</v>
      </c>
      <c r="DH129" s="142">
        <f>EXP(-LN(2)/2)*DH128+(1-EXP(-LN(2)/2))/(LN(2)/2)*DB129*DE129*VLOOKUP('Données projet'!$B$13,'Paramètres'!$A$1:$I$89,3,0)*0.475*44/12</f>
        <v>0</v>
      </c>
      <c r="DI129" s="143">
        <f t="shared" si="16"/>
        <v>19.80645053</v>
      </c>
      <c r="DJ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1" t="str">
        <f>VLOOKUP(A129,'Données projet'!$A$165:$I$185,2,0)</f>
        <v>#N/A</v>
      </c>
      <c r="DM129" s="131" t="str">
        <f>VLOOKUP(A129,'Données projet'!$A$165:$I$185,9,0)</f>
        <v>#N/A</v>
      </c>
      <c r="DN129" s="131">
        <f t="array" ref="DN129">INDEX(DM:DM,MIN(IF(ISNUMBER(DM129:DM325),ROW(DM129:DM325),"")))</f>
        <v>1.6</v>
      </c>
      <c r="DO129" s="138">
        <f>IF('Données projet'!$A$166&gt;35,DO128+DN129-DW128,IF(A129&lt;'Données projet'!$A$166,$DL$205^A129,IF(A129='Données projet'!$A$166,'Données projet'!$B$166,DO128+DN129-DW128)))</f>
        <v>277.6</v>
      </c>
      <c r="DP129" s="138">
        <f>DO129*VLOOKUP('Données projet'!$B$14,'Paramètres'!$A$1:$I$89,3,0)*VLOOKUP('Données projet'!$B$14,'Paramètres'!$A$1:$I$89,5,0)</f>
        <v>251.17248</v>
      </c>
      <c r="DQ129" s="130">
        <f t="shared" si="44"/>
        <v>60.83694139</v>
      </c>
      <c r="DR129" s="141">
        <f t="shared" si="17"/>
        <v>543.4164089</v>
      </c>
      <c r="DS129" s="133">
        <f t="shared" si="18"/>
        <v>836.7497422</v>
      </c>
      <c r="DT129" s="133">
        <f>AVERAGE(OFFSET($DS$3,0,0,'Données projet'!$E$14+1,1))-AVERAGE(OFFSET($H$3,0,0,'Données projet'!$E$14+1,1))</f>
        <v>287.9334714</v>
      </c>
      <c r="DU129" s="133">
        <f t="shared" si="45"/>
        <v>156.6796502</v>
      </c>
      <c r="DV129" s="134">
        <f>IF(ISNA(VLOOKUP(A129,'Données projet'!$A$165:$I$185,3,0)),0,VLOOKUP(A129,'Données projet'!$A$165:$I$185,3,0))</f>
        <v>0</v>
      </c>
      <c r="DW129" s="134">
        <f>IF(ISNA(VLOOKUP(A129,'Données projet'!$A$165:$I$185,4,0)),0,VLOOKUP(A129,'Données projet'!$A$165:$I$185,4,0))</f>
        <v>0</v>
      </c>
      <c r="DX129" s="135">
        <f>IF(ISNA(VLOOKUP(A129,'Données projet'!$A$165:$I$185,5,0)),0%,VLOOKUP(A129,'Données projet'!$A$165:$I$185,5,0)*VLOOKUP('Données projet'!$B$14,'Paramètres'!$A$1:$I$89,7,0))</f>
        <v>0</v>
      </c>
      <c r="DY129" s="135">
        <f>IF(ISNA(VLOOKUP(A129,'Données projet'!$A$165:$I$185,6,0)),0%,VLOOKUP(A129,'Données projet'!$A$165:$I$185,6,0)*VLOOKUP('Données projet'!$B$14,'Paramètres'!$A$1:$I$89,7,0))</f>
        <v>0</v>
      </c>
      <c r="DZ129" s="135">
        <f>IF(ISNA(VLOOKUP(A129,'Données projet'!$A$165:$I$185,7,0)),0%,VLOOKUP(A129,'Données projet'!$A$165:$I$185,7,0))</f>
        <v>0</v>
      </c>
      <c r="EA129" s="142">
        <f>EXP(-LN(2)/35)*EA128+(1-EXP(-LN(2)/35))/(LN(2)/35)*DW129*DX129*VLOOKUP('Données projet'!$B$14,'Paramètres'!$A$1:$I$89,3,0)*0.475*44/12</f>
        <v>28.5680292</v>
      </c>
      <c r="EB129" s="142">
        <f>EXP(-LN(2)/25)*EB128+(1-EXP(-LN(2)/25))/(LN(2)/25)*Calculateur!DW129*Calculateur!DY129*VLOOKUP('Données projet'!$B$14,'Paramètres'!$A$1:$I$89,3,0)*0.475*44/12</f>
        <v>0</v>
      </c>
      <c r="EC129" s="142">
        <f>EXP(-LN(2)/2)*EC128+(1-EXP(-LN(2)/2))/(LN(2)/2)*DW129*DZ129*VLOOKUP('Données projet'!$B$14,'Paramètres'!$A$1:$I$89,3,0)*0.475*44/12</f>
        <v>0</v>
      </c>
      <c r="ED129" s="143">
        <f t="shared" si="19"/>
        <v>28.5680292</v>
      </c>
      <c r="EE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1" t="str">
        <f>VLOOKUP(A129,'Données projet'!$A$191:$I$211,2,0)</f>
        <v>#N/A</v>
      </c>
      <c r="EH129" s="131" t="str">
        <f>VLOOKUP(A129,'Données projet'!$A$191:$I$211,9,0)</f>
        <v>#N/A</v>
      </c>
      <c r="EI129" s="131" t="str">
        <f t="array" ref="EI129">INDEX(EH:EH,MIN(IF(ISNUMBER(EH129:EH325),ROW(EH129:EH325),"")))</f>
        <v/>
      </c>
      <c r="EJ129" s="138">
        <f>IF('Données projet'!$A$192&gt;35,EJ128+EI129-ER128,IF(A129&lt;'Données projet'!$A$192,$EG$205^A129,IF(A129='Données projet'!$A$192,'Données projet'!$B$192,EJ128+EI129-ER128)))</f>
        <v>0</v>
      </c>
      <c r="EK129" s="138">
        <f>EJ129*VLOOKUP('Données projet'!$B$15,'Paramètres'!$A$1:$I$89,3,0)*VLOOKUP('Données projet'!$B$15,'Paramètres'!$A$1:$I$89,5,0)</f>
        <v>0</v>
      </c>
      <c r="EL129" s="130" t="str">
        <f t="shared" si="46"/>
        <v>#NUM!</v>
      </c>
      <c r="EM129" s="141" t="str">
        <f t="shared" si="20"/>
        <v>#NUM!</v>
      </c>
      <c r="EN129" s="133" t="str">
        <f t="shared" si="21"/>
        <v>#NUM!</v>
      </c>
      <c r="EO129" s="133">
        <f>AVERAGE(OFFSET($EN$3,0,0,'Données projet'!$E$15+1,1))-AVERAGE(OFFSET($H$3,0,0,'Données projet'!$E$15+1,1))</f>
        <v>130.3193339</v>
      </c>
      <c r="EP129" s="133">
        <f t="shared" si="47"/>
        <v>82.22784365</v>
      </c>
      <c r="EQ129" s="134">
        <f>IF(ISNA(VLOOKUP(A129,'Données projet'!$A$191:$I$211,3,0)),0,VLOOKUP(A129,'Données projet'!$A$191:$I$211,3,0))</f>
        <v>0</v>
      </c>
      <c r="ER129" s="134">
        <f>IF(ISNA(VLOOKUP(A129,'Données projet'!$A$191:$I$211,4,0)),0,VLOOKUP(A129,'Données projet'!$A$191:$I$211,4,0))</f>
        <v>0</v>
      </c>
      <c r="ES129" s="135">
        <f>IF(ISNA(VLOOKUP(A129,'Données projet'!$A$191:$I$211,5,0)),0%,VLOOKUP(A129,'Données projet'!$A$191:$I$211,5,0)*VLOOKUP('Données projet'!$B$15,'Paramètres'!$A$1:$I$89,7,0))</f>
        <v>0</v>
      </c>
      <c r="ET129" s="135">
        <f>IF(ISNA(VLOOKUP(A129,'Données projet'!$A$191:$I$211,6,0)),0%,VLOOKUP(A129,'Données projet'!$A$191:$I$211,6,0)*VLOOKUP('Données projet'!$B$15,'Paramètres'!$A$1:$I$89,7,0))</f>
        <v>0</v>
      </c>
      <c r="EU129" s="135">
        <f>IF(ISNA(VLOOKUP(A129,'Données projet'!$A$191:$I$211,7,0)),0%,VLOOKUP(A129,'Données projet'!$A$191:$I$211,7,0))</f>
        <v>0</v>
      </c>
      <c r="EV129" s="142">
        <f>EXP(-LN(2)/35)*EV128+(1-EXP(-LN(2)/35))/(LN(2)/35)*ER129*ES129*VLOOKUP('Données projet'!$B$15,'Paramètres'!$A$1:$I$89,3,0)*0.475*44/12</f>
        <v>42.72760494</v>
      </c>
      <c r="EW129" s="142">
        <f>EXP(-LN(2)/25)*EW128+(1-EXP(-LN(2)/25))/(LN(2)/25)*Calculateur!ER129*Calculateur!ET129*VLOOKUP('Données projet'!$B$15,'Paramètres'!$A$1:$I$89,3,0)*0.475*44/12</f>
        <v>0</v>
      </c>
      <c r="EX129" s="142">
        <f>EXP(-LN(2)/2)*EX128+(1-EXP(-LN(2)/2))/(LN(2)/2)*ER129*EU129*VLOOKUP('Données projet'!$B$15,'Paramètres'!$A$1:$I$89,3,0)*0.475*44/12</f>
        <v>0</v>
      </c>
      <c r="EY129" s="143">
        <f t="shared" si="22"/>
        <v>42.72760494</v>
      </c>
      <c r="EZ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1" t="str">
        <f>VLOOKUP(A129,'Données projet'!$A$217:$I$237,2,0)</f>
        <v>#N/A</v>
      </c>
      <c r="FC129" s="131" t="str">
        <f>VLOOKUP(A129,'Données projet'!$A$217:$I$237,9,0)</f>
        <v>#N/A</v>
      </c>
      <c r="FD129" s="131" t="str">
        <f t="array" ref="FD129">INDEX(FC:FC,MIN(IF(ISNUMBER(FC129:FC325),ROW(FC129:FC325),"")))</f>
        <v/>
      </c>
      <c r="FE129" s="130">
        <f>IF('Données projet'!$A$218&gt;35,FE128+FD129-FM128,IF(A129&lt;'Données projet'!$A$218,$FB$205^A129,IF(A129='Données projet'!$A$218,'Données projet'!$B$218,FE128+FD129-FM128)))</f>
        <v>0</v>
      </c>
      <c r="FF129" s="138">
        <f>FE129*VLOOKUP('Données projet'!$B$16,'Paramètres'!$A$1:$I$89,3,0)*VLOOKUP('Données projet'!$B$16,'Paramètres'!$A$1:$I$89,5,0)</f>
        <v>0</v>
      </c>
      <c r="FG129" s="130">
        <f t="shared" si="48"/>
        <v>0</v>
      </c>
      <c r="FH129" s="141">
        <f t="shared" si="23"/>
        <v>0</v>
      </c>
      <c r="FI129" s="133">
        <f t="shared" si="24"/>
        <v>293.3333333</v>
      </c>
      <c r="FJ129" s="133">
        <f>AVERAGE(OFFSET($FI$3,0,0,'Données projet'!$E$16+1,1))-AVERAGE(OFFSET($H$3,0,0,'Données projet'!$E$16+1,1))</f>
        <v>305.6252353</v>
      </c>
      <c r="FK129" s="133">
        <f t="shared" si="49"/>
        <v>331.397916</v>
      </c>
      <c r="FL129" s="134">
        <f>IF(ISNA(VLOOKUP(A129,'Données projet'!$A$217:$I$237,3,0)),0,VLOOKUP(A129,'Données projet'!$A$217:$I$237,3,0))</f>
        <v>0</v>
      </c>
      <c r="FM129" s="134">
        <f>IF(ISNA(VLOOKUP(A129,'Données projet'!$A$217:$I$237,4,0)),0,VLOOKUP(A129,'Données projet'!$A$217:$I$237,4,0))</f>
        <v>0</v>
      </c>
      <c r="FN129" s="135">
        <f>IF(ISNA(VLOOKUP(A129,'Données projet'!$A$217:$I$237,5,0)),0%,VLOOKUP(A129,'Données projet'!$A$217:$I$237,5,0)*VLOOKUP('Données projet'!$B$16,'Paramètres'!$A$1:$I$89,7,0))</f>
        <v>0</v>
      </c>
      <c r="FO129" s="135">
        <f>IF(ISNA(VLOOKUP(A129,'Données projet'!$A$217:$I$237,6,0)),0%,VLOOKUP(A129,'Données projet'!$A$217:$I$237,6,0)*VLOOKUP('Données projet'!$B$16,'Paramètres'!$A$1:$I$89,7,0))</f>
        <v>0</v>
      </c>
      <c r="FP129" s="135">
        <f>IF(ISNA(VLOOKUP(A129,'Données projet'!$A$217:$I$237,7,0)),0%,VLOOKUP(A129,'Données projet'!$A$217:$I$237,7,0))</f>
        <v>0</v>
      </c>
      <c r="FQ129" s="142">
        <f>EXP(-LN(2)/35)*FQ128+(1-EXP(-LN(2)/35))/(LN(2)/35)*FM129*FN129*VLOOKUP('Données projet'!$B$16,'Paramètres'!$A$1:$I$89,3,0)*0.475*44/12</f>
        <v>26.60348376</v>
      </c>
      <c r="FR129" s="142">
        <f>EXP(-LN(2)/25)*FR128+(1-EXP(-LN(2)/25))/(LN(2)/25)*Calculateur!FM129*Calculateur!FO129*VLOOKUP('Données projet'!$B$16,'Paramètres'!$A$1:$I$89,3,0)*0.475*44/12</f>
        <v>0</v>
      </c>
      <c r="FS129" s="142">
        <f>EXP(-LN(2)/2)*FS128+(1-EXP(-LN(2)/2))/(LN(2)/2)*FM129*FP129*VLOOKUP('Données projet'!$B$16,'Paramètres'!$A$1:$I$89,3,0)*0.475*44/12</f>
        <v>0</v>
      </c>
      <c r="FT129" s="143">
        <f t="shared" si="25"/>
        <v>26.60348376</v>
      </c>
      <c r="FU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1" t="str">
        <f>VLOOKUP(A129,'Données projet'!$A$243:$I$263,2,0)</f>
        <v>#N/A</v>
      </c>
      <c r="FX129" s="131" t="str">
        <f>VLOOKUP(A129,'Données projet'!$A$243:$I$263,9,0)</f>
        <v>#N/A</v>
      </c>
      <c r="FY129" s="131" t="str">
        <f t="array" ref="FY129">INDEX(FX:FX,MIN(IF(ISNUMBER(FX129:FX325),ROW(FX129:FX325),"")))</f>
        <v/>
      </c>
      <c r="FZ129" s="138">
        <f>IF('Données projet'!$A$244&gt;35,FZ128+FY129-GH128,IF(A129&lt;'Données projet'!$A$244,$FW$205^A129,IF(A129='Données projet'!$A$244,'Données projet'!$B$244,FZ128+FY129-GH128)))</f>
        <v>0</v>
      </c>
      <c r="GA129" s="138">
        <f>FZ129*VLOOKUP('Données projet'!$B$17,'Paramètres'!$A$1:$I$89,3,0)*VLOOKUP('Données projet'!$B$17,'Paramètres'!$A$1:$I$89,5,0)</f>
        <v>0</v>
      </c>
      <c r="GB129" s="130">
        <f t="shared" si="50"/>
        <v>0</v>
      </c>
      <c r="GC129" s="141">
        <f t="shared" si="26"/>
        <v>0</v>
      </c>
      <c r="GD129" s="133">
        <f t="shared" si="27"/>
        <v>293.3333333</v>
      </c>
      <c r="GE129" s="133">
        <f>AVERAGE(OFFSET($GD$3,0,0,'Données projet'!$E$17+1,1))-AVERAGE(OFFSET($H$3,0,0,'Données projet'!$E$17+1,1))</f>
        <v>118.7368745</v>
      </c>
      <c r="GF129" s="133">
        <f t="shared" si="51"/>
        <v>135.1233677</v>
      </c>
      <c r="GG129" s="134">
        <f>IF(ISNA(VLOOKUP(A129,'Données projet'!$A$243:$I$263,3,0)),0,VLOOKUP(A129,'Données projet'!$A$243:$I$263,3,0))</f>
        <v>0</v>
      </c>
      <c r="GH129" s="134">
        <f>IF(ISNA(VLOOKUP(A129,'Données projet'!$A$243:$I$263,4,0)),0,VLOOKUP(A129,'Données projet'!$A$243:$I$263,4,0))</f>
        <v>0</v>
      </c>
      <c r="GI129" s="135">
        <f>IF(ISNA(VLOOKUP(A129,'Données projet'!$A$243:$I$263,5,0)),0%,VLOOKUP(A129,'Données projet'!$A$243:$I$263,5,0)*VLOOKUP('Données projet'!$B$17,'Paramètres'!$A$1:$I$89,7,0))</f>
        <v>0</v>
      </c>
      <c r="GJ129" s="135">
        <f>IF(ISNA(VLOOKUP(A129,'Données projet'!$A$243:$I$263,6,0)),0%,VLOOKUP(A129,'Données projet'!$A$243:$I$263,6,0)*VLOOKUP('Données projet'!$B$17,'Paramètres'!$A$1:$I$89,7,0))</f>
        <v>0</v>
      </c>
      <c r="GK129" s="135">
        <f>IF(ISNA(VLOOKUP(A129,'Données projet'!$A$243:$I$263,7,0)),0%,VLOOKUP(A129,'Données projet'!$A$243:$I$263,7,0))</f>
        <v>0</v>
      </c>
      <c r="GL129" s="142">
        <f>EXP(-LN(2)/35)*GL128+(1-EXP(-LN(2)/35))/(LN(2)/35)*GH129*GI129*VLOOKUP('Données projet'!$B$17,'Paramètres'!$A$1:$I$89,3,0)*0.475*44/12</f>
        <v>28.10649832</v>
      </c>
      <c r="GM129" s="142">
        <f>EXP(-LN(2)/25)*GM128+(1-EXP(-LN(2)/25))/(LN(2)/25)*Calculateur!GH129*Calculateur!GJ129*VLOOKUP('Données projet'!$B$17,'Paramètres'!$A$1:$I$89,3,0)*0.475*44/12</f>
        <v>0</v>
      </c>
      <c r="GN129" s="142">
        <f>EXP(-LN(2)/2)*GN128+(1-EXP(-LN(2)/2))/(LN(2)/2)*GH129*GK129*VLOOKUP('Données projet'!$B$17,'Paramètres'!$A$1:$I$89,3,0)*0.475*44/12</f>
        <v>0</v>
      </c>
      <c r="GO129" s="142">
        <f t="shared" si="28"/>
        <v>28.10649832</v>
      </c>
      <c r="GP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1" t="str">
        <f>VLOOKUP(A129,'Données projet'!$A$269:$I$289,2,0)</f>
        <v>#N/A</v>
      </c>
      <c r="GS129" s="131" t="str">
        <f>VLOOKUP(A129,'Données projet'!$A$269:$I$289,9,0)</f>
        <v>#N/A</v>
      </c>
      <c r="GT129" s="131" t="str">
        <f t="array" ref="GT129">INDEX(GS:GS,MIN(IF(ISNUMBER(GS129:GS325),ROW(GS129:GS325),"")))</f>
        <v/>
      </c>
      <c r="GU129" s="138">
        <f>IF('Données projet'!$A$270&gt;35,GU128+GT129-HC128,IF(A129&lt;'Données projet'!$A$270,$GR$205^A129,IF(A129='Données projet'!$A$270,'Données projet'!$B$270,GU128+GT129-HC128)))</f>
        <v>0</v>
      </c>
      <c r="GV129" s="138">
        <f>GU129*VLOOKUP('Données projet'!$B$18,'Paramètres'!$A$1:$I$89,3,0)*VLOOKUP('Données projet'!$B$18,'Paramètres'!$A$1:$I$89,5,0)</f>
        <v>0</v>
      </c>
      <c r="GW129" s="130" t="str">
        <f t="shared" si="52"/>
        <v>#NUM!</v>
      </c>
      <c r="GX129" s="141" t="str">
        <f t="shared" si="29"/>
        <v>#NUM!</v>
      </c>
      <c r="GY129" s="133" t="str">
        <f t="shared" si="30"/>
        <v>#NUM!</v>
      </c>
      <c r="GZ129" s="133">
        <f>AVERAGE(OFFSET($GY$3,0,0,'Données projet'!$E$18+1,1))-AVERAGE(OFFSET($H$3,0,0,'Données projet'!$E$18+1,1))</f>
        <v>100.5427875</v>
      </c>
      <c r="HA129" s="133">
        <f t="shared" si="53"/>
        <v>92.28663609</v>
      </c>
      <c r="HB129" s="134">
        <f>IF(ISNA(VLOOKUP(A129,'Données projet'!$A$269:$I$289,3,0)),0,VLOOKUP(A129,'Données projet'!$A$269:$I$289,3,0))</f>
        <v>0</v>
      </c>
      <c r="HC129" s="134">
        <f>IF(ISNA(VLOOKUP(A129,'Données projet'!$A$269:$I$289,4,0)),0,VLOOKUP(A129,'Données projet'!$A$269:$I$289,4,0))</f>
        <v>0</v>
      </c>
      <c r="HD129" s="135">
        <f>IF(ISNA(VLOOKUP(A129,'Données projet'!$A$269:$I$289,5,0)),0%,VLOOKUP(A129,'Données projet'!$A$269:$I$289,5,0)*VLOOKUP('Données projet'!$B$18,'Paramètres'!$A$1:$I$89,7,0))</f>
        <v>0</v>
      </c>
      <c r="HE129" s="135">
        <f>IF(ISNA(VLOOKUP(A129,'Données projet'!$A$269:$I$289,6,0)),0%,VLOOKUP(A129,'Données projet'!$A$269:$I$289,6,0)*VLOOKUP('Données projet'!$B$18,'Paramètres'!$A$1:$I$89,7,0))</f>
        <v>0</v>
      </c>
      <c r="HF129" s="135">
        <f>IF(ISNA(VLOOKUP(A129,'Données projet'!$A$269:$I$289,7,0)),0%,VLOOKUP(A129,'Données projet'!$A$269:$I$289,7,0))</f>
        <v>0</v>
      </c>
      <c r="HG129" s="142">
        <f>EXP(-LN(2)/35)*HG128+(1-EXP(-LN(2)/35))/(LN(2)/35)*HC129*HD129*VLOOKUP('Données projet'!$B$18,'Paramètres'!$A$1:$I$89,3,0)*0.475*44/12</f>
        <v>19.13993242</v>
      </c>
      <c r="HH129" s="142">
        <f>EXP(-LN(2)/25)*HH128+(1-EXP(-LN(2)/25))/(LN(2)/25)*Calculateur!HC129*Calculateur!HE129*VLOOKUP('Données projet'!$B$18,'Paramètres'!$A$1:$I$89,3,0)*0.475*44/12</f>
        <v>0</v>
      </c>
      <c r="HI129" s="142">
        <f>EXP(-LN(2)/2)*HI128+(1-EXP(-LN(2)/2))/(LN(2)/2)*HC129*HF129*VLOOKUP('Données projet'!$B$18,'Paramètres'!$A$1:$I$89,3,0)*0.475*44/12</f>
        <v>0</v>
      </c>
      <c r="HJ129" s="143">
        <f t="shared" si="31"/>
        <v>19.13993242</v>
      </c>
    </row>
    <row r="130" ht="15.75" customHeight="1">
      <c r="A130" s="125">
        <f t="shared" si="32"/>
        <v>127</v>
      </c>
      <c r="B130" s="126">
        <f>'Scénario référence'!$B$16*5+'Scénario référence'!$B$17*0+'Scénario référence'!$B$18*5</f>
        <v>0</v>
      </c>
      <c r="C130" s="140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69.342</v>
      </c>
      <c r="D130" s="127">
        <f t="shared" si="33"/>
        <v>19.50996327</v>
      </c>
      <c r="E13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7">
        <f>IF(OR('Scénario référence'!$F$8&gt;0,'Scénario référence'!$F$9&gt;0),('Scénario référence'!$F$8+'Scénario référence'!$F$9)*10,0)</f>
        <v>10</v>
      </c>
      <c r="G130" s="127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685.8748042</v>
      </c>
      <c r="H130" s="128">
        <f t="shared" si="1"/>
        <v>448.083836</v>
      </c>
      <c r="I130" s="12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1" t="str">
        <f>VLOOKUP(A130,'Données projet'!$A$35:$I$55,2,0)</f>
        <v>#N/A</v>
      </c>
      <c r="L130" s="131" t="str">
        <f>VLOOKUP(A130,'Données projet'!$A$35:$I$55,9,0)</f>
        <v>#N/A</v>
      </c>
      <c r="M130" s="131" t="str">
        <f t="array" ref="M130">INDEX(L:L,MIN(IF(ISNUMBER(L130:L326),ROW(L130:L326),"")))</f>
        <v/>
      </c>
      <c r="N130" s="130">
        <f>IF('Données projet'!$A$36&gt;35,N129+M130-V129,IF(A130&lt;'Données projet'!$A$36,$K$205^A130,IF(A130='Données projet'!$A$36,'Données projet'!$B$36,N129+M130-V129)))</f>
        <v>0</v>
      </c>
      <c r="O130" s="130">
        <f>N130*VLOOKUP('Données projet'!$B$9,'Paramètres'!$A$1:$I$89,3,0)*VLOOKUP('Données projet'!$B$9,'Paramètres'!$A$1:$I$89,5,0)</f>
        <v>0</v>
      </c>
      <c r="P130" s="130">
        <f t="shared" si="34"/>
        <v>0</v>
      </c>
      <c r="Q130" s="141">
        <f t="shared" si="2"/>
        <v>0</v>
      </c>
      <c r="R130" s="133">
        <f t="shared" si="3"/>
        <v>293.3333333</v>
      </c>
      <c r="S130" s="133">
        <f>AVERAGE(OFFSET($R$3,0,0,'Données projet'!$E$9+1,1))-AVERAGE(OFFSET($H$3,0,0,'Données projet'!$E$9+1,1))</f>
        <v>126.9946492</v>
      </c>
      <c r="T130" s="133">
        <f t="shared" si="35"/>
        <v>140.039049</v>
      </c>
      <c r="U130" s="134">
        <f>IF(ISNA(VLOOKUP(A130,'Données projet'!$A$35:$I$55,3,0)),0,VLOOKUP(A130,'Données projet'!$A$35:$I$55,3,0))</f>
        <v>0</v>
      </c>
      <c r="V130" s="134">
        <f>IF(ISNA(VLOOKUP(A130,'Données projet'!$A$35:$I$55,4,0)),0,VLOOKUP(A130,'Données projet'!$A$35:$I$55,4,0))</f>
        <v>0</v>
      </c>
      <c r="W130" s="135">
        <f>IF(ISNA(VLOOKUP(A130,'Données projet'!$A$35:$I$55,5,0)),0%,VLOOKUP(A130,'Données projet'!$A$35:$I$55,5,0)*VLOOKUP('Données projet'!$B$9,'Paramètres'!$A$1:$I$89,7,0))</f>
        <v>0</v>
      </c>
      <c r="X130" s="135">
        <f>IF(ISNA(VLOOKUP(A130,'Données projet'!$A$35:$I$55,6,0)),0%,VLOOKUP(A130,'Données projet'!$A$35:$I$55,6,0)*VLOOKUP('Données projet'!$B$9,'Paramètres'!$A$1:$I$89,7,0))</f>
        <v>0</v>
      </c>
      <c r="Y130" s="135">
        <f>IF(ISNA(VLOOKUP(A130,'Données projet'!$A$35:$I$55,7,0)),0%,VLOOKUP(A130,'Données projet'!$A$35:$I$55,7,0))</f>
        <v>0</v>
      </c>
      <c r="Z130" s="142">
        <f>EXP(-LN(2)/35)*Z129+(1-EXP(-LN(2)/35))/(LN(2)/35)*V130*W130*VLOOKUP('Données projet'!$B$9,'Paramètres'!$A$1:$I$89,3,0)*0.475*44/12</f>
        <v>28.1829861</v>
      </c>
      <c r="AA130" s="142">
        <f>EXP(-LN(2)/25)*AA129+(1-EXP(-LN(2)/25))/(LN(2)/25)*Calculateur!V130*Calculateur!X130*VLOOKUP('Données projet'!$B$9,'Paramètres'!$A$1:$I$89,3,0)*0.475*44/12</f>
        <v>3.626189182</v>
      </c>
      <c r="AB130" s="142">
        <f>EXP(-LN(2)/2)*AB129+(1-EXP(-LN(2)/2))/(LN(2)/2)*V130*Y130*VLOOKUP('Données projet'!$B$9,'Paramètres'!$A$1:$I$89,3,0)*0.475*44/12</f>
        <v>0.000000001563168265</v>
      </c>
      <c r="AC130" s="143">
        <f t="shared" si="4"/>
        <v>31.80917528</v>
      </c>
      <c r="AD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1" t="str">
        <f>VLOOKUP(A130,'Données projet'!$A$61:$I$81,2,0)</f>
        <v>#N/A</v>
      </c>
      <c r="AG130" s="131" t="str">
        <f>VLOOKUP(A130,'Données projet'!$A$61:$I$81,9,0)</f>
        <v>#N/A</v>
      </c>
      <c r="AH130" s="131" t="str">
        <f t="array" ref="AH130">INDEX(AG:AG,MIN(IF(ISNUMBER(AG130:AG326),ROW(AG130:AG326),"")))</f>
        <v/>
      </c>
      <c r="AI130" s="130">
        <f>IF('Données projet'!$A$62&gt;35,AI129+AH130-AQ129,IF(A130&lt;'Données projet'!$A$62,$AF$205^A130,IF(A130='Données projet'!$A$62,'Données projet'!$B$62,AI129+AH130-AQ129)))</f>
        <v>0</v>
      </c>
      <c r="AJ130" s="130">
        <f>AI130*VLOOKUP('Données projet'!$B$10,'Paramètres'!$A$1:$I$89,3,0)*VLOOKUP('Données projet'!$B$10,'Paramètres'!$A$1:$I$89,5,0)</f>
        <v>0</v>
      </c>
      <c r="AK130" s="130" t="str">
        <f t="shared" si="36"/>
        <v>#NUM!</v>
      </c>
      <c r="AL130" s="141" t="str">
        <f t="shared" si="5"/>
        <v>#NUM!</v>
      </c>
      <c r="AM130" s="133" t="str">
        <f t="shared" si="6"/>
        <v>#NUM!</v>
      </c>
      <c r="AN130" s="133">
        <f>AVERAGE(OFFSET($AM$3,0,0,'Données projet'!$E$10+1,1))-AVERAGE(OFFSET($H$3,0,0,'Données projet'!$E$10+1,1))</f>
        <v>196.874484</v>
      </c>
      <c r="AO130" s="133">
        <f t="shared" si="37"/>
        <v>217.5750859</v>
      </c>
      <c r="AP130" s="134">
        <f>IF(ISNA(VLOOKUP(A130,'Données projet'!$A$61:$I$81,3,0)),0,VLOOKUP(A130,'Données projet'!$A$61:$I$81,3,0))</f>
        <v>0</v>
      </c>
      <c r="AQ130" s="134">
        <f>IF(ISNA(VLOOKUP(A130,'Données projet'!$A$61:$I$81,4,0)),0,VLOOKUP(A130,'Données projet'!$A$61:$I$81,4,0))</f>
        <v>0</v>
      </c>
      <c r="AR130" s="135">
        <f>IF(ISNA(VLOOKUP(A130,'Données projet'!$A$61:$I$81,5,0)),0%,VLOOKUP(A130,'Données projet'!$A$61:$I$81,5,0)*VLOOKUP('Données projet'!$B$10,'Paramètres'!$A$1:$I$89,7,0))</f>
        <v>0</v>
      </c>
      <c r="AS130" s="135">
        <f>IF(ISNA(VLOOKUP(A130,'Données projet'!$A$61:$I$81,6,0)),0%,VLOOKUP(A130,'Données projet'!$A$61:$I$81,6,0)*VLOOKUP('Données projet'!$B$10,'Paramètres'!$A$1:$I$89,7,0))</f>
        <v>0</v>
      </c>
      <c r="AT130" s="135">
        <f>IF(ISNA(VLOOKUP(A130,'Données projet'!$A$61:$I$81,7,0)),0%,VLOOKUP(A130,'Données projet'!$A$61:$I$81,7,0))</f>
        <v>0</v>
      </c>
      <c r="AU130" s="142">
        <f>EXP(-LN(2)/35)*AU129+(1-EXP(-LN(2)/35))/(LN(2)/35)*AQ130*AR130*VLOOKUP('Données projet'!$B$10,'Paramètres'!$A$1:$I$89,3,0)*0.475*44/12</f>
        <v>39.17355017</v>
      </c>
      <c r="AV130" s="142">
        <f>EXP(-LN(2)/25)*AV129+(1-EXP(-LN(2)/25))/(LN(2)/25)*Calculateur!AQ130*Calculateur!AS130*VLOOKUP('Données projet'!$B$10,'Paramètres'!$A$1:$I$89,3,0)*0.475*44/12</f>
        <v>5.575270712</v>
      </c>
      <c r="AW130" s="142">
        <f>EXP(-LN(2)/2)*AW129+(1-EXP(-LN(2)/2))/(LN(2)/2)*AQ130*AT130*VLOOKUP('Données projet'!$B$10,'Paramètres'!$A$1:$I$89,3,0)*0.475*44/12</f>
        <v>0.00000000217938476</v>
      </c>
      <c r="AX130" s="142">
        <f t="shared" si="7"/>
        <v>44.74882089</v>
      </c>
      <c r="AY130" s="13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1" t="str">
        <f>VLOOKUP(A130,'Données projet'!$A$87:$I$107,2,0)</f>
        <v>#N/A</v>
      </c>
      <c r="BB130" s="131" t="str">
        <f>VLOOKUP(A130,'Données projet'!$A$87:$I$107,9,0)</f>
        <v>#N/A</v>
      </c>
      <c r="BC130" s="131" t="str">
        <f t="array" ref="BC130">INDEX(BB:BB,MIN(IF(ISNUMBER(BB130:BB326),ROW(BB130:BB326),"")))</f>
        <v/>
      </c>
      <c r="BD130" s="130">
        <f>IF('Données projet'!$A$88&gt;35,BD129+BC130-BL129,IF(A130&lt;'Données projet'!$A$88,$BA$205^A130,IF(A130='Données projet'!$A$88,'Données projet'!$B$88,BD129+BC130-BL129)))</f>
        <v>0</v>
      </c>
      <c r="BE130" s="130">
        <f>BD130*VLOOKUP('Données projet'!$B$11,'Paramètres'!$A$1:$I$89,3,0)*VLOOKUP('Données projet'!$B$11,'Paramètres'!$A$1:$I$89,5,0)</f>
        <v>0</v>
      </c>
      <c r="BF130" s="130" t="str">
        <f t="shared" si="38"/>
        <v>#NUM!</v>
      </c>
      <c r="BG130" s="141" t="str">
        <f t="shared" si="8"/>
        <v>#NUM!</v>
      </c>
      <c r="BH130" s="133" t="str">
        <f t="shared" si="9"/>
        <v>#NUM!</v>
      </c>
      <c r="BI130" s="133">
        <f>AVERAGE(OFFSET($BH$3,0,0,'Données projet'!$E$11+1,1))-AVERAGE(OFFSET($H$3,0,0,'Données projet'!$E$11+1,1))</f>
        <v>134.0948534</v>
      </c>
      <c r="BJ130" s="133">
        <f t="shared" si="39"/>
        <v>108.4102536</v>
      </c>
      <c r="BK130" s="134">
        <f>IF(ISNA(VLOOKUP(A130,'Données projet'!$A$87:$I$107,3,0)),0,VLOOKUP(A130,'Données projet'!$A$87:$I$107,3,0))</f>
        <v>0</v>
      </c>
      <c r="BL130" s="134">
        <f>IF(ISNA(VLOOKUP(A130,'Données projet'!$A$87:$I$107,4,0)),0,VLOOKUP(A130,'Données projet'!$A$87:$I$107,4,0))</f>
        <v>0</v>
      </c>
      <c r="BM130" s="135">
        <f>IF(ISNA(VLOOKUP(A130,'Données projet'!$A$87:$I$107,5,0)),0%,VLOOKUP(A130,'Données projet'!$A$87:$I$107,5,0)*VLOOKUP('Données projet'!$B$11,'Paramètres'!$A$1:$I$89,7,0))</f>
        <v>0</v>
      </c>
      <c r="BN130" s="135">
        <f>IF(ISNA(VLOOKUP(A130,'Données projet'!$A$87:$I$107,6,0)),0%,VLOOKUP(A130,'Données projet'!$A$87:$I$107,6,0)*VLOOKUP('Données projet'!$B$11,'Paramètres'!$A$1:$I$89,7,0))</f>
        <v>0</v>
      </c>
      <c r="BO130" s="135">
        <f>IF(ISNA(VLOOKUP(A130,'Données projet'!$A$87:$I$107,7,0)),0%,VLOOKUP(A130,'Données projet'!$A$87:$I$107,7,0))</f>
        <v>0</v>
      </c>
      <c r="BP130" s="142">
        <f>EXP(-LN(2)/35)*BP129+(1-EXP(-LN(2)/35))/(LN(2)/35)*BL130*BM130*VLOOKUP('Données projet'!$B$11,'Paramètres'!$A$1:$I$89,3,0)*0.475*44/12</f>
        <v>54.18433588</v>
      </c>
      <c r="BQ130" s="142">
        <f>EXP(-LN(2)/25)*BQ129+(1-EXP(-LN(2)/25))/(LN(2)/25)*Calculateur!BL130*Calculateur!BN130*VLOOKUP('Données projet'!$B$11,'Paramètres'!$A$1:$I$89,3,0)*0.475*44/12</f>
        <v>3.516885552</v>
      </c>
      <c r="BR130" s="142">
        <f>EXP(-LN(2)/2)*BR129+(1-EXP(-LN(2)/2))/(LN(2)/2)*BL130*BO130*VLOOKUP('Données projet'!$B$11,'Paramètres'!$A$1:$I$89,3,0)*0.475*44/12</f>
        <v>0.00000002906986502</v>
      </c>
      <c r="BS130" s="143">
        <f t="shared" si="10"/>
        <v>57.70122146</v>
      </c>
      <c r="BT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1" t="str">
        <f>VLOOKUP(A130,'Données projet'!$A$113:$I$133,2,0)</f>
        <v>#N/A</v>
      </c>
      <c r="BW130" s="131" t="str">
        <f>VLOOKUP(A130,'Données projet'!$A$113:$I$133,9,0)</f>
        <v>#N/A</v>
      </c>
      <c r="BX130" s="131" t="str">
        <f t="array" ref="BX130">INDEX(BW:BW,MIN(IF(ISNUMBER(BW130:BW326),ROW(BW130:BW326),"")))</f>
        <v/>
      </c>
      <c r="BY130" s="130">
        <f>IF('Données projet'!$A$114&gt;35,BY129+BX130-CG129,IF(A130&lt;'Données projet'!$A$114,$BV$205^A130,IF(A130='Données projet'!$A$114,'Données projet'!$B$114,BY129+BX130-CG129)))</f>
        <v>0</v>
      </c>
      <c r="BZ130" s="130">
        <f>BY130*VLOOKUP('Données projet'!$B$12,'Paramètres'!$A$1:$I$89,3,0)*VLOOKUP('Données projet'!$B$12,'Paramètres'!$A$1:$I$89,5,0)</f>
        <v>0</v>
      </c>
      <c r="CA130" s="130" t="str">
        <f t="shared" si="40"/>
        <v>#NUM!</v>
      </c>
      <c r="CB130" s="141" t="str">
        <f t="shared" si="11"/>
        <v>#NUM!</v>
      </c>
      <c r="CC130" s="133" t="str">
        <f t="shared" si="12"/>
        <v>#NUM!</v>
      </c>
      <c r="CD130" s="133">
        <f>AVERAGE(OFFSET($CC$3,0,0,'Données projet'!$E$12+1,1))-AVERAGE(OFFSET($H$3,0,0,'Données projet'!$E$12+1,1))</f>
        <v>258.1672054</v>
      </c>
      <c r="CE130" s="133">
        <f t="shared" si="41"/>
        <v>296.0724261</v>
      </c>
      <c r="CF130" s="134">
        <f>IF(ISNA(VLOOKUP(A130,'Données projet'!$A$113:$I$133,3,0)),0,VLOOKUP(A130,'Données projet'!$A$113:$I$133,3,0))</f>
        <v>0</v>
      </c>
      <c r="CG130" s="134">
        <f>IF(ISNA(VLOOKUP(A130,'Données projet'!$A$113:$I$133,4,0)),0,VLOOKUP(A130,'Données projet'!$A$113:$I$133,4,0))</f>
        <v>0</v>
      </c>
      <c r="CH130" s="135">
        <f>IF(ISNA(VLOOKUP(A130,'Données projet'!$A$113:$I$133,5,0)),0%,VLOOKUP(A130,'Données projet'!$A$113:$I$133,5,0)*VLOOKUP('Données projet'!$B$12,'Paramètres'!$A$1:$I$89,7,0))</f>
        <v>0</v>
      </c>
      <c r="CI130" s="135">
        <f>IF(ISNA(VLOOKUP(A130,'Données projet'!$A$113:$I$133,6,0)),0%,VLOOKUP(A130,'Données projet'!$A$113:$I$133,6,0)*VLOOKUP('Données projet'!$B$12,'Paramètres'!$A$1:$I$89,7,0))</f>
        <v>0</v>
      </c>
      <c r="CJ130" s="135">
        <f>IF(ISNA(VLOOKUP(A130,'Données projet'!$A$113:$I$133,7,0)),0%,VLOOKUP(A130,'Données projet'!$A$113:$I$133,7,0))</f>
        <v>0</v>
      </c>
      <c r="CK130" s="142">
        <f>EXP(-LN(2)/35)*CK129+(1-EXP(-LN(2)/35))/(LN(2)/35)*CG130*CH130*VLOOKUP('Données projet'!$B$12,'Paramètres'!$A$1:$I$89,3,0)*0.475*44/12</f>
        <v>68.50557622</v>
      </c>
      <c r="CL130" s="142">
        <f>EXP(-LN(2)/25)*CL129+(1-EXP(-LN(2)/25))/(LN(2)/25)*Calculateur!CG130*Calculateur!CI130*VLOOKUP('Données projet'!$B$12,'Paramètres'!$A$1:$I$89,3,0)*0.475*44/12</f>
        <v>6.168816902</v>
      </c>
      <c r="CM130" s="142">
        <f>EXP(-LN(2)/2)*CM129+(1-EXP(-LN(2)/2))/(LN(2)/2)*CG130*CJ130*VLOOKUP('Données projet'!$B$12,'Paramètres'!$A$1:$I$89,3,0)*0.475*44/12</f>
        <v>0.000000001224679102</v>
      </c>
      <c r="CN130" s="143">
        <f t="shared" si="13"/>
        <v>74.67439312</v>
      </c>
      <c r="CO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1" t="str">
        <f>VLOOKUP(A130,'Données projet'!$A$139:$I$159,2,0)</f>
        <v>#N/A</v>
      </c>
      <c r="CR130" s="131" t="str">
        <f>VLOOKUP(A130,'Données projet'!$A$139:$I$159,9,0)</f>
        <v>#N/A</v>
      </c>
      <c r="CS130" s="130">
        <f t="array" ref="CS130">INDEX(CR:CR,MIN(IF(ISNUMBER(CR130:CR326),ROW(CR130:CR326),"")))</f>
        <v>1.1</v>
      </c>
      <c r="CT130" s="138">
        <f>IF('Données projet'!$A$140&gt;35,CT129+CS130-DB129,IF(A130&lt;'Données projet'!$A$140,$CQ$205^A130,IF(A130='Données projet'!$A$140,'Données projet'!$B$140,CT129+CS130-DB129)))</f>
        <v>216.7</v>
      </c>
      <c r="CU130" s="138">
        <f>CT130*VLOOKUP('Données projet'!$B$13,'Paramètres'!$A$1:$I$89,3,0)*VLOOKUP('Données projet'!$B$13,'Paramètres'!$A$1:$I$89,5,0)</f>
        <v>219.7338</v>
      </c>
      <c r="CV130" s="130">
        <f t="shared" si="42"/>
        <v>54.05702439</v>
      </c>
      <c r="CW130" s="141">
        <f t="shared" si="14"/>
        <v>476.8523525</v>
      </c>
      <c r="CX130" s="133">
        <f t="shared" si="15"/>
        <v>770.1856858</v>
      </c>
      <c r="CY130" s="133">
        <f>AVERAGE(OFFSET($CX$3,0,0,'Données projet'!$E$13+1,1))-AVERAGE(OFFSET($H$3,0,0,'Données projet'!$E$13+1,1))</f>
        <v>223.783507</v>
      </c>
      <c r="CZ130" s="133">
        <f t="shared" si="43"/>
        <v>84.92349117</v>
      </c>
      <c r="DA130" s="134">
        <f>IF(ISNA(VLOOKUP(A130,'Données projet'!$A$139:$I$159,3,0)),0,VLOOKUP(A130,'Données projet'!$A$139:$I$159,3,0))</f>
        <v>0</v>
      </c>
      <c r="DB130" s="134">
        <f>IF(ISNA(VLOOKUP(A130,'Données projet'!$A$139:$I$159,4,0)),0,VLOOKUP(A130,'Données projet'!$A$139:$I$159,4,0))</f>
        <v>0</v>
      </c>
      <c r="DC130" s="135">
        <f>IF(ISNA(VLOOKUP(A130,'Données projet'!$A$139:$I$159,5,0)),0%,VLOOKUP(A130,'Données projet'!$A$139:$I$159,5,0)*VLOOKUP('Données projet'!$B$13,'Paramètres'!$A$1:$I$89,7,0))</f>
        <v>0</v>
      </c>
      <c r="DD130" s="135">
        <f>IF(ISNA(VLOOKUP(A130,'Données projet'!$A$139:$I$159,6,0)),0%,VLOOKUP(A130,'Données projet'!$A$139:$I$159,6,0)*VLOOKUP('Données projet'!$B$13,'Paramètres'!$A$1:$I$89,7,0))</f>
        <v>0</v>
      </c>
      <c r="DE130" s="135">
        <f>IF(ISNA(VLOOKUP(A130,'Données projet'!$A$139:$I$159,7,0)),0%,VLOOKUP(A130,'Données projet'!$A$139:$I$159,7,0))</f>
        <v>0</v>
      </c>
      <c r="DF130" s="142">
        <f>EXP(-LN(2)/35)*DF129+(1-EXP(-LN(2)/35))/(LN(2)/35)*DB130*DC130*VLOOKUP('Données projet'!$B$13,'Paramètres'!$A$1:$I$89,3,0)*0.475*44/12</f>
        <v>19.41805812</v>
      </c>
      <c r="DG130" s="142">
        <f>EXP(-LN(2)/25)*DG129+(1-EXP(-LN(2)/25))/(LN(2)/25)*Calculateur!DB130*Calculateur!DD130*VLOOKUP('Données projet'!$B$13,'Paramètres'!$A$1:$I$89,3,0)*0.475*44/12</f>
        <v>0</v>
      </c>
      <c r="DH130" s="142">
        <f>EXP(-LN(2)/2)*DH129+(1-EXP(-LN(2)/2))/(LN(2)/2)*DB130*DE130*VLOOKUP('Données projet'!$B$13,'Paramètres'!$A$1:$I$89,3,0)*0.475*44/12</f>
        <v>0</v>
      </c>
      <c r="DI130" s="143">
        <f t="shared" si="16"/>
        <v>19.41805812</v>
      </c>
      <c r="DJ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1" t="str">
        <f>VLOOKUP(A130,'Données projet'!$A$165:$I$185,2,0)</f>
        <v>#N/A</v>
      </c>
      <c r="DM130" s="131" t="str">
        <f>VLOOKUP(A130,'Données projet'!$A$165:$I$185,9,0)</f>
        <v>#N/A</v>
      </c>
      <c r="DN130" s="131">
        <f t="array" ref="DN130">INDEX(DM:DM,MIN(IF(ISNUMBER(DM130:DM326),ROW(DM130:DM326),"")))</f>
        <v>1.6</v>
      </c>
      <c r="DO130" s="138">
        <f>IF('Données projet'!$A$166&gt;35,DO129+DN130-DW129,IF(A130&lt;'Données projet'!$A$166,$DL$205^A130,IF(A130='Données projet'!$A$166,'Données projet'!$B$166,DO129+DN130-DW129)))</f>
        <v>279.2</v>
      </c>
      <c r="DP130" s="138">
        <f>DO130*VLOOKUP('Données projet'!$B$14,'Paramètres'!$A$1:$I$89,3,0)*VLOOKUP('Données projet'!$B$14,'Paramètres'!$A$1:$I$89,5,0)</f>
        <v>252.62016</v>
      </c>
      <c r="DQ130" s="130">
        <f t="shared" si="44"/>
        <v>61.14666777</v>
      </c>
      <c r="DR130" s="141">
        <f t="shared" si="17"/>
        <v>546.477225</v>
      </c>
      <c r="DS130" s="133">
        <f t="shared" si="18"/>
        <v>839.8105584</v>
      </c>
      <c r="DT130" s="133">
        <f>AVERAGE(OFFSET($DS$3,0,0,'Données projet'!$E$14+1,1))-AVERAGE(OFFSET($H$3,0,0,'Données projet'!$E$14+1,1))</f>
        <v>287.9334714</v>
      </c>
      <c r="DU130" s="133">
        <f t="shared" si="45"/>
        <v>156.6796502</v>
      </c>
      <c r="DV130" s="134">
        <f>IF(ISNA(VLOOKUP(A130,'Données projet'!$A$165:$I$185,3,0)),0,VLOOKUP(A130,'Données projet'!$A$165:$I$185,3,0))</f>
        <v>0</v>
      </c>
      <c r="DW130" s="134">
        <f>IF(ISNA(VLOOKUP(A130,'Données projet'!$A$165:$I$185,4,0)),0,VLOOKUP(A130,'Données projet'!$A$165:$I$185,4,0))</f>
        <v>0</v>
      </c>
      <c r="DX130" s="135">
        <f>IF(ISNA(VLOOKUP(A130,'Données projet'!$A$165:$I$185,5,0)),0%,VLOOKUP(A130,'Données projet'!$A$165:$I$185,5,0)*VLOOKUP('Données projet'!$B$14,'Paramètres'!$A$1:$I$89,7,0))</f>
        <v>0</v>
      </c>
      <c r="DY130" s="135">
        <f>IF(ISNA(VLOOKUP(A130,'Données projet'!$A$165:$I$185,6,0)),0%,VLOOKUP(A130,'Données projet'!$A$165:$I$185,6,0)*VLOOKUP('Données projet'!$B$14,'Paramètres'!$A$1:$I$89,7,0))</f>
        <v>0</v>
      </c>
      <c r="DZ130" s="135">
        <f>IF(ISNA(VLOOKUP(A130,'Données projet'!$A$165:$I$185,7,0)),0%,VLOOKUP(A130,'Données projet'!$A$165:$I$185,7,0))</f>
        <v>0</v>
      </c>
      <c r="EA130" s="142">
        <f>EXP(-LN(2)/35)*EA129+(1-EXP(-LN(2)/35))/(LN(2)/35)*DW130*DX130*VLOOKUP('Données projet'!$B$14,'Paramètres'!$A$1:$I$89,3,0)*0.475*44/12</f>
        <v>28.00782757</v>
      </c>
      <c r="EB130" s="142">
        <f>EXP(-LN(2)/25)*EB129+(1-EXP(-LN(2)/25))/(LN(2)/25)*Calculateur!DW130*Calculateur!DY130*VLOOKUP('Données projet'!$B$14,'Paramètres'!$A$1:$I$89,3,0)*0.475*44/12</f>
        <v>0</v>
      </c>
      <c r="EC130" s="142">
        <f>EXP(-LN(2)/2)*EC129+(1-EXP(-LN(2)/2))/(LN(2)/2)*DW130*DZ130*VLOOKUP('Données projet'!$B$14,'Paramètres'!$A$1:$I$89,3,0)*0.475*44/12</f>
        <v>0</v>
      </c>
      <c r="ED130" s="143">
        <f t="shared" si="19"/>
        <v>28.00782757</v>
      </c>
      <c r="EE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1" t="str">
        <f>VLOOKUP(A130,'Données projet'!$A$191:$I$211,2,0)</f>
        <v>#N/A</v>
      </c>
      <c r="EH130" s="131" t="str">
        <f>VLOOKUP(A130,'Données projet'!$A$191:$I$211,9,0)</f>
        <v>#N/A</v>
      </c>
      <c r="EI130" s="131" t="str">
        <f t="array" ref="EI130">INDEX(EH:EH,MIN(IF(ISNUMBER(EH130:EH326),ROW(EH130:EH326),"")))</f>
        <v/>
      </c>
      <c r="EJ130" s="138">
        <f>IF('Données projet'!$A$192&gt;35,EJ129+EI130-ER129,IF(A130&lt;'Données projet'!$A$192,$EG$205^A130,IF(A130='Données projet'!$A$192,'Données projet'!$B$192,EJ129+EI130-ER129)))</f>
        <v>0</v>
      </c>
      <c r="EK130" s="138">
        <f>EJ130*VLOOKUP('Données projet'!$B$15,'Paramètres'!$A$1:$I$89,3,0)*VLOOKUP('Données projet'!$B$15,'Paramètres'!$A$1:$I$89,5,0)</f>
        <v>0</v>
      </c>
      <c r="EL130" s="130" t="str">
        <f t="shared" si="46"/>
        <v>#NUM!</v>
      </c>
      <c r="EM130" s="141" t="str">
        <f t="shared" si="20"/>
        <v>#NUM!</v>
      </c>
      <c r="EN130" s="133" t="str">
        <f t="shared" si="21"/>
        <v>#NUM!</v>
      </c>
      <c r="EO130" s="133">
        <f>AVERAGE(OFFSET($EN$3,0,0,'Données projet'!$E$15+1,1))-AVERAGE(OFFSET($H$3,0,0,'Données projet'!$E$15+1,1))</f>
        <v>130.3193339</v>
      </c>
      <c r="EP130" s="133">
        <f t="shared" si="47"/>
        <v>82.22784365</v>
      </c>
      <c r="EQ130" s="134">
        <f>IF(ISNA(VLOOKUP(A130,'Données projet'!$A$191:$I$211,3,0)),0,VLOOKUP(A130,'Données projet'!$A$191:$I$211,3,0))</f>
        <v>0</v>
      </c>
      <c r="ER130" s="134">
        <f>IF(ISNA(VLOOKUP(A130,'Données projet'!$A$191:$I$211,4,0)),0,VLOOKUP(A130,'Données projet'!$A$191:$I$211,4,0))</f>
        <v>0</v>
      </c>
      <c r="ES130" s="135">
        <f>IF(ISNA(VLOOKUP(A130,'Données projet'!$A$191:$I$211,5,0)),0%,VLOOKUP(A130,'Données projet'!$A$191:$I$211,5,0)*VLOOKUP('Données projet'!$B$15,'Paramètres'!$A$1:$I$89,7,0))</f>
        <v>0</v>
      </c>
      <c r="ET130" s="135">
        <f>IF(ISNA(VLOOKUP(A130,'Données projet'!$A$191:$I$211,6,0)),0%,VLOOKUP(A130,'Données projet'!$A$191:$I$211,6,0)*VLOOKUP('Données projet'!$B$15,'Paramètres'!$A$1:$I$89,7,0))</f>
        <v>0</v>
      </c>
      <c r="EU130" s="135">
        <f>IF(ISNA(VLOOKUP(A130,'Données projet'!$A$191:$I$211,7,0)),0%,VLOOKUP(A130,'Données projet'!$A$191:$I$211,7,0))</f>
        <v>0</v>
      </c>
      <c r="EV130" s="142">
        <f>EXP(-LN(2)/35)*EV129+(1-EXP(-LN(2)/35))/(LN(2)/35)*ER130*ES130*VLOOKUP('Données projet'!$B$15,'Paramètres'!$A$1:$I$89,3,0)*0.475*44/12</f>
        <v>41.88974267</v>
      </c>
      <c r="EW130" s="142">
        <f>EXP(-LN(2)/25)*EW129+(1-EXP(-LN(2)/25))/(LN(2)/25)*Calculateur!ER130*Calculateur!ET130*VLOOKUP('Données projet'!$B$15,'Paramètres'!$A$1:$I$89,3,0)*0.475*44/12</f>
        <v>0</v>
      </c>
      <c r="EX130" s="142">
        <f>EXP(-LN(2)/2)*EX129+(1-EXP(-LN(2)/2))/(LN(2)/2)*ER130*EU130*VLOOKUP('Données projet'!$B$15,'Paramètres'!$A$1:$I$89,3,0)*0.475*44/12</f>
        <v>0</v>
      </c>
      <c r="EY130" s="143">
        <f t="shared" si="22"/>
        <v>41.88974267</v>
      </c>
      <c r="EZ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1" t="str">
        <f>VLOOKUP(A130,'Données projet'!$A$217:$I$237,2,0)</f>
        <v>#N/A</v>
      </c>
      <c r="FC130" s="131" t="str">
        <f>VLOOKUP(A130,'Données projet'!$A$217:$I$237,9,0)</f>
        <v>#N/A</v>
      </c>
      <c r="FD130" s="131" t="str">
        <f t="array" ref="FD130">INDEX(FC:FC,MIN(IF(ISNUMBER(FC130:FC326),ROW(FC130:FC326),"")))</f>
        <v/>
      </c>
      <c r="FE130" s="130">
        <f>IF('Données projet'!$A$218&gt;35,FE129+FD130-FM129,IF(A130&lt;'Données projet'!$A$218,$FB$205^A130,IF(A130='Données projet'!$A$218,'Données projet'!$B$218,FE129+FD130-FM129)))</f>
        <v>0</v>
      </c>
      <c r="FF130" s="138">
        <f>FE130*VLOOKUP('Données projet'!$B$16,'Paramètres'!$A$1:$I$89,3,0)*VLOOKUP('Données projet'!$B$16,'Paramètres'!$A$1:$I$89,5,0)</f>
        <v>0</v>
      </c>
      <c r="FG130" s="130">
        <f t="shared" si="48"/>
        <v>0</v>
      </c>
      <c r="FH130" s="141">
        <f t="shared" si="23"/>
        <v>0</v>
      </c>
      <c r="FI130" s="133">
        <f t="shared" si="24"/>
        <v>293.3333333</v>
      </c>
      <c r="FJ130" s="133">
        <f>AVERAGE(OFFSET($FI$3,0,0,'Données projet'!$E$16+1,1))-AVERAGE(OFFSET($H$3,0,0,'Données projet'!$E$16+1,1))</f>
        <v>305.6252353</v>
      </c>
      <c r="FK130" s="133">
        <f t="shared" si="49"/>
        <v>331.397916</v>
      </c>
      <c r="FL130" s="134">
        <f>IF(ISNA(VLOOKUP(A130,'Données projet'!$A$217:$I$237,3,0)),0,VLOOKUP(A130,'Données projet'!$A$217:$I$237,3,0))</f>
        <v>0</v>
      </c>
      <c r="FM130" s="134">
        <f>IF(ISNA(VLOOKUP(A130,'Données projet'!$A$217:$I$237,4,0)),0,VLOOKUP(A130,'Données projet'!$A$217:$I$237,4,0))</f>
        <v>0</v>
      </c>
      <c r="FN130" s="135">
        <f>IF(ISNA(VLOOKUP(A130,'Données projet'!$A$217:$I$237,5,0)),0%,VLOOKUP(A130,'Données projet'!$A$217:$I$237,5,0)*VLOOKUP('Données projet'!$B$16,'Paramètres'!$A$1:$I$89,7,0))</f>
        <v>0</v>
      </c>
      <c r="FO130" s="135">
        <f>IF(ISNA(VLOOKUP(A130,'Données projet'!$A$217:$I$237,6,0)),0%,VLOOKUP(A130,'Données projet'!$A$217:$I$237,6,0)*VLOOKUP('Données projet'!$B$16,'Paramètres'!$A$1:$I$89,7,0))</f>
        <v>0</v>
      </c>
      <c r="FP130" s="135">
        <f>IF(ISNA(VLOOKUP(A130,'Données projet'!$A$217:$I$237,7,0)),0%,VLOOKUP(A130,'Données projet'!$A$217:$I$237,7,0))</f>
        <v>0</v>
      </c>
      <c r="FQ130" s="142">
        <f>EXP(-LN(2)/35)*FQ129+(1-EXP(-LN(2)/35))/(LN(2)/35)*FM130*FN130*VLOOKUP('Données projet'!$B$16,'Paramètres'!$A$1:$I$89,3,0)*0.475*44/12</f>
        <v>26.08180567</v>
      </c>
      <c r="FR130" s="142">
        <f>EXP(-LN(2)/25)*FR129+(1-EXP(-LN(2)/25))/(LN(2)/25)*Calculateur!FM130*Calculateur!FO130*VLOOKUP('Données projet'!$B$16,'Paramètres'!$A$1:$I$89,3,0)*0.475*44/12</f>
        <v>0</v>
      </c>
      <c r="FS130" s="142">
        <f>EXP(-LN(2)/2)*FS129+(1-EXP(-LN(2)/2))/(LN(2)/2)*FM130*FP130*VLOOKUP('Données projet'!$B$16,'Paramètres'!$A$1:$I$89,3,0)*0.475*44/12</f>
        <v>0</v>
      </c>
      <c r="FT130" s="143">
        <f t="shared" si="25"/>
        <v>26.08180567</v>
      </c>
      <c r="FU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1" t="str">
        <f>VLOOKUP(A130,'Données projet'!$A$243:$I$263,2,0)</f>
        <v>#N/A</v>
      </c>
      <c r="FX130" s="131" t="str">
        <f>VLOOKUP(A130,'Données projet'!$A$243:$I$263,9,0)</f>
        <v>#N/A</v>
      </c>
      <c r="FY130" s="131" t="str">
        <f t="array" ref="FY130">INDEX(FX:FX,MIN(IF(ISNUMBER(FX130:FX326),ROW(FX130:FX326),"")))</f>
        <v/>
      </c>
      <c r="FZ130" s="138">
        <f>IF('Données projet'!$A$244&gt;35,FZ129+FY130-GH129,IF(A130&lt;'Données projet'!$A$244,$FW$205^A130,IF(A130='Données projet'!$A$244,'Données projet'!$B$244,FZ129+FY130-GH129)))</f>
        <v>0</v>
      </c>
      <c r="GA130" s="138">
        <f>FZ130*VLOOKUP('Données projet'!$B$17,'Paramètres'!$A$1:$I$89,3,0)*VLOOKUP('Données projet'!$B$17,'Paramètres'!$A$1:$I$89,5,0)</f>
        <v>0</v>
      </c>
      <c r="GB130" s="130">
        <f t="shared" si="50"/>
        <v>0</v>
      </c>
      <c r="GC130" s="141">
        <f t="shared" si="26"/>
        <v>0</v>
      </c>
      <c r="GD130" s="133">
        <f t="shared" si="27"/>
        <v>293.3333333</v>
      </c>
      <c r="GE130" s="133">
        <f>AVERAGE(OFFSET($GD$3,0,0,'Données projet'!$E$17+1,1))-AVERAGE(OFFSET($H$3,0,0,'Données projet'!$E$17+1,1))</f>
        <v>118.7368745</v>
      </c>
      <c r="GF130" s="133">
        <f t="shared" si="51"/>
        <v>135.1233677</v>
      </c>
      <c r="GG130" s="134">
        <f>IF(ISNA(VLOOKUP(A130,'Données projet'!$A$243:$I$263,3,0)),0,VLOOKUP(A130,'Données projet'!$A$243:$I$263,3,0))</f>
        <v>0</v>
      </c>
      <c r="GH130" s="134">
        <f>IF(ISNA(VLOOKUP(A130,'Données projet'!$A$243:$I$263,4,0)),0,VLOOKUP(A130,'Données projet'!$A$243:$I$263,4,0))</f>
        <v>0</v>
      </c>
      <c r="GI130" s="135">
        <f>IF(ISNA(VLOOKUP(A130,'Données projet'!$A$243:$I$263,5,0)),0%,VLOOKUP(A130,'Données projet'!$A$243:$I$263,5,0)*VLOOKUP('Données projet'!$B$17,'Paramètres'!$A$1:$I$89,7,0))</f>
        <v>0</v>
      </c>
      <c r="GJ130" s="135">
        <f>IF(ISNA(VLOOKUP(A130,'Données projet'!$A$243:$I$263,6,0)),0%,VLOOKUP(A130,'Données projet'!$A$243:$I$263,6,0)*VLOOKUP('Données projet'!$B$17,'Paramètres'!$A$1:$I$89,7,0))</f>
        <v>0</v>
      </c>
      <c r="GK130" s="135">
        <f>IF(ISNA(VLOOKUP(A130,'Données projet'!$A$243:$I$263,7,0)),0%,VLOOKUP(A130,'Données projet'!$A$243:$I$263,7,0))</f>
        <v>0</v>
      </c>
      <c r="GL130" s="142">
        <f>EXP(-LN(2)/35)*GL129+(1-EXP(-LN(2)/35))/(LN(2)/35)*GH130*GI130*VLOOKUP('Données projet'!$B$17,'Paramètres'!$A$1:$I$89,3,0)*0.475*44/12</f>
        <v>27.55534703</v>
      </c>
      <c r="GM130" s="142">
        <f>EXP(-LN(2)/25)*GM129+(1-EXP(-LN(2)/25))/(LN(2)/25)*Calculateur!GH130*Calculateur!GJ130*VLOOKUP('Données projet'!$B$17,'Paramètres'!$A$1:$I$89,3,0)*0.475*44/12</f>
        <v>0</v>
      </c>
      <c r="GN130" s="142">
        <f>EXP(-LN(2)/2)*GN129+(1-EXP(-LN(2)/2))/(LN(2)/2)*GH130*GK130*VLOOKUP('Données projet'!$B$17,'Paramètres'!$A$1:$I$89,3,0)*0.475*44/12</f>
        <v>0</v>
      </c>
      <c r="GO130" s="142">
        <f t="shared" si="28"/>
        <v>27.55534703</v>
      </c>
      <c r="GP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1" t="str">
        <f>VLOOKUP(A130,'Données projet'!$A$269:$I$289,2,0)</f>
        <v>#N/A</v>
      </c>
      <c r="GS130" s="131" t="str">
        <f>VLOOKUP(A130,'Données projet'!$A$269:$I$289,9,0)</f>
        <v>#N/A</v>
      </c>
      <c r="GT130" s="131" t="str">
        <f t="array" ref="GT130">INDEX(GS:GS,MIN(IF(ISNUMBER(GS130:GS326),ROW(GS130:GS326),"")))</f>
        <v/>
      </c>
      <c r="GU130" s="138">
        <f>IF('Données projet'!$A$270&gt;35,GU129+GT130-HC129,IF(A130&lt;'Données projet'!$A$270,$GR$205^A130,IF(A130='Données projet'!$A$270,'Données projet'!$B$270,GU129+GT130-HC129)))</f>
        <v>0</v>
      </c>
      <c r="GV130" s="138">
        <f>GU130*VLOOKUP('Données projet'!$B$18,'Paramètres'!$A$1:$I$89,3,0)*VLOOKUP('Données projet'!$B$18,'Paramètres'!$A$1:$I$89,5,0)</f>
        <v>0</v>
      </c>
      <c r="GW130" s="130" t="str">
        <f t="shared" si="52"/>
        <v>#NUM!</v>
      </c>
      <c r="GX130" s="141" t="str">
        <f t="shared" si="29"/>
        <v>#NUM!</v>
      </c>
      <c r="GY130" s="133" t="str">
        <f t="shared" si="30"/>
        <v>#NUM!</v>
      </c>
      <c r="GZ130" s="133">
        <f>AVERAGE(OFFSET($GY$3,0,0,'Données projet'!$E$18+1,1))-AVERAGE(OFFSET($H$3,0,0,'Données projet'!$E$18+1,1))</f>
        <v>100.5427875</v>
      </c>
      <c r="HA130" s="133">
        <f t="shared" si="53"/>
        <v>92.28663609</v>
      </c>
      <c r="HB130" s="134">
        <f>IF(ISNA(VLOOKUP(A130,'Données projet'!$A$269:$I$289,3,0)),0,VLOOKUP(A130,'Données projet'!$A$269:$I$289,3,0))</f>
        <v>0</v>
      </c>
      <c r="HC130" s="134">
        <f>IF(ISNA(VLOOKUP(A130,'Données projet'!$A$269:$I$289,4,0)),0,VLOOKUP(A130,'Données projet'!$A$269:$I$289,4,0))</f>
        <v>0</v>
      </c>
      <c r="HD130" s="135">
        <f>IF(ISNA(VLOOKUP(A130,'Données projet'!$A$269:$I$289,5,0)),0%,VLOOKUP(A130,'Données projet'!$A$269:$I$289,5,0)*VLOOKUP('Données projet'!$B$18,'Paramètres'!$A$1:$I$89,7,0))</f>
        <v>0</v>
      </c>
      <c r="HE130" s="135">
        <f>IF(ISNA(VLOOKUP(A130,'Données projet'!$A$269:$I$289,6,0)),0%,VLOOKUP(A130,'Données projet'!$A$269:$I$289,6,0)*VLOOKUP('Données projet'!$B$18,'Paramètres'!$A$1:$I$89,7,0))</f>
        <v>0</v>
      </c>
      <c r="HF130" s="135">
        <f>IF(ISNA(VLOOKUP(A130,'Données projet'!$A$269:$I$289,7,0)),0%,VLOOKUP(A130,'Données projet'!$A$269:$I$289,7,0))</f>
        <v>0</v>
      </c>
      <c r="HG130" s="142">
        <f>EXP(-LN(2)/35)*HG129+(1-EXP(-LN(2)/35))/(LN(2)/35)*HC130*HD130*VLOOKUP('Données projet'!$B$18,'Paramètres'!$A$1:$I$89,3,0)*0.475*44/12</f>
        <v>18.76461002</v>
      </c>
      <c r="HH130" s="142">
        <f>EXP(-LN(2)/25)*HH129+(1-EXP(-LN(2)/25))/(LN(2)/25)*Calculateur!HC130*Calculateur!HE130*VLOOKUP('Données projet'!$B$18,'Paramètres'!$A$1:$I$89,3,0)*0.475*44/12</f>
        <v>0</v>
      </c>
      <c r="HI130" s="142">
        <f>EXP(-LN(2)/2)*HI129+(1-EXP(-LN(2)/2))/(LN(2)/2)*HC130*HF130*VLOOKUP('Données projet'!$B$18,'Paramètres'!$A$1:$I$89,3,0)*0.475*44/12</f>
        <v>0</v>
      </c>
      <c r="HJ130" s="143">
        <f t="shared" si="31"/>
        <v>18.76461002</v>
      </c>
    </row>
    <row r="131" ht="15.75" customHeight="1">
      <c r="A131" s="125">
        <f t="shared" si="32"/>
        <v>128</v>
      </c>
      <c r="B131" s="126">
        <f>'Scénario référence'!$B$16*5+'Scénario référence'!$B$17*0+'Scénario référence'!$B$18*5</f>
        <v>0</v>
      </c>
      <c r="C131" s="140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69.888</v>
      </c>
      <c r="D131" s="127">
        <f t="shared" si="33"/>
        <v>19.64564143</v>
      </c>
      <c r="E13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7">
        <f>IF(OR('Scénario référence'!$F$8&gt;0,'Scénario référence'!$F$9&gt;0),('Scénario référence'!$F$8+'Scénario référence'!$F$9)*10,0)</f>
        <v>10</v>
      </c>
      <c r="G131" s="127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</v>
      </c>
      <c r="H131" s="128">
        <f t="shared" si="1"/>
        <v>449.2710922</v>
      </c>
      <c r="I131" s="12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1" t="str">
        <f>VLOOKUP(A131,'Données projet'!$A$35:$I$55,2,0)</f>
        <v>#N/A</v>
      </c>
      <c r="L131" s="131" t="str">
        <f>VLOOKUP(A131,'Données projet'!$A$35:$I$55,9,0)</f>
        <v>#N/A</v>
      </c>
      <c r="M131" s="131" t="str">
        <f t="array" ref="M131">INDEX(L:L,MIN(IF(ISNUMBER(L131:L327),ROW(L131:L327),"")))</f>
        <v/>
      </c>
      <c r="N131" s="130">
        <f>IF('Données projet'!$A$36&gt;35,N130+M131-V130,IF(A131&lt;'Données projet'!$A$36,$K$205^A131,IF(A131='Données projet'!$A$36,'Données projet'!$B$36,N130+M131-V130)))</f>
        <v>0</v>
      </c>
      <c r="O131" s="130">
        <f>N131*VLOOKUP('Données projet'!$B$9,'Paramètres'!$A$1:$I$89,3,0)*VLOOKUP('Données projet'!$B$9,'Paramètres'!$A$1:$I$89,5,0)</f>
        <v>0</v>
      </c>
      <c r="P131" s="130">
        <f t="shared" si="34"/>
        <v>0</v>
      </c>
      <c r="Q131" s="141">
        <f t="shared" si="2"/>
        <v>0</v>
      </c>
      <c r="R131" s="133">
        <f t="shared" si="3"/>
        <v>293.3333333</v>
      </c>
      <c r="S131" s="133">
        <f>AVERAGE(OFFSET($R$3,0,0,'Données projet'!$E$9+1,1))-AVERAGE(OFFSET($H$3,0,0,'Données projet'!$E$9+1,1))</f>
        <v>126.9946492</v>
      </c>
      <c r="T131" s="133">
        <f t="shared" si="35"/>
        <v>140.039049</v>
      </c>
      <c r="U131" s="134">
        <f>IF(ISNA(VLOOKUP(A131,'Données projet'!$A$35:$I$55,3,0)),0,VLOOKUP(A131,'Données projet'!$A$35:$I$55,3,0))</f>
        <v>0</v>
      </c>
      <c r="V131" s="134">
        <f>IF(ISNA(VLOOKUP(A131,'Données projet'!$A$35:$I$55,4,0)),0,VLOOKUP(A131,'Données projet'!$A$35:$I$55,4,0))</f>
        <v>0</v>
      </c>
      <c r="W131" s="135">
        <f>IF(ISNA(VLOOKUP(A131,'Données projet'!$A$35:$I$55,5,0)),0%,VLOOKUP(A131,'Données projet'!$A$35:$I$55,5,0)*VLOOKUP('Données projet'!$B$9,'Paramètres'!$A$1:$I$89,7,0))</f>
        <v>0</v>
      </c>
      <c r="X131" s="135">
        <f>IF(ISNA(VLOOKUP(A131,'Données projet'!$A$35:$I$55,6,0)),0%,VLOOKUP(A131,'Données projet'!$A$35:$I$55,6,0)*VLOOKUP('Données projet'!$B$9,'Paramètres'!$A$1:$I$89,7,0))</f>
        <v>0</v>
      </c>
      <c r="Y131" s="135">
        <f>IF(ISNA(VLOOKUP(A131,'Données projet'!$A$35:$I$55,7,0)),0%,VLOOKUP(A131,'Données projet'!$A$35:$I$55,7,0))</f>
        <v>0</v>
      </c>
      <c r="Z131" s="142">
        <f>EXP(-LN(2)/35)*Z130+(1-EXP(-LN(2)/35))/(LN(2)/35)*V131*W131*VLOOKUP('Données projet'!$B$9,'Paramètres'!$A$1:$I$89,3,0)*0.475*44/12</f>
        <v>27.63033493</v>
      </c>
      <c r="AA131" s="142">
        <f>EXP(-LN(2)/25)*AA130+(1-EXP(-LN(2)/25))/(LN(2)/25)*Calculateur!V131*Calculateur!X131*VLOOKUP('Données projet'!$B$9,'Paramètres'!$A$1:$I$89,3,0)*0.475*44/12</f>
        <v>3.527030848</v>
      </c>
      <c r="AB131" s="142">
        <f>EXP(-LN(2)/2)*AB130+(1-EXP(-LN(2)/2))/(LN(2)/2)*V131*Y131*VLOOKUP('Données projet'!$B$9,'Paramètres'!$A$1:$I$89,3,0)*0.475*44/12</f>
        <v>0.00000000110532688</v>
      </c>
      <c r="AC131" s="143">
        <f t="shared" si="4"/>
        <v>31.15736578</v>
      </c>
      <c r="AD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1" t="str">
        <f>VLOOKUP(A131,'Données projet'!$A$61:$I$81,2,0)</f>
        <v>#N/A</v>
      </c>
      <c r="AG131" s="131" t="str">
        <f>VLOOKUP(A131,'Données projet'!$A$61:$I$81,9,0)</f>
        <v>#N/A</v>
      </c>
      <c r="AH131" s="131" t="str">
        <f t="array" ref="AH131">INDEX(AG:AG,MIN(IF(ISNUMBER(AG131:AG327),ROW(AG131:AG327),"")))</f>
        <v/>
      </c>
      <c r="AI131" s="130">
        <f>IF('Données projet'!$A$62&gt;35,AI130+AH131-AQ130,IF(A131&lt;'Données projet'!$A$62,$AF$205^A131,IF(A131='Données projet'!$A$62,'Données projet'!$B$62,AI130+AH131-AQ130)))</f>
        <v>0</v>
      </c>
      <c r="AJ131" s="130">
        <f>AI131*VLOOKUP('Données projet'!$B$10,'Paramètres'!$A$1:$I$89,3,0)*VLOOKUP('Données projet'!$B$10,'Paramètres'!$A$1:$I$89,5,0)</f>
        <v>0</v>
      </c>
      <c r="AK131" s="130" t="str">
        <f t="shared" si="36"/>
        <v>#NUM!</v>
      </c>
      <c r="AL131" s="141" t="str">
        <f t="shared" si="5"/>
        <v>#NUM!</v>
      </c>
      <c r="AM131" s="133" t="str">
        <f t="shared" si="6"/>
        <v>#NUM!</v>
      </c>
      <c r="AN131" s="133">
        <f>AVERAGE(OFFSET($AM$3,0,0,'Données projet'!$E$10+1,1))-AVERAGE(OFFSET($H$3,0,0,'Données projet'!$E$10+1,1))</f>
        <v>196.874484</v>
      </c>
      <c r="AO131" s="133">
        <f t="shared" si="37"/>
        <v>217.5750859</v>
      </c>
      <c r="AP131" s="134">
        <f>IF(ISNA(VLOOKUP(A131,'Données projet'!$A$61:$I$81,3,0)),0,VLOOKUP(A131,'Données projet'!$A$61:$I$81,3,0))</f>
        <v>0</v>
      </c>
      <c r="AQ131" s="134">
        <f>IF(ISNA(VLOOKUP(A131,'Données projet'!$A$61:$I$81,4,0)),0,VLOOKUP(A131,'Données projet'!$A$61:$I$81,4,0))</f>
        <v>0</v>
      </c>
      <c r="AR131" s="135">
        <f>IF(ISNA(VLOOKUP(A131,'Données projet'!$A$61:$I$81,5,0)),0%,VLOOKUP(A131,'Données projet'!$A$61:$I$81,5,0)*VLOOKUP('Données projet'!$B$10,'Paramètres'!$A$1:$I$89,7,0))</f>
        <v>0</v>
      </c>
      <c r="AS131" s="135">
        <f>IF(ISNA(VLOOKUP(A131,'Données projet'!$A$61:$I$81,6,0)),0%,VLOOKUP(A131,'Données projet'!$A$61:$I$81,6,0)*VLOOKUP('Données projet'!$B$10,'Paramètres'!$A$1:$I$89,7,0))</f>
        <v>0</v>
      </c>
      <c r="AT131" s="135">
        <f>IF(ISNA(VLOOKUP(A131,'Données projet'!$A$61:$I$81,7,0)),0%,VLOOKUP(A131,'Données projet'!$A$61:$I$81,7,0))</f>
        <v>0</v>
      </c>
      <c r="AU131" s="142">
        <f>EXP(-LN(2)/35)*AU130+(1-EXP(-LN(2)/35))/(LN(2)/35)*AQ131*AR131*VLOOKUP('Données projet'!$B$10,'Paramètres'!$A$1:$I$89,3,0)*0.475*44/12</f>
        <v>38.40538075</v>
      </c>
      <c r="AV131" s="142">
        <f>EXP(-LN(2)/25)*AV130+(1-EXP(-LN(2)/25))/(LN(2)/25)*Calculateur!AQ131*Calculateur!AS131*VLOOKUP('Données projet'!$B$10,'Paramètres'!$A$1:$I$89,3,0)*0.475*44/12</f>
        <v>5.422814641</v>
      </c>
      <c r="AW131" s="142">
        <f>EXP(-LN(2)/2)*AW130+(1-EXP(-LN(2)/2))/(LN(2)/2)*AQ131*AT131*VLOOKUP('Données projet'!$B$10,'Paramètres'!$A$1:$I$89,3,0)*0.475*44/12</f>
        <v>0.000000001541057742</v>
      </c>
      <c r="AX131" s="142">
        <f t="shared" si="7"/>
        <v>43.82819539</v>
      </c>
      <c r="AY131" s="13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1" t="str">
        <f>VLOOKUP(A131,'Données projet'!$A$87:$I$107,2,0)</f>
        <v>#N/A</v>
      </c>
      <c r="BB131" s="131" t="str">
        <f>VLOOKUP(A131,'Données projet'!$A$87:$I$107,9,0)</f>
        <v>#N/A</v>
      </c>
      <c r="BC131" s="131" t="str">
        <f t="array" ref="BC131">INDEX(BB:BB,MIN(IF(ISNUMBER(BB131:BB327),ROW(BB131:BB327),"")))</f>
        <v/>
      </c>
      <c r="BD131" s="130">
        <f>IF('Données projet'!$A$88&gt;35,BD130+BC131-BL130,IF(A131&lt;'Données projet'!$A$88,$BA$205^A131,IF(A131='Données projet'!$A$88,'Données projet'!$B$88,BD130+BC131-BL130)))</f>
        <v>0</v>
      </c>
      <c r="BE131" s="130">
        <f>BD131*VLOOKUP('Données projet'!$B$11,'Paramètres'!$A$1:$I$89,3,0)*VLOOKUP('Données projet'!$B$11,'Paramètres'!$A$1:$I$89,5,0)</f>
        <v>0</v>
      </c>
      <c r="BF131" s="130" t="str">
        <f t="shared" si="38"/>
        <v>#NUM!</v>
      </c>
      <c r="BG131" s="141" t="str">
        <f t="shared" si="8"/>
        <v>#NUM!</v>
      </c>
      <c r="BH131" s="133" t="str">
        <f t="shared" si="9"/>
        <v>#NUM!</v>
      </c>
      <c r="BI131" s="133">
        <f>AVERAGE(OFFSET($BH$3,0,0,'Données projet'!$E$11+1,1))-AVERAGE(OFFSET($H$3,0,0,'Données projet'!$E$11+1,1))</f>
        <v>134.0948534</v>
      </c>
      <c r="BJ131" s="133">
        <f t="shared" si="39"/>
        <v>108.4102536</v>
      </c>
      <c r="BK131" s="134">
        <f>IF(ISNA(VLOOKUP(A131,'Données projet'!$A$87:$I$107,3,0)),0,VLOOKUP(A131,'Données projet'!$A$87:$I$107,3,0))</f>
        <v>0</v>
      </c>
      <c r="BL131" s="134">
        <f>IF(ISNA(VLOOKUP(A131,'Données projet'!$A$87:$I$107,4,0)),0,VLOOKUP(A131,'Données projet'!$A$87:$I$107,4,0))</f>
        <v>0</v>
      </c>
      <c r="BM131" s="135">
        <f>IF(ISNA(VLOOKUP(A131,'Données projet'!$A$87:$I$107,5,0)),0%,VLOOKUP(A131,'Données projet'!$A$87:$I$107,5,0)*VLOOKUP('Données projet'!$B$11,'Paramètres'!$A$1:$I$89,7,0))</f>
        <v>0</v>
      </c>
      <c r="BN131" s="135">
        <f>IF(ISNA(VLOOKUP(A131,'Données projet'!$A$87:$I$107,6,0)),0%,VLOOKUP(A131,'Données projet'!$A$87:$I$107,6,0)*VLOOKUP('Données projet'!$B$11,'Paramètres'!$A$1:$I$89,7,0))</f>
        <v>0</v>
      </c>
      <c r="BO131" s="135">
        <f>IF(ISNA(VLOOKUP(A131,'Données projet'!$A$87:$I$107,7,0)),0%,VLOOKUP(A131,'Données projet'!$A$87:$I$107,7,0))</f>
        <v>0</v>
      </c>
      <c r="BP131" s="142">
        <f>EXP(-LN(2)/35)*BP130+(1-EXP(-LN(2)/35))/(LN(2)/35)*BL131*BM131*VLOOKUP('Données projet'!$B$11,'Paramètres'!$A$1:$I$89,3,0)*0.475*44/12</f>
        <v>53.1218141</v>
      </c>
      <c r="BQ131" s="142">
        <f>EXP(-LN(2)/25)*BQ130+(1-EXP(-LN(2)/25))/(LN(2)/25)*Calculateur!BL131*Calculateur!BN131*VLOOKUP('Données projet'!$B$11,'Paramètres'!$A$1:$I$89,3,0)*0.475*44/12</f>
        <v>3.420716131</v>
      </c>
      <c r="BR131" s="142">
        <f>EXP(-LN(2)/2)*BR130+(1-EXP(-LN(2)/2))/(LN(2)/2)*BL131*BO131*VLOOKUP('Données projet'!$B$11,'Paramètres'!$A$1:$I$89,3,0)*0.475*44/12</f>
        <v>0.00000002055549869</v>
      </c>
      <c r="BS131" s="143">
        <f t="shared" si="10"/>
        <v>56.54253025</v>
      </c>
      <c r="BT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1" t="str">
        <f>VLOOKUP(A131,'Données projet'!$A$113:$I$133,2,0)</f>
        <v>#N/A</v>
      </c>
      <c r="BW131" s="131" t="str">
        <f>VLOOKUP(A131,'Données projet'!$A$113:$I$133,9,0)</f>
        <v>#N/A</v>
      </c>
      <c r="BX131" s="131" t="str">
        <f t="array" ref="BX131">INDEX(BW:BW,MIN(IF(ISNUMBER(BW131:BW327),ROW(BW131:BW327),"")))</f>
        <v/>
      </c>
      <c r="BY131" s="130">
        <f>IF('Données projet'!$A$114&gt;35,BY130+BX131-CG130,IF(A131&lt;'Données projet'!$A$114,$BV$205^A131,IF(A131='Données projet'!$A$114,'Données projet'!$B$114,BY130+BX131-CG130)))</f>
        <v>0</v>
      </c>
      <c r="BZ131" s="130">
        <f>BY131*VLOOKUP('Données projet'!$B$12,'Paramètres'!$A$1:$I$89,3,0)*VLOOKUP('Données projet'!$B$12,'Paramètres'!$A$1:$I$89,5,0)</f>
        <v>0</v>
      </c>
      <c r="CA131" s="130" t="str">
        <f t="shared" si="40"/>
        <v>#NUM!</v>
      </c>
      <c r="CB131" s="141" t="str">
        <f t="shared" si="11"/>
        <v>#NUM!</v>
      </c>
      <c r="CC131" s="133" t="str">
        <f t="shared" si="12"/>
        <v>#NUM!</v>
      </c>
      <c r="CD131" s="133">
        <f>AVERAGE(OFFSET($CC$3,0,0,'Données projet'!$E$12+1,1))-AVERAGE(OFFSET($H$3,0,0,'Données projet'!$E$12+1,1))</f>
        <v>258.1672054</v>
      </c>
      <c r="CE131" s="133">
        <f t="shared" si="41"/>
        <v>296.0724261</v>
      </c>
      <c r="CF131" s="134">
        <f>IF(ISNA(VLOOKUP(A131,'Données projet'!$A$113:$I$133,3,0)),0,VLOOKUP(A131,'Données projet'!$A$113:$I$133,3,0))</f>
        <v>0</v>
      </c>
      <c r="CG131" s="134">
        <f>IF(ISNA(VLOOKUP(A131,'Données projet'!$A$113:$I$133,4,0)),0,VLOOKUP(A131,'Données projet'!$A$113:$I$133,4,0))</f>
        <v>0</v>
      </c>
      <c r="CH131" s="135">
        <f>IF(ISNA(VLOOKUP(A131,'Données projet'!$A$113:$I$133,5,0)),0%,VLOOKUP(A131,'Données projet'!$A$113:$I$133,5,0)*VLOOKUP('Données projet'!$B$12,'Paramètres'!$A$1:$I$89,7,0))</f>
        <v>0</v>
      </c>
      <c r="CI131" s="135">
        <f>IF(ISNA(VLOOKUP(A131,'Données projet'!$A$113:$I$133,6,0)),0%,VLOOKUP(A131,'Données projet'!$A$113:$I$133,6,0)*VLOOKUP('Données projet'!$B$12,'Paramètres'!$A$1:$I$89,7,0))</f>
        <v>0</v>
      </c>
      <c r="CJ131" s="135">
        <f>IF(ISNA(VLOOKUP(A131,'Données projet'!$A$113:$I$133,7,0)),0%,VLOOKUP(A131,'Données projet'!$A$113:$I$133,7,0))</f>
        <v>0</v>
      </c>
      <c r="CK131" s="142">
        <f>EXP(-LN(2)/35)*CK130+(1-EXP(-LN(2)/35))/(LN(2)/35)*CG131*CH131*VLOOKUP('Données projet'!$B$12,'Paramètres'!$A$1:$I$89,3,0)*0.475*44/12</f>
        <v>67.16222365</v>
      </c>
      <c r="CL131" s="142">
        <f>EXP(-LN(2)/25)*CL130+(1-EXP(-LN(2)/25))/(LN(2)/25)*Calculateur!CG131*Calculateur!CI131*VLOOKUP('Données projet'!$B$12,'Paramètres'!$A$1:$I$89,3,0)*0.475*44/12</f>
        <v>6.000130279</v>
      </c>
      <c r="CM131" s="142">
        <f>EXP(-LN(2)/2)*CM130+(1-EXP(-LN(2)/2))/(LN(2)/2)*CG131*CJ131*VLOOKUP('Données projet'!$B$12,'Paramètres'!$A$1:$I$89,3,0)*0.475*44/12</f>
        <v>0.0000000008659788978</v>
      </c>
      <c r="CN131" s="143">
        <f t="shared" si="13"/>
        <v>73.16235393</v>
      </c>
      <c r="CO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1" t="str">
        <f>VLOOKUP(A131,'Données projet'!$A$139:$I$159,2,0)</f>
        <v>#N/A</v>
      </c>
      <c r="CR131" s="131" t="str">
        <f>VLOOKUP(A131,'Données projet'!$A$139:$I$159,9,0)</f>
        <v>#N/A</v>
      </c>
      <c r="CS131" s="130">
        <f t="array" ref="CS131">INDEX(CR:CR,MIN(IF(ISNUMBER(CR131:CR327),ROW(CR131:CR327),"")))</f>
        <v>1.1</v>
      </c>
      <c r="CT131" s="138">
        <f>IF('Données projet'!$A$140&gt;35,CT130+CS131-DB130,IF(A131&lt;'Données projet'!$A$140,$CQ$205^A131,IF(A131='Données projet'!$A$140,'Données projet'!$B$140,CT130+CS131-DB130)))</f>
        <v>217.8</v>
      </c>
      <c r="CU131" s="138">
        <f>CT131*VLOOKUP('Données projet'!$B$13,'Paramètres'!$A$1:$I$89,3,0)*VLOOKUP('Données projet'!$B$13,'Paramètres'!$A$1:$I$89,5,0)</f>
        <v>220.8492</v>
      </c>
      <c r="CV131" s="130">
        <f t="shared" si="42"/>
        <v>54.29941374</v>
      </c>
      <c r="CW131" s="141">
        <f t="shared" si="14"/>
        <v>479.2171689</v>
      </c>
      <c r="CX131" s="133">
        <f t="shared" si="15"/>
        <v>772.5505023</v>
      </c>
      <c r="CY131" s="133">
        <f>AVERAGE(OFFSET($CX$3,0,0,'Données projet'!$E$13+1,1))-AVERAGE(OFFSET($H$3,0,0,'Données projet'!$E$13+1,1))</f>
        <v>223.783507</v>
      </c>
      <c r="CZ131" s="133">
        <f t="shared" si="43"/>
        <v>84.92349117</v>
      </c>
      <c r="DA131" s="134">
        <f>IF(ISNA(VLOOKUP(A131,'Données projet'!$A$139:$I$159,3,0)),0,VLOOKUP(A131,'Données projet'!$A$139:$I$159,3,0))</f>
        <v>0</v>
      </c>
      <c r="DB131" s="134">
        <f>IF(ISNA(VLOOKUP(A131,'Données projet'!$A$139:$I$159,4,0)),0,VLOOKUP(A131,'Données projet'!$A$139:$I$159,4,0))</f>
        <v>0</v>
      </c>
      <c r="DC131" s="135">
        <f>IF(ISNA(VLOOKUP(A131,'Données projet'!$A$139:$I$159,5,0)),0%,VLOOKUP(A131,'Données projet'!$A$139:$I$159,5,0)*VLOOKUP('Données projet'!$B$13,'Paramètres'!$A$1:$I$89,7,0))</f>
        <v>0</v>
      </c>
      <c r="DD131" s="135">
        <f>IF(ISNA(VLOOKUP(A131,'Données projet'!$A$139:$I$159,6,0)),0%,VLOOKUP(A131,'Données projet'!$A$139:$I$159,6,0)*VLOOKUP('Données projet'!$B$13,'Paramètres'!$A$1:$I$89,7,0))</f>
        <v>0</v>
      </c>
      <c r="DE131" s="135">
        <f>IF(ISNA(VLOOKUP(A131,'Données projet'!$A$139:$I$159,7,0)),0%,VLOOKUP(A131,'Données projet'!$A$139:$I$159,7,0))</f>
        <v>0</v>
      </c>
      <c r="DF131" s="142">
        <f>EXP(-LN(2)/35)*DF130+(1-EXP(-LN(2)/35))/(LN(2)/35)*DB131*DC131*VLOOKUP('Données projet'!$B$13,'Paramètres'!$A$1:$I$89,3,0)*0.475*44/12</f>
        <v>19.03728184</v>
      </c>
      <c r="DG131" s="142">
        <f>EXP(-LN(2)/25)*DG130+(1-EXP(-LN(2)/25))/(LN(2)/25)*Calculateur!DB131*Calculateur!DD131*VLOOKUP('Données projet'!$B$13,'Paramètres'!$A$1:$I$89,3,0)*0.475*44/12</f>
        <v>0</v>
      </c>
      <c r="DH131" s="142">
        <f>EXP(-LN(2)/2)*DH130+(1-EXP(-LN(2)/2))/(LN(2)/2)*DB131*DE131*VLOOKUP('Données projet'!$B$13,'Paramètres'!$A$1:$I$89,3,0)*0.475*44/12</f>
        <v>0</v>
      </c>
      <c r="DI131" s="143">
        <f t="shared" si="16"/>
        <v>19.03728184</v>
      </c>
      <c r="DJ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1" t="str">
        <f>VLOOKUP(A131,'Données projet'!$A$165:$I$185,2,0)</f>
        <v>#N/A</v>
      </c>
      <c r="DM131" s="131" t="str">
        <f>VLOOKUP(A131,'Données projet'!$A$165:$I$185,9,0)</f>
        <v>#N/A</v>
      </c>
      <c r="DN131" s="131">
        <f t="array" ref="DN131">INDEX(DM:DM,MIN(IF(ISNUMBER(DM131:DM327),ROW(DM131:DM327),"")))</f>
        <v>1.6</v>
      </c>
      <c r="DO131" s="138">
        <f>IF('Données projet'!$A$166&gt;35,DO130+DN131-DW130,IF(A131&lt;'Données projet'!$A$166,$DL$205^A131,IF(A131='Données projet'!$A$166,'Données projet'!$B$166,DO130+DN131-DW130)))</f>
        <v>280.8</v>
      </c>
      <c r="DP131" s="138">
        <f>DO131*VLOOKUP('Données projet'!$B$14,'Paramètres'!$A$1:$I$89,3,0)*VLOOKUP('Données projet'!$B$14,'Paramètres'!$A$1:$I$89,5,0)</f>
        <v>254.06784</v>
      </c>
      <c r="DQ131" s="130">
        <f t="shared" si="44"/>
        <v>61.45618762</v>
      </c>
      <c r="DR131" s="141">
        <f t="shared" si="17"/>
        <v>549.5376814</v>
      </c>
      <c r="DS131" s="133">
        <f t="shared" si="18"/>
        <v>842.8710148</v>
      </c>
      <c r="DT131" s="133">
        <f>AVERAGE(OFFSET($DS$3,0,0,'Données projet'!$E$14+1,1))-AVERAGE(OFFSET($H$3,0,0,'Données projet'!$E$14+1,1))</f>
        <v>287.9334714</v>
      </c>
      <c r="DU131" s="133">
        <f t="shared" si="45"/>
        <v>156.6796502</v>
      </c>
      <c r="DV131" s="134">
        <f>IF(ISNA(VLOOKUP(A131,'Données projet'!$A$165:$I$185,3,0)),0,VLOOKUP(A131,'Données projet'!$A$165:$I$185,3,0))</f>
        <v>0</v>
      </c>
      <c r="DW131" s="134">
        <f>IF(ISNA(VLOOKUP(A131,'Données projet'!$A$165:$I$185,4,0)),0,VLOOKUP(A131,'Données projet'!$A$165:$I$185,4,0))</f>
        <v>0</v>
      </c>
      <c r="DX131" s="135">
        <f>IF(ISNA(VLOOKUP(A131,'Données projet'!$A$165:$I$185,5,0)),0%,VLOOKUP(A131,'Données projet'!$A$165:$I$185,5,0)*VLOOKUP('Données projet'!$B$14,'Paramètres'!$A$1:$I$89,7,0))</f>
        <v>0</v>
      </c>
      <c r="DY131" s="135">
        <f>IF(ISNA(VLOOKUP(A131,'Données projet'!$A$165:$I$185,6,0)),0%,VLOOKUP(A131,'Données projet'!$A$165:$I$185,6,0)*VLOOKUP('Données projet'!$B$14,'Paramètres'!$A$1:$I$89,7,0))</f>
        <v>0</v>
      </c>
      <c r="DZ131" s="135">
        <f>IF(ISNA(VLOOKUP(A131,'Données projet'!$A$165:$I$185,7,0)),0%,VLOOKUP(A131,'Données projet'!$A$165:$I$185,7,0))</f>
        <v>0</v>
      </c>
      <c r="EA131" s="142">
        <f>EXP(-LN(2)/35)*EA130+(1-EXP(-LN(2)/35))/(LN(2)/35)*DW131*DX131*VLOOKUP('Données projet'!$B$14,'Paramètres'!$A$1:$I$89,3,0)*0.475*44/12</f>
        <v>27.45861115</v>
      </c>
      <c r="EB131" s="142">
        <f>EXP(-LN(2)/25)*EB130+(1-EXP(-LN(2)/25))/(LN(2)/25)*Calculateur!DW131*Calculateur!DY131*VLOOKUP('Données projet'!$B$14,'Paramètres'!$A$1:$I$89,3,0)*0.475*44/12</f>
        <v>0</v>
      </c>
      <c r="EC131" s="142">
        <f>EXP(-LN(2)/2)*EC130+(1-EXP(-LN(2)/2))/(LN(2)/2)*DW131*DZ131*VLOOKUP('Données projet'!$B$14,'Paramètres'!$A$1:$I$89,3,0)*0.475*44/12</f>
        <v>0</v>
      </c>
      <c r="ED131" s="143">
        <f t="shared" si="19"/>
        <v>27.45861115</v>
      </c>
      <c r="EE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1" t="str">
        <f>VLOOKUP(A131,'Données projet'!$A$191:$I$211,2,0)</f>
        <v>#N/A</v>
      </c>
      <c r="EH131" s="131" t="str">
        <f>VLOOKUP(A131,'Données projet'!$A$191:$I$211,9,0)</f>
        <v>#N/A</v>
      </c>
      <c r="EI131" s="131" t="str">
        <f t="array" ref="EI131">INDEX(EH:EH,MIN(IF(ISNUMBER(EH131:EH327),ROW(EH131:EH327),"")))</f>
        <v/>
      </c>
      <c r="EJ131" s="138">
        <f>IF('Données projet'!$A$192&gt;35,EJ130+EI131-ER130,IF(A131&lt;'Données projet'!$A$192,$EG$205^A131,IF(A131='Données projet'!$A$192,'Données projet'!$B$192,EJ130+EI131-ER130)))</f>
        <v>0</v>
      </c>
      <c r="EK131" s="138">
        <f>EJ131*VLOOKUP('Données projet'!$B$15,'Paramètres'!$A$1:$I$89,3,0)*VLOOKUP('Données projet'!$B$15,'Paramètres'!$A$1:$I$89,5,0)</f>
        <v>0</v>
      </c>
      <c r="EL131" s="130" t="str">
        <f t="shared" si="46"/>
        <v>#NUM!</v>
      </c>
      <c r="EM131" s="141" t="str">
        <f t="shared" si="20"/>
        <v>#NUM!</v>
      </c>
      <c r="EN131" s="133" t="str">
        <f t="shared" si="21"/>
        <v>#NUM!</v>
      </c>
      <c r="EO131" s="133">
        <f>AVERAGE(OFFSET($EN$3,0,0,'Données projet'!$E$15+1,1))-AVERAGE(OFFSET($H$3,0,0,'Données projet'!$E$15+1,1))</f>
        <v>130.3193339</v>
      </c>
      <c r="EP131" s="133">
        <f t="shared" si="47"/>
        <v>82.22784365</v>
      </c>
      <c r="EQ131" s="134">
        <f>IF(ISNA(VLOOKUP(A131,'Données projet'!$A$191:$I$211,3,0)),0,VLOOKUP(A131,'Données projet'!$A$191:$I$211,3,0))</f>
        <v>0</v>
      </c>
      <c r="ER131" s="134">
        <f>IF(ISNA(VLOOKUP(A131,'Données projet'!$A$191:$I$211,4,0)),0,VLOOKUP(A131,'Données projet'!$A$191:$I$211,4,0))</f>
        <v>0</v>
      </c>
      <c r="ES131" s="135">
        <f>IF(ISNA(VLOOKUP(A131,'Données projet'!$A$191:$I$211,5,0)),0%,VLOOKUP(A131,'Données projet'!$A$191:$I$211,5,0)*VLOOKUP('Données projet'!$B$15,'Paramètres'!$A$1:$I$89,7,0))</f>
        <v>0</v>
      </c>
      <c r="ET131" s="135">
        <f>IF(ISNA(VLOOKUP(A131,'Données projet'!$A$191:$I$211,6,0)),0%,VLOOKUP(A131,'Données projet'!$A$191:$I$211,6,0)*VLOOKUP('Données projet'!$B$15,'Paramètres'!$A$1:$I$89,7,0))</f>
        <v>0</v>
      </c>
      <c r="EU131" s="135">
        <f>IF(ISNA(VLOOKUP(A131,'Données projet'!$A$191:$I$211,7,0)),0%,VLOOKUP(A131,'Données projet'!$A$191:$I$211,7,0))</f>
        <v>0</v>
      </c>
      <c r="EV131" s="142">
        <f>EXP(-LN(2)/35)*EV130+(1-EXP(-LN(2)/35))/(LN(2)/35)*ER131*ES131*VLOOKUP('Données projet'!$B$15,'Paramètres'!$A$1:$I$89,3,0)*0.475*44/12</f>
        <v>41.06831036</v>
      </c>
      <c r="EW131" s="142">
        <f>EXP(-LN(2)/25)*EW130+(1-EXP(-LN(2)/25))/(LN(2)/25)*Calculateur!ER131*Calculateur!ET131*VLOOKUP('Données projet'!$B$15,'Paramètres'!$A$1:$I$89,3,0)*0.475*44/12</f>
        <v>0</v>
      </c>
      <c r="EX131" s="142">
        <f>EXP(-LN(2)/2)*EX130+(1-EXP(-LN(2)/2))/(LN(2)/2)*ER131*EU131*VLOOKUP('Données projet'!$B$15,'Paramètres'!$A$1:$I$89,3,0)*0.475*44/12</f>
        <v>0</v>
      </c>
      <c r="EY131" s="143">
        <f t="shared" si="22"/>
        <v>41.06831036</v>
      </c>
      <c r="EZ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1" t="str">
        <f>VLOOKUP(A131,'Données projet'!$A$217:$I$237,2,0)</f>
        <v>#N/A</v>
      </c>
      <c r="FC131" s="131" t="str">
        <f>VLOOKUP(A131,'Données projet'!$A$217:$I$237,9,0)</f>
        <v>#N/A</v>
      </c>
      <c r="FD131" s="131" t="str">
        <f t="array" ref="FD131">INDEX(FC:FC,MIN(IF(ISNUMBER(FC131:FC327),ROW(FC131:FC327),"")))</f>
        <v/>
      </c>
      <c r="FE131" s="130">
        <f>IF('Données projet'!$A$218&gt;35,FE130+FD131-FM130,IF(A131&lt;'Données projet'!$A$218,$FB$205^A131,IF(A131='Données projet'!$A$218,'Données projet'!$B$218,FE130+FD131-FM130)))</f>
        <v>0</v>
      </c>
      <c r="FF131" s="138">
        <f>FE131*VLOOKUP('Données projet'!$B$16,'Paramètres'!$A$1:$I$89,3,0)*VLOOKUP('Données projet'!$B$16,'Paramètres'!$A$1:$I$89,5,0)</f>
        <v>0</v>
      </c>
      <c r="FG131" s="130">
        <f t="shared" si="48"/>
        <v>0</v>
      </c>
      <c r="FH131" s="141">
        <f t="shared" si="23"/>
        <v>0</v>
      </c>
      <c r="FI131" s="133">
        <f t="shared" si="24"/>
        <v>293.3333333</v>
      </c>
      <c r="FJ131" s="133">
        <f>AVERAGE(OFFSET($FI$3,0,0,'Données projet'!$E$16+1,1))-AVERAGE(OFFSET($H$3,0,0,'Données projet'!$E$16+1,1))</f>
        <v>305.6252353</v>
      </c>
      <c r="FK131" s="133">
        <f t="shared" si="49"/>
        <v>331.397916</v>
      </c>
      <c r="FL131" s="134">
        <f>IF(ISNA(VLOOKUP(A131,'Données projet'!$A$217:$I$237,3,0)),0,VLOOKUP(A131,'Données projet'!$A$217:$I$237,3,0))</f>
        <v>0</v>
      </c>
      <c r="FM131" s="134">
        <f>IF(ISNA(VLOOKUP(A131,'Données projet'!$A$217:$I$237,4,0)),0,VLOOKUP(A131,'Données projet'!$A$217:$I$237,4,0))</f>
        <v>0</v>
      </c>
      <c r="FN131" s="135">
        <f>IF(ISNA(VLOOKUP(A131,'Données projet'!$A$217:$I$237,5,0)),0%,VLOOKUP(A131,'Données projet'!$A$217:$I$237,5,0)*VLOOKUP('Données projet'!$B$16,'Paramètres'!$A$1:$I$89,7,0))</f>
        <v>0</v>
      </c>
      <c r="FO131" s="135">
        <f>IF(ISNA(VLOOKUP(A131,'Données projet'!$A$217:$I$237,6,0)),0%,VLOOKUP(A131,'Données projet'!$A$217:$I$237,6,0)*VLOOKUP('Données projet'!$B$16,'Paramètres'!$A$1:$I$89,7,0))</f>
        <v>0</v>
      </c>
      <c r="FP131" s="135">
        <f>IF(ISNA(VLOOKUP(A131,'Données projet'!$A$217:$I$237,7,0)),0%,VLOOKUP(A131,'Données projet'!$A$217:$I$237,7,0))</f>
        <v>0</v>
      </c>
      <c r="FQ131" s="142">
        <f>EXP(-LN(2)/35)*FQ130+(1-EXP(-LN(2)/35))/(LN(2)/35)*FM131*FN131*VLOOKUP('Données projet'!$B$16,'Paramètres'!$A$1:$I$89,3,0)*0.475*44/12</f>
        <v>25.57035737</v>
      </c>
      <c r="FR131" s="142">
        <f>EXP(-LN(2)/25)*FR130+(1-EXP(-LN(2)/25))/(LN(2)/25)*Calculateur!FM131*Calculateur!FO131*VLOOKUP('Données projet'!$B$16,'Paramètres'!$A$1:$I$89,3,0)*0.475*44/12</f>
        <v>0</v>
      </c>
      <c r="FS131" s="142">
        <f>EXP(-LN(2)/2)*FS130+(1-EXP(-LN(2)/2))/(LN(2)/2)*FM131*FP131*VLOOKUP('Données projet'!$B$16,'Paramètres'!$A$1:$I$89,3,0)*0.475*44/12</f>
        <v>0</v>
      </c>
      <c r="FT131" s="143">
        <f t="shared" si="25"/>
        <v>25.57035737</v>
      </c>
      <c r="FU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1" t="str">
        <f>VLOOKUP(A131,'Données projet'!$A$243:$I$263,2,0)</f>
        <v>#N/A</v>
      </c>
      <c r="FX131" s="131" t="str">
        <f>VLOOKUP(A131,'Données projet'!$A$243:$I$263,9,0)</f>
        <v>#N/A</v>
      </c>
      <c r="FY131" s="131" t="str">
        <f t="array" ref="FY131">INDEX(FX:FX,MIN(IF(ISNUMBER(FX131:FX327),ROW(FX131:FX327),"")))</f>
        <v/>
      </c>
      <c r="FZ131" s="138">
        <f>IF('Données projet'!$A$244&gt;35,FZ130+FY131-GH130,IF(A131&lt;'Données projet'!$A$244,$FW$205^A131,IF(A131='Données projet'!$A$244,'Données projet'!$B$244,FZ130+FY131-GH130)))</f>
        <v>0</v>
      </c>
      <c r="GA131" s="138">
        <f>FZ131*VLOOKUP('Données projet'!$B$17,'Paramètres'!$A$1:$I$89,3,0)*VLOOKUP('Données projet'!$B$17,'Paramètres'!$A$1:$I$89,5,0)</f>
        <v>0</v>
      </c>
      <c r="GB131" s="130">
        <f t="shared" si="50"/>
        <v>0</v>
      </c>
      <c r="GC131" s="141">
        <f t="shared" si="26"/>
        <v>0</v>
      </c>
      <c r="GD131" s="133">
        <f t="shared" si="27"/>
        <v>293.3333333</v>
      </c>
      <c r="GE131" s="133">
        <f>AVERAGE(OFFSET($GD$3,0,0,'Données projet'!$E$17+1,1))-AVERAGE(OFFSET($H$3,0,0,'Données projet'!$E$17+1,1))</f>
        <v>118.7368745</v>
      </c>
      <c r="GF131" s="133">
        <f t="shared" si="51"/>
        <v>135.1233677</v>
      </c>
      <c r="GG131" s="134">
        <f>IF(ISNA(VLOOKUP(A131,'Données projet'!$A$243:$I$263,3,0)),0,VLOOKUP(A131,'Données projet'!$A$243:$I$263,3,0))</f>
        <v>0</v>
      </c>
      <c r="GH131" s="134">
        <f>IF(ISNA(VLOOKUP(A131,'Données projet'!$A$243:$I$263,4,0)),0,VLOOKUP(A131,'Données projet'!$A$243:$I$263,4,0))</f>
        <v>0</v>
      </c>
      <c r="GI131" s="135">
        <f>IF(ISNA(VLOOKUP(A131,'Données projet'!$A$243:$I$263,5,0)),0%,VLOOKUP(A131,'Données projet'!$A$243:$I$263,5,0)*VLOOKUP('Données projet'!$B$17,'Paramètres'!$A$1:$I$89,7,0))</f>
        <v>0</v>
      </c>
      <c r="GJ131" s="135">
        <f>IF(ISNA(VLOOKUP(A131,'Données projet'!$A$243:$I$263,6,0)),0%,VLOOKUP(A131,'Données projet'!$A$243:$I$263,6,0)*VLOOKUP('Données projet'!$B$17,'Paramètres'!$A$1:$I$89,7,0))</f>
        <v>0</v>
      </c>
      <c r="GK131" s="135">
        <f>IF(ISNA(VLOOKUP(A131,'Données projet'!$A$243:$I$263,7,0)),0%,VLOOKUP(A131,'Données projet'!$A$243:$I$263,7,0))</f>
        <v>0</v>
      </c>
      <c r="GL131" s="142">
        <f>EXP(-LN(2)/35)*GL130+(1-EXP(-LN(2)/35))/(LN(2)/35)*GH131*GI131*VLOOKUP('Données projet'!$B$17,'Paramètres'!$A$1:$I$89,3,0)*0.475*44/12</f>
        <v>27.01500348</v>
      </c>
      <c r="GM131" s="142">
        <f>EXP(-LN(2)/25)*GM130+(1-EXP(-LN(2)/25))/(LN(2)/25)*Calculateur!GH131*Calculateur!GJ131*VLOOKUP('Données projet'!$B$17,'Paramètres'!$A$1:$I$89,3,0)*0.475*44/12</f>
        <v>0</v>
      </c>
      <c r="GN131" s="142">
        <f>EXP(-LN(2)/2)*GN130+(1-EXP(-LN(2)/2))/(LN(2)/2)*GH131*GK131*VLOOKUP('Données projet'!$B$17,'Paramètres'!$A$1:$I$89,3,0)*0.475*44/12</f>
        <v>0</v>
      </c>
      <c r="GO131" s="142">
        <f t="shared" si="28"/>
        <v>27.01500348</v>
      </c>
      <c r="GP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1" t="str">
        <f>VLOOKUP(A131,'Données projet'!$A$269:$I$289,2,0)</f>
        <v>#N/A</v>
      </c>
      <c r="GS131" s="131" t="str">
        <f>VLOOKUP(A131,'Données projet'!$A$269:$I$289,9,0)</f>
        <v>#N/A</v>
      </c>
      <c r="GT131" s="131" t="str">
        <f t="array" ref="GT131">INDEX(GS:GS,MIN(IF(ISNUMBER(GS131:GS327),ROW(GS131:GS327),"")))</f>
        <v/>
      </c>
      <c r="GU131" s="138">
        <f>IF('Données projet'!$A$270&gt;35,GU130+GT131-HC130,IF(A131&lt;'Données projet'!$A$270,$GR$205^A131,IF(A131='Données projet'!$A$270,'Données projet'!$B$270,GU130+GT131-HC130)))</f>
        <v>0</v>
      </c>
      <c r="GV131" s="138">
        <f>GU131*VLOOKUP('Données projet'!$B$18,'Paramètres'!$A$1:$I$89,3,0)*VLOOKUP('Données projet'!$B$18,'Paramètres'!$A$1:$I$89,5,0)</f>
        <v>0</v>
      </c>
      <c r="GW131" s="130" t="str">
        <f t="shared" si="52"/>
        <v>#NUM!</v>
      </c>
      <c r="GX131" s="141" t="str">
        <f t="shared" si="29"/>
        <v>#NUM!</v>
      </c>
      <c r="GY131" s="133" t="str">
        <f t="shared" si="30"/>
        <v>#NUM!</v>
      </c>
      <c r="GZ131" s="133">
        <f>AVERAGE(OFFSET($GY$3,0,0,'Données projet'!$E$18+1,1))-AVERAGE(OFFSET($H$3,0,0,'Données projet'!$E$18+1,1))</f>
        <v>100.5427875</v>
      </c>
      <c r="HA131" s="133">
        <f t="shared" si="53"/>
        <v>92.28663609</v>
      </c>
      <c r="HB131" s="134">
        <f>IF(ISNA(VLOOKUP(A131,'Données projet'!$A$269:$I$289,3,0)),0,VLOOKUP(A131,'Données projet'!$A$269:$I$289,3,0))</f>
        <v>0</v>
      </c>
      <c r="HC131" s="134">
        <f>IF(ISNA(VLOOKUP(A131,'Données projet'!$A$269:$I$289,4,0)),0,VLOOKUP(A131,'Données projet'!$A$269:$I$289,4,0))</f>
        <v>0</v>
      </c>
      <c r="HD131" s="135">
        <f>IF(ISNA(VLOOKUP(A131,'Données projet'!$A$269:$I$289,5,0)),0%,VLOOKUP(A131,'Données projet'!$A$269:$I$289,5,0)*VLOOKUP('Données projet'!$B$18,'Paramètres'!$A$1:$I$89,7,0))</f>
        <v>0</v>
      </c>
      <c r="HE131" s="135">
        <f>IF(ISNA(VLOOKUP(A131,'Données projet'!$A$269:$I$289,6,0)),0%,VLOOKUP(A131,'Données projet'!$A$269:$I$289,6,0)*VLOOKUP('Données projet'!$B$18,'Paramètres'!$A$1:$I$89,7,0))</f>
        <v>0</v>
      </c>
      <c r="HF131" s="135">
        <f>IF(ISNA(VLOOKUP(A131,'Données projet'!$A$269:$I$289,7,0)),0%,VLOOKUP(A131,'Données projet'!$A$269:$I$289,7,0))</f>
        <v>0</v>
      </c>
      <c r="HG131" s="142">
        <f>EXP(-LN(2)/35)*HG130+(1-EXP(-LN(2)/35))/(LN(2)/35)*HC131*HD131*VLOOKUP('Données projet'!$B$18,'Paramètres'!$A$1:$I$89,3,0)*0.475*44/12</f>
        <v>18.39664746</v>
      </c>
      <c r="HH131" s="142">
        <f>EXP(-LN(2)/25)*HH130+(1-EXP(-LN(2)/25))/(LN(2)/25)*Calculateur!HC131*Calculateur!HE131*VLOOKUP('Données projet'!$B$18,'Paramètres'!$A$1:$I$89,3,0)*0.475*44/12</f>
        <v>0</v>
      </c>
      <c r="HI131" s="142">
        <f>EXP(-LN(2)/2)*HI130+(1-EXP(-LN(2)/2))/(LN(2)/2)*HC131*HF131*VLOOKUP('Données projet'!$B$18,'Paramètres'!$A$1:$I$89,3,0)*0.475*44/12</f>
        <v>0</v>
      </c>
      <c r="HJ131" s="143">
        <f t="shared" si="31"/>
        <v>18.39664746</v>
      </c>
    </row>
    <row r="132" ht="15.75" customHeight="1">
      <c r="A132" s="125">
        <f t="shared" si="32"/>
        <v>129</v>
      </c>
      <c r="B132" s="126">
        <f>'Scénario référence'!$B$16*5+'Scénario référence'!$B$17*0+'Scénario référence'!$B$18*5</f>
        <v>0</v>
      </c>
      <c r="C132" s="140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70.434</v>
      </c>
      <c r="D132" s="127">
        <f t="shared" si="33"/>
        <v>19.78119627</v>
      </c>
      <c r="E13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7">
        <f>IF(OR('Scénario référence'!$F$8&gt;0,'Scénario référence'!$F$9&gt;0),('Scénario référence'!$F$8+'Scénario référence'!$F$9)*10,0)</f>
        <v>10</v>
      </c>
      <c r="G132" s="127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696.3980063</v>
      </c>
      <c r="H132" s="128">
        <f t="shared" si="1"/>
        <v>450.4581335</v>
      </c>
      <c r="I132" s="12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1" t="str">
        <f>VLOOKUP(A132,'Données projet'!$A$35:$I$55,2,0)</f>
        <v>#N/A</v>
      </c>
      <c r="L132" s="131" t="str">
        <f>VLOOKUP(A132,'Données projet'!$A$35:$I$55,9,0)</f>
        <v>#N/A</v>
      </c>
      <c r="M132" s="131" t="str">
        <f t="array" ref="M132">INDEX(L:L,MIN(IF(ISNUMBER(L132:L328),ROW(L132:L328),"")))</f>
        <v/>
      </c>
      <c r="N132" s="130">
        <f>IF('Données projet'!$A$36&gt;35,N131+M132-V131,IF(A132&lt;'Données projet'!$A$36,$K$205^A132,IF(A132='Données projet'!$A$36,'Données projet'!$B$36,N131+M132-V131)))</f>
        <v>0</v>
      </c>
      <c r="O132" s="130">
        <f>N132*VLOOKUP('Données projet'!$B$9,'Paramètres'!$A$1:$I$89,3,0)*VLOOKUP('Données projet'!$B$9,'Paramètres'!$A$1:$I$89,5,0)</f>
        <v>0</v>
      </c>
      <c r="P132" s="130">
        <f t="shared" si="34"/>
        <v>0</v>
      </c>
      <c r="Q132" s="141">
        <f t="shared" si="2"/>
        <v>0</v>
      </c>
      <c r="R132" s="133">
        <f t="shared" si="3"/>
        <v>293.3333333</v>
      </c>
      <c r="S132" s="133">
        <f>AVERAGE(OFFSET($R$3,0,0,'Données projet'!$E$9+1,1))-AVERAGE(OFFSET($H$3,0,0,'Données projet'!$E$9+1,1))</f>
        <v>126.9946492</v>
      </c>
      <c r="T132" s="133">
        <f t="shared" si="35"/>
        <v>140.039049</v>
      </c>
      <c r="U132" s="134">
        <f>IF(ISNA(VLOOKUP(A132,'Données projet'!$A$35:$I$55,3,0)),0,VLOOKUP(A132,'Données projet'!$A$35:$I$55,3,0))</f>
        <v>0</v>
      </c>
      <c r="V132" s="134">
        <f>IF(ISNA(VLOOKUP(A132,'Données projet'!$A$35:$I$55,4,0)),0,VLOOKUP(A132,'Données projet'!$A$35:$I$55,4,0))</f>
        <v>0</v>
      </c>
      <c r="W132" s="135">
        <f>IF(ISNA(VLOOKUP(A132,'Données projet'!$A$35:$I$55,5,0)),0%,VLOOKUP(A132,'Données projet'!$A$35:$I$55,5,0)*VLOOKUP('Données projet'!$B$9,'Paramètres'!$A$1:$I$89,7,0))</f>
        <v>0</v>
      </c>
      <c r="X132" s="135">
        <f>IF(ISNA(VLOOKUP(A132,'Données projet'!$A$35:$I$55,6,0)),0%,VLOOKUP(A132,'Données projet'!$A$35:$I$55,6,0)*VLOOKUP('Données projet'!$B$9,'Paramètres'!$A$1:$I$89,7,0))</f>
        <v>0</v>
      </c>
      <c r="Y132" s="135">
        <f>IF(ISNA(VLOOKUP(A132,'Données projet'!$A$35:$I$55,7,0)),0%,VLOOKUP(A132,'Données projet'!$A$35:$I$55,7,0))</f>
        <v>0</v>
      </c>
      <c r="Z132" s="142">
        <f>EXP(-LN(2)/35)*Z131+(1-EXP(-LN(2)/35))/(LN(2)/35)*V132*W132*VLOOKUP('Données projet'!$B$9,'Paramètres'!$A$1:$I$89,3,0)*0.475*44/12</f>
        <v>27.08852092</v>
      </c>
      <c r="AA132" s="142">
        <f>EXP(-LN(2)/25)*AA131+(1-EXP(-LN(2)/25))/(LN(2)/25)*Calculateur!V132*Calculateur!X132*VLOOKUP('Données projet'!$B$9,'Paramètres'!$A$1:$I$89,3,0)*0.475*44/12</f>
        <v>3.430584004</v>
      </c>
      <c r="AB132" s="142">
        <f>EXP(-LN(2)/2)*AB131+(1-EXP(-LN(2)/2))/(LN(2)/2)*V132*Y132*VLOOKUP('Données projet'!$B$9,'Paramètres'!$A$1:$I$89,3,0)*0.475*44/12</f>
        <v>0.0000000007815841325</v>
      </c>
      <c r="AC132" s="143">
        <f t="shared" si="4"/>
        <v>30.51910492</v>
      </c>
      <c r="AD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1" t="str">
        <f>VLOOKUP(A132,'Données projet'!$A$61:$I$81,2,0)</f>
        <v>#N/A</v>
      </c>
      <c r="AG132" s="131" t="str">
        <f>VLOOKUP(A132,'Données projet'!$A$61:$I$81,9,0)</f>
        <v>#N/A</v>
      </c>
      <c r="AH132" s="131" t="str">
        <f t="array" ref="AH132">INDEX(AG:AG,MIN(IF(ISNUMBER(AG132:AG328),ROW(AG132:AG328),"")))</f>
        <v/>
      </c>
      <c r="AI132" s="130">
        <f>IF('Données projet'!$A$62&gt;35,AI131+AH132-AQ131,IF(A132&lt;'Données projet'!$A$62,$AF$205^A132,IF(A132='Données projet'!$A$62,'Données projet'!$B$62,AI131+AH132-AQ131)))</f>
        <v>0</v>
      </c>
      <c r="AJ132" s="130">
        <f>AI132*VLOOKUP('Données projet'!$B$10,'Paramètres'!$A$1:$I$89,3,0)*VLOOKUP('Données projet'!$B$10,'Paramètres'!$A$1:$I$89,5,0)</f>
        <v>0</v>
      </c>
      <c r="AK132" s="130" t="str">
        <f t="shared" si="36"/>
        <v>#NUM!</v>
      </c>
      <c r="AL132" s="141" t="str">
        <f t="shared" si="5"/>
        <v>#NUM!</v>
      </c>
      <c r="AM132" s="133" t="str">
        <f t="shared" si="6"/>
        <v>#NUM!</v>
      </c>
      <c r="AN132" s="133">
        <f>AVERAGE(OFFSET($AM$3,0,0,'Données projet'!$E$10+1,1))-AVERAGE(OFFSET($H$3,0,0,'Données projet'!$E$10+1,1))</f>
        <v>196.874484</v>
      </c>
      <c r="AO132" s="133">
        <f t="shared" si="37"/>
        <v>217.5750859</v>
      </c>
      <c r="AP132" s="134">
        <f>IF(ISNA(VLOOKUP(A132,'Données projet'!$A$61:$I$81,3,0)),0,VLOOKUP(A132,'Données projet'!$A$61:$I$81,3,0))</f>
        <v>0</v>
      </c>
      <c r="AQ132" s="134">
        <f>IF(ISNA(VLOOKUP(A132,'Données projet'!$A$61:$I$81,4,0)),0,VLOOKUP(A132,'Données projet'!$A$61:$I$81,4,0))</f>
        <v>0</v>
      </c>
      <c r="AR132" s="135">
        <f>IF(ISNA(VLOOKUP(A132,'Données projet'!$A$61:$I$81,5,0)),0%,VLOOKUP(A132,'Données projet'!$A$61:$I$81,5,0)*VLOOKUP('Données projet'!$B$10,'Paramètres'!$A$1:$I$89,7,0))</f>
        <v>0</v>
      </c>
      <c r="AS132" s="135">
        <f>IF(ISNA(VLOOKUP(A132,'Données projet'!$A$61:$I$81,6,0)),0%,VLOOKUP(A132,'Données projet'!$A$61:$I$81,6,0)*VLOOKUP('Données projet'!$B$10,'Paramètres'!$A$1:$I$89,7,0))</f>
        <v>0</v>
      </c>
      <c r="AT132" s="135">
        <f>IF(ISNA(VLOOKUP(A132,'Données projet'!$A$61:$I$81,7,0)),0%,VLOOKUP(A132,'Données projet'!$A$61:$I$81,7,0))</f>
        <v>0</v>
      </c>
      <c r="AU132" s="142">
        <f>EXP(-LN(2)/35)*AU131+(1-EXP(-LN(2)/35))/(LN(2)/35)*AQ132*AR132*VLOOKUP('Données projet'!$B$10,'Paramètres'!$A$1:$I$89,3,0)*0.475*44/12</f>
        <v>37.65227466</v>
      </c>
      <c r="AV132" s="142">
        <f>EXP(-LN(2)/25)*AV131+(1-EXP(-LN(2)/25))/(LN(2)/25)*Calculateur!AQ132*Calculateur!AS132*VLOOKUP('Données projet'!$B$10,'Paramètres'!$A$1:$I$89,3,0)*0.475*44/12</f>
        <v>5.274527489</v>
      </c>
      <c r="AW132" s="142">
        <f>EXP(-LN(2)/2)*AW131+(1-EXP(-LN(2)/2))/(LN(2)/2)*AQ132*AT132*VLOOKUP('Données projet'!$B$10,'Paramètres'!$A$1:$I$89,3,0)*0.475*44/12</f>
        <v>0.00000000108969238</v>
      </c>
      <c r="AX132" s="142">
        <f t="shared" si="7"/>
        <v>42.92680215</v>
      </c>
      <c r="AY132" s="13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1" t="str">
        <f>VLOOKUP(A132,'Données projet'!$A$87:$I$107,2,0)</f>
        <v>#N/A</v>
      </c>
      <c r="BB132" s="131" t="str">
        <f>VLOOKUP(A132,'Données projet'!$A$87:$I$107,9,0)</f>
        <v>#N/A</v>
      </c>
      <c r="BC132" s="131" t="str">
        <f t="array" ref="BC132">INDEX(BB:BB,MIN(IF(ISNUMBER(BB132:BB328),ROW(BB132:BB328),"")))</f>
        <v/>
      </c>
      <c r="BD132" s="130">
        <f>IF('Données projet'!$A$88&gt;35,BD131+BC132-BL131,IF(A132&lt;'Données projet'!$A$88,$BA$205^A132,IF(A132='Données projet'!$A$88,'Données projet'!$B$88,BD131+BC132-BL131)))</f>
        <v>0</v>
      </c>
      <c r="BE132" s="130">
        <f>BD132*VLOOKUP('Données projet'!$B$11,'Paramètres'!$A$1:$I$89,3,0)*VLOOKUP('Données projet'!$B$11,'Paramètres'!$A$1:$I$89,5,0)</f>
        <v>0</v>
      </c>
      <c r="BF132" s="130" t="str">
        <f t="shared" si="38"/>
        <v>#NUM!</v>
      </c>
      <c r="BG132" s="141" t="str">
        <f t="shared" si="8"/>
        <v>#NUM!</v>
      </c>
      <c r="BH132" s="133" t="str">
        <f t="shared" si="9"/>
        <v>#NUM!</v>
      </c>
      <c r="BI132" s="133">
        <f>AVERAGE(OFFSET($BH$3,0,0,'Données projet'!$E$11+1,1))-AVERAGE(OFFSET($H$3,0,0,'Données projet'!$E$11+1,1))</f>
        <v>134.0948534</v>
      </c>
      <c r="BJ132" s="133">
        <f t="shared" si="39"/>
        <v>108.4102536</v>
      </c>
      <c r="BK132" s="134">
        <f>IF(ISNA(VLOOKUP(A132,'Données projet'!$A$87:$I$107,3,0)),0,VLOOKUP(A132,'Données projet'!$A$87:$I$107,3,0))</f>
        <v>0</v>
      </c>
      <c r="BL132" s="134">
        <f>IF(ISNA(VLOOKUP(A132,'Données projet'!$A$87:$I$107,4,0)),0,VLOOKUP(A132,'Données projet'!$A$87:$I$107,4,0))</f>
        <v>0</v>
      </c>
      <c r="BM132" s="135">
        <f>IF(ISNA(VLOOKUP(A132,'Données projet'!$A$87:$I$107,5,0)),0%,VLOOKUP(A132,'Données projet'!$A$87:$I$107,5,0)*VLOOKUP('Données projet'!$B$11,'Paramètres'!$A$1:$I$89,7,0))</f>
        <v>0</v>
      </c>
      <c r="BN132" s="135">
        <f>IF(ISNA(VLOOKUP(A132,'Données projet'!$A$87:$I$107,6,0)),0%,VLOOKUP(A132,'Données projet'!$A$87:$I$107,6,0)*VLOOKUP('Données projet'!$B$11,'Paramètres'!$A$1:$I$89,7,0))</f>
        <v>0</v>
      </c>
      <c r="BO132" s="135">
        <f>IF(ISNA(VLOOKUP(A132,'Données projet'!$A$87:$I$107,7,0)),0%,VLOOKUP(A132,'Données projet'!$A$87:$I$107,7,0))</f>
        <v>0</v>
      </c>
      <c r="BP132" s="142">
        <f>EXP(-LN(2)/35)*BP131+(1-EXP(-LN(2)/35))/(LN(2)/35)*BL132*BM132*VLOOKUP('Données projet'!$B$11,'Paramètres'!$A$1:$I$89,3,0)*0.475*44/12</f>
        <v>52.08012773</v>
      </c>
      <c r="BQ132" s="142">
        <f>EXP(-LN(2)/25)*BQ131+(1-EXP(-LN(2)/25))/(LN(2)/25)*Calculateur!BL132*Calculateur!BN132*VLOOKUP('Données projet'!$B$11,'Paramètres'!$A$1:$I$89,3,0)*0.475*44/12</f>
        <v>3.327176469</v>
      </c>
      <c r="BR132" s="142">
        <f>EXP(-LN(2)/2)*BR131+(1-EXP(-LN(2)/2))/(LN(2)/2)*BL132*BO132*VLOOKUP('Données projet'!$B$11,'Paramètres'!$A$1:$I$89,3,0)*0.475*44/12</f>
        <v>0.00000001453493251</v>
      </c>
      <c r="BS132" s="143">
        <f t="shared" si="10"/>
        <v>55.40730421</v>
      </c>
      <c r="BT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1" t="str">
        <f>VLOOKUP(A132,'Données projet'!$A$113:$I$133,2,0)</f>
        <v>#N/A</v>
      </c>
      <c r="BW132" s="131" t="str">
        <f>VLOOKUP(A132,'Données projet'!$A$113:$I$133,9,0)</f>
        <v>#N/A</v>
      </c>
      <c r="BX132" s="131" t="str">
        <f t="array" ref="BX132">INDEX(BW:BW,MIN(IF(ISNUMBER(BW132:BW328),ROW(BW132:BW328),"")))</f>
        <v/>
      </c>
      <c r="BY132" s="130">
        <f>IF('Données projet'!$A$114&gt;35,BY131+BX132-CG131,IF(A132&lt;'Données projet'!$A$114,$BV$205^A132,IF(A132='Données projet'!$A$114,'Données projet'!$B$114,BY131+BX132-CG131)))</f>
        <v>0</v>
      </c>
      <c r="BZ132" s="130">
        <f>BY132*VLOOKUP('Données projet'!$B$12,'Paramètres'!$A$1:$I$89,3,0)*VLOOKUP('Données projet'!$B$12,'Paramètres'!$A$1:$I$89,5,0)</f>
        <v>0</v>
      </c>
      <c r="CA132" s="130" t="str">
        <f t="shared" si="40"/>
        <v>#NUM!</v>
      </c>
      <c r="CB132" s="141" t="str">
        <f t="shared" si="11"/>
        <v>#NUM!</v>
      </c>
      <c r="CC132" s="133" t="str">
        <f t="shared" si="12"/>
        <v>#NUM!</v>
      </c>
      <c r="CD132" s="133">
        <f>AVERAGE(OFFSET($CC$3,0,0,'Données projet'!$E$12+1,1))-AVERAGE(OFFSET($H$3,0,0,'Données projet'!$E$12+1,1))</f>
        <v>258.1672054</v>
      </c>
      <c r="CE132" s="133">
        <f t="shared" si="41"/>
        <v>296.0724261</v>
      </c>
      <c r="CF132" s="134">
        <f>IF(ISNA(VLOOKUP(A132,'Données projet'!$A$113:$I$133,3,0)),0,VLOOKUP(A132,'Données projet'!$A$113:$I$133,3,0))</f>
        <v>0</v>
      </c>
      <c r="CG132" s="134">
        <f>IF(ISNA(VLOOKUP(A132,'Données projet'!$A$113:$I$133,4,0)),0,VLOOKUP(A132,'Données projet'!$A$113:$I$133,4,0))</f>
        <v>0</v>
      </c>
      <c r="CH132" s="135">
        <f>IF(ISNA(VLOOKUP(A132,'Données projet'!$A$113:$I$133,5,0)),0%,VLOOKUP(A132,'Données projet'!$A$113:$I$133,5,0)*VLOOKUP('Données projet'!$B$12,'Paramètres'!$A$1:$I$89,7,0))</f>
        <v>0</v>
      </c>
      <c r="CI132" s="135">
        <f>IF(ISNA(VLOOKUP(A132,'Données projet'!$A$113:$I$133,6,0)),0%,VLOOKUP(A132,'Données projet'!$A$113:$I$133,6,0)*VLOOKUP('Données projet'!$B$12,'Paramètres'!$A$1:$I$89,7,0))</f>
        <v>0</v>
      </c>
      <c r="CJ132" s="135">
        <f>IF(ISNA(VLOOKUP(A132,'Données projet'!$A$113:$I$133,7,0)),0%,VLOOKUP(A132,'Données projet'!$A$113:$I$133,7,0))</f>
        <v>0</v>
      </c>
      <c r="CK132" s="142">
        <f>EXP(-LN(2)/35)*CK131+(1-EXP(-LN(2)/35))/(LN(2)/35)*CG132*CH132*VLOOKUP('Données projet'!$B$12,'Paramètres'!$A$1:$I$89,3,0)*0.475*44/12</f>
        <v>65.84521341</v>
      </c>
      <c r="CL132" s="142">
        <f>EXP(-LN(2)/25)*CL131+(1-EXP(-LN(2)/25))/(LN(2)/25)*Calculateur!CG132*Calculateur!CI132*VLOOKUP('Données projet'!$B$12,'Paramètres'!$A$1:$I$89,3,0)*0.475*44/12</f>
        <v>5.836056401</v>
      </c>
      <c r="CM132" s="142">
        <f>EXP(-LN(2)/2)*CM131+(1-EXP(-LN(2)/2))/(LN(2)/2)*CG132*CJ132*VLOOKUP('Données projet'!$B$12,'Paramètres'!$A$1:$I$89,3,0)*0.475*44/12</f>
        <v>0.000000000612339551</v>
      </c>
      <c r="CN132" s="143">
        <f t="shared" si="13"/>
        <v>71.68126981</v>
      </c>
      <c r="CO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1" t="str">
        <f>VLOOKUP(A132,'Données projet'!$A$139:$I$159,2,0)</f>
        <v>#N/A</v>
      </c>
      <c r="CR132" s="131" t="str">
        <f>VLOOKUP(A132,'Données projet'!$A$139:$I$159,9,0)</f>
        <v>#N/A</v>
      </c>
      <c r="CS132" s="130">
        <f t="array" ref="CS132">INDEX(CR:CR,MIN(IF(ISNUMBER(CR132:CR328),ROW(CR132:CR328),"")))</f>
        <v>1.1</v>
      </c>
      <c r="CT132" s="138">
        <f>IF('Données projet'!$A$140&gt;35,CT131+CS132-DB131,IF(A132&lt;'Données projet'!$A$140,$CQ$205^A132,IF(A132='Données projet'!$A$140,'Données projet'!$B$140,CT131+CS132-DB131)))</f>
        <v>218.9</v>
      </c>
      <c r="CU132" s="138">
        <f>CT132*VLOOKUP('Données projet'!$B$13,'Paramètres'!$A$1:$I$89,3,0)*VLOOKUP('Données projet'!$B$13,'Paramètres'!$A$1:$I$89,5,0)</f>
        <v>221.9646</v>
      </c>
      <c r="CV132" s="130">
        <f t="shared" si="42"/>
        <v>54.54166064</v>
      </c>
      <c r="CW132" s="141">
        <f t="shared" si="14"/>
        <v>481.5817373</v>
      </c>
      <c r="CX132" s="133">
        <f t="shared" si="15"/>
        <v>774.9150706</v>
      </c>
      <c r="CY132" s="133">
        <f>AVERAGE(OFFSET($CX$3,0,0,'Données projet'!$E$13+1,1))-AVERAGE(OFFSET($H$3,0,0,'Données projet'!$E$13+1,1))</f>
        <v>223.783507</v>
      </c>
      <c r="CZ132" s="133">
        <f t="shared" si="43"/>
        <v>84.92349117</v>
      </c>
      <c r="DA132" s="134">
        <f>IF(ISNA(VLOOKUP(A132,'Données projet'!$A$139:$I$159,3,0)),0,VLOOKUP(A132,'Données projet'!$A$139:$I$159,3,0))</f>
        <v>0</v>
      </c>
      <c r="DB132" s="134">
        <f>IF(ISNA(VLOOKUP(A132,'Données projet'!$A$139:$I$159,4,0)),0,VLOOKUP(A132,'Données projet'!$A$139:$I$159,4,0))</f>
        <v>0</v>
      </c>
      <c r="DC132" s="135">
        <f>IF(ISNA(VLOOKUP(A132,'Données projet'!$A$139:$I$159,5,0)),0%,VLOOKUP(A132,'Données projet'!$A$139:$I$159,5,0)*VLOOKUP('Données projet'!$B$13,'Paramètres'!$A$1:$I$89,7,0))</f>
        <v>0</v>
      </c>
      <c r="DD132" s="135">
        <f>IF(ISNA(VLOOKUP(A132,'Données projet'!$A$139:$I$159,6,0)),0%,VLOOKUP(A132,'Données projet'!$A$139:$I$159,6,0)*VLOOKUP('Données projet'!$B$13,'Paramètres'!$A$1:$I$89,7,0))</f>
        <v>0</v>
      </c>
      <c r="DE132" s="135">
        <f>IF(ISNA(VLOOKUP(A132,'Données projet'!$A$139:$I$159,7,0)),0%,VLOOKUP(A132,'Données projet'!$A$139:$I$159,7,0))</f>
        <v>0</v>
      </c>
      <c r="DF132" s="142">
        <f>EXP(-LN(2)/35)*DF131+(1-EXP(-LN(2)/35))/(LN(2)/35)*DB132*DC132*VLOOKUP('Données projet'!$B$13,'Paramètres'!$A$1:$I$89,3,0)*0.475*44/12</f>
        <v>18.66397236</v>
      </c>
      <c r="DG132" s="142">
        <f>EXP(-LN(2)/25)*DG131+(1-EXP(-LN(2)/25))/(LN(2)/25)*Calculateur!DB132*Calculateur!DD132*VLOOKUP('Données projet'!$B$13,'Paramètres'!$A$1:$I$89,3,0)*0.475*44/12</f>
        <v>0</v>
      </c>
      <c r="DH132" s="142">
        <f>EXP(-LN(2)/2)*DH131+(1-EXP(-LN(2)/2))/(LN(2)/2)*DB132*DE132*VLOOKUP('Données projet'!$B$13,'Paramètres'!$A$1:$I$89,3,0)*0.475*44/12</f>
        <v>0</v>
      </c>
      <c r="DI132" s="143">
        <f t="shared" si="16"/>
        <v>18.66397236</v>
      </c>
      <c r="DJ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1" t="str">
        <f>VLOOKUP(A132,'Données projet'!$A$165:$I$185,2,0)</f>
        <v>#N/A</v>
      </c>
      <c r="DM132" s="131" t="str">
        <f>VLOOKUP(A132,'Données projet'!$A$165:$I$185,9,0)</f>
        <v>#N/A</v>
      </c>
      <c r="DN132" s="131">
        <f t="array" ref="DN132">INDEX(DM:DM,MIN(IF(ISNUMBER(DM132:DM328),ROW(DM132:DM328),"")))</f>
        <v>1.6</v>
      </c>
      <c r="DO132" s="138">
        <f>IF('Données projet'!$A$166&gt;35,DO131+DN132-DW131,IF(A132&lt;'Données projet'!$A$166,$DL$205^A132,IF(A132='Données projet'!$A$166,'Données projet'!$B$166,DO131+DN132-DW131)))</f>
        <v>282.4</v>
      </c>
      <c r="DP132" s="138">
        <f>DO132*VLOOKUP('Données projet'!$B$14,'Paramètres'!$A$1:$I$89,3,0)*VLOOKUP('Données projet'!$B$14,'Paramètres'!$A$1:$I$89,5,0)</f>
        <v>255.51552</v>
      </c>
      <c r="DQ132" s="130">
        <f t="shared" si="44"/>
        <v>61.76550225</v>
      </c>
      <c r="DR132" s="141">
        <f t="shared" si="17"/>
        <v>552.5977804</v>
      </c>
      <c r="DS132" s="133">
        <f t="shared" si="18"/>
        <v>845.9311138</v>
      </c>
      <c r="DT132" s="133">
        <f>AVERAGE(OFFSET($DS$3,0,0,'Données projet'!$E$14+1,1))-AVERAGE(OFFSET($H$3,0,0,'Données projet'!$E$14+1,1))</f>
        <v>287.9334714</v>
      </c>
      <c r="DU132" s="133">
        <f t="shared" si="45"/>
        <v>156.6796502</v>
      </c>
      <c r="DV132" s="134">
        <f>IF(ISNA(VLOOKUP(A132,'Données projet'!$A$165:$I$185,3,0)),0,VLOOKUP(A132,'Données projet'!$A$165:$I$185,3,0))</f>
        <v>0</v>
      </c>
      <c r="DW132" s="134">
        <f>IF(ISNA(VLOOKUP(A132,'Données projet'!$A$165:$I$185,4,0)),0,VLOOKUP(A132,'Données projet'!$A$165:$I$185,4,0))</f>
        <v>0</v>
      </c>
      <c r="DX132" s="135">
        <f>IF(ISNA(VLOOKUP(A132,'Données projet'!$A$165:$I$185,5,0)),0%,VLOOKUP(A132,'Données projet'!$A$165:$I$185,5,0)*VLOOKUP('Données projet'!$B$14,'Paramètres'!$A$1:$I$89,7,0))</f>
        <v>0</v>
      </c>
      <c r="DY132" s="135">
        <f>IF(ISNA(VLOOKUP(A132,'Données projet'!$A$165:$I$185,6,0)),0%,VLOOKUP(A132,'Données projet'!$A$165:$I$185,6,0)*VLOOKUP('Données projet'!$B$14,'Paramètres'!$A$1:$I$89,7,0))</f>
        <v>0</v>
      </c>
      <c r="DZ132" s="135">
        <f>IF(ISNA(VLOOKUP(A132,'Données projet'!$A$165:$I$185,7,0)),0%,VLOOKUP(A132,'Données projet'!$A$165:$I$185,7,0))</f>
        <v>0</v>
      </c>
      <c r="EA132" s="142">
        <f>EXP(-LN(2)/35)*EA131+(1-EXP(-LN(2)/35))/(LN(2)/35)*DW132*DX132*VLOOKUP('Données projet'!$B$14,'Paramètres'!$A$1:$I$89,3,0)*0.475*44/12</f>
        <v>26.92016454</v>
      </c>
      <c r="EB132" s="142">
        <f>EXP(-LN(2)/25)*EB131+(1-EXP(-LN(2)/25))/(LN(2)/25)*Calculateur!DW132*Calculateur!DY132*VLOOKUP('Données projet'!$B$14,'Paramètres'!$A$1:$I$89,3,0)*0.475*44/12</f>
        <v>0</v>
      </c>
      <c r="EC132" s="142">
        <f>EXP(-LN(2)/2)*EC131+(1-EXP(-LN(2)/2))/(LN(2)/2)*DW132*DZ132*VLOOKUP('Données projet'!$B$14,'Paramètres'!$A$1:$I$89,3,0)*0.475*44/12</f>
        <v>0</v>
      </c>
      <c r="ED132" s="143">
        <f t="shared" si="19"/>
        <v>26.92016454</v>
      </c>
      <c r="EE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1" t="str">
        <f>VLOOKUP(A132,'Données projet'!$A$191:$I$211,2,0)</f>
        <v>#N/A</v>
      </c>
      <c r="EH132" s="131" t="str">
        <f>VLOOKUP(A132,'Données projet'!$A$191:$I$211,9,0)</f>
        <v>#N/A</v>
      </c>
      <c r="EI132" s="131" t="str">
        <f t="array" ref="EI132">INDEX(EH:EH,MIN(IF(ISNUMBER(EH132:EH328),ROW(EH132:EH328),"")))</f>
        <v/>
      </c>
      <c r="EJ132" s="138">
        <f>IF('Données projet'!$A$192&gt;35,EJ131+EI132-ER131,IF(A132&lt;'Données projet'!$A$192,$EG$205^A132,IF(A132='Données projet'!$A$192,'Données projet'!$B$192,EJ131+EI132-ER131)))</f>
        <v>0</v>
      </c>
      <c r="EK132" s="138">
        <f>EJ132*VLOOKUP('Données projet'!$B$15,'Paramètres'!$A$1:$I$89,3,0)*VLOOKUP('Données projet'!$B$15,'Paramètres'!$A$1:$I$89,5,0)</f>
        <v>0</v>
      </c>
      <c r="EL132" s="130" t="str">
        <f t="shared" si="46"/>
        <v>#NUM!</v>
      </c>
      <c r="EM132" s="141" t="str">
        <f t="shared" si="20"/>
        <v>#NUM!</v>
      </c>
      <c r="EN132" s="133" t="str">
        <f t="shared" si="21"/>
        <v>#NUM!</v>
      </c>
      <c r="EO132" s="133">
        <f>AVERAGE(OFFSET($EN$3,0,0,'Données projet'!$E$15+1,1))-AVERAGE(OFFSET($H$3,0,0,'Données projet'!$E$15+1,1))</f>
        <v>130.3193339</v>
      </c>
      <c r="EP132" s="133">
        <f t="shared" si="47"/>
        <v>82.22784365</v>
      </c>
      <c r="EQ132" s="134">
        <f>IF(ISNA(VLOOKUP(A132,'Données projet'!$A$191:$I$211,3,0)),0,VLOOKUP(A132,'Données projet'!$A$191:$I$211,3,0))</f>
        <v>0</v>
      </c>
      <c r="ER132" s="134">
        <f>IF(ISNA(VLOOKUP(A132,'Données projet'!$A$191:$I$211,4,0)),0,VLOOKUP(A132,'Données projet'!$A$191:$I$211,4,0))</f>
        <v>0</v>
      </c>
      <c r="ES132" s="135">
        <f>IF(ISNA(VLOOKUP(A132,'Données projet'!$A$191:$I$211,5,0)),0%,VLOOKUP(A132,'Données projet'!$A$191:$I$211,5,0)*VLOOKUP('Données projet'!$B$15,'Paramètres'!$A$1:$I$89,7,0))</f>
        <v>0</v>
      </c>
      <c r="ET132" s="135">
        <f>IF(ISNA(VLOOKUP(A132,'Données projet'!$A$191:$I$211,6,0)),0%,VLOOKUP(A132,'Données projet'!$A$191:$I$211,6,0)*VLOOKUP('Données projet'!$B$15,'Paramètres'!$A$1:$I$89,7,0))</f>
        <v>0</v>
      </c>
      <c r="EU132" s="135">
        <f>IF(ISNA(VLOOKUP(A132,'Données projet'!$A$191:$I$211,7,0)),0%,VLOOKUP(A132,'Données projet'!$A$191:$I$211,7,0))</f>
        <v>0</v>
      </c>
      <c r="EV132" s="142">
        <f>EXP(-LN(2)/35)*EV131+(1-EXP(-LN(2)/35))/(LN(2)/35)*ER132*ES132*VLOOKUP('Données projet'!$B$15,'Paramètres'!$A$1:$I$89,3,0)*0.475*44/12</f>
        <v>40.26298584</v>
      </c>
      <c r="EW132" s="142">
        <f>EXP(-LN(2)/25)*EW131+(1-EXP(-LN(2)/25))/(LN(2)/25)*Calculateur!ER132*Calculateur!ET132*VLOOKUP('Données projet'!$B$15,'Paramètres'!$A$1:$I$89,3,0)*0.475*44/12</f>
        <v>0</v>
      </c>
      <c r="EX132" s="142">
        <f>EXP(-LN(2)/2)*EX131+(1-EXP(-LN(2)/2))/(LN(2)/2)*ER132*EU132*VLOOKUP('Données projet'!$B$15,'Paramètres'!$A$1:$I$89,3,0)*0.475*44/12</f>
        <v>0</v>
      </c>
      <c r="EY132" s="143">
        <f t="shared" si="22"/>
        <v>40.26298584</v>
      </c>
      <c r="EZ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1" t="str">
        <f>VLOOKUP(A132,'Données projet'!$A$217:$I$237,2,0)</f>
        <v>#N/A</v>
      </c>
      <c r="FC132" s="131" t="str">
        <f>VLOOKUP(A132,'Données projet'!$A$217:$I$237,9,0)</f>
        <v>#N/A</v>
      </c>
      <c r="FD132" s="131" t="str">
        <f t="array" ref="FD132">INDEX(FC:FC,MIN(IF(ISNUMBER(FC132:FC328),ROW(FC132:FC328),"")))</f>
        <v/>
      </c>
      <c r="FE132" s="130">
        <f>IF('Données projet'!$A$218&gt;35,FE131+FD132-FM131,IF(A132&lt;'Données projet'!$A$218,$FB$205^A132,IF(A132='Données projet'!$A$218,'Données projet'!$B$218,FE131+FD132-FM131)))</f>
        <v>0</v>
      </c>
      <c r="FF132" s="138">
        <f>FE132*VLOOKUP('Données projet'!$B$16,'Paramètres'!$A$1:$I$89,3,0)*VLOOKUP('Données projet'!$B$16,'Paramètres'!$A$1:$I$89,5,0)</f>
        <v>0</v>
      </c>
      <c r="FG132" s="130">
        <f t="shared" si="48"/>
        <v>0</v>
      </c>
      <c r="FH132" s="141">
        <f t="shared" si="23"/>
        <v>0</v>
      </c>
      <c r="FI132" s="133">
        <f t="shared" si="24"/>
        <v>293.3333333</v>
      </c>
      <c r="FJ132" s="133">
        <f>AVERAGE(OFFSET($FI$3,0,0,'Données projet'!$E$16+1,1))-AVERAGE(OFFSET($H$3,0,0,'Données projet'!$E$16+1,1))</f>
        <v>305.6252353</v>
      </c>
      <c r="FK132" s="133">
        <f t="shared" si="49"/>
        <v>331.397916</v>
      </c>
      <c r="FL132" s="134">
        <f>IF(ISNA(VLOOKUP(A132,'Données projet'!$A$217:$I$237,3,0)),0,VLOOKUP(A132,'Données projet'!$A$217:$I$237,3,0))</f>
        <v>0</v>
      </c>
      <c r="FM132" s="134">
        <f>IF(ISNA(VLOOKUP(A132,'Données projet'!$A$217:$I$237,4,0)),0,VLOOKUP(A132,'Données projet'!$A$217:$I$237,4,0))</f>
        <v>0</v>
      </c>
      <c r="FN132" s="135">
        <f>IF(ISNA(VLOOKUP(A132,'Données projet'!$A$217:$I$237,5,0)),0%,VLOOKUP(A132,'Données projet'!$A$217:$I$237,5,0)*VLOOKUP('Données projet'!$B$16,'Paramètres'!$A$1:$I$89,7,0))</f>
        <v>0</v>
      </c>
      <c r="FO132" s="135">
        <f>IF(ISNA(VLOOKUP(A132,'Données projet'!$A$217:$I$237,6,0)),0%,VLOOKUP(A132,'Données projet'!$A$217:$I$237,6,0)*VLOOKUP('Données projet'!$B$16,'Paramètres'!$A$1:$I$89,7,0))</f>
        <v>0</v>
      </c>
      <c r="FP132" s="135">
        <f>IF(ISNA(VLOOKUP(A132,'Données projet'!$A$217:$I$237,7,0)),0%,VLOOKUP(A132,'Données projet'!$A$217:$I$237,7,0))</f>
        <v>0</v>
      </c>
      <c r="FQ132" s="142">
        <f>EXP(-LN(2)/35)*FQ131+(1-EXP(-LN(2)/35))/(LN(2)/35)*FM132*FN132*VLOOKUP('Données projet'!$B$16,'Paramètres'!$A$1:$I$89,3,0)*0.475*44/12</f>
        <v>25.06893826</v>
      </c>
      <c r="FR132" s="142">
        <f>EXP(-LN(2)/25)*FR131+(1-EXP(-LN(2)/25))/(LN(2)/25)*Calculateur!FM132*Calculateur!FO132*VLOOKUP('Données projet'!$B$16,'Paramètres'!$A$1:$I$89,3,0)*0.475*44/12</f>
        <v>0</v>
      </c>
      <c r="FS132" s="142">
        <f>EXP(-LN(2)/2)*FS131+(1-EXP(-LN(2)/2))/(LN(2)/2)*FM132*FP132*VLOOKUP('Données projet'!$B$16,'Paramètres'!$A$1:$I$89,3,0)*0.475*44/12</f>
        <v>0</v>
      </c>
      <c r="FT132" s="143">
        <f t="shared" si="25"/>
        <v>25.06893826</v>
      </c>
      <c r="FU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1" t="str">
        <f>VLOOKUP(A132,'Données projet'!$A$243:$I$263,2,0)</f>
        <v>#N/A</v>
      </c>
      <c r="FX132" s="131" t="str">
        <f>VLOOKUP(A132,'Données projet'!$A$243:$I$263,9,0)</f>
        <v>#N/A</v>
      </c>
      <c r="FY132" s="131" t="str">
        <f t="array" ref="FY132">INDEX(FX:FX,MIN(IF(ISNUMBER(FX132:FX328),ROW(FX132:FX328),"")))</f>
        <v/>
      </c>
      <c r="FZ132" s="138">
        <f>IF('Données projet'!$A$244&gt;35,FZ131+FY132-GH131,IF(A132&lt;'Données projet'!$A$244,$FW$205^A132,IF(A132='Données projet'!$A$244,'Données projet'!$B$244,FZ131+FY132-GH131)))</f>
        <v>0</v>
      </c>
      <c r="GA132" s="138">
        <f>FZ132*VLOOKUP('Données projet'!$B$17,'Paramètres'!$A$1:$I$89,3,0)*VLOOKUP('Données projet'!$B$17,'Paramètres'!$A$1:$I$89,5,0)</f>
        <v>0</v>
      </c>
      <c r="GB132" s="130">
        <f t="shared" si="50"/>
        <v>0</v>
      </c>
      <c r="GC132" s="141">
        <f t="shared" si="26"/>
        <v>0</v>
      </c>
      <c r="GD132" s="133">
        <f t="shared" si="27"/>
        <v>293.3333333</v>
      </c>
      <c r="GE132" s="133">
        <f>AVERAGE(OFFSET($GD$3,0,0,'Données projet'!$E$17+1,1))-AVERAGE(OFFSET($H$3,0,0,'Données projet'!$E$17+1,1))</f>
        <v>118.7368745</v>
      </c>
      <c r="GF132" s="133">
        <f t="shared" si="51"/>
        <v>135.1233677</v>
      </c>
      <c r="GG132" s="134">
        <f>IF(ISNA(VLOOKUP(A132,'Données projet'!$A$243:$I$263,3,0)),0,VLOOKUP(A132,'Données projet'!$A$243:$I$263,3,0))</f>
        <v>0</v>
      </c>
      <c r="GH132" s="134">
        <f>IF(ISNA(VLOOKUP(A132,'Données projet'!$A$243:$I$263,4,0)),0,VLOOKUP(A132,'Données projet'!$A$243:$I$263,4,0))</f>
        <v>0</v>
      </c>
      <c r="GI132" s="135">
        <f>IF(ISNA(VLOOKUP(A132,'Données projet'!$A$243:$I$263,5,0)),0%,VLOOKUP(A132,'Données projet'!$A$243:$I$263,5,0)*VLOOKUP('Données projet'!$B$17,'Paramètres'!$A$1:$I$89,7,0))</f>
        <v>0</v>
      </c>
      <c r="GJ132" s="135">
        <f>IF(ISNA(VLOOKUP(A132,'Données projet'!$A$243:$I$263,6,0)),0%,VLOOKUP(A132,'Données projet'!$A$243:$I$263,6,0)*VLOOKUP('Données projet'!$B$17,'Paramètres'!$A$1:$I$89,7,0))</f>
        <v>0</v>
      </c>
      <c r="GK132" s="135">
        <f>IF(ISNA(VLOOKUP(A132,'Données projet'!$A$243:$I$263,7,0)),0%,VLOOKUP(A132,'Données projet'!$A$243:$I$263,7,0))</f>
        <v>0</v>
      </c>
      <c r="GL132" s="142">
        <f>EXP(-LN(2)/35)*GL131+(1-EXP(-LN(2)/35))/(LN(2)/35)*GH132*GI132*VLOOKUP('Données projet'!$B$17,'Paramètres'!$A$1:$I$89,3,0)*0.475*44/12</f>
        <v>26.48525574</v>
      </c>
      <c r="GM132" s="142">
        <f>EXP(-LN(2)/25)*GM131+(1-EXP(-LN(2)/25))/(LN(2)/25)*Calculateur!GH132*Calculateur!GJ132*VLOOKUP('Données projet'!$B$17,'Paramètres'!$A$1:$I$89,3,0)*0.475*44/12</f>
        <v>0</v>
      </c>
      <c r="GN132" s="142">
        <f>EXP(-LN(2)/2)*GN131+(1-EXP(-LN(2)/2))/(LN(2)/2)*GH132*GK132*VLOOKUP('Données projet'!$B$17,'Paramètres'!$A$1:$I$89,3,0)*0.475*44/12</f>
        <v>0</v>
      </c>
      <c r="GO132" s="142">
        <f t="shared" si="28"/>
        <v>26.48525574</v>
      </c>
      <c r="GP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1" t="str">
        <f>VLOOKUP(A132,'Données projet'!$A$269:$I$289,2,0)</f>
        <v>#N/A</v>
      </c>
      <c r="GS132" s="131" t="str">
        <f>VLOOKUP(A132,'Données projet'!$A$269:$I$289,9,0)</f>
        <v>#N/A</v>
      </c>
      <c r="GT132" s="131" t="str">
        <f t="array" ref="GT132">INDEX(GS:GS,MIN(IF(ISNUMBER(GS132:GS328),ROW(GS132:GS328),"")))</f>
        <v/>
      </c>
      <c r="GU132" s="138">
        <f>IF('Données projet'!$A$270&gt;35,GU131+GT132-HC131,IF(A132&lt;'Données projet'!$A$270,$GR$205^A132,IF(A132='Données projet'!$A$270,'Données projet'!$B$270,GU131+GT132-HC131)))</f>
        <v>0</v>
      </c>
      <c r="GV132" s="138">
        <f>GU132*VLOOKUP('Données projet'!$B$18,'Paramètres'!$A$1:$I$89,3,0)*VLOOKUP('Données projet'!$B$18,'Paramètres'!$A$1:$I$89,5,0)</f>
        <v>0</v>
      </c>
      <c r="GW132" s="130" t="str">
        <f t="shared" si="52"/>
        <v>#NUM!</v>
      </c>
      <c r="GX132" s="141" t="str">
        <f t="shared" si="29"/>
        <v>#NUM!</v>
      </c>
      <c r="GY132" s="133" t="str">
        <f t="shared" si="30"/>
        <v>#NUM!</v>
      </c>
      <c r="GZ132" s="133">
        <f>AVERAGE(OFFSET($GY$3,0,0,'Données projet'!$E$18+1,1))-AVERAGE(OFFSET($H$3,0,0,'Données projet'!$E$18+1,1))</f>
        <v>100.5427875</v>
      </c>
      <c r="HA132" s="133">
        <f t="shared" si="53"/>
        <v>92.28663609</v>
      </c>
      <c r="HB132" s="134">
        <f>IF(ISNA(VLOOKUP(A132,'Données projet'!$A$269:$I$289,3,0)),0,VLOOKUP(A132,'Données projet'!$A$269:$I$289,3,0))</f>
        <v>0</v>
      </c>
      <c r="HC132" s="134">
        <f>IF(ISNA(VLOOKUP(A132,'Données projet'!$A$269:$I$289,4,0)),0,VLOOKUP(A132,'Données projet'!$A$269:$I$289,4,0))</f>
        <v>0</v>
      </c>
      <c r="HD132" s="135">
        <f>IF(ISNA(VLOOKUP(A132,'Données projet'!$A$269:$I$289,5,0)),0%,VLOOKUP(A132,'Données projet'!$A$269:$I$289,5,0)*VLOOKUP('Données projet'!$B$18,'Paramètres'!$A$1:$I$89,7,0))</f>
        <v>0</v>
      </c>
      <c r="HE132" s="135">
        <f>IF(ISNA(VLOOKUP(A132,'Données projet'!$A$269:$I$289,6,0)),0%,VLOOKUP(A132,'Données projet'!$A$269:$I$289,6,0)*VLOOKUP('Données projet'!$B$18,'Paramètres'!$A$1:$I$89,7,0))</f>
        <v>0</v>
      </c>
      <c r="HF132" s="135">
        <f>IF(ISNA(VLOOKUP(A132,'Données projet'!$A$269:$I$289,7,0)),0%,VLOOKUP(A132,'Données projet'!$A$269:$I$289,7,0))</f>
        <v>0</v>
      </c>
      <c r="HG132" s="142">
        <f>EXP(-LN(2)/35)*HG131+(1-EXP(-LN(2)/35))/(LN(2)/35)*HC132*HD132*VLOOKUP('Données projet'!$B$18,'Paramètres'!$A$1:$I$89,3,0)*0.475*44/12</f>
        <v>18.03590042</v>
      </c>
      <c r="HH132" s="142">
        <f>EXP(-LN(2)/25)*HH131+(1-EXP(-LN(2)/25))/(LN(2)/25)*Calculateur!HC132*Calculateur!HE132*VLOOKUP('Données projet'!$B$18,'Paramètres'!$A$1:$I$89,3,0)*0.475*44/12</f>
        <v>0</v>
      </c>
      <c r="HI132" s="142">
        <f>EXP(-LN(2)/2)*HI131+(1-EXP(-LN(2)/2))/(LN(2)/2)*HC132*HF132*VLOOKUP('Données projet'!$B$18,'Paramètres'!$A$1:$I$89,3,0)*0.475*44/12</f>
        <v>0</v>
      </c>
      <c r="HJ132" s="143">
        <f t="shared" si="31"/>
        <v>18.03590042</v>
      </c>
    </row>
    <row r="133" ht="15.75" customHeight="1">
      <c r="A133" s="125">
        <f t="shared" si="32"/>
        <v>130</v>
      </c>
      <c r="B133" s="126">
        <f>'Scénario référence'!$B$16*5+'Scénario référence'!$B$17*0+'Scénario référence'!$B$18*5</f>
        <v>0</v>
      </c>
      <c r="C133" s="140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70.98</v>
      </c>
      <c r="D133" s="127">
        <f t="shared" si="33"/>
        <v>19.91662884</v>
      </c>
      <c r="E13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7">
        <f>IF(OR('Scénario référence'!$F$8&gt;0,'Scénario référence'!$F$9&gt;0),('Scénario référence'!$F$8+'Scénario référence'!$F$9)*10,0)</f>
        <v>10</v>
      </c>
      <c r="G133" s="127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</v>
      </c>
      <c r="H133" s="128">
        <f t="shared" si="1"/>
        <v>451.6449619</v>
      </c>
      <c r="I133" s="12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1" t="str">
        <f>VLOOKUP(A133,'Données projet'!$A$35:$I$55,2,0)</f>
        <v>#N/A</v>
      </c>
      <c r="L133" s="131" t="str">
        <f>VLOOKUP(A133,'Données projet'!$A$35:$I$55,9,0)</f>
        <v>#N/A</v>
      </c>
      <c r="M133" s="131" t="str">
        <f t="array" ref="M133">INDEX(L:L,MIN(IF(ISNUMBER(L133:L329),ROW(L133:L329),"")))</f>
        <v/>
      </c>
      <c r="N133" s="130">
        <f>IF('Données projet'!$A$36&gt;35,N132+M133-V132,IF(A133&lt;'Données projet'!$A$36,$K$205^A133,IF(A133='Données projet'!$A$36,'Données projet'!$B$36,N132+M133-V132)))</f>
        <v>0</v>
      </c>
      <c r="O133" s="130">
        <f>N133*VLOOKUP('Données projet'!$B$9,'Paramètres'!$A$1:$I$89,3,0)*VLOOKUP('Données projet'!$B$9,'Paramètres'!$A$1:$I$89,5,0)</f>
        <v>0</v>
      </c>
      <c r="P133" s="130">
        <f t="shared" si="34"/>
        <v>0</v>
      </c>
      <c r="Q133" s="141">
        <f t="shared" si="2"/>
        <v>0</v>
      </c>
      <c r="R133" s="133">
        <f t="shared" si="3"/>
        <v>293.3333333</v>
      </c>
      <c r="S133" s="133">
        <f>AVERAGE(OFFSET($R$3,0,0,'Données projet'!$E$9+1,1))-AVERAGE(OFFSET($H$3,0,0,'Données projet'!$E$9+1,1))</f>
        <v>126.9946492</v>
      </c>
      <c r="T133" s="133">
        <f t="shared" si="35"/>
        <v>140.039049</v>
      </c>
      <c r="U133" s="134">
        <f>IF(ISNA(VLOOKUP(A133,'Données projet'!$A$35:$I$55,3,0)),0,VLOOKUP(A133,'Données projet'!$A$35:$I$55,3,0))</f>
        <v>0</v>
      </c>
      <c r="V133" s="134">
        <f>IF(ISNA(VLOOKUP(A133,'Données projet'!$A$35:$I$55,4,0)),0,VLOOKUP(A133,'Données projet'!$A$35:$I$55,4,0))</f>
        <v>0</v>
      </c>
      <c r="W133" s="135">
        <f>IF(ISNA(VLOOKUP(A133,'Données projet'!$A$35:$I$55,5,0)),0%,VLOOKUP(A133,'Données projet'!$A$35:$I$55,5,0)*VLOOKUP('Données projet'!$B$9,'Paramètres'!$A$1:$I$89,7,0))</f>
        <v>0</v>
      </c>
      <c r="X133" s="135">
        <f>IF(ISNA(VLOOKUP(A133,'Données projet'!$A$35:$I$55,6,0)),0%,VLOOKUP(A133,'Données projet'!$A$35:$I$55,6,0)*VLOOKUP('Données projet'!$B$9,'Paramètres'!$A$1:$I$89,7,0))</f>
        <v>0</v>
      </c>
      <c r="Y133" s="135">
        <f>IF(ISNA(VLOOKUP(A133,'Données projet'!$A$35:$I$55,7,0)),0%,VLOOKUP(A133,'Données projet'!$A$35:$I$55,7,0))</f>
        <v>0</v>
      </c>
      <c r="Z133" s="142">
        <f>EXP(-LN(2)/35)*Z132+(1-EXP(-LN(2)/35))/(LN(2)/35)*V133*W133*VLOOKUP('Données projet'!$B$9,'Paramètres'!$A$1:$I$89,3,0)*0.475*44/12</f>
        <v>26.55733154</v>
      </c>
      <c r="AA133" s="142">
        <f>EXP(-LN(2)/25)*AA132+(1-EXP(-LN(2)/25))/(LN(2)/25)*Calculateur!V133*Calculateur!X133*VLOOKUP('Données projet'!$B$9,'Paramètres'!$A$1:$I$89,3,0)*0.475*44/12</f>
        <v>3.336774504</v>
      </c>
      <c r="AB133" s="142">
        <f>EXP(-LN(2)/2)*AB132+(1-EXP(-LN(2)/2))/(LN(2)/2)*V133*Y133*VLOOKUP('Données projet'!$B$9,'Paramètres'!$A$1:$I$89,3,0)*0.475*44/12</f>
        <v>0.0000000005526634402</v>
      </c>
      <c r="AC133" s="143">
        <f t="shared" si="4"/>
        <v>29.89410605</v>
      </c>
      <c r="AD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1" t="str">
        <f>VLOOKUP(A133,'Données projet'!$A$61:$I$81,2,0)</f>
        <v>#N/A</v>
      </c>
      <c r="AG133" s="131" t="str">
        <f>VLOOKUP(A133,'Données projet'!$A$61:$I$81,9,0)</f>
        <v>#N/A</v>
      </c>
      <c r="AH133" s="131" t="str">
        <f t="array" ref="AH133">INDEX(AG:AG,MIN(IF(ISNUMBER(AG133:AG329),ROW(AG133:AG329),"")))</f>
        <v/>
      </c>
      <c r="AI133" s="130">
        <f>IF('Données projet'!$A$62&gt;35,AI132+AH133-AQ132,IF(A133&lt;'Données projet'!$A$62,$AF$205^A133,IF(A133='Données projet'!$A$62,'Données projet'!$B$62,AI132+AH133-AQ132)))</f>
        <v>0</v>
      </c>
      <c r="AJ133" s="130">
        <f>AI133*VLOOKUP('Données projet'!$B$10,'Paramètres'!$A$1:$I$89,3,0)*VLOOKUP('Données projet'!$B$10,'Paramètres'!$A$1:$I$89,5,0)</f>
        <v>0</v>
      </c>
      <c r="AK133" s="130" t="str">
        <f t="shared" si="36"/>
        <v>#NUM!</v>
      </c>
      <c r="AL133" s="141" t="str">
        <f t="shared" si="5"/>
        <v>#NUM!</v>
      </c>
      <c r="AM133" s="133" t="str">
        <f t="shared" si="6"/>
        <v>#NUM!</v>
      </c>
      <c r="AN133" s="133">
        <f>AVERAGE(OFFSET($AM$3,0,0,'Données projet'!$E$10+1,1))-AVERAGE(OFFSET($H$3,0,0,'Données projet'!$E$10+1,1))</f>
        <v>196.874484</v>
      </c>
      <c r="AO133" s="133">
        <f t="shared" si="37"/>
        <v>217.5750859</v>
      </c>
      <c r="AP133" s="134">
        <f>IF(ISNA(VLOOKUP(A133,'Données projet'!$A$61:$I$81,3,0)),0,VLOOKUP(A133,'Données projet'!$A$61:$I$81,3,0))</f>
        <v>0</v>
      </c>
      <c r="AQ133" s="134">
        <f>IF(ISNA(VLOOKUP(A133,'Données projet'!$A$61:$I$81,4,0)),0,VLOOKUP(A133,'Données projet'!$A$61:$I$81,4,0))</f>
        <v>0</v>
      </c>
      <c r="AR133" s="135">
        <f>IF(ISNA(VLOOKUP(A133,'Données projet'!$A$61:$I$81,5,0)),0%,VLOOKUP(A133,'Données projet'!$A$61:$I$81,5,0)*VLOOKUP('Données projet'!$B$10,'Paramètres'!$A$1:$I$89,7,0))</f>
        <v>0</v>
      </c>
      <c r="AS133" s="135">
        <f>IF(ISNA(VLOOKUP(A133,'Données projet'!$A$61:$I$81,6,0)),0%,VLOOKUP(A133,'Données projet'!$A$61:$I$81,6,0)*VLOOKUP('Données projet'!$B$10,'Paramètres'!$A$1:$I$89,7,0))</f>
        <v>0</v>
      </c>
      <c r="AT133" s="135">
        <f>IF(ISNA(VLOOKUP(A133,'Données projet'!$A$61:$I$81,7,0)),0%,VLOOKUP(A133,'Données projet'!$A$61:$I$81,7,0))</f>
        <v>0</v>
      </c>
      <c r="AU133" s="142">
        <f>EXP(-LN(2)/35)*AU132+(1-EXP(-LN(2)/35))/(LN(2)/35)*AQ133*AR133*VLOOKUP('Données projet'!$B$10,'Paramètres'!$A$1:$I$89,3,0)*0.475*44/12</f>
        <v>36.91393651</v>
      </c>
      <c r="AV133" s="142">
        <f>EXP(-LN(2)/25)*AV132+(1-EXP(-LN(2)/25))/(LN(2)/25)*Calculateur!AQ133*Calculateur!AS133*VLOOKUP('Données projet'!$B$10,'Paramètres'!$A$1:$I$89,3,0)*0.475*44/12</f>
        <v>5.130295258</v>
      </c>
      <c r="AW133" s="142">
        <f>EXP(-LN(2)/2)*AW132+(1-EXP(-LN(2)/2))/(LN(2)/2)*AQ133*AT133*VLOOKUP('Données projet'!$B$10,'Paramètres'!$A$1:$I$89,3,0)*0.475*44/12</f>
        <v>0.0000000007705288711</v>
      </c>
      <c r="AX133" s="142">
        <f t="shared" si="7"/>
        <v>42.04423177</v>
      </c>
      <c r="AY133" s="13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1" t="str">
        <f>VLOOKUP(A133,'Données projet'!$A$87:$I$107,2,0)</f>
        <v>#N/A</v>
      </c>
      <c r="BB133" s="131" t="str">
        <f>VLOOKUP(A133,'Données projet'!$A$87:$I$107,9,0)</f>
        <v>#N/A</v>
      </c>
      <c r="BC133" s="131" t="str">
        <f t="array" ref="BC133">INDEX(BB:BB,MIN(IF(ISNUMBER(BB133:BB329),ROW(BB133:BB329),"")))</f>
        <v/>
      </c>
      <c r="BD133" s="130">
        <f>IF('Données projet'!$A$88&gt;35,BD132+BC133-BL132,IF(A133&lt;'Données projet'!$A$88,$BA$205^A133,IF(A133='Données projet'!$A$88,'Données projet'!$B$88,BD132+BC133-BL132)))</f>
        <v>0</v>
      </c>
      <c r="BE133" s="130">
        <f>BD133*VLOOKUP('Données projet'!$B$11,'Paramètres'!$A$1:$I$89,3,0)*VLOOKUP('Données projet'!$B$11,'Paramètres'!$A$1:$I$89,5,0)</f>
        <v>0</v>
      </c>
      <c r="BF133" s="130" t="str">
        <f t="shared" si="38"/>
        <v>#NUM!</v>
      </c>
      <c r="BG133" s="141" t="str">
        <f t="shared" si="8"/>
        <v>#NUM!</v>
      </c>
      <c r="BH133" s="133" t="str">
        <f t="shared" si="9"/>
        <v>#NUM!</v>
      </c>
      <c r="BI133" s="133">
        <f>AVERAGE(OFFSET($BH$3,0,0,'Données projet'!$E$11+1,1))-AVERAGE(OFFSET($H$3,0,0,'Données projet'!$E$11+1,1))</f>
        <v>134.0948534</v>
      </c>
      <c r="BJ133" s="133">
        <f t="shared" si="39"/>
        <v>108.4102536</v>
      </c>
      <c r="BK133" s="134">
        <f>IF(ISNA(VLOOKUP(A133,'Données projet'!$A$87:$I$107,3,0)),0,VLOOKUP(A133,'Données projet'!$A$87:$I$107,3,0))</f>
        <v>0</v>
      </c>
      <c r="BL133" s="134">
        <f>IF(ISNA(VLOOKUP(A133,'Données projet'!$A$87:$I$107,4,0)),0,VLOOKUP(A133,'Données projet'!$A$87:$I$107,4,0))</f>
        <v>0</v>
      </c>
      <c r="BM133" s="135">
        <f>IF(ISNA(VLOOKUP(A133,'Données projet'!$A$87:$I$107,5,0)),0%,VLOOKUP(A133,'Données projet'!$A$87:$I$107,5,0)*VLOOKUP('Données projet'!$B$11,'Paramètres'!$A$1:$I$89,7,0))</f>
        <v>0</v>
      </c>
      <c r="BN133" s="135">
        <f>IF(ISNA(VLOOKUP(A133,'Données projet'!$A$87:$I$107,6,0)),0%,VLOOKUP(A133,'Données projet'!$A$87:$I$107,6,0)*VLOOKUP('Données projet'!$B$11,'Paramètres'!$A$1:$I$89,7,0))</f>
        <v>0</v>
      </c>
      <c r="BO133" s="135">
        <f>IF(ISNA(VLOOKUP(A133,'Données projet'!$A$87:$I$107,7,0)),0%,VLOOKUP(A133,'Données projet'!$A$87:$I$107,7,0))</f>
        <v>0</v>
      </c>
      <c r="BP133" s="142">
        <f>EXP(-LN(2)/35)*BP132+(1-EXP(-LN(2)/35))/(LN(2)/35)*BL133*BM133*VLOOKUP('Données projet'!$B$11,'Paramètres'!$A$1:$I$89,3,0)*0.475*44/12</f>
        <v>51.05886819</v>
      </c>
      <c r="BQ133" s="142">
        <f>EXP(-LN(2)/25)*BQ132+(1-EXP(-LN(2)/25))/(LN(2)/25)*Calculateur!BL133*Calculateur!BN133*VLOOKUP('Données projet'!$B$11,'Paramètres'!$A$1:$I$89,3,0)*0.475*44/12</f>
        <v>3.236194653</v>
      </c>
      <c r="BR133" s="142">
        <f>EXP(-LN(2)/2)*BR132+(1-EXP(-LN(2)/2))/(LN(2)/2)*BL133*BO133*VLOOKUP('Données projet'!$B$11,'Paramètres'!$A$1:$I$89,3,0)*0.475*44/12</f>
        <v>0.00000001027774934</v>
      </c>
      <c r="BS133" s="143">
        <f t="shared" si="10"/>
        <v>54.29506285</v>
      </c>
      <c r="BT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1" t="str">
        <f>VLOOKUP(A133,'Données projet'!$A$113:$I$133,2,0)</f>
        <v>#N/A</v>
      </c>
      <c r="BW133" s="131" t="str">
        <f>VLOOKUP(A133,'Données projet'!$A$113:$I$133,9,0)</f>
        <v>#N/A</v>
      </c>
      <c r="BX133" s="131" t="str">
        <f t="array" ref="BX133">INDEX(BW:BW,MIN(IF(ISNUMBER(BW133:BW329),ROW(BW133:BW329),"")))</f>
        <v/>
      </c>
      <c r="BY133" s="130">
        <f>IF('Données projet'!$A$114&gt;35,BY132+BX133-CG132,IF(A133&lt;'Données projet'!$A$114,$BV$205^A133,IF(A133='Données projet'!$A$114,'Données projet'!$B$114,BY132+BX133-CG132)))</f>
        <v>0</v>
      </c>
      <c r="BZ133" s="130">
        <f>BY133*VLOOKUP('Données projet'!$B$12,'Paramètres'!$A$1:$I$89,3,0)*VLOOKUP('Données projet'!$B$12,'Paramètres'!$A$1:$I$89,5,0)</f>
        <v>0</v>
      </c>
      <c r="CA133" s="130" t="str">
        <f t="shared" si="40"/>
        <v>#NUM!</v>
      </c>
      <c r="CB133" s="141" t="str">
        <f t="shared" si="11"/>
        <v>#NUM!</v>
      </c>
      <c r="CC133" s="133" t="str">
        <f t="shared" si="12"/>
        <v>#NUM!</v>
      </c>
      <c r="CD133" s="133">
        <f>AVERAGE(OFFSET($CC$3,0,0,'Données projet'!$E$12+1,1))-AVERAGE(OFFSET($H$3,0,0,'Données projet'!$E$12+1,1))</f>
        <v>258.1672054</v>
      </c>
      <c r="CE133" s="133">
        <f t="shared" si="41"/>
        <v>296.0724261</v>
      </c>
      <c r="CF133" s="134">
        <f>IF(ISNA(VLOOKUP(A133,'Données projet'!$A$113:$I$133,3,0)),0,VLOOKUP(A133,'Données projet'!$A$113:$I$133,3,0))</f>
        <v>0</v>
      </c>
      <c r="CG133" s="134">
        <f>IF(ISNA(VLOOKUP(A133,'Données projet'!$A$113:$I$133,4,0)),0,VLOOKUP(A133,'Données projet'!$A$113:$I$133,4,0))</f>
        <v>0</v>
      </c>
      <c r="CH133" s="135">
        <f>IF(ISNA(VLOOKUP(A133,'Données projet'!$A$113:$I$133,5,0)),0%,VLOOKUP(A133,'Données projet'!$A$113:$I$133,5,0)*VLOOKUP('Données projet'!$B$12,'Paramètres'!$A$1:$I$89,7,0))</f>
        <v>0</v>
      </c>
      <c r="CI133" s="135">
        <f>IF(ISNA(VLOOKUP(A133,'Données projet'!$A$113:$I$133,6,0)),0%,VLOOKUP(A133,'Données projet'!$A$113:$I$133,6,0)*VLOOKUP('Données projet'!$B$12,'Paramètres'!$A$1:$I$89,7,0))</f>
        <v>0</v>
      </c>
      <c r="CJ133" s="135">
        <f>IF(ISNA(VLOOKUP(A133,'Données projet'!$A$113:$I$133,7,0)),0%,VLOOKUP(A133,'Données projet'!$A$113:$I$133,7,0))</f>
        <v>0</v>
      </c>
      <c r="CK133" s="142">
        <f>EXP(-LN(2)/35)*CK132+(1-EXP(-LN(2)/35))/(LN(2)/35)*CG133*CH133*VLOOKUP('Données projet'!$B$12,'Paramètres'!$A$1:$I$89,3,0)*0.475*44/12</f>
        <v>64.55402894</v>
      </c>
      <c r="CL133" s="142">
        <f>EXP(-LN(2)/25)*CL132+(1-EXP(-LN(2)/25))/(LN(2)/25)*Calculateur!CG133*Calculateur!CI133*VLOOKUP('Données projet'!$B$12,'Paramètres'!$A$1:$I$89,3,0)*0.475*44/12</f>
        <v>5.676469132</v>
      </c>
      <c r="CM133" s="142">
        <f>EXP(-LN(2)/2)*CM132+(1-EXP(-LN(2)/2))/(LN(2)/2)*CG133*CJ133*VLOOKUP('Données projet'!$B$12,'Paramètres'!$A$1:$I$89,3,0)*0.475*44/12</f>
        <v>0.0000000004329894489</v>
      </c>
      <c r="CN133" s="143">
        <f t="shared" si="13"/>
        <v>70.23049807</v>
      </c>
      <c r="CO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8">
        <f>VLOOKUP(A133,'Données projet'!$A$139:$I$159,2,0)</f>
        <v>220</v>
      </c>
      <c r="CR133" s="130">
        <f>VLOOKUP(A133,'Données projet'!$A$139:$I$159,9,0)</f>
        <v>1.1</v>
      </c>
      <c r="CS133" s="130">
        <f t="array" ref="CS133">INDEX(CR:CR,MIN(IF(ISNUMBER(CR133:CR329),ROW(CR133:CR329),"")))</f>
        <v>1.1</v>
      </c>
      <c r="CT133" s="138">
        <f>IF('Données projet'!$A$140&gt;35,CT132+CS133-DB132,IF(A133&lt;'Données projet'!$A$140,$CQ$205^A133,IF(A133='Données projet'!$A$140,'Données projet'!$B$140,CT132+CS133-DB132)))</f>
        <v>220</v>
      </c>
      <c r="CU133" s="138">
        <f>CT133*VLOOKUP('Données projet'!$B$13,'Paramètres'!$A$1:$I$89,3,0)*VLOOKUP('Données projet'!$B$13,'Paramètres'!$A$1:$I$89,5,0)</f>
        <v>223.08</v>
      </c>
      <c r="CV133" s="130">
        <f t="shared" si="42"/>
        <v>54.78376588</v>
      </c>
      <c r="CW133" s="141">
        <f t="shared" si="14"/>
        <v>483.9460589</v>
      </c>
      <c r="CX133" s="133">
        <f t="shared" si="15"/>
        <v>777.2793922</v>
      </c>
      <c r="CY133" s="133">
        <f>AVERAGE(OFFSET($CX$3,0,0,'Données projet'!$E$13+1,1))-AVERAGE(OFFSET($H$3,0,0,'Données projet'!$E$13+1,1))</f>
        <v>223.783507</v>
      </c>
      <c r="CZ133" s="133">
        <f t="shared" si="43"/>
        <v>84.92349117</v>
      </c>
      <c r="DA133" s="134">
        <f>IF(ISNA(VLOOKUP(A133,'Données projet'!$A$139:$I$159,3,0)),0,VLOOKUP(A133,'Données projet'!$A$139:$I$159,3,0))</f>
        <v>18</v>
      </c>
      <c r="DB133" s="144">
        <f>IF(ISNA(VLOOKUP(A133,'Données projet'!$A$139:$I$159,4,0)),0,VLOOKUP(A133,'Données projet'!$A$139:$I$159,4,0))</f>
        <v>10</v>
      </c>
      <c r="DC133" s="135">
        <f>IF(ISNA(VLOOKUP(A133,'Données projet'!$A$139:$I$159,5,0)),0%,VLOOKUP(A133,'Données projet'!$A$139:$I$159,5,0)*VLOOKUP('Données projet'!$B$13,'Paramètres'!$A$1:$I$89,7,0))</f>
        <v>0.344</v>
      </c>
      <c r="DD133" s="135">
        <f>IF(ISNA(VLOOKUP(A133,'Données projet'!$A$139:$I$159,6,0)),0%,VLOOKUP(A133,'Données projet'!$A$139:$I$159,6,0)*VLOOKUP('Données projet'!$B$13,'Paramètres'!$A$1:$I$89,7,0))</f>
        <v>0</v>
      </c>
      <c r="DE133" s="135" t="str">
        <f>IF(ISNA(VLOOKUP(A133,'Données projet'!$A$139:$I$159,7,0)),0%,VLOOKUP(A133,'Données projet'!$A$139:$I$159,7,0))</f>
        <v/>
      </c>
      <c r="DF133" s="142">
        <f>EXP(-LN(2)/35)*DF132+(1-EXP(-LN(2)/35))/(LN(2)/35)*DB133*DC133*VLOOKUP('Données projet'!$B$13,'Paramètres'!$A$1:$I$89,3,0)*0.475*44/12</f>
        <v>22.1540408</v>
      </c>
      <c r="DG133" s="142">
        <f>EXP(-LN(2)/25)*DG132+(1-EXP(-LN(2)/25))/(LN(2)/25)*Calculateur!DB133*Calculateur!DD133*VLOOKUP('Données projet'!$B$13,'Paramètres'!$A$1:$I$89,3,0)*0.475*44/12</f>
        <v>0</v>
      </c>
      <c r="DH133" s="142">
        <f>EXP(-LN(2)/2)*DH132+(1-EXP(-LN(2)/2))/(LN(2)/2)*DB133*DE133*VLOOKUP('Données projet'!$B$13,'Paramètres'!$A$1:$I$89,3,0)*0.475*44/12</f>
        <v>0</v>
      </c>
      <c r="DI133" s="143">
        <f t="shared" si="16"/>
        <v>22.1540408</v>
      </c>
      <c r="DJ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8">
        <f>VLOOKUP(A133,'Données projet'!$A$165:$I$185,2,0)</f>
        <v>284</v>
      </c>
      <c r="DM133" s="131">
        <f>VLOOKUP(A133,'Données projet'!$A$165:$I$185,9,0)</f>
        <v>1.6</v>
      </c>
      <c r="DN133" s="131">
        <f t="array" ref="DN133">INDEX(DM:DM,MIN(IF(ISNUMBER(DM133:DM329),ROW(DM133:DM329),"")))</f>
        <v>1.6</v>
      </c>
      <c r="DO133" s="138">
        <f>IF('Données projet'!$A$166&gt;35,DO132+DN133-DW132,IF(A133&lt;'Données projet'!$A$166,$DL$205^A133,IF(A133='Données projet'!$A$166,'Données projet'!$B$166,DO132+DN133-DW132)))</f>
        <v>284</v>
      </c>
      <c r="DP133" s="138">
        <f>DO133*VLOOKUP('Données projet'!$B$14,'Paramètres'!$A$1:$I$89,3,0)*VLOOKUP('Données projet'!$B$14,'Paramètres'!$A$1:$I$89,5,0)</f>
        <v>256.9632</v>
      </c>
      <c r="DQ133" s="130">
        <f t="shared" si="44"/>
        <v>62.07461296</v>
      </c>
      <c r="DR133" s="141">
        <f t="shared" si="17"/>
        <v>555.6575242</v>
      </c>
      <c r="DS133" s="133">
        <f t="shared" si="18"/>
        <v>848.9908576</v>
      </c>
      <c r="DT133" s="133">
        <f>AVERAGE(OFFSET($DS$3,0,0,'Données projet'!$E$14+1,1))-AVERAGE(OFFSET($H$3,0,0,'Données projet'!$E$14+1,1))</f>
        <v>287.9334714</v>
      </c>
      <c r="DU133" s="133">
        <f t="shared" si="45"/>
        <v>156.6796502</v>
      </c>
      <c r="DV133" s="134">
        <f>IF(ISNA(VLOOKUP(A133,'Données projet'!$A$165:$I$185,3,0)),0,VLOOKUP(A133,'Données projet'!$A$165:$I$185,3,0))</f>
        <v>19</v>
      </c>
      <c r="DW133" s="144">
        <f>IF(ISNA(VLOOKUP(A133,'Données projet'!$A$165:$I$185,4,0)),0,VLOOKUP(A133,'Données projet'!$A$165:$I$185,4,0))</f>
        <v>15</v>
      </c>
      <c r="DX133" s="135">
        <f>IF(ISNA(VLOOKUP(A133,'Données projet'!$A$165:$I$185,5,0)),0%,VLOOKUP(A133,'Données projet'!$A$165:$I$185,5,0)*VLOOKUP('Données projet'!$B$14,'Paramètres'!$A$1:$I$89,7,0))</f>
        <v>0.344</v>
      </c>
      <c r="DY133" s="135">
        <f>IF(ISNA(VLOOKUP(A133,'Données projet'!$A$165:$I$185,6,0)),0%,VLOOKUP(A133,'Données projet'!$A$165:$I$185,6,0)*VLOOKUP('Données projet'!$B$14,'Paramètres'!$A$1:$I$89,7,0))</f>
        <v>0</v>
      </c>
      <c r="DZ133" s="135" t="str">
        <f>IF(ISNA(VLOOKUP(A133,'Données projet'!$A$165:$I$185,7,0)),0%,VLOOKUP(A133,'Données projet'!$A$165:$I$185,7,0))</f>
        <v/>
      </c>
      <c r="EA133" s="142">
        <f>EXP(-LN(2)/35)*EA132+(1-EXP(-LN(2)/35))/(LN(2)/35)*DW133*DX133*VLOOKUP('Données projet'!$B$14,'Paramètres'!$A$1:$I$89,3,0)*0.475*44/12</f>
        <v>31.55346126</v>
      </c>
      <c r="EB133" s="142">
        <f>EXP(-LN(2)/25)*EB132+(1-EXP(-LN(2)/25))/(LN(2)/25)*Calculateur!DW133*Calculateur!DY133*VLOOKUP('Données projet'!$B$14,'Paramètres'!$A$1:$I$89,3,0)*0.475*44/12</f>
        <v>0</v>
      </c>
      <c r="EC133" s="142">
        <f>EXP(-LN(2)/2)*EC132+(1-EXP(-LN(2)/2))/(LN(2)/2)*DW133*DZ133*VLOOKUP('Données projet'!$B$14,'Paramètres'!$A$1:$I$89,3,0)*0.475*44/12</f>
        <v>0</v>
      </c>
      <c r="ED133" s="143">
        <f t="shared" si="19"/>
        <v>31.55346126</v>
      </c>
      <c r="EE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1" t="str">
        <f>VLOOKUP(A133,'Données projet'!$A$191:$I$211,2,0)</f>
        <v>#N/A</v>
      </c>
      <c r="EH133" s="131" t="str">
        <f>VLOOKUP(A133,'Données projet'!$A$191:$I$211,9,0)</f>
        <v>#N/A</v>
      </c>
      <c r="EI133" s="131" t="str">
        <f t="array" ref="EI133">INDEX(EH:EH,MIN(IF(ISNUMBER(EH133:EH329),ROW(EH133:EH329),"")))</f>
        <v/>
      </c>
      <c r="EJ133" s="138">
        <f>IF('Données projet'!$A$192&gt;35,EJ132+EI133-ER132,IF(A133&lt;'Données projet'!$A$192,$EG$205^A133,IF(A133='Données projet'!$A$192,'Données projet'!$B$192,EJ132+EI133-ER132)))</f>
        <v>0</v>
      </c>
      <c r="EK133" s="138">
        <f>EJ133*VLOOKUP('Données projet'!$B$15,'Paramètres'!$A$1:$I$89,3,0)*VLOOKUP('Données projet'!$B$15,'Paramètres'!$A$1:$I$89,5,0)</f>
        <v>0</v>
      </c>
      <c r="EL133" s="130" t="str">
        <f t="shared" si="46"/>
        <v>#NUM!</v>
      </c>
      <c r="EM133" s="141" t="str">
        <f t="shared" si="20"/>
        <v>#NUM!</v>
      </c>
      <c r="EN133" s="133" t="str">
        <f t="shared" si="21"/>
        <v>#NUM!</v>
      </c>
      <c r="EO133" s="133">
        <f>AVERAGE(OFFSET($EN$3,0,0,'Données projet'!$E$15+1,1))-AVERAGE(OFFSET($H$3,0,0,'Données projet'!$E$15+1,1))</f>
        <v>130.3193339</v>
      </c>
      <c r="EP133" s="133">
        <f t="shared" si="47"/>
        <v>82.22784365</v>
      </c>
      <c r="EQ133" s="134">
        <f>IF(ISNA(VLOOKUP(A133,'Données projet'!$A$191:$I$211,3,0)),0,VLOOKUP(A133,'Données projet'!$A$191:$I$211,3,0))</f>
        <v>0</v>
      </c>
      <c r="ER133" s="134">
        <f>IF(ISNA(VLOOKUP(A133,'Données projet'!$A$191:$I$211,4,0)),0,VLOOKUP(A133,'Données projet'!$A$191:$I$211,4,0))</f>
        <v>0</v>
      </c>
      <c r="ES133" s="135">
        <f>IF(ISNA(VLOOKUP(A133,'Données projet'!$A$191:$I$211,5,0)),0%,VLOOKUP(A133,'Données projet'!$A$191:$I$211,5,0)*VLOOKUP('Données projet'!$B$15,'Paramètres'!$A$1:$I$89,7,0))</f>
        <v>0</v>
      </c>
      <c r="ET133" s="135">
        <f>IF(ISNA(VLOOKUP(A133,'Données projet'!$A$191:$I$211,6,0)),0%,VLOOKUP(A133,'Données projet'!$A$191:$I$211,6,0)*VLOOKUP('Données projet'!$B$15,'Paramètres'!$A$1:$I$89,7,0))</f>
        <v>0</v>
      </c>
      <c r="EU133" s="135">
        <f>IF(ISNA(VLOOKUP(A133,'Données projet'!$A$191:$I$211,7,0)),0%,VLOOKUP(A133,'Données projet'!$A$191:$I$211,7,0))</f>
        <v>0</v>
      </c>
      <c r="EV133" s="142">
        <f>EXP(-LN(2)/35)*EV132+(1-EXP(-LN(2)/35))/(LN(2)/35)*ER133*ES133*VLOOKUP('Données projet'!$B$15,'Paramètres'!$A$1:$I$89,3,0)*0.475*44/12</f>
        <v>39.47345325</v>
      </c>
      <c r="EW133" s="142">
        <f>EXP(-LN(2)/25)*EW132+(1-EXP(-LN(2)/25))/(LN(2)/25)*Calculateur!ER133*Calculateur!ET133*VLOOKUP('Données projet'!$B$15,'Paramètres'!$A$1:$I$89,3,0)*0.475*44/12</f>
        <v>0</v>
      </c>
      <c r="EX133" s="142">
        <f>EXP(-LN(2)/2)*EX132+(1-EXP(-LN(2)/2))/(LN(2)/2)*ER133*EU133*VLOOKUP('Données projet'!$B$15,'Paramètres'!$A$1:$I$89,3,0)*0.475*44/12</f>
        <v>0</v>
      </c>
      <c r="EY133" s="143">
        <f t="shared" si="22"/>
        <v>39.47345325</v>
      </c>
      <c r="EZ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1" t="str">
        <f>VLOOKUP(A133,'Données projet'!$A$217:$I$237,2,0)</f>
        <v>#N/A</v>
      </c>
      <c r="FC133" s="131" t="str">
        <f>VLOOKUP(A133,'Données projet'!$A$217:$I$237,9,0)</f>
        <v>#N/A</v>
      </c>
      <c r="FD133" s="131" t="str">
        <f t="array" ref="FD133">INDEX(FC:FC,MIN(IF(ISNUMBER(FC133:FC329),ROW(FC133:FC329),"")))</f>
        <v/>
      </c>
      <c r="FE133" s="130">
        <f>IF('Données projet'!$A$218&gt;35,FE132+FD133-FM132,IF(A133&lt;'Données projet'!$A$218,$FB$205^A133,IF(A133='Données projet'!$A$218,'Données projet'!$B$218,FE132+FD133-FM132)))</f>
        <v>0</v>
      </c>
      <c r="FF133" s="138">
        <f>FE133*VLOOKUP('Données projet'!$B$16,'Paramètres'!$A$1:$I$89,3,0)*VLOOKUP('Données projet'!$B$16,'Paramètres'!$A$1:$I$89,5,0)</f>
        <v>0</v>
      </c>
      <c r="FG133" s="130">
        <f t="shared" si="48"/>
        <v>0</v>
      </c>
      <c r="FH133" s="141">
        <f t="shared" si="23"/>
        <v>0</v>
      </c>
      <c r="FI133" s="133">
        <f t="shared" si="24"/>
        <v>293.3333333</v>
      </c>
      <c r="FJ133" s="133">
        <f>AVERAGE(OFFSET($FI$3,0,0,'Données projet'!$E$16+1,1))-AVERAGE(OFFSET($H$3,0,0,'Données projet'!$E$16+1,1))</f>
        <v>305.6252353</v>
      </c>
      <c r="FK133" s="133">
        <f t="shared" si="49"/>
        <v>331.397916</v>
      </c>
      <c r="FL133" s="134">
        <f>IF(ISNA(VLOOKUP(A133,'Données projet'!$A$217:$I$237,3,0)),0,VLOOKUP(A133,'Données projet'!$A$217:$I$237,3,0))</f>
        <v>0</v>
      </c>
      <c r="FM133" s="134">
        <f>IF(ISNA(VLOOKUP(A133,'Données projet'!$A$217:$I$237,4,0)),0,VLOOKUP(A133,'Données projet'!$A$217:$I$237,4,0))</f>
        <v>0</v>
      </c>
      <c r="FN133" s="135">
        <f>IF(ISNA(VLOOKUP(A133,'Données projet'!$A$217:$I$237,5,0)),0%,VLOOKUP(A133,'Données projet'!$A$217:$I$237,5,0)*VLOOKUP('Données projet'!$B$16,'Paramètres'!$A$1:$I$89,7,0))</f>
        <v>0</v>
      </c>
      <c r="FO133" s="135">
        <f>IF(ISNA(VLOOKUP(A133,'Données projet'!$A$217:$I$237,6,0)),0%,VLOOKUP(A133,'Données projet'!$A$217:$I$237,6,0)*VLOOKUP('Données projet'!$B$16,'Paramètres'!$A$1:$I$89,7,0))</f>
        <v>0</v>
      </c>
      <c r="FP133" s="135">
        <f>IF(ISNA(VLOOKUP(A133,'Données projet'!$A$217:$I$237,7,0)),0%,VLOOKUP(A133,'Données projet'!$A$217:$I$237,7,0))</f>
        <v>0</v>
      </c>
      <c r="FQ133" s="142">
        <f>EXP(-LN(2)/35)*FQ132+(1-EXP(-LN(2)/35))/(LN(2)/35)*FM133*FN133*VLOOKUP('Données projet'!$B$16,'Paramètres'!$A$1:$I$89,3,0)*0.475*44/12</f>
        <v>24.57735167</v>
      </c>
      <c r="FR133" s="142">
        <f>EXP(-LN(2)/25)*FR132+(1-EXP(-LN(2)/25))/(LN(2)/25)*Calculateur!FM133*Calculateur!FO133*VLOOKUP('Données projet'!$B$16,'Paramètres'!$A$1:$I$89,3,0)*0.475*44/12</f>
        <v>0</v>
      </c>
      <c r="FS133" s="142">
        <f>EXP(-LN(2)/2)*FS132+(1-EXP(-LN(2)/2))/(LN(2)/2)*FM133*FP133*VLOOKUP('Données projet'!$B$16,'Paramètres'!$A$1:$I$89,3,0)*0.475*44/12</f>
        <v>0</v>
      </c>
      <c r="FT133" s="143">
        <f t="shared" si="25"/>
        <v>24.57735167</v>
      </c>
      <c r="FU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1" t="str">
        <f>VLOOKUP(A133,'Données projet'!$A$243:$I$263,2,0)</f>
        <v>#N/A</v>
      </c>
      <c r="FX133" s="131" t="str">
        <f>VLOOKUP(A133,'Données projet'!$A$243:$I$263,9,0)</f>
        <v>#N/A</v>
      </c>
      <c r="FY133" s="131" t="str">
        <f t="array" ref="FY133">INDEX(FX:FX,MIN(IF(ISNUMBER(FX133:FX329),ROW(FX133:FX329),"")))</f>
        <v/>
      </c>
      <c r="FZ133" s="138">
        <f>IF('Données projet'!$A$244&gt;35,FZ132+FY133-GH132,IF(A133&lt;'Données projet'!$A$244,$FW$205^A133,IF(A133='Données projet'!$A$244,'Données projet'!$B$244,FZ132+FY133-GH132)))</f>
        <v>0</v>
      </c>
      <c r="GA133" s="138">
        <f>FZ133*VLOOKUP('Données projet'!$B$17,'Paramètres'!$A$1:$I$89,3,0)*VLOOKUP('Données projet'!$B$17,'Paramètres'!$A$1:$I$89,5,0)</f>
        <v>0</v>
      </c>
      <c r="GB133" s="130">
        <f t="shared" si="50"/>
        <v>0</v>
      </c>
      <c r="GC133" s="141">
        <f t="shared" si="26"/>
        <v>0</v>
      </c>
      <c r="GD133" s="133">
        <f t="shared" si="27"/>
        <v>293.3333333</v>
      </c>
      <c r="GE133" s="133">
        <f>AVERAGE(OFFSET($GD$3,0,0,'Données projet'!$E$17+1,1))-AVERAGE(OFFSET($H$3,0,0,'Données projet'!$E$17+1,1))</f>
        <v>118.7368745</v>
      </c>
      <c r="GF133" s="133">
        <f t="shared" si="51"/>
        <v>135.1233677</v>
      </c>
      <c r="GG133" s="134">
        <f>IF(ISNA(VLOOKUP(A133,'Données projet'!$A$243:$I$263,3,0)),0,VLOOKUP(A133,'Données projet'!$A$243:$I$263,3,0))</f>
        <v>0</v>
      </c>
      <c r="GH133" s="134">
        <f>IF(ISNA(VLOOKUP(A133,'Données projet'!$A$243:$I$263,4,0)),0,VLOOKUP(A133,'Données projet'!$A$243:$I$263,4,0))</f>
        <v>0</v>
      </c>
      <c r="GI133" s="135">
        <f>IF(ISNA(VLOOKUP(A133,'Données projet'!$A$243:$I$263,5,0)),0%,VLOOKUP(A133,'Données projet'!$A$243:$I$263,5,0)*VLOOKUP('Données projet'!$B$17,'Paramètres'!$A$1:$I$89,7,0))</f>
        <v>0</v>
      </c>
      <c r="GJ133" s="135">
        <f>IF(ISNA(VLOOKUP(A133,'Données projet'!$A$243:$I$263,6,0)),0%,VLOOKUP(A133,'Données projet'!$A$243:$I$263,6,0)*VLOOKUP('Données projet'!$B$17,'Paramètres'!$A$1:$I$89,7,0))</f>
        <v>0</v>
      </c>
      <c r="GK133" s="135">
        <f>IF(ISNA(VLOOKUP(A133,'Données projet'!$A$243:$I$263,7,0)),0%,VLOOKUP(A133,'Données projet'!$A$243:$I$263,7,0))</f>
        <v>0</v>
      </c>
      <c r="GL133" s="142">
        <f>EXP(-LN(2)/35)*GL132+(1-EXP(-LN(2)/35))/(LN(2)/35)*GH133*GI133*VLOOKUP('Données projet'!$B$17,'Paramètres'!$A$1:$I$89,3,0)*0.475*44/12</f>
        <v>25.96589603</v>
      </c>
      <c r="GM133" s="142">
        <f>EXP(-LN(2)/25)*GM132+(1-EXP(-LN(2)/25))/(LN(2)/25)*Calculateur!GH133*Calculateur!GJ133*VLOOKUP('Données projet'!$B$17,'Paramètres'!$A$1:$I$89,3,0)*0.475*44/12</f>
        <v>0</v>
      </c>
      <c r="GN133" s="142">
        <f>EXP(-LN(2)/2)*GN132+(1-EXP(-LN(2)/2))/(LN(2)/2)*GH133*GK133*VLOOKUP('Données projet'!$B$17,'Paramètres'!$A$1:$I$89,3,0)*0.475*44/12</f>
        <v>0</v>
      </c>
      <c r="GO133" s="142">
        <f t="shared" si="28"/>
        <v>25.96589603</v>
      </c>
      <c r="GP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1" t="str">
        <f>VLOOKUP(A133,'Données projet'!$A$269:$I$289,2,0)</f>
        <v>#N/A</v>
      </c>
      <c r="GS133" s="131" t="str">
        <f>VLOOKUP(A133,'Données projet'!$A$269:$I$289,9,0)</f>
        <v>#N/A</v>
      </c>
      <c r="GT133" s="131" t="str">
        <f t="array" ref="GT133">INDEX(GS:GS,MIN(IF(ISNUMBER(GS133:GS329),ROW(GS133:GS329),"")))</f>
        <v/>
      </c>
      <c r="GU133" s="138">
        <f>IF('Données projet'!$A$270&gt;35,GU132+GT133-HC132,IF(A133&lt;'Données projet'!$A$270,$GR$205^A133,IF(A133='Données projet'!$A$270,'Données projet'!$B$270,GU132+GT133-HC132)))</f>
        <v>0</v>
      </c>
      <c r="GV133" s="138">
        <f>GU133*VLOOKUP('Données projet'!$B$18,'Paramètres'!$A$1:$I$89,3,0)*VLOOKUP('Données projet'!$B$18,'Paramètres'!$A$1:$I$89,5,0)</f>
        <v>0</v>
      </c>
      <c r="GW133" s="130" t="str">
        <f t="shared" si="52"/>
        <v>#NUM!</v>
      </c>
      <c r="GX133" s="141" t="str">
        <f t="shared" si="29"/>
        <v>#NUM!</v>
      </c>
      <c r="GY133" s="133" t="str">
        <f t="shared" si="30"/>
        <v>#NUM!</v>
      </c>
      <c r="GZ133" s="133">
        <f>AVERAGE(OFFSET($GY$3,0,0,'Données projet'!$E$18+1,1))-AVERAGE(OFFSET($H$3,0,0,'Données projet'!$E$18+1,1))</f>
        <v>100.5427875</v>
      </c>
      <c r="HA133" s="133">
        <f t="shared" si="53"/>
        <v>92.28663609</v>
      </c>
      <c r="HB133" s="134">
        <f>IF(ISNA(VLOOKUP(A133,'Données projet'!$A$269:$I$289,3,0)),0,VLOOKUP(A133,'Données projet'!$A$269:$I$289,3,0))</f>
        <v>0</v>
      </c>
      <c r="HC133" s="134">
        <f>IF(ISNA(VLOOKUP(A133,'Données projet'!$A$269:$I$289,4,0)),0,VLOOKUP(A133,'Données projet'!$A$269:$I$289,4,0))</f>
        <v>0</v>
      </c>
      <c r="HD133" s="135">
        <f>IF(ISNA(VLOOKUP(A133,'Données projet'!$A$269:$I$289,5,0)),0%,VLOOKUP(A133,'Données projet'!$A$269:$I$289,5,0)*VLOOKUP('Données projet'!$B$18,'Paramètres'!$A$1:$I$89,7,0))</f>
        <v>0</v>
      </c>
      <c r="HE133" s="135">
        <f>IF(ISNA(VLOOKUP(A133,'Données projet'!$A$269:$I$289,6,0)),0%,VLOOKUP(A133,'Données projet'!$A$269:$I$289,6,0)*VLOOKUP('Données projet'!$B$18,'Paramètres'!$A$1:$I$89,7,0))</f>
        <v>0</v>
      </c>
      <c r="HF133" s="135">
        <f>IF(ISNA(VLOOKUP(A133,'Données projet'!$A$269:$I$289,7,0)),0%,VLOOKUP(A133,'Données projet'!$A$269:$I$289,7,0))</f>
        <v>0</v>
      </c>
      <c r="HG133" s="142">
        <f>EXP(-LN(2)/35)*HG132+(1-EXP(-LN(2)/35))/(LN(2)/35)*HC133*HD133*VLOOKUP('Données projet'!$B$18,'Paramètres'!$A$1:$I$89,3,0)*0.475*44/12</f>
        <v>17.68222742</v>
      </c>
      <c r="HH133" s="142">
        <f>EXP(-LN(2)/25)*HH132+(1-EXP(-LN(2)/25))/(LN(2)/25)*Calculateur!HC133*Calculateur!HE133*VLOOKUP('Données projet'!$B$18,'Paramètres'!$A$1:$I$89,3,0)*0.475*44/12</f>
        <v>0</v>
      </c>
      <c r="HI133" s="142">
        <f>EXP(-LN(2)/2)*HI132+(1-EXP(-LN(2)/2))/(LN(2)/2)*HC133*HF133*VLOOKUP('Données projet'!$B$18,'Paramètres'!$A$1:$I$89,3,0)*0.475*44/12</f>
        <v>0</v>
      </c>
      <c r="HJ133" s="143">
        <f t="shared" si="31"/>
        <v>17.68222742</v>
      </c>
    </row>
    <row r="134" ht="15.75" customHeight="1">
      <c r="A134" s="125">
        <f t="shared" si="32"/>
        <v>131</v>
      </c>
      <c r="B134" s="126">
        <f>'Scénario référence'!$B$16*5+'Scénario référence'!$B$17*0+'Scénario référence'!$B$18*5</f>
        <v>0</v>
      </c>
      <c r="C134" s="140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71.526</v>
      </c>
      <c r="D134" s="127">
        <f t="shared" si="33"/>
        <v>20.0519402</v>
      </c>
      <c r="E13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7">
        <f>IF(OR('Scénario référence'!$F$8&gt;0,'Scénario référence'!$F$9&gt;0),('Scénario référence'!$F$8+'Scénario référence'!$F$9)*10,0)</f>
        <v>10</v>
      </c>
      <c r="G134" s="127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</v>
      </c>
      <c r="H134" s="128">
        <f t="shared" si="1"/>
        <v>452.8315792</v>
      </c>
      <c r="I134" s="12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1" t="str">
        <f>VLOOKUP(A134,'Données projet'!$A$35:$I$55,2,0)</f>
        <v>#N/A</v>
      </c>
      <c r="L134" s="131" t="str">
        <f>VLOOKUP(A134,'Données projet'!$A$35:$I$55,9,0)</f>
        <v>#N/A</v>
      </c>
      <c r="M134" s="131" t="str">
        <f t="array" ref="M134">INDEX(L:L,MIN(IF(ISNUMBER(L134:L330),ROW(L134:L330),"")))</f>
        <v/>
      </c>
      <c r="N134" s="130">
        <f>IF('Données projet'!$A$36&gt;35,N133+M134-V133,IF(A134&lt;'Données projet'!$A$36,$K$205^A134,IF(A134='Données projet'!$A$36,'Données projet'!$B$36,N133+M134-V133)))</f>
        <v>0</v>
      </c>
      <c r="O134" s="130">
        <f>N134*VLOOKUP('Données projet'!$B$9,'Paramètres'!$A$1:$I$89,3,0)*VLOOKUP('Données projet'!$B$9,'Paramètres'!$A$1:$I$89,5,0)</f>
        <v>0</v>
      </c>
      <c r="P134" s="130">
        <f t="shared" si="34"/>
        <v>0</v>
      </c>
      <c r="Q134" s="141">
        <f t="shared" si="2"/>
        <v>0</v>
      </c>
      <c r="R134" s="133">
        <f t="shared" si="3"/>
        <v>293.3333333</v>
      </c>
      <c r="S134" s="133">
        <f>AVERAGE(OFFSET($R$3,0,0,'Données projet'!$E$9+1,1))-AVERAGE(OFFSET($H$3,0,0,'Données projet'!$E$9+1,1))</f>
        <v>126.9946492</v>
      </c>
      <c r="T134" s="133">
        <f t="shared" si="35"/>
        <v>140.039049</v>
      </c>
      <c r="U134" s="134">
        <f>IF(ISNA(VLOOKUP(A134,'Données projet'!$A$35:$I$55,3,0)),0,VLOOKUP(A134,'Données projet'!$A$35:$I$55,3,0))</f>
        <v>0</v>
      </c>
      <c r="V134" s="134">
        <f>IF(ISNA(VLOOKUP(A134,'Données projet'!$A$35:$I$55,4,0)),0,VLOOKUP(A134,'Données projet'!$A$35:$I$55,4,0))</f>
        <v>0</v>
      </c>
      <c r="W134" s="135">
        <f>IF(ISNA(VLOOKUP(A134,'Données projet'!$A$35:$I$55,5,0)),0%,VLOOKUP(A134,'Données projet'!$A$35:$I$55,5,0)*VLOOKUP('Données projet'!$B$9,'Paramètres'!$A$1:$I$89,7,0))</f>
        <v>0</v>
      </c>
      <c r="X134" s="135">
        <f>IF(ISNA(VLOOKUP(A134,'Données projet'!$A$35:$I$55,6,0)),0%,VLOOKUP(A134,'Données projet'!$A$35:$I$55,6,0)*VLOOKUP('Données projet'!$B$9,'Paramètres'!$A$1:$I$89,7,0))</f>
        <v>0</v>
      </c>
      <c r="Y134" s="135">
        <f>IF(ISNA(VLOOKUP(A134,'Données projet'!$A$35:$I$55,7,0)),0%,VLOOKUP(A134,'Données projet'!$A$35:$I$55,7,0))</f>
        <v>0</v>
      </c>
      <c r="Z134" s="142">
        <f>EXP(-LN(2)/35)*Z133+(1-EXP(-LN(2)/35))/(LN(2)/35)*V134*W134*VLOOKUP('Données projet'!$B$9,'Paramètres'!$A$1:$I$89,3,0)*0.475*44/12</f>
        <v>26.03655847</v>
      </c>
      <c r="AA134" s="142">
        <f>EXP(-LN(2)/25)*AA133+(1-EXP(-LN(2)/25))/(LN(2)/25)*Calculateur!V134*Calculateur!X134*VLOOKUP('Données projet'!$B$9,'Paramètres'!$A$1:$I$89,3,0)*0.475*44/12</f>
        <v>3.24553023</v>
      </c>
      <c r="AB134" s="142">
        <f>EXP(-LN(2)/2)*AB133+(1-EXP(-LN(2)/2))/(LN(2)/2)*V134*Y134*VLOOKUP('Données projet'!$B$9,'Paramètres'!$A$1:$I$89,3,0)*0.475*44/12</f>
        <v>0.0000000003907920663</v>
      </c>
      <c r="AC134" s="143">
        <f t="shared" si="4"/>
        <v>29.2820887</v>
      </c>
      <c r="AD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1" t="str">
        <f>VLOOKUP(A134,'Données projet'!$A$61:$I$81,2,0)</f>
        <v>#N/A</v>
      </c>
      <c r="AG134" s="131" t="str">
        <f>VLOOKUP(A134,'Données projet'!$A$61:$I$81,9,0)</f>
        <v>#N/A</v>
      </c>
      <c r="AH134" s="131" t="str">
        <f t="array" ref="AH134">INDEX(AG:AG,MIN(IF(ISNUMBER(AG134:AG330),ROW(AG134:AG330),"")))</f>
        <v/>
      </c>
      <c r="AI134" s="130">
        <f>IF('Données projet'!$A$62&gt;35,AI133+AH134-AQ133,IF(A134&lt;'Données projet'!$A$62,$AF$205^A134,IF(A134='Données projet'!$A$62,'Données projet'!$B$62,AI133+AH134-AQ133)))</f>
        <v>0</v>
      </c>
      <c r="AJ134" s="130">
        <f>AI134*VLOOKUP('Données projet'!$B$10,'Paramètres'!$A$1:$I$89,3,0)*VLOOKUP('Données projet'!$B$10,'Paramètres'!$A$1:$I$89,5,0)</f>
        <v>0</v>
      </c>
      <c r="AK134" s="130" t="str">
        <f t="shared" si="36"/>
        <v>#NUM!</v>
      </c>
      <c r="AL134" s="141" t="str">
        <f t="shared" si="5"/>
        <v>#NUM!</v>
      </c>
      <c r="AM134" s="133" t="str">
        <f t="shared" si="6"/>
        <v>#NUM!</v>
      </c>
      <c r="AN134" s="133">
        <f>AVERAGE(OFFSET($AM$3,0,0,'Données projet'!$E$10+1,1))-AVERAGE(OFFSET($H$3,0,0,'Données projet'!$E$10+1,1))</f>
        <v>196.874484</v>
      </c>
      <c r="AO134" s="133">
        <f t="shared" si="37"/>
        <v>217.5750859</v>
      </c>
      <c r="AP134" s="134">
        <f>IF(ISNA(VLOOKUP(A134,'Données projet'!$A$61:$I$81,3,0)),0,VLOOKUP(A134,'Données projet'!$A$61:$I$81,3,0))</f>
        <v>0</v>
      </c>
      <c r="AQ134" s="134">
        <f>IF(ISNA(VLOOKUP(A134,'Données projet'!$A$61:$I$81,4,0)),0,VLOOKUP(A134,'Données projet'!$A$61:$I$81,4,0))</f>
        <v>0</v>
      </c>
      <c r="AR134" s="135">
        <f>IF(ISNA(VLOOKUP(A134,'Données projet'!$A$61:$I$81,5,0)),0%,VLOOKUP(A134,'Données projet'!$A$61:$I$81,5,0)*VLOOKUP('Données projet'!$B$10,'Paramètres'!$A$1:$I$89,7,0))</f>
        <v>0</v>
      </c>
      <c r="AS134" s="135">
        <f>IF(ISNA(VLOOKUP(A134,'Données projet'!$A$61:$I$81,6,0)),0%,VLOOKUP(A134,'Données projet'!$A$61:$I$81,6,0)*VLOOKUP('Données projet'!$B$10,'Paramètres'!$A$1:$I$89,7,0))</f>
        <v>0</v>
      </c>
      <c r="AT134" s="135">
        <f>IF(ISNA(VLOOKUP(A134,'Données projet'!$A$61:$I$81,7,0)),0%,VLOOKUP(A134,'Données projet'!$A$61:$I$81,7,0))</f>
        <v>0</v>
      </c>
      <c r="AU134" s="142">
        <f>EXP(-LN(2)/35)*AU133+(1-EXP(-LN(2)/35))/(LN(2)/35)*AQ134*AR134*VLOOKUP('Données projet'!$B$10,'Paramètres'!$A$1:$I$89,3,0)*0.475*44/12</f>
        <v>36.19007673</v>
      </c>
      <c r="AV134" s="142">
        <f>EXP(-LN(2)/25)*AV133+(1-EXP(-LN(2)/25))/(LN(2)/25)*Calculateur!AQ134*Calculateur!AS134*VLOOKUP('Données projet'!$B$10,'Paramètres'!$A$1:$I$89,3,0)*0.475*44/12</f>
        <v>4.990007064</v>
      </c>
      <c r="AW134" s="142">
        <f>EXP(-LN(2)/2)*AW133+(1-EXP(-LN(2)/2))/(LN(2)/2)*AQ134*AT134*VLOOKUP('Données projet'!$B$10,'Paramètres'!$A$1:$I$89,3,0)*0.475*44/12</f>
        <v>0.0000000005448461899</v>
      </c>
      <c r="AX134" s="142">
        <f t="shared" si="7"/>
        <v>41.1800838</v>
      </c>
      <c r="AY134" s="13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1" t="str">
        <f>VLOOKUP(A134,'Données projet'!$A$87:$I$107,2,0)</f>
        <v>#N/A</v>
      </c>
      <c r="BB134" s="131" t="str">
        <f>VLOOKUP(A134,'Données projet'!$A$87:$I$107,9,0)</f>
        <v>#N/A</v>
      </c>
      <c r="BC134" s="131" t="str">
        <f t="array" ref="BC134">INDEX(BB:BB,MIN(IF(ISNUMBER(BB134:BB330),ROW(BB134:BB330),"")))</f>
        <v/>
      </c>
      <c r="BD134" s="130">
        <f>IF('Données projet'!$A$88&gt;35,BD133+BC134-BL133,IF(A134&lt;'Données projet'!$A$88,$BA$205^A134,IF(A134='Données projet'!$A$88,'Données projet'!$B$88,BD133+BC134-BL133)))</f>
        <v>0</v>
      </c>
      <c r="BE134" s="130">
        <f>BD134*VLOOKUP('Données projet'!$B$11,'Paramètres'!$A$1:$I$89,3,0)*VLOOKUP('Données projet'!$B$11,'Paramètres'!$A$1:$I$89,5,0)</f>
        <v>0</v>
      </c>
      <c r="BF134" s="130" t="str">
        <f t="shared" si="38"/>
        <v>#NUM!</v>
      </c>
      <c r="BG134" s="141" t="str">
        <f t="shared" si="8"/>
        <v>#NUM!</v>
      </c>
      <c r="BH134" s="133" t="str">
        <f t="shared" si="9"/>
        <v>#NUM!</v>
      </c>
      <c r="BI134" s="133">
        <f>AVERAGE(OFFSET($BH$3,0,0,'Données projet'!$E$11+1,1))-AVERAGE(OFFSET($H$3,0,0,'Données projet'!$E$11+1,1))</f>
        <v>134.0948534</v>
      </c>
      <c r="BJ134" s="133">
        <f t="shared" si="39"/>
        <v>108.4102536</v>
      </c>
      <c r="BK134" s="134">
        <f>IF(ISNA(VLOOKUP(A134,'Données projet'!$A$87:$I$107,3,0)),0,VLOOKUP(A134,'Données projet'!$A$87:$I$107,3,0))</f>
        <v>0</v>
      </c>
      <c r="BL134" s="134">
        <f>IF(ISNA(VLOOKUP(A134,'Données projet'!$A$87:$I$107,4,0)),0,VLOOKUP(A134,'Données projet'!$A$87:$I$107,4,0))</f>
        <v>0</v>
      </c>
      <c r="BM134" s="135">
        <f>IF(ISNA(VLOOKUP(A134,'Données projet'!$A$87:$I$107,5,0)),0%,VLOOKUP(A134,'Données projet'!$A$87:$I$107,5,0)*VLOOKUP('Données projet'!$B$11,'Paramètres'!$A$1:$I$89,7,0))</f>
        <v>0</v>
      </c>
      <c r="BN134" s="135">
        <f>IF(ISNA(VLOOKUP(A134,'Données projet'!$A$87:$I$107,6,0)),0%,VLOOKUP(A134,'Données projet'!$A$87:$I$107,6,0)*VLOOKUP('Données projet'!$B$11,'Paramètres'!$A$1:$I$89,7,0))</f>
        <v>0</v>
      </c>
      <c r="BO134" s="135">
        <f>IF(ISNA(VLOOKUP(A134,'Données projet'!$A$87:$I$107,7,0)),0%,VLOOKUP(A134,'Données projet'!$A$87:$I$107,7,0))</f>
        <v>0</v>
      </c>
      <c r="BP134" s="142">
        <f>EXP(-LN(2)/35)*BP133+(1-EXP(-LN(2)/35))/(LN(2)/35)*BL134*BM134*VLOOKUP('Données projet'!$B$11,'Paramètres'!$A$1:$I$89,3,0)*0.475*44/12</f>
        <v>50.05763493</v>
      </c>
      <c r="BQ134" s="142">
        <f>EXP(-LN(2)/25)*BQ133+(1-EXP(-LN(2)/25))/(LN(2)/25)*Calculateur!BL134*Calculateur!BN134*VLOOKUP('Données projet'!$B$11,'Paramètres'!$A$1:$I$89,3,0)*0.475*44/12</f>
        <v>3.14770074</v>
      </c>
      <c r="BR134" s="142">
        <f>EXP(-LN(2)/2)*BR133+(1-EXP(-LN(2)/2))/(LN(2)/2)*BL134*BO134*VLOOKUP('Données projet'!$B$11,'Paramètres'!$A$1:$I$89,3,0)*0.475*44/12</f>
        <v>0.000000007267466256</v>
      </c>
      <c r="BS134" s="143">
        <f t="shared" si="10"/>
        <v>53.20533568</v>
      </c>
      <c r="BT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1" t="str">
        <f>VLOOKUP(A134,'Données projet'!$A$113:$I$133,2,0)</f>
        <v>#N/A</v>
      </c>
      <c r="BW134" s="131" t="str">
        <f>VLOOKUP(A134,'Données projet'!$A$113:$I$133,9,0)</f>
        <v>#N/A</v>
      </c>
      <c r="BX134" s="131" t="str">
        <f t="array" ref="BX134">INDEX(BW:BW,MIN(IF(ISNUMBER(BW134:BW330),ROW(BW134:BW330),"")))</f>
        <v/>
      </c>
      <c r="BY134" s="130">
        <f>IF('Données projet'!$A$114&gt;35,BY133+BX134-CG133,IF(A134&lt;'Données projet'!$A$114,$BV$205^A134,IF(A134='Données projet'!$A$114,'Données projet'!$B$114,BY133+BX134-CG133)))</f>
        <v>0</v>
      </c>
      <c r="BZ134" s="130">
        <f>BY134*VLOOKUP('Données projet'!$B$12,'Paramètres'!$A$1:$I$89,3,0)*VLOOKUP('Données projet'!$B$12,'Paramètres'!$A$1:$I$89,5,0)</f>
        <v>0</v>
      </c>
      <c r="CA134" s="130" t="str">
        <f t="shared" si="40"/>
        <v>#NUM!</v>
      </c>
      <c r="CB134" s="141" t="str">
        <f t="shared" si="11"/>
        <v>#NUM!</v>
      </c>
      <c r="CC134" s="133" t="str">
        <f t="shared" si="12"/>
        <v>#NUM!</v>
      </c>
      <c r="CD134" s="133">
        <f>AVERAGE(OFFSET($CC$3,0,0,'Données projet'!$E$12+1,1))-AVERAGE(OFFSET($H$3,0,0,'Données projet'!$E$12+1,1))</f>
        <v>258.1672054</v>
      </c>
      <c r="CE134" s="133">
        <f t="shared" si="41"/>
        <v>296.0724261</v>
      </c>
      <c r="CF134" s="134">
        <f>IF(ISNA(VLOOKUP(A134,'Données projet'!$A$113:$I$133,3,0)),0,VLOOKUP(A134,'Données projet'!$A$113:$I$133,3,0))</f>
        <v>0</v>
      </c>
      <c r="CG134" s="134">
        <f>IF(ISNA(VLOOKUP(A134,'Données projet'!$A$113:$I$133,4,0)),0,VLOOKUP(A134,'Données projet'!$A$113:$I$133,4,0))</f>
        <v>0</v>
      </c>
      <c r="CH134" s="135">
        <f>IF(ISNA(VLOOKUP(A134,'Données projet'!$A$113:$I$133,5,0)),0%,VLOOKUP(A134,'Données projet'!$A$113:$I$133,5,0)*VLOOKUP('Données projet'!$B$12,'Paramètres'!$A$1:$I$89,7,0))</f>
        <v>0</v>
      </c>
      <c r="CI134" s="135">
        <f>IF(ISNA(VLOOKUP(A134,'Données projet'!$A$113:$I$133,6,0)),0%,VLOOKUP(A134,'Données projet'!$A$113:$I$133,6,0)*VLOOKUP('Données projet'!$B$12,'Paramètres'!$A$1:$I$89,7,0))</f>
        <v>0</v>
      </c>
      <c r="CJ134" s="135">
        <f>IF(ISNA(VLOOKUP(A134,'Données projet'!$A$113:$I$133,7,0)),0%,VLOOKUP(A134,'Données projet'!$A$113:$I$133,7,0))</f>
        <v>0</v>
      </c>
      <c r="CK134" s="142">
        <f>EXP(-LN(2)/35)*CK133+(1-EXP(-LN(2)/35))/(LN(2)/35)*CG134*CH134*VLOOKUP('Données projet'!$B$12,'Paramètres'!$A$1:$I$89,3,0)*0.475*44/12</f>
        <v>63.28816381</v>
      </c>
      <c r="CL134" s="142">
        <f>EXP(-LN(2)/25)*CL133+(1-EXP(-LN(2)/25))/(LN(2)/25)*Calculateur!CG134*Calculateur!CI134*VLOOKUP('Données projet'!$B$12,'Paramètres'!$A$1:$I$89,3,0)*0.475*44/12</f>
        <v>5.521245785</v>
      </c>
      <c r="CM134" s="142">
        <f>EXP(-LN(2)/2)*CM133+(1-EXP(-LN(2)/2))/(LN(2)/2)*CG134*CJ134*VLOOKUP('Données projet'!$B$12,'Paramètres'!$A$1:$I$89,3,0)*0.475*44/12</f>
        <v>0.0000000003061697755</v>
      </c>
      <c r="CN134" s="143">
        <f t="shared" si="13"/>
        <v>68.80940959</v>
      </c>
      <c r="CO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1" t="str">
        <f>VLOOKUP(A134,'Données projet'!$A$139:$I$159,2,0)</f>
        <v>#N/A</v>
      </c>
      <c r="CR134" s="131" t="str">
        <f>VLOOKUP(A134,'Données projet'!$A$139:$I$159,9,0)</f>
        <v>#N/A</v>
      </c>
      <c r="CS134" s="130">
        <f t="array" ref="CS134">INDEX(CR:CR,MIN(IF(ISNUMBER(CR134:CR330),ROW(CR134:CR330),"")))</f>
        <v>0.8</v>
      </c>
      <c r="CT134" s="138">
        <f>IF('Données projet'!$A$140&gt;35,CT133+CS134-DB133,IF(A134&lt;'Données projet'!$A$140,$CQ$205^A134,IF(A134='Données projet'!$A$140,'Données projet'!$B$140,CT133+CS134-DB133)))</f>
        <v>210.8</v>
      </c>
      <c r="CU134" s="138">
        <f>CT134*VLOOKUP('Données projet'!$B$13,'Paramètres'!$A$1:$I$89,3,0)*VLOOKUP('Données projet'!$B$13,'Paramètres'!$A$1:$I$89,5,0)</f>
        <v>213.7512</v>
      </c>
      <c r="CV134" s="130">
        <f t="shared" si="42"/>
        <v>52.75447068</v>
      </c>
      <c r="CW134" s="141">
        <f t="shared" si="14"/>
        <v>464.1640431</v>
      </c>
      <c r="CX134" s="133">
        <f t="shared" si="15"/>
        <v>757.4973764</v>
      </c>
      <c r="CY134" s="133">
        <f>AVERAGE(OFFSET($CX$3,0,0,'Données projet'!$E$13+1,1))-AVERAGE(OFFSET($H$3,0,0,'Données projet'!$E$13+1,1))</f>
        <v>223.783507</v>
      </c>
      <c r="CZ134" s="133">
        <f t="shared" si="43"/>
        <v>84.92349117</v>
      </c>
      <c r="DA134" s="134">
        <f>IF(ISNA(VLOOKUP(A134,'Données projet'!$A$139:$I$159,3,0)),0,VLOOKUP(A134,'Données projet'!$A$139:$I$159,3,0))</f>
        <v>0</v>
      </c>
      <c r="DB134" s="134">
        <f>IF(ISNA(VLOOKUP(A134,'Données projet'!$A$139:$I$159,4,0)),0,VLOOKUP(A134,'Données projet'!$A$139:$I$159,4,0))</f>
        <v>0</v>
      </c>
      <c r="DC134" s="135">
        <f>IF(ISNA(VLOOKUP(A134,'Données projet'!$A$139:$I$159,5,0)),0%,VLOOKUP(A134,'Données projet'!$A$139:$I$159,5,0)*VLOOKUP('Données projet'!$B$13,'Paramètres'!$A$1:$I$89,7,0))</f>
        <v>0</v>
      </c>
      <c r="DD134" s="135">
        <f>IF(ISNA(VLOOKUP(A134,'Données projet'!$A$139:$I$159,6,0)),0%,VLOOKUP(A134,'Données projet'!$A$139:$I$159,6,0)*VLOOKUP('Données projet'!$B$13,'Paramètres'!$A$1:$I$89,7,0))</f>
        <v>0</v>
      </c>
      <c r="DE134" s="135">
        <f>IF(ISNA(VLOOKUP(A134,'Données projet'!$A$139:$I$159,7,0)),0%,VLOOKUP(A134,'Données projet'!$A$139:$I$159,7,0))</f>
        <v>0</v>
      </c>
      <c r="DF134" s="142">
        <f>EXP(-LN(2)/35)*DF133+(1-EXP(-LN(2)/35))/(LN(2)/35)*DB134*DC134*VLOOKUP('Données projet'!$B$13,'Paramètres'!$A$1:$I$89,3,0)*0.475*44/12</f>
        <v>21.71961358</v>
      </c>
      <c r="DG134" s="142">
        <f>EXP(-LN(2)/25)*DG133+(1-EXP(-LN(2)/25))/(LN(2)/25)*Calculateur!DB134*Calculateur!DD134*VLOOKUP('Données projet'!$B$13,'Paramètres'!$A$1:$I$89,3,0)*0.475*44/12</f>
        <v>0</v>
      </c>
      <c r="DH134" s="142">
        <f>EXP(-LN(2)/2)*DH133+(1-EXP(-LN(2)/2))/(LN(2)/2)*DB134*DE134*VLOOKUP('Données projet'!$B$13,'Paramètres'!$A$1:$I$89,3,0)*0.475*44/12</f>
        <v>0</v>
      </c>
      <c r="DI134" s="143">
        <f t="shared" si="16"/>
        <v>21.71961358</v>
      </c>
      <c r="DJ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1" t="str">
        <f>VLOOKUP(A134,'Données projet'!$A$165:$I$185,2,0)</f>
        <v>#N/A</v>
      </c>
      <c r="DM134" s="131" t="str">
        <f>VLOOKUP(A134,'Données projet'!$A$165:$I$185,9,0)</f>
        <v>#N/A</v>
      </c>
      <c r="DN134" s="131">
        <f t="array" ref="DN134">INDEX(DM:DM,MIN(IF(ISNUMBER(DM134:DM330),ROW(DM134:DM330),"")))</f>
        <v>0.55</v>
      </c>
      <c r="DO134" s="138">
        <f>IF('Données projet'!$A$166&gt;35,DO133+DN134-DW133,IF(A134&lt;'Données projet'!$A$166,$DL$205^A134,IF(A134='Données projet'!$A$166,'Données projet'!$B$166,DO133+DN134-DW133)))</f>
        <v>269.55</v>
      </c>
      <c r="DP134" s="138">
        <f>DO134*VLOOKUP('Données projet'!$B$14,'Paramètres'!$A$1:$I$89,3,0)*VLOOKUP('Données projet'!$B$14,'Paramètres'!$A$1:$I$89,5,0)</f>
        <v>243.88884</v>
      </c>
      <c r="DQ134" s="130">
        <f t="shared" si="44"/>
        <v>59.27544902</v>
      </c>
      <c r="DR134" s="141">
        <f t="shared" si="17"/>
        <v>528.0111367</v>
      </c>
      <c r="DS134" s="133">
        <f t="shared" si="18"/>
        <v>821.34447</v>
      </c>
      <c r="DT134" s="133">
        <f>AVERAGE(OFFSET($DS$3,0,0,'Données projet'!$E$14+1,1))-AVERAGE(OFFSET($H$3,0,0,'Données projet'!$E$14+1,1))</f>
        <v>287.9334714</v>
      </c>
      <c r="DU134" s="133">
        <f t="shared" si="45"/>
        <v>156.6796502</v>
      </c>
      <c r="DV134" s="134">
        <f>IF(ISNA(VLOOKUP(A134,'Données projet'!$A$165:$I$185,3,0)),0,VLOOKUP(A134,'Données projet'!$A$165:$I$185,3,0))</f>
        <v>0</v>
      </c>
      <c r="DW134" s="134">
        <f>IF(ISNA(VLOOKUP(A134,'Données projet'!$A$165:$I$185,4,0)),0,VLOOKUP(A134,'Données projet'!$A$165:$I$185,4,0))</f>
        <v>0</v>
      </c>
      <c r="DX134" s="135">
        <f>IF(ISNA(VLOOKUP(A134,'Données projet'!$A$165:$I$185,5,0)),0%,VLOOKUP(A134,'Données projet'!$A$165:$I$185,5,0)*VLOOKUP('Données projet'!$B$14,'Paramètres'!$A$1:$I$89,7,0))</f>
        <v>0</v>
      </c>
      <c r="DY134" s="135">
        <f>IF(ISNA(VLOOKUP(A134,'Données projet'!$A$165:$I$185,6,0)),0%,VLOOKUP(A134,'Données projet'!$A$165:$I$185,6,0)*VLOOKUP('Données projet'!$B$14,'Paramètres'!$A$1:$I$89,7,0))</f>
        <v>0</v>
      </c>
      <c r="DZ134" s="135">
        <f>IF(ISNA(VLOOKUP(A134,'Données projet'!$A$165:$I$185,7,0)),0%,VLOOKUP(A134,'Données projet'!$A$165:$I$185,7,0))</f>
        <v>0</v>
      </c>
      <c r="EA134" s="142">
        <f>EXP(-LN(2)/35)*EA133+(1-EXP(-LN(2)/35))/(LN(2)/35)*DW134*DX134*VLOOKUP('Données projet'!$B$14,'Paramètres'!$A$1:$I$89,3,0)*0.475*44/12</f>
        <v>30.93471713</v>
      </c>
      <c r="EB134" s="142">
        <f>EXP(-LN(2)/25)*EB133+(1-EXP(-LN(2)/25))/(LN(2)/25)*Calculateur!DW134*Calculateur!DY134*VLOOKUP('Données projet'!$B$14,'Paramètres'!$A$1:$I$89,3,0)*0.475*44/12</f>
        <v>0</v>
      </c>
      <c r="EC134" s="142">
        <f>EXP(-LN(2)/2)*EC133+(1-EXP(-LN(2)/2))/(LN(2)/2)*DW134*DZ134*VLOOKUP('Données projet'!$B$14,'Paramètres'!$A$1:$I$89,3,0)*0.475*44/12</f>
        <v>0</v>
      </c>
      <c r="ED134" s="143">
        <f t="shared" si="19"/>
        <v>30.93471713</v>
      </c>
      <c r="EE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1" t="str">
        <f>VLOOKUP(A134,'Données projet'!$A$191:$I$211,2,0)</f>
        <v>#N/A</v>
      </c>
      <c r="EH134" s="131" t="str">
        <f>VLOOKUP(A134,'Données projet'!$A$191:$I$211,9,0)</f>
        <v>#N/A</v>
      </c>
      <c r="EI134" s="131" t="str">
        <f t="array" ref="EI134">INDEX(EH:EH,MIN(IF(ISNUMBER(EH134:EH330),ROW(EH134:EH330),"")))</f>
        <v/>
      </c>
      <c r="EJ134" s="138">
        <f>IF('Données projet'!$A$192&gt;35,EJ133+EI134-ER133,IF(A134&lt;'Données projet'!$A$192,$EG$205^A134,IF(A134='Données projet'!$A$192,'Données projet'!$B$192,EJ133+EI134-ER133)))</f>
        <v>0</v>
      </c>
      <c r="EK134" s="138">
        <f>EJ134*VLOOKUP('Données projet'!$B$15,'Paramètres'!$A$1:$I$89,3,0)*VLOOKUP('Données projet'!$B$15,'Paramètres'!$A$1:$I$89,5,0)</f>
        <v>0</v>
      </c>
      <c r="EL134" s="130" t="str">
        <f t="shared" si="46"/>
        <v>#NUM!</v>
      </c>
      <c r="EM134" s="141" t="str">
        <f t="shared" si="20"/>
        <v>#NUM!</v>
      </c>
      <c r="EN134" s="133" t="str">
        <f t="shared" si="21"/>
        <v>#NUM!</v>
      </c>
      <c r="EO134" s="133">
        <f>AVERAGE(OFFSET($EN$3,0,0,'Données projet'!$E$15+1,1))-AVERAGE(OFFSET($H$3,0,0,'Données projet'!$E$15+1,1))</f>
        <v>130.3193339</v>
      </c>
      <c r="EP134" s="133">
        <f t="shared" si="47"/>
        <v>82.22784365</v>
      </c>
      <c r="EQ134" s="134">
        <f>IF(ISNA(VLOOKUP(A134,'Données projet'!$A$191:$I$211,3,0)),0,VLOOKUP(A134,'Données projet'!$A$191:$I$211,3,0))</f>
        <v>0</v>
      </c>
      <c r="ER134" s="134">
        <f>IF(ISNA(VLOOKUP(A134,'Données projet'!$A$191:$I$211,4,0)),0,VLOOKUP(A134,'Données projet'!$A$191:$I$211,4,0))</f>
        <v>0</v>
      </c>
      <c r="ES134" s="135">
        <f>IF(ISNA(VLOOKUP(A134,'Données projet'!$A$191:$I$211,5,0)),0%,VLOOKUP(A134,'Données projet'!$A$191:$I$211,5,0)*VLOOKUP('Données projet'!$B$15,'Paramètres'!$A$1:$I$89,7,0))</f>
        <v>0</v>
      </c>
      <c r="ET134" s="135">
        <f>IF(ISNA(VLOOKUP(A134,'Données projet'!$A$191:$I$211,6,0)),0%,VLOOKUP(A134,'Données projet'!$A$191:$I$211,6,0)*VLOOKUP('Données projet'!$B$15,'Paramètres'!$A$1:$I$89,7,0))</f>
        <v>0</v>
      </c>
      <c r="EU134" s="135">
        <f>IF(ISNA(VLOOKUP(A134,'Données projet'!$A$191:$I$211,7,0)),0%,VLOOKUP(A134,'Données projet'!$A$191:$I$211,7,0))</f>
        <v>0</v>
      </c>
      <c r="EV134" s="142">
        <f>EXP(-LN(2)/35)*EV133+(1-EXP(-LN(2)/35))/(LN(2)/35)*ER134*ES134*VLOOKUP('Données projet'!$B$15,'Paramètres'!$A$1:$I$89,3,0)*0.475*44/12</f>
        <v>38.69940291</v>
      </c>
      <c r="EW134" s="142">
        <f>EXP(-LN(2)/25)*EW133+(1-EXP(-LN(2)/25))/(LN(2)/25)*Calculateur!ER134*Calculateur!ET134*VLOOKUP('Données projet'!$B$15,'Paramètres'!$A$1:$I$89,3,0)*0.475*44/12</f>
        <v>0</v>
      </c>
      <c r="EX134" s="142">
        <f>EXP(-LN(2)/2)*EX133+(1-EXP(-LN(2)/2))/(LN(2)/2)*ER134*EU134*VLOOKUP('Données projet'!$B$15,'Paramètres'!$A$1:$I$89,3,0)*0.475*44/12</f>
        <v>0</v>
      </c>
      <c r="EY134" s="143">
        <f t="shared" si="22"/>
        <v>38.69940291</v>
      </c>
      <c r="EZ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1" t="str">
        <f>VLOOKUP(A134,'Données projet'!$A$217:$I$237,2,0)</f>
        <v>#N/A</v>
      </c>
      <c r="FC134" s="131" t="str">
        <f>VLOOKUP(A134,'Données projet'!$A$217:$I$237,9,0)</f>
        <v>#N/A</v>
      </c>
      <c r="FD134" s="131" t="str">
        <f t="array" ref="FD134">INDEX(FC:FC,MIN(IF(ISNUMBER(FC134:FC330),ROW(FC134:FC330),"")))</f>
        <v/>
      </c>
      <c r="FE134" s="130">
        <f>IF('Données projet'!$A$218&gt;35,FE133+FD134-FM133,IF(A134&lt;'Données projet'!$A$218,$FB$205^A134,IF(A134='Données projet'!$A$218,'Données projet'!$B$218,FE133+FD134-FM133)))</f>
        <v>0</v>
      </c>
      <c r="FF134" s="138">
        <f>FE134*VLOOKUP('Données projet'!$B$16,'Paramètres'!$A$1:$I$89,3,0)*VLOOKUP('Données projet'!$B$16,'Paramètres'!$A$1:$I$89,5,0)</f>
        <v>0</v>
      </c>
      <c r="FG134" s="130">
        <f t="shared" si="48"/>
        <v>0</v>
      </c>
      <c r="FH134" s="141">
        <f t="shared" si="23"/>
        <v>0</v>
      </c>
      <c r="FI134" s="133">
        <f t="shared" si="24"/>
        <v>293.3333333</v>
      </c>
      <c r="FJ134" s="133">
        <f>AVERAGE(OFFSET($FI$3,0,0,'Données projet'!$E$16+1,1))-AVERAGE(OFFSET($H$3,0,0,'Données projet'!$E$16+1,1))</f>
        <v>305.6252353</v>
      </c>
      <c r="FK134" s="133">
        <f t="shared" si="49"/>
        <v>331.397916</v>
      </c>
      <c r="FL134" s="134">
        <f>IF(ISNA(VLOOKUP(A134,'Données projet'!$A$217:$I$237,3,0)),0,VLOOKUP(A134,'Données projet'!$A$217:$I$237,3,0))</f>
        <v>0</v>
      </c>
      <c r="FM134" s="134">
        <f>IF(ISNA(VLOOKUP(A134,'Données projet'!$A$217:$I$237,4,0)),0,VLOOKUP(A134,'Données projet'!$A$217:$I$237,4,0))</f>
        <v>0</v>
      </c>
      <c r="FN134" s="135">
        <f>IF(ISNA(VLOOKUP(A134,'Données projet'!$A$217:$I$237,5,0)),0%,VLOOKUP(A134,'Données projet'!$A$217:$I$237,5,0)*VLOOKUP('Données projet'!$B$16,'Paramètres'!$A$1:$I$89,7,0))</f>
        <v>0</v>
      </c>
      <c r="FO134" s="135">
        <f>IF(ISNA(VLOOKUP(A134,'Données projet'!$A$217:$I$237,6,0)),0%,VLOOKUP(A134,'Données projet'!$A$217:$I$237,6,0)*VLOOKUP('Données projet'!$B$16,'Paramètres'!$A$1:$I$89,7,0))</f>
        <v>0</v>
      </c>
      <c r="FP134" s="135">
        <f>IF(ISNA(VLOOKUP(A134,'Données projet'!$A$217:$I$237,7,0)),0%,VLOOKUP(A134,'Données projet'!$A$217:$I$237,7,0))</f>
        <v>0</v>
      </c>
      <c r="FQ134" s="142">
        <f>EXP(-LN(2)/35)*FQ133+(1-EXP(-LN(2)/35))/(LN(2)/35)*FM134*FN134*VLOOKUP('Données projet'!$B$16,'Paramètres'!$A$1:$I$89,3,0)*0.475*44/12</f>
        <v>24.09540479</v>
      </c>
      <c r="FR134" s="142">
        <f>EXP(-LN(2)/25)*FR133+(1-EXP(-LN(2)/25))/(LN(2)/25)*Calculateur!FM134*Calculateur!FO134*VLOOKUP('Données projet'!$B$16,'Paramètres'!$A$1:$I$89,3,0)*0.475*44/12</f>
        <v>0</v>
      </c>
      <c r="FS134" s="142">
        <f>EXP(-LN(2)/2)*FS133+(1-EXP(-LN(2)/2))/(LN(2)/2)*FM134*FP134*VLOOKUP('Données projet'!$B$16,'Paramètres'!$A$1:$I$89,3,0)*0.475*44/12</f>
        <v>0</v>
      </c>
      <c r="FT134" s="143">
        <f t="shared" si="25"/>
        <v>24.09540479</v>
      </c>
      <c r="FU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1" t="str">
        <f>VLOOKUP(A134,'Données projet'!$A$243:$I$263,2,0)</f>
        <v>#N/A</v>
      </c>
      <c r="FX134" s="131" t="str">
        <f>VLOOKUP(A134,'Données projet'!$A$243:$I$263,9,0)</f>
        <v>#N/A</v>
      </c>
      <c r="FY134" s="131" t="str">
        <f t="array" ref="FY134">INDEX(FX:FX,MIN(IF(ISNUMBER(FX134:FX330),ROW(FX134:FX330),"")))</f>
        <v/>
      </c>
      <c r="FZ134" s="138">
        <f>IF('Données projet'!$A$244&gt;35,FZ133+FY134-GH133,IF(A134&lt;'Données projet'!$A$244,$FW$205^A134,IF(A134='Données projet'!$A$244,'Données projet'!$B$244,FZ133+FY134-GH133)))</f>
        <v>0</v>
      </c>
      <c r="GA134" s="138">
        <f>FZ134*VLOOKUP('Données projet'!$B$17,'Paramètres'!$A$1:$I$89,3,0)*VLOOKUP('Données projet'!$B$17,'Paramètres'!$A$1:$I$89,5,0)</f>
        <v>0</v>
      </c>
      <c r="GB134" s="130">
        <f t="shared" si="50"/>
        <v>0</v>
      </c>
      <c r="GC134" s="141">
        <f t="shared" si="26"/>
        <v>0</v>
      </c>
      <c r="GD134" s="133">
        <f t="shared" si="27"/>
        <v>293.3333333</v>
      </c>
      <c r="GE134" s="133">
        <f>AVERAGE(OFFSET($GD$3,0,0,'Données projet'!$E$17+1,1))-AVERAGE(OFFSET($H$3,0,0,'Données projet'!$E$17+1,1))</f>
        <v>118.7368745</v>
      </c>
      <c r="GF134" s="133">
        <f t="shared" si="51"/>
        <v>135.1233677</v>
      </c>
      <c r="GG134" s="134">
        <f>IF(ISNA(VLOOKUP(A134,'Données projet'!$A$243:$I$263,3,0)),0,VLOOKUP(A134,'Données projet'!$A$243:$I$263,3,0))</f>
        <v>0</v>
      </c>
      <c r="GH134" s="134">
        <f>IF(ISNA(VLOOKUP(A134,'Données projet'!$A$243:$I$263,4,0)),0,VLOOKUP(A134,'Données projet'!$A$243:$I$263,4,0))</f>
        <v>0</v>
      </c>
      <c r="GI134" s="135">
        <f>IF(ISNA(VLOOKUP(A134,'Données projet'!$A$243:$I$263,5,0)),0%,VLOOKUP(A134,'Données projet'!$A$243:$I$263,5,0)*VLOOKUP('Données projet'!$B$17,'Paramètres'!$A$1:$I$89,7,0))</f>
        <v>0</v>
      </c>
      <c r="GJ134" s="135">
        <f>IF(ISNA(VLOOKUP(A134,'Données projet'!$A$243:$I$263,6,0)),0%,VLOOKUP(A134,'Données projet'!$A$243:$I$263,6,0)*VLOOKUP('Données projet'!$B$17,'Paramètres'!$A$1:$I$89,7,0))</f>
        <v>0</v>
      </c>
      <c r="GK134" s="135">
        <f>IF(ISNA(VLOOKUP(A134,'Données projet'!$A$243:$I$263,7,0)),0%,VLOOKUP(A134,'Données projet'!$A$243:$I$263,7,0))</f>
        <v>0</v>
      </c>
      <c r="GL134" s="142">
        <f>EXP(-LN(2)/35)*GL133+(1-EXP(-LN(2)/35))/(LN(2)/35)*GH134*GI134*VLOOKUP('Données projet'!$B$17,'Paramètres'!$A$1:$I$89,3,0)*0.475*44/12</f>
        <v>25.45672065</v>
      </c>
      <c r="GM134" s="142">
        <f>EXP(-LN(2)/25)*GM133+(1-EXP(-LN(2)/25))/(LN(2)/25)*Calculateur!GH134*Calculateur!GJ134*VLOOKUP('Données projet'!$B$17,'Paramètres'!$A$1:$I$89,3,0)*0.475*44/12</f>
        <v>0</v>
      </c>
      <c r="GN134" s="142">
        <f>EXP(-LN(2)/2)*GN133+(1-EXP(-LN(2)/2))/(LN(2)/2)*GH134*GK134*VLOOKUP('Données projet'!$B$17,'Paramètres'!$A$1:$I$89,3,0)*0.475*44/12</f>
        <v>0</v>
      </c>
      <c r="GO134" s="142">
        <f t="shared" si="28"/>
        <v>25.45672065</v>
      </c>
      <c r="GP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1" t="str">
        <f>VLOOKUP(A134,'Données projet'!$A$269:$I$289,2,0)</f>
        <v>#N/A</v>
      </c>
      <c r="GS134" s="131" t="str">
        <f>VLOOKUP(A134,'Données projet'!$A$269:$I$289,9,0)</f>
        <v>#N/A</v>
      </c>
      <c r="GT134" s="131" t="str">
        <f t="array" ref="GT134">INDEX(GS:GS,MIN(IF(ISNUMBER(GS134:GS330),ROW(GS134:GS330),"")))</f>
        <v/>
      </c>
      <c r="GU134" s="138">
        <f>IF('Données projet'!$A$270&gt;35,GU133+GT134-HC133,IF(A134&lt;'Données projet'!$A$270,$GR$205^A134,IF(A134='Données projet'!$A$270,'Données projet'!$B$270,GU133+GT134-HC133)))</f>
        <v>0</v>
      </c>
      <c r="GV134" s="138">
        <f>GU134*VLOOKUP('Données projet'!$B$18,'Paramètres'!$A$1:$I$89,3,0)*VLOOKUP('Données projet'!$B$18,'Paramètres'!$A$1:$I$89,5,0)</f>
        <v>0</v>
      </c>
      <c r="GW134" s="130" t="str">
        <f t="shared" si="52"/>
        <v>#NUM!</v>
      </c>
      <c r="GX134" s="141" t="str">
        <f t="shared" si="29"/>
        <v>#NUM!</v>
      </c>
      <c r="GY134" s="133" t="str">
        <f t="shared" si="30"/>
        <v>#NUM!</v>
      </c>
      <c r="GZ134" s="133">
        <f>AVERAGE(OFFSET($GY$3,0,0,'Données projet'!$E$18+1,1))-AVERAGE(OFFSET($H$3,0,0,'Données projet'!$E$18+1,1))</f>
        <v>100.5427875</v>
      </c>
      <c r="HA134" s="133">
        <f t="shared" si="53"/>
        <v>92.28663609</v>
      </c>
      <c r="HB134" s="134">
        <f>IF(ISNA(VLOOKUP(A134,'Données projet'!$A$269:$I$289,3,0)),0,VLOOKUP(A134,'Données projet'!$A$269:$I$289,3,0))</f>
        <v>0</v>
      </c>
      <c r="HC134" s="134">
        <f>IF(ISNA(VLOOKUP(A134,'Données projet'!$A$269:$I$289,4,0)),0,VLOOKUP(A134,'Données projet'!$A$269:$I$289,4,0))</f>
        <v>0</v>
      </c>
      <c r="HD134" s="135">
        <f>IF(ISNA(VLOOKUP(A134,'Données projet'!$A$269:$I$289,5,0)),0%,VLOOKUP(A134,'Données projet'!$A$269:$I$289,5,0)*VLOOKUP('Données projet'!$B$18,'Paramètres'!$A$1:$I$89,7,0))</f>
        <v>0</v>
      </c>
      <c r="HE134" s="135">
        <f>IF(ISNA(VLOOKUP(A134,'Données projet'!$A$269:$I$289,6,0)),0%,VLOOKUP(A134,'Données projet'!$A$269:$I$289,6,0)*VLOOKUP('Données projet'!$B$18,'Paramètres'!$A$1:$I$89,7,0))</f>
        <v>0</v>
      </c>
      <c r="HF134" s="135">
        <f>IF(ISNA(VLOOKUP(A134,'Données projet'!$A$269:$I$289,7,0)),0%,VLOOKUP(A134,'Données projet'!$A$269:$I$289,7,0))</f>
        <v>0</v>
      </c>
      <c r="HG134" s="142">
        <f>EXP(-LN(2)/35)*HG133+(1-EXP(-LN(2)/35))/(LN(2)/35)*HC134*HD134*VLOOKUP('Données projet'!$B$18,'Paramètres'!$A$1:$I$89,3,0)*0.475*44/12</f>
        <v>17.33548972</v>
      </c>
      <c r="HH134" s="142">
        <f>EXP(-LN(2)/25)*HH133+(1-EXP(-LN(2)/25))/(LN(2)/25)*Calculateur!HC134*Calculateur!HE134*VLOOKUP('Données projet'!$B$18,'Paramètres'!$A$1:$I$89,3,0)*0.475*44/12</f>
        <v>0</v>
      </c>
      <c r="HI134" s="142">
        <f>EXP(-LN(2)/2)*HI133+(1-EXP(-LN(2)/2))/(LN(2)/2)*HC134*HF134*VLOOKUP('Données projet'!$B$18,'Paramètres'!$A$1:$I$89,3,0)*0.475*44/12</f>
        <v>0</v>
      </c>
      <c r="HJ134" s="143">
        <f t="shared" si="31"/>
        <v>17.33548972</v>
      </c>
    </row>
    <row r="135" ht="15.75" customHeight="1">
      <c r="A135" s="125">
        <f t="shared" si="32"/>
        <v>132</v>
      </c>
      <c r="B135" s="126">
        <f>'Scénario référence'!$B$16*5+'Scénario référence'!$B$17*0+'Scénario référence'!$B$18*5</f>
        <v>0</v>
      </c>
      <c r="C135" s="140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72.072</v>
      </c>
      <c r="D135" s="127">
        <f t="shared" si="33"/>
        <v>20.18713139</v>
      </c>
      <c r="E13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7">
        <f>IF(OR('Scénario référence'!$F$8&gt;0,'Scénario référence'!$F$9&gt;0),('Scénario référence'!$F$8+'Scénario référence'!$F$9)*10,0)</f>
        <v>10</v>
      </c>
      <c r="G135" s="127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</v>
      </c>
      <c r="H135" s="128">
        <f t="shared" si="1"/>
        <v>454.0179872</v>
      </c>
      <c r="I135" s="12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1" t="str">
        <f>VLOOKUP(A135,'Données projet'!$A$35:$I$55,2,0)</f>
        <v>#N/A</v>
      </c>
      <c r="L135" s="131" t="str">
        <f>VLOOKUP(A135,'Données projet'!$A$35:$I$55,9,0)</f>
        <v>#N/A</v>
      </c>
      <c r="M135" s="131" t="str">
        <f t="array" ref="M135">INDEX(L:L,MIN(IF(ISNUMBER(L135:L331),ROW(L135:L331),"")))</f>
        <v/>
      </c>
      <c r="N135" s="130">
        <f>IF('Données projet'!$A$36&gt;35,N134+M135-V134,IF(A135&lt;'Données projet'!$A$36,$K$205^A135,IF(A135='Données projet'!$A$36,'Données projet'!$B$36,N134+M135-V134)))</f>
        <v>0</v>
      </c>
      <c r="O135" s="130">
        <f>N135*VLOOKUP('Données projet'!$B$9,'Paramètres'!$A$1:$I$89,3,0)*VLOOKUP('Données projet'!$B$9,'Paramètres'!$A$1:$I$89,5,0)</f>
        <v>0</v>
      </c>
      <c r="P135" s="130">
        <f t="shared" si="34"/>
        <v>0</v>
      </c>
      <c r="Q135" s="141">
        <f t="shared" si="2"/>
        <v>0</v>
      </c>
      <c r="R135" s="133">
        <f t="shared" si="3"/>
        <v>293.3333333</v>
      </c>
      <c r="S135" s="133">
        <f>AVERAGE(OFFSET($R$3,0,0,'Données projet'!$E$9+1,1))-AVERAGE(OFFSET($H$3,0,0,'Données projet'!$E$9+1,1))</f>
        <v>126.9946492</v>
      </c>
      <c r="T135" s="133">
        <f t="shared" si="35"/>
        <v>140.039049</v>
      </c>
      <c r="U135" s="134">
        <f>IF(ISNA(VLOOKUP(A135,'Données projet'!$A$35:$I$55,3,0)),0,VLOOKUP(A135,'Données projet'!$A$35:$I$55,3,0))</f>
        <v>0</v>
      </c>
      <c r="V135" s="134">
        <f>IF(ISNA(VLOOKUP(A135,'Données projet'!$A$35:$I$55,4,0)),0,VLOOKUP(A135,'Données projet'!$A$35:$I$55,4,0))</f>
        <v>0</v>
      </c>
      <c r="W135" s="135">
        <f>IF(ISNA(VLOOKUP(A135,'Données projet'!$A$35:$I$55,5,0)),0%,VLOOKUP(A135,'Données projet'!$A$35:$I$55,5,0)*VLOOKUP('Données projet'!$B$9,'Paramètres'!$A$1:$I$89,7,0))</f>
        <v>0</v>
      </c>
      <c r="X135" s="135">
        <f>IF(ISNA(VLOOKUP(A135,'Données projet'!$A$35:$I$55,6,0)),0%,VLOOKUP(A135,'Données projet'!$A$35:$I$55,6,0)*VLOOKUP('Données projet'!$B$9,'Paramètres'!$A$1:$I$89,7,0))</f>
        <v>0</v>
      </c>
      <c r="Y135" s="135">
        <f>IF(ISNA(VLOOKUP(A135,'Données projet'!$A$35:$I$55,7,0)),0%,VLOOKUP(A135,'Données projet'!$A$35:$I$55,7,0))</f>
        <v>0</v>
      </c>
      <c r="Z135" s="142">
        <f>EXP(-LN(2)/35)*Z134+(1-EXP(-LN(2)/35))/(LN(2)/35)*V135*W135*VLOOKUP('Données projet'!$B$9,'Paramètres'!$A$1:$I$89,3,0)*0.475*44/12</f>
        <v>25.52599744</v>
      </c>
      <c r="AA135" s="142">
        <f>EXP(-LN(2)/25)*AA134+(1-EXP(-LN(2)/25))/(LN(2)/25)*Calculateur!V135*Calculateur!X135*VLOOKUP('Données projet'!$B$9,'Paramètres'!$A$1:$I$89,3,0)*0.475*44/12</f>
        <v>3.156781035</v>
      </c>
      <c r="AB135" s="142">
        <f>EXP(-LN(2)/2)*AB134+(1-EXP(-LN(2)/2))/(LN(2)/2)*V135*Y135*VLOOKUP('Données projet'!$B$9,'Paramètres'!$A$1:$I$89,3,0)*0.475*44/12</f>
        <v>0.0000000002763317201</v>
      </c>
      <c r="AC135" s="143">
        <f t="shared" si="4"/>
        <v>28.68277847</v>
      </c>
      <c r="AD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1" t="str">
        <f>VLOOKUP(A135,'Données projet'!$A$61:$I$81,2,0)</f>
        <v>#N/A</v>
      </c>
      <c r="AG135" s="131" t="str">
        <f>VLOOKUP(A135,'Données projet'!$A$61:$I$81,9,0)</f>
        <v>#N/A</v>
      </c>
      <c r="AH135" s="131" t="str">
        <f t="array" ref="AH135">INDEX(AG:AG,MIN(IF(ISNUMBER(AG135:AG331),ROW(AG135:AG331),"")))</f>
        <v/>
      </c>
      <c r="AI135" s="130">
        <f>IF('Données projet'!$A$62&gt;35,AI134+AH135-AQ134,IF(A135&lt;'Données projet'!$A$62,$AF$205^A135,IF(A135='Données projet'!$A$62,'Données projet'!$B$62,AI134+AH135-AQ134)))</f>
        <v>0</v>
      </c>
      <c r="AJ135" s="130">
        <f>AI135*VLOOKUP('Données projet'!$B$10,'Paramètres'!$A$1:$I$89,3,0)*VLOOKUP('Données projet'!$B$10,'Paramètres'!$A$1:$I$89,5,0)</f>
        <v>0</v>
      </c>
      <c r="AK135" s="130" t="str">
        <f t="shared" si="36"/>
        <v>#NUM!</v>
      </c>
      <c r="AL135" s="141" t="str">
        <f t="shared" si="5"/>
        <v>#NUM!</v>
      </c>
      <c r="AM135" s="133" t="str">
        <f t="shared" si="6"/>
        <v>#NUM!</v>
      </c>
      <c r="AN135" s="133">
        <f>AVERAGE(OFFSET($AM$3,0,0,'Données projet'!$E$10+1,1))-AVERAGE(OFFSET($H$3,0,0,'Données projet'!$E$10+1,1))</f>
        <v>196.874484</v>
      </c>
      <c r="AO135" s="133">
        <f t="shared" si="37"/>
        <v>217.5750859</v>
      </c>
      <c r="AP135" s="134">
        <f>IF(ISNA(VLOOKUP(A135,'Données projet'!$A$61:$I$81,3,0)),0,VLOOKUP(A135,'Données projet'!$A$61:$I$81,3,0))</f>
        <v>0</v>
      </c>
      <c r="AQ135" s="134">
        <f>IF(ISNA(VLOOKUP(A135,'Données projet'!$A$61:$I$81,4,0)),0,VLOOKUP(A135,'Données projet'!$A$61:$I$81,4,0))</f>
        <v>0</v>
      </c>
      <c r="AR135" s="135">
        <f>IF(ISNA(VLOOKUP(A135,'Données projet'!$A$61:$I$81,5,0)),0%,VLOOKUP(A135,'Données projet'!$A$61:$I$81,5,0)*VLOOKUP('Données projet'!$B$10,'Paramètres'!$A$1:$I$89,7,0))</f>
        <v>0</v>
      </c>
      <c r="AS135" s="135">
        <f>IF(ISNA(VLOOKUP(A135,'Données projet'!$A$61:$I$81,6,0)),0%,VLOOKUP(A135,'Données projet'!$A$61:$I$81,6,0)*VLOOKUP('Données projet'!$B$10,'Paramètres'!$A$1:$I$89,7,0))</f>
        <v>0</v>
      </c>
      <c r="AT135" s="135">
        <f>IF(ISNA(VLOOKUP(A135,'Données projet'!$A$61:$I$81,7,0)),0%,VLOOKUP(A135,'Données projet'!$A$61:$I$81,7,0))</f>
        <v>0</v>
      </c>
      <c r="AU135" s="142">
        <f>EXP(-LN(2)/35)*AU134+(1-EXP(-LN(2)/35))/(LN(2)/35)*AQ135*AR135*VLOOKUP('Données projet'!$B$10,'Paramètres'!$A$1:$I$89,3,0)*0.475*44/12</f>
        <v>35.4804114</v>
      </c>
      <c r="AV135" s="142">
        <f>EXP(-LN(2)/25)*AV134+(1-EXP(-LN(2)/25))/(LN(2)/25)*Calculateur!AQ135*Calculateur!AS135*VLOOKUP('Données projet'!$B$10,'Paramètres'!$A$1:$I$89,3,0)*0.475*44/12</f>
        <v>4.853555059</v>
      </c>
      <c r="AW135" s="142">
        <f>EXP(-LN(2)/2)*AW134+(1-EXP(-LN(2)/2))/(LN(2)/2)*AQ135*AT135*VLOOKUP('Données projet'!$B$10,'Paramètres'!$A$1:$I$89,3,0)*0.475*44/12</f>
        <v>0.0000000003852644356</v>
      </c>
      <c r="AX135" s="142">
        <f t="shared" si="7"/>
        <v>40.33396646</v>
      </c>
      <c r="AY135" s="13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1" t="str">
        <f>VLOOKUP(A135,'Données projet'!$A$87:$I$107,2,0)</f>
        <v>#N/A</v>
      </c>
      <c r="BB135" s="131" t="str">
        <f>VLOOKUP(A135,'Données projet'!$A$87:$I$107,9,0)</f>
        <v>#N/A</v>
      </c>
      <c r="BC135" s="131" t="str">
        <f t="array" ref="BC135">INDEX(BB:BB,MIN(IF(ISNUMBER(BB135:BB331),ROW(BB135:BB331),"")))</f>
        <v/>
      </c>
      <c r="BD135" s="130">
        <f>IF('Données projet'!$A$88&gt;35,BD134+BC135-BL134,IF(A135&lt;'Données projet'!$A$88,$BA$205^A135,IF(A135='Données projet'!$A$88,'Données projet'!$B$88,BD134+BC135-BL134)))</f>
        <v>0</v>
      </c>
      <c r="BE135" s="130">
        <f>BD135*VLOOKUP('Données projet'!$B$11,'Paramètres'!$A$1:$I$89,3,0)*VLOOKUP('Données projet'!$B$11,'Paramètres'!$A$1:$I$89,5,0)</f>
        <v>0</v>
      </c>
      <c r="BF135" s="130" t="str">
        <f t="shared" si="38"/>
        <v>#NUM!</v>
      </c>
      <c r="BG135" s="141" t="str">
        <f t="shared" si="8"/>
        <v>#NUM!</v>
      </c>
      <c r="BH135" s="133" t="str">
        <f t="shared" si="9"/>
        <v>#NUM!</v>
      </c>
      <c r="BI135" s="133">
        <f>AVERAGE(OFFSET($BH$3,0,0,'Données projet'!$E$11+1,1))-AVERAGE(OFFSET($H$3,0,0,'Données projet'!$E$11+1,1))</f>
        <v>134.0948534</v>
      </c>
      <c r="BJ135" s="133">
        <f t="shared" si="39"/>
        <v>108.4102536</v>
      </c>
      <c r="BK135" s="134">
        <f>IF(ISNA(VLOOKUP(A135,'Données projet'!$A$87:$I$107,3,0)),0,VLOOKUP(A135,'Données projet'!$A$87:$I$107,3,0))</f>
        <v>0</v>
      </c>
      <c r="BL135" s="134">
        <f>IF(ISNA(VLOOKUP(A135,'Données projet'!$A$87:$I$107,4,0)),0,VLOOKUP(A135,'Données projet'!$A$87:$I$107,4,0))</f>
        <v>0</v>
      </c>
      <c r="BM135" s="135">
        <f>IF(ISNA(VLOOKUP(A135,'Données projet'!$A$87:$I$107,5,0)),0%,VLOOKUP(A135,'Données projet'!$A$87:$I$107,5,0)*VLOOKUP('Données projet'!$B$11,'Paramètres'!$A$1:$I$89,7,0))</f>
        <v>0</v>
      </c>
      <c r="BN135" s="135">
        <f>IF(ISNA(VLOOKUP(A135,'Données projet'!$A$87:$I$107,6,0)),0%,VLOOKUP(A135,'Données projet'!$A$87:$I$107,6,0)*VLOOKUP('Données projet'!$B$11,'Paramètres'!$A$1:$I$89,7,0))</f>
        <v>0</v>
      </c>
      <c r="BO135" s="135">
        <f>IF(ISNA(VLOOKUP(A135,'Données projet'!$A$87:$I$107,7,0)),0%,VLOOKUP(A135,'Données projet'!$A$87:$I$107,7,0))</f>
        <v>0</v>
      </c>
      <c r="BP135" s="142">
        <f>EXP(-LN(2)/35)*BP134+(1-EXP(-LN(2)/35))/(LN(2)/35)*BL135*BM135*VLOOKUP('Données projet'!$B$11,'Paramètres'!$A$1:$I$89,3,0)*0.475*44/12</f>
        <v>49.07603524</v>
      </c>
      <c r="BQ135" s="142">
        <f>EXP(-LN(2)/25)*BQ134+(1-EXP(-LN(2)/25))/(LN(2)/25)*Calculateur!BL135*Calculateur!BN135*VLOOKUP('Données projet'!$B$11,'Paramètres'!$A$1:$I$89,3,0)*0.475*44/12</f>
        <v>3.061626698</v>
      </c>
      <c r="BR135" s="142">
        <f>EXP(-LN(2)/2)*BR134+(1-EXP(-LN(2)/2))/(LN(2)/2)*BL135*BO135*VLOOKUP('Données projet'!$B$11,'Paramètres'!$A$1:$I$89,3,0)*0.475*44/12</f>
        <v>0.000000005138874671</v>
      </c>
      <c r="BS135" s="143">
        <f t="shared" si="10"/>
        <v>52.13766194</v>
      </c>
      <c r="BT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1" t="str">
        <f>VLOOKUP(A135,'Données projet'!$A$113:$I$133,2,0)</f>
        <v>#N/A</v>
      </c>
      <c r="BW135" s="131" t="str">
        <f>VLOOKUP(A135,'Données projet'!$A$113:$I$133,9,0)</f>
        <v>#N/A</v>
      </c>
      <c r="BX135" s="131" t="str">
        <f t="array" ref="BX135">INDEX(BW:BW,MIN(IF(ISNUMBER(BW135:BW331),ROW(BW135:BW331),"")))</f>
        <v/>
      </c>
      <c r="BY135" s="130">
        <f>IF('Données projet'!$A$114&gt;35,BY134+BX135-CG134,IF(A135&lt;'Données projet'!$A$114,$BV$205^A135,IF(A135='Données projet'!$A$114,'Données projet'!$B$114,BY134+BX135-CG134)))</f>
        <v>0</v>
      </c>
      <c r="BZ135" s="130">
        <f>BY135*VLOOKUP('Données projet'!$B$12,'Paramètres'!$A$1:$I$89,3,0)*VLOOKUP('Données projet'!$B$12,'Paramètres'!$A$1:$I$89,5,0)</f>
        <v>0</v>
      </c>
      <c r="CA135" s="130" t="str">
        <f t="shared" si="40"/>
        <v>#NUM!</v>
      </c>
      <c r="CB135" s="141" t="str">
        <f t="shared" si="11"/>
        <v>#NUM!</v>
      </c>
      <c r="CC135" s="133" t="str">
        <f t="shared" si="12"/>
        <v>#NUM!</v>
      </c>
      <c r="CD135" s="133">
        <f>AVERAGE(OFFSET($CC$3,0,0,'Données projet'!$E$12+1,1))-AVERAGE(OFFSET($H$3,0,0,'Données projet'!$E$12+1,1))</f>
        <v>258.1672054</v>
      </c>
      <c r="CE135" s="133">
        <f t="shared" si="41"/>
        <v>296.0724261</v>
      </c>
      <c r="CF135" s="134">
        <f>IF(ISNA(VLOOKUP(A135,'Données projet'!$A$113:$I$133,3,0)),0,VLOOKUP(A135,'Données projet'!$A$113:$I$133,3,0))</f>
        <v>0</v>
      </c>
      <c r="CG135" s="134">
        <f>IF(ISNA(VLOOKUP(A135,'Données projet'!$A$113:$I$133,4,0)),0,VLOOKUP(A135,'Données projet'!$A$113:$I$133,4,0))</f>
        <v>0</v>
      </c>
      <c r="CH135" s="135">
        <f>IF(ISNA(VLOOKUP(A135,'Données projet'!$A$113:$I$133,5,0)),0%,VLOOKUP(A135,'Données projet'!$A$113:$I$133,5,0)*VLOOKUP('Données projet'!$B$12,'Paramètres'!$A$1:$I$89,7,0))</f>
        <v>0</v>
      </c>
      <c r="CI135" s="135">
        <f>IF(ISNA(VLOOKUP(A135,'Données projet'!$A$113:$I$133,6,0)),0%,VLOOKUP(A135,'Données projet'!$A$113:$I$133,6,0)*VLOOKUP('Données projet'!$B$12,'Paramètres'!$A$1:$I$89,7,0))</f>
        <v>0</v>
      </c>
      <c r="CJ135" s="135">
        <f>IF(ISNA(VLOOKUP(A135,'Données projet'!$A$113:$I$133,7,0)),0%,VLOOKUP(A135,'Données projet'!$A$113:$I$133,7,0))</f>
        <v>0</v>
      </c>
      <c r="CK135" s="142">
        <f>EXP(-LN(2)/35)*CK134+(1-EXP(-LN(2)/35))/(LN(2)/35)*CG135*CH135*VLOOKUP('Données projet'!$B$12,'Paramètres'!$A$1:$I$89,3,0)*0.475*44/12</f>
        <v>62.04712152</v>
      </c>
      <c r="CL135" s="142">
        <f>EXP(-LN(2)/25)*CL134+(1-EXP(-LN(2)/25))/(LN(2)/25)*Calculateur!CG135*Calculateur!CI135*VLOOKUP('Données projet'!$B$12,'Paramètres'!$A$1:$I$89,3,0)*0.475*44/12</f>
        <v>5.370267029</v>
      </c>
      <c r="CM135" s="142">
        <f>EXP(-LN(2)/2)*CM134+(1-EXP(-LN(2)/2))/(LN(2)/2)*CG135*CJ135*VLOOKUP('Données projet'!$B$12,'Paramètres'!$A$1:$I$89,3,0)*0.475*44/12</f>
        <v>0.0000000002164947244</v>
      </c>
      <c r="CN135" s="143">
        <f t="shared" si="13"/>
        <v>67.41738854</v>
      </c>
      <c r="CO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1" t="str">
        <f>VLOOKUP(A135,'Données projet'!$A$139:$I$159,2,0)</f>
        <v>#N/A</v>
      </c>
      <c r="CR135" s="131" t="str">
        <f>VLOOKUP(A135,'Données projet'!$A$139:$I$159,9,0)</f>
        <v>#N/A</v>
      </c>
      <c r="CS135" s="130">
        <f t="array" ref="CS135">INDEX(CR:CR,MIN(IF(ISNUMBER(CR135:CR331),ROW(CR135:CR331),"")))</f>
        <v>0.8</v>
      </c>
      <c r="CT135" s="138">
        <f>IF('Données projet'!$A$140&gt;35,CT134+CS135-DB134,IF(A135&lt;'Données projet'!$A$140,$CQ$205^A135,IF(A135='Données projet'!$A$140,'Données projet'!$B$140,CT134+CS135-DB134)))</f>
        <v>211.6</v>
      </c>
      <c r="CU135" s="138">
        <f>CT135*VLOOKUP('Données projet'!$B$13,'Paramètres'!$A$1:$I$89,3,0)*VLOOKUP('Données projet'!$B$13,'Paramètres'!$A$1:$I$89,5,0)</f>
        <v>214.5624</v>
      </c>
      <c r="CV135" s="130">
        <f t="shared" si="42"/>
        <v>52.93133432</v>
      </c>
      <c r="CW135" s="141">
        <f t="shared" si="14"/>
        <v>465.8849206</v>
      </c>
      <c r="CX135" s="133">
        <f t="shared" si="15"/>
        <v>759.2182539</v>
      </c>
      <c r="CY135" s="133">
        <f>AVERAGE(OFFSET($CX$3,0,0,'Données projet'!$E$13+1,1))-AVERAGE(OFFSET($H$3,0,0,'Données projet'!$E$13+1,1))</f>
        <v>223.783507</v>
      </c>
      <c r="CZ135" s="133">
        <f t="shared" si="43"/>
        <v>84.92349117</v>
      </c>
      <c r="DA135" s="134">
        <f>IF(ISNA(VLOOKUP(A135,'Données projet'!$A$139:$I$159,3,0)),0,VLOOKUP(A135,'Données projet'!$A$139:$I$159,3,0))</f>
        <v>0</v>
      </c>
      <c r="DB135" s="134">
        <f>IF(ISNA(VLOOKUP(A135,'Données projet'!$A$139:$I$159,4,0)),0,VLOOKUP(A135,'Données projet'!$A$139:$I$159,4,0))</f>
        <v>0</v>
      </c>
      <c r="DC135" s="135">
        <f>IF(ISNA(VLOOKUP(A135,'Données projet'!$A$139:$I$159,5,0)),0%,VLOOKUP(A135,'Données projet'!$A$139:$I$159,5,0)*VLOOKUP('Données projet'!$B$13,'Paramètres'!$A$1:$I$89,7,0))</f>
        <v>0</v>
      </c>
      <c r="DD135" s="135">
        <f>IF(ISNA(VLOOKUP(A135,'Données projet'!$A$139:$I$159,6,0)),0%,VLOOKUP(A135,'Données projet'!$A$139:$I$159,6,0)*VLOOKUP('Données projet'!$B$13,'Paramètres'!$A$1:$I$89,7,0))</f>
        <v>0</v>
      </c>
      <c r="DE135" s="135">
        <f>IF(ISNA(VLOOKUP(A135,'Données projet'!$A$139:$I$159,7,0)),0%,VLOOKUP(A135,'Données projet'!$A$139:$I$159,7,0))</f>
        <v>0</v>
      </c>
      <c r="DF135" s="142">
        <f>EXP(-LN(2)/35)*DF134+(1-EXP(-LN(2)/35))/(LN(2)/35)*DB135*DC135*VLOOKUP('Données projet'!$B$13,'Paramètres'!$A$1:$I$89,3,0)*0.475*44/12</f>
        <v>21.2937052</v>
      </c>
      <c r="DG135" s="142">
        <f>EXP(-LN(2)/25)*DG134+(1-EXP(-LN(2)/25))/(LN(2)/25)*Calculateur!DB135*Calculateur!DD135*VLOOKUP('Données projet'!$B$13,'Paramètres'!$A$1:$I$89,3,0)*0.475*44/12</f>
        <v>0</v>
      </c>
      <c r="DH135" s="142">
        <f>EXP(-LN(2)/2)*DH134+(1-EXP(-LN(2)/2))/(LN(2)/2)*DB135*DE135*VLOOKUP('Données projet'!$B$13,'Paramètres'!$A$1:$I$89,3,0)*0.475*44/12</f>
        <v>0</v>
      </c>
      <c r="DI135" s="143">
        <f t="shared" si="16"/>
        <v>21.2937052</v>
      </c>
      <c r="DJ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1" t="str">
        <f>VLOOKUP(A135,'Données projet'!$A$165:$I$185,2,0)</f>
        <v>#N/A</v>
      </c>
      <c r="DM135" s="131" t="str">
        <f>VLOOKUP(A135,'Données projet'!$A$165:$I$185,9,0)</f>
        <v>#N/A</v>
      </c>
      <c r="DN135" s="131">
        <f t="array" ref="DN135">INDEX(DM:DM,MIN(IF(ISNUMBER(DM135:DM331),ROW(DM135:DM331),"")))</f>
        <v>0.55</v>
      </c>
      <c r="DO135" s="138">
        <f>IF('Données projet'!$A$166&gt;35,DO134+DN135-DW134,IF(A135&lt;'Données projet'!$A$166,$DL$205^A135,IF(A135='Données projet'!$A$166,'Données projet'!$B$166,DO134+DN135-DW134)))</f>
        <v>270.1</v>
      </c>
      <c r="DP135" s="138">
        <f>DO135*VLOOKUP('Données projet'!$B$14,'Paramètres'!$A$1:$I$89,3,0)*VLOOKUP('Données projet'!$B$14,'Paramètres'!$A$1:$I$89,5,0)</f>
        <v>244.38648</v>
      </c>
      <c r="DQ135" s="130">
        <f t="shared" si="44"/>
        <v>59.38230587</v>
      </c>
      <c r="DR135" s="141">
        <f t="shared" si="17"/>
        <v>529.0639687</v>
      </c>
      <c r="DS135" s="133">
        <f t="shared" si="18"/>
        <v>822.3973021</v>
      </c>
      <c r="DT135" s="133">
        <f>AVERAGE(OFFSET($DS$3,0,0,'Données projet'!$E$14+1,1))-AVERAGE(OFFSET($H$3,0,0,'Données projet'!$E$14+1,1))</f>
        <v>287.9334714</v>
      </c>
      <c r="DU135" s="133">
        <f t="shared" si="45"/>
        <v>156.6796502</v>
      </c>
      <c r="DV135" s="134">
        <f>IF(ISNA(VLOOKUP(A135,'Données projet'!$A$165:$I$185,3,0)),0,VLOOKUP(A135,'Données projet'!$A$165:$I$185,3,0))</f>
        <v>0</v>
      </c>
      <c r="DW135" s="134">
        <f>IF(ISNA(VLOOKUP(A135,'Données projet'!$A$165:$I$185,4,0)),0,VLOOKUP(A135,'Données projet'!$A$165:$I$185,4,0))</f>
        <v>0</v>
      </c>
      <c r="DX135" s="135">
        <f>IF(ISNA(VLOOKUP(A135,'Données projet'!$A$165:$I$185,5,0)),0%,VLOOKUP(A135,'Données projet'!$A$165:$I$185,5,0)*VLOOKUP('Données projet'!$B$14,'Paramètres'!$A$1:$I$89,7,0))</f>
        <v>0</v>
      </c>
      <c r="DY135" s="135">
        <f>IF(ISNA(VLOOKUP(A135,'Données projet'!$A$165:$I$185,6,0)),0%,VLOOKUP(A135,'Données projet'!$A$165:$I$185,6,0)*VLOOKUP('Données projet'!$B$14,'Paramètres'!$A$1:$I$89,7,0))</f>
        <v>0</v>
      </c>
      <c r="DZ135" s="135">
        <f>IF(ISNA(VLOOKUP(A135,'Données projet'!$A$165:$I$185,7,0)),0%,VLOOKUP(A135,'Données projet'!$A$165:$I$185,7,0))</f>
        <v>0</v>
      </c>
      <c r="EA135" s="142">
        <f>EXP(-LN(2)/35)*EA134+(1-EXP(-LN(2)/35))/(LN(2)/35)*DW135*DX135*VLOOKUP('Données projet'!$B$14,'Paramètres'!$A$1:$I$89,3,0)*0.475*44/12</f>
        <v>30.3281062</v>
      </c>
      <c r="EB135" s="142">
        <f>EXP(-LN(2)/25)*EB134+(1-EXP(-LN(2)/25))/(LN(2)/25)*Calculateur!DW135*Calculateur!DY135*VLOOKUP('Données projet'!$B$14,'Paramètres'!$A$1:$I$89,3,0)*0.475*44/12</f>
        <v>0</v>
      </c>
      <c r="EC135" s="142">
        <f>EXP(-LN(2)/2)*EC134+(1-EXP(-LN(2)/2))/(LN(2)/2)*DW135*DZ135*VLOOKUP('Données projet'!$B$14,'Paramètres'!$A$1:$I$89,3,0)*0.475*44/12</f>
        <v>0</v>
      </c>
      <c r="ED135" s="143">
        <f t="shared" si="19"/>
        <v>30.3281062</v>
      </c>
      <c r="EE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1" t="str">
        <f>VLOOKUP(A135,'Données projet'!$A$191:$I$211,2,0)</f>
        <v>#N/A</v>
      </c>
      <c r="EH135" s="131" t="str">
        <f>VLOOKUP(A135,'Données projet'!$A$191:$I$211,9,0)</f>
        <v>#N/A</v>
      </c>
      <c r="EI135" s="131" t="str">
        <f t="array" ref="EI135">INDEX(EH:EH,MIN(IF(ISNUMBER(EH135:EH331),ROW(EH135:EH331),"")))</f>
        <v/>
      </c>
      <c r="EJ135" s="138">
        <f>IF('Données projet'!$A$192&gt;35,EJ134+EI135-ER134,IF(A135&lt;'Données projet'!$A$192,$EG$205^A135,IF(A135='Données projet'!$A$192,'Données projet'!$B$192,EJ134+EI135-ER134)))</f>
        <v>0</v>
      </c>
      <c r="EK135" s="138">
        <f>EJ135*VLOOKUP('Données projet'!$B$15,'Paramètres'!$A$1:$I$89,3,0)*VLOOKUP('Données projet'!$B$15,'Paramètres'!$A$1:$I$89,5,0)</f>
        <v>0</v>
      </c>
      <c r="EL135" s="130" t="str">
        <f t="shared" si="46"/>
        <v>#NUM!</v>
      </c>
      <c r="EM135" s="141" t="str">
        <f t="shared" si="20"/>
        <v>#NUM!</v>
      </c>
      <c r="EN135" s="133" t="str">
        <f t="shared" si="21"/>
        <v>#NUM!</v>
      </c>
      <c r="EO135" s="133">
        <f>AVERAGE(OFFSET($EN$3,0,0,'Données projet'!$E$15+1,1))-AVERAGE(OFFSET($H$3,0,0,'Données projet'!$E$15+1,1))</f>
        <v>130.3193339</v>
      </c>
      <c r="EP135" s="133">
        <f t="shared" si="47"/>
        <v>82.22784365</v>
      </c>
      <c r="EQ135" s="134">
        <f>IF(ISNA(VLOOKUP(A135,'Données projet'!$A$191:$I$211,3,0)),0,VLOOKUP(A135,'Données projet'!$A$191:$I$211,3,0))</f>
        <v>0</v>
      </c>
      <c r="ER135" s="134">
        <f>IF(ISNA(VLOOKUP(A135,'Données projet'!$A$191:$I$211,4,0)),0,VLOOKUP(A135,'Données projet'!$A$191:$I$211,4,0))</f>
        <v>0</v>
      </c>
      <c r="ES135" s="135">
        <f>IF(ISNA(VLOOKUP(A135,'Données projet'!$A$191:$I$211,5,0)),0%,VLOOKUP(A135,'Données projet'!$A$191:$I$211,5,0)*VLOOKUP('Données projet'!$B$15,'Paramètres'!$A$1:$I$89,7,0))</f>
        <v>0</v>
      </c>
      <c r="ET135" s="135">
        <f>IF(ISNA(VLOOKUP(A135,'Données projet'!$A$191:$I$211,6,0)),0%,VLOOKUP(A135,'Données projet'!$A$191:$I$211,6,0)*VLOOKUP('Données projet'!$B$15,'Paramètres'!$A$1:$I$89,7,0))</f>
        <v>0</v>
      </c>
      <c r="EU135" s="135">
        <f>IF(ISNA(VLOOKUP(A135,'Données projet'!$A$191:$I$211,7,0)),0%,VLOOKUP(A135,'Données projet'!$A$191:$I$211,7,0))</f>
        <v>0</v>
      </c>
      <c r="EV135" s="142">
        <f>EXP(-LN(2)/35)*EV134+(1-EXP(-LN(2)/35))/(LN(2)/35)*ER135*ES135*VLOOKUP('Données projet'!$B$15,'Paramètres'!$A$1:$I$89,3,0)*0.475*44/12</f>
        <v>37.94053122</v>
      </c>
      <c r="EW135" s="142">
        <f>EXP(-LN(2)/25)*EW134+(1-EXP(-LN(2)/25))/(LN(2)/25)*Calculateur!ER135*Calculateur!ET135*VLOOKUP('Données projet'!$B$15,'Paramètres'!$A$1:$I$89,3,0)*0.475*44/12</f>
        <v>0</v>
      </c>
      <c r="EX135" s="142">
        <f>EXP(-LN(2)/2)*EX134+(1-EXP(-LN(2)/2))/(LN(2)/2)*ER135*EU135*VLOOKUP('Données projet'!$B$15,'Paramètres'!$A$1:$I$89,3,0)*0.475*44/12</f>
        <v>0</v>
      </c>
      <c r="EY135" s="143">
        <f t="shared" si="22"/>
        <v>37.94053122</v>
      </c>
      <c r="EZ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1" t="str">
        <f>VLOOKUP(A135,'Données projet'!$A$217:$I$237,2,0)</f>
        <v>#N/A</v>
      </c>
      <c r="FC135" s="131" t="str">
        <f>VLOOKUP(A135,'Données projet'!$A$217:$I$237,9,0)</f>
        <v>#N/A</v>
      </c>
      <c r="FD135" s="131" t="str">
        <f t="array" ref="FD135">INDEX(FC:FC,MIN(IF(ISNUMBER(FC135:FC331),ROW(FC135:FC331),"")))</f>
        <v/>
      </c>
      <c r="FE135" s="130">
        <f>IF('Données projet'!$A$218&gt;35,FE134+FD135-FM134,IF(A135&lt;'Données projet'!$A$218,$FB$205^A135,IF(A135='Données projet'!$A$218,'Données projet'!$B$218,FE134+FD135-FM134)))</f>
        <v>0</v>
      </c>
      <c r="FF135" s="138">
        <f>FE135*VLOOKUP('Données projet'!$B$16,'Paramètres'!$A$1:$I$89,3,0)*VLOOKUP('Données projet'!$B$16,'Paramètres'!$A$1:$I$89,5,0)</f>
        <v>0</v>
      </c>
      <c r="FG135" s="130">
        <f t="shared" si="48"/>
        <v>0</v>
      </c>
      <c r="FH135" s="141">
        <f t="shared" si="23"/>
        <v>0</v>
      </c>
      <c r="FI135" s="133">
        <f t="shared" si="24"/>
        <v>293.3333333</v>
      </c>
      <c r="FJ135" s="133">
        <f>AVERAGE(OFFSET($FI$3,0,0,'Données projet'!$E$16+1,1))-AVERAGE(OFFSET($H$3,0,0,'Données projet'!$E$16+1,1))</f>
        <v>305.6252353</v>
      </c>
      <c r="FK135" s="133">
        <f t="shared" si="49"/>
        <v>331.397916</v>
      </c>
      <c r="FL135" s="134">
        <f>IF(ISNA(VLOOKUP(A135,'Données projet'!$A$217:$I$237,3,0)),0,VLOOKUP(A135,'Données projet'!$A$217:$I$237,3,0))</f>
        <v>0</v>
      </c>
      <c r="FM135" s="134">
        <f>IF(ISNA(VLOOKUP(A135,'Données projet'!$A$217:$I$237,4,0)),0,VLOOKUP(A135,'Données projet'!$A$217:$I$237,4,0))</f>
        <v>0</v>
      </c>
      <c r="FN135" s="135">
        <f>IF(ISNA(VLOOKUP(A135,'Données projet'!$A$217:$I$237,5,0)),0%,VLOOKUP(A135,'Données projet'!$A$217:$I$237,5,0)*VLOOKUP('Données projet'!$B$16,'Paramètres'!$A$1:$I$89,7,0))</f>
        <v>0</v>
      </c>
      <c r="FO135" s="135">
        <f>IF(ISNA(VLOOKUP(A135,'Données projet'!$A$217:$I$237,6,0)),0%,VLOOKUP(A135,'Données projet'!$A$217:$I$237,6,0)*VLOOKUP('Données projet'!$B$16,'Paramètres'!$A$1:$I$89,7,0))</f>
        <v>0</v>
      </c>
      <c r="FP135" s="135">
        <f>IF(ISNA(VLOOKUP(A135,'Données projet'!$A$217:$I$237,7,0)),0%,VLOOKUP(A135,'Données projet'!$A$217:$I$237,7,0))</f>
        <v>0</v>
      </c>
      <c r="FQ135" s="142">
        <f>EXP(-LN(2)/35)*FQ134+(1-EXP(-LN(2)/35))/(LN(2)/35)*FM135*FN135*VLOOKUP('Données projet'!$B$16,'Paramètres'!$A$1:$I$89,3,0)*0.475*44/12</f>
        <v>23.6229086</v>
      </c>
      <c r="FR135" s="142">
        <f>EXP(-LN(2)/25)*FR134+(1-EXP(-LN(2)/25))/(LN(2)/25)*Calculateur!FM135*Calculateur!FO135*VLOOKUP('Données projet'!$B$16,'Paramètres'!$A$1:$I$89,3,0)*0.475*44/12</f>
        <v>0</v>
      </c>
      <c r="FS135" s="142">
        <f>EXP(-LN(2)/2)*FS134+(1-EXP(-LN(2)/2))/(LN(2)/2)*FM135*FP135*VLOOKUP('Données projet'!$B$16,'Paramètres'!$A$1:$I$89,3,0)*0.475*44/12</f>
        <v>0</v>
      </c>
      <c r="FT135" s="143">
        <f t="shared" si="25"/>
        <v>23.6229086</v>
      </c>
      <c r="FU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1" t="str">
        <f>VLOOKUP(A135,'Données projet'!$A$243:$I$263,2,0)</f>
        <v>#N/A</v>
      </c>
      <c r="FX135" s="131" t="str">
        <f>VLOOKUP(A135,'Données projet'!$A$243:$I$263,9,0)</f>
        <v>#N/A</v>
      </c>
      <c r="FY135" s="131" t="str">
        <f t="array" ref="FY135">INDEX(FX:FX,MIN(IF(ISNUMBER(FX135:FX331),ROW(FX135:FX331),"")))</f>
        <v/>
      </c>
      <c r="FZ135" s="138">
        <f>IF('Données projet'!$A$244&gt;35,FZ134+FY135-GH134,IF(A135&lt;'Données projet'!$A$244,$FW$205^A135,IF(A135='Données projet'!$A$244,'Données projet'!$B$244,FZ134+FY135-GH134)))</f>
        <v>0</v>
      </c>
      <c r="GA135" s="138">
        <f>FZ135*VLOOKUP('Données projet'!$B$17,'Paramètres'!$A$1:$I$89,3,0)*VLOOKUP('Données projet'!$B$17,'Paramètres'!$A$1:$I$89,5,0)</f>
        <v>0</v>
      </c>
      <c r="GB135" s="130">
        <f t="shared" si="50"/>
        <v>0</v>
      </c>
      <c r="GC135" s="141">
        <f t="shared" si="26"/>
        <v>0</v>
      </c>
      <c r="GD135" s="133">
        <f t="shared" si="27"/>
        <v>293.3333333</v>
      </c>
      <c r="GE135" s="133">
        <f>AVERAGE(OFFSET($GD$3,0,0,'Données projet'!$E$17+1,1))-AVERAGE(OFFSET($H$3,0,0,'Données projet'!$E$17+1,1))</f>
        <v>118.7368745</v>
      </c>
      <c r="GF135" s="133">
        <f t="shared" si="51"/>
        <v>135.1233677</v>
      </c>
      <c r="GG135" s="134">
        <f>IF(ISNA(VLOOKUP(A135,'Données projet'!$A$243:$I$263,3,0)),0,VLOOKUP(A135,'Données projet'!$A$243:$I$263,3,0))</f>
        <v>0</v>
      </c>
      <c r="GH135" s="134">
        <f>IF(ISNA(VLOOKUP(A135,'Données projet'!$A$243:$I$263,4,0)),0,VLOOKUP(A135,'Données projet'!$A$243:$I$263,4,0))</f>
        <v>0</v>
      </c>
      <c r="GI135" s="135">
        <f>IF(ISNA(VLOOKUP(A135,'Données projet'!$A$243:$I$263,5,0)),0%,VLOOKUP(A135,'Données projet'!$A$243:$I$263,5,0)*VLOOKUP('Données projet'!$B$17,'Paramètres'!$A$1:$I$89,7,0))</f>
        <v>0</v>
      </c>
      <c r="GJ135" s="135">
        <f>IF(ISNA(VLOOKUP(A135,'Données projet'!$A$243:$I$263,6,0)),0%,VLOOKUP(A135,'Données projet'!$A$243:$I$263,6,0)*VLOOKUP('Données projet'!$B$17,'Paramètres'!$A$1:$I$89,7,0))</f>
        <v>0</v>
      </c>
      <c r="GK135" s="135">
        <f>IF(ISNA(VLOOKUP(A135,'Données projet'!$A$243:$I$263,7,0)),0%,VLOOKUP(A135,'Données projet'!$A$243:$I$263,7,0))</f>
        <v>0</v>
      </c>
      <c r="GL135" s="142">
        <f>EXP(-LN(2)/35)*GL134+(1-EXP(-LN(2)/35))/(LN(2)/35)*GH135*GI135*VLOOKUP('Données projet'!$B$17,'Paramètres'!$A$1:$I$89,3,0)*0.475*44/12</f>
        <v>24.95752988</v>
      </c>
      <c r="GM135" s="142">
        <f>EXP(-LN(2)/25)*GM134+(1-EXP(-LN(2)/25))/(LN(2)/25)*Calculateur!GH135*Calculateur!GJ135*VLOOKUP('Données projet'!$B$17,'Paramètres'!$A$1:$I$89,3,0)*0.475*44/12</f>
        <v>0</v>
      </c>
      <c r="GN135" s="142">
        <f>EXP(-LN(2)/2)*GN134+(1-EXP(-LN(2)/2))/(LN(2)/2)*GH135*GK135*VLOOKUP('Données projet'!$B$17,'Paramètres'!$A$1:$I$89,3,0)*0.475*44/12</f>
        <v>0</v>
      </c>
      <c r="GO135" s="142">
        <f t="shared" si="28"/>
        <v>24.95752988</v>
      </c>
      <c r="GP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1" t="str">
        <f>VLOOKUP(A135,'Données projet'!$A$269:$I$289,2,0)</f>
        <v>#N/A</v>
      </c>
      <c r="GS135" s="131" t="str">
        <f>VLOOKUP(A135,'Données projet'!$A$269:$I$289,9,0)</f>
        <v>#N/A</v>
      </c>
      <c r="GT135" s="131" t="str">
        <f t="array" ref="GT135">INDEX(GS:GS,MIN(IF(ISNUMBER(GS135:GS331),ROW(GS135:GS331),"")))</f>
        <v/>
      </c>
      <c r="GU135" s="138">
        <f>IF('Données projet'!$A$270&gt;35,GU134+GT135-HC134,IF(A135&lt;'Données projet'!$A$270,$GR$205^A135,IF(A135='Données projet'!$A$270,'Données projet'!$B$270,GU134+GT135-HC134)))</f>
        <v>0</v>
      </c>
      <c r="GV135" s="138">
        <f>GU135*VLOOKUP('Données projet'!$B$18,'Paramètres'!$A$1:$I$89,3,0)*VLOOKUP('Données projet'!$B$18,'Paramètres'!$A$1:$I$89,5,0)</f>
        <v>0</v>
      </c>
      <c r="GW135" s="130" t="str">
        <f t="shared" si="52"/>
        <v>#NUM!</v>
      </c>
      <c r="GX135" s="141" t="str">
        <f t="shared" si="29"/>
        <v>#NUM!</v>
      </c>
      <c r="GY135" s="133" t="str">
        <f t="shared" si="30"/>
        <v>#NUM!</v>
      </c>
      <c r="GZ135" s="133">
        <f>AVERAGE(OFFSET($GY$3,0,0,'Données projet'!$E$18+1,1))-AVERAGE(OFFSET($H$3,0,0,'Données projet'!$E$18+1,1))</f>
        <v>100.5427875</v>
      </c>
      <c r="HA135" s="133">
        <f t="shared" si="53"/>
        <v>92.28663609</v>
      </c>
      <c r="HB135" s="134">
        <f>IF(ISNA(VLOOKUP(A135,'Données projet'!$A$269:$I$289,3,0)),0,VLOOKUP(A135,'Données projet'!$A$269:$I$289,3,0))</f>
        <v>0</v>
      </c>
      <c r="HC135" s="134">
        <f>IF(ISNA(VLOOKUP(A135,'Données projet'!$A$269:$I$289,4,0)),0,VLOOKUP(A135,'Données projet'!$A$269:$I$289,4,0))</f>
        <v>0</v>
      </c>
      <c r="HD135" s="135">
        <f>IF(ISNA(VLOOKUP(A135,'Données projet'!$A$269:$I$289,5,0)),0%,VLOOKUP(A135,'Données projet'!$A$269:$I$289,5,0)*VLOOKUP('Données projet'!$B$18,'Paramètres'!$A$1:$I$89,7,0))</f>
        <v>0</v>
      </c>
      <c r="HE135" s="135">
        <f>IF(ISNA(VLOOKUP(A135,'Données projet'!$A$269:$I$289,6,0)),0%,VLOOKUP(A135,'Données projet'!$A$269:$I$289,6,0)*VLOOKUP('Données projet'!$B$18,'Paramètres'!$A$1:$I$89,7,0))</f>
        <v>0</v>
      </c>
      <c r="HF135" s="135">
        <f>IF(ISNA(VLOOKUP(A135,'Données projet'!$A$269:$I$289,7,0)),0%,VLOOKUP(A135,'Données projet'!$A$269:$I$289,7,0))</f>
        <v>0</v>
      </c>
      <c r="HG135" s="142">
        <f>EXP(-LN(2)/35)*HG134+(1-EXP(-LN(2)/35))/(LN(2)/35)*HC135*HD135*VLOOKUP('Données projet'!$B$18,'Paramètres'!$A$1:$I$89,3,0)*0.475*44/12</f>
        <v>16.99555134</v>
      </c>
      <c r="HH135" s="142">
        <f>EXP(-LN(2)/25)*HH134+(1-EXP(-LN(2)/25))/(LN(2)/25)*Calculateur!HC135*Calculateur!HE135*VLOOKUP('Données projet'!$B$18,'Paramètres'!$A$1:$I$89,3,0)*0.475*44/12</f>
        <v>0</v>
      </c>
      <c r="HI135" s="142">
        <f>EXP(-LN(2)/2)*HI134+(1-EXP(-LN(2)/2))/(LN(2)/2)*HC135*HF135*VLOOKUP('Données projet'!$B$18,'Paramètres'!$A$1:$I$89,3,0)*0.475*44/12</f>
        <v>0</v>
      </c>
      <c r="HJ135" s="143">
        <f t="shared" si="31"/>
        <v>16.99555134</v>
      </c>
    </row>
    <row r="136" ht="15.75" customHeight="1">
      <c r="A136" s="125">
        <f t="shared" si="32"/>
        <v>133</v>
      </c>
      <c r="B136" s="126">
        <f>'Scénario référence'!$B$16*5+'Scénario référence'!$B$17*0+'Scénario référence'!$B$18*5</f>
        <v>0</v>
      </c>
      <c r="C136" s="140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72.618</v>
      </c>
      <c r="D136" s="127">
        <f t="shared" si="33"/>
        <v>20.32220341</v>
      </c>
      <c r="E13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7">
        <f>IF(OR('Scénario référence'!$F$8&gt;0,'Scénario référence'!$F$9&gt;0),('Scénario référence'!$F$8+'Scénario référence'!$F$9)*10,0)</f>
        <v>10</v>
      </c>
      <c r="G136" s="127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717.4331491</v>
      </c>
      <c r="H136" s="128">
        <f t="shared" si="1"/>
        <v>455.2041876</v>
      </c>
      <c r="I136" s="12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1" t="str">
        <f>VLOOKUP(A136,'Données projet'!$A$35:$I$55,2,0)</f>
        <v>#N/A</v>
      </c>
      <c r="L136" s="131" t="str">
        <f>VLOOKUP(A136,'Données projet'!$A$35:$I$55,9,0)</f>
        <v>#N/A</v>
      </c>
      <c r="M136" s="131" t="str">
        <f t="array" ref="M136">INDEX(L:L,MIN(IF(ISNUMBER(L136:L332),ROW(L136:L332),"")))</f>
        <v/>
      </c>
      <c r="N136" s="130">
        <f>IF('Données projet'!$A$36&gt;35,N135+M136-V135,IF(A136&lt;'Données projet'!$A$36,$K$205^A136,IF(A136='Données projet'!$A$36,'Données projet'!$B$36,N135+M136-V135)))</f>
        <v>0</v>
      </c>
      <c r="O136" s="130">
        <f>N136*VLOOKUP('Données projet'!$B$9,'Paramètres'!$A$1:$I$89,3,0)*VLOOKUP('Données projet'!$B$9,'Paramètres'!$A$1:$I$89,5,0)</f>
        <v>0</v>
      </c>
      <c r="P136" s="130">
        <f t="shared" si="34"/>
        <v>0</v>
      </c>
      <c r="Q136" s="141">
        <f t="shared" si="2"/>
        <v>0</v>
      </c>
      <c r="R136" s="133">
        <f t="shared" si="3"/>
        <v>293.3333333</v>
      </c>
      <c r="S136" s="133">
        <f>AVERAGE(OFFSET($R$3,0,0,'Données projet'!$E$9+1,1))-AVERAGE(OFFSET($H$3,0,0,'Données projet'!$E$9+1,1))</f>
        <v>126.9946492</v>
      </c>
      <c r="T136" s="133">
        <f t="shared" si="35"/>
        <v>140.039049</v>
      </c>
      <c r="U136" s="134">
        <f>IF(ISNA(VLOOKUP(A136,'Données projet'!$A$35:$I$55,3,0)),0,VLOOKUP(A136,'Données projet'!$A$35:$I$55,3,0))</f>
        <v>0</v>
      </c>
      <c r="V136" s="134">
        <f>IF(ISNA(VLOOKUP(A136,'Données projet'!$A$35:$I$55,4,0)),0,VLOOKUP(A136,'Données projet'!$A$35:$I$55,4,0))</f>
        <v>0</v>
      </c>
      <c r="W136" s="135">
        <f>IF(ISNA(VLOOKUP(A136,'Données projet'!$A$35:$I$55,5,0)),0%,VLOOKUP(A136,'Données projet'!$A$35:$I$55,5,0)*VLOOKUP('Données projet'!$B$9,'Paramètres'!$A$1:$I$89,7,0))</f>
        <v>0</v>
      </c>
      <c r="X136" s="135">
        <f>IF(ISNA(VLOOKUP(A136,'Données projet'!$A$35:$I$55,6,0)),0%,VLOOKUP(A136,'Données projet'!$A$35:$I$55,6,0)*VLOOKUP('Données projet'!$B$9,'Paramètres'!$A$1:$I$89,7,0))</f>
        <v>0</v>
      </c>
      <c r="Y136" s="135">
        <f>IF(ISNA(VLOOKUP(A136,'Données projet'!$A$35:$I$55,7,0)),0%,VLOOKUP(A136,'Données projet'!$A$35:$I$55,7,0))</f>
        <v>0</v>
      </c>
      <c r="Z136" s="142">
        <f>EXP(-LN(2)/35)*Z135+(1-EXP(-LN(2)/35))/(LN(2)/35)*V136*W136*VLOOKUP('Données projet'!$B$9,'Paramètres'!$A$1:$I$89,3,0)*0.475*44/12</f>
        <v>25.0254482</v>
      </c>
      <c r="AA136" s="142">
        <f>EXP(-LN(2)/25)*AA135+(1-EXP(-LN(2)/25))/(LN(2)/25)*Calculateur!V136*Calculateur!X136*VLOOKUP('Données projet'!$B$9,'Paramètres'!$A$1:$I$89,3,0)*0.475*44/12</f>
        <v>3.070458692</v>
      </c>
      <c r="AB136" s="142">
        <f>EXP(-LN(2)/2)*AB135+(1-EXP(-LN(2)/2))/(LN(2)/2)*V136*Y136*VLOOKUP('Données projet'!$B$9,'Paramètres'!$A$1:$I$89,3,0)*0.475*44/12</f>
        <v>0.0000000001953960331</v>
      </c>
      <c r="AC136" s="143">
        <f t="shared" si="4"/>
        <v>28.09590689</v>
      </c>
      <c r="AD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1" t="str">
        <f>VLOOKUP(A136,'Données projet'!$A$61:$I$81,2,0)</f>
        <v>#N/A</v>
      </c>
      <c r="AG136" s="131" t="str">
        <f>VLOOKUP(A136,'Données projet'!$A$61:$I$81,9,0)</f>
        <v>#N/A</v>
      </c>
      <c r="AH136" s="131" t="str">
        <f t="array" ref="AH136">INDEX(AG:AG,MIN(IF(ISNUMBER(AG136:AG332),ROW(AG136:AG332),"")))</f>
        <v/>
      </c>
      <c r="AI136" s="130">
        <f>IF('Données projet'!$A$62&gt;35,AI135+AH136-AQ135,IF(A136&lt;'Données projet'!$A$62,$AF$205^A136,IF(A136='Données projet'!$A$62,'Données projet'!$B$62,AI135+AH136-AQ135)))</f>
        <v>0</v>
      </c>
      <c r="AJ136" s="130">
        <f>AI136*VLOOKUP('Données projet'!$B$10,'Paramètres'!$A$1:$I$89,3,0)*VLOOKUP('Données projet'!$B$10,'Paramètres'!$A$1:$I$89,5,0)</f>
        <v>0</v>
      </c>
      <c r="AK136" s="130" t="str">
        <f t="shared" si="36"/>
        <v>#NUM!</v>
      </c>
      <c r="AL136" s="141" t="str">
        <f t="shared" si="5"/>
        <v>#NUM!</v>
      </c>
      <c r="AM136" s="133" t="str">
        <f t="shared" si="6"/>
        <v>#NUM!</v>
      </c>
      <c r="AN136" s="133">
        <f>AVERAGE(OFFSET($AM$3,0,0,'Données projet'!$E$10+1,1))-AVERAGE(OFFSET($H$3,0,0,'Données projet'!$E$10+1,1))</f>
        <v>196.874484</v>
      </c>
      <c r="AO136" s="133">
        <f t="shared" si="37"/>
        <v>217.5750859</v>
      </c>
      <c r="AP136" s="134">
        <f>IF(ISNA(VLOOKUP(A136,'Données projet'!$A$61:$I$81,3,0)),0,VLOOKUP(A136,'Données projet'!$A$61:$I$81,3,0))</f>
        <v>0</v>
      </c>
      <c r="AQ136" s="134">
        <f>IF(ISNA(VLOOKUP(A136,'Données projet'!$A$61:$I$81,4,0)),0,VLOOKUP(A136,'Données projet'!$A$61:$I$81,4,0))</f>
        <v>0</v>
      </c>
      <c r="AR136" s="135">
        <f>IF(ISNA(VLOOKUP(A136,'Données projet'!$A$61:$I$81,5,0)),0%,VLOOKUP(A136,'Données projet'!$A$61:$I$81,5,0)*VLOOKUP('Données projet'!$B$10,'Paramètres'!$A$1:$I$89,7,0))</f>
        <v>0</v>
      </c>
      <c r="AS136" s="135">
        <f>IF(ISNA(VLOOKUP(A136,'Données projet'!$A$61:$I$81,6,0)),0%,VLOOKUP(A136,'Données projet'!$A$61:$I$81,6,0)*VLOOKUP('Données projet'!$B$10,'Paramètres'!$A$1:$I$89,7,0))</f>
        <v>0</v>
      </c>
      <c r="AT136" s="135">
        <f>IF(ISNA(VLOOKUP(A136,'Données projet'!$A$61:$I$81,7,0)),0%,VLOOKUP(A136,'Données projet'!$A$61:$I$81,7,0))</f>
        <v>0</v>
      </c>
      <c r="AU136" s="142">
        <f>EXP(-LN(2)/35)*AU135+(1-EXP(-LN(2)/35))/(LN(2)/35)*AQ136*AR136*VLOOKUP('Données projet'!$B$10,'Paramètres'!$A$1:$I$89,3,0)*0.475*44/12</f>
        <v>34.78466218</v>
      </c>
      <c r="AV136" s="142">
        <f>EXP(-LN(2)/25)*AV135+(1-EXP(-LN(2)/25))/(LN(2)/25)*Calculateur!AQ136*Calculateur!AS136*VLOOKUP('Données projet'!$B$10,'Paramètres'!$A$1:$I$89,3,0)*0.475*44/12</f>
        <v>4.72083434</v>
      </c>
      <c r="AW136" s="142">
        <f>EXP(-LN(2)/2)*AW135+(1-EXP(-LN(2)/2))/(LN(2)/2)*AQ136*AT136*VLOOKUP('Données projet'!$B$10,'Paramètres'!$A$1:$I$89,3,0)*0.475*44/12</f>
        <v>0.0000000002724230949</v>
      </c>
      <c r="AX136" s="142">
        <f t="shared" si="7"/>
        <v>39.50549652</v>
      </c>
      <c r="AY136" s="13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1" t="str">
        <f>VLOOKUP(A136,'Données projet'!$A$87:$I$107,2,0)</f>
        <v>#N/A</v>
      </c>
      <c r="BB136" s="131" t="str">
        <f>VLOOKUP(A136,'Données projet'!$A$87:$I$107,9,0)</f>
        <v>#N/A</v>
      </c>
      <c r="BC136" s="131" t="str">
        <f t="array" ref="BC136">INDEX(BB:BB,MIN(IF(ISNUMBER(BB136:BB332),ROW(BB136:BB332),"")))</f>
        <v/>
      </c>
      <c r="BD136" s="130">
        <f>IF('Données projet'!$A$88&gt;35,BD135+BC136-BL135,IF(A136&lt;'Données projet'!$A$88,$BA$205^A136,IF(A136='Données projet'!$A$88,'Données projet'!$B$88,BD135+BC136-BL135)))</f>
        <v>0</v>
      </c>
      <c r="BE136" s="130">
        <f>BD136*VLOOKUP('Données projet'!$B$11,'Paramètres'!$A$1:$I$89,3,0)*VLOOKUP('Données projet'!$B$11,'Paramètres'!$A$1:$I$89,5,0)</f>
        <v>0</v>
      </c>
      <c r="BF136" s="130" t="str">
        <f t="shared" si="38"/>
        <v>#NUM!</v>
      </c>
      <c r="BG136" s="141" t="str">
        <f t="shared" si="8"/>
        <v>#NUM!</v>
      </c>
      <c r="BH136" s="133" t="str">
        <f t="shared" si="9"/>
        <v>#NUM!</v>
      </c>
      <c r="BI136" s="133">
        <f>AVERAGE(OFFSET($BH$3,0,0,'Données projet'!$E$11+1,1))-AVERAGE(OFFSET($H$3,0,0,'Données projet'!$E$11+1,1))</f>
        <v>134.0948534</v>
      </c>
      <c r="BJ136" s="133">
        <f t="shared" si="39"/>
        <v>108.4102536</v>
      </c>
      <c r="BK136" s="134">
        <f>IF(ISNA(VLOOKUP(A136,'Données projet'!$A$87:$I$107,3,0)),0,VLOOKUP(A136,'Données projet'!$A$87:$I$107,3,0))</f>
        <v>0</v>
      </c>
      <c r="BL136" s="134">
        <f>IF(ISNA(VLOOKUP(A136,'Données projet'!$A$87:$I$107,4,0)),0,VLOOKUP(A136,'Données projet'!$A$87:$I$107,4,0))</f>
        <v>0</v>
      </c>
      <c r="BM136" s="135">
        <f>IF(ISNA(VLOOKUP(A136,'Données projet'!$A$87:$I$107,5,0)),0%,VLOOKUP(A136,'Données projet'!$A$87:$I$107,5,0)*VLOOKUP('Données projet'!$B$11,'Paramètres'!$A$1:$I$89,7,0))</f>
        <v>0</v>
      </c>
      <c r="BN136" s="135">
        <f>IF(ISNA(VLOOKUP(A136,'Données projet'!$A$87:$I$107,6,0)),0%,VLOOKUP(A136,'Données projet'!$A$87:$I$107,6,0)*VLOOKUP('Données projet'!$B$11,'Paramètres'!$A$1:$I$89,7,0))</f>
        <v>0</v>
      </c>
      <c r="BO136" s="135">
        <f>IF(ISNA(VLOOKUP(A136,'Données projet'!$A$87:$I$107,7,0)),0%,VLOOKUP(A136,'Données projet'!$A$87:$I$107,7,0))</f>
        <v>0</v>
      </c>
      <c r="BP136" s="142">
        <f>EXP(-LN(2)/35)*BP135+(1-EXP(-LN(2)/35))/(LN(2)/35)*BL136*BM136*VLOOKUP('Données projet'!$B$11,'Paramètres'!$A$1:$I$89,3,0)*0.475*44/12</f>
        <v>48.11368412</v>
      </c>
      <c r="BQ136" s="142">
        <f>EXP(-LN(2)/25)*BQ135+(1-EXP(-LN(2)/25))/(LN(2)/25)*Calculateur!BL136*Calculateur!BN136*VLOOKUP('Données projet'!$B$11,'Paramètres'!$A$1:$I$89,3,0)*0.475*44/12</f>
        <v>2.977906355</v>
      </c>
      <c r="BR136" s="142">
        <f>EXP(-LN(2)/2)*BR135+(1-EXP(-LN(2)/2))/(LN(2)/2)*BL136*BO136*VLOOKUP('Données projet'!$B$11,'Paramètres'!$A$1:$I$89,3,0)*0.475*44/12</f>
        <v>0.000000003633733128</v>
      </c>
      <c r="BS136" s="143">
        <f t="shared" si="10"/>
        <v>51.09159048</v>
      </c>
      <c r="BT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1" t="str">
        <f>VLOOKUP(A136,'Données projet'!$A$113:$I$133,2,0)</f>
        <v>#N/A</v>
      </c>
      <c r="BW136" s="131" t="str">
        <f>VLOOKUP(A136,'Données projet'!$A$113:$I$133,9,0)</f>
        <v>#N/A</v>
      </c>
      <c r="BX136" s="131" t="str">
        <f t="array" ref="BX136">INDEX(BW:BW,MIN(IF(ISNUMBER(BW136:BW332),ROW(BW136:BW332),"")))</f>
        <v/>
      </c>
      <c r="BY136" s="130">
        <f>IF('Données projet'!$A$114&gt;35,BY135+BX136-CG135,IF(A136&lt;'Données projet'!$A$114,$BV$205^A136,IF(A136='Données projet'!$A$114,'Données projet'!$B$114,BY135+BX136-CG135)))</f>
        <v>0</v>
      </c>
      <c r="BZ136" s="130">
        <f>BY136*VLOOKUP('Données projet'!$B$12,'Paramètres'!$A$1:$I$89,3,0)*VLOOKUP('Données projet'!$B$12,'Paramètres'!$A$1:$I$89,5,0)</f>
        <v>0</v>
      </c>
      <c r="CA136" s="130" t="str">
        <f t="shared" si="40"/>
        <v>#NUM!</v>
      </c>
      <c r="CB136" s="141" t="str">
        <f t="shared" si="11"/>
        <v>#NUM!</v>
      </c>
      <c r="CC136" s="133" t="str">
        <f t="shared" si="12"/>
        <v>#NUM!</v>
      </c>
      <c r="CD136" s="133">
        <f>AVERAGE(OFFSET($CC$3,0,0,'Données projet'!$E$12+1,1))-AVERAGE(OFFSET($H$3,0,0,'Données projet'!$E$12+1,1))</f>
        <v>258.1672054</v>
      </c>
      <c r="CE136" s="133">
        <f t="shared" si="41"/>
        <v>296.0724261</v>
      </c>
      <c r="CF136" s="134">
        <f>IF(ISNA(VLOOKUP(A136,'Données projet'!$A$113:$I$133,3,0)),0,VLOOKUP(A136,'Données projet'!$A$113:$I$133,3,0))</f>
        <v>0</v>
      </c>
      <c r="CG136" s="134">
        <f>IF(ISNA(VLOOKUP(A136,'Données projet'!$A$113:$I$133,4,0)),0,VLOOKUP(A136,'Données projet'!$A$113:$I$133,4,0))</f>
        <v>0</v>
      </c>
      <c r="CH136" s="135">
        <f>IF(ISNA(VLOOKUP(A136,'Données projet'!$A$113:$I$133,5,0)),0%,VLOOKUP(A136,'Données projet'!$A$113:$I$133,5,0)*VLOOKUP('Données projet'!$B$12,'Paramètres'!$A$1:$I$89,7,0))</f>
        <v>0</v>
      </c>
      <c r="CI136" s="135">
        <f>IF(ISNA(VLOOKUP(A136,'Données projet'!$A$113:$I$133,6,0)),0%,VLOOKUP(A136,'Données projet'!$A$113:$I$133,6,0)*VLOOKUP('Données projet'!$B$12,'Paramètres'!$A$1:$I$89,7,0))</f>
        <v>0</v>
      </c>
      <c r="CJ136" s="135">
        <f>IF(ISNA(VLOOKUP(A136,'Données projet'!$A$113:$I$133,7,0)),0%,VLOOKUP(A136,'Données projet'!$A$113:$I$133,7,0))</f>
        <v>0</v>
      </c>
      <c r="CK136" s="142">
        <f>EXP(-LN(2)/35)*CK135+(1-EXP(-LN(2)/35))/(LN(2)/35)*CG136*CH136*VLOOKUP('Données projet'!$B$12,'Paramètres'!$A$1:$I$89,3,0)*0.475*44/12</f>
        <v>60.83041531</v>
      </c>
      <c r="CL136" s="142">
        <f>EXP(-LN(2)/25)*CL135+(1-EXP(-LN(2)/25))/(LN(2)/25)*Calculateur!CG136*Calculateur!CI136*VLOOKUP('Données projet'!$B$12,'Paramètres'!$A$1:$I$89,3,0)*0.475*44/12</f>
        <v>5.223416794</v>
      </c>
      <c r="CM136" s="142">
        <f>EXP(-LN(2)/2)*CM135+(1-EXP(-LN(2)/2))/(LN(2)/2)*CG136*CJ136*VLOOKUP('Données projet'!$B$12,'Paramètres'!$A$1:$I$89,3,0)*0.475*44/12</f>
        <v>0.0000000001530848877</v>
      </c>
      <c r="CN136" s="143">
        <f t="shared" si="13"/>
        <v>66.0538321</v>
      </c>
      <c r="CO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1" t="str">
        <f>VLOOKUP(A136,'Données projet'!$A$139:$I$159,2,0)</f>
        <v>#N/A</v>
      </c>
      <c r="CR136" s="131" t="str">
        <f>VLOOKUP(A136,'Données projet'!$A$139:$I$159,9,0)</f>
        <v>#N/A</v>
      </c>
      <c r="CS136" s="130">
        <f t="array" ref="CS136">INDEX(CR:CR,MIN(IF(ISNUMBER(CR136:CR332),ROW(CR136:CR332),"")))</f>
        <v>0.8</v>
      </c>
      <c r="CT136" s="138">
        <f>IF('Données projet'!$A$140&gt;35,CT135+CS136-DB135,IF(A136&lt;'Données projet'!$A$140,$CQ$205^A136,IF(A136='Données projet'!$A$140,'Données projet'!$B$140,CT135+CS136-DB135)))</f>
        <v>212.4</v>
      </c>
      <c r="CU136" s="138">
        <f>CT136*VLOOKUP('Données projet'!$B$13,'Paramètres'!$A$1:$I$89,3,0)*VLOOKUP('Données projet'!$B$13,'Paramètres'!$A$1:$I$89,5,0)</f>
        <v>215.3736</v>
      </c>
      <c r="CV136" s="130">
        <f t="shared" si="42"/>
        <v>53.10812014</v>
      </c>
      <c r="CW136" s="141">
        <f t="shared" si="14"/>
        <v>467.6056626</v>
      </c>
      <c r="CX136" s="133">
        <f t="shared" si="15"/>
        <v>760.9389959</v>
      </c>
      <c r="CY136" s="133">
        <f>AVERAGE(OFFSET($CX$3,0,0,'Données projet'!$E$13+1,1))-AVERAGE(OFFSET($H$3,0,0,'Données projet'!$E$13+1,1))</f>
        <v>223.783507</v>
      </c>
      <c r="CZ136" s="133">
        <f t="shared" si="43"/>
        <v>84.92349117</v>
      </c>
      <c r="DA136" s="134">
        <f>IF(ISNA(VLOOKUP(A136,'Données projet'!$A$139:$I$159,3,0)),0,VLOOKUP(A136,'Données projet'!$A$139:$I$159,3,0))</f>
        <v>0</v>
      </c>
      <c r="DB136" s="134">
        <f>IF(ISNA(VLOOKUP(A136,'Données projet'!$A$139:$I$159,4,0)),0,VLOOKUP(A136,'Données projet'!$A$139:$I$159,4,0))</f>
        <v>0</v>
      </c>
      <c r="DC136" s="135">
        <f>IF(ISNA(VLOOKUP(A136,'Données projet'!$A$139:$I$159,5,0)),0%,VLOOKUP(A136,'Données projet'!$A$139:$I$159,5,0)*VLOOKUP('Données projet'!$B$13,'Paramètres'!$A$1:$I$89,7,0))</f>
        <v>0</v>
      </c>
      <c r="DD136" s="135">
        <f>IF(ISNA(VLOOKUP(A136,'Données projet'!$A$139:$I$159,6,0)),0%,VLOOKUP(A136,'Données projet'!$A$139:$I$159,6,0)*VLOOKUP('Données projet'!$B$13,'Paramètres'!$A$1:$I$89,7,0))</f>
        <v>0</v>
      </c>
      <c r="DE136" s="135">
        <f>IF(ISNA(VLOOKUP(A136,'Données projet'!$A$139:$I$159,7,0)),0%,VLOOKUP(A136,'Données projet'!$A$139:$I$159,7,0))</f>
        <v>0</v>
      </c>
      <c r="DF136" s="142">
        <f>EXP(-LN(2)/35)*DF135+(1-EXP(-LN(2)/35))/(LN(2)/35)*DB136*DC136*VLOOKUP('Données projet'!$B$13,'Paramètres'!$A$1:$I$89,3,0)*0.475*44/12</f>
        <v>20.87614863</v>
      </c>
      <c r="DG136" s="142">
        <f>EXP(-LN(2)/25)*DG135+(1-EXP(-LN(2)/25))/(LN(2)/25)*Calculateur!DB136*Calculateur!DD136*VLOOKUP('Données projet'!$B$13,'Paramètres'!$A$1:$I$89,3,0)*0.475*44/12</f>
        <v>0</v>
      </c>
      <c r="DH136" s="142">
        <f>EXP(-LN(2)/2)*DH135+(1-EXP(-LN(2)/2))/(LN(2)/2)*DB136*DE136*VLOOKUP('Données projet'!$B$13,'Paramètres'!$A$1:$I$89,3,0)*0.475*44/12</f>
        <v>0</v>
      </c>
      <c r="DI136" s="143">
        <f t="shared" si="16"/>
        <v>20.87614863</v>
      </c>
      <c r="DJ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1" t="str">
        <f>VLOOKUP(A136,'Données projet'!$A$165:$I$185,2,0)</f>
        <v>#N/A</v>
      </c>
      <c r="DM136" s="131" t="str">
        <f>VLOOKUP(A136,'Données projet'!$A$165:$I$185,9,0)</f>
        <v>#N/A</v>
      </c>
      <c r="DN136" s="131">
        <f t="array" ref="DN136">INDEX(DM:DM,MIN(IF(ISNUMBER(DM136:DM332),ROW(DM136:DM332),"")))</f>
        <v>0.55</v>
      </c>
      <c r="DO136" s="138">
        <f>IF('Données projet'!$A$166&gt;35,DO135+DN136-DW135,IF(A136&lt;'Données projet'!$A$166,$DL$205^A136,IF(A136='Données projet'!$A$166,'Données projet'!$B$166,DO135+DN136-DW135)))</f>
        <v>270.65</v>
      </c>
      <c r="DP136" s="138">
        <f>DO136*VLOOKUP('Données projet'!$B$14,'Paramètres'!$A$1:$I$89,3,0)*VLOOKUP('Données projet'!$B$14,'Paramètres'!$A$1:$I$89,5,0)</f>
        <v>244.88412</v>
      </c>
      <c r="DQ136" s="130">
        <f t="shared" si="44"/>
        <v>59.4891374</v>
      </c>
      <c r="DR136" s="141">
        <f t="shared" si="17"/>
        <v>530.1167566</v>
      </c>
      <c r="DS136" s="133">
        <f t="shared" si="18"/>
        <v>823.45009</v>
      </c>
      <c r="DT136" s="133">
        <f>AVERAGE(OFFSET($DS$3,0,0,'Données projet'!$E$14+1,1))-AVERAGE(OFFSET($H$3,0,0,'Données projet'!$E$14+1,1))</f>
        <v>287.9334714</v>
      </c>
      <c r="DU136" s="133">
        <f t="shared" si="45"/>
        <v>156.6796502</v>
      </c>
      <c r="DV136" s="134">
        <f>IF(ISNA(VLOOKUP(A136,'Données projet'!$A$165:$I$185,3,0)),0,VLOOKUP(A136,'Données projet'!$A$165:$I$185,3,0))</f>
        <v>0</v>
      </c>
      <c r="DW136" s="134">
        <f>IF(ISNA(VLOOKUP(A136,'Données projet'!$A$165:$I$185,4,0)),0,VLOOKUP(A136,'Données projet'!$A$165:$I$185,4,0))</f>
        <v>0</v>
      </c>
      <c r="DX136" s="135">
        <f>IF(ISNA(VLOOKUP(A136,'Données projet'!$A$165:$I$185,5,0)),0%,VLOOKUP(A136,'Données projet'!$A$165:$I$185,5,0)*VLOOKUP('Données projet'!$B$14,'Paramètres'!$A$1:$I$89,7,0))</f>
        <v>0</v>
      </c>
      <c r="DY136" s="135">
        <f>IF(ISNA(VLOOKUP(A136,'Données projet'!$A$165:$I$185,6,0)),0%,VLOOKUP(A136,'Données projet'!$A$165:$I$185,6,0)*VLOOKUP('Données projet'!$B$14,'Paramètres'!$A$1:$I$89,7,0))</f>
        <v>0</v>
      </c>
      <c r="DZ136" s="135">
        <f>IF(ISNA(VLOOKUP(A136,'Données projet'!$A$165:$I$185,7,0)),0%,VLOOKUP(A136,'Données projet'!$A$165:$I$185,7,0))</f>
        <v>0</v>
      </c>
      <c r="EA136" s="142">
        <f>EXP(-LN(2)/35)*EA135+(1-EXP(-LN(2)/35))/(LN(2)/35)*DW136*DX136*VLOOKUP('Données projet'!$B$14,'Paramètres'!$A$1:$I$89,3,0)*0.475*44/12</f>
        <v>29.73339053</v>
      </c>
      <c r="EB136" s="142">
        <f>EXP(-LN(2)/25)*EB135+(1-EXP(-LN(2)/25))/(LN(2)/25)*Calculateur!DW136*Calculateur!DY136*VLOOKUP('Données projet'!$B$14,'Paramètres'!$A$1:$I$89,3,0)*0.475*44/12</f>
        <v>0</v>
      </c>
      <c r="EC136" s="142">
        <f>EXP(-LN(2)/2)*EC135+(1-EXP(-LN(2)/2))/(LN(2)/2)*DW136*DZ136*VLOOKUP('Données projet'!$B$14,'Paramètres'!$A$1:$I$89,3,0)*0.475*44/12</f>
        <v>0</v>
      </c>
      <c r="ED136" s="143">
        <f t="shared" si="19"/>
        <v>29.73339053</v>
      </c>
      <c r="EE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1" t="str">
        <f>VLOOKUP(A136,'Données projet'!$A$191:$I$211,2,0)</f>
        <v>#N/A</v>
      </c>
      <c r="EH136" s="131" t="str">
        <f>VLOOKUP(A136,'Données projet'!$A$191:$I$211,9,0)</f>
        <v>#N/A</v>
      </c>
      <c r="EI136" s="131" t="str">
        <f t="array" ref="EI136">INDEX(EH:EH,MIN(IF(ISNUMBER(EH136:EH332),ROW(EH136:EH332),"")))</f>
        <v/>
      </c>
      <c r="EJ136" s="138">
        <f>IF('Données projet'!$A$192&gt;35,EJ135+EI136-ER135,IF(A136&lt;'Données projet'!$A$192,$EG$205^A136,IF(A136='Données projet'!$A$192,'Données projet'!$B$192,EJ135+EI136-ER135)))</f>
        <v>0</v>
      </c>
      <c r="EK136" s="138">
        <f>EJ136*VLOOKUP('Données projet'!$B$15,'Paramètres'!$A$1:$I$89,3,0)*VLOOKUP('Données projet'!$B$15,'Paramètres'!$A$1:$I$89,5,0)</f>
        <v>0</v>
      </c>
      <c r="EL136" s="130" t="str">
        <f t="shared" si="46"/>
        <v>#NUM!</v>
      </c>
      <c r="EM136" s="141" t="str">
        <f t="shared" si="20"/>
        <v>#NUM!</v>
      </c>
      <c r="EN136" s="133" t="str">
        <f t="shared" si="21"/>
        <v>#NUM!</v>
      </c>
      <c r="EO136" s="133">
        <f>AVERAGE(OFFSET($EN$3,0,0,'Données projet'!$E$15+1,1))-AVERAGE(OFFSET($H$3,0,0,'Données projet'!$E$15+1,1))</f>
        <v>130.3193339</v>
      </c>
      <c r="EP136" s="133">
        <f t="shared" si="47"/>
        <v>82.22784365</v>
      </c>
      <c r="EQ136" s="134">
        <f>IF(ISNA(VLOOKUP(A136,'Données projet'!$A$191:$I$211,3,0)),0,VLOOKUP(A136,'Données projet'!$A$191:$I$211,3,0))</f>
        <v>0</v>
      </c>
      <c r="ER136" s="134">
        <f>IF(ISNA(VLOOKUP(A136,'Données projet'!$A$191:$I$211,4,0)),0,VLOOKUP(A136,'Données projet'!$A$191:$I$211,4,0))</f>
        <v>0</v>
      </c>
      <c r="ES136" s="135">
        <f>IF(ISNA(VLOOKUP(A136,'Données projet'!$A$191:$I$211,5,0)),0%,VLOOKUP(A136,'Données projet'!$A$191:$I$211,5,0)*VLOOKUP('Données projet'!$B$15,'Paramètres'!$A$1:$I$89,7,0))</f>
        <v>0</v>
      </c>
      <c r="ET136" s="135">
        <f>IF(ISNA(VLOOKUP(A136,'Données projet'!$A$191:$I$211,6,0)),0%,VLOOKUP(A136,'Données projet'!$A$191:$I$211,6,0)*VLOOKUP('Données projet'!$B$15,'Paramètres'!$A$1:$I$89,7,0))</f>
        <v>0</v>
      </c>
      <c r="EU136" s="135">
        <f>IF(ISNA(VLOOKUP(A136,'Données projet'!$A$191:$I$211,7,0)),0%,VLOOKUP(A136,'Données projet'!$A$191:$I$211,7,0))</f>
        <v>0</v>
      </c>
      <c r="EV136" s="142">
        <f>EXP(-LN(2)/35)*EV135+(1-EXP(-LN(2)/35))/(LN(2)/35)*ER136*ES136*VLOOKUP('Données projet'!$B$15,'Paramètres'!$A$1:$I$89,3,0)*0.475*44/12</f>
        <v>37.19654055</v>
      </c>
      <c r="EW136" s="142">
        <f>EXP(-LN(2)/25)*EW135+(1-EXP(-LN(2)/25))/(LN(2)/25)*Calculateur!ER136*Calculateur!ET136*VLOOKUP('Données projet'!$B$15,'Paramètres'!$A$1:$I$89,3,0)*0.475*44/12</f>
        <v>0</v>
      </c>
      <c r="EX136" s="142">
        <f>EXP(-LN(2)/2)*EX135+(1-EXP(-LN(2)/2))/(LN(2)/2)*ER136*EU136*VLOOKUP('Données projet'!$B$15,'Paramètres'!$A$1:$I$89,3,0)*0.475*44/12</f>
        <v>0</v>
      </c>
      <c r="EY136" s="143">
        <f t="shared" si="22"/>
        <v>37.19654055</v>
      </c>
      <c r="EZ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1" t="str">
        <f>VLOOKUP(A136,'Données projet'!$A$217:$I$237,2,0)</f>
        <v>#N/A</v>
      </c>
      <c r="FC136" s="131" t="str">
        <f>VLOOKUP(A136,'Données projet'!$A$217:$I$237,9,0)</f>
        <v>#N/A</v>
      </c>
      <c r="FD136" s="131" t="str">
        <f t="array" ref="FD136">INDEX(FC:FC,MIN(IF(ISNUMBER(FC136:FC332),ROW(FC136:FC332),"")))</f>
        <v/>
      </c>
      <c r="FE136" s="130">
        <f>IF('Données projet'!$A$218&gt;35,FE135+FD136-FM135,IF(A136&lt;'Données projet'!$A$218,$FB$205^A136,IF(A136='Données projet'!$A$218,'Données projet'!$B$218,FE135+FD136-FM135)))</f>
        <v>0</v>
      </c>
      <c r="FF136" s="138">
        <f>FE136*VLOOKUP('Données projet'!$B$16,'Paramètres'!$A$1:$I$89,3,0)*VLOOKUP('Données projet'!$B$16,'Paramètres'!$A$1:$I$89,5,0)</f>
        <v>0</v>
      </c>
      <c r="FG136" s="130">
        <f t="shared" si="48"/>
        <v>0</v>
      </c>
      <c r="FH136" s="141">
        <f t="shared" si="23"/>
        <v>0</v>
      </c>
      <c r="FI136" s="133">
        <f t="shared" si="24"/>
        <v>293.3333333</v>
      </c>
      <c r="FJ136" s="133">
        <f>AVERAGE(OFFSET($FI$3,0,0,'Données projet'!$E$16+1,1))-AVERAGE(OFFSET($H$3,0,0,'Données projet'!$E$16+1,1))</f>
        <v>305.6252353</v>
      </c>
      <c r="FK136" s="133">
        <f t="shared" si="49"/>
        <v>331.397916</v>
      </c>
      <c r="FL136" s="134">
        <f>IF(ISNA(VLOOKUP(A136,'Données projet'!$A$217:$I$237,3,0)),0,VLOOKUP(A136,'Données projet'!$A$217:$I$237,3,0))</f>
        <v>0</v>
      </c>
      <c r="FM136" s="134">
        <f>IF(ISNA(VLOOKUP(A136,'Données projet'!$A$217:$I$237,4,0)),0,VLOOKUP(A136,'Données projet'!$A$217:$I$237,4,0))</f>
        <v>0</v>
      </c>
      <c r="FN136" s="135">
        <f>IF(ISNA(VLOOKUP(A136,'Données projet'!$A$217:$I$237,5,0)),0%,VLOOKUP(A136,'Données projet'!$A$217:$I$237,5,0)*VLOOKUP('Données projet'!$B$16,'Paramètres'!$A$1:$I$89,7,0))</f>
        <v>0</v>
      </c>
      <c r="FO136" s="135">
        <f>IF(ISNA(VLOOKUP(A136,'Données projet'!$A$217:$I$237,6,0)),0%,VLOOKUP(A136,'Données projet'!$A$217:$I$237,6,0)*VLOOKUP('Données projet'!$B$16,'Paramètres'!$A$1:$I$89,7,0))</f>
        <v>0</v>
      </c>
      <c r="FP136" s="135">
        <f>IF(ISNA(VLOOKUP(A136,'Données projet'!$A$217:$I$237,7,0)),0%,VLOOKUP(A136,'Données projet'!$A$217:$I$237,7,0))</f>
        <v>0</v>
      </c>
      <c r="FQ136" s="142">
        <f>EXP(-LN(2)/35)*FQ135+(1-EXP(-LN(2)/35))/(LN(2)/35)*FM136*FN136*VLOOKUP('Données projet'!$B$16,'Paramètres'!$A$1:$I$89,3,0)*0.475*44/12</f>
        <v>23.15967777</v>
      </c>
      <c r="FR136" s="142">
        <f>EXP(-LN(2)/25)*FR135+(1-EXP(-LN(2)/25))/(LN(2)/25)*Calculateur!FM136*Calculateur!FO136*VLOOKUP('Données projet'!$B$16,'Paramètres'!$A$1:$I$89,3,0)*0.475*44/12</f>
        <v>0</v>
      </c>
      <c r="FS136" s="142">
        <f>EXP(-LN(2)/2)*FS135+(1-EXP(-LN(2)/2))/(LN(2)/2)*FM136*FP136*VLOOKUP('Données projet'!$B$16,'Paramètres'!$A$1:$I$89,3,0)*0.475*44/12</f>
        <v>0</v>
      </c>
      <c r="FT136" s="143">
        <f t="shared" si="25"/>
        <v>23.15967777</v>
      </c>
      <c r="FU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1" t="str">
        <f>VLOOKUP(A136,'Données projet'!$A$243:$I$263,2,0)</f>
        <v>#N/A</v>
      </c>
      <c r="FX136" s="131" t="str">
        <f>VLOOKUP(A136,'Données projet'!$A$243:$I$263,9,0)</f>
        <v>#N/A</v>
      </c>
      <c r="FY136" s="131" t="str">
        <f t="array" ref="FY136">INDEX(FX:FX,MIN(IF(ISNUMBER(FX136:FX332),ROW(FX136:FX332),"")))</f>
        <v/>
      </c>
      <c r="FZ136" s="138">
        <f>IF('Données projet'!$A$244&gt;35,FZ135+FY136-GH135,IF(A136&lt;'Données projet'!$A$244,$FW$205^A136,IF(A136='Données projet'!$A$244,'Données projet'!$B$244,FZ135+FY136-GH135)))</f>
        <v>0</v>
      </c>
      <c r="GA136" s="138">
        <f>FZ136*VLOOKUP('Données projet'!$B$17,'Paramètres'!$A$1:$I$89,3,0)*VLOOKUP('Données projet'!$B$17,'Paramètres'!$A$1:$I$89,5,0)</f>
        <v>0</v>
      </c>
      <c r="GB136" s="130">
        <f t="shared" si="50"/>
        <v>0</v>
      </c>
      <c r="GC136" s="141">
        <f t="shared" si="26"/>
        <v>0</v>
      </c>
      <c r="GD136" s="133">
        <f t="shared" si="27"/>
        <v>293.3333333</v>
      </c>
      <c r="GE136" s="133">
        <f>AVERAGE(OFFSET($GD$3,0,0,'Données projet'!$E$17+1,1))-AVERAGE(OFFSET($H$3,0,0,'Données projet'!$E$17+1,1))</f>
        <v>118.7368745</v>
      </c>
      <c r="GF136" s="133">
        <f t="shared" si="51"/>
        <v>135.1233677</v>
      </c>
      <c r="GG136" s="134">
        <f>IF(ISNA(VLOOKUP(A136,'Données projet'!$A$243:$I$263,3,0)),0,VLOOKUP(A136,'Données projet'!$A$243:$I$263,3,0))</f>
        <v>0</v>
      </c>
      <c r="GH136" s="134">
        <f>IF(ISNA(VLOOKUP(A136,'Données projet'!$A$243:$I$263,4,0)),0,VLOOKUP(A136,'Données projet'!$A$243:$I$263,4,0))</f>
        <v>0</v>
      </c>
      <c r="GI136" s="135">
        <f>IF(ISNA(VLOOKUP(A136,'Données projet'!$A$243:$I$263,5,0)),0%,VLOOKUP(A136,'Données projet'!$A$243:$I$263,5,0)*VLOOKUP('Données projet'!$B$17,'Paramètres'!$A$1:$I$89,7,0))</f>
        <v>0</v>
      </c>
      <c r="GJ136" s="135">
        <f>IF(ISNA(VLOOKUP(A136,'Données projet'!$A$243:$I$263,6,0)),0%,VLOOKUP(A136,'Données projet'!$A$243:$I$263,6,0)*VLOOKUP('Données projet'!$B$17,'Paramètres'!$A$1:$I$89,7,0))</f>
        <v>0</v>
      </c>
      <c r="GK136" s="135">
        <f>IF(ISNA(VLOOKUP(A136,'Données projet'!$A$243:$I$263,7,0)),0%,VLOOKUP(A136,'Données projet'!$A$243:$I$263,7,0))</f>
        <v>0</v>
      </c>
      <c r="GL136" s="142">
        <f>EXP(-LN(2)/35)*GL135+(1-EXP(-LN(2)/35))/(LN(2)/35)*GH136*GI136*VLOOKUP('Données projet'!$B$17,'Paramètres'!$A$1:$I$89,3,0)*0.475*44/12</f>
        <v>24.46812794</v>
      </c>
      <c r="GM136" s="142">
        <f>EXP(-LN(2)/25)*GM135+(1-EXP(-LN(2)/25))/(LN(2)/25)*Calculateur!GH136*Calculateur!GJ136*VLOOKUP('Données projet'!$B$17,'Paramètres'!$A$1:$I$89,3,0)*0.475*44/12</f>
        <v>0</v>
      </c>
      <c r="GN136" s="142">
        <f>EXP(-LN(2)/2)*GN135+(1-EXP(-LN(2)/2))/(LN(2)/2)*GH136*GK136*VLOOKUP('Données projet'!$B$17,'Paramètres'!$A$1:$I$89,3,0)*0.475*44/12</f>
        <v>0</v>
      </c>
      <c r="GO136" s="142">
        <f t="shared" si="28"/>
        <v>24.46812794</v>
      </c>
      <c r="GP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1" t="str">
        <f>VLOOKUP(A136,'Données projet'!$A$269:$I$289,2,0)</f>
        <v>#N/A</v>
      </c>
      <c r="GS136" s="131" t="str">
        <f>VLOOKUP(A136,'Données projet'!$A$269:$I$289,9,0)</f>
        <v>#N/A</v>
      </c>
      <c r="GT136" s="131" t="str">
        <f t="array" ref="GT136">INDEX(GS:GS,MIN(IF(ISNUMBER(GS136:GS332),ROW(GS136:GS332),"")))</f>
        <v/>
      </c>
      <c r="GU136" s="138">
        <f>IF('Données projet'!$A$270&gt;35,GU135+GT136-HC135,IF(A136&lt;'Données projet'!$A$270,$GR$205^A136,IF(A136='Données projet'!$A$270,'Données projet'!$B$270,GU135+GT136-HC135)))</f>
        <v>0</v>
      </c>
      <c r="GV136" s="138">
        <f>GU136*VLOOKUP('Données projet'!$B$18,'Paramètres'!$A$1:$I$89,3,0)*VLOOKUP('Données projet'!$B$18,'Paramètres'!$A$1:$I$89,5,0)</f>
        <v>0</v>
      </c>
      <c r="GW136" s="130" t="str">
        <f t="shared" si="52"/>
        <v>#NUM!</v>
      </c>
      <c r="GX136" s="141" t="str">
        <f t="shared" si="29"/>
        <v>#NUM!</v>
      </c>
      <c r="GY136" s="133" t="str">
        <f t="shared" si="30"/>
        <v>#NUM!</v>
      </c>
      <c r="GZ136" s="133">
        <f>AVERAGE(OFFSET($GY$3,0,0,'Données projet'!$E$18+1,1))-AVERAGE(OFFSET($H$3,0,0,'Données projet'!$E$18+1,1))</f>
        <v>100.5427875</v>
      </c>
      <c r="HA136" s="133">
        <f t="shared" si="53"/>
        <v>92.28663609</v>
      </c>
      <c r="HB136" s="134">
        <f>IF(ISNA(VLOOKUP(A136,'Données projet'!$A$269:$I$289,3,0)),0,VLOOKUP(A136,'Données projet'!$A$269:$I$289,3,0))</f>
        <v>0</v>
      </c>
      <c r="HC136" s="134">
        <f>IF(ISNA(VLOOKUP(A136,'Données projet'!$A$269:$I$289,4,0)),0,VLOOKUP(A136,'Données projet'!$A$269:$I$289,4,0))</f>
        <v>0</v>
      </c>
      <c r="HD136" s="135">
        <f>IF(ISNA(VLOOKUP(A136,'Données projet'!$A$269:$I$289,5,0)),0%,VLOOKUP(A136,'Données projet'!$A$269:$I$289,5,0)*VLOOKUP('Données projet'!$B$18,'Paramètres'!$A$1:$I$89,7,0))</f>
        <v>0</v>
      </c>
      <c r="HE136" s="135">
        <f>IF(ISNA(VLOOKUP(A136,'Données projet'!$A$269:$I$289,6,0)),0%,VLOOKUP(A136,'Données projet'!$A$269:$I$289,6,0)*VLOOKUP('Données projet'!$B$18,'Paramètres'!$A$1:$I$89,7,0))</f>
        <v>0</v>
      </c>
      <c r="HF136" s="135">
        <f>IF(ISNA(VLOOKUP(A136,'Données projet'!$A$269:$I$289,7,0)),0%,VLOOKUP(A136,'Données projet'!$A$269:$I$289,7,0))</f>
        <v>0</v>
      </c>
      <c r="HG136" s="142">
        <f>EXP(-LN(2)/35)*HG135+(1-EXP(-LN(2)/35))/(LN(2)/35)*HC136*HD136*VLOOKUP('Données projet'!$B$18,'Paramètres'!$A$1:$I$89,3,0)*0.475*44/12</f>
        <v>16.66227895</v>
      </c>
      <c r="HH136" s="142">
        <f>EXP(-LN(2)/25)*HH135+(1-EXP(-LN(2)/25))/(LN(2)/25)*Calculateur!HC136*Calculateur!HE136*VLOOKUP('Données projet'!$B$18,'Paramètres'!$A$1:$I$89,3,0)*0.475*44/12</f>
        <v>0</v>
      </c>
      <c r="HI136" s="142">
        <f>EXP(-LN(2)/2)*HI135+(1-EXP(-LN(2)/2))/(LN(2)/2)*HC136*HF136*VLOOKUP('Données projet'!$B$18,'Paramètres'!$A$1:$I$89,3,0)*0.475*44/12</f>
        <v>0</v>
      </c>
      <c r="HJ136" s="143">
        <f t="shared" si="31"/>
        <v>16.66227895</v>
      </c>
    </row>
    <row r="137" ht="15.75" customHeight="1">
      <c r="A137" s="125">
        <f t="shared" si="32"/>
        <v>134</v>
      </c>
      <c r="B137" s="126">
        <f>'Scénario référence'!$B$16*5+'Scénario référence'!$B$17*0+'Scénario référence'!$B$18*5</f>
        <v>0</v>
      </c>
      <c r="C137" s="140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73.164</v>
      </c>
      <c r="D137" s="127">
        <f t="shared" si="33"/>
        <v>20.45715726</v>
      </c>
      <c r="E13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7">
        <f>IF(OR('Scénario référence'!$F$8&gt;0,'Scénario référence'!$F$9&gt;0),('Scénario référence'!$F$8+'Scénario référence'!$F$9)*10,0)</f>
        <v>10</v>
      </c>
      <c r="G137" s="127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</v>
      </c>
      <c r="H137" s="128">
        <f t="shared" si="1"/>
        <v>456.3901822</v>
      </c>
      <c r="I137" s="12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1" t="str">
        <f>VLOOKUP(A137,'Données projet'!$A$35:$I$55,2,0)</f>
        <v>#N/A</v>
      </c>
      <c r="L137" s="131" t="str">
        <f>VLOOKUP(A137,'Données projet'!$A$35:$I$55,9,0)</f>
        <v>#N/A</v>
      </c>
      <c r="M137" s="131" t="str">
        <f t="array" ref="M137">INDEX(L:L,MIN(IF(ISNUMBER(L137:L333),ROW(L137:L333),"")))</f>
        <v/>
      </c>
      <c r="N137" s="130">
        <f>IF('Données projet'!$A$36&gt;35,N136+M137-V136,IF(A137&lt;'Données projet'!$A$36,$K$205^A137,IF(A137='Données projet'!$A$36,'Données projet'!$B$36,N136+M137-V136)))</f>
        <v>0</v>
      </c>
      <c r="O137" s="130">
        <f>N137*VLOOKUP('Données projet'!$B$9,'Paramètres'!$A$1:$I$89,3,0)*VLOOKUP('Données projet'!$B$9,'Paramètres'!$A$1:$I$89,5,0)</f>
        <v>0</v>
      </c>
      <c r="P137" s="130">
        <f t="shared" si="34"/>
        <v>0</v>
      </c>
      <c r="Q137" s="141">
        <f t="shared" si="2"/>
        <v>0</v>
      </c>
      <c r="R137" s="133">
        <f t="shared" si="3"/>
        <v>293.3333333</v>
      </c>
      <c r="S137" s="133">
        <f>AVERAGE(OFFSET($R$3,0,0,'Données projet'!$E$9+1,1))-AVERAGE(OFFSET($H$3,0,0,'Données projet'!$E$9+1,1))</f>
        <v>126.9946492</v>
      </c>
      <c r="T137" s="133">
        <f t="shared" si="35"/>
        <v>140.039049</v>
      </c>
      <c r="U137" s="134">
        <f>IF(ISNA(VLOOKUP(A137,'Données projet'!$A$35:$I$55,3,0)),0,VLOOKUP(A137,'Données projet'!$A$35:$I$55,3,0))</f>
        <v>0</v>
      </c>
      <c r="V137" s="134">
        <f>IF(ISNA(VLOOKUP(A137,'Données projet'!$A$35:$I$55,4,0)),0,VLOOKUP(A137,'Données projet'!$A$35:$I$55,4,0))</f>
        <v>0</v>
      </c>
      <c r="W137" s="135">
        <f>IF(ISNA(VLOOKUP(A137,'Données projet'!$A$35:$I$55,5,0)),0%,VLOOKUP(A137,'Données projet'!$A$35:$I$55,5,0)*VLOOKUP('Données projet'!$B$9,'Paramètres'!$A$1:$I$89,7,0))</f>
        <v>0</v>
      </c>
      <c r="X137" s="135">
        <f>IF(ISNA(VLOOKUP(A137,'Données projet'!$A$35:$I$55,6,0)),0%,VLOOKUP(A137,'Données projet'!$A$35:$I$55,6,0)*VLOOKUP('Données projet'!$B$9,'Paramètres'!$A$1:$I$89,7,0))</f>
        <v>0</v>
      </c>
      <c r="Y137" s="135">
        <f>IF(ISNA(VLOOKUP(A137,'Données projet'!$A$35:$I$55,7,0)),0%,VLOOKUP(A137,'Données projet'!$A$35:$I$55,7,0))</f>
        <v>0</v>
      </c>
      <c r="Z137" s="142">
        <f>EXP(-LN(2)/35)*Z136+(1-EXP(-LN(2)/35))/(LN(2)/35)*V137*W137*VLOOKUP('Données projet'!$B$9,'Paramètres'!$A$1:$I$89,3,0)*0.475*44/12</f>
        <v>24.53471442</v>
      </c>
      <c r="AA137" s="142">
        <f>EXP(-LN(2)/25)*AA136+(1-EXP(-LN(2)/25))/(LN(2)/25)*Calculateur!V137*Calculateur!X137*VLOOKUP('Données projet'!$B$9,'Paramètres'!$A$1:$I$89,3,0)*0.475*44/12</f>
        <v>2.986496837</v>
      </c>
      <c r="AB137" s="142">
        <f>EXP(-LN(2)/2)*AB136+(1-EXP(-LN(2)/2))/(LN(2)/2)*V137*Y137*VLOOKUP('Données projet'!$B$9,'Paramètres'!$A$1:$I$89,3,0)*0.475*44/12</f>
        <v>0.00000000013816586</v>
      </c>
      <c r="AC137" s="143">
        <f t="shared" si="4"/>
        <v>27.52121126</v>
      </c>
      <c r="AD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1" t="str">
        <f>VLOOKUP(A137,'Données projet'!$A$61:$I$81,2,0)</f>
        <v>#N/A</v>
      </c>
      <c r="AG137" s="131" t="str">
        <f>VLOOKUP(A137,'Données projet'!$A$61:$I$81,9,0)</f>
        <v>#N/A</v>
      </c>
      <c r="AH137" s="131" t="str">
        <f t="array" ref="AH137">INDEX(AG:AG,MIN(IF(ISNUMBER(AG137:AG333),ROW(AG137:AG333),"")))</f>
        <v/>
      </c>
      <c r="AI137" s="130">
        <f>IF('Données projet'!$A$62&gt;35,AI136+AH137-AQ136,IF(A137&lt;'Données projet'!$A$62,$AF$205^A137,IF(A137='Données projet'!$A$62,'Données projet'!$B$62,AI136+AH137-AQ136)))</f>
        <v>0</v>
      </c>
      <c r="AJ137" s="130">
        <f>AI137*VLOOKUP('Données projet'!$B$10,'Paramètres'!$A$1:$I$89,3,0)*VLOOKUP('Données projet'!$B$10,'Paramètres'!$A$1:$I$89,5,0)</f>
        <v>0</v>
      </c>
      <c r="AK137" s="130" t="str">
        <f t="shared" si="36"/>
        <v>#NUM!</v>
      </c>
      <c r="AL137" s="141" t="str">
        <f t="shared" si="5"/>
        <v>#NUM!</v>
      </c>
      <c r="AM137" s="133" t="str">
        <f t="shared" si="6"/>
        <v>#NUM!</v>
      </c>
      <c r="AN137" s="133">
        <f>AVERAGE(OFFSET($AM$3,0,0,'Données projet'!$E$10+1,1))-AVERAGE(OFFSET($H$3,0,0,'Données projet'!$E$10+1,1))</f>
        <v>196.874484</v>
      </c>
      <c r="AO137" s="133">
        <f t="shared" si="37"/>
        <v>217.5750859</v>
      </c>
      <c r="AP137" s="134">
        <f>IF(ISNA(VLOOKUP(A137,'Données projet'!$A$61:$I$81,3,0)),0,VLOOKUP(A137,'Données projet'!$A$61:$I$81,3,0))</f>
        <v>0</v>
      </c>
      <c r="AQ137" s="134">
        <f>IF(ISNA(VLOOKUP(A137,'Données projet'!$A$61:$I$81,4,0)),0,VLOOKUP(A137,'Données projet'!$A$61:$I$81,4,0))</f>
        <v>0</v>
      </c>
      <c r="AR137" s="135">
        <f>IF(ISNA(VLOOKUP(A137,'Données projet'!$A$61:$I$81,5,0)),0%,VLOOKUP(A137,'Données projet'!$A$61:$I$81,5,0)*VLOOKUP('Données projet'!$B$10,'Paramètres'!$A$1:$I$89,7,0))</f>
        <v>0</v>
      </c>
      <c r="AS137" s="135">
        <f>IF(ISNA(VLOOKUP(A137,'Données projet'!$A$61:$I$81,6,0)),0%,VLOOKUP(A137,'Données projet'!$A$61:$I$81,6,0)*VLOOKUP('Données projet'!$B$10,'Paramètres'!$A$1:$I$89,7,0))</f>
        <v>0</v>
      </c>
      <c r="AT137" s="135">
        <f>IF(ISNA(VLOOKUP(A137,'Données projet'!$A$61:$I$81,7,0)),0%,VLOOKUP(A137,'Données projet'!$A$61:$I$81,7,0))</f>
        <v>0</v>
      </c>
      <c r="AU137" s="142">
        <f>EXP(-LN(2)/35)*AU136+(1-EXP(-LN(2)/35))/(LN(2)/35)*AQ137*AR137*VLOOKUP('Données projet'!$B$10,'Paramètres'!$A$1:$I$89,3,0)*0.475*44/12</f>
        <v>34.10255617</v>
      </c>
      <c r="AV137" s="142">
        <f>EXP(-LN(2)/25)*AV136+(1-EXP(-LN(2)/25))/(LN(2)/25)*Calculateur!AQ137*Calculateur!AS137*VLOOKUP('Données projet'!$B$10,'Paramètres'!$A$1:$I$89,3,0)*0.475*44/12</f>
        <v>4.591742877</v>
      </c>
      <c r="AW137" s="142">
        <f>EXP(-LN(2)/2)*AW136+(1-EXP(-LN(2)/2))/(LN(2)/2)*AQ137*AT137*VLOOKUP('Données projet'!$B$10,'Paramètres'!$A$1:$I$89,3,0)*0.475*44/12</f>
        <v>0.0000000001926322178</v>
      </c>
      <c r="AX137" s="142">
        <f t="shared" si="7"/>
        <v>38.69429905</v>
      </c>
      <c r="AY137" s="13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1" t="str">
        <f>VLOOKUP(A137,'Données projet'!$A$87:$I$107,2,0)</f>
        <v>#N/A</v>
      </c>
      <c r="BB137" s="131" t="str">
        <f>VLOOKUP(A137,'Données projet'!$A$87:$I$107,9,0)</f>
        <v>#N/A</v>
      </c>
      <c r="BC137" s="131" t="str">
        <f t="array" ref="BC137">INDEX(BB:BB,MIN(IF(ISNUMBER(BB137:BB333),ROW(BB137:BB333),"")))</f>
        <v/>
      </c>
      <c r="BD137" s="130">
        <f>IF('Données projet'!$A$88&gt;35,BD136+BC137-BL136,IF(A137&lt;'Données projet'!$A$88,$BA$205^A137,IF(A137='Données projet'!$A$88,'Données projet'!$B$88,BD136+BC137-BL136)))</f>
        <v>0</v>
      </c>
      <c r="BE137" s="130">
        <f>BD137*VLOOKUP('Données projet'!$B$11,'Paramètres'!$A$1:$I$89,3,0)*VLOOKUP('Données projet'!$B$11,'Paramètres'!$A$1:$I$89,5,0)</f>
        <v>0</v>
      </c>
      <c r="BF137" s="130" t="str">
        <f t="shared" si="38"/>
        <v>#NUM!</v>
      </c>
      <c r="BG137" s="141" t="str">
        <f t="shared" si="8"/>
        <v>#NUM!</v>
      </c>
      <c r="BH137" s="133" t="str">
        <f t="shared" si="9"/>
        <v>#NUM!</v>
      </c>
      <c r="BI137" s="133">
        <f>AVERAGE(OFFSET($BH$3,0,0,'Données projet'!$E$11+1,1))-AVERAGE(OFFSET($H$3,0,0,'Données projet'!$E$11+1,1))</f>
        <v>134.0948534</v>
      </c>
      <c r="BJ137" s="133">
        <f t="shared" si="39"/>
        <v>108.4102536</v>
      </c>
      <c r="BK137" s="134">
        <f>IF(ISNA(VLOOKUP(A137,'Données projet'!$A$87:$I$107,3,0)),0,VLOOKUP(A137,'Données projet'!$A$87:$I$107,3,0))</f>
        <v>0</v>
      </c>
      <c r="BL137" s="134">
        <f>IF(ISNA(VLOOKUP(A137,'Données projet'!$A$87:$I$107,4,0)),0,VLOOKUP(A137,'Données projet'!$A$87:$I$107,4,0))</f>
        <v>0</v>
      </c>
      <c r="BM137" s="135">
        <f>IF(ISNA(VLOOKUP(A137,'Données projet'!$A$87:$I$107,5,0)),0%,VLOOKUP(A137,'Données projet'!$A$87:$I$107,5,0)*VLOOKUP('Données projet'!$B$11,'Paramètres'!$A$1:$I$89,7,0))</f>
        <v>0</v>
      </c>
      <c r="BN137" s="135">
        <f>IF(ISNA(VLOOKUP(A137,'Données projet'!$A$87:$I$107,6,0)),0%,VLOOKUP(A137,'Données projet'!$A$87:$I$107,6,0)*VLOOKUP('Données projet'!$B$11,'Paramètres'!$A$1:$I$89,7,0))</f>
        <v>0</v>
      </c>
      <c r="BO137" s="135">
        <f>IF(ISNA(VLOOKUP(A137,'Données projet'!$A$87:$I$107,7,0)),0%,VLOOKUP(A137,'Données projet'!$A$87:$I$107,7,0))</f>
        <v>0</v>
      </c>
      <c r="BP137" s="142">
        <f>EXP(-LN(2)/35)*BP136+(1-EXP(-LN(2)/35))/(LN(2)/35)*BL137*BM137*VLOOKUP('Données projet'!$B$11,'Paramètres'!$A$1:$I$89,3,0)*0.475*44/12</f>
        <v>47.17020412</v>
      </c>
      <c r="BQ137" s="142">
        <f>EXP(-LN(2)/25)*BQ136+(1-EXP(-LN(2)/25))/(LN(2)/25)*Calculateur!BL137*Calculateur!BN137*VLOOKUP('Données projet'!$B$11,'Paramètres'!$A$1:$I$89,3,0)*0.475*44/12</f>
        <v>2.896475349</v>
      </c>
      <c r="BR137" s="142">
        <f>EXP(-LN(2)/2)*BR136+(1-EXP(-LN(2)/2))/(LN(2)/2)*BL137*BO137*VLOOKUP('Données projet'!$B$11,'Paramètres'!$A$1:$I$89,3,0)*0.475*44/12</f>
        <v>0.000000002569437336</v>
      </c>
      <c r="BS137" s="143">
        <f t="shared" si="10"/>
        <v>50.06667947</v>
      </c>
      <c r="BT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1" t="str">
        <f>VLOOKUP(A137,'Données projet'!$A$113:$I$133,2,0)</f>
        <v>#N/A</v>
      </c>
      <c r="BW137" s="131" t="str">
        <f>VLOOKUP(A137,'Données projet'!$A$113:$I$133,9,0)</f>
        <v>#N/A</v>
      </c>
      <c r="BX137" s="131" t="str">
        <f t="array" ref="BX137">INDEX(BW:BW,MIN(IF(ISNUMBER(BW137:BW333),ROW(BW137:BW333),"")))</f>
        <v/>
      </c>
      <c r="BY137" s="130">
        <f>IF('Données projet'!$A$114&gt;35,BY136+BX137-CG136,IF(A137&lt;'Données projet'!$A$114,$BV$205^A137,IF(A137='Données projet'!$A$114,'Données projet'!$B$114,BY136+BX137-CG136)))</f>
        <v>0</v>
      </c>
      <c r="BZ137" s="130">
        <f>BY137*VLOOKUP('Données projet'!$B$12,'Paramètres'!$A$1:$I$89,3,0)*VLOOKUP('Données projet'!$B$12,'Paramètres'!$A$1:$I$89,5,0)</f>
        <v>0</v>
      </c>
      <c r="CA137" s="130" t="str">
        <f t="shared" si="40"/>
        <v>#NUM!</v>
      </c>
      <c r="CB137" s="141" t="str">
        <f t="shared" si="11"/>
        <v>#NUM!</v>
      </c>
      <c r="CC137" s="133" t="str">
        <f t="shared" si="12"/>
        <v>#NUM!</v>
      </c>
      <c r="CD137" s="133">
        <f>AVERAGE(OFFSET($CC$3,0,0,'Données projet'!$E$12+1,1))-AVERAGE(OFFSET($H$3,0,0,'Données projet'!$E$12+1,1))</f>
        <v>258.1672054</v>
      </c>
      <c r="CE137" s="133">
        <f t="shared" si="41"/>
        <v>296.0724261</v>
      </c>
      <c r="CF137" s="134">
        <f>IF(ISNA(VLOOKUP(A137,'Données projet'!$A$113:$I$133,3,0)),0,VLOOKUP(A137,'Données projet'!$A$113:$I$133,3,0))</f>
        <v>0</v>
      </c>
      <c r="CG137" s="134">
        <f>IF(ISNA(VLOOKUP(A137,'Données projet'!$A$113:$I$133,4,0)),0,VLOOKUP(A137,'Données projet'!$A$113:$I$133,4,0))</f>
        <v>0</v>
      </c>
      <c r="CH137" s="135">
        <f>IF(ISNA(VLOOKUP(A137,'Données projet'!$A$113:$I$133,5,0)),0%,VLOOKUP(A137,'Données projet'!$A$113:$I$133,5,0)*VLOOKUP('Données projet'!$B$12,'Paramètres'!$A$1:$I$89,7,0))</f>
        <v>0</v>
      </c>
      <c r="CI137" s="135">
        <f>IF(ISNA(VLOOKUP(A137,'Données projet'!$A$113:$I$133,6,0)),0%,VLOOKUP(A137,'Données projet'!$A$113:$I$133,6,0)*VLOOKUP('Données projet'!$B$12,'Paramètres'!$A$1:$I$89,7,0))</f>
        <v>0</v>
      </c>
      <c r="CJ137" s="135">
        <f>IF(ISNA(VLOOKUP(A137,'Données projet'!$A$113:$I$133,7,0)),0%,VLOOKUP(A137,'Données projet'!$A$113:$I$133,7,0))</f>
        <v>0</v>
      </c>
      <c r="CK137" s="142">
        <f>EXP(-LN(2)/35)*CK136+(1-EXP(-LN(2)/35))/(LN(2)/35)*CG137*CH137*VLOOKUP('Données projet'!$B$12,'Paramètres'!$A$1:$I$89,3,0)*0.475*44/12</f>
        <v>59.63756797</v>
      </c>
      <c r="CL137" s="142">
        <f>EXP(-LN(2)/25)*CL136+(1-EXP(-LN(2)/25))/(LN(2)/25)*Calculateur!CG137*Calculateur!CI137*VLOOKUP('Données projet'!$B$12,'Paramètres'!$A$1:$I$89,3,0)*0.475*44/12</f>
        <v>5.080582187</v>
      </c>
      <c r="CM137" s="142">
        <f>EXP(-LN(2)/2)*CM136+(1-EXP(-LN(2)/2))/(LN(2)/2)*CG137*CJ137*VLOOKUP('Données projet'!$B$12,'Paramètres'!$A$1:$I$89,3,0)*0.475*44/12</f>
        <v>0.0000000001082473622</v>
      </c>
      <c r="CN137" s="143">
        <f t="shared" si="13"/>
        <v>64.71815015</v>
      </c>
      <c r="CO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1" t="str">
        <f>VLOOKUP(A137,'Données projet'!$A$139:$I$159,2,0)</f>
        <v>#N/A</v>
      </c>
      <c r="CR137" s="131" t="str">
        <f>VLOOKUP(A137,'Données projet'!$A$139:$I$159,9,0)</f>
        <v>#N/A</v>
      </c>
      <c r="CS137" s="130">
        <f t="array" ref="CS137">INDEX(CR:CR,MIN(IF(ISNUMBER(CR137:CR333),ROW(CR137:CR333),"")))</f>
        <v>0.8</v>
      </c>
      <c r="CT137" s="138">
        <f>IF('Données projet'!$A$140&gt;35,CT136+CS137-DB136,IF(A137&lt;'Données projet'!$A$140,$CQ$205^A137,IF(A137='Données projet'!$A$140,'Données projet'!$B$140,CT136+CS137-DB136)))</f>
        <v>213.2</v>
      </c>
      <c r="CU137" s="138">
        <f>CT137*VLOOKUP('Données projet'!$B$13,'Paramètres'!$A$1:$I$89,3,0)*VLOOKUP('Données projet'!$B$13,'Paramètres'!$A$1:$I$89,5,0)</f>
        <v>216.1848</v>
      </c>
      <c r="CV137" s="130">
        <f t="shared" si="42"/>
        <v>53.28482848</v>
      </c>
      <c r="CW137" s="141">
        <f t="shared" si="14"/>
        <v>469.3262696</v>
      </c>
      <c r="CX137" s="133">
        <f t="shared" si="15"/>
        <v>762.6596029</v>
      </c>
      <c r="CY137" s="133">
        <f>AVERAGE(OFFSET($CX$3,0,0,'Données projet'!$E$13+1,1))-AVERAGE(OFFSET($H$3,0,0,'Données projet'!$E$13+1,1))</f>
        <v>223.783507</v>
      </c>
      <c r="CZ137" s="133">
        <f t="shared" si="43"/>
        <v>84.92349117</v>
      </c>
      <c r="DA137" s="134">
        <f>IF(ISNA(VLOOKUP(A137,'Données projet'!$A$139:$I$159,3,0)),0,VLOOKUP(A137,'Données projet'!$A$139:$I$159,3,0))</f>
        <v>0</v>
      </c>
      <c r="DB137" s="134">
        <f>IF(ISNA(VLOOKUP(A137,'Données projet'!$A$139:$I$159,4,0)),0,VLOOKUP(A137,'Données projet'!$A$139:$I$159,4,0))</f>
        <v>0</v>
      </c>
      <c r="DC137" s="135">
        <f>IF(ISNA(VLOOKUP(A137,'Données projet'!$A$139:$I$159,5,0)),0%,VLOOKUP(A137,'Données projet'!$A$139:$I$159,5,0)*VLOOKUP('Données projet'!$B$13,'Paramètres'!$A$1:$I$89,7,0))</f>
        <v>0</v>
      </c>
      <c r="DD137" s="135">
        <f>IF(ISNA(VLOOKUP(A137,'Données projet'!$A$139:$I$159,6,0)),0%,VLOOKUP(A137,'Données projet'!$A$139:$I$159,6,0)*VLOOKUP('Données projet'!$B$13,'Paramètres'!$A$1:$I$89,7,0))</f>
        <v>0</v>
      </c>
      <c r="DE137" s="135">
        <f>IF(ISNA(VLOOKUP(A137,'Données projet'!$A$139:$I$159,7,0)),0%,VLOOKUP(A137,'Données projet'!$A$139:$I$159,7,0))</f>
        <v>0</v>
      </c>
      <c r="DF137" s="142">
        <f>EXP(-LN(2)/35)*DF136+(1-EXP(-LN(2)/35))/(LN(2)/35)*DB137*DC137*VLOOKUP('Données projet'!$B$13,'Paramètres'!$A$1:$I$89,3,0)*0.475*44/12</f>
        <v>20.46678009</v>
      </c>
      <c r="DG137" s="142">
        <f>EXP(-LN(2)/25)*DG136+(1-EXP(-LN(2)/25))/(LN(2)/25)*Calculateur!DB137*Calculateur!DD137*VLOOKUP('Données projet'!$B$13,'Paramètres'!$A$1:$I$89,3,0)*0.475*44/12</f>
        <v>0</v>
      </c>
      <c r="DH137" s="142">
        <f>EXP(-LN(2)/2)*DH136+(1-EXP(-LN(2)/2))/(LN(2)/2)*DB137*DE137*VLOOKUP('Données projet'!$B$13,'Paramètres'!$A$1:$I$89,3,0)*0.475*44/12</f>
        <v>0</v>
      </c>
      <c r="DI137" s="143">
        <f t="shared" si="16"/>
        <v>20.46678009</v>
      </c>
      <c r="DJ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1" t="str">
        <f>VLOOKUP(A137,'Données projet'!$A$165:$I$185,2,0)</f>
        <v>#N/A</v>
      </c>
      <c r="DM137" s="131" t="str">
        <f>VLOOKUP(A137,'Données projet'!$A$165:$I$185,9,0)</f>
        <v>#N/A</v>
      </c>
      <c r="DN137" s="131">
        <f t="array" ref="DN137">INDEX(DM:DM,MIN(IF(ISNUMBER(DM137:DM333),ROW(DM137:DM333),"")))</f>
        <v>0.55</v>
      </c>
      <c r="DO137" s="138">
        <f>IF('Données projet'!$A$166&gt;35,DO136+DN137-DW136,IF(A137&lt;'Données projet'!$A$166,$DL$205^A137,IF(A137='Données projet'!$A$166,'Données projet'!$B$166,DO136+DN137-DW136)))</f>
        <v>271.2</v>
      </c>
      <c r="DP137" s="138">
        <f>DO137*VLOOKUP('Données projet'!$B$14,'Paramètres'!$A$1:$I$89,3,0)*VLOOKUP('Données projet'!$B$14,'Paramètres'!$A$1:$I$89,5,0)</f>
        <v>245.38176</v>
      </c>
      <c r="DQ137" s="130">
        <f t="shared" si="44"/>
        <v>59.59594366</v>
      </c>
      <c r="DR137" s="141">
        <f t="shared" si="17"/>
        <v>531.1695005</v>
      </c>
      <c r="DS137" s="133">
        <f t="shared" si="18"/>
        <v>824.5028339</v>
      </c>
      <c r="DT137" s="133">
        <f>AVERAGE(OFFSET($DS$3,0,0,'Données projet'!$E$14+1,1))-AVERAGE(OFFSET($H$3,0,0,'Données projet'!$E$14+1,1))</f>
        <v>287.9334714</v>
      </c>
      <c r="DU137" s="133">
        <f t="shared" si="45"/>
        <v>156.6796502</v>
      </c>
      <c r="DV137" s="134">
        <f>IF(ISNA(VLOOKUP(A137,'Données projet'!$A$165:$I$185,3,0)),0,VLOOKUP(A137,'Données projet'!$A$165:$I$185,3,0))</f>
        <v>0</v>
      </c>
      <c r="DW137" s="134">
        <f>IF(ISNA(VLOOKUP(A137,'Données projet'!$A$165:$I$185,4,0)),0,VLOOKUP(A137,'Données projet'!$A$165:$I$185,4,0))</f>
        <v>0</v>
      </c>
      <c r="DX137" s="135">
        <f>IF(ISNA(VLOOKUP(A137,'Données projet'!$A$165:$I$185,5,0)),0%,VLOOKUP(A137,'Données projet'!$A$165:$I$185,5,0)*VLOOKUP('Données projet'!$B$14,'Paramètres'!$A$1:$I$89,7,0))</f>
        <v>0</v>
      </c>
      <c r="DY137" s="135">
        <f>IF(ISNA(VLOOKUP(A137,'Données projet'!$A$165:$I$185,6,0)),0%,VLOOKUP(A137,'Données projet'!$A$165:$I$185,6,0)*VLOOKUP('Données projet'!$B$14,'Paramètres'!$A$1:$I$89,7,0))</f>
        <v>0</v>
      </c>
      <c r="DZ137" s="135">
        <f>IF(ISNA(VLOOKUP(A137,'Données projet'!$A$165:$I$185,7,0)),0%,VLOOKUP(A137,'Données projet'!$A$165:$I$185,7,0))</f>
        <v>0</v>
      </c>
      <c r="EA137" s="142">
        <f>EXP(-LN(2)/35)*EA136+(1-EXP(-LN(2)/35))/(LN(2)/35)*DW137*DX137*VLOOKUP('Données projet'!$B$14,'Paramètres'!$A$1:$I$89,3,0)*0.475*44/12</f>
        <v>29.15033688</v>
      </c>
      <c r="EB137" s="142">
        <f>EXP(-LN(2)/25)*EB136+(1-EXP(-LN(2)/25))/(LN(2)/25)*Calculateur!DW137*Calculateur!DY137*VLOOKUP('Données projet'!$B$14,'Paramètres'!$A$1:$I$89,3,0)*0.475*44/12</f>
        <v>0</v>
      </c>
      <c r="EC137" s="142">
        <f>EXP(-LN(2)/2)*EC136+(1-EXP(-LN(2)/2))/(LN(2)/2)*DW137*DZ137*VLOOKUP('Données projet'!$B$14,'Paramètres'!$A$1:$I$89,3,0)*0.475*44/12</f>
        <v>0</v>
      </c>
      <c r="ED137" s="143">
        <f t="shared" si="19"/>
        <v>29.15033688</v>
      </c>
      <c r="EE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1" t="str">
        <f>VLOOKUP(A137,'Données projet'!$A$191:$I$211,2,0)</f>
        <v>#N/A</v>
      </c>
      <c r="EH137" s="131" t="str">
        <f>VLOOKUP(A137,'Données projet'!$A$191:$I$211,9,0)</f>
        <v>#N/A</v>
      </c>
      <c r="EI137" s="131" t="str">
        <f t="array" ref="EI137">INDEX(EH:EH,MIN(IF(ISNUMBER(EH137:EH333),ROW(EH137:EH333),"")))</f>
        <v/>
      </c>
      <c r="EJ137" s="138">
        <f>IF('Données projet'!$A$192&gt;35,EJ136+EI137-ER136,IF(A137&lt;'Données projet'!$A$192,$EG$205^A137,IF(A137='Données projet'!$A$192,'Données projet'!$B$192,EJ136+EI137-ER136)))</f>
        <v>0</v>
      </c>
      <c r="EK137" s="138">
        <f>EJ137*VLOOKUP('Données projet'!$B$15,'Paramètres'!$A$1:$I$89,3,0)*VLOOKUP('Données projet'!$B$15,'Paramètres'!$A$1:$I$89,5,0)</f>
        <v>0</v>
      </c>
      <c r="EL137" s="130" t="str">
        <f t="shared" si="46"/>
        <v>#NUM!</v>
      </c>
      <c r="EM137" s="141" t="str">
        <f t="shared" si="20"/>
        <v>#NUM!</v>
      </c>
      <c r="EN137" s="133" t="str">
        <f t="shared" si="21"/>
        <v>#NUM!</v>
      </c>
      <c r="EO137" s="133">
        <f>AVERAGE(OFFSET($EN$3,0,0,'Données projet'!$E$15+1,1))-AVERAGE(OFFSET($H$3,0,0,'Données projet'!$E$15+1,1))</f>
        <v>130.3193339</v>
      </c>
      <c r="EP137" s="133">
        <f t="shared" si="47"/>
        <v>82.22784365</v>
      </c>
      <c r="EQ137" s="134">
        <f>IF(ISNA(VLOOKUP(A137,'Données projet'!$A$191:$I$211,3,0)),0,VLOOKUP(A137,'Données projet'!$A$191:$I$211,3,0))</f>
        <v>0</v>
      </c>
      <c r="ER137" s="134">
        <f>IF(ISNA(VLOOKUP(A137,'Données projet'!$A$191:$I$211,4,0)),0,VLOOKUP(A137,'Données projet'!$A$191:$I$211,4,0))</f>
        <v>0</v>
      </c>
      <c r="ES137" s="135">
        <f>IF(ISNA(VLOOKUP(A137,'Données projet'!$A$191:$I$211,5,0)),0%,VLOOKUP(A137,'Données projet'!$A$191:$I$211,5,0)*VLOOKUP('Données projet'!$B$15,'Paramètres'!$A$1:$I$89,7,0))</f>
        <v>0</v>
      </c>
      <c r="ET137" s="135">
        <f>IF(ISNA(VLOOKUP(A137,'Données projet'!$A$191:$I$211,6,0)),0%,VLOOKUP(A137,'Données projet'!$A$191:$I$211,6,0)*VLOOKUP('Données projet'!$B$15,'Paramètres'!$A$1:$I$89,7,0))</f>
        <v>0</v>
      </c>
      <c r="EU137" s="135">
        <f>IF(ISNA(VLOOKUP(A137,'Données projet'!$A$191:$I$211,7,0)),0%,VLOOKUP(A137,'Données projet'!$A$191:$I$211,7,0))</f>
        <v>0</v>
      </c>
      <c r="EV137" s="142">
        <f>EXP(-LN(2)/35)*EV136+(1-EXP(-LN(2)/35))/(LN(2)/35)*ER137*ES137*VLOOKUP('Données projet'!$B$15,'Paramètres'!$A$1:$I$89,3,0)*0.475*44/12</f>
        <v>36.46713907</v>
      </c>
      <c r="EW137" s="142">
        <f>EXP(-LN(2)/25)*EW136+(1-EXP(-LN(2)/25))/(LN(2)/25)*Calculateur!ER137*Calculateur!ET137*VLOOKUP('Données projet'!$B$15,'Paramètres'!$A$1:$I$89,3,0)*0.475*44/12</f>
        <v>0</v>
      </c>
      <c r="EX137" s="142">
        <f>EXP(-LN(2)/2)*EX136+(1-EXP(-LN(2)/2))/(LN(2)/2)*ER137*EU137*VLOOKUP('Données projet'!$B$15,'Paramètres'!$A$1:$I$89,3,0)*0.475*44/12</f>
        <v>0</v>
      </c>
      <c r="EY137" s="143">
        <f t="shared" si="22"/>
        <v>36.46713907</v>
      </c>
      <c r="EZ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1" t="str">
        <f>VLOOKUP(A137,'Données projet'!$A$217:$I$237,2,0)</f>
        <v>#N/A</v>
      </c>
      <c r="FC137" s="131" t="str">
        <f>VLOOKUP(A137,'Données projet'!$A$217:$I$237,9,0)</f>
        <v>#N/A</v>
      </c>
      <c r="FD137" s="131" t="str">
        <f t="array" ref="FD137">INDEX(FC:FC,MIN(IF(ISNUMBER(FC137:FC333),ROW(FC137:FC333),"")))</f>
        <v/>
      </c>
      <c r="FE137" s="130">
        <f>IF('Données projet'!$A$218&gt;35,FE136+FD137-FM136,IF(A137&lt;'Données projet'!$A$218,$FB$205^A137,IF(A137='Données projet'!$A$218,'Données projet'!$B$218,FE136+FD137-FM136)))</f>
        <v>0</v>
      </c>
      <c r="FF137" s="138">
        <f>FE137*VLOOKUP('Données projet'!$B$16,'Paramètres'!$A$1:$I$89,3,0)*VLOOKUP('Données projet'!$B$16,'Paramètres'!$A$1:$I$89,5,0)</f>
        <v>0</v>
      </c>
      <c r="FG137" s="130">
        <f t="shared" si="48"/>
        <v>0</v>
      </c>
      <c r="FH137" s="141">
        <f t="shared" si="23"/>
        <v>0</v>
      </c>
      <c r="FI137" s="133">
        <f t="shared" si="24"/>
        <v>293.3333333</v>
      </c>
      <c r="FJ137" s="133">
        <f>AVERAGE(OFFSET($FI$3,0,0,'Données projet'!$E$16+1,1))-AVERAGE(OFFSET($H$3,0,0,'Données projet'!$E$16+1,1))</f>
        <v>305.6252353</v>
      </c>
      <c r="FK137" s="133">
        <f t="shared" si="49"/>
        <v>331.397916</v>
      </c>
      <c r="FL137" s="134">
        <f>IF(ISNA(VLOOKUP(A137,'Données projet'!$A$217:$I$237,3,0)),0,VLOOKUP(A137,'Données projet'!$A$217:$I$237,3,0))</f>
        <v>0</v>
      </c>
      <c r="FM137" s="134">
        <f>IF(ISNA(VLOOKUP(A137,'Données projet'!$A$217:$I$237,4,0)),0,VLOOKUP(A137,'Données projet'!$A$217:$I$237,4,0))</f>
        <v>0</v>
      </c>
      <c r="FN137" s="135">
        <f>IF(ISNA(VLOOKUP(A137,'Données projet'!$A$217:$I$237,5,0)),0%,VLOOKUP(A137,'Données projet'!$A$217:$I$237,5,0)*VLOOKUP('Données projet'!$B$16,'Paramètres'!$A$1:$I$89,7,0))</f>
        <v>0</v>
      </c>
      <c r="FO137" s="135">
        <f>IF(ISNA(VLOOKUP(A137,'Données projet'!$A$217:$I$237,6,0)),0%,VLOOKUP(A137,'Données projet'!$A$217:$I$237,6,0)*VLOOKUP('Données projet'!$B$16,'Paramètres'!$A$1:$I$89,7,0))</f>
        <v>0</v>
      </c>
      <c r="FP137" s="135">
        <f>IF(ISNA(VLOOKUP(A137,'Données projet'!$A$217:$I$237,7,0)),0%,VLOOKUP(A137,'Données projet'!$A$217:$I$237,7,0))</f>
        <v>0</v>
      </c>
      <c r="FQ137" s="142">
        <f>EXP(-LN(2)/35)*FQ136+(1-EXP(-LN(2)/35))/(LN(2)/35)*FM137*FN137*VLOOKUP('Données projet'!$B$16,'Paramètres'!$A$1:$I$89,3,0)*0.475*44/12</f>
        <v>22.70553062</v>
      </c>
      <c r="FR137" s="142">
        <f>EXP(-LN(2)/25)*FR136+(1-EXP(-LN(2)/25))/(LN(2)/25)*Calculateur!FM137*Calculateur!FO137*VLOOKUP('Données projet'!$B$16,'Paramètres'!$A$1:$I$89,3,0)*0.475*44/12</f>
        <v>0</v>
      </c>
      <c r="FS137" s="142">
        <f>EXP(-LN(2)/2)*FS136+(1-EXP(-LN(2)/2))/(LN(2)/2)*FM137*FP137*VLOOKUP('Données projet'!$B$16,'Paramètres'!$A$1:$I$89,3,0)*0.475*44/12</f>
        <v>0</v>
      </c>
      <c r="FT137" s="143">
        <f t="shared" si="25"/>
        <v>22.70553062</v>
      </c>
      <c r="FU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1" t="str">
        <f>VLOOKUP(A137,'Données projet'!$A$243:$I$263,2,0)</f>
        <v>#N/A</v>
      </c>
      <c r="FX137" s="131" t="str">
        <f>VLOOKUP(A137,'Données projet'!$A$243:$I$263,9,0)</f>
        <v>#N/A</v>
      </c>
      <c r="FY137" s="131" t="str">
        <f t="array" ref="FY137">INDEX(FX:FX,MIN(IF(ISNUMBER(FX137:FX333),ROW(FX137:FX333),"")))</f>
        <v/>
      </c>
      <c r="FZ137" s="138">
        <f>IF('Données projet'!$A$244&gt;35,FZ136+FY137-GH136,IF(A137&lt;'Données projet'!$A$244,$FW$205^A137,IF(A137='Données projet'!$A$244,'Données projet'!$B$244,FZ136+FY137-GH136)))</f>
        <v>0</v>
      </c>
      <c r="GA137" s="138">
        <f>FZ137*VLOOKUP('Données projet'!$B$17,'Paramètres'!$A$1:$I$89,3,0)*VLOOKUP('Données projet'!$B$17,'Paramètres'!$A$1:$I$89,5,0)</f>
        <v>0</v>
      </c>
      <c r="GB137" s="130">
        <f t="shared" si="50"/>
        <v>0</v>
      </c>
      <c r="GC137" s="141">
        <f t="shared" si="26"/>
        <v>0</v>
      </c>
      <c r="GD137" s="133">
        <f t="shared" si="27"/>
        <v>293.3333333</v>
      </c>
      <c r="GE137" s="133">
        <f>AVERAGE(OFFSET($GD$3,0,0,'Données projet'!$E$17+1,1))-AVERAGE(OFFSET($H$3,0,0,'Données projet'!$E$17+1,1))</f>
        <v>118.7368745</v>
      </c>
      <c r="GF137" s="133">
        <f t="shared" si="51"/>
        <v>135.1233677</v>
      </c>
      <c r="GG137" s="134">
        <f>IF(ISNA(VLOOKUP(A137,'Données projet'!$A$243:$I$263,3,0)),0,VLOOKUP(A137,'Données projet'!$A$243:$I$263,3,0))</f>
        <v>0</v>
      </c>
      <c r="GH137" s="134">
        <f>IF(ISNA(VLOOKUP(A137,'Données projet'!$A$243:$I$263,4,0)),0,VLOOKUP(A137,'Données projet'!$A$243:$I$263,4,0))</f>
        <v>0</v>
      </c>
      <c r="GI137" s="135">
        <f>IF(ISNA(VLOOKUP(A137,'Données projet'!$A$243:$I$263,5,0)),0%,VLOOKUP(A137,'Données projet'!$A$243:$I$263,5,0)*VLOOKUP('Données projet'!$B$17,'Paramètres'!$A$1:$I$89,7,0))</f>
        <v>0</v>
      </c>
      <c r="GJ137" s="135">
        <f>IF(ISNA(VLOOKUP(A137,'Données projet'!$A$243:$I$263,6,0)),0%,VLOOKUP(A137,'Données projet'!$A$243:$I$263,6,0)*VLOOKUP('Données projet'!$B$17,'Paramètres'!$A$1:$I$89,7,0))</f>
        <v>0</v>
      </c>
      <c r="GK137" s="135">
        <f>IF(ISNA(VLOOKUP(A137,'Données projet'!$A$243:$I$263,7,0)),0%,VLOOKUP(A137,'Données projet'!$A$243:$I$263,7,0))</f>
        <v>0</v>
      </c>
      <c r="GL137" s="142">
        <f>EXP(-LN(2)/35)*GL136+(1-EXP(-LN(2)/35))/(LN(2)/35)*GH137*GI137*VLOOKUP('Données projet'!$B$17,'Paramètres'!$A$1:$I$89,3,0)*0.475*44/12</f>
        <v>23.98832288</v>
      </c>
      <c r="GM137" s="142">
        <f>EXP(-LN(2)/25)*GM136+(1-EXP(-LN(2)/25))/(LN(2)/25)*Calculateur!GH137*Calculateur!GJ137*VLOOKUP('Données projet'!$B$17,'Paramètres'!$A$1:$I$89,3,0)*0.475*44/12</f>
        <v>0</v>
      </c>
      <c r="GN137" s="142">
        <f>EXP(-LN(2)/2)*GN136+(1-EXP(-LN(2)/2))/(LN(2)/2)*GH137*GK137*VLOOKUP('Données projet'!$B$17,'Paramètres'!$A$1:$I$89,3,0)*0.475*44/12</f>
        <v>0</v>
      </c>
      <c r="GO137" s="142">
        <f t="shared" si="28"/>
        <v>23.98832288</v>
      </c>
      <c r="GP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1" t="str">
        <f>VLOOKUP(A137,'Données projet'!$A$269:$I$289,2,0)</f>
        <v>#N/A</v>
      </c>
      <c r="GS137" s="131" t="str">
        <f>VLOOKUP(A137,'Données projet'!$A$269:$I$289,9,0)</f>
        <v>#N/A</v>
      </c>
      <c r="GT137" s="131" t="str">
        <f t="array" ref="GT137">INDEX(GS:GS,MIN(IF(ISNUMBER(GS137:GS333),ROW(GS137:GS333),"")))</f>
        <v/>
      </c>
      <c r="GU137" s="138">
        <f>IF('Données projet'!$A$270&gt;35,GU136+GT137-HC136,IF(A137&lt;'Données projet'!$A$270,$GR$205^A137,IF(A137='Données projet'!$A$270,'Données projet'!$B$270,GU136+GT137-HC136)))</f>
        <v>0</v>
      </c>
      <c r="GV137" s="138">
        <f>GU137*VLOOKUP('Données projet'!$B$18,'Paramètres'!$A$1:$I$89,3,0)*VLOOKUP('Données projet'!$B$18,'Paramètres'!$A$1:$I$89,5,0)</f>
        <v>0</v>
      </c>
      <c r="GW137" s="130" t="str">
        <f t="shared" si="52"/>
        <v>#NUM!</v>
      </c>
      <c r="GX137" s="141" t="str">
        <f t="shared" si="29"/>
        <v>#NUM!</v>
      </c>
      <c r="GY137" s="133" t="str">
        <f t="shared" si="30"/>
        <v>#NUM!</v>
      </c>
      <c r="GZ137" s="133">
        <f>AVERAGE(OFFSET($GY$3,0,0,'Données projet'!$E$18+1,1))-AVERAGE(OFFSET($H$3,0,0,'Données projet'!$E$18+1,1))</f>
        <v>100.5427875</v>
      </c>
      <c r="HA137" s="133">
        <f t="shared" si="53"/>
        <v>92.28663609</v>
      </c>
      <c r="HB137" s="134">
        <f>IF(ISNA(VLOOKUP(A137,'Données projet'!$A$269:$I$289,3,0)),0,VLOOKUP(A137,'Données projet'!$A$269:$I$289,3,0))</f>
        <v>0</v>
      </c>
      <c r="HC137" s="134">
        <f>IF(ISNA(VLOOKUP(A137,'Données projet'!$A$269:$I$289,4,0)),0,VLOOKUP(A137,'Données projet'!$A$269:$I$289,4,0))</f>
        <v>0</v>
      </c>
      <c r="HD137" s="135">
        <f>IF(ISNA(VLOOKUP(A137,'Données projet'!$A$269:$I$289,5,0)),0%,VLOOKUP(A137,'Données projet'!$A$269:$I$289,5,0)*VLOOKUP('Données projet'!$B$18,'Paramètres'!$A$1:$I$89,7,0))</f>
        <v>0</v>
      </c>
      <c r="HE137" s="135">
        <f>IF(ISNA(VLOOKUP(A137,'Données projet'!$A$269:$I$289,6,0)),0%,VLOOKUP(A137,'Données projet'!$A$269:$I$289,6,0)*VLOOKUP('Données projet'!$B$18,'Paramètres'!$A$1:$I$89,7,0))</f>
        <v>0</v>
      </c>
      <c r="HF137" s="135">
        <f>IF(ISNA(VLOOKUP(A137,'Données projet'!$A$269:$I$289,7,0)),0%,VLOOKUP(A137,'Données projet'!$A$269:$I$289,7,0))</f>
        <v>0</v>
      </c>
      <c r="HG137" s="142">
        <f>EXP(-LN(2)/35)*HG136+(1-EXP(-LN(2)/35))/(LN(2)/35)*HC137*HD137*VLOOKUP('Données projet'!$B$18,'Paramètres'!$A$1:$I$89,3,0)*0.475*44/12</f>
        <v>16.33554182</v>
      </c>
      <c r="HH137" s="142">
        <f>EXP(-LN(2)/25)*HH136+(1-EXP(-LN(2)/25))/(LN(2)/25)*Calculateur!HC137*Calculateur!HE137*VLOOKUP('Données projet'!$B$18,'Paramètres'!$A$1:$I$89,3,0)*0.475*44/12</f>
        <v>0</v>
      </c>
      <c r="HI137" s="142">
        <f>EXP(-LN(2)/2)*HI136+(1-EXP(-LN(2)/2))/(LN(2)/2)*HC137*HF137*VLOOKUP('Données projet'!$B$18,'Paramètres'!$A$1:$I$89,3,0)*0.475*44/12</f>
        <v>0</v>
      </c>
      <c r="HJ137" s="143">
        <f t="shared" si="31"/>
        <v>16.33554182</v>
      </c>
    </row>
    <row r="138" ht="15.75" customHeight="1">
      <c r="A138" s="125">
        <f t="shared" si="32"/>
        <v>135</v>
      </c>
      <c r="B138" s="126">
        <f>'Scénario référence'!$B$16*5+'Scénario référence'!$B$17*0+'Scénario référence'!$B$18*5</f>
        <v>0</v>
      </c>
      <c r="C138" s="140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73.71</v>
      </c>
      <c r="D138" s="127">
        <f t="shared" si="33"/>
        <v>20.59199394</v>
      </c>
      <c r="E13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7">
        <f>IF(OR('Scénario référence'!$F$8&gt;0,'Scénario référence'!$F$9&gt;0),('Scénario référence'!$F$8+'Scénario référence'!$F$9)*10,0)</f>
        <v>10</v>
      </c>
      <c r="G138" s="127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727.9452164</v>
      </c>
      <c r="H138" s="128">
        <f t="shared" si="1"/>
        <v>457.5759728</v>
      </c>
      <c r="I138" s="12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1" t="str">
        <f>VLOOKUP(A138,'Données projet'!$A$35:$I$55,2,0)</f>
        <v>#N/A</v>
      </c>
      <c r="L138" s="131" t="str">
        <f>VLOOKUP(A138,'Données projet'!$A$35:$I$55,9,0)</f>
        <v>#N/A</v>
      </c>
      <c r="M138" s="131" t="str">
        <f t="array" ref="M138">INDEX(L:L,MIN(IF(ISNUMBER(L138:L334),ROW(L138:L334),"")))</f>
        <v/>
      </c>
      <c r="N138" s="130">
        <f>IF('Données projet'!$A$36&gt;35,N137+M138-V137,IF(A138&lt;'Données projet'!$A$36,$K$205^A138,IF(A138='Données projet'!$A$36,'Données projet'!$B$36,N137+M138-V137)))</f>
        <v>0</v>
      </c>
      <c r="O138" s="130">
        <f>N138*VLOOKUP('Données projet'!$B$9,'Paramètres'!$A$1:$I$89,3,0)*VLOOKUP('Données projet'!$B$9,'Paramètres'!$A$1:$I$89,5,0)</f>
        <v>0</v>
      </c>
      <c r="P138" s="130">
        <f t="shared" si="34"/>
        <v>0</v>
      </c>
      <c r="Q138" s="141">
        <f t="shared" si="2"/>
        <v>0</v>
      </c>
      <c r="R138" s="133">
        <f t="shared" si="3"/>
        <v>293.3333333</v>
      </c>
      <c r="S138" s="133">
        <f>AVERAGE(OFFSET($R$3,0,0,'Données projet'!$E$9+1,1))-AVERAGE(OFFSET($H$3,0,0,'Données projet'!$E$9+1,1))</f>
        <v>126.9946492</v>
      </c>
      <c r="T138" s="133">
        <f t="shared" si="35"/>
        <v>140.039049</v>
      </c>
      <c r="U138" s="134">
        <f>IF(ISNA(VLOOKUP(A138,'Données projet'!$A$35:$I$55,3,0)),0,VLOOKUP(A138,'Données projet'!$A$35:$I$55,3,0))</f>
        <v>0</v>
      </c>
      <c r="V138" s="134">
        <f>IF(ISNA(VLOOKUP(A138,'Données projet'!$A$35:$I$55,4,0)),0,VLOOKUP(A138,'Données projet'!$A$35:$I$55,4,0))</f>
        <v>0</v>
      </c>
      <c r="W138" s="135">
        <f>IF(ISNA(VLOOKUP(A138,'Données projet'!$A$35:$I$55,5,0)),0%,VLOOKUP(A138,'Données projet'!$A$35:$I$55,5,0)*VLOOKUP('Données projet'!$B$9,'Paramètres'!$A$1:$I$89,7,0))</f>
        <v>0</v>
      </c>
      <c r="X138" s="135">
        <f>IF(ISNA(VLOOKUP(A138,'Données projet'!$A$35:$I$55,6,0)),0%,VLOOKUP(A138,'Données projet'!$A$35:$I$55,6,0)*VLOOKUP('Données projet'!$B$9,'Paramètres'!$A$1:$I$89,7,0))</f>
        <v>0</v>
      </c>
      <c r="Y138" s="135">
        <f>IF(ISNA(VLOOKUP(A138,'Données projet'!$A$35:$I$55,7,0)),0%,VLOOKUP(A138,'Données projet'!$A$35:$I$55,7,0))</f>
        <v>0</v>
      </c>
      <c r="Z138" s="142">
        <f>EXP(-LN(2)/35)*Z137+(1-EXP(-LN(2)/35))/(LN(2)/35)*V138*W138*VLOOKUP('Données projet'!$B$9,'Paramètres'!$A$1:$I$89,3,0)*0.475*44/12</f>
        <v>24.05360364</v>
      </c>
      <c r="AA138" s="142">
        <f>EXP(-LN(2)/25)*AA137+(1-EXP(-LN(2)/25))/(LN(2)/25)*Calculateur!V138*Calculateur!X138*VLOOKUP('Données projet'!$B$9,'Paramètres'!$A$1:$I$89,3,0)*0.475*44/12</f>
        <v>2.904830924</v>
      </c>
      <c r="AB138" s="142">
        <f>EXP(-LN(2)/2)*AB137+(1-EXP(-LN(2)/2))/(LN(2)/2)*V138*Y138*VLOOKUP('Données projet'!$B$9,'Paramètres'!$A$1:$I$89,3,0)*0.475*44/12</f>
        <v>0</v>
      </c>
      <c r="AC138" s="143">
        <f t="shared" si="4"/>
        <v>26.95843456</v>
      </c>
      <c r="AD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1" t="str">
        <f>VLOOKUP(A138,'Données projet'!$A$61:$I$81,2,0)</f>
        <v>#N/A</v>
      </c>
      <c r="AG138" s="131" t="str">
        <f>VLOOKUP(A138,'Données projet'!$A$61:$I$81,9,0)</f>
        <v>#N/A</v>
      </c>
      <c r="AH138" s="131" t="str">
        <f t="array" ref="AH138">INDEX(AG:AG,MIN(IF(ISNUMBER(AG138:AG334),ROW(AG138:AG334),"")))</f>
        <v/>
      </c>
      <c r="AI138" s="130">
        <f>IF('Données projet'!$A$62&gt;35,AI137+AH138-AQ137,IF(A138&lt;'Données projet'!$A$62,$AF$205^A138,IF(A138='Données projet'!$A$62,'Données projet'!$B$62,AI137+AH138-AQ137)))</f>
        <v>0</v>
      </c>
      <c r="AJ138" s="130">
        <f>AI138*VLOOKUP('Données projet'!$B$10,'Paramètres'!$A$1:$I$89,3,0)*VLOOKUP('Données projet'!$B$10,'Paramètres'!$A$1:$I$89,5,0)</f>
        <v>0</v>
      </c>
      <c r="AK138" s="130" t="str">
        <f t="shared" si="36"/>
        <v>#NUM!</v>
      </c>
      <c r="AL138" s="141" t="str">
        <f t="shared" si="5"/>
        <v>#NUM!</v>
      </c>
      <c r="AM138" s="133" t="str">
        <f t="shared" si="6"/>
        <v>#NUM!</v>
      </c>
      <c r="AN138" s="133">
        <f>AVERAGE(OFFSET($AM$3,0,0,'Données projet'!$E$10+1,1))-AVERAGE(OFFSET($H$3,0,0,'Données projet'!$E$10+1,1))</f>
        <v>196.874484</v>
      </c>
      <c r="AO138" s="133">
        <f t="shared" si="37"/>
        <v>217.5750859</v>
      </c>
      <c r="AP138" s="134">
        <f>IF(ISNA(VLOOKUP(A138,'Données projet'!$A$61:$I$81,3,0)),0,VLOOKUP(A138,'Données projet'!$A$61:$I$81,3,0))</f>
        <v>0</v>
      </c>
      <c r="AQ138" s="134">
        <f>IF(ISNA(VLOOKUP(A138,'Données projet'!$A$61:$I$81,4,0)),0,VLOOKUP(A138,'Données projet'!$A$61:$I$81,4,0))</f>
        <v>0</v>
      </c>
      <c r="AR138" s="135">
        <f>IF(ISNA(VLOOKUP(A138,'Données projet'!$A$61:$I$81,5,0)),0%,VLOOKUP(A138,'Données projet'!$A$61:$I$81,5,0)*VLOOKUP('Données projet'!$B$10,'Paramètres'!$A$1:$I$89,7,0))</f>
        <v>0</v>
      </c>
      <c r="AS138" s="135">
        <f>IF(ISNA(VLOOKUP(A138,'Données projet'!$A$61:$I$81,6,0)),0%,VLOOKUP(A138,'Données projet'!$A$61:$I$81,6,0)*VLOOKUP('Données projet'!$B$10,'Paramètres'!$A$1:$I$89,7,0))</f>
        <v>0</v>
      </c>
      <c r="AT138" s="135">
        <f>IF(ISNA(VLOOKUP(A138,'Données projet'!$A$61:$I$81,7,0)),0%,VLOOKUP(A138,'Données projet'!$A$61:$I$81,7,0))</f>
        <v>0</v>
      </c>
      <c r="AU138" s="142">
        <f>EXP(-LN(2)/35)*AU137+(1-EXP(-LN(2)/35))/(LN(2)/35)*AQ138*AR138*VLOOKUP('Données projet'!$B$10,'Paramètres'!$A$1:$I$89,3,0)*0.475*44/12</f>
        <v>33.43382584</v>
      </c>
      <c r="AV138" s="142">
        <f>EXP(-LN(2)/25)*AV137+(1-EXP(-LN(2)/25))/(LN(2)/25)*Calculateur!AQ138*Calculateur!AS138*VLOOKUP('Données projet'!$B$10,'Paramètres'!$A$1:$I$89,3,0)*0.475*44/12</f>
        <v>4.466181427</v>
      </c>
      <c r="AW138" s="142">
        <f>EXP(-LN(2)/2)*AW137+(1-EXP(-LN(2)/2))/(LN(2)/2)*AQ138*AT138*VLOOKUP('Données projet'!$B$10,'Paramètres'!$A$1:$I$89,3,0)*0.475*44/12</f>
        <v>0.0000000001362115475</v>
      </c>
      <c r="AX138" s="142">
        <f t="shared" si="7"/>
        <v>37.90000727</v>
      </c>
      <c r="AY138" s="13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1" t="str">
        <f>VLOOKUP(A138,'Données projet'!$A$87:$I$107,2,0)</f>
        <v>#N/A</v>
      </c>
      <c r="BB138" s="131" t="str">
        <f>VLOOKUP(A138,'Données projet'!$A$87:$I$107,9,0)</f>
        <v>#N/A</v>
      </c>
      <c r="BC138" s="131" t="str">
        <f t="array" ref="BC138">INDEX(BB:BB,MIN(IF(ISNUMBER(BB138:BB334),ROW(BB138:BB334),"")))</f>
        <v/>
      </c>
      <c r="BD138" s="130">
        <f>IF('Données projet'!$A$88&gt;35,BD137+BC138-BL137,IF(A138&lt;'Données projet'!$A$88,$BA$205^A138,IF(A138='Données projet'!$A$88,'Données projet'!$B$88,BD137+BC138-BL137)))</f>
        <v>0</v>
      </c>
      <c r="BE138" s="130">
        <f>BD138*VLOOKUP('Données projet'!$B$11,'Paramètres'!$A$1:$I$89,3,0)*VLOOKUP('Données projet'!$B$11,'Paramètres'!$A$1:$I$89,5,0)</f>
        <v>0</v>
      </c>
      <c r="BF138" s="130" t="str">
        <f t="shared" si="38"/>
        <v>#NUM!</v>
      </c>
      <c r="BG138" s="141" t="str">
        <f t="shared" si="8"/>
        <v>#NUM!</v>
      </c>
      <c r="BH138" s="133" t="str">
        <f t="shared" si="9"/>
        <v>#NUM!</v>
      </c>
      <c r="BI138" s="133">
        <f>AVERAGE(OFFSET($BH$3,0,0,'Données projet'!$E$11+1,1))-AVERAGE(OFFSET($H$3,0,0,'Données projet'!$E$11+1,1))</f>
        <v>134.0948534</v>
      </c>
      <c r="BJ138" s="133">
        <f t="shared" si="39"/>
        <v>108.4102536</v>
      </c>
      <c r="BK138" s="134">
        <f>IF(ISNA(VLOOKUP(A138,'Données projet'!$A$87:$I$107,3,0)),0,VLOOKUP(A138,'Données projet'!$A$87:$I$107,3,0))</f>
        <v>0</v>
      </c>
      <c r="BL138" s="134">
        <f>IF(ISNA(VLOOKUP(A138,'Données projet'!$A$87:$I$107,4,0)),0,VLOOKUP(A138,'Données projet'!$A$87:$I$107,4,0))</f>
        <v>0</v>
      </c>
      <c r="BM138" s="135">
        <f>IF(ISNA(VLOOKUP(A138,'Données projet'!$A$87:$I$107,5,0)),0%,VLOOKUP(A138,'Données projet'!$A$87:$I$107,5,0)*VLOOKUP('Données projet'!$B$11,'Paramètres'!$A$1:$I$89,7,0))</f>
        <v>0</v>
      </c>
      <c r="BN138" s="135">
        <f>IF(ISNA(VLOOKUP(A138,'Données projet'!$A$87:$I$107,6,0)),0%,VLOOKUP(A138,'Données projet'!$A$87:$I$107,6,0)*VLOOKUP('Données projet'!$B$11,'Paramètres'!$A$1:$I$89,7,0))</f>
        <v>0</v>
      </c>
      <c r="BO138" s="135">
        <f>IF(ISNA(VLOOKUP(A138,'Données projet'!$A$87:$I$107,7,0)),0%,VLOOKUP(A138,'Données projet'!$A$87:$I$107,7,0))</f>
        <v>0</v>
      </c>
      <c r="BP138" s="142">
        <f>EXP(-LN(2)/35)*BP137+(1-EXP(-LN(2)/35))/(LN(2)/35)*BL138*BM138*VLOOKUP('Données projet'!$B$11,'Paramètres'!$A$1:$I$89,3,0)*0.475*44/12</f>
        <v>46.24522519</v>
      </c>
      <c r="BQ138" s="142">
        <f>EXP(-LN(2)/25)*BQ137+(1-EXP(-LN(2)/25))/(LN(2)/25)*Calculateur!BL138*Calculateur!BN138*VLOOKUP('Données projet'!$B$11,'Paramètres'!$A$1:$I$89,3,0)*0.475*44/12</f>
        <v>2.817271079</v>
      </c>
      <c r="BR138" s="142">
        <f>EXP(-LN(2)/2)*BR137+(1-EXP(-LN(2)/2))/(LN(2)/2)*BL138*BO138*VLOOKUP('Données projet'!$B$11,'Paramètres'!$A$1:$I$89,3,0)*0.475*44/12</f>
        <v>0.000000001816866564</v>
      </c>
      <c r="BS138" s="143">
        <f t="shared" si="10"/>
        <v>49.06249627</v>
      </c>
      <c r="BT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1" t="str">
        <f>VLOOKUP(A138,'Données projet'!$A$113:$I$133,2,0)</f>
        <v>#N/A</v>
      </c>
      <c r="BW138" s="131" t="str">
        <f>VLOOKUP(A138,'Données projet'!$A$113:$I$133,9,0)</f>
        <v>#N/A</v>
      </c>
      <c r="BX138" s="131" t="str">
        <f t="array" ref="BX138">INDEX(BW:BW,MIN(IF(ISNUMBER(BW138:BW334),ROW(BW138:BW334),"")))</f>
        <v/>
      </c>
      <c r="BY138" s="130">
        <f>IF('Données projet'!$A$114&gt;35,BY137+BX138-CG137,IF(A138&lt;'Données projet'!$A$114,$BV$205^A138,IF(A138='Données projet'!$A$114,'Données projet'!$B$114,BY137+BX138-CG137)))</f>
        <v>0</v>
      </c>
      <c r="BZ138" s="130">
        <f>BY138*VLOOKUP('Données projet'!$B$12,'Paramètres'!$A$1:$I$89,3,0)*VLOOKUP('Données projet'!$B$12,'Paramètres'!$A$1:$I$89,5,0)</f>
        <v>0</v>
      </c>
      <c r="CA138" s="130" t="str">
        <f t="shared" si="40"/>
        <v>#NUM!</v>
      </c>
      <c r="CB138" s="141" t="str">
        <f t="shared" si="11"/>
        <v>#NUM!</v>
      </c>
      <c r="CC138" s="133" t="str">
        <f t="shared" si="12"/>
        <v>#NUM!</v>
      </c>
      <c r="CD138" s="133">
        <f>AVERAGE(OFFSET($CC$3,0,0,'Données projet'!$E$12+1,1))-AVERAGE(OFFSET($H$3,0,0,'Données projet'!$E$12+1,1))</f>
        <v>258.1672054</v>
      </c>
      <c r="CE138" s="133">
        <f t="shared" si="41"/>
        <v>296.0724261</v>
      </c>
      <c r="CF138" s="134">
        <f>IF(ISNA(VLOOKUP(A138,'Données projet'!$A$113:$I$133,3,0)),0,VLOOKUP(A138,'Données projet'!$A$113:$I$133,3,0))</f>
        <v>0</v>
      </c>
      <c r="CG138" s="134">
        <f>IF(ISNA(VLOOKUP(A138,'Données projet'!$A$113:$I$133,4,0)),0,VLOOKUP(A138,'Données projet'!$A$113:$I$133,4,0))</f>
        <v>0</v>
      </c>
      <c r="CH138" s="135">
        <f>IF(ISNA(VLOOKUP(A138,'Données projet'!$A$113:$I$133,5,0)),0%,VLOOKUP(A138,'Données projet'!$A$113:$I$133,5,0)*VLOOKUP('Données projet'!$B$12,'Paramètres'!$A$1:$I$89,7,0))</f>
        <v>0</v>
      </c>
      <c r="CI138" s="135">
        <f>IF(ISNA(VLOOKUP(A138,'Données projet'!$A$113:$I$133,6,0)),0%,VLOOKUP(A138,'Données projet'!$A$113:$I$133,6,0)*VLOOKUP('Données projet'!$B$12,'Paramètres'!$A$1:$I$89,7,0))</f>
        <v>0</v>
      </c>
      <c r="CJ138" s="135">
        <f>IF(ISNA(VLOOKUP(A138,'Données projet'!$A$113:$I$133,7,0)),0%,VLOOKUP(A138,'Données projet'!$A$113:$I$133,7,0))</f>
        <v>0</v>
      </c>
      <c r="CK138" s="142">
        <f>EXP(-LN(2)/35)*CK137+(1-EXP(-LN(2)/35))/(LN(2)/35)*CG138*CH138*VLOOKUP('Données projet'!$B$12,'Paramètres'!$A$1:$I$89,3,0)*0.475*44/12</f>
        <v>58.46811163</v>
      </c>
      <c r="CL138" s="142">
        <f>EXP(-LN(2)/25)*CL137+(1-EXP(-LN(2)/25))/(LN(2)/25)*Calculateur!CG138*Calculateur!CI138*VLOOKUP('Données projet'!$B$12,'Paramètres'!$A$1:$I$89,3,0)*0.475*44/12</f>
        <v>4.9416534</v>
      </c>
      <c r="CM138" s="142">
        <f>EXP(-LN(2)/2)*CM137+(1-EXP(-LN(2)/2))/(LN(2)/2)*CG138*CJ138*VLOOKUP('Données projet'!$B$12,'Paramètres'!$A$1:$I$89,3,0)*0.475*44/12</f>
        <v>0</v>
      </c>
      <c r="CN138" s="143">
        <f t="shared" si="13"/>
        <v>63.40976503</v>
      </c>
      <c r="CO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1" t="str">
        <f>VLOOKUP(A138,'Données projet'!$A$139:$I$159,2,0)</f>
        <v>#N/A</v>
      </c>
      <c r="CR138" s="131" t="str">
        <f>VLOOKUP(A138,'Données projet'!$A$139:$I$159,9,0)</f>
        <v>#N/A</v>
      </c>
      <c r="CS138" s="130">
        <f t="array" ref="CS138">INDEX(CR:CR,MIN(IF(ISNUMBER(CR138:CR334),ROW(CR138:CR334),"")))</f>
        <v>0.8</v>
      </c>
      <c r="CT138" s="138">
        <f>IF('Données projet'!$A$140&gt;35,CT137+CS138-DB137,IF(A138&lt;'Données projet'!$A$140,$CQ$205^A138,IF(A138='Données projet'!$A$140,'Données projet'!$B$140,CT137+CS138-DB137)))</f>
        <v>214</v>
      </c>
      <c r="CU138" s="138">
        <f>CT138*VLOOKUP('Données projet'!$B$13,'Paramètres'!$A$1:$I$89,3,0)*VLOOKUP('Données projet'!$B$13,'Paramètres'!$A$1:$I$89,5,0)</f>
        <v>216.996</v>
      </c>
      <c r="CV138" s="130">
        <f t="shared" si="42"/>
        <v>53.46145965</v>
      </c>
      <c r="CW138" s="141">
        <f t="shared" si="14"/>
        <v>471.0467422</v>
      </c>
      <c r="CX138" s="133">
        <f t="shared" si="15"/>
        <v>764.3800756</v>
      </c>
      <c r="CY138" s="133">
        <f>AVERAGE(OFFSET($CX$3,0,0,'Données projet'!$E$13+1,1))-AVERAGE(OFFSET($H$3,0,0,'Données projet'!$E$13+1,1))</f>
        <v>223.783507</v>
      </c>
      <c r="CZ138" s="133">
        <f t="shared" si="43"/>
        <v>84.92349117</v>
      </c>
      <c r="DA138" s="134">
        <f>IF(ISNA(VLOOKUP(A138,'Données projet'!$A$139:$I$159,3,0)),0,VLOOKUP(A138,'Données projet'!$A$139:$I$159,3,0))</f>
        <v>0</v>
      </c>
      <c r="DB138" s="134">
        <f>IF(ISNA(VLOOKUP(A138,'Données projet'!$A$139:$I$159,4,0)),0,VLOOKUP(A138,'Données projet'!$A$139:$I$159,4,0))</f>
        <v>0</v>
      </c>
      <c r="DC138" s="135">
        <f>IF(ISNA(VLOOKUP(A138,'Données projet'!$A$139:$I$159,5,0)),0%,VLOOKUP(A138,'Données projet'!$A$139:$I$159,5,0)*VLOOKUP('Données projet'!$B$13,'Paramètres'!$A$1:$I$89,7,0))</f>
        <v>0</v>
      </c>
      <c r="DD138" s="135">
        <f>IF(ISNA(VLOOKUP(A138,'Données projet'!$A$139:$I$159,6,0)),0%,VLOOKUP(A138,'Données projet'!$A$139:$I$159,6,0)*VLOOKUP('Données projet'!$B$13,'Paramètres'!$A$1:$I$89,7,0))</f>
        <v>0</v>
      </c>
      <c r="DE138" s="135">
        <f>IF(ISNA(VLOOKUP(A138,'Données projet'!$A$139:$I$159,7,0)),0%,VLOOKUP(A138,'Données projet'!$A$139:$I$159,7,0))</f>
        <v>0</v>
      </c>
      <c r="DF138" s="142">
        <f>EXP(-LN(2)/35)*DF137+(1-EXP(-LN(2)/35))/(LN(2)/35)*DB138*DC138*VLOOKUP('Données projet'!$B$13,'Paramètres'!$A$1:$I$89,3,0)*0.475*44/12</f>
        <v>20.06543901</v>
      </c>
      <c r="DG138" s="142">
        <f>EXP(-LN(2)/25)*DG137+(1-EXP(-LN(2)/25))/(LN(2)/25)*Calculateur!DB138*Calculateur!DD138*VLOOKUP('Données projet'!$B$13,'Paramètres'!$A$1:$I$89,3,0)*0.475*44/12</f>
        <v>0</v>
      </c>
      <c r="DH138" s="142">
        <f>EXP(-LN(2)/2)*DH137+(1-EXP(-LN(2)/2))/(LN(2)/2)*DB138*DE138*VLOOKUP('Données projet'!$B$13,'Paramètres'!$A$1:$I$89,3,0)*0.475*44/12</f>
        <v>0</v>
      </c>
      <c r="DI138" s="143">
        <f t="shared" si="16"/>
        <v>20.06543901</v>
      </c>
      <c r="DJ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1" t="str">
        <f>VLOOKUP(A138,'Données projet'!$A$165:$I$185,2,0)</f>
        <v>#N/A</v>
      </c>
      <c r="DM138" s="131" t="str">
        <f>VLOOKUP(A138,'Données projet'!$A$165:$I$185,9,0)</f>
        <v>#N/A</v>
      </c>
      <c r="DN138" s="131">
        <f t="array" ref="DN138">INDEX(DM:DM,MIN(IF(ISNUMBER(DM138:DM334),ROW(DM138:DM334),"")))</f>
        <v>0.55</v>
      </c>
      <c r="DO138" s="138">
        <f>IF('Données projet'!$A$166&gt;35,DO137+DN138-DW137,IF(A138&lt;'Données projet'!$A$166,$DL$205^A138,IF(A138='Données projet'!$A$166,'Données projet'!$B$166,DO137+DN138-DW137)))</f>
        <v>271.75</v>
      </c>
      <c r="DP138" s="138">
        <f>DO138*VLOOKUP('Données projet'!$B$14,'Paramètres'!$A$1:$I$89,3,0)*VLOOKUP('Données projet'!$B$14,'Paramètres'!$A$1:$I$89,5,0)</f>
        <v>245.8794</v>
      </c>
      <c r="DQ138" s="130">
        <f t="shared" si="44"/>
        <v>59.70272471</v>
      </c>
      <c r="DR138" s="141">
        <f t="shared" si="17"/>
        <v>532.2222005</v>
      </c>
      <c r="DS138" s="133">
        <f t="shared" si="18"/>
        <v>825.5555339</v>
      </c>
      <c r="DT138" s="133">
        <f>AVERAGE(OFFSET($DS$3,0,0,'Données projet'!$E$14+1,1))-AVERAGE(OFFSET($H$3,0,0,'Données projet'!$E$14+1,1))</f>
        <v>287.9334714</v>
      </c>
      <c r="DU138" s="133">
        <f t="shared" si="45"/>
        <v>156.6796502</v>
      </c>
      <c r="DV138" s="134">
        <f>IF(ISNA(VLOOKUP(A138,'Données projet'!$A$165:$I$185,3,0)),0,VLOOKUP(A138,'Données projet'!$A$165:$I$185,3,0))</f>
        <v>0</v>
      </c>
      <c r="DW138" s="134">
        <f>IF(ISNA(VLOOKUP(A138,'Données projet'!$A$165:$I$185,4,0)),0,VLOOKUP(A138,'Données projet'!$A$165:$I$185,4,0))</f>
        <v>0</v>
      </c>
      <c r="DX138" s="135">
        <f>IF(ISNA(VLOOKUP(A138,'Données projet'!$A$165:$I$185,5,0)),0%,VLOOKUP(A138,'Données projet'!$A$165:$I$185,5,0)*VLOOKUP('Données projet'!$B$14,'Paramètres'!$A$1:$I$89,7,0))</f>
        <v>0</v>
      </c>
      <c r="DY138" s="135">
        <f>IF(ISNA(VLOOKUP(A138,'Données projet'!$A$165:$I$185,6,0)),0%,VLOOKUP(A138,'Données projet'!$A$165:$I$185,6,0)*VLOOKUP('Données projet'!$B$14,'Paramètres'!$A$1:$I$89,7,0))</f>
        <v>0</v>
      </c>
      <c r="DZ138" s="135">
        <f>IF(ISNA(VLOOKUP(A138,'Données projet'!$A$165:$I$185,7,0)),0%,VLOOKUP(A138,'Données projet'!$A$165:$I$185,7,0))</f>
        <v>0</v>
      </c>
      <c r="EA138" s="142">
        <f>EXP(-LN(2)/35)*EA137+(1-EXP(-LN(2)/35))/(LN(2)/35)*DW138*DX138*VLOOKUP('Données projet'!$B$14,'Paramètres'!$A$1:$I$89,3,0)*0.475*44/12</f>
        <v>28.57871656</v>
      </c>
      <c r="EB138" s="142">
        <f>EXP(-LN(2)/25)*EB137+(1-EXP(-LN(2)/25))/(LN(2)/25)*Calculateur!DW138*Calculateur!DY138*VLOOKUP('Données projet'!$B$14,'Paramètres'!$A$1:$I$89,3,0)*0.475*44/12</f>
        <v>0</v>
      </c>
      <c r="EC138" s="142">
        <f>EXP(-LN(2)/2)*EC137+(1-EXP(-LN(2)/2))/(LN(2)/2)*DW138*DZ138*VLOOKUP('Données projet'!$B$14,'Paramètres'!$A$1:$I$89,3,0)*0.475*44/12</f>
        <v>0</v>
      </c>
      <c r="ED138" s="143">
        <f t="shared" si="19"/>
        <v>28.57871656</v>
      </c>
      <c r="EE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1" t="str">
        <f>VLOOKUP(A138,'Données projet'!$A$191:$I$211,2,0)</f>
        <v>#N/A</v>
      </c>
      <c r="EH138" s="131" t="str">
        <f>VLOOKUP(A138,'Données projet'!$A$191:$I$211,9,0)</f>
        <v>#N/A</v>
      </c>
      <c r="EI138" s="131" t="str">
        <f t="array" ref="EI138">INDEX(EH:EH,MIN(IF(ISNUMBER(EH138:EH334),ROW(EH138:EH334),"")))</f>
        <v/>
      </c>
      <c r="EJ138" s="138">
        <f>IF('Données projet'!$A$192&gt;35,EJ137+EI138-ER137,IF(A138&lt;'Données projet'!$A$192,$EG$205^A138,IF(A138='Données projet'!$A$192,'Données projet'!$B$192,EJ137+EI138-ER137)))</f>
        <v>0</v>
      </c>
      <c r="EK138" s="138">
        <f>EJ138*VLOOKUP('Données projet'!$B$15,'Paramètres'!$A$1:$I$89,3,0)*VLOOKUP('Données projet'!$B$15,'Paramètres'!$A$1:$I$89,5,0)</f>
        <v>0</v>
      </c>
      <c r="EL138" s="130" t="str">
        <f t="shared" si="46"/>
        <v>#NUM!</v>
      </c>
      <c r="EM138" s="141" t="str">
        <f t="shared" si="20"/>
        <v>#NUM!</v>
      </c>
      <c r="EN138" s="133" t="str">
        <f t="shared" si="21"/>
        <v>#NUM!</v>
      </c>
      <c r="EO138" s="133">
        <f>AVERAGE(OFFSET($EN$3,0,0,'Données projet'!$E$15+1,1))-AVERAGE(OFFSET($H$3,0,0,'Données projet'!$E$15+1,1))</f>
        <v>130.3193339</v>
      </c>
      <c r="EP138" s="133">
        <f t="shared" si="47"/>
        <v>82.22784365</v>
      </c>
      <c r="EQ138" s="134">
        <f>IF(ISNA(VLOOKUP(A138,'Données projet'!$A$191:$I$211,3,0)),0,VLOOKUP(A138,'Données projet'!$A$191:$I$211,3,0))</f>
        <v>0</v>
      </c>
      <c r="ER138" s="134">
        <f>IF(ISNA(VLOOKUP(A138,'Données projet'!$A$191:$I$211,4,0)),0,VLOOKUP(A138,'Données projet'!$A$191:$I$211,4,0))</f>
        <v>0</v>
      </c>
      <c r="ES138" s="135">
        <f>IF(ISNA(VLOOKUP(A138,'Données projet'!$A$191:$I$211,5,0)),0%,VLOOKUP(A138,'Données projet'!$A$191:$I$211,5,0)*VLOOKUP('Données projet'!$B$15,'Paramètres'!$A$1:$I$89,7,0))</f>
        <v>0</v>
      </c>
      <c r="ET138" s="135">
        <f>IF(ISNA(VLOOKUP(A138,'Données projet'!$A$191:$I$211,6,0)),0%,VLOOKUP(A138,'Données projet'!$A$191:$I$211,6,0)*VLOOKUP('Données projet'!$B$15,'Paramètres'!$A$1:$I$89,7,0))</f>
        <v>0</v>
      </c>
      <c r="EU138" s="135">
        <f>IF(ISNA(VLOOKUP(A138,'Données projet'!$A$191:$I$211,7,0)),0%,VLOOKUP(A138,'Données projet'!$A$191:$I$211,7,0))</f>
        <v>0</v>
      </c>
      <c r="EV138" s="142">
        <f>EXP(-LN(2)/35)*EV137+(1-EXP(-LN(2)/35))/(LN(2)/35)*ER138*ES138*VLOOKUP('Données projet'!$B$15,'Paramètres'!$A$1:$I$89,3,0)*0.475*44/12</f>
        <v>35.75204072</v>
      </c>
      <c r="EW138" s="142">
        <f>EXP(-LN(2)/25)*EW137+(1-EXP(-LN(2)/25))/(LN(2)/25)*Calculateur!ER138*Calculateur!ET138*VLOOKUP('Données projet'!$B$15,'Paramètres'!$A$1:$I$89,3,0)*0.475*44/12</f>
        <v>0</v>
      </c>
      <c r="EX138" s="142">
        <f>EXP(-LN(2)/2)*EX137+(1-EXP(-LN(2)/2))/(LN(2)/2)*ER138*EU138*VLOOKUP('Données projet'!$B$15,'Paramètres'!$A$1:$I$89,3,0)*0.475*44/12</f>
        <v>0</v>
      </c>
      <c r="EY138" s="143">
        <f t="shared" si="22"/>
        <v>35.75204072</v>
      </c>
      <c r="EZ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1" t="str">
        <f>VLOOKUP(A138,'Données projet'!$A$217:$I$237,2,0)</f>
        <v>#N/A</v>
      </c>
      <c r="FC138" s="131" t="str">
        <f>VLOOKUP(A138,'Données projet'!$A$217:$I$237,9,0)</f>
        <v>#N/A</v>
      </c>
      <c r="FD138" s="131" t="str">
        <f t="array" ref="FD138">INDEX(FC:FC,MIN(IF(ISNUMBER(FC138:FC334),ROW(FC138:FC334),"")))</f>
        <v/>
      </c>
      <c r="FE138" s="130">
        <f>IF('Données projet'!$A$218&gt;35,FE137+FD138-FM137,IF(A138&lt;'Données projet'!$A$218,$FB$205^A138,IF(A138='Données projet'!$A$218,'Données projet'!$B$218,FE137+FD138-FM137)))</f>
        <v>0</v>
      </c>
      <c r="FF138" s="138">
        <f>FE138*VLOOKUP('Données projet'!$B$16,'Paramètres'!$A$1:$I$89,3,0)*VLOOKUP('Données projet'!$B$16,'Paramètres'!$A$1:$I$89,5,0)</f>
        <v>0</v>
      </c>
      <c r="FG138" s="130">
        <f t="shared" si="48"/>
        <v>0</v>
      </c>
      <c r="FH138" s="141">
        <f t="shared" si="23"/>
        <v>0</v>
      </c>
      <c r="FI138" s="133">
        <f t="shared" si="24"/>
        <v>293.3333333</v>
      </c>
      <c r="FJ138" s="133">
        <f>AVERAGE(OFFSET($FI$3,0,0,'Données projet'!$E$16+1,1))-AVERAGE(OFFSET($H$3,0,0,'Données projet'!$E$16+1,1))</f>
        <v>305.6252353</v>
      </c>
      <c r="FK138" s="133">
        <f t="shared" si="49"/>
        <v>331.397916</v>
      </c>
      <c r="FL138" s="134">
        <f>IF(ISNA(VLOOKUP(A138,'Données projet'!$A$217:$I$237,3,0)),0,VLOOKUP(A138,'Données projet'!$A$217:$I$237,3,0))</f>
        <v>0</v>
      </c>
      <c r="FM138" s="134">
        <f>IF(ISNA(VLOOKUP(A138,'Données projet'!$A$217:$I$237,4,0)),0,VLOOKUP(A138,'Données projet'!$A$217:$I$237,4,0))</f>
        <v>0</v>
      </c>
      <c r="FN138" s="135">
        <f>IF(ISNA(VLOOKUP(A138,'Données projet'!$A$217:$I$237,5,0)),0%,VLOOKUP(A138,'Données projet'!$A$217:$I$237,5,0)*VLOOKUP('Données projet'!$B$16,'Paramètres'!$A$1:$I$89,7,0))</f>
        <v>0</v>
      </c>
      <c r="FO138" s="135">
        <f>IF(ISNA(VLOOKUP(A138,'Données projet'!$A$217:$I$237,6,0)),0%,VLOOKUP(A138,'Données projet'!$A$217:$I$237,6,0)*VLOOKUP('Données projet'!$B$16,'Paramètres'!$A$1:$I$89,7,0))</f>
        <v>0</v>
      </c>
      <c r="FP138" s="135">
        <f>IF(ISNA(VLOOKUP(A138,'Données projet'!$A$217:$I$237,7,0)),0%,VLOOKUP(A138,'Données projet'!$A$217:$I$237,7,0))</f>
        <v>0</v>
      </c>
      <c r="FQ138" s="142">
        <f>EXP(-LN(2)/35)*FQ137+(1-EXP(-LN(2)/35))/(LN(2)/35)*FM138*FN138*VLOOKUP('Données projet'!$B$16,'Paramètres'!$A$1:$I$89,3,0)*0.475*44/12</f>
        <v>22.26028901</v>
      </c>
      <c r="FR138" s="142">
        <f>EXP(-LN(2)/25)*FR137+(1-EXP(-LN(2)/25))/(LN(2)/25)*Calculateur!FM138*Calculateur!FO138*VLOOKUP('Données projet'!$B$16,'Paramètres'!$A$1:$I$89,3,0)*0.475*44/12</f>
        <v>0</v>
      </c>
      <c r="FS138" s="142">
        <f>EXP(-LN(2)/2)*FS137+(1-EXP(-LN(2)/2))/(LN(2)/2)*FM138*FP138*VLOOKUP('Données projet'!$B$16,'Paramètres'!$A$1:$I$89,3,0)*0.475*44/12</f>
        <v>0</v>
      </c>
      <c r="FT138" s="143">
        <f t="shared" si="25"/>
        <v>22.26028901</v>
      </c>
      <c r="FU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1" t="str">
        <f>VLOOKUP(A138,'Données projet'!$A$243:$I$263,2,0)</f>
        <v>#N/A</v>
      </c>
      <c r="FX138" s="131" t="str">
        <f>VLOOKUP(A138,'Données projet'!$A$243:$I$263,9,0)</f>
        <v>#N/A</v>
      </c>
      <c r="FY138" s="131" t="str">
        <f t="array" ref="FY138">INDEX(FX:FX,MIN(IF(ISNUMBER(FX138:FX334),ROW(FX138:FX334),"")))</f>
        <v/>
      </c>
      <c r="FZ138" s="138">
        <f>IF('Données projet'!$A$244&gt;35,FZ137+FY138-GH137,IF(A138&lt;'Données projet'!$A$244,$FW$205^A138,IF(A138='Données projet'!$A$244,'Données projet'!$B$244,FZ137+FY138-GH137)))</f>
        <v>0</v>
      </c>
      <c r="GA138" s="138">
        <f>FZ138*VLOOKUP('Données projet'!$B$17,'Paramètres'!$A$1:$I$89,3,0)*VLOOKUP('Données projet'!$B$17,'Paramètres'!$A$1:$I$89,5,0)</f>
        <v>0</v>
      </c>
      <c r="GB138" s="130">
        <f t="shared" si="50"/>
        <v>0</v>
      </c>
      <c r="GC138" s="141">
        <f t="shared" si="26"/>
        <v>0</v>
      </c>
      <c r="GD138" s="133">
        <f t="shared" si="27"/>
        <v>293.3333333</v>
      </c>
      <c r="GE138" s="133">
        <f>AVERAGE(OFFSET($GD$3,0,0,'Données projet'!$E$17+1,1))-AVERAGE(OFFSET($H$3,0,0,'Données projet'!$E$17+1,1))</f>
        <v>118.7368745</v>
      </c>
      <c r="GF138" s="133">
        <f t="shared" si="51"/>
        <v>135.1233677</v>
      </c>
      <c r="GG138" s="134">
        <f>IF(ISNA(VLOOKUP(A138,'Données projet'!$A$243:$I$263,3,0)),0,VLOOKUP(A138,'Données projet'!$A$243:$I$263,3,0))</f>
        <v>0</v>
      </c>
      <c r="GH138" s="134">
        <f>IF(ISNA(VLOOKUP(A138,'Données projet'!$A$243:$I$263,4,0)),0,VLOOKUP(A138,'Données projet'!$A$243:$I$263,4,0))</f>
        <v>0</v>
      </c>
      <c r="GI138" s="135">
        <f>IF(ISNA(VLOOKUP(A138,'Données projet'!$A$243:$I$263,5,0)),0%,VLOOKUP(A138,'Données projet'!$A$243:$I$263,5,0)*VLOOKUP('Données projet'!$B$17,'Paramètres'!$A$1:$I$89,7,0))</f>
        <v>0</v>
      </c>
      <c r="GJ138" s="135">
        <f>IF(ISNA(VLOOKUP(A138,'Données projet'!$A$243:$I$263,6,0)),0%,VLOOKUP(A138,'Données projet'!$A$243:$I$263,6,0)*VLOOKUP('Données projet'!$B$17,'Paramètres'!$A$1:$I$89,7,0))</f>
        <v>0</v>
      </c>
      <c r="GK138" s="135">
        <f>IF(ISNA(VLOOKUP(A138,'Données projet'!$A$243:$I$263,7,0)),0%,VLOOKUP(A138,'Données projet'!$A$243:$I$263,7,0))</f>
        <v>0</v>
      </c>
      <c r="GL138" s="142">
        <f>EXP(-LN(2)/35)*GL137+(1-EXP(-LN(2)/35))/(LN(2)/35)*GH138*GI138*VLOOKUP('Données projet'!$B$17,'Paramètres'!$A$1:$I$89,3,0)*0.475*44/12</f>
        <v>23.5179265</v>
      </c>
      <c r="GM138" s="142">
        <f>EXP(-LN(2)/25)*GM137+(1-EXP(-LN(2)/25))/(LN(2)/25)*Calculateur!GH138*Calculateur!GJ138*VLOOKUP('Données projet'!$B$17,'Paramètres'!$A$1:$I$89,3,0)*0.475*44/12</f>
        <v>0</v>
      </c>
      <c r="GN138" s="142">
        <f>EXP(-LN(2)/2)*GN137+(1-EXP(-LN(2)/2))/(LN(2)/2)*GH138*GK138*VLOOKUP('Données projet'!$B$17,'Paramètres'!$A$1:$I$89,3,0)*0.475*44/12</f>
        <v>0</v>
      </c>
      <c r="GO138" s="142">
        <f t="shared" si="28"/>
        <v>23.5179265</v>
      </c>
      <c r="GP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1" t="str">
        <f>VLOOKUP(A138,'Données projet'!$A$269:$I$289,2,0)</f>
        <v>#N/A</v>
      </c>
      <c r="GS138" s="131" t="str">
        <f>VLOOKUP(A138,'Données projet'!$A$269:$I$289,9,0)</f>
        <v>#N/A</v>
      </c>
      <c r="GT138" s="131" t="str">
        <f t="array" ref="GT138">INDEX(GS:GS,MIN(IF(ISNUMBER(GS138:GS334),ROW(GS138:GS334),"")))</f>
        <v/>
      </c>
      <c r="GU138" s="138">
        <f>IF('Données projet'!$A$270&gt;35,GU137+GT138-HC137,IF(A138&lt;'Données projet'!$A$270,$GR$205^A138,IF(A138='Données projet'!$A$270,'Données projet'!$B$270,GU137+GT138-HC137)))</f>
        <v>0</v>
      </c>
      <c r="GV138" s="138">
        <f>GU138*VLOOKUP('Données projet'!$B$18,'Paramètres'!$A$1:$I$89,3,0)*VLOOKUP('Données projet'!$B$18,'Paramètres'!$A$1:$I$89,5,0)</f>
        <v>0</v>
      </c>
      <c r="GW138" s="130" t="str">
        <f t="shared" si="52"/>
        <v>#NUM!</v>
      </c>
      <c r="GX138" s="141" t="str">
        <f t="shared" si="29"/>
        <v>#NUM!</v>
      </c>
      <c r="GY138" s="133" t="str">
        <f t="shared" si="30"/>
        <v>#NUM!</v>
      </c>
      <c r="GZ138" s="133">
        <f>AVERAGE(OFFSET($GY$3,0,0,'Données projet'!$E$18+1,1))-AVERAGE(OFFSET($H$3,0,0,'Données projet'!$E$18+1,1))</f>
        <v>100.5427875</v>
      </c>
      <c r="HA138" s="133">
        <f t="shared" si="53"/>
        <v>92.28663609</v>
      </c>
      <c r="HB138" s="134">
        <f>IF(ISNA(VLOOKUP(A138,'Données projet'!$A$269:$I$289,3,0)),0,VLOOKUP(A138,'Données projet'!$A$269:$I$289,3,0))</f>
        <v>0</v>
      </c>
      <c r="HC138" s="134">
        <f>IF(ISNA(VLOOKUP(A138,'Données projet'!$A$269:$I$289,4,0)),0,VLOOKUP(A138,'Données projet'!$A$269:$I$289,4,0))</f>
        <v>0</v>
      </c>
      <c r="HD138" s="135">
        <f>IF(ISNA(VLOOKUP(A138,'Données projet'!$A$269:$I$289,5,0)),0%,VLOOKUP(A138,'Données projet'!$A$269:$I$289,5,0)*VLOOKUP('Données projet'!$B$18,'Paramètres'!$A$1:$I$89,7,0))</f>
        <v>0</v>
      </c>
      <c r="HE138" s="135">
        <f>IF(ISNA(VLOOKUP(A138,'Données projet'!$A$269:$I$289,6,0)),0%,VLOOKUP(A138,'Données projet'!$A$269:$I$289,6,0)*VLOOKUP('Données projet'!$B$18,'Paramètres'!$A$1:$I$89,7,0))</f>
        <v>0</v>
      </c>
      <c r="HF138" s="135">
        <f>IF(ISNA(VLOOKUP(A138,'Données projet'!$A$269:$I$289,7,0)),0%,VLOOKUP(A138,'Données projet'!$A$269:$I$289,7,0))</f>
        <v>0</v>
      </c>
      <c r="HG138" s="142">
        <f>EXP(-LN(2)/35)*HG137+(1-EXP(-LN(2)/35))/(LN(2)/35)*HC138*HD138*VLOOKUP('Données projet'!$B$18,'Paramètres'!$A$1:$I$89,3,0)*0.475*44/12</f>
        <v>16.01521181</v>
      </c>
      <c r="HH138" s="142">
        <f>EXP(-LN(2)/25)*HH137+(1-EXP(-LN(2)/25))/(LN(2)/25)*Calculateur!HC138*Calculateur!HE138*VLOOKUP('Données projet'!$B$18,'Paramètres'!$A$1:$I$89,3,0)*0.475*44/12</f>
        <v>0</v>
      </c>
      <c r="HI138" s="142">
        <f>EXP(-LN(2)/2)*HI137+(1-EXP(-LN(2)/2))/(LN(2)/2)*HC138*HF138*VLOOKUP('Données projet'!$B$18,'Paramètres'!$A$1:$I$89,3,0)*0.475*44/12</f>
        <v>0</v>
      </c>
      <c r="HJ138" s="143">
        <f t="shared" si="31"/>
        <v>16.01521181</v>
      </c>
    </row>
    <row r="139" ht="15.75" customHeight="1">
      <c r="A139" s="125">
        <f t="shared" si="32"/>
        <v>136</v>
      </c>
      <c r="B139" s="126">
        <f>'Scénario référence'!$B$16*5+'Scénario référence'!$B$17*0+'Scénario référence'!$B$18*5</f>
        <v>0</v>
      </c>
      <c r="C139" s="140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74.256</v>
      </c>
      <c r="D139" s="127">
        <f t="shared" si="33"/>
        <v>20.72671441</v>
      </c>
      <c r="E13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7">
        <f>IF(OR('Scénario référence'!$F$8&gt;0,'Scénario référence'!$F$9&gt;0),('Scénario référence'!$F$8+'Scénario référence'!$F$9)*10,0)</f>
        <v>10</v>
      </c>
      <c r="G139" s="127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</v>
      </c>
      <c r="H139" s="128">
        <f t="shared" si="1"/>
        <v>458.7615609</v>
      </c>
      <c r="I139" s="12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1" t="str">
        <f>VLOOKUP(A139,'Données projet'!$A$35:$I$55,2,0)</f>
        <v>#N/A</v>
      </c>
      <c r="L139" s="131" t="str">
        <f>VLOOKUP(A139,'Données projet'!$A$35:$I$55,9,0)</f>
        <v>#N/A</v>
      </c>
      <c r="M139" s="131" t="str">
        <f t="array" ref="M139">INDEX(L:L,MIN(IF(ISNUMBER(L139:L335),ROW(L139:L335),"")))</f>
        <v/>
      </c>
      <c r="N139" s="130">
        <f>IF('Données projet'!$A$36&gt;35,N138+M139-V138,IF(A139&lt;'Données projet'!$A$36,$K$205^A139,IF(A139='Données projet'!$A$36,'Données projet'!$B$36,N138+M139-V138)))</f>
        <v>0</v>
      </c>
      <c r="O139" s="130">
        <f>N139*VLOOKUP('Données projet'!$B$9,'Paramètres'!$A$1:$I$89,3,0)*VLOOKUP('Données projet'!$B$9,'Paramètres'!$A$1:$I$89,5,0)</f>
        <v>0</v>
      </c>
      <c r="P139" s="130">
        <f t="shared" si="34"/>
        <v>0</v>
      </c>
      <c r="Q139" s="141">
        <f t="shared" si="2"/>
        <v>0</v>
      </c>
      <c r="R139" s="133">
        <f t="shared" si="3"/>
        <v>293.3333333</v>
      </c>
      <c r="S139" s="133">
        <f>AVERAGE(OFFSET($R$3,0,0,'Données projet'!$E$9+1,1))-AVERAGE(OFFSET($H$3,0,0,'Données projet'!$E$9+1,1))</f>
        <v>126.9946492</v>
      </c>
      <c r="T139" s="133">
        <f t="shared" si="35"/>
        <v>140.039049</v>
      </c>
      <c r="U139" s="134">
        <f>IF(ISNA(VLOOKUP(A139,'Données projet'!$A$35:$I$55,3,0)),0,VLOOKUP(A139,'Données projet'!$A$35:$I$55,3,0))</f>
        <v>0</v>
      </c>
      <c r="V139" s="134">
        <f>IF(ISNA(VLOOKUP(A139,'Données projet'!$A$35:$I$55,4,0)),0,VLOOKUP(A139,'Données projet'!$A$35:$I$55,4,0))</f>
        <v>0</v>
      </c>
      <c r="W139" s="135">
        <f>IF(ISNA(VLOOKUP(A139,'Données projet'!$A$35:$I$55,5,0)),0%,VLOOKUP(A139,'Données projet'!$A$35:$I$55,5,0)*VLOOKUP('Données projet'!$B$9,'Paramètres'!$A$1:$I$89,7,0))</f>
        <v>0</v>
      </c>
      <c r="X139" s="135">
        <f>IF(ISNA(VLOOKUP(A139,'Données projet'!$A$35:$I$55,6,0)),0%,VLOOKUP(A139,'Données projet'!$A$35:$I$55,6,0)*VLOOKUP('Données projet'!$B$9,'Paramètres'!$A$1:$I$89,7,0))</f>
        <v>0</v>
      </c>
      <c r="Y139" s="135">
        <f>IF(ISNA(VLOOKUP(A139,'Données projet'!$A$35:$I$55,7,0)),0%,VLOOKUP(A139,'Données projet'!$A$35:$I$55,7,0))</f>
        <v>0</v>
      </c>
      <c r="Z139" s="142">
        <f>EXP(-LN(2)/35)*Z138+(1-EXP(-LN(2)/35))/(LN(2)/35)*V139*W139*VLOOKUP('Données projet'!$B$9,'Paramètres'!$A$1:$I$89,3,0)*0.475*44/12</f>
        <v>23.58192714</v>
      </c>
      <c r="AA139" s="142">
        <f>EXP(-LN(2)/25)*AA138+(1-EXP(-LN(2)/25))/(LN(2)/25)*Calculateur!V139*Calculateur!X139*VLOOKUP('Données projet'!$B$9,'Paramètres'!$A$1:$I$89,3,0)*0.475*44/12</f>
        <v>2.82539817</v>
      </c>
      <c r="AB139" s="142">
        <f>EXP(-LN(2)/2)*AB138+(1-EXP(-LN(2)/2))/(LN(2)/2)*V139*Y139*VLOOKUP('Données projet'!$B$9,'Paramètres'!$A$1:$I$89,3,0)*0.475*44/12</f>
        <v>0</v>
      </c>
      <c r="AC139" s="143">
        <f t="shared" si="4"/>
        <v>26.40732531</v>
      </c>
      <c r="AD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1" t="str">
        <f>VLOOKUP(A139,'Données projet'!$A$61:$I$81,2,0)</f>
        <v>#N/A</v>
      </c>
      <c r="AG139" s="131" t="str">
        <f>VLOOKUP(A139,'Données projet'!$A$61:$I$81,9,0)</f>
        <v>#N/A</v>
      </c>
      <c r="AH139" s="131" t="str">
        <f t="array" ref="AH139">INDEX(AG:AG,MIN(IF(ISNUMBER(AG139:AG335),ROW(AG139:AG335),"")))</f>
        <v/>
      </c>
      <c r="AI139" s="130">
        <f>IF('Données projet'!$A$62&gt;35,AI138+AH139-AQ138,IF(A139&lt;'Données projet'!$A$62,$AF$205^A139,IF(A139='Données projet'!$A$62,'Données projet'!$B$62,AI138+AH139-AQ138)))</f>
        <v>0</v>
      </c>
      <c r="AJ139" s="130">
        <f>AI139*VLOOKUP('Données projet'!$B$10,'Paramètres'!$A$1:$I$89,3,0)*VLOOKUP('Données projet'!$B$10,'Paramètres'!$A$1:$I$89,5,0)</f>
        <v>0</v>
      </c>
      <c r="AK139" s="130" t="str">
        <f t="shared" si="36"/>
        <v>#NUM!</v>
      </c>
      <c r="AL139" s="141" t="str">
        <f t="shared" si="5"/>
        <v>#NUM!</v>
      </c>
      <c r="AM139" s="133" t="str">
        <f t="shared" si="6"/>
        <v>#NUM!</v>
      </c>
      <c r="AN139" s="133">
        <f>AVERAGE(OFFSET($AM$3,0,0,'Données projet'!$E$10+1,1))-AVERAGE(OFFSET($H$3,0,0,'Données projet'!$E$10+1,1))</f>
        <v>196.874484</v>
      </c>
      <c r="AO139" s="133">
        <f t="shared" si="37"/>
        <v>217.5750859</v>
      </c>
      <c r="AP139" s="134">
        <f>IF(ISNA(VLOOKUP(A139,'Données projet'!$A$61:$I$81,3,0)),0,VLOOKUP(A139,'Données projet'!$A$61:$I$81,3,0))</f>
        <v>0</v>
      </c>
      <c r="AQ139" s="134">
        <f>IF(ISNA(VLOOKUP(A139,'Données projet'!$A$61:$I$81,4,0)),0,VLOOKUP(A139,'Données projet'!$A$61:$I$81,4,0))</f>
        <v>0</v>
      </c>
      <c r="AR139" s="135">
        <f>IF(ISNA(VLOOKUP(A139,'Données projet'!$A$61:$I$81,5,0)),0%,VLOOKUP(A139,'Données projet'!$A$61:$I$81,5,0)*VLOOKUP('Données projet'!$B$10,'Paramètres'!$A$1:$I$89,7,0))</f>
        <v>0</v>
      </c>
      <c r="AS139" s="135">
        <f>IF(ISNA(VLOOKUP(A139,'Données projet'!$A$61:$I$81,6,0)),0%,VLOOKUP(A139,'Données projet'!$A$61:$I$81,6,0)*VLOOKUP('Données projet'!$B$10,'Paramètres'!$A$1:$I$89,7,0))</f>
        <v>0</v>
      </c>
      <c r="AT139" s="135">
        <f>IF(ISNA(VLOOKUP(A139,'Données projet'!$A$61:$I$81,7,0)),0%,VLOOKUP(A139,'Données projet'!$A$61:$I$81,7,0))</f>
        <v>0</v>
      </c>
      <c r="AU139" s="142">
        <f>EXP(-LN(2)/35)*AU138+(1-EXP(-LN(2)/35))/(LN(2)/35)*AQ139*AR139*VLOOKUP('Données projet'!$B$10,'Paramètres'!$A$1:$I$89,3,0)*0.475*44/12</f>
        <v>32.77820891</v>
      </c>
      <c r="AV139" s="142">
        <f>EXP(-LN(2)/25)*AV138+(1-EXP(-LN(2)/25))/(LN(2)/25)*Calculateur!AQ139*Calculateur!AS139*VLOOKUP('Données projet'!$B$10,'Paramètres'!$A$1:$I$89,3,0)*0.475*44/12</f>
        <v>4.344053461</v>
      </c>
      <c r="AW139" s="142">
        <f>EXP(-LN(2)/2)*AW138+(1-EXP(-LN(2)/2))/(LN(2)/2)*AQ139*AT139*VLOOKUP('Données projet'!$B$10,'Paramètres'!$A$1:$I$89,3,0)*0.475*44/12</f>
        <v>0</v>
      </c>
      <c r="AX139" s="142">
        <f t="shared" si="7"/>
        <v>37.12226237</v>
      </c>
      <c r="AY139" s="13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1" t="str">
        <f>VLOOKUP(A139,'Données projet'!$A$87:$I$107,2,0)</f>
        <v>#N/A</v>
      </c>
      <c r="BB139" s="131" t="str">
        <f>VLOOKUP(A139,'Données projet'!$A$87:$I$107,9,0)</f>
        <v>#N/A</v>
      </c>
      <c r="BC139" s="131" t="str">
        <f t="array" ref="BC139">INDEX(BB:BB,MIN(IF(ISNUMBER(BB139:BB335),ROW(BB139:BB335),"")))</f>
        <v/>
      </c>
      <c r="BD139" s="130">
        <f>IF('Données projet'!$A$88&gt;35,BD138+BC139-BL138,IF(A139&lt;'Données projet'!$A$88,$BA$205^A139,IF(A139='Données projet'!$A$88,'Données projet'!$B$88,BD138+BC139-BL138)))</f>
        <v>0</v>
      </c>
      <c r="BE139" s="130">
        <f>BD139*VLOOKUP('Données projet'!$B$11,'Paramètres'!$A$1:$I$89,3,0)*VLOOKUP('Données projet'!$B$11,'Paramètres'!$A$1:$I$89,5,0)</f>
        <v>0</v>
      </c>
      <c r="BF139" s="130" t="str">
        <f t="shared" si="38"/>
        <v>#NUM!</v>
      </c>
      <c r="BG139" s="141" t="str">
        <f t="shared" si="8"/>
        <v>#NUM!</v>
      </c>
      <c r="BH139" s="133" t="str">
        <f t="shared" si="9"/>
        <v>#NUM!</v>
      </c>
      <c r="BI139" s="133">
        <f>AVERAGE(OFFSET($BH$3,0,0,'Données projet'!$E$11+1,1))-AVERAGE(OFFSET($H$3,0,0,'Données projet'!$E$11+1,1))</f>
        <v>134.0948534</v>
      </c>
      <c r="BJ139" s="133">
        <f t="shared" si="39"/>
        <v>108.4102536</v>
      </c>
      <c r="BK139" s="134">
        <f>IF(ISNA(VLOOKUP(A139,'Données projet'!$A$87:$I$107,3,0)),0,VLOOKUP(A139,'Données projet'!$A$87:$I$107,3,0))</f>
        <v>0</v>
      </c>
      <c r="BL139" s="134">
        <f>IF(ISNA(VLOOKUP(A139,'Données projet'!$A$87:$I$107,4,0)),0,VLOOKUP(A139,'Données projet'!$A$87:$I$107,4,0))</f>
        <v>0</v>
      </c>
      <c r="BM139" s="135">
        <f>IF(ISNA(VLOOKUP(A139,'Données projet'!$A$87:$I$107,5,0)),0%,VLOOKUP(A139,'Données projet'!$A$87:$I$107,5,0)*VLOOKUP('Données projet'!$B$11,'Paramètres'!$A$1:$I$89,7,0))</f>
        <v>0</v>
      </c>
      <c r="BN139" s="135">
        <f>IF(ISNA(VLOOKUP(A139,'Données projet'!$A$87:$I$107,6,0)),0%,VLOOKUP(A139,'Données projet'!$A$87:$I$107,6,0)*VLOOKUP('Données projet'!$B$11,'Paramètres'!$A$1:$I$89,7,0))</f>
        <v>0</v>
      </c>
      <c r="BO139" s="135">
        <f>IF(ISNA(VLOOKUP(A139,'Données projet'!$A$87:$I$107,7,0)),0%,VLOOKUP(A139,'Données projet'!$A$87:$I$107,7,0))</f>
        <v>0</v>
      </c>
      <c r="BP139" s="142">
        <f>EXP(-LN(2)/35)*BP138+(1-EXP(-LN(2)/35))/(LN(2)/35)*BL139*BM139*VLOOKUP('Données projet'!$B$11,'Paramètres'!$A$1:$I$89,3,0)*0.475*44/12</f>
        <v>45.33838453</v>
      </c>
      <c r="BQ139" s="142">
        <f>EXP(-LN(2)/25)*BQ138+(1-EXP(-LN(2)/25))/(LN(2)/25)*Calculateur!BL139*Calculateur!BN139*VLOOKUP('Données projet'!$B$11,'Paramètres'!$A$1:$I$89,3,0)*0.475*44/12</f>
        <v>2.740232653</v>
      </c>
      <c r="BR139" s="142">
        <f>EXP(-LN(2)/2)*BR138+(1-EXP(-LN(2)/2))/(LN(2)/2)*BL139*BO139*VLOOKUP('Données projet'!$B$11,'Paramètres'!$A$1:$I$89,3,0)*0.475*44/12</f>
        <v>0.000000001284718668</v>
      </c>
      <c r="BS139" s="143">
        <f t="shared" si="10"/>
        <v>48.07861718</v>
      </c>
      <c r="BT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1" t="str">
        <f>VLOOKUP(A139,'Données projet'!$A$113:$I$133,2,0)</f>
        <v>#N/A</v>
      </c>
      <c r="BW139" s="131" t="str">
        <f>VLOOKUP(A139,'Données projet'!$A$113:$I$133,9,0)</f>
        <v>#N/A</v>
      </c>
      <c r="BX139" s="131" t="str">
        <f t="array" ref="BX139">INDEX(BW:BW,MIN(IF(ISNUMBER(BW139:BW335),ROW(BW139:BW335),"")))</f>
        <v/>
      </c>
      <c r="BY139" s="130">
        <f>IF('Données projet'!$A$114&gt;35,BY138+BX139-CG138,IF(A139&lt;'Données projet'!$A$114,$BV$205^A139,IF(A139='Données projet'!$A$114,'Données projet'!$B$114,BY138+BX139-CG138)))</f>
        <v>0</v>
      </c>
      <c r="BZ139" s="130">
        <f>BY139*VLOOKUP('Données projet'!$B$12,'Paramètres'!$A$1:$I$89,3,0)*VLOOKUP('Données projet'!$B$12,'Paramètres'!$A$1:$I$89,5,0)</f>
        <v>0</v>
      </c>
      <c r="CA139" s="130" t="str">
        <f t="shared" si="40"/>
        <v>#NUM!</v>
      </c>
      <c r="CB139" s="141" t="str">
        <f t="shared" si="11"/>
        <v>#NUM!</v>
      </c>
      <c r="CC139" s="133" t="str">
        <f t="shared" si="12"/>
        <v>#NUM!</v>
      </c>
      <c r="CD139" s="133">
        <f>AVERAGE(OFFSET($CC$3,0,0,'Données projet'!$E$12+1,1))-AVERAGE(OFFSET($H$3,0,0,'Données projet'!$E$12+1,1))</f>
        <v>258.1672054</v>
      </c>
      <c r="CE139" s="133">
        <f t="shared" si="41"/>
        <v>296.0724261</v>
      </c>
      <c r="CF139" s="134">
        <f>IF(ISNA(VLOOKUP(A139,'Données projet'!$A$113:$I$133,3,0)),0,VLOOKUP(A139,'Données projet'!$A$113:$I$133,3,0))</f>
        <v>0</v>
      </c>
      <c r="CG139" s="134">
        <f>IF(ISNA(VLOOKUP(A139,'Données projet'!$A$113:$I$133,4,0)),0,VLOOKUP(A139,'Données projet'!$A$113:$I$133,4,0))</f>
        <v>0</v>
      </c>
      <c r="CH139" s="135">
        <f>IF(ISNA(VLOOKUP(A139,'Données projet'!$A$113:$I$133,5,0)),0%,VLOOKUP(A139,'Données projet'!$A$113:$I$133,5,0)*VLOOKUP('Données projet'!$B$12,'Paramètres'!$A$1:$I$89,7,0))</f>
        <v>0</v>
      </c>
      <c r="CI139" s="135">
        <f>IF(ISNA(VLOOKUP(A139,'Données projet'!$A$113:$I$133,6,0)),0%,VLOOKUP(A139,'Données projet'!$A$113:$I$133,6,0)*VLOOKUP('Données projet'!$B$12,'Paramètres'!$A$1:$I$89,7,0))</f>
        <v>0</v>
      </c>
      <c r="CJ139" s="135">
        <f>IF(ISNA(VLOOKUP(A139,'Données projet'!$A$113:$I$133,7,0)),0%,VLOOKUP(A139,'Données projet'!$A$113:$I$133,7,0))</f>
        <v>0</v>
      </c>
      <c r="CK139" s="142">
        <f>EXP(-LN(2)/35)*CK138+(1-EXP(-LN(2)/35))/(LN(2)/35)*CG139*CH139*VLOOKUP('Données projet'!$B$12,'Paramètres'!$A$1:$I$89,3,0)*0.475*44/12</f>
        <v>57.32158763</v>
      </c>
      <c r="CL139" s="142">
        <f>EXP(-LN(2)/25)*CL138+(1-EXP(-LN(2)/25))/(LN(2)/25)*Calculateur!CG139*Calculateur!CI139*VLOOKUP('Données projet'!$B$12,'Paramètres'!$A$1:$I$89,3,0)*0.475*44/12</f>
        <v>4.806523628</v>
      </c>
      <c r="CM139" s="142">
        <f>EXP(-LN(2)/2)*CM138+(1-EXP(-LN(2)/2))/(LN(2)/2)*CG139*CJ139*VLOOKUP('Données projet'!$B$12,'Paramètres'!$A$1:$I$89,3,0)*0.475*44/12</f>
        <v>0</v>
      </c>
      <c r="CN139" s="143">
        <f t="shared" si="13"/>
        <v>62.12811125</v>
      </c>
      <c r="CO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1" t="str">
        <f>VLOOKUP(A139,'Données projet'!$A$139:$I$159,2,0)</f>
        <v>#N/A</v>
      </c>
      <c r="CR139" s="131" t="str">
        <f>VLOOKUP(A139,'Données projet'!$A$139:$I$159,9,0)</f>
        <v>#N/A</v>
      </c>
      <c r="CS139" s="130">
        <f t="array" ref="CS139">INDEX(CR:CR,MIN(IF(ISNUMBER(CR139:CR335),ROW(CR139:CR335),"")))</f>
        <v>0.8</v>
      </c>
      <c r="CT139" s="138">
        <f>IF('Données projet'!$A$140&gt;35,CT138+CS139-DB138,IF(A139&lt;'Données projet'!$A$140,$CQ$205^A139,IF(A139='Données projet'!$A$140,'Données projet'!$B$140,CT138+CS139-DB138)))</f>
        <v>214.8</v>
      </c>
      <c r="CU139" s="138">
        <f>CT139*VLOOKUP('Données projet'!$B$13,'Paramètres'!$A$1:$I$89,3,0)*VLOOKUP('Données projet'!$B$13,'Paramètres'!$A$1:$I$89,5,0)</f>
        <v>217.8072</v>
      </c>
      <c r="CV139" s="130">
        <f t="shared" si="42"/>
        <v>53.63801397</v>
      </c>
      <c r="CW139" s="141">
        <f t="shared" si="14"/>
        <v>472.767081</v>
      </c>
      <c r="CX139" s="133">
        <f t="shared" si="15"/>
        <v>766.1004143</v>
      </c>
      <c r="CY139" s="133">
        <f>AVERAGE(OFFSET($CX$3,0,0,'Données projet'!$E$13+1,1))-AVERAGE(OFFSET($H$3,0,0,'Données projet'!$E$13+1,1))</f>
        <v>223.783507</v>
      </c>
      <c r="CZ139" s="133">
        <f t="shared" si="43"/>
        <v>84.92349117</v>
      </c>
      <c r="DA139" s="134">
        <f>IF(ISNA(VLOOKUP(A139,'Données projet'!$A$139:$I$159,3,0)),0,VLOOKUP(A139,'Données projet'!$A$139:$I$159,3,0))</f>
        <v>0</v>
      </c>
      <c r="DB139" s="134">
        <f>IF(ISNA(VLOOKUP(A139,'Données projet'!$A$139:$I$159,4,0)),0,VLOOKUP(A139,'Données projet'!$A$139:$I$159,4,0))</f>
        <v>0</v>
      </c>
      <c r="DC139" s="135">
        <f>IF(ISNA(VLOOKUP(A139,'Données projet'!$A$139:$I$159,5,0)),0%,VLOOKUP(A139,'Données projet'!$A$139:$I$159,5,0)*VLOOKUP('Données projet'!$B$13,'Paramètres'!$A$1:$I$89,7,0))</f>
        <v>0</v>
      </c>
      <c r="DD139" s="135">
        <f>IF(ISNA(VLOOKUP(A139,'Données projet'!$A$139:$I$159,6,0)),0%,VLOOKUP(A139,'Données projet'!$A$139:$I$159,6,0)*VLOOKUP('Données projet'!$B$13,'Paramètres'!$A$1:$I$89,7,0))</f>
        <v>0</v>
      </c>
      <c r="DE139" s="135">
        <f>IF(ISNA(VLOOKUP(A139,'Données projet'!$A$139:$I$159,7,0)),0%,VLOOKUP(A139,'Données projet'!$A$139:$I$159,7,0))</f>
        <v>0</v>
      </c>
      <c r="DF139" s="142">
        <f>EXP(-LN(2)/35)*DF138+(1-EXP(-LN(2)/35))/(LN(2)/35)*DB139*DC139*VLOOKUP('Données projet'!$B$13,'Paramètres'!$A$1:$I$89,3,0)*0.475*44/12</f>
        <v>19.67196799</v>
      </c>
      <c r="DG139" s="142">
        <f>EXP(-LN(2)/25)*DG138+(1-EXP(-LN(2)/25))/(LN(2)/25)*Calculateur!DB139*Calculateur!DD139*VLOOKUP('Données projet'!$B$13,'Paramètres'!$A$1:$I$89,3,0)*0.475*44/12</f>
        <v>0</v>
      </c>
      <c r="DH139" s="142">
        <f>EXP(-LN(2)/2)*DH138+(1-EXP(-LN(2)/2))/(LN(2)/2)*DB139*DE139*VLOOKUP('Données projet'!$B$13,'Paramètres'!$A$1:$I$89,3,0)*0.475*44/12</f>
        <v>0</v>
      </c>
      <c r="DI139" s="143">
        <f t="shared" si="16"/>
        <v>19.67196799</v>
      </c>
      <c r="DJ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1" t="str">
        <f>VLOOKUP(A139,'Données projet'!$A$165:$I$185,2,0)</f>
        <v>#N/A</v>
      </c>
      <c r="DM139" s="131" t="str">
        <f>VLOOKUP(A139,'Données projet'!$A$165:$I$185,9,0)</f>
        <v>#N/A</v>
      </c>
      <c r="DN139" s="131">
        <f t="array" ref="DN139">INDEX(DM:DM,MIN(IF(ISNUMBER(DM139:DM335),ROW(DM139:DM335),"")))</f>
        <v>0.55</v>
      </c>
      <c r="DO139" s="138">
        <f>IF('Données projet'!$A$166&gt;35,DO138+DN139-DW138,IF(A139&lt;'Données projet'!$A$166,$DL$205^A139,IF(A139='Données projet'!$A$166,'Données projet'!$B$166,DO138+DN139-DW138)))</f>
        <v>272.3</v>
      </c>
      <c r="DP139" s="138">
        <f>DO139*VLOOKUP('Données projet'!$B$14,'Paramètres'!$A$1:$I$89,3,0)*VLOOKUP('Données projet'!$B$14,'Paramètres'!$A$1:$I$89,5,0)</f>
        <v>246.37704</v>
      </c>
      <c r="DQ139" s="130">
        <f t="shared" si="44"/>
        <v>59.80948061</v>
      </c>
      <c r="DR139" s="141">
        <f t="shared" si="17"/>
        <v>533.2748567</v>
      </c>
      <c r="DS139" s="133">
        <f t="shared" si="18"/>
        <v>826.6081901</v>
      </c>
      <c r="DT139" s="133">
        <f>AVERAGE(OFFSET($DS$3,0,0,'Données projet'!$E$14+1,1))-AVERAGE(OFFSET($H$3,0,0,'Données projet'!$E$14+1,1))</f>
        <v>287.9334714</v>
      </c>
      <c r="DU139" s="133">
        <f t="shared" si="45"/>
        <v>156.6796502</v>
      </c>
      <c r="DV139" s="134">
        <f>IF(ISNA(VLOOKUP(A139,'Données projet'!$A$165:$I$185,3,0)),0,VLOOKUP(A139,'Données projet'!$A$165:$I$185,3,0))</f>
        <v>0</v>
      </c>
      <c r="DW139" s="134">
        <f>IF(ISNA(VLOOKUP(A139,'Données projet'!$A$165:$I$185,4,0)),0,VLOOKUP(A139,'Données projet'!$A$165:$I$185,4,0))</f>
        <v>0</v>
      </c>
      <c r="DX139" s="135">
        <f>IF(ISNA(VLOOKUP(A139,'Données projet'!$A$165:$I$185,5,0)),0%,VLOOKUP(A139,'Données projet'!$A$165:$I$185,5,0)*VLOOKUP('Données projet'!$B$14,'Paramètres'!$A$1:$I$89,7,0))</f>
        <v>0</v>
      </c>
      <c r="DY139" s="135">
        <f>IF(ISNA(VLOOKUP(A139,'Données projet'!$A$165:$I$185,6,0)),0%,VLOOKUP(A139,'Données projet'!$A$165:$I$185,6,0)*VLOOKUP('Données projet'!$B$14,'Paramètres'!$A$1:$I$89,7,0))</f>
        <v>0</v>
      </c>
      <c r="DZ139" s="135">
        <f>IF(ISNA(VLOOKUP(A139,'Données projet'!$A$165:$I$185,7,0)),0%,VLOOKUP(A139,'Données projet'!$A$165:$I$185,7,0))</f>
        <v>0</v>
      </c>
      <c r="EA139" s="142">
        <f>EXP(-LN(2)/35)*EA138+(1-EXP(-LN(2)/35))/(LN(2)/35)*DW139*DX139*VLOOKUP('Données projet'!$B$14,'Paramètres'!$A$1:$I$89,3,0)*0.475*44/12</f>
        <v>28.01830536</v>
      </c>
      <c r="EB139" s="142">
        <f>EXP(-LN(2)/25)*EB138+(1-EXP(-LN(2)/25))/(LN(2)/25)*Calculateur!DW139*Calculateur!DY139*VLOOKUP('Données projet'!$B$14,'Paramètres'!$A$1:$I$89,3,0)*0.475*44/12</f>
        <v>0</v>
      </c>
      <c r="EC139" s="142">
        <f>EXP(-LN(2)/2)*EC138+(1-EXP(-LN(2)/2))/(LN(2)/2)*DW139*DZ139*VLOOKUP('Données projet'!$B$14,'Paramètres'!$A$1:$I$89,3,0)*0.475*44/12</f>
        <v>0</v>
      </c>
      <c r="ED139" s="143">
        <f t="shared" si="19"/>
        <v>28.01830536</v>
      </c>
      <c r="EE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1" t="str">
        <f>VLOOKUP(A139,'Données projet'!$A$191:$I$211,2,0)</f>
        <v>#N/A</v>
      </c>
      <c r="EH139" s="131" t="str">
        <f>VLOOKUP(A139,'Données projet'!$A$191:$I$211,9,0)</f>
        <v>#N/A</v>
      </c>
      <c r="EI139" s="131" t="str">
        <f t="array" ref="EI139">INDEX(EH:EH,MIN(IF(ISNUMBER(EH139:EH335),ROW(EH139:EH335),"")))</f>
        <v/>
      </c>
      <c r="EJ139" s="138">
        <f>IF('Données projet'!$A$192&gt;35,EJ138+EI139-ER138,IF(A139&lt;'Données projet'!$A$192,$EG$205^A139,IF(A139='Données projet'!$A$192,'Données projet'!$B$192,EJ138+EI139-ER138)))</f>
        <v>0</v>
      </c>
      <c r="EK139" s="138">
        <f>EJ139*VLOOKUP('Données projet'!$B$15,'Paramètres'!$A$1:$I$89,3,0)*VLOOKUP('Données projet'!$B$15,'Paramètres'!$A$1:$I$89,5,0)</f>
        <v>0</v>
      </c>
      <c r="EL139" s="130" t="str">
        <f t="shared" si="46"/>
        <v>#NUM!</v>
      </c>
      <c r="EM139" s="141" t="str">
        <f t="shared" si="20"/>
        <v>#NUM!</v>
      </c>
      <c r="EN139" s="133" t="str">
        <f t="shared" si="21"/>
        <v>#NUM!</v>
      </c>
      <c r="EO139" s="133">
        <f>AVERAGE(OFFSET($EN$3,0,0,'Données projet'!$E$15+1,1))-AVERAGE(OFFSET($H$3,0,0,'Données projet'!$E$15+1,1))</f>
        <v>130.3193339</v>
      </c>
      <c r="EP139" s="133">
        <f t="shared" si="47"/>
        <v>82.22784365</v>
      </c>
      <c r="EQ139" s="134">
        <f>IF(ISNA(VLOOKUP(A139,'Données projet'!$A$191:$I$211,3,0)),0,VLOOKUP(A139,'Données projet'!$A$191:$I$211,3,0))</f>
        <v>0</v>
      </c>
      <c r="ER139" s="134">
        <f>IF(ISNA(VLOOKUP(A139,'Données projet'!$A$191:$I$211,4,0)),0,VLOOKUP(A139,'Données projet'!$A$191:$I$211,4,0))</f>
        <v>0</v>
      </c>
      <c r="ES139" s="135">
        <f>IF(ISNA(VLOOKUP(A139,'Données projet'!$A$191:$I$211,5,0)),0%,VLOOKUP(A139,'Données projet'!$A$191:$I$211,5,0)*VLOOKUP('Données projet'!$B$15,'Paramètres'!$A$1:$I$89,7,0))</f>
        <v>0</v>
      </c>
      <c r="ET139" s="135">
        <f>IF(ISNA(VLOOKUP(A139,'Données projet'!$A$191:$I$211,6,0)),0%,VLOOKUP(A139,'Données projet'!$A$191:$I$211,6,0)*VLOOKUP('Données projet'!$B$15,'Paramètres'!$A$1:$I$89,7,0))</f>
        <v>0</v>
      </c>
      <c r="EU139" s="135">
        <f>IF(ISNA(VLOOKUP(A139,'Données projet'!$A$191:$I$211,7,0)),0%,VLOOKUP(A139,'Données projet'!$A$191:$I$211,7,0))</f>
        <v>0</v>
      </c>
      <c r="EV139" s="142">
        <f>EXP(-LN(2)/35)*EV138+(1-EXP(-LN(2)/35))/(LN(2)/35)*ER139*ES139*VLOOKUP('Données projet'!$B$15,'Paramètres'!$A$1:$I$89,3,0)*0.475*44/12</f>
        <v>35.05096501</v>
      </c>
      <c r="EW139" s="142">
        <f>EXP(-LN(2)/25)*EW138+(1-EXP(-LN(2)/25))/(LN(2)/25)*Calculateur!ER139*Calculateur!ET139*VLOOKUP('Données projet'!$B$15,'Paramètres'!$A$1:$I$89,3,0)*0.475*44/12</f>
        <v>0</v>
      </c>
      <c r="EX139" s="142">
        <f>EXP(-LN(2)/2)*EX138+(1-EXP(-LN(2)/2))/(LN(2)/2)*ER139*EU139*VLOOKUP('Données projet'!$B$15,'Paramètres'!$A$1:$I$89,3,0)*0.475*44/12</f>
        <v>0</v>
      </c>
      <c r="EY139" s="143">
        <f t="shared" si="22"/>
        <v>35.05096501</v>
      </c>
      <c r="EZ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1" t="str">
        <f>VLOOKUP(A139,'Données projet'!$A$217:$I$237,2,0)</f>
        <v>#N/A</v>
      </c>
      <c r="FC139" s="131" t="str">
        <f>VLOOKUP(A139,'Données projet'!$A$217:$I$237,9,0)</f>
        <v>#N/A</v>
      </c>
      <c r="FD139" s="131" t="str">
        <f t="array" ref="FD139">INDEX(FC:FC,MIN(IF(ISNUMBER(FC139:FC335),ROW(FC139:FC335),"")))</f>
        <v/>
      </c>
      <c r="FE139" s="130">
        <f>IF('Données projet'!$A$218&gt;35,FE138+FD139-FM138,IF(A139&lt;'Données projet'!$A$218,$FB$205^A139,IF(A139='Données projet'!$A$218,'Données projet'!$B$218,FE138+FD139-FM138)))</f>
        <v>0</v>
      </c>
      <c r="FF139" s="138">
        <f>FE139*VLOOKUP('Données projet'!$B$16,'Paramètres'!$A$1:$I$89,3,0)*VLOOKUP('Données projet'!$B$16,'Paramètres'!$A$1:$I$89,5,0)</f>
        <v>0</v>
      </c>
      <c r="FG139" s="130">
        <f t="shared" si="48"/>
        <v>0</v>
      </c>
      <c r="FH139" s="141">
        <f t="shared" si="23"/>
        <v>0</v>
      </c>
      <c r="FI139" s="133">
        <f t="shared" si="24"/>
        <v>293.3333333</v>
      </c>
      <c r="FJ139" s="133">
        <f>AVERAGE(OFFSET($FI$3,0,0,'Données projet'!$E$16+1,1))-AVERAGE(OFFSET($H$3,0,0,'Données projet'!$E$16+1,1))</f>
        <v>305.6252353</v>
      </c>
      <c r="FK139" s="133">
        <f t="shared" si="49"/>
        <v>331.397916</v>
      </c>
      <c r="FL139" s="134">
        <f>IF(ISNA(VLOOKUP(A139,'Données projet'!$A$217:$I$237,3,0)),0,VLOOKUP(A139,'Données projet'!$A$217:$I$237,3,0))</f>
        <v>0</v>
      </c>
      <c r="FM139" s="134">
        <f>IF(ISNA(VLOOKUP(A139,'Données projet'!$A$217:$I$237,4,0)),0,VLOOKUP(A139,'Données projet'!$A$217:$I$237,4,0))</f>
        <v>0</v>
      </c>
      <c r="FN139" s="135">
        <f>IF(ISNA(VLOOKUP(A139,'Données projet'!$A$217:$I$237,5,0)),0%,VLOOKUP(A139,'Données projet'!$A$217:$I$237,5,0)*VLOOKUP('Données projet'!$B$16,'Paramètres'!$A$1:$I$89,7,0))</f>
        <v>0</v>
      </c>
      <c r="FO139" s="135">
        <f>IF(ISNA(VLOOKUP(A139,'Données projet'!$A$217:$I$237,6,0)),0%,VLOOKUP(A139,'Données projet'!$A$217:$I$237,6,0)*VLOOKUP('Données projet'!$B$16,'Paramètres'!$A$1:$I$89,7,0))</f>
        <v>0</v>
      </c>
      <c r="FP139" s="135">
        <f>IF(ISNA(VLOOKUP(A139,'Données projet'!$A$217:$I$237,7,0)),0%,VLOOKUP(A139,'Données projet'!$A$217:$I$237,7,0))</f>
        <v>0</v>
      </c>
      <c r="FQ139" s="142">
        <f>EXP(-LN(2)/35)*FQ138+(1-EXP(-LN(2)/35))/(LN(2)/35)*FM139*FN139*VLOOKUP('Données projet'!$B$16,'Paramètres'!$A$1:$I$89,3,0)*0.475*44/12</f>
        <v>21.82377832</v>
      </c>
      <c r="FR139" s="142">
        <f>EXP(-LN(2)/25)*FR138+(1-EXP(-LN(2)/25))/(LN(2)/25)*Calculateur!FM139*Calculateur!FO139*VLOOKUP('Données projet'!$B$16,'Paramètres'!$A$1:$I$89,3,0)*0.475*44/12</f>
        <v>0</v>
      </c>
      <c r="FS139" s="142">
        <f>EXP(-LN(2)/2)*FS138+(1-EXP(-LN(2)/2))/(LN(2)/2)*FM139*FP139*VLOOKUP('Données projet'!$B$16,'Paramètres'!$A$1:$I$89,3,0)*0.475*44/12</f>
        <v>0</v>
      </c>
      <c r="FT139" s="143">
        <f t="shared" si="25"/>
        <v>21.82377832</v>
      </c>
      <c r="FU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1" t="str">
        <f>VLOOKUP(A139,'Données projet'!$A$243:$I$263,2,0)</f>
        <v>#N/A</v>
      </c>
      <c r="FX139" s="131" t="str">
        <f>VLOOKUP(A139,'Données projet'!$A$243:$I$263,9,0)</f>
        <v>#N/A</v>
      </c>
      <c r="FY139" s="131" t="str">
        <f t="array" ref="FY139">INDEX(FX:FX,MIN(IF(ISNUMBER(FX139:FX335),ROW(FX139:FX335),"")))</f>
        <v/>
      </c>
      <c r="FZ139" s="138">
        <f>IF('Données projet'!$A$244&gt;35,FZ138+FY139-GH138,IF(A139&lt;'Données projet'!$A$244,$FW$205^A139,IF(A139='Données projet'!$A$244,'Données projet'!$B$244,FZ138+FY139-GH138)))</f>
        <v>0</v>
      </c>
      <c r="GA139" s="138">
        <f>FZ139*VLOOKUP('Données projet'!$B$17,'Paramètres'!$A$1:$I$89,3,0)*VLOOKUP('Données projet'!$B$17,'Paramètres'!$A$1:$I$89,5,0)</f>
        <v>0</v>
      </c>
      <c r="GB139" s="130">
        <f t="shared" si="50"/>
        <v>0</v>
      </c>
      <c r="GC139" s="141">
        <f t="shared" si="26"/>
        <v>0</v>
      </c>
      <c r="GD139" s="133">
        <f t="shared" si="27"/>
        <v>293.3333333</v>
      </c>
      <c r="GE139" s="133">
        <f>AVERAGE(OFFSET($GD$3,0,0,'Données projet'!$E$17+1,1))-AVERAGE(OFFSET($H$3,0,0,'Données projet'!$E$17+1,1))</f>
        <v>118.7368745</v>
      </c>
      <c r="GF139" s="133">
        <f t="shared" si="51"/>
        <v>135.1233677</v>
      </c>
      <c r="GG139" s="134">
        <f>IF(ISNA(VLOOKUP(A139,'Données projet'!$A$243:$I$263,3,0)),0,VLOOKUP(A139,'Données projet'!$A$243:$I$263,3,0))</f>
        <v>0</v>
      </c>
      <c r="GH139" s="134">
        <f>IF(ISNA(VLOOKUP(A139,'Données projet'!$A$243:$I$263,4,0)),0,VLOOKUP(A139,'Données projet'!$A$243:$I$263,4,0))</f>
        <v>0</v>
      </c>
      <c r="GI139" s="135">
        <f>IF(ISNA(VLOOKUP(A139,'Données projet'!$A$243:$I$263,5,0)),0%,VLOOKUP(A139,'Données projet'!$A$243:$I$263,5,0)*VLOOKUP('Données projet'!$B$17,'Paramètres'!$A$1:$I$89,7,0))</f>
        <v>0</v>
      </c>
      <c r="GJ139" s="135">
        <f>IF(ISNA(VLOOKUP(A139,'Données projet'!$A$243:$I$263,6,0)),0%,VLOOKUP(A139,'Données projet'!$A$243:$I$263,6,0)*VLOOKUP('Données projet'!$B$17,'Paramètres'!$A$1:$I$89,7,0))</f>
        <v>0</v>
      </c>
      <c r="GK139" s="135">
        <f>IF(ISNA(VLOOKUP(A139,'Données projet'!$A$243:$I$263,7,0)),0%,VLOOKUP(A139,'Données projet'!$A$243:$I$263,7,0))</f>
        <v>0</v>
      </c>
      <c r="GL139" s="142">
        <f>EXP(-LN(2)/35)*GL138+(1-EXP(-LN(2)/35))/(LN(2)/35)*GH139*GI139*VLOOKUP('Données projet'!$B$17,'Paramètres'!$A$1:$I$89,3,0)*0.475*44/12</f>
        <v>23.05675431</v>
      </c>
      <c r="GM139" s="142">
        <f>EXP(-LN(2)/25)*GM138+(1-EXP(-LN(2)/25))/(LN(2)/25)*Calculateur!GH139*Calculateur!GJ139*VLOOKUP('Données projet'!$B$17,'Paramètres'!$A$1:$I$89,3,0)*0.475*44/12</f>
        <v>0</v>
      </c>
      <c r="GN139" s="142">
        <f>EXP(-LN(2)/2)*GN138+(1-EXP(-LN(2)/2))/(LN(2)/2)*GH139*GK139*VLOOKUP('Données projet'!$B$17,'Paramètres'!$A$1:$I$89,3,0)*0.475*44/12</f>
        <v>0</v>
      </c>
      <c r="GO139" s="142">
        <f t="shared" si="28"/>
        <v>23.05675431</v>
      </c>
      <c r="GP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1" t="str">
        <f>VLOOKUP(A139,'Données projet'!$A$269:$I$289,2,0)</f>
        <v>#N/A</v>
      </c>
      <c r="GS139" s="131" t="str">
        <f>VLOOKUP(A139,'Données projet'!$A$269:$I$289,9,0)</f>
        <v>#N/A</v>
      </c>
      <c r="GT139" s="131" t="str">
        <f t="array" ref="GT139">INDEX(GS:GS,MIN(IF(ISNUMBER(GS139:GS335),ROW(GS139:GS335),"")))</f>
        <v/>
      </c>
      <c r="GU139" s="138">
        <f>IF('Données projet'!$A$270&gt;35,GU138+GT139-HC138,IF(A139&lt;'Données projet'!$A$270,$GR$205^A139,IF(A139='Données projet'!$A$270,'Données projet'!$B$270,GU138+GT139-HC138)))</f>
        <v>0</v>
      </c>
      <c r="GV139" s="138">
        <f>GU139*VLOOKUP('Données projet'!$B$18,'Paramètres'!$A$1:$I$89,3,0)*VLOOKUP('Données projet'!$B$18,'Paramètres'!$A$1:$I$89,5,0)</f>
        <v>0</v>
      </c>
      <c r="GW139" s="130" t="str">
        <f t="shared" si="52"/>
        <v>#NUM!</v>
      </c>
      <c r="GX139" s="141" t="str">
        <f t="shared" si="29"/>
        <v>#NUM!</v>
      </c>
      <c r="GY139" s="133" t="str">
        <f t="shared" si="30"/>
        <v>#NUM!</v>
      </c>
      <c r="GZ139" s="133">
        <f>AVERAGE(OFFSET($GY$3,0,0,'Données projet'!$E$18+1,1))-AVERAGE(OFFSET($H$3,0,0,'Données projet'!$E$18+1,1))</f>
        <v>100.5427875</v>
      </c>
      <c r="HA139" s="133">
        <f t="shared" si="53"/>
        <v>92.28663609</v>
      </c>
      <c r="HB139" s="134">
        <f>IF(ISNA(VLOOKUP(A139,'Données projet'!$A$269:$I$289,3,0)),0,VLOOKUP(A139,'Données projet'!$A$269:$I$289,3,0))</f>
        <v>0</v>
      </c>
      <c r="HC139" s="134">
        <f>IF(ISNA(VLOOKUP(A139,'Données projet'!$A$269:$I$289,4,0)),0,VLOOKUP(A139,'Données projet'!$A$269:$I$289,4,0))</f>
        <v>0</v>
      </c>
      <c r="HD139" s="135">
        <f>IF(ISNA(VLOOKUP(A139,'Données projet'!$A$269:$I$289,5,0)),0%,VLOOKUP(A139,'Données projet'!$A$269:$I$289,5,0)*VLOOKUP('Données projet'!$B$18,'Paramètres'!$A$1:$I$89,7,0))</f>
        <v>0</v>
      </c>
      <c r="HE139" s="135">
        <f>IF(ISNA(VLOOKUP(A139,'Données projet'!$A$269:$I$289,6,0)),0%,VLOOKUP(A139,'Données projet'!$A$269:$I$289,6,0)*VLOOKUP('Données projet'!$B$18,'Paramètres'!$A$1:$I$89,7,0))</f>
        <v>0</v>
      </c>
      <c r="HF139" s="135">
        <f>IF(ISNA(VLOOKUP(A139,'Données projet'!$A$269:$I$289,7,0)),0%,VLOOKUP(A139,'Données projet'!$A$269:$I$289,7,0))</f>
        <v>0</v>
      </c>
      <c r="HG139" s="142">
        <f>EXP(-LN(2)/35)*HG138+(1-EXP(-LN(2)/35))/(LN(2)/35)*HC139*HD139*VLOOKUP('Données projet'!$B$18,'Paramètres'!$A$1:$I$89,3,0)*0.475*44/12</f>
        <v>15.70116327</v>
      </c>
      <c r="HH139" s="142">
        <f>EXP(-LN(2)/25)*HH138+(1-EXP(-LN(2)/25))/(LN(2)/25)*Calculateur!HC139*Calculateur!HE139*VLOOKUP('Données projet'!$B$18,'Paramètres'!$A$1:$I$89,3,0)*0.475*44/12</f>
        <v>0</v>
      </c>
      <c r="HI139" s="142">
        <f>EXP(-LN(2)/2)*HI138+(1-EXP(-LN(2)/2))/(LN(2)/2)*HC139*HF139*VLOOKUP('Données projet'!$B$18,'Paramètres'!$A$1:$I$89,3,0)*0.475*44/12</f>
        <v>0</v>
      </c>
      <c r="HJ139" s="143">
        <f t="shared" si="31"/>
        <v>15.70116327</v>
      </c>
    </row>
    <row r="140" ht="15.75" customHeight="1">
      <c r="A140" s="125">
        <f t="shared" si="32"/>
        <v>137</v>
      </c>
      <c r="B140" s="126">
        <f>'Scénario référence'!$B$16*5+'Scénario référence'!$B$17*0+'Scénario référence'!$B$18*5</f>
        <v>0</v>
      </c>
      <c r="C140" s="140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74.802</v>
      </c>
      <c r="D140" s="127">
        <f t="shared" si="33"/>
        <v>20.86131962</v>
      </c>
      <c r="E14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7">
        <f>IF(OR('Scénario référence'!$F$8&gt;0,'Scénario référence'!$F$9&gt;0),('Scénario référence'!$F$8+'Scénario référence'!$F$9)*10,0)</f>
        <v>10</v>
      </c>
      <c r="G140" s="127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</v>
      </c>
      <c r="H140" s="128">
        <f t="shared" si="1"/>
        <v>459.9469483</v>
      </c>
      <c r="I140" s="12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1" t="str">
        <f>VLOOKUP(A140,'Données projet'!$A$35:$I$55,2,0)</f>
        <v>#N/A</v>
      </c>
      <c r="L140" s="131" t="str">
        <f>VLOOKUP(A140,'Données projet'!$A$35:$I$55,9,0)</f>
        <v>#N/A</v>
      </c>
      <c r="M140" s="131" t="str">
        <f t="array" ref="M140">INDEX(L:L,MIN(IF(ISNUMBER(L140:L336),ROW(L140:L336),"")))</f>
        <v/>
      </c>
      <c r="N140" s="130">
        <f>IF('Données projet'!$A$36&gt;35,N139+M140-V139,IF(A140&lt;'Données projet'!$A$36,$K$205^A140,IF(A140='Données projet'!$A$36,'Données projet'!$B$36,N139+M140-V139)))</f>
        <v>0</v>
      </c>
      <c r="O140" s="130">
        <f>N140*VLOOKUP('Données projet'!$B$9,'Paramètres'!$A$1:$I$89,3,0)*VLOOKUP('Données projet'!$B$9,'Paramètres'!$A$1:$I$89,5,0)</f>
        <v>0</v>
      </c>
      <c r="P140" s="130">
        <f t="shared" si="34"/>
        <v>0</v>
      </c>
      <c r="Q140" s="141">
        <f t="shared" si="2"/>
        <v>0</v>
      </c>
      <c r="R140" s="133">
        <f t="shared" si="3"/>
        <v>293.3333333</v>
      </c>
      <c r="S140" s="133">
        <f>AVERAGE(OFFSET($R$3,0,0,'Données projet'!$E$9+1,1))-AVERAGE(OFFSET($H$3,0,0,'Données projet'!$E$9+1,1))</f>
        <v>126.9946492</v>
      </c>
      <c r="T140" s="133">
        <f t="shared" si="35"/>
        <v>140.039049</v>
      </c>
      <c r="U140" s="134">
        <f>IF(ISNA(VLOOKUP(A140,'Données projet'!$A$35:$I$55,3,0)),0,VLOOKUP(A140,'Données projet'!$A$35:$I$55,3,0))</f>
        <v>0</v>
      </c>
      <c r="V140" s="134">
        <f>IF(ISNA(VLOOKUP(A140,'Données projet'!$A$35:$I$55,4,0)),0,VLOOKUP(A140,'Données projet'!$A$35:$I$55,4,0))</f>
        <v>0</v>
      </c>
      <c r="W140" s="135">
        <f>IF(ISNA(VLOOKUP(A140,'Données projet'!$A$35:$I$55,5,0)),0%,VLOOKUP(A140,'Données projet'!$A$35:$I$55,5,0)*VLOOKUP('Données projet'!$B$9,'Paramètres'!$A$1:$I$89,7,0))</f>
        <v>0</v>
      </c>
      <c r="X140" s="135">
        <f>IF(ISNA(VLOOKUP(A140,'Données projet'!$A$35:$I$55,6,0)),0%,VLOOKUP(A140,'Données projet'!$A$35:$I$55,6,0)*VLOOKUP('Données projet'!$B$9,'Paramètres'!$A$1:$I$89,7,0))</f>
        <v>0</v>
      </c>
      <c r="Y140" s="135">
        <f>IF(ISNA(VLOOKUP(A140,'Données projet'!$A$35:$I$55,7,0)),0%,VLOOKUP(A140,'Données projet'!$A$35:$I$55,7,0))</f>
        <v>0</v>
      </c>
      <c r="Z140" s="142">
        <f>EXP(-LN(2)/35)*Z139+(1-EXP(-LN(2)/35))/(LN(2)/35)*V140*W140*VLOOKUP('Données projet'!$B$9,'Paramètres'!$A$1:$I$89,3,0)*0.475*44/12</f>
        <v>23.11949993</v>
      </c>
      <c r="AA140" s="142">
        <f>EXP(-LN(2)/25)*AA139+(1-EXP(-LN(2)/25))/(LN(2)/25)*Calculateur!V140*Calculateur!X140*VLOOKUP('Données projet'!$B$9,'Paramètres'!$A$1:$I$89,3,0)*0.475*44/12</f>
        <v>2.748137508</v>
      </c>
      <c r="AB140" s="142">
        <f>EXP(-LN(2)/2)*AB139+(1-EXP(-LN(2)/2))/(LN(2)/2)*V140*Y140*VLOOKUP('Données projet'!$B$9,'Paramètres'!$A$1:$I$89,3,0)*0.475*44/12</f>
        <v>0</v>
      </c>
      <c r="AC140" s="143">
        <f t="shared" si="4"/>
        <v>25.86763744</v>
      </c>
      <c r="AD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1" t="str">
        <f>VLOOKUP(A140,'Données projet'!$A$61:$I$81,2,0)</f>
        <v>#N/A</v>
      </c>
      <c r="AG140" s="131" t="str">
        <f>VLOOKUP(A140,'Données projet'!$A$61:$I$81,9,0)</f>
        <v>#N/A</v>
      </c>
      <c r="AH140" s="131" t="str">
        <f t="array" ref="AH140">INDEX(AG:AG,MIN(IF(ISNUMBER(AG140:AG336),ROW(AG140:AG336),"")))</f>
        <v/>
      </c>
      <c r="AI140" s="130">
        <f>IF('Données projet'!$A$62&gt;35,AI139+AH140-AQ139,IF(A140&lt;'Données projet'!$A$62,$AF$205^A140,IF(A140='Données projet'!$A$62,'Données projet'!$B$62,AI139+AH140-AQ139)))</f>
        <v>0</v>
      </c>
      <c r="AJ140" s="130">
        <f>AI140*VLOOKUP('Données projet'!$B$10,'Paramètres'!$A$1:$I$89,3,0)*VLOOKUP('Données projet'!$B$10,'Paramètres'!$A$1:$I$89,5,0)</f>
        <v>0</v>
      </c>
      <c r="AK140" s="130" t="str">
        <f t="shared" si="36"/>
        <v>#NUM!</v>
      </c>
      <c r="AL140" s="141" t="str">
        <f t="shared" si="5"/>
        <v>#NUM!</v>
      </c>
      <c r="AM140" s="133" t="str">
        <f t="shared" si="6"/>
        <v>#NUM!</v>
      </c>
      <c r="AN140" s="133">
        <f>AVERAGE(OFFSET($AM$3,0,0,'Données projet'!$E$10+1,1))-AVERAGE(OFFSET($H$3,0,0,'Données projet'!$E$10+1,1))</f>
        <v>196.874484</v>
      </c>
      <c r="AO140" s="133">
        <f t="shared" si="37"/>
        <v>217.5750859</v>
      </c>
      <c r="AP140" s="134">
        <f>IF(ISNA(VLOOKUP(A140,'Données projet'!$A$61:$I$81,3,0)),0,VLOOKUP(A140,'Données projet'!$A$61:$I$81,3,0))</f>
        <v>0</v>
      </c>
      <c r="AQ140" s="134">
        <f>IF(ISNA(VLOOKUP(A140,'Données projet'!$A$61:$I$81,4,0)),0,VLOOKUP(A140,'Données projet'!$A$61:$I$81,4,0))</f>
        <v>0</v>
      </c>
      <c r="AR140" s="135">
        <f>IF(ISNA(VLOOKUP(A140,'Données projet'!$A$61:$I$81,5,0)),0%,VLOOKUP(A140,'Données projet'!$A$61:$I$81,5,0)*VLOOKUP('Données projet'!$B$10,'Paramètres'!$A$1:$I$89,7,0))</f>
        <v>0</v>
      </c>
      <c r="AS140" s="135">
        <f>IF(ISNA(VLOOKUP(A140,'Données projet'!$A$61:$I$81,6,0)),0%,VLOOKUP(A140,'Données projet'!$A$61:$I$81,6,0)*VLOOKUP('Données projet'!$B$10,'Paramètres'!$A$1:$I$89,7,0))</f>
        <v>0</v>
      </c>
      <c r="AT140" s="135">
        <f>IF(ISNA(VLOOKUP(A140,'Données projet'!$A$61:$I$81,7,0)),0%,VLOOKUP(A140,'Données projet'!$A$61:$I$81,7,0))</f>
        <v>0</v>
      </c>
      <c r="AU140" s="142">
        <f>EXP(-LN(2)/35)*AU139+(1-EXP(-LN(2)/35))/(LN(2)/35)*AQ140*AR140*VLOOKUP('Données projet'!$B$10,'Paramètres'!$A$1:$I$89,3,0)*0.475*44/12</f>
        <v>32.13544823</v>
      </c>
      <c r="AV140" s="142">
        <f>EXP(-LN(2)/25)*AV139+(1-EXP(-LN(2)/25))/(LN(2)/25)*Calculateur!AQ140*Calculateur!AS140*VLOOKUP('Données projet'!$B$10,'Paramètres'!$A$1:$I$89,3,0)*0.475*44/12</f>
        <v>4.22526509</v>
      </c>
      <c r="AW140" s="142">
        <f>EXP(-LN(2)/2)*AW139+(1-EXP(-LN(2)/2))/(LN(2)/2)*AQ140*AT140*VLOOKUP('Données projet'!$B$10,'Paramètres'!$A$1:$I$89,3,0)*0.475*44/12</f>
        <v>0</v>
      </c>
      <c r="AX140" s="142">
        <f t="shared" si="7"/>
        <v>36.36071332</v>
      </c>
      <c r="AY140" s="13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1" t="str">
        <f>VLOOKUP(A140,'Données projet'!$A$87:$I$107,2,0)</f>
        <v>#N/A</v>
      </c>
      <c r="BB140" s="131" t="str">
        <f>VLOOKUP(A140,'Données projet'!$A$87:$I$107,9,0)</f>
        <v>#N/A</v>
      </c>
      <c r="BC140" s="131" t="str">
        <f t="array" ref="BC140">INDEX(BB:BB,MIN(IF(ISNUMBER(BB140:BB336),ROW(BB140:BB336),"")))</f>
        <v/>
      </c>
      <c r="BD140" s="130">
        <f>IF('Données projet'!$A$88&gt;35,BD139+BC140-BL139,IF(A140&lt;'Données projet'!$A$88,$BA$205^A140,IF(A140='Données projet'!$A$88,'Données projet'!$B$88,BD139+BC140-BL139)))</f>
        <v>0</v>
      </c>
      <c r="BE140" s="130">
        <f>BD140*VLOOKUP('Données projet'!$B$11,'Paramètres'!$A$1:$I$89,3,0)*VLOOKUP('Données projet'!$B$11,'Paramètres'!$A$1:$I$89,5,0)</f>
        <v>0</v>
      </c>
      <c r="BF140" s="130" t="str">
        <f t="shared" si="38"/>
        <v>#NUM!</v>
      </c>
      <c r="BG140" s="141" t="str">
        <f t="shared" si="8"/>
        <v>#NUM!</v>
      </c>
      <c r="BH140" s="133" t="str">
        <f t="shared" si="9"/>
        <v>#NUM!</v>
      </c>
      <c r="BI140" s="133">
        <f>AVERAGE(OFFSET($BH$3,0,0,'Données projet'!$E$11+1,1))-AVERAGE(OFFSET($H$3,0,0,'Données projet'!$E$11+1,1))</f>
        <v>134.0948534</v>
      </c>
      <c r="BJ140" s="133">
        <f t="shared" si="39"/>
        <v>108.4102536</v>
      </c>
      <c r="BK140" s="134">
        <f>IF(ISNA(VLOOKUP(A140,'Données projet'!$A$87:$I$107,3,0)),0,VLOOKUP(A140,'Données projet'!$A$87:$I$107,3,0))</f>
        <v>0</v>
      </c>
      <c r="BL140" s="134">
        <f>IF(ISNA(VLOOKUP(A140,'Données projet'!$A$87:$I$107,4,0)),0,VLOOKUP(A140,'Données projet'!$A$87:$I$107,4,0))</f>
        <v>0</v>
      </c>
      <c r="BM140" s="135">
        <f>IF(ISNA(VLOOKUP(A140,'Données projet'!$A$87:$I$107,5,0)),0%,VLOOKUP(A140,'Données projet'!$A$87:$I$107,5,0)*VLOOKUP('Données projet'!$B$11,'Paramètres'!$A$1:$I$89,7,0))</f>
        <v>0</v>
      </c>
      <c r="BN140" s="135">
        <f>IF(ISNA(VLOOKUP(A140,'Données projet'!$A$87:$I$107,6,0)),0%,VLOOKUP(A140,'Données projet'!$A$87:$I$107,6,0)*VLOOKUP('Données projet'!$B$11,'Paramètres'!$A$1:$I$89,7,0))</f>
        <v>0</v>
      </c>
      <c r="BO140" s="135">
        <f>IF(ISNA(VLOOKUP(A140,'Données projet'!$A$87:$I$107,7,0)),0%,VLOOKUP(A140,'Données projet'!$A$87:$I$107,7,0))</f>
        <v>0</v>
      </c>
      <c r="BP140" s="142">
        <f>EXP(-LN(2)/35)*BP139+(1-EXP(-LN(2)/35))/(LN(2)/35)*BL140*BM140*VLOOKUP('Données projet'!$B$11,'Paramètres'!$A$1:$I$89,3,0)*0.475*44/12</f>
        <v>44.44932646</v>
      </c>
      <c r="BQ140" s="142">
        <f>EXP(-LN(2)/25)*BQ139+(1-EXP(-LN(2)/25))/(LN(2)/25)*Calculateur!BL140*Calculateur!BN140*VLOOKUP('Données projet'!$B$11,'Paramètres'!$A$1:$I$89,3,0)*0.475*44/12</f>
        <v>2.665300847</v>
      </c>
      <c r="BR140" s="142">
        <f>EXP(-LN(2)/2)*BR139+(1-EXP(-LN(2)/2))/(LN(2)/2)*BL140*BO140*VLOOKUP('Données projet'!$B$11,'Paramètres'!$A$1:$I$89,3,0)*0.475*44/12</f>
        <v>0.000000000908433282</v>
      </c>
      <c r="BS140" s="143">
        <f t="shared" si="10"/>
        <v>47.11462731</v>
      </c>
      <c r="BT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1" t="str">
        <f>VLOOKUP(A140,'Données projet'!$A$113:$I$133,2,0)</f>
        <v>#N/A</v>
      </c>
      <c r="BW140" s="131" t="str">
        <f>VLOOKUP(A140,'Données projet'!$A$113:$I$133,9,0)</f>
        <v>#N/A</v>
      </c>
      <c r="BX140" s="131" t="str">
        <f t="array" ref="BX140">INDEX(BW:BW,MIN(IF(ISNUMBER(BW140:BW336),ROW(BW140:BW336),"")))</f>
        <v/>
      </c>
      <c r="BY140" s="130">
        <f>IF('Données projet'!$A$114&gt;35,BY139+BX140-CG139,IF(A140&lt;'Données projet'!$A$114,$BV$205^A140,IF(A140='Données projet'!$A$114,'Données projet'!$B$114,BY139+BX140-CG139)))</f>
        <v>0</v>
      </c>
      <c r="BZ140" s="130">
        <f>BY140*VLOOKUP('Données projet'!$B$12,'Paramètres'!$A$1:$I$89,3,0)*VLOOKUP('Données projet'!$B$12,'Paramètres'!$A$1:$I$89,5,0)</f>
        <v>0</v>
      </c>
      <c r="CA140" s="130" t="str">
        <f t="shared" si="40"/>
        <v>#NUM!</v>
      </c>
      <c r="CB140" s="141" t="str">
        <f t="shared" si="11"/>
        <v>#NUM!</v>
      </c>
      <c r="CC140" s="133" t="str">
        <f t="shared" si="12"/>
        <v>#NUM!</v>
      </c>
      <c r="CD140" s="133">
        <f>AVERAGE(OFFSET($CC$3,0,0,'Données projet'!$E$12+1,1))-AVERAGE(OFFSET($H$3,0,0,'Données projet'!$E$12+1,1))</f>
        <v>258.1672054</v>
      </c>
      <c r="CE140" s="133">
        <f t="shared" si="41"/>
        <v>296.0724261</v>
      </c>
      <c r="CF140" s="134">
        <f>IF(ISNA(VLOOKUP(A140,'Données projet'!$A$113:$I$133,3,0)),0,VLOOKUP(A140,'Données projet'!$A$113:$I$133,3,0))</f>
        <v>0</v>
      </c>
      <c r="CG140" s="134">
        <f>IF(ISNA(VLOOKUP(A140,'Données projet'!$A$113:$I$133,4,0)),0,VLOOKUP(A140,'Données projet'!$A$113:$I$133,4,0))</f>
        <v>0</v>
      </c>
      <c r="CH140" s="135">
        <f>IF(ISNA(VLOOKUP(A140,'Données projet'!$A$113:$I$133,5,0)),0%,VLOOKUP(A140,'Données projet'!$A$113:$I$133,5,0)*VLOOKUP('Données projet'!$B$12,'Paramètres'!$A$1:$I$89,7,0))</f>
        <v>0</v>
      </c>
      <c r="CI140" s="135">
        <f>IF(ISNA(VLOOKUP(A140,'Données projet'!$A$113:$I$133,6,0)),0%,VLOOKUP(A140,'Données projet'!$A$113:$I$133,6,0)*VLOOKUP('Données projet'!$B$12,'Paramètres'!$A$1:$I$89,7,0))</f>
        <v>0</v>
      </c>
      <c r="CJ140" s="135">
        <f>IF(ISNA(VLOOKUP(A140,'Données projet'!$A$113:$I$133,7,0)),0%,VLOOKUP(A140,'Données projet'!$A$113:$I$133,7,0))</f>
        <v>0</v>
      </c>
      <c r="CK140" s="142">
        <f>EXP(-LN(2)/35)*CK139+(1-EXP(-LN(2)/35))/(LN(2)/35)*CG140*CH140*VLOOKUP('Données projet'!$B$12,'Paramètres'!$A$1:$I$89,3,0)*0.475*44/12</f>
        <v>56.19754626</v>
      </c>
      <c r="CL140" s="142">
        <f>EXP(-LN(2)/25)*CL139+(1-EXP(-LN(2)/25))/(LN(2)/25)*Calculateur!CG140*Calculateur!CI140*VLOOKUP('Données projet'!$B$12,'Paramètres'!$A$1:$I$89,3,0)*0.475*44/12</f>
        <v>4.675088987</v>
      </c>
      <c r="CM140" s="142">
        <f>EXP(-LN(2)/2)*CM139+(1-EXP(-LN(2)/2))/(LN(2)/2)*CG140*CJ140*VLOOKUP('Données projet'!$B$12,'Paramètres'!$A$1:$I$89,3,0)*0.475*44/12</f>
        <v>0</v>
      </c>
      <c r="CN140" s="143">
        <f t="shared" si="13"/>
        <v>60.87263524</v>
      </c>
      <c r="CO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1" t="str">
        <f>VLOOKUP(A140,'Données projet'!$A$139:$I$159,2,0)</f>
        <v>#N/A</v>
      </c>
      <c r="CR140" s="131" t="str">
        <f>VLOOKUP(A140,'Données projet'!$A$139:$I$159,9,0)</f>
        <v>#N/A</v>
      </c>
      <c r="CS140" s="130">
        <f t="array" ref="CS140">INDEX(CR:CR,MIN(IF(ISNUMBER(CR140:CR336),ROW(CR140:CR336),"")))</f>
        <v>0.8</v>
      </c>
      <c r="CT140" s="138">
        <f>IF('Données projet'!$A$140&gt;35,CT139+CS140-DB139,IF(A140&lt;'Données projet'!$A$140,$CQ$205^A140,IF(A140='Données projet'!$A$140,'Données projet'!$B$140,CT139+CS140-DB139)))</f>
        <v>215.6</v>
      </c>
      <c r="CU140" s="138">
        <f>CT140*VLOOKUP('Données projet'!$B$13,'Paramètres'!$A$1:$I$89,3,0)*VLOOKUP('Données projet'!$B$13,'Paramètres'!$A$1:$I$89,5,0)</f>
        <v>218.6184</v>
      </c>
      <c r="CV140" s="130">
        <f t="shared" si="42"/>
        <v>53.81449178</v>
      </c>
      <c r="CW140" s="141">
        <f t="shared" si="14"/>
        <v>474.4872865</v>
      </c>
      <c r="CX140" s="133">
        <f t="shared" si="15"/>
        <v>767.8206198</v>
      </c>
      <c r="CY140" s="133">
        <f>AVERAGE(OFFSET($CX$3,0,0,'Données projet'!$E$13+1,1))-AVERAGE(OFFSET($H$3,0,0,'Données projet'!$E$13+1,1))</f>
        <v>223.783507</v>
      </c>
      <c r="CZ140" s="133">
        <f t="shared" si="43"/>
        <v>84.92349117</v>
      </c>
      <c r="DA140" s="134">
        <f>IF(ISNA(VLOOKUP(A140,'Données projet'!$A$139:$I$159,3,0)),0,VLOOKUP(A140,'Données projet'!$A$139:$I$159,3,0))</f>
        <v>0</v>
      </c>
      <c r="DB140" s="134">
        <f>IF(ISNA(VLOOKUP(A140,'Données projet'!$A$139:$I$159,4,0)),0,VLOOKUP(A140,'Données projet'!$A$139:$I$159,4,0))</f>
        <v>0</v>
      </c>
      <c r="DC140" s="135">
        <f>IF(ISNA(VLOOKUP(A140,'Données projet'!$A$139:$I$159,5,0)),0%,VLOOKUP(A140,'Données projet'!$A$139:$I$159,5,0)*VLOOKUP('Données projet'!$B$13,'Paramètres'!$A$1:$I$89,7,0))</f>
        <v>0</v>
      </c>
      <c r="DD140" s="135">
        <f>IF(ISNA(VLOOKUP(A140,'Données projet'!$A$139:$I$159,6,0)),0%,VLOOKUP(A140,'Données projet'!$A$139:$I$159,6,0)*VLOOKUP('Données projet'!$B$13,'Paramètres'!$A$1:$I$89,7,0))</f>
        <v>0</v>
      </c>
      <c r="DE140" s="135">
        <f>IF(ISNA(VLOOKUP(A140,'Données projet'!$A$139:$I$159,7,0)),0%,VLOOKUP(A140,'Données projet'!$A$139:$I$159,7,0))</f>
        <v>0</v>
      </c>
      <c r="DF140" s="142">
        <f>EXP(-LN(2)/35)*DF139+(1-EXP(-LN(2)/35))/(LN(2)/35)*DB140*DC140*VLOOKUP('Données projet'!$B$13,'Paramètres'!$A$1:$I$89,3,0)*0.475*44/12</f>
        <v>19.2862127</v>
      </c>
      <c r="DG140" s="142">
        <f>EXP(-LN(2)/25)*DG139+(1-EXP(-LN(2)/25))/(LN(2)/25)*Calculateur!DB140*Calculateur!DD140*VLOOKUP('Données projet'!$B$13,'Paramètres'!$A$1:$I$89,3,0)*0.475*44/12</f>
        <v>0</v>
      </c>
      <c r="DH140" s="142">
        <f>EXP(-LN(2)/2)*DH139+(1-EXP(-LN(2)/2))/(LN(2)/2)*DB140*DE140*VLOOKUP('Données projet'!$B$13,'Paramètres'!$A$1:$I$89,3,0)*0.475*44/12</f>
        <v>0</v>
      </c>
      <c r="DI140" s="143">
        <f t="shared" si="16"/>
        <v>19.2862127</v>
      </c>
      <c r="DJ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1" t="str">
        <f>VLOOKUP(A140,'Données projet'!$A$165:$I$185,2,0)</f>
        <v>#N/A</v>
      </c>
      <c r="DM140" s="131" t="str">
        <f>VLOOKUP(A140,'Données projet'!$A$165:$I$185,9,0)</f>
        <v>#N/A</v>
      </c>
      <c r="DN140" s="131">
        <f t="array" ref="DN140">INDEX(DM:DM,MIN(IF(ISNUMBER(DM140:DM336),ROW(DM140:DM336),"")))</f>
        <v>0.55</v>
      </c>
      <c r="DO140" s="138">
        <f>IF('Données projet'!$A$166&gt;35,DO139+DN140-DW139,IF(A140&lt;'Données projet'!$A$166,$DL$205^A140,IF(A140='Données projet'!$A$166,'Données projet'!$B$166,DO139+DN140-DW139)))</f>
        <v>272.85</v>
      </c>
      <c r="DP140" s="138">
        <f>DO140*VLOOKUP('Données projet'!$B$14,'Paramètres'!$A$1:$I$89,3,0)*VLOOKUP('Données projet'!$B$14,'Paramètres'!$A$1:$I$89,5,0)</f>
        <v>246.87468</v>
      </c>
      <c r="DQ140" s="130">
        <f t="shared" si="44"/>
        <v>59.91621141</v>
      </c>
      <c r="DR140" s="141">
        <f t="shared" si="17"/>
        <v>534.3274692</v>
      </c>
      <c r="DS140" s="133">
        <f t="shared" si="18"/>
        <v>827.6608025</v>
      </c>
      <c r="DT140" s="133">
        <f>AVERAGE(OFFSET($DS$3,0,0,'Données projet'!$E$14+1,1))-AVERAGE(OFFSET($H$3,0,0,'Données projet'!$E$14+1,1))</f>
        <v>287.9334714</v>
      </c>
      <c r="DU140" s="133">
        <f t="shared" si="45"/>
        <v>156.6796502</v>
      </c>
      <c r="DV140" s="134">
        <f>IF(ISNA(VLOOKUP(A140,'Données projet'!$A$165:$I$185,3,0)),0,VLOOKUP(A140,'Données projet'!$A$165:$I$185,3,0))</f>
        <v>0</v>
      </c>
      <c r="DW140" s="134">
        <f>IF(ISNA(VLOOKUP(A140,'Données projet'!$A$165:$I$185,4,0)),0,VLOOKUP(A140,'Données projet'!$A$165:$I$185,4,0))</f>
        <v>0</v>
      </c>
      <c r="DX140" s="135">
        <f>IF(ISNA(VLOOKUP(A140,'Données projet'!$A$165:$I$185,5,0)),0%,VLOOKUP(A140,'Données projet'!$A$165:$I$185,5,0)*VLOOKUP('Données projet'!$B$14,'Paramètres'!$A$1:$I$89,7,0))</f>
        <v>0</v>
      </c>
      <c r="DY140" s="135">
        <f>IF(ISNA(VLOOKUP(A140,'Données projet'!$A$165:$I$185,6,0)),0%,VLOOKUP(A140,'Données projet'!$A$165:$I$185,6,0)*VLOOKUP('Données projet'!$B$14,'Paramètres'!$A$1:$I$89,7,0))</f>
        <v>0</v>
      </c>
      <c r="DZ140" s="135">
        <f>IF(ISNA(VLOOKUP(A140,'Données projet'!$A$165:$I$185,7,0)),0%,VLOOKUP(A140,'Données projet'!$A$165:$I$185,7,0))</f>
        <v>0</v>
      </c>
      <c r="EA140" s="142">
        <f>EXP(-LN(2)/35)*EA139+(1-EXP(-LN(2)/35))/(LN(2)/35)*DW140*DX140*VLOOKUP('Données projet'!$B$14,'Paramètres'!$A$1:$I$89,3,0)*0.475*44/12</f>
        <v>27.46888348</v>
      </c>
      <c r="EB140" s="142">
        <f>EXP(-LN(2)/25)*EB139+(1-EXP(-LN(2)/25))/(LN(2)/25)*Calculateur!DW140*Calculateur!DY140*VLOOKUP('Données projet'!$B$14,'Paramètres'!$A$1:$I$89,3,0)*0.475*44/12</f>
        <v>0</v>
      </c>
      <c r="EC140" s="142">
        <f>EXP(-LN(2)/2)*EC139+(1-EXP(-LN(2)/2))/(LN(2)/2)*DW140*DZ140*VLOOKUP('Données projet'!$B$14,'Paramètres'!$A$1:$I$89,3,0)*0.475*44/12</f>
        <v>0</v>
      </c>
      <c r="ED140" s="143">
        <f t="shared" si="19"/>
        <v>27.46888348</v>
      </c>
      <c r="EE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1" t="str">
        <f>VLOOKUP(A140,'Données projet'!$A$191:$I$211,2,0)</f>
        <v>#N/A</v>
      </c>
      <c r="EH140" s="131" t="str">
        <f>VLOOKUP(A140,'Données projet'!$A$191:$I$211,9,0)</f>
        <v>#N/A</v>
      </c>
      <c r="EI140" s="131" t="str">
        <f t="array" ref="EI140">INDEX(EH:EH,MIN(IF(ISNUMBER(EH140:EH336),ROW(EH140:EH336),"")))</f>
        <v/>
      </c>
      <c r="EJ140" s="138">
        <f>IF('Données projet'!$A$192&gt;35,EJ139+EI140-ER139,IF(A140&lt;'Données projet'!$A$192,$EG$205^A140,IF(A140='Données projet'!$A$192,'Données projet'!$B$192,EJ139+EI140-ER139)))</f>
        <v>0</v>
      </c>
      <c r="EK140" s="138">
        <f>EJ140*VLOOKUP('Données projet'!$B$15,'Paramètres'!$A$1:$I$89,3,0)*VLOOKUP('Données projet'!$B$15,'Paramètres'!$A$1:$I$89,5,0)</f>
        <v>0</v>
      </c>
      <c r="EL140" s="130" t="str">
        <f t="shared" si="46"/>
        <v>#NUM!</v>
      </c>
      <c r="EM140" s="141" t="str">
        <f t="shared" si="20"/>
        <v>#NUM!</v>
      </c>
      <c r="EN140" s="133" t="str">
        <f t="shared" si="21"/>
        <v>#NUM!</v>
      </c>
      <c r="EO140" s="133">
        <f>AVERAGE(OFFSET($EN$3,0,0,'Données projet'!$E$15+1,1))-AVERAGE(OFFSET($H$3,0,0,'Données projet'!$E$15+1,1))</f>
        <v>130.3193339</v>
      </c>
      <c r="EP140" s="133">
        <f t="shared" si="47"/>
        <v>82.22784365</v>
      </c>
      <c r="EQ140" s="134">
        <f>IF(ISNA(VLOOKUP(A140,'Données projet'!$A$191:$I$211,3,0)),0,VLOOKUP(A140,'Données projet'!$A$191:$I$211,3,0))</f>
        <v>0</v>
      </c>
      <c r="ER140" s="134">
        <f>IF(ISNA(VLOOKUP(A140,'Données projet'!$A$191:$I$211,4,0)),0,VLOOKUP(A140,'Données projet'!$A$191:$I$211,4,0))</f>
        <v>0</v>
      </c>
      <c r="ES140" s="135">
        <f>IF(ISNA(VLOOKUP(A140,'Données projet'!$A$191:$I$211,5,0)),0%,VLOOKUP(A140,'Données projet'!$A$191:$I$211,5,0)*VLOOKUP('Données projet'!$B$15,'Paramètres'!$A$1:$I$89,7,0))</f>
        <v>0</v>
      </c>
      <c r="ET140" s="135">
        <f>IF(ISNA(VLOOKUP(A140,'Données projet'!$A$191:$I$211,6,0)),0%,VLOOKUP(A140,'Données projet'!$A$191:$I$211,6,0)*VLOOKUP('Données projet'!$B$15,'Paramètres'!$A$1:$I$89,7,0))</f>
        <v>0</v>
      </c>
      <c r="EU140" s="135">
        <f>IF(ISNA(VLOOKUP(A140,'Données projet'!$A$191:$I$211,7,0)),0%,VLOOKUP(A140,'Données projet'!$A$191:$I$211,7,0))</f>
        <v>0</v>
      </c>
      <c r="EV140" s="142">
        <f>EXP(-LN(2)/35)*EV139+(1-EXP(-LN(2)/35))/(LN(2)/35)*ER140*ES140*VLOOKUP('Données projet'!$B$15,'Paramètres'!$A$1:$I$89,3,0)*0.475*44/12</f>
        <v>34.36363696</v>
      </c>
      <c r="EW140" s="142">
        <f>EXP(-LN(2)/25)*EW139+(1-EXP(-LN(2)/25))/(LN(2)/25)*Calculateur!ER140*Calculateur!ET140*VLOOKUP('Données projet'!$B$15,'Paramètres'!$A$1:$I$89,3,0)*0.475*44/12</f>
        <v>0</v>
      </c>
      <c r="EX140" s="142">
        <f>EXP(-LN(2)/2)*EX139+(1-EXP(-LN(2)/2))/(LN(2)/2)*ER140*EU140*VLOOKUP('Données projet'!$B$15,'Paramètres'!$A$1:$I$89,3,0)*0.475*44/12</f>
        <v>0</v>
      </c>
      <c r="EY140" s="143">
        <f t="shared" si="22"/>
        <v>34.36363696</v>
      </c>
      <c r="EZ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1" t="str">
        <f>VLOOKUP(A140,'Données projet'!$A$217:$I$237,2,0)</f>
        <v>#N/A</v>
      </c>
      <c r="FC140" s="131" t="str">
        <f>VLOOKUP(A140,'Données projet'!$A$217:$I$237,9,0)</f>
        <v>#N/A</v>
      </c>
      <c r="FD140" s="131" t="str">
        <f t="array" ref="FD140">INDEX(FC:FC,MIN(IF(ISNUMBER(FC140:FC336),ROW(FC140:FC336),"")))</f>
        <v/>
      </c>
      <c r="FE140" s="130">
        <f>IF('Données projet'!$A$218&gt;35,FE139+FD140-FM139,IF(A140&lt;'Données projet'!$A$218,$FB$205^A140,IF(A140='Données projet'!$A$218,'Données projet'!$B$218,FE139+FD140-FM139)))</f>
        <v>0</v>
      </c>
      <c r="FF140" s="138">
        <f>FE140*VLOOKUP('Données projet'!$B$16,'Paramètres'!$A$1:$I$89,3,0)*VLOOKUP('Données projet'!$B$16,'Paramètres'!$A$1:$I$89,5,0)</f>
        <v>0</v>
      </c>
      <c r="FG140" s="130">
        <f t="shared" si="48"/>
        <v>0</v>
      </c>
      <c r="FH140" s="141">
        <f t="shared" si="23"/>
        <v>0</v>
      </c>
      <c r="FI140" s="133">
        <f t="shared" si="24"/>
        <v>293.3333333</v>
      </c>
      <c r="FJ140" s="133">
        <f>AVERAGE(OFFSET($FI$3,0,0,'Données projet'!$E$16+1,1))-AVERAGE(OFFSET($H$3,0,0,'Données projet'!$E$16+1,1))</f>
        <v>305.6252353</v>
      </c>
      <c r="FK140" s="133">
        <f t="shared" si="49"/>
        <v>331.397916</v>
      </c>
      <c r="FL140" s="134">
        <f>IF(ISNA(VLOOKUP(A140,'Données projet'!$A$217:$I$237,3,0)),0,VLOOKUP(A140,'Données projet'!$A$217:$I$237,3,0))</f>
        <v>0</v>
      </c>
      <c r="FM140" s="134">
        <f>IF(ISNA(VLOOKUP(A140,'Données projet'!$A$217:$I$237,4,0)),0,VLOOKUP(A140,'Données projet'!$A$217:$I$237,4,0))</f>
        <v>0</v>
      </c>
      <c r="FN140" s="135">
        <f>IF(ISNA(VLOOKUP(A140,'Données projet'!$A$217:$I$237,5,0)),0%,VLOOKUP(A140,'Données projet'!$A$217:$I$237,5,0)*VLOOKUP('Données projet'!$B$16,'Paramètres'!$A$1:$I$89,7,0))</f>
        <v>0</v>
      </c>
      <c r="FO140" s="135">
        <f>IF(ISNA(VLOOKUP(A140,'Données projet'!$A$217:$I$237,6,0)),0%,VLOOKUP(A140,'Données projet'!$A$217:$I$237,6,0)*VLOOKUP('Données projet'!$B$16,'Paramètres'!$A$1:$I$89,7,0))</f>
        <v>0</v>
      </c>
      <c r="FP140" s="135">
        <f>IF(ISNA(VLOOKUP(A140,'Données projet'!$A$217:$I$237,7,0)),0%,VLOOKUP(A140,'Données projet'!$A$217:$I$237,7,0))</f>
        <v>0</v>
      </c>
      <c r="FQ140" s="142">
        <f>EXP(-LN(2)/35)*FQ139+(1-EXP(-LN(2)/35))/(LN(2)/35)*FM140*FN140*VLOOKUP('Données projet'!$B$16,'Paramètres'!$A$1:$I$89,3,0)*0.475*44/12</f>
        <v>21.39582734</v>
      </c>
      <c r="FR140" s="142">
        <f>EXP(-LN(2)/25)*FR139+(1-EXP(-LN(2)/25))/(LN(2)/25)*Calculateur!FM140*Calculateur!FO140*VLOOKUP('Données projet'!$B$16,'Paramètres'!$A$1:$I$89,3,0)*0.475*44/12</f>
        <v>0</v>
      </c>
      <c r="FS140" s="142">
        <f>EXP(-LN(2)/2)*FS139+(1-EXP(-LN(2)/2))/(LN(2)/2)*FM140*FP140*VLOOKUP('Données projet'!$B$16,'Paramètres'!$A$1:$I$89,3,0)*0.475*44/12</f>
        <v>0</v>
      </c>
      <c r="FT140" s="143">
        <f t="shared" si="25"/>
        <v>21.39582734</v>
      </c>
      <c r="FU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1" t="str">
        <f>VLOOKUP(A140,'Données projet'!$A$243:$I$263,2,0)</f>
        <v>#N/A</v>
      </c>
      <c r="FX140" s="131" t="str">
        <f>VLOOKUP(A140,'Données projet'!$A$243:$I$263,9,0)</f>
        <v>#N/A</v>
      </c>
      <c r="FY140" s="131" t="str">
        <f t="array" ref="FY140">INDEX(FX:FX,MIN(IF(ISNUMBER(FX140:FX336),ROW(FX140:FX336),"")))</f>
        <v/>
      </c>
      <c r="FZ140" s="138">
        <f>IF('Données projet'!$A$244&gt;35,FZ139+FY140-GH139,IF(A140&lt;'Données projet'!$A$244,$FW$205^A140,IF(A140='Données projet'!$A$244,'Données projet'!$B$244,FZ139+FY140-GH139)))</f>
        <v>0</v>
      </c>
      <c r="GA140" s="138">
        <f>FZ140*VLOOKUP('Données projet'!$B$17,'Paramètres'!$A$1:$I$89,3,0)*VLOOKUP('Données projet'!$B$17,'Paramètres'!$A$1:$I$89,5,0)</f>
        <v>0</v>
      </c>
      <c r="GB140" s="130">
        <f t="shared" si="50"/>
        <v>0</v>
      </c>
      <c r="GC140" s="141">
        <f t="shared" si="26"/>
        <v>0</v>
      </c>
      <c r="GD140" s="133">
        <f t="shared" si="27"/>
        <v>293.3333333</v>
      </c>
      <c r="GE140" s="133">
        <f>AVERAGE(OFFSET($GD$3,0,0,'Données projet'!$E$17+1,1))-AVERAGE(OFFSET($H$3,0,0,'Données projet'!$E$17+1,1))</f>
        <v>118.7368745</v>
      </c>
      <c r="GF140" s="133">
        <f t="shared" si="51"/>
        <v>135.1233677</v>
      </c>
      <c r="GG140" s="134">
        <f>IF(ISNA(VLOOKUP(A140,'Données projet'!$A$243:$I$263,3,0)),0,VLOOKUP(A140,'Données projet'!$A$243:$I$263,3,0))</f>
        <v>0</v>
      </c>
      <c r="GH140" s="134">
        <f>IF(ISNA(VLOOKUP(A140,'Données projet'!$A$243:$I$263,4,0)),0,VLOOKUP(A140,'Données projet'!$A$243:$I$263,4,0))</f>
        <v>0</v>
      </c>
      <c r="GI140" s="135">
        <f>IF(ISNA(VLOOKUP(A140,'Données projet'!$A$243:$I$263,5,0)),0%,VLOOKUP(A140,'Données projet'!$A$243:$I$263,5,0)*VLOOKUP('Données projet'!$B$17,'Paramètres'!$A$1:$I$89,7,0))</f>
        <v>0</v>
      </c>
      <c r="GJ140" s="135">
        <f>IF(ISNA(VLOOKUP(A140,'Données projet'!$A$243:$I$263,6,0)),0%,VLOOKUP(A140,'Données projet'!$A$243:$I$263,6,0)*VLOOKUP('Données projet'!$B$17,'Paramètres'!$A$1:$I$89,7,0))</f>
        <v>0</v>
      </c>
      <c r="GK140" s="135">
        <f>IF(ISNA(VLOOKUP(A140,'Données projet'!$A$243:$I$263,7,0)),0%,VLOOKUP(A140,'Données projet'!$A$243:$I$263,7,0))</f>
        <v>0</v>
      </c>
      <c r="GL140" s="142">
        <f>EXP(-LN(2)/35)*GL139+(1-EXP(-LN(2)/35))/(LN(2)/35)*GH140*GI140*VLOOKUP('Données projet'!$B$17,'Paramètres'!$A$1:$I$89,3,0)*0.475*44/12</f>
        <v>22.60462542</v>
      </c>
      <c r="GM140" s="142">
        <f>EXP(-LN(2)/25)*GM139+(1-EXP(-LN(2)/25))/(LN(2)/25)*Calculateur!GH140*Calculateur!GJ140*VLOOKUP('Données projet'!$B$17,'Paramètres'!$A$1:$I$89,3,0)*0.475*44/12</f>
        <v>0</v>
      </c>
      <c r="GN140" s="142">
        <f>EXP(-LN(2)/2)*GN139+(1-EXP(-LN(2)/2))/(LN(2)/2)*GH140*GK140*VLOOKUP('Données projet'!$B$17,'Paramètres'!$A$1:$I$89,3,0)*0.475*44/12</f>
        <v>0</v>
      </c>
      <c r="GO140" s="142">
        <f t="shared" si="28"/>
        <v>22.60462542</v>
      </c>
      <c r="GP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1" t="str">
        <f>VLOOKUP(A140,'Données projet'!$A$269:$I$289,2,0)</f>
        <v>#N/A</v>
      </c>
      <c r="GS140" s="131" t="str">
        <f>VLOOKUP(A140,'Données projet'!$A$269:$I$289,9,0)</f>
        <v>#N/A</v>
      </c>
      <c r="GT140" s="131" t="str">
        <f t="array" ref="GT140">INDEX(GS:GS,MIN(IF(ISNUMBER(GS140:GS336),ROW(GS140:GS336),"")))</f>
        <v/>
      </c>
      <c r="GU140" s="138">
        <f>IF('Données projet'!$A$270&gt;35,GU139+GT140-HC139,IF(A140&lt;'Données projet'!$A$270,$GR$205^A140,IF(A140='Données projet'!$A$270,'Données projet'!$B$270,GU139+GT140-HC139)))</f>
        <v>0</v>
      </c>
      <c r="GV140" s="138">
        <f>GU140*VLOOKUP('Données projet'!$B$18,'Paramètres'!$A$1:$I$89,3,0)*VLOOKUP('Données projet'!$B$18,'Paramètres'!$A$1:$I$89,5,0)</f>
        <v>0</v>
      </c>
      <c r="GW140" s="130" t="str">
        <f t="shared" si="52"/>
        <v>#NUM!</v>
      </c>
      <c r="GX140" s="141" t="str">
        <f t="shared" si="29"/>
        <v>#NUM!</v>
      </c>
      <c r="GY140" s="133" t="str">
        <f t="shared" si="30"/>
        <v>#NUM!</v>
      </c>
      <c r="GZ140" s="133">
        <f>AVERAGE(OFFSET($GY$3,0,0,'Données projet'!$E$18+1,1))-AVERAGE(OFFSET($H$3,0,0,'Données projet'!$E$18+1,1))</f>
        <v>100.5427875</v>
      </c>
      <c r="HA140" s="133">
        <f t="shared" si="53"/>
        <v>92.28663609</v>
      </c>
      <c r="HB140" s="134">
        <f>IF(ISNA(VLOOKUP(A140,'Données projet'!$A$269:$I$289,3,0)),0,VLOOKUP(A140,'Données projet'!$A$269:$I$289,3,0))</f>
        <v>0</v>
      </c>
      <c r="HC140" s="134">
        <f>IF(ISNA(VLOOKUP(A140,'Données projet'!$A$269:$I$289,4,0)),0,VLOOKUP(A140,'Données projet'!$A$269:$I$289,4,0))</f>
        <v>0</v>
      </c>
      <c r="HD140" s="135">
        <f>IF(ISNA(VLOOKUP(A140,'Données projet'!$A$269:$I$289,5,0)),0%,VLOOKUP(A140,'Données projet'!$A$269:$I$289,5,0)*VLOOKUP('Données projet'!$B$18,'Paramètres'!$A$1:$I$89,7,0))</f>
        <v>0</v>
      </c>
      <c r="HE140" s="135">
        <f>IF(ISNA(VLOOKUP(A140,'Données projet'!$A$269:$I$289,6,0)),0%,VLOOKUP(A140,'Données projet'!$A$269:$I$289,6,0)*VLOOKUP('Données projet'!$B$18,'Paramètres'!$A$1:$I$89,7,0))</f>
        <v>0</v>
      </c>
      <c r="HF140" s="135">
        <f>IF(ISNA(VLOOKUP(A140,'Données projet'!$A$269:$I$289,7,0)),0%,VLOOKUP(A140,'Données projet'!$A$269:$I$289,7,0))</f>
        <v>0</v>
      </c>
      <c r="HG140" s="142">
        <f>EXP(-LN(2)/35)*HG139+(1-EXP(-LN(2)/35))/(LN(2)/35)*HC140*HD140*VLOOKUP('Données projet'!$B$18,'Paramètres'!$A$1:$I$89,3,0)*0.475*44/12</f>
        <v>15.39327304</v>
      </c>
      <c r="HH140" s="142">
        <f>EXP(-LN(2)/25)*HH139+(1-EXP(-LN(2)/25))/(LN(2)/25)*Calculateur!HC140*Calculateur!HE140*VLOOKUP('Données projet'!$B$18,'Paramètres'!$A$1:$I$89,3,0)*0.475*44/12</f>
        <v>0</v>
      </c>
      <c r="HI140" s="142">
        <f>EXP(-LN(2)/2)*HI139+(1-EXP(-LN(2)/2))/(LN(2)/2)*HC140*HF140*VLOOKUP('Données projet'!$B$18,'Paramètres'!$A$1:$I$89,3,0)*0.475*44/12</f>
        <v>0</v>
      </c>
      <c r="HJ140" s="143">
        <f t="shared" si="31"/>
        <v>15.39327304</v>
      </c>
    </row>
    <row r="141" ht="15.75" customHeight="1">
      <c r="A141" s="125">
        <f t="shared" si="32"/>
        <v>138</v>
      </c>
      <c r="B141" s="126">
        <f>'Scénario référence'!$B$16*5+'Scénario référence'!$B$17*0+'Scénario référence'!$B$18*5</f>
        <v>0</v>
      </c>
      <c r="C141" s="140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41" s="127">
        <f t="shared" si="33"/>
        <v>20.99581052</v>
      </c>
      <c r="E14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7">
        <f>IF(OR('Scénario référence'!$F$8&gt;0,'Scénario référence'!$F$9&gt;0),('Scénario référence'!$F$8+'Scénario référence'!$F$9)*10,0)</f>
        <v>10</v>
      </c>
      <c r="G141" s="127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</v>
      </c>
      <c r="H141" s="128">
        <f t="shared" si="1"/>
        <v>461.1321367</v>
      </c>
      <c r="I141" s="12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1" t="str">
        <f>VLOOKUP(A141,'Données projet'!$A$35:$I$55,2,0)</f>
        <v>#N/A</v>
      </c>
      <c r="L141" s="131" t="str">
        <f>VLOOKUP(A141,'Données projet'!$A$35:$I$55,9,0)</f>
        <v>#N/A</v>
      </c>
      <c r="M141" s="131" t="str">
        <f t="array" ref="M141">INDEX(L:L,MIN(IF(ISNUMBER(L141:L337),ROW(L141:L337),"")))</f>
        <v/>
      </c>
      <c r="N141" s="130">
        <f>IF('Données projet'!$A$36&gt;35,N140+M141-V140,IF(A141&lt;'Données projet'!$A$36,$K$205^A141,IF(A141='Données projet'!$A$36,'Données projet'!$B$36,N140+M141-V140)))</f>
        <v>0</v>
      </c>
      <c r="O141" s="130">
        <f>N141*VLOOKUP('Données projet'!$B$9,'Paramètres'!$A$1:$I$89,3,0)*VLOOKUP('Données projet'!$B$9,'Paramètres'!$A$1:$I$89,5,0)</f>
        <v>0</v>
      </c>
      <c r="P141" s="130">
        <f t="shared" si="34"/>
        <v>0</v>
      </c>
      <c r="Q141" s="141">
        <f t="shared" si="2"/>
        <v>0</v>
      </c>
      <c r="R141" s="133">
        <f t="shared" si="3"/>
        <v>293.3333333</v>
      </c>
      <c r="S141" s="133">
        <f>AVERAGE(OFFSET($R$3,0,0,'Données projet'!$E$9+1,1))-AVERAGE(OFFSET($H$3,0,0,'Données projet'!$E$9+1,1))</f>
        <v>126.9946492</v>
      </c>
      <c r="T141" s="133">
        <f t="shared" si="35"/>
        <v>140.039049</v>
      </c>
      <c r="U141" s="134">
        <f>IF(ISNA(VLOOKUP(A141,'Données projet'!$A$35:$I$55,3,0)),0,VLOOKUP(A141,'Données projet'!$A$35:$I$55,3,0))</f>
        <v>0</v>
      </c>
      <c r="V141" s="134">
        <f>IF(ISNA(VLOOKUP(A141,'Données projet'!$A$35:$I$55,4,0)),0,VLOOKUP(A141,'Données projet'!$A$35:$I$55,4,0))</f>
        <v>0</v>
      </c>
      <c r="W141" s="135">
        <f>IF(ISNA(VLOOKUP(A141,'Données projet'!$A$35:$I$55,5,0)),0%,VLOOKUP(A141,'Données projet'!$A$35:$I$55,5,0)*VLOOKUP('Données projet'!$B$9,'Paramètres'!$A$1:$I$89,7,0))</f>
        <v>0</v>
      </c>
      <c r="X141" s="135">
        <f>IF(ISNA(VLOOKUP(A141,'Données projet'!$A$35:$I$55,6,0)),0%,VLOOKUP(A141,'Données projet'!$A$35:$I$55,6,0)*VLOOKUP('Données projet'!$B$9,'Paramètres'!$A$1:$I$89,7,0))</f>
        <v>0</v>
      </c>
      <c r="Y141" s="135">
        <f>IF(ISNA(VLOOKUP(A141,'Données projet'!$A$35:$I$55,7,0)),0%,VLOOKUP(A141,'Données projet'!$A$35:$I$55,7,0))</f>
        <v>0</v>
      </c>
      <c r="Z141" s="142">
        <f>EXP(-LN(2)/35)*Z140+(1-EXP(-LN(2)/35))/(LN(2)/35)*V141*W141*VLOOKUP('Données projet'!$B$9,'Paramètres'!$A$1:$I$89,3,0)*0.475*44/12</f>
        <v>22.66614064</v>
      </c>
      <c r="AA141" s="142">
        <f>EXP(-LN(2)/25)*AA140+(1-EXP(-LN(2)/25))/(LN(2)/25)*Calculateur!V141*Calculateur!X141*VLOOKUP('Données projet'!$B$9,'Paramètres'!$A$1:$I$89,3,0)*0.475*44/12</f>
        <v>2.672989543</v>
      </c>
      <c r="AB141" s="142">
        <f>EXP(-LN(2)/2)*AB140+(1-EXP(-LN(2)/2))/(LN(2)/2)*V141*Y141*VLOOKUP('Données projet'!$B$9,'Paramètres'!$A$1:$I$89,3,0)*0.475*44/12</f>
        <v>0</v>
      </c>
      <c r="AC141" s="143">
        <f t="shared" si="4"/>
        <v>25.33913019</v>
      </c>
      <c r="AD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1" t="str">
        <f>VLOOKUP(A141,'Données projet'!$A$61:$I$81,2,0)</f>
        <v>#N/A</v>
      </c>
      <c r="AG141" s="131" t="str">
        <f>VLOOKUP(A141,'Données projet'!$A$61:$I$81,9,0)</f>
        <v>#N/A</v>
      </c>
      <c r="AH141" s="131" t="str">
        <f t="array" ref="AH141">INDEX(AG:AG,MIN(IF(ISNUMBER(AG141:AG337),ROW(AG141:AG337),"")))</f>
        <v/>
      </c>
      <c r="AI141" s="130">
        <f>IF('Données projet'!$A$62&gt;35,AI140+AH141-AQ140,IF(A141&lt;'Données projet'!$A$62,$AF$205^A141,IF(A141='Données projet'!$A$62,'Données projet'!$B$62,AI140+AH141-AQ140)))</f>
        <v>0</v>
      </c>
      <c r="AJ141" s="130">
        <f>AI141*VLOOKUP('Données projet'!$B$10,'Paramètres'!$A$1:$I$89,3,0)*VLOOKUP('Données projet'!$B$10,'Paramètres'!$A$1:$I$89,5,0)</f>
        <v>0</v>
      </c>
      <c r="AK141" s="130" t="str">
        <f t="shared" si="36"/>
        <v>#NUM!</v>
      </c>
      <c r="AL141" s="141" t="str">
        <f t="shared" si="5"/>
        <v>#NUM!</v>
      </c>
      <c r="AM141" s="133" t="str">
        <f t="shared" si="6"/>
        <v>#NUM!</v>
      </c>
      <c r="AN141" s="133">
        <f>AVERAGE(OFFSET($AM$3,0,0,'Données projet'!$E$10+1,1))-AVERAGE(OFFSET($H$3,0,0,'Données projet'!$E$10+1,1))</f>
        <v>196.874484</v>
      </c>
      <c r="AO141" s="133">
        <f t="shared" si="37"/>
        <v>217.5750859</v>
      </c>
      <c r="AP141" s="134">
        <f>IF(ISNA(VLOOKUP(A141,'Données projet'!$A$61:$I$81,3,0)),0,VLOOKUP(A141,'Données projet'!$A$61:$I$81,3,0))</f>
        <v>0</v>
      </c>
      <c r="AQ141" s="134">
        <f>IF(ISNA(VLOOKUP(A141,'Données projet'!$A$61:$I$81,4,0)),0,VLOOKUP(A141,'Données projet'!$A$61:$I$81,4,0))</f>
        <v>0</v>
      </c>
      <c r="AR141" s="135">
        <f>IF(ISNA(VLOOKUP(A141,'Données projet'!$A$61:$I$81,5,0)),0%,VLOOKUP(A141,'Données projet'!$A$61:$I$81,5,0)*VLOOKUP('Données projet'!$B$10,'Paramètres'!$A$1:$I$89,7,0))</f>
        <v>0</v>
      </c>
      <c r="AS141" s="135">
        <f>IF(ISNA(VLOOKUP(A141,'Données projet'!$A$61:$I$81,6,0)),0%,VLOOKUP(A141,'Données projet'!$A$61:$I$81,6,0)*VLOOKUP('Données projet'!$B$10,'Paramètres'!$A$1:$I$89,7,0))</f>
        <v>0</v>
      </c>
      <c r="AT141" s="135">
        <f>IF(ISNA(VLOOKUP(A141,'Données projet'!$A$61:$I$81,7,0)),0%,VLOOKUP(A141,'Données projet'!$A$61:$I$81,7,0))</f>
        <v>0</v>
      </c>
      <c r="AU141" s="142">
        <f>EXP(-LN(2)/35)*AU140+(1-EXP(-LN(2)/35))/(LN(2)/35)*AQ141*AR141*VLOOKUP('Données projet'!$B$10,'Paramètres'!$A$1:$I$89,3,0)*0.475*44/12</f>
        <v>31.50529169</v>
      </c>
      <c r="AV141" s="142">
        <f>EXP(-LN(2)/25)*AV140+(1-EXP(-LN(2)/25))/(LN(2)/25)*Calculateur!AQ141*Calculateur!AS141*VLOOKUP('Données projet'!$B$10,'Paramètres'!$A$1:$I$89,3,0)*0.475*44/12</f>
        <v>4.109724994</v>
      </c>
      <c r="AW141" s="142">
        <f>EXP(-LN(2)/2)*AW140+(1-EXP(-LN(2)/2))/(LN(2)/2)*AQ141*AT141*VLOOKUP('Données projet'!$B$10,'Paramètres'!$A$1:$I$89,3,0)*0.475*44/12</f>
        <v>0</v>
      </c>
      <c r="AX141" s="142">
        <f t="shared" si="7"/>
        <v>35.61501668</v>
      </c>
      <c r="AY141" s="13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1" t="str">
        <f>VLOOKUP(A141,'Données projet'!$A$87:$I$107,2,0)</f>
        <v>#N/A</v>
      </c>
      <c r="BB141" s="131" t="str">
        <f>VLOOKUP(A141,'Données projet'!$A$87:$I$107,9,0)</f>
        <v>#N/A</v>
      </c>
      <c r="BC141" s="131" t="str">
        <f t="array" ref="BC141">INDEX(BB:BB,MIN(IF(ISNUMBER(BB141:BB337),ROW(BB141:BB337),"")))</f>
        <v/>
      </c>
      <c r="BD141" s="130">
        <f>IF('Données projet'!$A$88&gt;35,BD140+BC141-BL140,IF(A141&lt;'Données projet'!$A$88,$BA$205^A141,IF(A141='Données projet'!$A$88,'Données projet'!$B$88,BD140+BC141-BL140)))</f>
        <v>0</v>
      </c>
      <c r="BE141" s="130">
        <f>BD141*VLOOKUP('Données projet'!$B$11,'Paramètres'!$A$1:$I$89,3,0)*VLOOKUP('Données projet'!$B$11,'Paramètres'!$A$1:$I$89,5,0)</f>
        <v>0</v>
      </c>
      <c r="BF141" s="130" t="str">
        <f t="shared" si="38"/>
        <v>#NUM!</v>
      </c>
      <c r="BG141" s="141" t="str">
        <f t="shared" si="8"/>
        <v>#NUM!</v>
      </c>
      <c r="BH141" s="133" t="str">
        <f t="shared" si="9"/>
        <v>#NUM!</v>
      </c>
      <c r="BI141" s="133">
        <f>AVERAGE(OFFSET($BH$3,0,0,'Données projet'!$E$11+1,1))-AVERAGE(OFFSET($H$3,0,0,'Données projet'!$E$11+1,1))</f>
        <v>134.0948534</v>
      </c>
      <c r="BJ141" s="133">
        <f t="shared" si="39"/>
        <v>108.4102536</v>
      </c>
      <c r="BK141" s="134">
        <f>IF(ISNA(VLOOKUP(A141,'Données projet'!$A$87:$I$107,3,0)),0,VLOOKUP(A141,'Données projet'!$A$87:$I$107,3,0))</f>
        <v>0</v>
      </c>
      <c r="BL141" s="134">
        <f>IF(ISNA(VLOOKUP(A141,'Données projet'!$A$87:$I$107,4,0)),0,VLOOKUP(A141,'Données projet'!$A$87:$I$107,4,0))</f>
        <v>0</v>
      </c>
      <c r="BM141" s="135">
        <f>IF(ISNA(VLOOKUP(A141,'Données projet'!$A$87:$I$107,5,0)),0%,VLOOKUP(A141,'Données projet'!$A$87:$I$107,5,0)*VLOOKUP('Données projet'!$B$11,'Paramètres'!$A$1:$I$89,7,0))</f>
        <v>0</v>
      </c>
      <c r="BN141" s="135">
        <f>IF(ISNA(VLOOKUP(A141,'Données projet'!$A$87:$I$107,6,0)),0%,VLOOKUP(A141,'Données projet'!$A$87:$I$107,6,0)*VLOOKUP('Données projet'!$B$11,'Paramètres'!$A$1:$I$89,7,0))</f>
        <v>0</v>
      </c>
      <c r="BO141" s="135">
        <f>IF(ISNA(VLOOKUP(A141,'Données projet'!$A$87:$I$107,7,0)),0%,VLOOKUP(A141,'Données projet'!$A$87:$I$107,7,0))</f>
        <v>0</v>
      </c>
      <c r="BP141" s="142">
        <f>EXP(-LN(2)/35)*BP140+(1-EXP(-LN(2)/35))/(LN(2)/35)*BL141*BM141*VLOOKUP('Données projet'!$B$11,'Paramètres'!$A$1:$I$89,3,0)*0.475*44/12</f>
        <v>43.57770228</v>
      </c>
      <c r="BQ141" s="142">
        <f>EXP(-LN(2)/25)*BQ140+(1-EXP(-LN(2)/25))/(LN(2)/25)*Calculateur!BL141*Calculateur!BN141*VLOOKUP('Données projet'!$B$11,'Paramètres'!$A$1:$I$89,3,0)*0.475*44/12</f>
        <v>2.592418055</v>
      </c>
      <c r="BR141" s="142">
        <f>EXP(-LN(2)/2)*BR140+(1-EXP(-LN(2)/2))/(LN(2)/2)*BL141*BO141*VLOOKUP('Données projet'!$B$11,'Paramètres'!$A$1:$I$89,3,0)*0.475*44/12</f>
        <v>0.0000000006423593339</v>
      </c>
      <c r="BS141" s="143">
        <f t="shared" si="10"/>
        <v>46.17012034</v>
      </c>
      <c r="BT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1" t="str">
        <f>VLOOKUP(A141,'Données projet'!$A$113:$I$133,2,0)</f>
        <v>#N/A</v>
      </c>
      <c r="BW141" s="131" t="str">
        <f>VLOOKUP(A141,'Données projet'!$A$113:$I$133,9,0)</f>
        <v>#N/A</v>
      </c>
      <c r="BX141" s="131" t="str">
        <f t="array" ref="BX141">INDEX(BW:BW,MIN(IF(ISNUMBER(BW141:BW337),ROW(BW141:BW337),"")))</f>
        <v/>
      </c>
      <c r="BY141" s="130">
        <f>IF('Données projet'!$A$114&gt;35,BY140+BX141-CG140,IF(A141&lt;'Données projet'!$A$114,$BV$205^A141,IF(A141='Données projet'!$A$114,'Données projet'!$B$114,BY140+BX141-CG140)))</f>
        <v>0</v>
      </c>
      <c r="BZ141" s="130">
        <f>BY141*VLOOKUP('Données projet'!$B$12,'Paramètres'!$A$1:$I$89,3,0)*VLOOKUP('Données projet'!$B$12,'Paramètres'!$A$1:$I$89,5,0)</f>
        <v>0</v>
      </c>
      <c r="CA141" s="130" t="str">
        <f t="shared" si="40"/>
        <v>#NUM!</v>
      </c>
      <c r="CB141" s="141" t="str">
        <f t="shared" si="11"/>
        <v>#NUM!</v>
      </c>
      <c r="CC141" s="133" t="str">
        <f t="shared" si="12"/>
        <v>#NUM!</v>
      </c>
      <c r="CD141" s="133">
        <f>AVERAGE(OFFSET($CC$3,0,0,'Données projet'!$E$12+1,1))-AVERAGE(OFFSET($H$3,0,0,'Données projet'!$E$12+1,1))</f>
        <v>258.1672054</v>
      </c>
      <c r="CE141" s="133">
        <f t="shared" si="41"/>
        <v>296.0724261</v>
      </c>
      <c r="CF141" s="134">
        <f>IF(ISNA(VLOOKUP(A141,'Données projet'!$A$113:$I$133,3,0)),0,VLOOKUP(A141,'Données projet'!$A$113:$I$133,3,0))</f>
        <v>0</v>
      </c>
      <c r="CG141" s="134">
        <f>IF(ISNA(VLOOKUP(A141,'Données projet'!$A$113:$I$133,4,0)),0,VLOOKUP(A141,'Données projet'!$A$113:$I$133,4,0))</f>
        <v>0</v>
      </c>
      <c r="CH141" s="135">
        <f>IF(ISNA(VLOOKUP(A141,'Données projet'!$A$113:$I$133,5,0)),0%,VLOOKUP(A141,'Données projet'!$A$113:$I$133,5,0)*VLOOKUP('Données projet'!$B$12,'Paramètres'!$A$1:$I$89,7,0))</f>
        <v>0</v>
      </c>
      <c r="CI141" s="135">
        <f>IF(ISNA(VLOOKUP(A141,'Données projet'!$A$113:$I$133,6,0)),0%,VLOOKUP(A141,'Données projet'!$A$113:$I$133,6,0)*VLOOKUP('Données projet'!$B$12,'Paramètres'!$A$1:$I$89,7,0))</f>
        <v>0</v>
      </c>
      <c r="CJ141" s="135">
        <f>IF(ISNA(VLOOKUP(A141,'Données projet'!$A$113:$I$133,7,0)),0%,VLOOKUP(A141,'Données projet'!$A$113:$I$133,7,0))</f>
        <v>0</v>
      </c>
      <c r="CK141" s="142">
        <f>EXP(-LN(2)/35)*CK140+(1-EXP(-LN(2)/35))/(LN(2)/35)*CG141*CH141*VLOOKUP('Données projet'!$B$12,'Paramètres'!$A$1:$I$89,3,0)*0.475*44/12</f>
        <v>55.09554665</v>
      </c>
      <c r="CL141" s="142">
        <f>EXP(-LN(2)/25)*CL140+(1-EXP(-LN(2)/25))/(LN(2)/25)*Calculateur!CG141*Calculateur!CI141*VLOOKUP('Données projet'!$B$12,'Paramètres'!$A$1:$I$89,3,0)*0.475*44/12</f>
        <v>4.547248433</v>
      </c>
      <c r="CM141" s="142">
        <f>EXP(-LN(2)/2)*CM140+(1-EXP(-LN(2)/2))/(LN(2)/2)*CG141*CJ141*VLOOKUP('Données projet'!$B$12,'Paramètres'!$A$1:$I$89,3,0)*0.475*44/12</f>
        <v>0</v>
      </c>
      <c r="CN141" s="143">
        <f t="shared" si="13"/>
        <v>59.64279508</v>
      </c>
      <c r="CO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1" t="str">
        <f>VLOOKUP(A141,'Données projet'!$A$139:$I$159,2,0)</f>
        <v>#N/A</v>
      </c>
      <c r="CR141" s="131" t="str">
        <f>VLOOKUP(A141,'Données projet'!$A$139:$I$159,9,0)</f>
        <v>#N/A</v>
      </c>
      <c r="CS141" s="130">
        <f t="array" ref="CS141">INDEX(CR:CR,MIN(IF(ISNUMBER(CR141:CR337),ROW(CR141:CR337),"")))</f>
        <v>0.8</v>
      </c>
      <c r="CT141" s="138">
        <f>IF('Données projet'!$A$140&gt;35,CT140+CS141-DB140,IF(A141&lt;'Données projet'!$A$140,$CQ$205^A141,IF(A141='Données projet'!$A$140,'Données projet'!$B$140,CT140+CS141-DB140)))</f>
        <v>216.4</v>
      </c>
      <c r="CU141" s="138">
        <f>CT141*VLOOKUP('Données projet'!$B$13,'Paramètres'!$A$1:$I$89,3,0)*VLOOKUP('Données projet'!$B$13,'Paramètres'!$A$1:$I$89,5,0)</f>
        <v>219.4296</v>
      </c>
      <c r="CV141" s="130">
        <f t="shared" si="42"/>
        <v>53.99089337</v>
      </c>
      <c r="CW141" s="141">
        <f t="shared" si="14"/>
        <v>476.2073593</v>
      </c>
      <c r="CX141" s="133">
        <f t="shared" si="15"/>
        <v>769.5406926</v>
      </c>
      <c r="CY141" s="133">
        <f>AVERAGE(OFFSET($CX$3,0,0,'Données projet'!$E$13+1,1))-AVERAGE(OFFSET($H$3,0,0,'Données projet'!$E$13+1,1))</f>
        <v>223.783507</v>
      </c>
      <c r="CZ141" s="133">
        <f t="shared" si="43"/>
        <v>84.92349117</v>
      </c>
      <c r="DA141" s="134">
        <f>IF(ISNA(VLOOKUP(A141,'Données projet'!$A$139:$I$159,3,0)),0,VLOOKUP(A141,'Données projet'!$A$139:$I$159,3,0))</f>
        <v>0</v>
      </c>
      <c r="DB141" s="134">
        <f>IF(ISNA(VLOOKUP(A141,'Données projet'!$A$139:$I$159,4,0)),0,VLOOKUP(A141,'Données projet'!$A$139:$I$159,4,0))</f>
        <v>0</v>
      </c>
      <c r="DC141" s="135">
        <f>IF(ISNA(VLOOKUP(A141,'Données projet'!$A$139:$I$159,5,0)),0%,VLOOKUP(A141,'Données projet'!$A$139:$I$159,5,0)*VLOOKUP('Données projet'!$B$13,'Paramètres'!$A$1:$I$89,7,0))</f>
        <v>0</v>
      </c>
      <c r="DD141" s="135">
        <f>IF(ISNA(VLOOKUP(A141,'Données projet'!$A$139:$I$159,6,0)),0%,VLOOKUP(A141,'Données projet'!$A$139:$I$159,6,0)*VLOOKUP('Données projet'!$B$13,'Paramètres'!$A$1:$I$89,7,0))</f>
        <v>0</v>
      </c>
      <c r="DE141" s="135">
        <f>IF(ISNA(VLOOKUP(A141,'Données projet'!$A$139:$I$159,7,0)),0%,VLOOKUP(A141,'Données projet'!$A$139:$I$159,7,0))</f>
        <v>0</v>
      </c>
      <c r="DF141" s="142">
        <f>EXP(-LN(2)/35)*DF140+(1-EXP(-LN(2)/35))/(LN(2)/35)*DB141*DC141*VLOOKUP('Données projet'!$B$13,'Paramètres'!$A$1:$I$89,3,0)*0.475*44/12</f>
        <v>18.90802183</v>
      </c>
      <c r="DG141" s="142">
        <f>EXP(-LN(2)/25)*DG140+(1-EXP(-LN(2)/25))/(LN(2)/25)*Calculateur!DB141*Calculateur!DD141*VLOOKUP('Données projet'!$B$13,'Paramètres'!$A$1:$I$89,3,0)*0.475*44/12</f>
        <v>0</v>
      </c>
      <c r="DH141" s="142">
        <f>EXP(-LN(2)/2)*DH140+(1-EXP(-LN(2)/2))/(LN(2)/2)*DB141*DE141*VLOOKUP('Données projet'!$B$13,'Paramètres'!$A$1:$I$89,3,0)*0.475*44/12</f>
        <v>0</v>
      </c>
      <c r="DI141" s="143">
        <f t="shared" si="16"/>
        <v>18.90802183</v>
      </c>
      <c r="DJ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1" t="str">
        <f>VLOOKUP(A141,'Données projet'!$A$165:$I$185,2,0)</f>
        <v>#N/A</v>
      </c>
      <c r="DM141" s="131" t="str">
        <f>VLOOKUP(A141,'Données projet'!$A$165:$I$185,9,0)</f>
        <v>#N/A</v>
      </c>
      <c r="DN141" s="131">
        <f t="array" ref="DN141">INDEX(DM:DM,MIN(IF(ISNUMBER(DM141:DM337),ROW(DM141:DM337),"")))</f>
        <v>0.55</v>
      </c>
      <c r="DO141" s="138">
        <f>IF('Données projet'!$A$166&gt;35,DO140+DN141-DW140,IF(A141&lt;'Données projet'!$A$166,$DL$205^A141,IF(A141='Données projet'!$A$166,'Données projet'!$B$166,DO140+DN141-DW140)))</f>
        <v>273.4</v>
      </c>
      <c r="DP141" s="138">
        <f>DO141*VLOOKUP('Données projet'!$B$14,'Paramètres'!$A$1:$I$89,3,0)*VLOOKUP('Données projet'!$B$14,'Paramètres'!$A$1:$I$89,5,0)</f>
        <v>247.37232</v>
      </c>
      <c r="DQ141" s="130">
        <f t="shared" si="44"/>
        <v>60.02291717</v>
      </c>
      <c r="DR141" s="141">
        <f t="shared" si="17"/>
        <v>535.3800381</v>
      </c>
      <c r="DS141" s="133">
        <f t="shared" si="18"/>
        <v>828.7133714</v>
      </c>
      <c r="DT141" s="133">
        <f>AVERAGE(OFFSET($DS$3,0,0,'Données projet'!$E$14+1,1))-AVERAGE(OFFSET($H$3,0,0,'Données projet'!$E$14+1,1))</f>
        <v>287.9334714</v>
      </c>
      <c r="DU141" s="133">
        <f t="shared" si="45"/>
        <v>156.6796502</v>
      </c>
      <c r="DV141" s="134">
        <f>IF(ISNA(VLOOKUP(A141,'Données projet'!$A$165:$I$185,3,0)),0,VLOOKUP(A141,'Données projet'!$A$165:$I$185,3,0))</f>
        <v>0</v>
      </c>
      <c r="DW141" s="134">
        <f>IF(ISNA(VLOOKUP(A141,'Données projet'!$A$165:$I$185,4,0)),0,VLOOKUP(A141,'Données projet'!$A$165:$I$185,4,0))</f>
        <v>0</v>
      </c>
      <c r="DX141" s="135">
        <f>IF(ISNA(VLOOKUP(A141,'Données projet'!$A$165:$I$185,5,0)),0%,VLOOKUP(A141,'Données projet'!$A$165:$I$185,5,0)*VLOOKUP('Données projet'!$B$14,'Paramètres'!$A$1:$I$89,7,0))</f>
        <v>0</v>
      </c>
      <c r="DY141" s="135">
        <f>IF(ISNA(VLOOKUP(A141,'Données projet'!$A$165:$I$185,6,0)),0%,VLOOKUP(A141,'Données projet'!$A$165:$I$185,6,0)*VLOOKUP('Données projet'!$B$14,'Paramètres'!$A$1:$I$89,7,0))</f>
        <v>0</v>
      </c>
      <c r="DZ141" s="135">
        <f>IF(ISNA(VLOOKUP(A141,'Données projet'!$A$165:$I$185,7,0)),0%,VLOOKUP(A141,'Données projet'!$A$165:$I$185,7,0))</f>
        <v>0</v>
      </c>
      <c r="EA141" s="142">
        <f>EXP(-LN(2)/35)*EA140+(1-EXP(-LN(2)/35))/(LN(2)/35)*DW141*DX141*VLOOKUP('Données projet'!$B$14,'Paramètres'!$A$1:$I$89,3,0)*0.475*44/12</f>
        <v>26.93023543</v>
      </c>
      <c r="EB141" s="142">
        <f>EXP(-LN(2)/25)*EB140+(1-EXP(-LN(2)/25))/(LN(2)/25)*Calculateur!DW141*Calculateur!DY141*VLOOKUP('Données projet'!$B$14,'Paramètres'!$A$1:$I$89,3,0)*0.475*44/12</f>
        <v>0</v>
      </c>
      <c r="EC141" s="142">
        <f>EXP(-LN(2)/2)*EC140+(1-EXP(-LN(2)/2))/(LN(2)/2)*DW141*DZ141*VLOOKUP('Données projet'!$B$14,'Paramètres'!$A$1:$I$89,3,0)*0.475*44/12</f>
        <v>0</v>
      </c>
      <c r="ED141" s="143">
        <f t="shared" si="19"/>
        <v>26.93023543</v>
      </c>
      <c r="EE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1" t="str">
        <f>VLOOKUP(A141,'Données projet'!$A$191:$I$211,2,0)</f>
        <v>#N/A</v>
      </c>
      <c r="EH141" s="131" t="str">
        <f>VLOOKUP(A141,'Données projet'!$A$191:$I$211,9,0)</f>
        <v>#N/A</v>
      </c>
      <c r="EI141" s="131" t="str">
        <f t="array" ref="EI141">INDEX(EH:EH,MIN(IF(ISNUMBER(EH141:EH337),ROW(EH141:EH337),"")))</f>
        <v/>
      </c>
      <c r="EJ141" s="138">
        <f>IF('Données projet'!$A$192&gt;35,EJ140+EI141-ER140,IF(A141&lt;'Données projet'!$A$192,$EG$205^A141,IF(A141='Données projet'!$A$192,'Données projet'!$B$192,EJ140+EI141-ER140)))</f>
        <v>0</v>
      </c>
      <c r="EK141" s="138">
        <f>EJ141*VLOOKUP('Données projet'!$B$15,'Paramètres'!$A$1:$I$89,3,0)*VLOOKUP('Données projet'!$B$15,'Paramètres'!$A$1:$I$89,5,0)</f>
        <v>0</v>
      </c>
      <c r="EL141" s="130" t="str">
        <f t="shared" si="46"/>
        <v>#NUM!</v>
      </c>
      <c r="EM141" s="141" t="str">
        <f t="shared" si="20"/>
        <v>#NUM!</v>
      </c>
      <c r="EN141" s="133" t="str">
        <f t="shared" si="21"/>
        <v>#NUM!</v>
      </c>
      <c r="EO141" s="133">
        <f>AVERAGE(OFFSET($EN$3,0,0,'Données projet'!$E$15+1,1))-AVERAGE(OFFSET($H$3,0,0,'Données projet'!$E$15+1,1))</f>
        <v>130.3193339</v>
      </c>
      <c r="EP141" s="133">
        <f t="shared" si="47"/>
        <v>82.22784365</v>
      </c>
      <c r="EQ141" s="134">
        <f>IF(ISNA(VLOOKUP(A141,'Données projet'!$A$191:$I$211,3,0)),0,VLOOKUP(A141,'Données projet'!$A$191:$I$211,3,0))</f>
        <v>0</v>
      </c>
      <c r="ER141" s="134">
        <f>IF(ISNA(VLOOKUP(A141,'Données projet'!$A$191:$I$211,4,0)),0,VLOOKUP(A141,'Données projet'!$A$191:$I$211,4,0))</f>
        <v>0</v>
      </c>
      <c r="ES141" s="135">
        <f>IF(ISNA(VLOOKUP(A141,'Données projet'!$A$191:$I$211,5,0)),0%,VLOOKUP(A141,'Données projet'!$A$191:$I$211,5,0)*VLOOKUP('Données projet'!$B$15,'Paramètres'!$A$1:$I$89,7,0))</f>
        <v>0</v>
      </c>
      <c r="ET141" s="135">
        <f>IF(ISNA(VLOOKUP(A141,'Données projet'!$A$191:$I$211,6,0)),0%,VLOOKUP(A141,'Données projet'!$A$191:$I$211,6,0)*VLOOKUP('Données projet'!$B$15,'Paramètres'!$A$1:$I$89,7,0))</f>
        <v>0</v>
      </c>
      <c r="EU141" s="135">
        <f>IF(ISNA(VLOOKUP(A141,'Données projet'!$A$191:$I$211,7,0)),0%,VLOOKUP(A141,'Données projet'!$A$191:$I$211,7,0))</f>
        <v>0</v>
      </c>
      <c r="EV141" s="142">
        <f>EXP(-LN(2)/35)*EV140+(1-EXP(-LN(2)/35))/(LN(2)/35)*ER141*ES141*VLOOKUP('Données projet'!$B$15,'Paramètres'!$A$1:$I$89,3,0)*0.475*44/12</f>
        <v>33.689787</v>
      </c>
      <c r="EW141" s="142">
        <f>EXP(-LN(2)/25)*EW140+(1-EXP(-LN(2)/25))/(LN(2)/25)*Calculateur!ER141*Calculateur!ET141*VLOOKUP('Données projet'!$B$15,'Paramètres'!$A$1:$I$89,3,0)*0.475*44/12</f>
        <v>0</v>
      </c>
      <c r="EX141" s="142">
        <f>EXP(-LN(2)/2)*EX140+(1-EXP(-LN(2)/2))/(LN(2)/2)*ER141*EU141*VLOOKUP('Données projet'!$B$15,'Paramètres'!$A$1:$I$89,3,0)*0.475*44/12</f>
        <v>0</v>
      </c>
      <c r="EY141" s="143">
        <f t="shared" si="22"/>
        <v>33.689787</v>
      </c>
      <c r="EZ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1" t="str">
        <f>VLOOKUP(A141,'Données projet'!$A$217:$I$237,2,0)</f>
        <v>#N/A</v>
      </c>
      <c r="FC141" s="131" t="str">
        <f>VLOOKUP(A141,'Données projet'!$A$217:$I$237,9,0)</f>
        <v>#N/A</v>
      </c>
      <c r="FD141" s="131" t="str">
        <f t="array" ref="FD141">INDEX(FC:FC,MIN(IF(ISNUMBER(FC141:FC337),ROW(FC141:FC337),"")))</f>
        <v/>
      </c>
      <c r="FE141" s="130">
        <f>IF('Données projet'!$A$218&gt;35,FE140+FD141-FM140,IF(A141&lt;'Données projet'!$A$218,$FB$205^A141,IF(A141='Données projet'!$A$218,'Données projet'!$B$218,FE140+FD141-FM140)))</f>
        <v>0</v>
      </c>
      <c r="FF141" s="138">
        <f>FE141*VLOOKUP('Données projet'!$B$16,'Paramètres'!$A$1:$I$89,3,0)*VLOOKUP('Données projet'!$B$16,'Paramètres'!$A$1:$I$89,5,0)</f>
        <v>0</v>
      </c>
      <c r="FG141" s="130">
        <f t="shared" si="48"/>
        <v>0</v>
      </c>
      <c r="FH141" s="141">
        <f t="shared" si="23"/>
        <v>0</v>
      </c>
      <c r="FI141" s="133">
        <f t="shared" si="24"/>
        <v>293.3333333</v>
      </c>
      <c r="FJ141" s="133">
        <f>AVERAGE(OFFSET($FI$3,0,0,'Données projet'!$E$16+1,1))-AVERAGE(OFFSET($H$3,0,0,'Données projet'!$E$16+1,1))</f>
        <v>305.6252353</v>
      </c>
      <c r="FK141" s="133">
        <f t="shared" si="49"/>
        <v>331.397916</v>
      </c>
      <c r="FL141" s="134">
        <f>IF(ISNA(VLOOKUP(A141,'Données projet'!$A$217:$I$237,3,0)),0,VLOOKUP(A141,'Données projet'!$A$217:$I$237,3,0))</f>
        <v>0</v>
      </c>
      <c r="FM141" s="134">
        <f>IF(ISNA(VLOOKUP(A141,'Données projet'!$A$217:$I$237,4,0)),0,VLOOKUP(A141,'Données projet'!$A$217:$I$237,4,0))</f>
        <v>0</v>
      </c>
      <c r="FN141" s="135">
        <f>IF(ISNA(VLOOKUP(A141,'Données projet'!$A$217:$I$237,5,0)),0%,VLOOKUP(A141,'Données projet'!$A$217:$I$237,5,0)*VLOOKUP('Données projet'!$B$16,'Paramètres'!$A$1:$I$89,7,0))</f>
        <v>0</v>
      </c>
      <c r="FO141" s="135">
        <f>IF(ISNA(VLOOKUP(A141,'Données projet'!$A$217:$I$237,6,0)),0%,VLOOKUP(A141,'Données projet'!$A$217:$I$237,6,0)*VLOOKUP('Données projet'!$B$16,'Paramètres'!$A$1:$I$89,7,0))</f>
        <v>0</v>
      </c>
      <c r="FP141" s="135">
        <f>IF(ISNA(VLOOKUP(A141,'Données projet'!$A$217:$I$237,7,0)),0%,VLOOKUP(A141,'Données projet'!$A$217:$I$237,7,0))</f>
        <v>0</v>
      </c>
      <c r="FQ141" s="142">
        <f>EXP(-LN(2)/35)*FQ140+(1-EXP(-LN(2)/35))/(LN(2)/35)*FM141*FN141*VLOOKUP('Données projet'!$B$16,'Paramètres'!$A$1:$I$89,3,0)*0.475*44/12</f>
        <v>20.97626822</v>
      </c>
      <c r="FR141" s="142">
        <f>EXP(-LN(2)/25)*FR140+(1-EXP(-LN(2)/25))/(LN(2)/25)*Calculateur!FM141*Calculateur!FO141*VLOOKUP('Données projet'!$B$16,'Paramètres'!$A$1:$I$89,3,0)*0.475*44/12</f>
        <v>0</v>
      </c>
      <c r="FS141" s="142">
        <f>EXP(-LN(2)/2)*FS140+(1-EXP(-LN(2)/2))/(LN(2)/2)*FM141*FP141*VLOOKUP('Données projet'!$B$16,'Paramètres'!$A$1:$I$89,3,0)*0.475*44/12</f>
        <v>0</v>
      </c>
      <c r="FT141" s="143">
        <f t="shared" si="25"/>
        <v>20.97626822</v>
      </c>
      <c r="FU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1" t="str">
        <f>VLOOKUP(A141,'Données projet'!$A$243:$I$263,2,0)</f>
        <v>#N/A</v>
      </c>
      <c r="FX141" s="131" t="str">
        <f>VLOOKUP(A141,'Données projet'!$A$243:$I$263,9,0)</f>
        <v>#N/A</v>
      </c>
      <c r="FY141" s="131" t="str">
        <f t="array" ref="FY141">INDEX(FX:FX,MIN(IF(ISNUMBER(FX141:FX337),ROW(FX141:FX337),"")))</f>
        <v/>
      </c>
      <c r="FZ141" s="138">
        <f>IF('Données projet'!$A$244&gt;35,FZ140+FY141-GH140,IF(A141&lt;'Données projet'!$A$244,$FW$205^A141,IF(A141='Données projet'!$A$244,'Données projet'!$B$244,FZ140+FY141-GH140)))</f>
        <v>0</v>
      </c>
      <c r="GA141" s="138">
        <f>FZ141*VLOOKUP('Données projet'!$B$17,'Paramètres'!$A$1:$I$89,3,0)*VLOOKUP('Données projet'!$B$17,'Paramètres'!$A$1:$I$89,5,0)</f>
        <v>0</v>
      </c>
      <c r="GB141" s="130">
        <f t="shared" si="50"/>
        <v>0</v>
      </c>
      <c r="GC141" s="141">
        <f t="shared" si="26"/>
        <v>0</v>
      </c>
      <c r="GD141" s="133">
        <f t="shared" si="27"/>
        <v>293.3333333</v>
      </c>
      <c r="GE141" s="133">
        <f>AVERAGE(OFFSET($GD$3,0,0,'Données projet'!$E$17+1,1))-AVERAGE(OFFSET($H$3,0,0,'Données projet'!$E$17+1,1))</f>
        <v>118.7368745</v>
      </c>
      <c r="GF141" s="133">
        <f t="shared" si="51"/>
        <v>135.1233677</v>
      </c>
      <c r="GG141" s="134">
        <f>IF(ISNA(VLOOKUP(A141,'Données projet'!$A$243:$I$263,3,0)),0,VLOOKUP(A141,'Données projet'!$A$243:$I$263,3,0))</f>
        <v>0</v>
      </c>
      <c r="GH141" s="134">
        <f>IF(ISNA(VLOOKUP(A141,'Données projet'!$A$243:$I$263,4,0)),0,VLOOKUP(A141,'Données projet'!$A$243:$I$263,4,0))</f>
        <v>0</v>
      </c>
      <c r="GI141" s="135">
        <f>IF(ISNA(VLOOKUP(A141,'Données projet'!$A$243:$I$263,5,0)),0%,VLOOKUP(A141,'Données projet'!$A$243:$I$263,5,0)*VLOOKUP('Données projet'!$B$17,'Paramètres'!$A$1:$I$89,7,0))</f>
        <v>0</v>
      </c>
      <c r="GJ141" s="135">
        <f>IF(ISNA(VLOOKUP(A141,'Données projet'!$A$243:$I$263,6,0)),0%,VLOOKUP(A141,'Données projet'!$A$243:$I$263,6,0)*VLOOKUP('Données projet'!$B$17,'Paramètres'!$A$1:$I$89,7,0))</f>
        <v>0</v>
      </c>
      <c r="GK141" s="135">
        <f>IF(ISNA(VLOOKUP(A141,'Données projet'!$A$243:$I$263,7,0)),0%,VLOOKUP(A141,'Données projet'!$A$243:$I$263,7,0))</f>
        <v>0</v>
      </c>
      <c r="GL141" s="142">
        <f>EXP(-LN(2)/35)*GL140+(1-EXP(-LN(2)/35))/(LN(2)/35)*GH141*GI141*VLOOKUP('Données projet'!$B$17,'Paramètres'!$A$1:$I$89,3,0)*0.475*44/12</f>
        <v>22.1613625</v>
      </c>
      <c r="GM141" s="142">
        <f>EXP(-LN(2)/25)*GM140+(1-EXP(-LN(2)/25))/(LN(2)/25)*Calculateur!GH141*Calculateur!GJ141*VLOOKUP('Données projet'!$B$17,'Paramètres'!$A$1:$I$89,3,0)*0.475*44/12</f>
        <v>0</v>
      </c>
      <c r="GN141" s="142">
        <f>EXP(-LN(2)/2)*GN140+(1-EXP(-LN(2)/2))/(LN(2)/2)*GH141*GK141*VLOOKUP('Données projet'!$B$17,'Paramètres'!$A$1:$I$89,3,0)*0.475*44/12</f>
        <v>0</v>
      </c>
      <c r="GO141" s="142">
        <f t="shared" si="28"/>
        <v>22.1613625</v>
      </c>
      <c r="GP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1" t="str">
        <f>VLOOKUP(A141,'Données projet'!$A$269:$I$289,2,0)</f>
        <v>#N/A</v>
      </c>
      <c r="GS141" s="131" t="str">
        <f>VLOOKUP(A141,'Données projet'!$A$269:$I$289,9,0)</f>
        <v>#N/A</v>
      </c>
      <c r="GT141" s="131" t="str">
        <f t="array" ref="GT141">INDEX(GS:GS,MIN(IF(ISNUMBER(GS141:GS337),ROW(GS141:GS337),"")))</f>
        <v/>
      </c>
      <c r="GU141" s="138">
        <f>IF('Données projet'!$A$270&gt;35,GU140+GT141-HC140,IF(A141&lt;'Données projet'!$A$270,$GR$205^A141,IF(A141='Données projet'!$A$270,'Données projet'!$B$270,GU140+GT141-HC140)))</f>
        <v>0</v>
      </c>
      <c r="GV141" s="138">
        <f>GU141*VLOOKUP('Données projet'!$B$18,'Paramètres'!$A$1:$I$89,3,0)*VLOOKUP('Données projet'!$B$18,'Paramètres'!$A$1:$I$89,5,0)</f>
        <v>0</v>
      </c>
      <c r="GW141" s="130" t="str">
        <f t="shared" si="52"/>
        <v>#NUM!</v>
      </c>
      <c r="GX141" s="141" t="str">
        <f t="shared" si="29"/>
        <v>#NUM!</v>
      </c>
      <c r="GY141" s="133" t="str">
        <f t="shared" si="30"/>
        <v>#NUM!</v>
      </c>
      <c r="GZ141" s="133">
        <f>AVERAGE(OFFSET($GY$3,0,0,'Données projet'!$E$18+1,1))-AVERAGE(OFFSET($H$3,0,0,'Données projet'!$E$18+1,1))</f>
        <v>100.5427875</v>
      </c>
      <c r="HA141" s="133">
        <f t="shared" si="53"/>
        <v>92.28663609</v>
      </c>
      <c r="HB141" s="134">
        <f>IF(ISNA(VLOOKUP(A141,'Données projet'!$A$269:$I$289,3,0)),0,VLOOKUP(A141,'Données projet'!$A$269:$I$289,3,0))</f>
        <v>0</v>
      </c>
      <c r="HC141" s="134">
        <f>IF(ISNA(VLOOKUP(A141,'Données projet'!$A$269:$I$289,4,0)),0,VLOOKUP(A141,'Données projet'!$A$269:$I$289,4,0))</f>
        <v>0</v>
      </c>
      <c r="HD141" s="135">
        <f>IF(ISNA(VLOOKUP(A141,'Données projet'!$A$269:$I$289,5,0)),0%,VLOOKUP(A141,'Données projet'!$A$269:$I$289,5,0)*VLOOKUP('Données projet'!$B$18,'Paramètres'!$A$1:$I$89,7,0))</f>
        <v>0</v>
      </c>
      <c r="HE141" s="135">
        <f>IF(ISNA(VLOOKUP(A141,'Données projet'!$A$269:$I$289,6,0)),0%,VLOOKUP(A141,'Données projet'!$A$269:$I$289,6,0)*VLOOKUP('Données projet'!$B$18,'Paramètres'!$A$1:$I$89,7,0))</f>
        <v>0</v>
      </c>
      <c r="HF141" s="135">
        <f>IF(ISNA(VLOOKUP(A141,'Données projet'!$A$269:$I$289,7,0)),0%,VLOOKUP(A141,'Données projet'!$A$269:$I$289,7,0))</f>
        <v>0</v>
      </c>
      <c r="HG141" s="142">
        <f>EXP(-LN(2)/35)*HG140+(1-EXP(-LN(2)/35))/(LN(2)/35)*HC141*HD141*VLOOKUP('Données projet'!$B$18,'Paramètres'!$A$1:$I$89,3,0)*0.475*44/12</f>
        <v>15.09142034</v>
      </c>
      <c r="HH141" s="142">
        <f>EXP(-LN(2)/25)*HH140+(1-EXP(-LN(2)/25))/(LN(2)/25)*Calculateur!HC141*Calculateur!HE141*VLOOKUP('Données projet'!$B$18,'Paramètres'!$A$1:$I$89,3,0)*0.475*44/12</f>
        <v>0</v>
      </c>
      <c r="HI141" s="142">
        <f>EXP(-LN(2)/2)*HI140+(1-EXP(-LN(2)/2))/(LN(2)/2)*HC141*HF141*VLOOKUP('Données projet'!$B$18,'Paramètres'!$A$1:$I$89,3,0)*0.475*44/12</f>
        <v>0</v>
      </c>
      <c r="HJ141" s="143">
        <f t="shared" si="31"/>
        <v>15.09142034</v>
      </c>
    </row>
    <row r="142" ht="15.75" customHeight="1">
      <c r="A142" s="125">
        <f t="shared" si="32"/>
        <v>139</v>
      </c>
      <c r="B142" s="126">
        <f>'Scénario référence'!$B$16*5+'Scénario référence'!$B$17*0+'Scénario référence'!$B$18*5</f>
        <v>0</v>
      </c>
      <c r="C142" s="140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75.894</v>
      </c>
      <c r="D142" s="127">
        <f t="shared" si="33"/>
        <v>21.13018802</v>
      </c>
      <c r="E14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7">
        <f>IF(OR('Scénario référence'!$F$8&gt;0,'Scénario référence'!$F$9&gt;0),('Scénario référence'!$F$8+'Scénario référence'!$F$9)*10,0)</f>
        <v>10</v>
      </c>
      <c r="G142" s="127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748.9586444</v>
      </c>
      <c r="H142" s="128">
        <f t="shared" si="1"/>
        <v>462.3171275</v>
      </c>
      <c r="I142" s="12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1" t="str">
        <f>VLOOKUP(A142,'Données projet'!$A$35:$I$55,2,0)</f>
        <v>#N/A</v>
      </c>
      <c r="L142" s="131" t="str">
        <f>VLOOKUP(A142,'Données projet'!$A$35:$I$55,9,0)</f>
        <v>#N/A</v>
      </c>
      <c r="M142" s="131" t="str">
        <f t="array" ref="M142">INDEX(L:L,MIN(IF(ISNUMBER(L142:L338),ROW(L142:L338),"")))</f>
        <v/>
      </c>
      <c r="N142" s="130">
        <f>IF('Données projet'!$A$36&gt;35,N141+M142-V141,IF(A142&lt;'Données projet'!$A$36,$K$205^A142,IF(A142='Données projet'!$A$36,'Données projet'!$B$36,N141+M142-V141)))</f>
        <v>0</v>
      </c>
      <c r="O142" s="130">
        <f>N142*VLOOKUP('Données projet'!$B$9,'Paramètres'!$A$1:$I$89,3,0)*VLOOKUP('Données projet'!$B$9,'Paramètres'!$A$1:$I$89,5,0)</f>
        <v>0</v>
      </c>
      <c r="P142" s="130">
        <f t="shared" si="34"/>
        <v>0</v>
      </c>
      <c r="Q142" s="141">
        <f t="shared" si="2"/>
        <v>0</v>
      </c>
      <c r="R142" s="133">
        <f t="shared" si="3"/>
        <v>293.3333333</v>
      </c>
      <c r="S142" s="133">
        <f>AVERAGE(OFFSET($R$3,0,0,'Données projet'!$E$9+1,1))-AVERAGE(OFFSET($H$3,0,0,'Données projet'!$E$9+1,1))</f>
        <v>126.9946492</v>
      </c>
      <c r="T142" s="133">
        <f t="shared" si="35"/>
        <v>140.039049</v>
      </c>
      <c r="U142" s="134">
        <f>IF(ISNA(VLOOKUP(A142,'Données projet'!$A$35:$I$55,3,0)),0,VLOOKUP(A142,'Données projet'!$A$35:$I$55,3,0))</f>
        <v>0</v>
      </c>
      <c r="V142" s="134">
        <f>IF(ISNA(VLOOKUP(A142,'Données projet'!$A$35:$I$55,4,0)),0,VLOOKUP(A142,'Données projet'!$A$35:$I$55,4,0))</f>
        <v>0</v>
      </c>
      <c r="W142" s="135">
        <f>IF(ISNA(VLOOKUP(A142,'Données projet'!$A$35:$I$55,5,0)),0%,VLOOKUP(A142,'Données projet'!$A$35:$I$55,5,0)*VLOOKUP('Données projet'!$B$9,'Paramètres'!$A$1:$I$89,7,0))</f>
        <v>0</v>
      </c>
      <c r="X142" s="135">
        <f>IF(ISNA(VLOOKUP(A142,'Données projet'!$A$35:$I$55,6,0)),0%,VLOOKUP(A142,'Données projet'!$A$35:$I$55,6,0)*VLOOKUP('Données projet'!$B$9,'Paramètres'!$A$1:$I$89,7,0))</f>
        <v>0</v>
      </c>
      <c r="Y142" s="135">
        <f>IF(ISNA(VLOOKUP(A142,'Données projet'!$A$35:$I$55,7,0)),0%,VLOOKUP(A142,'Données projet'!$A$35:$I$55,7,0))</f>
        <v>0</v>
      </c>
      <c r="Z142" s="142">
        <f>EXP(-LN(2)/35)*Z141+(1-EXP(-LN(2)/35))/(LN(2)/35)*V142*W142*VLOOKUP('Données projet'!$B$9,'Paramètres'!$A$1:$I$89,3,0)*0.475*44/12</f>
        <v>22.22167145</v>
      </c>
      <c r="AA142" s="142">
        <f>EXP(-LN(2)/25)*AA141+(1-EXP(-LN(2)/25))/(LN(2)/25)*Calculateur!V142*Calculateur!X142*VLOOKUP('Données projet'!$B$9,'Paramètres'!$A$1:$I$89,3,0)*0.475*44/12</f>
        <v>2.599896504</v>
      </c>
      <c r="AB142" s="142">
        <f>EXP(-LN(2)/2)*AB141+(1-EXP(-LN(2)/2))/(LN(2)/2)*V142*Y142*VLOOKUP('Données projet'!$B$9,'Paramètres'!$A$1:$I$89,3,0)*0.475*44/12</f>
        <v>0</v>
      </c>
      <c r="AC142" s="143">
        <f t="shared" si="4"/>
        <v>24.82156795</v>
      </c>
      <c r="AD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1" t="str">
        <f>VLOOKUP(A142,'Données projet'!$A$61:$I$81,2,0)</f>
        <v>#N/A</v>
      </c>
      <c r="AG142" s="131" t="str">
        <f>VLOOKUP(A142,'Données projet'!$A$61:$I$81,9,0)</f>
        <v>#N/A</v>
      </c>
      <c r="AH142" s="131" t="str">
        <f t="array" ref="AH142">INDEX(AG:AG,MIN(IF(ISNUMBER(AG142:AG338),ROW(AG142:AG338),"")))</f>
        <v/>
      </c>
      <c r="AI142" s="130">
        <f>IF('Données projet'!$A$62&gt;35,AI141+AH142-AQ141,IF(A142&lt;'Données projet'!$A$62,$AF$205^A142,IF(A142='Données projet'!$A$62,'Données projet'!$B$62,AI141+AH142-AQ141)))</f>
        <v>0</v>
      </c>
      <c r="AJ142" s="130">
        <f>AI142*VLOOKUP('Données projet'!$B$10,'Paramètres'!$A$1:$I$89,3,0)*VLOOKUP('Données projet'!$B$10,'Paramètres'!$A$1:$I$89,5,0)</f>
        <v>0</v>
      </c>
      <c r="AK142" s="130" t="str">
        <f t="shared" si="36"/>
        <v>#NUM!</v>
      </c>
      <c r="AL142" s="141" t="str">
        <f t="shared" si="5"/>
        <v>#NUM!</v>
      </c>
      <c r="AM142" s="133" t="str">
        <f t="shared" si="6"/>
        <v>#NUM!</v>
      </c>
      <c r="AN142" s="133">
        <f>AVERAGE(OFFSET($AM$3,0,0,'Données projet'!$E$10+1,1))-AVERAGE(OFFSET($H$3,0,0,'Données projet'!$E$10+1,1))</f>
        <v>196.874484</v>
      </c>
      <c r="AO142" s="133">
        <f t="shared" si="37"/>
        <v>217.5750859</v>
      </c>
      <c r="AP142" s="134">
        <f>IF(ISNA(VLOOKUP(A142,'Données projet'!$A$61:$I$81,3,0)),0,VLOOKUP(A142,'Données projet'!$A$61:$I$81,3,0))</f>
        <v>0</v>
      </c>
      <c r="AQ142" s="134">
        <f>IF(ISNA(VLOOKUP(A142,'Données projet'!$A$61:$I$81,4,0)),0,VLOOKUP(A142,'Données projet'!$A$61:$I$81,4,0))</f>
        <v>0</v>
      </c>
      <c r="AR142" s="135">
        <f>IF(ISNA(VLOOKUP(A142,'Données projet'!$A$61:$I$81,5,0)),0%,VLOOKUP(A142,'Données projet'!$A$61:$I$81,5,0)*VLOOKUP('Données projet'!$B$10,'Paramètres'!$A$1:$I$89,7,0))</f>
        <v>0</v>
      </c>
      <c r="AS142" s="135">
        <f>IF(ISNA(VLOOKUP(A142,'Données projet'!$A$61:$I$81,6,0)),0%,VLOOKUP(A142,'Données projet'!$A$61:$I$81,6,0)*VLOOKUP('Données projet'!$B$10,'Paramètres'!$A$1:$I$89,7,0))</f>
        <v>0</v>
      </c>
      <c r="AT142" s="135">
        <f>IF(ISNA(VLOOKUP(A142,'Données projet'!$A$61:$I$81,7,0)),0%,VLOOKUP(A142,'Données projet'!$A$61:$I$81,7,0))</f>
        <v>0</v>
      </c>
      <c r="AU142" s="142">
        <f>EXP(-LN(2)/35)*AU141+(1-EXP(-LN(2)/35))/(LN(2)/35)*AQ142*AR142*VLOOKUP('Données projet'!$B$10,'Paramètres'!$A$1:$I$89,3,0)*0.475*44/12</f>
        <v>30.88749213</v>
      </c>
      <c r="AV142" s="142">
        <f>EXP(-LN(2)/25)*AV141+(1-EXP(-LN(2)/25))/(LN(2)/25)*Calculateur!AQ142*Calculateur!AS142*VLOOKUP('Données projet'!$B$10,'Paramètres'!$A$1:$I$89,3,0)*0.475*44/12</f>
        <v>3.997344348</v>
      </c>
      <c r="AW142" s="142">
        <f>EXP(-LN(2)/2)*AW141+(1-EXP(-LN(2)/2))/(LN(2)/2)*AQ142*AT142*VLOOKUP('Données projet'!$B$10,'Paramètres'!$A$1:$I$89,3,0)*0.475*44/12</f>
        <v>0</v>
      </c>
      <c r="AX142" s="142">
        <f t="shared" si="7"/>
        <v>34.88483648</v>
      </c>
      <c r="AY142" s="13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1" t="str">
        <f>VLOOKUP(A142,'Données projet'!$A$87:$I$107,2,0)</f>
        <v>#N/A</v>
      </c>
      <c r="BB142" s="131" t="str">
        <f>VLOOKUP(A142,'Données projet'!$A$87:$I$107,9,0)</f>
        <v>#N/A</v>
      </c>
      <c r="BC142" s="131" t="str">
        <f t="array" ref="BC142">INDEX(BB:BB,MIN(IF(ISNUMBER(BB142:BB338),ROW(BB142:BB338),"")))</f>
        <v/>
      </c>
      <c r="BD142" s="130">
        <f>IF('Données projet'!$A$88&gt;35,BD141+BC142-BL141,IF(A142&lt;'Données projet'!$A$88,$BA$205^A142,IF(A142='Données projet'!$A$88,'Données projet'!$B$88,BD141+BC142-BL141)))</f>
        <v>0</v>
      </c>
      <c r="BE142" s="130">
        <f>BD142*VLOOKUP('Données projet'!$B$11,'Paramètres'!$A$1:$I$89,3,0)*VLOOKUP('Données projet'!$B$11,'Paramètres'!$A$1:$I$89,5,0)</f>
        <v>0</v>
      </c>
      <c r="BF142" s="130" t="str">
        <f t="shared" si="38"/>
        <v>#NUM!</v>
      </c>
      <c r="BG142" s="141" t="str">
        <f t="shared" si="8"/>
        <v>#NUM!</v>
      </c>
      <c r="BH142" s="133" t="str">
        <f t="shared" si="9"/>
        <v>#NUM!</v>
      </c>
      <c r="BI142" s="133">
        <f>AVERAGE(OFFSET($BH$3,0,0,'Données projet'!$E$11+1,1))-AVERAGE(OFFSET($H$3,0,0,'Données projet'!$E$11+1,1))</f>
        <v>134.0948534</v>
      </c>
      <c r="BJ142" s="133">
        <f t="shared" si="39"/>
        <v>108.4102536</v>
      </c>
      <c r="BK142" s="134">
        <f>IF(ISNA(VLOOKUP(A142,'Données projet'!$A$87:$I$107,3,0)),0,VLOOKUP(A142,'Données projet'!$A$87:$I$107,3,0))</f>
        <v>0</v>
      </c>
      <c r="BL142" s="134">
        <f>IF(ISNA(VLOOKUP(A142,'Données projet'!$A$87:$I$107,4,0)),0,VLOOKUP(A142,'Données projet'!$A$87:$I$107,4,0))</f>
        <v>0</v>
      </c>
      <c r="BM142" s="135">
        <f>IF(ISNA(VLOOKUP(A142,'Données projet'!$A$87:$I$107,5,0)),0%,VLOOKUP(A142,'Données projet'!$A$87:$I$107,5,0)*VLOOKUP('Données projet'!$B$11,'Paramètres'!$A$1:$I$89,7,0))</f>
        <v>0</v>
      </c>
      <c r="BN142" s="135">
        <f>IF(ISNA(VLOOKUP(A142,'Données projet'!$A$87:$I$107,6,0)),0%,VLOOKUP(A142,'Données projet'!$A$87:$I$107,6,0)*VLOOKUP('Données projet'!$B$11,'Paramètres'!$A$1:$I$89,7,0))</f>
        <v>0</v>
      </c>
      <c r="BO142" s="135">
        <f>IF(ISNA(VLOOKUP(A142,'Données projet'!$A$87:$I$107,7,0)),0%,VLOOKUP(A142,'Données projet'!$A$87:$I$107,7,0))</f>
        <v>0</v>
      </c>
      <c r="BP142" s="142">
        <f>EXP(-LN(2)/35)*BP141+(1-EXP(-LN(2)/35))/(LN(2)/35)*BL142*BM142*VLOOKUP('Données projet'!$B$11,'Paramètres'!$A$1:$I$89,3,0)*0.475*44/12</f>
        <v>42.72317012</v>
      </c>
      <c r="BQ142" s="142">
        <f>EXP(-LN(2)/25)*BQ141+(1-EXP(-LN(2)/25))/(LN(2)/25)*Calculateur!BL142*Calculateur!BN142*VLOOKUP('Données projet'!$B$11,'Paramètres'!$A$1:$I$89,3,0)*0.475*44/12</f>
        <v>2.521528247</v>
      </c>
      <c r="BR142" s="142">
        <f>EXP(-LN(2)/2)*BR141+(1-EXP(-LN(2)/2))/(LN(2)/2)*BL142*BO142*VLOOKUP('Données projet'!$B$11,'Paramètres'!$A$1:$I$89,3,0)*0.475*44/12</f>
        <v>0.000000000454216641</v>
      </c>
      <c r="BS142" s="143">
        <f t="shared" si="10"/>
        <v>45.24469837</v>
      </c>
      <c r="BT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1" t="str">
        <f>VLOOKUP(A142,'Données projet'!$A$113:$I$133,2,0)</f>
        <v>#N/A</v>
      </c>
      <c r="BW142" s="131" t="str">
        <f>VLOOKUP(A142,'Données projet'!$A$113:$I$133,9,0)</f>
        <v>#N/A</v>
      </c>
      <c r="BX142" s="131" t="str">
        <f t="array" ref="BX142">INDEX(BW:BW,MIN(IF(ISNUMBER(BW142:BW338),ROW(BW142:BW338),"")))</f>
        <v/>
      </c>
      <c r="BY142" s="130">
        <f>IF('Données projet'!$A$114&gt;35,BY141+BX142-CG141,IF(A142&lt;'Données projet'!$A$114,$BV$205^A142,IF(A142='Données projet'!$A$114,'Données projet'!$B$114,BY141+BX142-CG141)))</f>
        <v>0</v>
      </c>
      <c r="BZ142" s="130">
        <f>BY142*VLOOKUP('Données projet'!$B$12,'Paramètres'!$A$1:$I$89,3,0)*VLOOKUP('Données projet'!$B$12,'Paramètres'!$A$1:$I$89,5,0)</f>
        <v>0</v>
      </c>
      <c r="CA142" s="130" t="str">
        <f t="shared" si="40"/>
        <v>#NUM!</v>
      </c>
      <c r="CB142" s="141" t="str">
        <f t="shared" si="11"/>
        <v>#NUM!</v>
      </c>
      <c r="CC142" s="133" t="str">
        <f t="shared" si="12"/>
        <v>#NUM!</v>
      </c>
      <c r="CD142" s="133">
        <f>AVERAGE(OFFSET($CC$3,0,0,'Données projet'!$E$12+1,1))-AVERAGE(OFFSET($H$3,0,0,'Données projet'!$E$12+1,1))</f>
        <v>258.1672054</v>
      </c>
      <c r="CE142" s="133">
        <f t="shared" si="41"/>
        <v>296.0724261</v>
      </c>
      <c r="CF142" s="134">
        <f>IF(ISNA(VLOOKUP(A142,'Données projet'!$A$113:$I$133,3,0)),0,VLOOKUP(A142,'Données projet'!$A$113:$I$133,3,0))</f>
        <v>0</v>
      </c>
      <c r="CG142" s="134">
        <f>IF(ISNA(VLOOKUP(A142,'Données projet'!$A$113:$I$133,4,0)),0,VLOOKUP(A142,'Données projet'!$A$113:$I$133,4,0))</f>
        <v>0</v>
      </c>
      <c r="CH142" s="135">
        <f>IF(ISNA(VLOOKUP(A142,'Données projet'!$A$113:$I$133,5,0)),0%,VLOOKUP(A142,'Données projet'!$A$113:$I$133,5,0)*VLOOKUP('Données projet'!$B$12,'Paramètres'!$A$1:$I$89,7,0))</f>
        <v>0</v>
      </c>
      <c r="CI142" s="135">
        <f>IF(ISNA(VLOOKUP(A142,'Données projet'!$A$113:$I$133,6,0)),0%,VLOOKUP(A142,'Données projet'!$A$113:$I$133,6,0)*VLOOKUP('Données projet'!$B$12,'Paramètres'!$A$1:$I$89,7,0))</f>
        <v>0</v>
      </c>
      <c r="CJ142" s="135">
        <f>IF(ISNA(VLOOKUP(A142,'Données projet'!$A$113:$I$133,7,0)),0%,VLOOKUP(A142,'Données projet'!$A$113:$I$133,7,0))</f>
        <v>0</v>
      </c>
      <c r="CK142" s="142">
        <f>EXP(-LN(2)/35)*CK141+(1-EXP(-LN(2)/35))/(LN(2)/35)*CG142*CH142*VLOOKUP('Données projet'!$B$12,'Paramètres'!$A$1:$I$89,3,0)*0.475*44/12</f>
        <v>54.01515659</v>
      </c>
      <c r="CL142" s="142">
        <f>EXP(-LN(2)/25)*CL141+(1-EXP(-LN(2)/25))/(LN(2)/25)*Calculateur!CG142*Calculateur!CI142*VLOOKUP('Données projet'!$B$12,'Paramètres'!$A$1:$I$89,3,0)*0.475*44/12</f>
        <v>4.422903685</v>
      </c>
      <c r="CM142" s="142">
        <f>EXP(-LN(2)/2)*CM141+(1-EXP(-LN(2)/2))/(LN(2)/2)*CG142*CJ142*VLOOKUP('Données projet'!$B$12,'Paramètres'!$A$1:$I$89,3,0)*0.475*44/12</f>
        <v>0</v>
      </c>
      <c r="CN142" s="143">
        <f t="shared" si="13"/>
        <v>58.43806027</v>
      </c>
      <c r="CO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1" t="str">
        <f>VLOOKUP(A142,'Données projet'!$A$139:$I$159,2,0)</f>
        <v>#N/A</v>
      </c>
      <c r="CR142" s="131" t="str">
        <f>VLOOKUP(A142,'Données projet'!$A$139:$I$159,9,0)</f>
        <v>#N/A</v>
      </c>
      <c r="CS142" s="130">
        <f t="array" ref="CS142">INDEX(CR:CR,MIN(IF(ISNUMBER(CR142:CR338),ROW(CR142:CR338),"")))</f>
        <v>0.8</v>
      </c>
      <c r="CT142" s="138">
        <f>IF('Données projet'!$A$140&gt;35,CT141+CS142-DB141,IF(A142&lt;'Données projet'!$A$140,$CQ$205^A142,IF(A142='Données projet'!$A$140,'Données projet'!$B$140,CT141+CS142-DB141)))</f>
        <v>217.2</v>
      </c>
      <c r="CU142" s="138">
        <f>CT142*VLOOKUP('Données projet'!$B$13,'Paramètres'!$A$1:$I$89,3,0)*VLOOKUP('Données projet'!$B$13,'Paramètres'!$A$1:$I$89,5,0)</f>
        <v>220.2408</v>
      </c>
      <c r="CV142" s="130">
        <f t="shared" si="42"/>
        <v>54.16721908</v>
      </c>
      <c r="CW142" s="141">
        <f t="shared" si="14"/>
        <v>477.9272999</v>
      </c>
      <c r="CX142" s="133">
        <f t="shared" si="15"/>
        <v>771.2606332</v>
      </c>
      <c r="CY142" s="133">
        <f>AVERAGE(OFFSET($CX$3,0,0,'Données projet'!$E$13+1,1))-AVERAGE(OFFSET($H$3,0,0,'Données projet'!$E$13+1,1))</f>
        <v>223.783507</v>
      </c>
      <c r="CZ142" s="133">
        <f t="shared" si="43"/>
        <v>84.92349117</v>
      </c>
      <c r="DA142" s="134">
        <f>IF(ISNA(VLOOKUP(A142,'Données projet'!$A$139:$I$159,3,0)),0,VLOOKUP(A142,'Données projet'!$A$139:$I$159,3,0))</f>
        <v>0</v>
      </c>
      <c r="DB142" s="134">
        <f>IF(ISNA(VLOOKUP(A142,'Données projet'!$A$139:$I$159,4,0)),0,VLOOKUP(A142,'Données projet'!$A$139:$I$159,4,0))</f>
        <v>0</v>
      </c>
      <c r="DC142" s="135">
        <f>IF(ISNA(VLOOKUP(A142,'Données projet'!$A$139:$I$159,5,0)),0%,VLOOKUP(A142,'Données projet'!$A$139:$I$159,5,0)*VLOOKUP('Données projet'!$B$13,'Paramètres'!$A$1:$I$89,7,0))</f>
        <v>0</v>
      </c>
      <c r="DD142" s="135">
        <f>IF(ISNA(VLOOKUP(A142,'Données projet'!$A$139:$I$159,6,0)),0%,VLOOKUP(A142,'Données projet'!$A$139:$I$159,6,0)*VLOOKUP('Données projet'!$B$13,'Paramètres'!$A$1:$I$89,7,0))</f>
        <v>0</v>
      </c>
      <c r="DE142" s="135">
        <f>IF(ISNA(VLOOKUP(A142,'Données projet'!$A$139:$I$159,7,0)),0%,VLOOKUP(A142,'Données projet'!$A$139:$I$159,7,0))</f>
        <v>0</v>
      </c>
      <c r="DF142" s="142">
        <f>EXP(-LN(2)/35)*DF141+(1-EXP(-LN(2)/35))/(LN(2)/35)*DB142*DC142*VLOOKUP('Données projet'!$B$13,'Paramètres'!$A$1:$I$89,3,0)*0.475*44/12</f>
        <v>18.53724706</v>
      </c>
      <c r="DG142" s="142">
        <f>EXP(-LN(2)/25)*DG141+(1-EXP(-LN(2)/25))/(LN(2)/25)*Calculateur!DB142*Calculateur!DD142*VLOOKUP('Données projet'!$B$13,'Paramètres'!$A$1:$I$89,3,0)*0.475*44/12</f>
        <v>0</v>
      </c>
      <c r="DH142" s="142">
        <f>EXP(-LN(2)/2)*DH141+(1-EXP(-LN(2)/2))/(LN(2)/2)*DB142*DE142*VLOOKUP('Données projet'!$B$13,'Paramètres'!$A$1:$I$89,3,0)*0.475*44/12</f>
        <v>0</v>
      </c>
      <c r="DI142" s="143">
        <f t="shared" si="16"/>
        <v>18.53724706</v>
      </c>
      <c r="DJ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1" t="str">
        <f>VLOOKUP(A142,'Données projet'!$A$165:$I$185,2,0)</f>
        <v>#N/A</v>
      </c>
      <c r="DM142" s="131" t="str">
        <f>VLOOKUP(A142,'Données projet'!$A$165:$I$185,9,0)</f>
        <v>#N/A</v>
      </c>
      <c r="DN142" s="131">
        <f t="array" ref="DN142">INDEX(DM:DM,MIN(IF(ISNUMBER(DM142:DM338),ROW(DM142:DM338),"")))</f>
        <v>0.55</v>
      </c>
      <c r="DO142" s="138">
        <f>IF('Données projet'!$A$166&gt;35,DO141+DN142-DW141,IF(A142&lt;'Données projet'!$A$166,$DL$205^A142,IF(A142='Données projet'!$A$166,'Données projet'!$B$166,DO141+DN142-DW141)))</f>
        <v>273.95</v>
      </c>
      <c r="DP142" s="138">
        <f>DO142*VLOOKUP('Données projet'!$B$14,'Paramètres'!$A$1:$I$89,3,0)*VLOOKUP('Données projet'!$B$14,'Paramètres'!$A$1:$I$89,5,0)</f>
        <v>247.86996</v>
      </c>
      <c r="DQ142" s="130">
        <f t="shared" si="44"/>
        <v>60.12959795</v>
      </c>
      <c r="DR142" s="141">
        <f t="shared" si="17"/>
        <v>536.4325634</v>
      </c>
      <c r="DS142" s="133">
        <f t="shared" si="18"/>
        <v>829.7658968</v>
      </c>
      <c r="DT142" s="133">
        <f>AVERAGE(OFFSET($DS$3,0,0,'Données projet'!$E$14+1,1))-AVERAGE(OFFSET($H$3,0,0,'Données projet'!$E$14+1,1))</f>
        <v>287.9334714</v>
      </c>
      <c r="DU142" s="133">
        <f t="shared" si="45"/>
        <v>156.6796502</v>
      </c>
      <c r="DV142" s="134">
        <f>IF(ISNA(VLOOKUP(A142,'Données projet'!$A$165:$I$185,3,0)),0,VLOOKUP(A142,'Données projet'!$A$165:$I$185,3,0))</f>
        <v>0</v>
      </c>
      <c r="DW142" s="134">
        <f>IF(ISNA(VLOOKUP(A142,'Données projet'!$A$165:$I$185,4,0)),0,VLOOKUP(A142,'Données projet'!$A$165:$I$185,4,0))</f>
        <v>0</v>
      </c>
      <c r="DX142" s="135">
        <f>IF(ISNA(VLOOKUP(A142,'Données projet'!$A$165:$I$185,5,0)),0%,VLOOKUP(A142,'Données projet'!$A$165:$I$185,5,0)*VLOOKUP('Données projet'!$B$14,'Paramètres'!$A$1:$I$89,7,0))</f>
        <v>0</v>
      </c>
      <c r="DY142" s="135">
        <f>IF(ISNA(VLOOKUP(A142,'Données projet'!$A$165:$I$185,6,0)),0%,VLOOKUP(A142,'Données projet'!$A$165:$I$185,6,0)*VLOOKUP('Données projet'!$B$14,'Paramètres'!$A$1:$I$89,7,0))</f>
        <v>0</v>
      </c>
      <c r="DZ142" s="135">
        <f>IF(ISNA(VLOOKUP(A142,'Données projet'!$A$165:$I$185,7,0)),0%,VLOOKUP(A142,'Données projet'!$A$165:$I$185,7,0))</f>
        <v>0</v>
      </c>
      <c r="EA142" s="142">
        <f>EXP(-LN(2)/35)*EA141+(1-EXP(-LN(2)/35))/(LN(2)/35)*DW142*DX142*VLOOKUP('Données projet'!$B$14,'Paramètres'!$A$1:$I$89,3,0)*0.475*44/12</f>
        <v>26.40214994</v>
      </c>
      <c r="EB142" s="142">
        <f>EXP(-LN(2)/25)*EB141+(1-EXP(-LN(2)/25))/(LN(2)/25)*Calculateur!DW142*Calculateur!DY142*VLOOKUP('Données projet'!$B$14,'Paramètres'!$A$1:$I$89,3,0)*0.475*44/12</f>
        <v>0</v>
      </c>
      <c r="EC142" s="142">
        <f>EXP(-LN(2)/2)*EC141+(1-EXP(-LN(2)/2))/(LN(2)/2)*DW142*DZ142*VLOOKUP('Données projet'!$B$14,'Paramètres'!$A$1:$I$89,3,0)*0.475*44/12</f>
        <v>0</v>
      </c>
      <c r="ED142" s="143">
        <f t="shared" si="19"/>
        <v>26.40214994</v>
      </c>
      <c r="EE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1" t="str">
        <f>VLOOKUP(A142,'Données projet'!$A$191:$I$211,2,0)</f>
        <v>#N/A</v>
      </c>
      <c r="EH142" s="131" t="str">
        <f>VLOOKUP(A142,'Données projet'!$A$191:$I$211,9,0)</f>
        <v>#N/A</v>
      </c>
      <c r="EI142" s="131" t="str">
        <f t="array" ref="EI142">INDEX(EH:EH,MIN(IF(ISNUMBER(EH142:EH338),ROW(EH142:EH338),"")))</f>
        <v/>
      </c>
      <c r="EJ142" s="138">
        <f>IF('Données projet'!$A$192&gt;35,EJ141+EI142-ER141,IF(A142&lt;'Données projet'!$A$192,$EG$205^A142,IF(A142='Données projet'!$A$192,'Données projet'!$B$192,EJ141+EI142-ER141)))</f>
        <v>0</v>
      </c>
      <c r="EK142" s="138">
        <f>EJ142*VLOOKUP('Données projet'!$B$15,'Paramètres'!$A$1:$I$89,3,0)*VLOOKUP('Données projet'!$B$15,'Paramètres'!$A$1:$I$89,5,0)</f>
        <v>0</v>
      </c>
      <c r="EL142" s="130" t="str">
        <f t="shared" si="46"/>
        <v>#NUM!</v>
      </c>
      <c r="EM142" s="141" t="str">
        <f t="shared" si="20"/>
        <v>#NUM!</v>
      </c>
      <c r="EN142" s="133" t="str">
        <f t="shared" si="21"/>
        <v>#NUM!</v>
      </c>
      <c r="EO142" s="133">
        <f>AVERAGE(OFFSET($EN$3,0,0,'Données projet'!$E$15+1,1))-AVERAGE(OFFSET($H$3,0,0,'Données projet'!$E$15+1,1))</f>
        <v>130.3193339</v>
      </c>
      <c r="EP142" s="133">
        <f t="shared" si="47"/>
        <v>82.22784365</v>
      </c>
      <c r="EQ142" s="134">
        <f>IF(ISNA(VLOOKUP(A142,'Données projet'!$A$191:$I$211,3,0)),0,VLOOKUP(A142,'Données projet'!$A$191:$I$211,3,0))</f>
        <v>0</v>
      </c>
      <c r="ER142" s="134">
        <f>IF(ISNA(VLOOKUP(A142,'Données projet'!$A$191:$I$211,4,0)),0,VLOOKUP(A142,'Données projet'!$A$191:$I$211,4,0))</f>
        <v>0</v>
      </c>
      <c r="ES142" s="135">
        <f>IF(ISNA(VLOOKUP(A142,'Données projet'!$A$191:$I$211,5,0)),0%,VLOOKUP(A142,'Données projet'!$A$191:$I$211,5,0)*VLOOKUP('Données projet'!$B$15,'Paramètres'!$A$1:$I$89,7,0))</f>
        <v>0</v>
      </c>
      <c r="ET142" s="135">
        <f>IF(ISNA(VLOOKUP(A142,'Données projet'!$A$191:$I$211,6,0)),0%,VLOOKUP(A142,'Données projet'!$A$191:$I$211,6,0)*VLOOKUP('Données projet'!$B$15,'Paramètres'!$A$1:$I$89,7,0))</f>
        <v>0</v>
      </c>
      <c r="EU142" s="135">
        <f>IF(ISNA(VLOOKUP(A142,'Données projet'!$A$191:$I$211,7,0)),0%,VLOOKUP(A142,'Données projet'!$A$191:$I$211,7,0))</f>
        <v>0</v>
      </c>
      <c r="EV142" s="142">
        <f>EXP(-LN(2)/35)*EV141+(1-EXP(-LN(2)/35))/(LN(2)/35)*ER142*ES142*VLOOKUP('Données projet'!$B$15,'Paramètres'!$A$1:$I$89,3,0)*0.475*44/12</f>
        <v>33.02915083</v>
      </c>
      <c r="EW142" s="142">
        <f>EXP(-LN(2)/25)*EW141+(1-EXP(-LN(2)/25))/(LN(2)/25)*Calculateur!ER142*Calculateur!ET142*VLOOKUP('Données projet'!$B$15,'Paramètres'!$A$1:$I$89,3,0)*0.475*44/12</f>
        <v>0</v>
      </c>
      <c r="EX142" s="142">
        <f>EXP(-LN(2)/2)*EX141+(1-EXP(-LN(2)/2))/(LN(2)/2)*ER142*EU142*VLOOKUP('Données projet'!$B$15,'Paramètres'!$A$1:$I$89,3,0)*0.475*44/12</f>
        <v>0</v>
      </c>
      <c r="EY142" s="143">
        <f t="shared" si="22"/>
        <v>33.02915083</v>
      </c>
      <c r="EZ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1" t="str">
        <f>VLOOKUP(A142,'Données projet'!$A$217:$I$237,2,0)</f>
        <v>#N/A</v>
      </c>
      <c r="FC142" s="131" t="str">
        <f>VLOOKUP(A142,'Données projet'!$A$217:$I$237,9,0)</f>
        <v>#N/A</v>
      </c>
      <c r="FD142" s="131" t="str">
        <f t="array" ref="FD142">INDEX(FC:FC,MIN(IF(ISNUMBER(FC142:FC338),ROW(FC142:FC338),"")))</f>
        <v/>
      </c>
      <c r="FE142" s="130">
        <f>IF('Données projet'!$A$218&gt;35,FE141+FD142-FM141,IF(A142&lt;'Données projet'!$A$218,$FB$205^A142,IF(A142='Données projet'!$A$218,'Données projet'!$B$218,FE141+FD142-FM141)))</f>
        <v>0</v>
      </c>
      <c r="FF142" s="138">
        <f>FE142*VLOOKUP('Données projet'!$B$16,'Paramètres'!$A$1:$I$89,3,0)*VLOOKUP('Données projet'!$B$16,'Paramètres'!$A$1:$I$89,5,0)</f>
        <v>0</v>
      </c>
      <c r="FG142" s="130">
        <f t="shared" si="48"/>
        <v>0</v>
      </c>
      <c r="FH142" s="141">
        <f t="shared" si="23"/>
        <v>0</v>
      </c>
      <c r="FI142" s="133">
        <f t="shared" si="24"/>
        <v>293.3333333</v>
      </c>
      <c r="FJ142" s="133">
        <f>AVERAGE(OFFSET($FI$3,0,0,'Données projet'!$E$16+1,1))-AVERAGE(OFFSET($H$3,0,0,'Données projet'!$E$16+1,1))</f>
        <v>305.6252353</v>
      </c>
      <c r="FK142" s="133">
        <f t="shared" si="49"/>
        <v>331.397916</v>
      </c>
      <c r="FL142" s="134">
        <f>IF(ISNA(VLOOKUP(A142,'Données projet'!$A$217:$I$237,3,0)),0,VLOOKUP(A142,'Données projet'!$A$217:$I$237,3,0))</f>
        <v>0</v>
      </c>
      <c r="FM142" s="134">
        <f>IF(ISNA(VLOOKUP(A142,'Données projet'!$A$217:$I$237,4,0)),0,VLOOKUP(A142,'Données projet'!$A$217:$I$237,4,0))</f>
        <v>0</v>
      </c>
      <c r="FN142" s="135">
        <f>IF(ISNA(VLOOKUP(A142,'Données projet'!$A$217:$I$237,5,0)),0%,VLOOKUP(A142,'Données projet'!$A$217:$I$237,5,0)*VLOOKUP('Données projet'!$B$16,'Paramètres'!$A$1:$I$89,7,0))</f>
        <v>0</v>
      </c>
      <c r="FO142" s="135">
        <f>IF(ISNA(VLOOKUP(A142,'Données projet'!$A$217:$I$237,6,0)),0%,VLOOKUP(A142,'Données projet'!$A$217:$I$237,6,0)*VLOOKUP('Données projet'!$B$16,'Paramètres'!$A$1:$I$89,7,0))</f>
        <v>0</v>
      </c>
      <c r="FP142" s="135">
        <f>IF(ISNA(VLOOKUP(A142,'Données projet'!$A$217:$I$237,7,0)),0%,VLOOKUP(A142,'Données projet'!$A$217:$I$237,7,0))</f>
        <v>0</v>
      </c>
      <c r="FQ142" s="142">
        <f>EXP(-LN(2)/35)*FQ141+(1-EXP(-LN(2)/35))/(LN(2)/35)*FM142*FN142*VLOOKUP('Données projet'!$B$16,'Paramètres'!$A$1:$I$89,3,0)*0.475*44/12</f>
        <v>20.56493639</v>
      </c>
      <c r="FR142" s="142">
        <f>EXP(-LN(2)/25)*FR141+(1-EXP(-LN(2)/25))/(LN(2)/25)*Calculateur!FM142*Calculateur!FO142*VLOOKUP('Données projet'!$B$16,'Paramètres'!$A$1:$I$89,3,0)*0.475*44/12</f>
        <v>0</v>
      </c>
      <c r="FS142" s="142">
        <f>EXP(-LN(2)/2)*FS141+(1-EXP(-LN(2)/2))/(LN(2)/2)*FM142*FP142*VLOOKUP('Données projet'!$B$16,'Paramètres'!$A$1:$I$89,3,0)*0.475*44/12</f>
        <v>0</v>
      </c>
      <c r="FT142" s="143">
        <f t="shared" si="25"/>
        <v>20.56493639</v>
      </c>
      <c r="FU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1" t="str">
        <f>VLOOKUP(A142,'Données projet'!$A$243:$I$263,2,0)</f>
        <v>#N/A</v>
      </c>
      <c r="FX142" s="131" t="str">
        <f>VLOOKUP(A142,'Données projet'!$A$243:$I$263,9,0)</f>
        <v>#N/A</v>
      </c>
      <c r="FY142" s="131" t="str">
        <f t="array" ref="FY142">INDEX(FX:FX,MIN(IF(ISNUMBER(FX142:FX338),ROW(FX142:FX338),"")))</f>
        <v/>
      </c>
      <c r="FZ142" s="138">
        <f>IF('Données projet'!$A$244&gt;35,FZ141+FY142-GH141,IF(A142&lt;'Données projet'!$A$244,$FW$205^A142,IF(A142='Données projet'!$A$244,'Données projet'!$B$244,FZ141+FY142-GH141)))</f>
        <v>0</v>
      </c>
      <c r="GA142" s="138">
        <f>FZ142*VLOOKUP('Données projet'!$B$17,'Paramètres'!$A$1:$I$89,3,0)*VLOOKUP('Données projet'!$B$17,'Paramètres'!$A$1:$I$89,5,0)</f>
        <v>0</v>
      </c>
      <c r="GB142" s="130">
        <f t="shared" si="50"/>
        <v>0</v>
      </c>
      <c r="GC142" s="141">
        <f t="shared" si="26"/>
        <v>0</v>
      </c>
      <c r="GD142" s="133">
        <f t="shared" si="27"/>
        <v>293.3333333</v>
      </c>
      <c r="GE142" s="133">
        <f>AVERAGE(OFFSET($GD$3,0,0,'Données projet'!$E$17+1,1))-AVERAGE(OFFSET($H$3,0,0,'Données projet'!$E$17+1,1))</f>
        <v>118.7368745</v>
      </c>
      <c r="GF142" s="133">
        <f t="shared" si="51"/>
        <v>135.1233677</v>
      </c>
      <c r="GG142" s="134">
        <f>IF(ISNA(VLOOKUP(A142,'Données projet'!$A$243:$I$263,3,0)),0,VLOOKUP(A142,'Données projet'!$A$243:$I$263,3,0))</f>
        <v>0</v>
      </c>
      <c r="GH142" s="134">
        <f>IF(ISNA(VLOOKUP(A142,'Données projet'!$A$243:$I$263,4,0)),0,VLOOKUP(A142,'Données projet'!$A$243:$I$263,4,0))</f>
        <v>0</v>
      </c>
      <c r="GI142" s="135">
        <f>IF(ISNA(VLOOKUP(A142,'Données projet'!$A$243:$I$263,5,0)),0%,VLOOKUP(A142,'Données projet'!$A$243:$I$263,5,0)*VLOOKUP('Données projet'!$B$17,'Paramètres'!$A$1:$I$89,7,0))</f>
        <v>0</v>
      </c>
      <c r="GJ142" s="135">
        <f>IF(ISNA(VLOOKUP(A142,'Données projet'!$A$243:$I$263,6,0)),0%,VLOOKUP(A142,'Données projet'!$A$243:$I$263,6,0)*VLOOKUP('Données projet'!$B$17,'Paramètres'!$A$1:$I$89,7,0))</f>
        <v>0</v>
      </c>
      <c r="GK142" s="135">
        <f>IF(ISNA(VLOOKUP(A142,'Données projet'!$A$243:$I$263,7,0)),0%,VLOOKUP(A142,'Données projet'!$A$243:$I$263,7,0))</f>
        <v>0</v>
      </c>
      <c r="GL142" s="142">
        <f>EXP(-LN(2)/35)*GL141+(1-EXP(-LN(2)/35))/(LN(2)/35)*GH142*GI142*VLOOKUP('Données projet'!$B$17,'Paramètres'!$A$1:$I$89,3,0)*0.475*44/12</f>
        <v>21.7267917</v>
      </c>
      <c r="GM142" s="142">
        <f>EXP(-LN(2)/25)*GM141+(1-EXP(-LN(2)/25))/(LN(2)/25)*Calculateur!GH142*Calculateur!GJ142*VLOOKUP('Données projet'!$B$17,'Paramètres'!$A$1:$I$89,3,0)*0.475*44/12</f>
        <v>0</v>
      </c>
      <c r="GN142" s="142">
        <f>EXP(-LN(2)/2)*GN141+(1-EXP(-LN(2)/2))/(LN(2)/2)*GH142*GK142*VLOOKUP('Données projet'!$B$17,'Paramètres'!$A$1:$I$89,3,0)*0.475*44/12</f>
        <v>0</v>
      </c>
      <c r="GO142" s="142">
        <f t="shared" si="28"/>
        <v>21.7267917</v>
      </c>
      <c r="GP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1" t="str">
        <f>VLOOKUP(A142,'Données projet'!$A$269:$I$289,2,0)</f>
        <v>#N/A</v>
      </c>
      <c r="GS142" s="131" t="str">
        <f>VLOOKUP(A142,'Données projet'!$A$269:$I$289,9,0)</f>
        <v>#N/A</v>
      </c>
      <c r="GT142" s="131" t="str">
        <f t="array" ref="GT142">INDEX(GS:GS,MIN(IF(ISNUMBER(GS142:GS338),ROW(GS142:GS338),"")))</f>
        <v/>
      </c>
      <c r="GU142" s="138">
        <f>IF('Données projet'!$A$270&gt;35,GU141+GT142-HC141,IF(A142&lt;'Données projet'!$A$270,$GR$205^A142,IF(A142='Données projet'!$A$270,'Données projet'!$B$270,GU141+GT142-HC141)))</f>
        <v>0</v>
      </c>
      <c r="GV142" s="138">
        <f>GU142*VLOOKUP('Données projet'!$B$18,'Paramètres'!$A$1:$I$89,3,0)*VLOOKUP('Données projet'!$B$18,'Paramètres'!$A$1:$I$89,5,0)</f>
        <v>0</v>
      </c>
      <c r="GW142" s="130" t="str">
        <f t="shared" si="52"/>
        <v>#NUM!</v>
      </c>
      <c r="GX142" s="141" t="str">
        <f t="shared" si="29"/>
        <v>#NUM!</v>
      </c>
      <c r="GY142" s="133" t="str">
        <f t="shared" si="30"/>
        <v>#NUM!</v>
      </c>
      <c r="GZ142" s="133">
        <f>AVERAGE(OFFSET($GY$3,0,0,'Données projet'!$E$18+1,1))-AVERAGE(OFFSET($H$3,0,0,'Données projet'!$E$18+1,1))</f>
        <v>100.5427875</v>
      </c>
      <c r="HA142" s="133">
        <f t="shared" si="53"/>
        <v>92.28663609</v>
      </c>
      <c r="HB142" s="134">
        <f>IF(ISNA(VLOOKUP(A142,'Données projet'!$A$269:$I$289,3,0)),0,VLOOKUP(A142,'Données projet'!$A$269:$I$289,3,0))</f>
        <v>0</v>
      </c>
      <c r="HC142" s="134">
        <f>IF(ISNA(VLOOKUP(A142,'Données projet'!$A$269:$I$289,4,0)),0,VLOOKUP(A142,'Données projet'!$A$269:$I$289,4,0))</f>
        <v>0</v>
      </c>
      <c r="HD142" s="135">
        <f>IF(ISNA(VLOOKUP(A142,'Données projet'!$A$269:$I$289,5,0)),0%,VLOOKUP(A142,'Données projet'!$A$269:$I$289,5,0)*VLOOKUP('Données projet'!$B$18,'Paramètres'!$A$1:$I$89,7,0))</f>
        <v>0</v>
      </c>
      <c r="HE142" s="135">
        <f>IF(ISNA(VLOOKUP(A142,'Données projet'!$A$269:$I$289,6,0)),0%,VLOOKUP(A142,'Données projet'!$A$269:$I$289,6,0)*VLOOKUP('Données projet'!$B$18,'Paramètres'!$A$1:$I$89,7,0))</f>
        <v>0</v>
      </c>
      <c r="HF142" s="135">
        <f>IF(ISNA(VLOOKUP(A142,'Données projet'!$A$269:$I$289,7,0)),0%,VLOOKUP(A142,'Données projet'!$A$269:$I$289,7,0))</f>
        <v>0</v>
      </c>
      <c r="HG142" s="142">
        <f>EXP(-LN(2)/35)*HG141+(1-EXP(-LN(2)/35))/(LN(2)/35)*HC142*HD142*VLOOKUP('Données projet'!$B$18,'Paramètres'!$A$1:$I$89,3,0)*0.475*44/12</f>
        <v>14.7954868</v>
      </c>
      <c r="HH142" s="142">
        <f>EXP(-LN(2)/25)*HH141+(1-EXP(-LN(2)/25))/(LN(2)/25)*Calculateur!HC142*Calculateur!HE142*VLOOKUP('Données projet'!$B$18,'Paramètres'!$A$1:$I$89,3,0)*0.475*44/12</f>
        <v>0</v>
      </c>
      <c r="HI142" s="142">
        <f>EXP(-LN(2)/2)*HI141+(1-EXP(-LN(2)/2))/(LN(2)/2)*HC142*HF142*VLOOKUP('Données projet'!$B$18,'Paramètres'!$A$1:$I$89,3,0)*0.475*44/12</f>
        <v>0</v>
      </c>
      <c r="HJ142" s="143">
        <f t="shared" si="31"/>
        <v>14.7954868</v>
      </c>
    </row>
    <row r="143" ht="15.75" customHeight="1">
      <c r="A143" s="125">
        <f t="shared" si="32"/>
        <v>140</v>
      </c>
      <c r="B143" s="126">
        <f>'Scénario référence'!$B$16*5+'Scénario référence'!$B$17*0+'Scénario référence'!$B$18*5</f>
        <v>0</v>
      </c>
      <c r="C143" s="140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76.44</v>
      </c>
      <c r="D143" s="127">
        <f t="shared" si="33"/>
        <v>21.26445304</v>
      </c>
      <c r="E14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7">
        <f>IF(OR('Scénario référence'!$F$8&gt;0,'Scénario référence'!$F$9&gt;0),('Scénario référence'!$F$8+'Scénario référence'!$F$9)*10,0)</f>
        <v>10</v>
      </c>
      <c r="G143" s="127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</v>
      </c>
      <c r="H143" s="128">
        <f t="shared" si="1"/>
        <v>463.5019224</v>
      </c>
      <c r="I143" s="12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1" t="str">
        <f>VLOOKUP(A143,'Données projet'!$A$35:$I$55,2,0)</f>
        <v>#N/A</v>
      </c>
      <c r="L143" s="131" t="str">
        <f>VLOOKUP(A143,'Données projet'!$A$35:$I$55,9,0)</f>
        <v>#N/A</v>
      </c>
      <c r="M143" s="131" t="str">
        <f t="array" ref="M143">INDEX(L:L,MIN(IF(ISNUMBER(L143:L339),ROW(L143:L339),"")))</f>
        <v/>
      </c>
      <c r="N143" s="130">
        <f>IF('Données projet'!$A$36&gt;35,N142+M143-V142,IF(A143&lt;'Données projet'!$A$36,$K$205^A143,IF(A143='Données projet'!$A$36,'Données projet'!$B$36,N142+M143-V142)))</f>
        <v>0</v>
      </c>
      <c r="O143" s="130">
        <f>N143*VLOOKUP('Données projet'!$B$9,'Paramètres'!$A$1:$I$89,3,0)*VLOOKUP('Données projet'!$B$9,'Paramètres'!$A$1:$I$89,5,0)</f>
        <v>0</v>
      </c>
      <c r="P143" s="130">
        <f t="shared" si="34"/>
        <v>0</v>
      </c>
      <c r="Q143" s="141">
        <f t="shared" si="2"/>
        <v>0</v>
      </c>
      <c r="R143" s="133">
        <f t="shared" si="3"/>
        <v>293.3333333</v>
      </c>
      <c r="S143" s="133">
        <f>AVERAGE(OFFSET($R$3,0,0,'Données projet'!$E$9+1,1))-AVERAGE(OFFSET($H$3,0,0,'Données projet'!$E$9+1,1))</f>
        <v>126.9946492</v>
      </c>
      <c r="T143" s="133">
        <f t="shared" si="35"/>
        <v>140.039049</v>
      </c>
      <c r="U143" s="134">
        <f>IF(ISNA(VLOOKUP(A143,'Données projet'!$A$35:$I$55,3,0)),0,VLOOKUP(A143,'Données projet'!$A$35:$I$55,3,0))</f>
        <v>0</v>
      </c>
      <c r="V143" s="134">
        <f>IF(ISNA(VLOOKUP(A143,'Données projet'!$A$35:$I$55,4,0)),0,VLOOKUP(A143,'Données projet'!$A$35:$I$55,4,0))</f>
        <v>0</v>
      </c>
      <c r="W143" s="135">
        <f>IF(ISNA(VLOOKUP(A143,'Données projet'!$A$35:$I$55,5,0)),0%,VLOOKUP(A143,'Données projet'!$A$35:$I$55,5,0)*VLOOKUP('Données projet'!$B$9,'Paramètres'!$A$1:$I$89,7,0))</f>
        <v>0</v>
      </c>
      <c r="X143" s="135">
        <f>IF(ISNA(VLOOKUP(A143,'Données projet'!$A$35:$I$55,6,0)),0%,VLOOKUP(A143,'Données projet'!$A$35:$I$55,6,0)*VLOOKUP('Données projet'!$B$9,'Paramètres'!$A$1:$I$89,7,0))</f>
        <v>0</v>
      </c>
      <c r="Y143" s="135">
        <f>IF(ISNA(VLOOKUP(A143,'Données projet'!$A$35:$I$55,7,0)),0%,VLOOKUP(A143,'Données projet'!$A$35:$I$55,7,0))</f>
        <v>0</v>
      </c>
      <c r="Z143" s="142">
        <f>EXP(-LN(2)/35)*Z142+(1-EXP(-LN(2)/35))/(LN(2)/35)*V143*W143*VLOOKUP('Données projet'!$B$9,'Paramètres'!$A$1:$I$89,3,0)*0.475*44/12</f>
        <v>21.78591803</v>
      </c>
      <c r="AA143" s="142">
        <f>EXP(-LN(2)/25)*AA142+(1-EXP(-LN(2)/25))/(LN(2)/25)*Calculateur!V143*Calculateur!X143*VLOOKUP('Données projet'!$B$9,'Paramètres'!$A$1:$I$89,3,0)*0.475*44/12</f>
        <v>2.528802197</v>
      </c>
      <c r="AB143" s="142">
        <f>EXP(-LN(2)/2)*AB142+(1-EXP(-LN(2)/2))/(LN(2)/2)*V143*Y143*VLOOKUP('Données projet'!$B$9,'Paramètres'!$A$1:$I$89,3,0)*0.475*44/12</f>
        <v>0</v>
      </c>
      <c r="AC143" s="143">
        <f t="shared" si="4"/>
        <v>24.31472022</v>
      </c>
      <c r="AD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1" t="str">
        <f>VLOOKUP(A143,'Données projet'!$A$61:$I$81,2,0)</f>
        <v>#N/A</v>
      </c>
      <c r="AG143" s="131" t="str">
        <f>VLOOKUP(A143,'Données projet'!$A$61:$I$81,9,0)</f>
        <v>#N/A</v>
      </c>
      <c r="AH143" s="131" t="str">
        <f t="array" ref="AH143">INDEX(AG:AG,MIN(IF(ISNUMBER(AG143:AG339),ROW(AG143:AG339),"")))</f>
        <v/>
      </c>
      <c r="AI143" s="130">
        <f>IF('Données projet'!$A$62&gt;35,AI142+AH143-AQ142,IF(A143&lt;'Données projet'!$A$62,$AF$205^A143,IF(A143='Données projet'!$A$62,'Données projet'!$B$62,AI142+AH143-AQ142)))</f>
        <v>0</v>
      </c>
      <c r="AJ143" s="130">
        <f>AI143*VLOOKUP('Données projet'!$B$10,'Paramètres'!$A$1:$I$89,3,0)*VLOOKUP('Données projet'!$B$10,'Paramètres'!$A$1:$I$89,5,0)</f>
        <v>0</v>
      </c>
      <c r="AK143" s="130" t="str">
        <f t="shared" si="36"/>
        <v>#NUM!</v>
      </c>
      <c r="AL143" s="141" t="str">
        <f t="shared" si="5"/>
        <v>#NUM!</v>
      </c>
      <c r="AM143" s="133" t="str">
        <f t="shared" si="6"/>
        <v>#NUM!</v>
      </c>
      <c r="AN143" s="133">
        <f>AVERAGE(OFFSET($AM$3,0,0,'Données projet'!$E$10+1,1))-AVERAGE(OFFSET($H$3,0,0,'Données projet'!$E$10+1,1))</f>
        <v>196.874484</v>
      </c>
      <c r="AO143" s="133">
        <f t="shared" si="37"/>
        <v>217.5750859</v>
      </c>
      <c r="AP143" s="134">
        <f>IF(ISNA(VLOOKUP(A143,'Données projet'!$A$61:$I$81,3,0)),0,VLOOKUP(A143,'Données projet'!$A$61:$I$81,3,0))</f>
        <v>0</v>
      </c>
      <c r="AQ143" s="134">
        <f>IF(ISNA(VLOOKUP(A143,'Données projet'!$A$61:$I$81,4,0)),0,VLOOKUP(A143,'Données projet'!$A$61:$I$81,4,0))</f>
        <v>0</v>
      </c>
      <c r="AR143" s="135">
        <f>IF(ISNA(VLOOKUP(A143,'Données projet'!$A$61:$I$81,5,0)),0%,VLOOKUP(A143,'Données projet'!$A$61:$I$81,5,0)*VLOOKUP('Données projet'!$B$10,'Paramètres'!$A$1:$I$89,7,0))</f>
        <v>0</v>
      </c>
      <c r="AS143" s="135">
        <f>IF(ISNA(VLOOKUP(A143,'Données projet'!$A$61:$I$81,6,0)),0%,VLOOKUP(A143,'Données projet'!$A$61:$I$81,6,0)*VLOOKUP('Données projet'!$B$10,'Paramètres'!$A$1:$I$89,7,0))</f>
        <v>0</v>
      </c>
      <c r="AT143" s="135">
        <f>IF(ISNA(VLOOKUP(A143,'Données projet'!$A$61:$I$81,7,0)),0%,VLOOKUP(A143,'Données projet'!$A$61:$I$81,7,0))</f>
        <v>0</v>
      </c>
      <c r="AU143" s="142">
        <f>EXP(-LN(2)/35)*AU142+(1-EXP(-LN(2)/35))/(LN(2)/35)*AQ143*AR143*VLOOKUP('Données projet'!$B$10,'Paramètres'!$A$1:$I$89,3,0)*0.475*44/12</f>
        <v>30.28180725</v>
      </c>
      <c r="AV143" s="142">
        <f>EXP(-LN(2)/25)*AV142+(1-EXP(-LN(2)/25))/(LN(2)/25)*Calculateur!AQ143*Calculateur!AS143*VLOOKUP('Données projet'!$B$10,'Paramètres'!$A$1:$I$89,3,0)*0.475*44/12</f>
        <v>3.888036757</v>
      </c>
      <c r="AW143" s="142">
        <f>EXP(-LN(2)/2)*AW142+(1-EXP(-LN(2)/2))/(LN(2)/2)*AQ143*AT143*VLOOKUP('Données projet'!$B$10,'Paramètres'!$A$1:$I$89,3,0)*0.475*44/12</f>
        <v>0</v>
      </c>
      <c r="AX143" s="142">
        <f t="shared" si="7"/>
        <v>34.16984401</v>
      </c>
      <c r="AY143" s="13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1" t="str">
        <f>VLOOKUP(A143,'Données projet'!$A$87:$I$107,2,0)</f>
        <v>#N/A</v>
      </c>
      <c r="BB143" s="131" t="str">
        <f>VLOOKUP(A143,'Données projet'!$A$87:$I$107,9,0)</f>
        <v>#N/A</v>
      </c>
      <c r="BC143" s="131" t="str">
        <f t="array" ref="BC143">INDEX(BB:BB,MIN(IF(ISNUMBER(BB143:BB339),ROW(BB143:BB339),"")))</f>
        <v/>
      </c>
      <c r="BD143" s="130">
        <f>IF('Données projet'!$A$88&gt;35,BD142+BC143-BL142,IF(A143&lt;'Données projet'!$A$88,$BA$205^A143,IF(A143='Données projet'!$A$88,'Données projet'!$B$88,BD142+BC143-BL142)))</f>
        <v>0</v>
      </c>
      <c r="BE143" s="130">
        <f>BD143*VLOOKUP('Données projet'!$B$11,'Paramètres'!$A$1:$I$89,3,0)*VLOOKUP('Données projet'!$B$11,'Paramètres'!$A$1:$I$89,5,0)</f>
        <v>0</v>
      </c>
      <c r="BF143" s="130" t="str">
        <f t="shared" si="38"/>
        <v>#NUM!</v>
      </c>
      <c r="BG143" s="141" t="str">
        <f t="shared" si="8"/>
        <v>#NUM!</v>
      </c>
      <c r="BH143" s="133" t="str">
        <f t="shared" si="9"/>
        <v>#NUM!</v>
      </c>
      <c r="BI143" s="133">
        <f>AVERAGE(OFFSET($BH$3,0,0,'Données projet'!$E$11+1,1))-AVERAGE(OFFSET($H$3,0,0,'Données projet'!$E$11+1,1))</f>
        <v>134.0948534</v>
      </c>
      <c r="BJ143" s="133">
        <f t="shared" si="39"/>
        <v>108.4102536</v>
      </c>
      <c r="BK143" s="134">
        <f>IF(ISNA(VLOOKUP(A143,'Données projet'!$A$87:$I$107,3,0)),0,VLOOKUP(A143,'Données projet'!$A$87:$I$107,3,0))</f>
        <v>0</v>
      </c>
      <c r="BL143" s="134">
        <f>IF(ISNA(VLOOKUP(A143,'Données projet'!$A$87:$I$107,4,0)),0,VLOOKUP(A143,'Données projet'!$A$87:$I$107,4,0))</f>
        <v>0</v>
      </c>
      <c r="BM143" s="135">
        <f>IF(ISNA(VLOOKUP(A143,'Données projet'!$A$87:$I$107,5,0)),0%,VLOOKUP(A143,'Données projet'!$A$87:$I$107,5,0)*VLOOKUP('Données projet'!$B$11,'Paramètres'!$A$1:$I$89,7,0))</f>
        <v>0</v>
      </c>
      <c r="BN143" s="135">
        <f>IF(ISNA(VLOOKUP(A143,'Données projet'!$A$87:$I$107,6,0)),0%,VLOOKUP(A143,'Données projet'!$A$87:$I$107,6,0)*VLOOKUP('Données projet'!$B$11,'Paramètres'!$A$1:$I$89,7,0))</f>
        <v>0</v>
      </c>
      <c r="BO143" s="135">
        <f>IF(ISNA(VLOOKUP(A143,'Données projet'!$A$87:$I$107,7,0)),0%,VLOOKUP(A143,'Données projet'!$A$87:$I$107,7,0))</f>
        <v>0</v>
      </c>
      <c r="BP143" s="142">
        <f>EXP(-LN(2)/35)*BP142+(1-EXP(-LN(2)/35))/(LN(2)/35)*BL143*BM143*VLOOKUP('Données projet'!$B$11,'Paramètres'!$A$1:$I$89,3,0)*0.475*44/12</f>
        <v>41.88539481</v>
      </c>
      <c r="BQ143" s="142">
        <f>EXP(-LN(2)/25)*BQ142+(1-EXP(-LN(2)/25))/(LN(2)/25)*Calculateur!BL143*Calculateur!BN143*VLOOKUP('Données projet'!$B$11,'Paramètres'!$A$1:$I$89,3,0)*0.475*44/12</f>
        <v>2.452576924</v>
      </c>
      <c r="BR143" s="142">
        <f>EXP(-LN(2)/2)*BR142+(1-EXP(-LN(2)/2))/(LN(2)/2)*BL143*BO143*VLOOKUP('Données projet'!$B$11,'Paramètres'!$A$1:$I$89,3,0)*0.475*44/12</f>
        <v>0.000000000321179667</v>
      </c>
      <c r="BS143" s="143">
        <f t="shared" si="10"/>
        <v>44.33797174</v>
      </c>
      <c r="BT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1" t="str">
        <f>VLOOKUP(A143,'Données projet'!$A$113:$I$133,2,0)</f>
        <v>#N/A</v>
      </c>
      <c r="BW143" s="131" t="str">
        <f>VLOOKUP(A143,'Données projet'!$A$113:$I$133,9,0)</f>
        <v>#N/A</v>
      </c>
      <c r="BX143" s="131" t="str">
        <f t="array" ref="BX143">INDEX(BW:BW,MIN(IF(ISNUMBER(BW143:BW339),ROW(BW143:BW339),"")))</f>
        <v/>
      </c>
      <c r="BY143" s="130">
        <f>IF('Données projet'!$A$114&gt;35,BY142+BX143-CG142,IF(A143&lt;'Données projet'!$A$114,$BV$205^A143,IF(A143='Données projet'!$A$114,'Données projet'!$B$114,BY142+BX143-CG142)))</f>
        <v>0</v>
      </c>
      <c r="BZ143" s="130">
        <f>BY143*VLOOKUP('Données projet'!$B$12,'Paramètres'!$A$1:$I$89,3,0)*VLOOKUP('Données projet'!$B$12,'Paramètres'!$A$1:$I$89,5,0)</f>
        <v>0</v>
      </c>
      <c r="CA143" s="130" t="str">
        <f t="shared" si="40"/>
        <v>#NUM!</v>
      </c>
      <c r="CB143" s="141" t="str">
        <f t="shared" si="11"/>
        <v>#NUM!</v>
      </c>
      <c r="CC143" s="133" t="str">
        <f t="shared" si="12"/>
        <v>#NUM!</v>
      </c>
      <c r="CD143" s="133">
        <f>AVERAGE(OFFSET($CC$3,0,0,'Données projet'!$E$12+1,1))-AVERAGE(OFFSET($H$3,0,0,'Données projet'!$E$12+1,1))</f>
        <v>258.1672054</v>
      </c>
      <c r="CE143" s="133">
        <f t="shared" si="41"/>
        <v>296.0724261</v>
      </c>
      <c r="CF143" s="134">
        <f>IF(ISNA(VLOOKUP(A143,'Données projet'!$A$113:$I$133,3,0)),0,VLOOKUP(A143,'Données projet'!$A$113:$I$133,3,0))</f>
        <v>0</v>
      </c>
      <c r="CG143" s="134">
        <f>IF(ISNA(VLOOKUP(A143,'Données projet'!$A$113:$I$133,4,0)),0,VLOOKUP(A143,'Données projet'!$A$113:$I$133,4,0))</f>
        <v>0</v>
      </c>
      <c r="CH143" s="135">
        <f>IF(ISNA(VLOOKUP(A143,'Données projet'!$A$113:$I$133,5,0)),0%,VLOOKUP(A143,'Données projet'!$A$113:$I$133,5,0)*VLOOKUP('Données projet'!$B$12,'Paramètres'!$A$1:$I$89,7,0))</f>
        <v>0</v>
      </c>
      <c r="CI143" s="135">
        <f>IF(ISNA(VLOOKUP(A143,'Données projet'!$A$113:$I$133,6,0)),0%,VLOOKUP(A143,'Données projet'!$A$113:$I$133,6,0)*VLOOKUP('Données projet'!$B$12,'Paramètres'!$A$1:$I$89,7,0))</f>
        <v>0</v>
      </c>
      <c r="CJ143" s="135">
        <f>IF(ISNA(VLOOKUP(A143,'Données projet'!$A$113:$I$133,7,0)),0%,VLOOKUP(A143,'Données projet'!$A$113:$I$133,7,0))</f>
        <v>0</v>
      </c>
      <c r="CK143" s="142">
        <f>EXP(-LN(2)/35)*CK142+(1-EXP(-LN(2)/35))/(LN(2)/35)*CG143*CH143*VLOOKUP('Données projet'!$B$12,'Paramètres'!$A$1:$I$89,3,0)*0.475*44/12</f>
        <v>52.95595231</v>
      </c>
      <c r="CL143" s="142">
        <f>EXP(-LN(2)/25)*CL142+(1-EXP(-LN(2)/25))/(LN(2)/25)*Calculateur!CG143*Calculateur!CI143*VLOOKUP('Données projet'!$B$12,'Paramètres'!$A$1:$I$89,3,0)*0.475*44/12</f>
        <v>4.301959151</v>
      </c>
      <c r="CM143" s="142">
        <f>EXP(-LN(2)/2)*CM142+(1-EXP(-LN(2)/2))/(LN(2)/2)*CG143*CJ143*VLOOKUP('Données projet'!$B$12,'Paramètres'!$A$1:$I$89,3,0)*0.475*44/12</f>
        <v>0</v>
      </c>
      <c r="CN143" s="143">
        <f t="shared" si="13"/>
        <v>57.25791146</v>
      </c>
      <c r="CO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8">
        <f>VLOOKUP(A143,'Données projet'!$A$139:$I$159,2,0)</f>
        <v>218</v>
      </c>
      <c r="CR143" s="130">
        <f>VLOOKUP(A143,'Données projet'!$A$139:$I$159,9,0)</f>
        <v>0.8</v>
      </c>
      <c r="CS143" s="130">
        <f t="array" ref="CS143">INDEX(CR:CR,MIN(IF(ISNUMBER(CR143:CR339),ROW(CR143:CR339),"")))</f>
        <v>0.8</v>
      </c>
      <c r="CT143" s="138">
        <f>IF('Données projet'!$A$140&gt;35,CT142+CS143-DB142,IF(A143&lt;'Données projet'!$A$140,$CQ$205^A143,IF(A143='Données projet'!$A$140,'Données projet'!$B$140,CT142+CS143-DB142)))</f>
        <v>218</v>
      </c>
      <c r="CU143" s="138">
        <f>CT143*VLOOKUP('Données projet'!$B$13,'Paramètres'!$A$1:$I$89,3,0)*VLOOKUP('Données projet'!$B$13,'Paramètres'!$A$1:$I$89,5,0)</f>
        <v>221.052</v>
      </c>
      <c r="CV143" s="130">
        <f t="shared" si="42"/>
        <v>54.3434692</v>
      </c>
      <c r="CW143" s="141">
        <f t="shared" si="14"/>
        <v>479.6471089</v>
      </c>
      <c r="CX143" s="133">
        <f t="shared" si="15"/>
        <v>772.9804422</v>
      </c>
      <c r="CY143" s="133">
        <f>AVERAGE(OFFSET($CX$3,0,0,'Données projet'!$E$13+1,1))-AVERAGE(OFFSET($H$3,0,0,'Données projet'!$E$13+1,1))</f>
        <v>223.783507</v>
      </c>
      <c r="CZ143" s="133">
        <f t="shared" si="43"/>
        <v>84.92349117</v>
      </c>
      <c r="DA143" s="134">
        <f>IF(ISNA(VLOOKUP(A143,'Données projet'!$A$139:$I$159,3,0)),0,VLOOKUP(A143,'Données projet'!$A$139:$I$159,3,0))</f>
        <v>19</v>
      </c>
      <c r="DB143" s="144">
        <f>IF(ISNA(VLOOKUP(A143,'Données projet'!$A$139:$I$159,4,0)),0,VLOOKUP(A143,'Données projet'!$A$139:$I$159,4,0))</f>
        <v>8</v>
      </c>
      <c r="DC143" s="135">
        <f>IF(ISNA(VLOOKUP(A143,'Données projet'!$A$139:$I$159,5,0)),0%,VLOOKUP(A143,'Données projet'!$A$139:$I$159,5,0)*VLOOKUP('Données projet'!$B$13,'Paramètres'!$A$1:$I$89,7,0))</f>
        <v>0.344</v>
      </c>
      <c r="DD143" s="135">
        <f>IF(ISNA(VLOOKUP(A143,'Données projet'!$A$139:$I$159,6,0)),0%,VLOOKUP(A143,'Données projet'!$A$139:$I$159,6,0)*VLOOKUP('Données projet'!$B$13,'Paramètres'!$A$1:$I$89,7,0))</f>
        <v>0</v>
      </c>
      <c r="DE143" s="135" t="str">
        <f>IF(ISNA(VLOOKUP(A143,'Données projet'!$A$139:$I$159,7,0)),0%,VLOOKUP(A143,'Données projet'!$A$139:$I$159,7,0))</f>
        <v/>
      </c>
      <c r="DF143" s="142">
        <f>EXP(-LN(2)/35)*DF142+(1-EXP(-LN(2)/35))/(LN(2)/35)*DB143*DC143*VLOOKUP('Données projet'!$B$13,'Paramètres'!$A$1:$I$89,3,0)*0.475*44/12</f>
        <v>21.258589</v>
      </c>
      <c r="DG143" s="142">
        <f>EXP(-LN(2)/25)*DG142+(1-EXP(-LN(2)/25))/(LN(2)/25)*Calculateur!DB143*Calculateur!DD143*VLOOKUP('Données projet'!$B$13,'Paramètres'!$A$1:$I$89,3,0)*0.475*44/12</f>
        <v>0</v>
      </c>
      <c r="DH143" s="142">
        <f>EXP(-LN(2)/2)*DH142+(1-EXP(-LN(2)/2))/(LN(2)/2)*DB143*DE143*VLOOKUP('Données projet'!$B$13,'Paramètres'!$A$1:$I$89,3,0)*0.475*44/12</f>
        <v>0</v>
      </c>
      <c r="DI143" s="143">
        <f t="shared" si="16"/>
        <v>21.258589</v>
      </c>
      <c r="DJ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1" t="str">
        <f>VLOOKUP(A143,'Données projet'!$A$165:$I$185,2,0)</f>
        <v>#N/A</v>
      </c>
      <c r="DM143" s="131" t="str">
        <f>VLOOKUP(A143,'Données projet'!$A$165:$I$185,9,0)</f>
        <v>#N/A</v>
      </c>
      <c r="DN143" s="131">
        <f t="array" ref="DN143">INDEX(DM:DM,MIN(IF(ISNUMBER(DM143:DM339),ROW(DM143:DM339),"")))</f>
        <v>0.55</v>
      </c>
      <c r="DO143" s="138">
        <f>IF('Données projet'!$A$166&gt;35,DO142+DN143-DW142,IF(A143&lt;'Données projet'!$A$166,$DL$205^A143,IF(A143='Données projet'!$A$166,'Données projet'!$B$166,DO142+DN143-DW142)))</f>
        <v>274.5</v>
      </c>
      <c r="DP143" s="138">
        <f>DO143*VLOOKUP('Données projet'!$B$14,'Paramètres'!$A$1:$I$89,3,0)*VLOOKUP('Données projet'!$B$14,'Paramètres'!$A$1:$I$89,5,0)</f>
        <v>248.3676</v>
      </c>
      <c r="DQ143" s="130">
        <f t="shared" si="44"/>
        <v>60.2362538</v>
      </c>
      <c r="DR143" s="141">
        <f t="shared" si="17"/>
        <v>537.4850454</v>
      </c>
      <c r="DS143" s="133">
        <f t="shared" si="18"/>
        <v>830.8183787</v>
      </c>
      <c r="DT143" s="133">
        <f>AVERAGE(OFFSET($DS$3,0,0,'Données projet'!$E$14+1,1))-AVERAGE(OFFSET($H$3,0,0,'Données projet'!$E$14+1,1))</f>
        <v>287.9334714</v>
      </c>
      <c r="DU143" s="133">
        <f t="shared" si="45"/>
        <v>156.6796502</v>
      </c>
      <c r="DV143" s="134">
        <f>IF(ISNA(VLOOKUP(A143,'Données projet'!$A$165:$I$185,3,0)),0,VLOOKUP(A143,'Données projet'!$A$165:$I$185,3,0))</f>
        <v>0</v>
      </c>
      <c r="DW143" s="134">
        <f>IF(ISNA(VLOOKUP(A143,'Données projet'!$A$165:$I$185,4,0)),0,VLOOKUP(A143,'Données projet'!$A$165:$I$185,4,0))</f>
        <v>0</v>
      </c>
      <c r="DX143" s="135">
        <f>IF(ISNA(VLOOKUP(A143,'Données projet'!$A$165:$I$185,5,0)),0%,VLOOKUP(A143,'Données projet'!$A$165:$I$185,5,0)*VLOOKUP('Données projet'!$B$14,'Paramètres'!$A$1:$I$89,7,0))</f>
        <v>0</v>
      </c>
      <c r="DY143" s="135">
        <f>IF(ISNA(VLOOKUP(A143,'Données projet'!$A$165:$I$185,6,0)),0%,VLOOKUP(A143,'Données projet'!$A$165:$I$185,6,0)*VLOOKUP('Données projet'!$B$14,'Paramètres'!$A$1:$I$89,7,0))</f>
        <v>0</v>
      </c>
      <c r="DZ143" s="135">
        <f>IF(ISNA(VLOOKUP(A143,'Données projet'!$A$165:$I$185,7,0)),0%,VLOOKUP(A143,'Données projet'!$A$165:$I$185,7,0))</f>
        <v>0</v>
      </c>
      <c r="EA143" s="142">
        <f>EXP(-LN(2)/35)*EA142+(1-EXP(-LN(2)/35))/(LN(2)/35)*DW143*DX143*VLOOKUP('Données projet'!$B$14,'Paramètres'!$A$1:$I$89,3,0)*0.475*44/12</f>
        <v>25.88441988</v>
      </c>
      <c r="EB143" s="142">
        <f>EXP(-LN(2)/25)*EB142+(1-EXP(-LN(2)/25))/(LN(2)/25)*Calculateur!DW143*Calculateur!DY143*VLOOKUP('Données projet'!$B$14,'Paramètres'!$A$1:$I$89,3,0)*0.475*44/12</f>
        <v>0</v>
      </c>
      <c r="EC143" s="142">
        <f>EXP(-LN(2)/2)*EC142+(1-EXP(-LN(2)/2))/(LN(2)/2)*DW143*DZ143*VLOOKUP('Données projet'!$B$14,'Paramètres'!$A$1:$I$89,3,0)*0.475*44/12</f>
        <v>0</v>
      </c>
      <c r="ED143" s="143">
        <f t="shared" si="19"/>
        <v>25.88441988</v>
      </c>
      <c r="EE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1" t="str">
        <f>VLOOKUP(A143,'Données projet'!$A$191:$I$211,2,0)</f>
        <v>#N/A</v>
      </c>
      <c r="EH143" s="131" t="str">
        <f>VLOOKUP(A143,'Données projet'!$A$191:$I$211,9,0)</f>
        <v>#N/A</v>
      </c>
      <c r="EI143" s="131" t="str">
        <f t="array" ref="EI143">INDEX(EH:EH,MIN(IF(ISNUMBER(EH143:EH339),ROW(EH143:EH339),"")))</f>
        <v/>
      </c>
      <c r="EJ143" s="138">
        <f>IF('Données projet'!$A$192&gt;35,EJ142+EI143-ER142,IF(A143&lt;'Données projet'!$A$192,$EG$205^A143,IF(A143='Données projet'!$A$192,'Données projet'!$B$192,EJ142+EI143-ER142)))</f>
        <v>0</v>
      </c>
      <c r="EK143" s="138">
        <f>EJ143*VLOOKUP('Données projet'!$B$15,'Paramètres'!$A$1:$I$89,3,0)*VLOOKUP('Données projet'!$B$15,'Paramètres'!$A$1:$I$89,5,0)</f>
        <v>0</v>
      </c>
      <c r="EL143" s="130" t="str">
        <f t="shared" si="46"/>
        <v>#NUM!</v>
      </c>
      <c r="EM143" s="141" t="str">
        <f t="shared" si="20"/>
        <v>#NUM!</v>
      </c>
      <c r="EN143" s="133" t="str">
        <f t="shared" si="21"/>
        <v>#NUM!</v>
      </c>
      <c r="EO143" s="133">
        <f>AVERAGE(OFFSET($EN$3,0,0,'Données projet'!$E$15+1,1))-AVERAGE(OFFSET($H$3,0,0,'Données projet'!$E$15+1,1))</f>
        <v>130.3193339</v>
      </c>
      <c r="EP143" s="133">
        <f t="shared" si="47"/>
        <v>82.22784365</v>
      </c>
      <c r="EQ143" s="134">
        <f>IF(ISNA(VLOOKUP(A143,'Données projet'!$A$191:$I$211,3,0)),0,VLOOKUP(A143,'Données projet'!$A$191:$I$211,3,0))</f>
        <v>0</v>
      </c>
      <c r="ER143" s="134">
        <f>IF(ISNA(VLOOKUP(A143,'Données projet'!$A$191:$I$211,4,0)),0,VLOOKUP(A143,'Données projet'!$A$191:$I$211,4,0))</f>
        <v>0</v>
      </c>
      <c r="ES143" s="135">
        <f>IF(ISNA(VLOOKUP(A143,'Données projet'!$A$191:$I$211,5,0)),0%,VLOOKUP(A143,'Données projet'!$A$191:$I$211,5,0)*VLOOKUP('Données projet'!$B$15,'Paramètres'!$A$1:$I$89,7,0))</f>
        <v>0</v>
      </c>
      <c r="ET143" s="135">
        <f>IF(ISNA(VLOOKUP(A143,'Données projet'!$A$191:$I$211,6,0)),0%,VLOOKUP(A143,'Données projet'!$A$191:$I$211,6,0)*VLOOKUP('Données projet'!$B$15,'Paramètres'!$A$1:$I$89,7,0))</f>
        <v>0</v>
      </c>
      <c r="EU143" s="135">
        <f>IF(ISNA(VLOOKUP(A143,'Données projet'!$A$191:$I$211,7,0)),0%,VLOOKUP(A143,'Données projet'!$A$191:$I$211,7,0))</f>
        <v>0</v>
      </c>
      <c r="EV143" s="142">
        <f>EXP(-LN(2)/35)*EV142+(1-EXP(-LN(2)/35))/(LN(2)/35)*ER143*ES143*VLOOKUP('Données projet'!$B$15,'Paramètres'!$A$1:$I$89,3,0)*0.475*44/12</f>
        <v>32.38146933</v>
      </c>
      <c r="EW143" s="142">
        <f>EXP(-LN(2)/25)*EW142+(1-EXP(-LN(2)/25))/(LN(2)/25)*Calculateur!ER143*Calculateur!ET143*VLOOKUP('Données projet'!$B$15,'Paramètres'!$A$1:$I$89,3,0)*0.475*44/12</f>
        <v>0</v>
      </c>
      <c r="EX143" s="142">
        <f>EXP(-LN(2)/2)*EX142+(1-EXP(-LN(2)/2))/(LN(2)/2)*ER143*EU143*VLOOKUP('Données projet'!$B$15,'Paramètres'!$A$1:$I$89,3,0)*0.475*44/12</f>
        <v>0</v>
      </c>
      <c r="EY143" s="143">
        <f t="shared" si="22"/>
        <v>32.38146933</v>
      </c>
      <c r="EZ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1" t="str">
        <f>VLOOKUP(A143,'Données projet'!$A$217:$I$237,2,0)</f>
        <v>#N/A</v>
      </c>
      <c r="FC143" s="131" t="str">
        <f>VLOOKUP(A143,'Données projet'!$A$217:$I$237,9,0)</f>
        <v>#N/A</v>
      </c>
      <c r="FD143" s="131" t="str">
        <f t="array" ref="FD143">INDEX(FC:FC,MIN(IF(ISNUMBER(FC143:FC339),ROW(FC143:FC339),"")))</f>
        <v/>
      </c>
      <c r="FE143" s="130">
        <f>IF('Données projet'!$A$218&gt;35,FE142+FD143-FM142,IF(A143&lt;'Données projet'!$A$218,$FB$205^A143,IF(A143='Données projet'!$A$218,'Données projet'!$B$218,FE142+FD143-FM142)))</f>
        <v>0</v>
      </c>
      <c r="FF143" s="138">
        <f>FE143*VLOOKUP('Données projet'!$B$16,'Paramètres'!$A$1:$I$89,3,0)*VLOOKUP('Données projet'!$B$16,'Paramètres'!$A$1:$I$89,5,0)</f>
        <v>0</v>
      </c>
      <c r="FG143" s="130">
        <f t="shared" si="48"/>
        <v>0</v>
      </c>
      <c r="FH143" s="141">
        <f t="shared" si="23"/>
        <v>0</v>
      </c>
      <c r="FI143" s="133">
        <f t="shared" si="24"/>
        <v>293.3333333</v>
      </c>
      <c r="FJ143" s="133">
        <f>AVERAGE(OFFSET($FI$3,0,0,'Données projet'!$E$16+1,1))-AVERAGE(OFFSET($H$3,0,0,'Données projet'!$E$16+1,1))</f>
        <v>305.6252353</v>
      </c>
      <c r="FK143" s="133">
        <f t="shared" si="49"/>
        <v>331.397916</v>
      </c>
      <c r="FL143" s="134">
        <f>IF(ISNA(VLOOKUP(A143,'Données projet'!$A$217:$I$237,3,0)),0,VLOOKUP(A143,'Données projet'!$A$217:$I$237,3,0))</f>
        <v>0</v>
      </c>
      <c r="FM143" s="134">
        <f>IF(ISNA(VLOOKUP(A143,'Données projet'!$A$217:$I$237,4,0)),0,VLOOKUP(A143,'Données projet'!$A$217:$I$237,4,0))</f>
        <v>0</v>
      </c>
      <c r="FN143" s="135">
        <f>IF(ISNA(VLOOKUP(A143,'Données projet'!$A$217:$I$237,5,0)),0%,VLOOKUP(A143,'Données projet'!$A$217:$I$237,5,0)*VLOOKUP('Données projet'!$B$16,'Paramètres'!$A$1:$I$89,7,0))</f>
        <v>0</v>
      </c>
      <c r="FO143" s="135">
        <f>IF(ISNA(VLOOKUP(A143,'Données projet'!$A$217:$I$237,6,0)),0%,VLOOKUP(A143,'Données projet'!$A$217:$I$237,6,0)*VLOOKUP('Données projet'!$B$16,'Paramètres'!$A$1:$I$89,7,0))</f>
        <v>0</v>
      </c>
      <c r="FP143" s="135">
        <f>IF(ISNA(VLOOKUP(A143,'Données projet'!$A$217:$I$237,7,0)),0%,VLOOKUP(A143,'Données projet'!$A$217:$I$237,7,0))</f>
        <v>0</v>
      </c>
      <c r="FQ143" s="142">
        <f>EXP(-LN(2)/35)*FQ142+(1-EXP(-LN(2)/35))/(LN(2)/35)*FM143*FN143*VLOOKUP('Données projet'!$B$16,'Paramètres'!$A$1:$I$89,3,0)*0.475*44/12</f>
        <v>20.16167053</v>
      </c>
      <c r="FR143" s="142">
        <f>EXP(-LN(2)/25)*FR142+(1-EXP(-LN(2)/25))/(LN(2)/25)*Calculateur!FM143*Calculateur!FO143*VLOOKUP('Données projet'!$B$16,'Paramètres'!$A$1:$I$89,3,0)*0.475*44/12</f>
        <v>0</v>
      </c>
      <c r="FS143" s="142">
        <f>EXP(-LN(2)/2)*FS142+(1-EXP(-LN(2)/2))/(LN(2)/2)*FM143*FP143*VLOOKUP('Données projet'!$B$16,'Paramètres'!$A$1:$I$89,3,0)*0.475*44/12</f>
        <v>0</v>
      </c>
      <c r="FT143" s="143">
        <f t="shared" si="25"/>
        <v>20.16167053</v>
      </c>
      <c r="FU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1" t="str">
        <f>VLOOKUP(A143,'Données projet'!$A$243:$I$263,2,0)</f>
        <v>#N/A</v>
      </c>
      <c r="FX143" s="131" t="str">
        <f>VLOOKUP(A143,'Données projet'!$A$243:$I$263,9,0)</f>
        <v>#N/A</v>
      </c>
      <c r="FY143" s="131" t="str">
        <f t="array" ref="FY143">INDEX(FX:FX,MIN(IF(ISNUMBER(FX143:FX339),ROW(FX143:FX339),"")))</f>
        <v/>
      </c>
      <c r="FZ143" s="138">
        <f>IF('Données projet'!$A$244&gt;35,FZ142+FY143-GH142,IF(A143&lt;'Données projet'!$A$244,$FW$205^A143,IF(A143='Données projet'!$A$244,'Données projet'!$B$244,FZ142+FY143-GH142)))</f>
        <v>0</v>
      </c>
      <c r="GA143" s="138">
        <f>FZ143*VLOOKUP('Données projet'!$B$17,'Paramètres'!$A$1:$I$89,3,0)*VLOOKUP('Données projet'!$B$17,'Paramètres'!$A$1:$I$89,5,0)</f>
        <v>0</v>
      </c>
      <c r="GB143" s="130">
        <f t="shared" si="50"/>
        <v>0</v>
      </c>
      <c r="GC143" s="141">
        <f t="shared" si="26"/>
        <v>0</v>
      </c>
      <c r="GD143" s="133">
        <f t="shared" si="27"/>
        <v>293.3333333</v>
      </c>
      <c r="GE143" s="133">
        <f>AVERAGE(OFFSET($GD$3,0,0,'Données projet'!$E$17+1,1))-AVERAGE(OFFSET($H$3,0,0,'Données projet'!$E$17+1,1))</f>
        <v>118.7368745</v>
      </c>
      <c r="GF143" s="133">
        <f t="shared" si="51"/>
        <v>135.1233677</v>
      </c>
      <c r="GG143" s="134">
        <f>IF(ISNA(VLOOKUP(A143,'Données projet'!$A$243:$I$263,3,0)),0,VLOOKUP(A143,'Données projet'!$A$243:$I$263,3,0))</f>
        <v>0</v>
      </c>
      <c r="GH143" s="134">
        <f>IF(ISNA(VLOOKUP(A143,'Données projet'!$A$243:$I$263,4,0)),0,VLOOKUP(A143,'Données projet'!$A$243:$I$263,4,0))</f>
        <v>0</v>
      </c>
      <c r="GI143" s="135">
        <f>IF(ISNA(VLOOKUP(A143,'Données projet'!$A$243:$I$263,5,0)),0%,VLOOKUP(A143,'Données projet'!$A$243:$I$263,5,0)*VLOOKUP('Données projet'!$B$17,'Paramètres'!$A$1:$I$89,7,0))</f>
        <v>0</v>
      </c>
      <c r="GJ143" s="135">
        <f>IF(ISNA(VLOOKUP(A143,'Données projet'!$A$243:$I$263,6,0)),0%,VLOOKUP(A143,'Données projet'!$A$243:$I$263,6,0)*VLOOKUP('Données projet'!$B$17,'Paramètres'!$A$1:$I$89,7,0))</f>
        <v>0</v>
      </c>
      <c r="GK143" s="135">
        <f>IF(ISNA(VLOOKUP(A143,'Données projet'!$A$243:$I$263,7,0)),0%,VLOOKUP(A143,'Données projet'!$A$243:$I$263,7,0))</f>
        <v>0</v>
      </c>
      <c r="GL143" s="142">
        <f>EXP(-LN(2)/35)*GL142+(1-EXP(-LN(2)/35))/(LN(2)/35)*GH143*GI143*VLOOKUP('Données projet'!$B$17,'Paramètres'!$A$1:$I$89,3,0)*0.475*44/12</f>
        <v>21.30074257</v>
      </c>
      <c r="GM143" s="142">
        <f>EXP(-LN(2)/25)*GM142+(1-EXP(-LN(2)/25))/(LN(2)/25)*Calculateur!GH143*Calculateur!GJ143*VLOOKUP('Données projet'!$B$17,'Paramètres'!$A$1:$I$89,3,0)*0.475*44/12</f>
        <v>0</v>
      </c>
      <c r="GN143" s="142">
        <f>EXP(-LN(2)/2)*GN142+(1-EXP(-LN(2)/2))/(LN(2)/2)*GH143*GK143*VLOOKUP('Données projet'!$B$17,'Paramètres'!$A$1:$I$89,3,0)*0.475*44/12</f>
        <v>0</v>
      </c>
      <c r="GO143" s="142">
        <f t="shared" si="28"/>
        <v>21.30074257</v>
      </c>
      <c r="GP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1" t="str">
        <f>VLOOKUP(A143,'Données projet'!$A$269:$I$289,2,0)</f>
        <v>#N/A</v>
      </c>
      <c r="GS143" s="131" t="str">
        <f>VLOOKUP(A143,'Données projet'!$A$269:$I$289,9,0)</f>
        <v>#N/A</v>
      </c>
      <c r="GT143" s="131" t="str">
        <f t="array" ref="GT143">INDEX(GS:GS,MIN(IF(ISNUMBER(GS143:GS339),ROW(GS143:GS339),"")))</f>
        <v/>
      </c>
      <c r="GU143" s="138">
        <f>IF('Données projet'!$A$270&gt;35,GU142+GT143-HC142,IF(A143&lt;'Données projet'!$A$270,$GR$205^A143,IF(A143='Données projet'!$A$270,'Données projet'!$B$270,GU142+GT143-HC142)))</f>
        <v>0</v>
      </c>
      <c r="GV143" s="138">
        <f>GU143*VLOOKUP('Données projet'!$B$18,'Paramètres'!$A$1:$I$89,3,0)*VLOOKUP('Données projet'!$B$18,'Paramètres'!$A$1:$I$89,5,0)</f>
        <v>0</v>
      </c>
      <c r="GW143" s="130" t="str">
        <f t="shared" si="52"/>
        <v>#NUM!</v>
      </c>
      <c r="GX143" s="141" t="str">
        <f t="shared" si="29"/>
        <v>#NUM!</v>
      </c>
      <c r="GY143" s="133" t="str">
        <f t="shared" si="30"/>
        <v>#NUM!</v>
      </c>
      <c r="GZ143" s="133">
        <f>AVERAGE(OFFSET($GY$3,0,0,'Données projet'!$E$18+1,1))-AVERAGE(OFFSET($H$3,0,0,'Données projet'!$E$18+1,1))</f>
        <v>100.5427875</v>
      </c>
      <c r="HA143" s="133">
        <f t="shared" si="53"/>
        <v>92.28663609</v>
      </c>
      <c r="HB143" s="134">
        <f>IF(ISNA(VLOOKUP(A143,'Données projet'!$A$269:$I$289,3,0)),0,VLOOKUP(A143,'Données projet'!$A$269:$I$289,3,0))</f>
        <v>0</v>
      </c>
      <c r="HC143" s="134">
        <f>IF(ISNA(VLOOKUP(A143,'Données projet'!$A$269:$I$289,4,0)),0,VLOOKUP(A143,'Données projet'!$A$269:$I$289,4,0))</f>
        <v>0</v>
      </c>
      <c r="HD143" s="135">
        <f>IF(ISNA(VLOOKUP(A143,'Données projet'!$A$269:$I$289,5,0)),0%,VLOOKUP(A143,'Données projet'!$A$269:$I$289,5,0)*VLOOKUP('Données projet'!$B$18,'Paramètres'!$A$1:$I$89,7,0))</f>
        <v>0</v>
      </c>
      <c r="HE143" s="135">
        <f>IF(ISNA(VLOOKUP(A143,'Données projet'!$A$269:$I$289,6,0)),0%,VLOOKUP(A143,'Données projet'!$A$269:$I$289,6,0)*VLOOKUP('Données projet'!$B$18,'Paramètres'!$A$1:$I$89,7,0))</f>
        <v>0</v>
      </c>
      <c r="HF143" s="135">
        <f>IF(ISNA(VLOOKUP(A143,'Données projet'!$A$269:$I$289,7,0)),0%,VLOOKUP(A143,'Données projet'!$A$269:$I$289,7,0))</f>
        <v>0</v>
      </c>
      <c r="HG143" s="142">
        <f>EXP(-LN(2)/35)*HG142+(1-EXP(-LN(2)/35))/(LN(2)/35)*HC143*HD143*VLOOKUP('Données projet'!$B$18,'Paramètres'!$A$1:$I$89,3,0)*0.475*44/12</f>
        <v>14.50535632</v>
      </c>
      <c r="HH143" s="142">
        <f>EXP(-LN(2)/25)*HH142+(1-EXP(-LN(2)/25))/(LN(2)/25)*Calculateur!HC143*Calculateur!HE143*VLOOKUP('Données projet'!$B$18,'Paramètres'!$A$1:$I$89,3,0)*0.475*44/12</f>
        <v>0</v>
      </c>
      <c r="HI143" s="142">
        <f>EXP(-LN(2)/2)*HI142+(1-EXP(-LN(2)/2))/(LN(2)/2)*HC143*HF143*VLOOKUP('Données projet'!$B$18,'Paramètres'!$A$1:$I$89,3,0)*0.475*44/12</f>
        <v>0</v>
      </c>
      <c r="HJ143" s="143">
        <f t="shared" si="31"/>
        <v>14.50535632</v>
      </c>
    </row>
    <row r="144" ht="15.75" customHeight="1">
      <c r="A144" s="125">
        <f t="shared" si="32"/>
        <v>141</v>
      </c>
      <c r="B144" s="126">
        <f>'Scénario référence'!$B$16*5+'Scénario référence'!$B$17*0+'Scénario référence'!$B$18*5</f>
        <v>0</v>
      </c>
      <c r="C144" s="140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76.986</v>
      </c>
      <c r="D144" s="127">
        <f t="shared" si="33"/>
        <v>21.39860647</v>
      </c>
      <c r="E14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7">
        <f>IF(OR('Scénario référence'!$F$8&gt;0,'Scénario référence'!$F$9&gt;0),('Scénario référence'!$F$8+'Scénario référence'!$F$9)*10,0)</f>
        <v>10</v>
      </c>
      <c r="G144" s="127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</v>
      </c>
      <c r="H144" s="128">
        <f t="shared" si="1"/>
        <v>464.6865229</v>
      </c>
      <c r="I144" s="12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1" t="str">
        <f>VLOOKUP(A144,'Données projet'!$A$35:$I$55,2,0)</f>
        <v>#N/A</v>
      </c>
      <c r="L144" s="131" t="str">
        <f>VLOOKUP(A144,'Données projet'!$A$35:$I$55,9,0)</f>
        <v>#N/A</v>
      </c>
      <c r="M144" s="131" t="str">
        <f t="array" ref="M144">INDEX(L:L,MIN(IF(ISNUMBER(L144:L340),ROW(L144:L340),"")))</f>
        <v/>
      </c>
      <c r="N144" s="130">
        <f>IF('Données projet'!$A$36&gt;35,N143+M144-V143,IF(A144&lt;'Données projet'!$A$36,$K$205^A144,IF(A144='Données projet'!$A$36,'Données projet'!$B$36,N143+M144-V143)))</f>
        <v>0</v>
      </c>
      <c r="O144" s="130">
        <f>N144*VLOOKUP('Données projet'!$B$9,'Paramètres'!$A$1:$I$89,3,0)*VLOOKUP('Données projet'!$B$9,'Paramètres'!$A$1:$I$89,5,0)</f>
        <v>0</v>
      </c>
      <c r="P144" s="130">
        <f t="shared" si="34"/>
        <v>0</v>
      </c>
      <c r="Q144" s="141">
        <f t="shared" si="2"/>
        <v>0</v>
      </c>
      <c r="R144" s="133">
        <f t="shared" si="3"/>
        <v>293.3333333</v>
      </c>
      <c r="S144" s="133">
        <f>AVERAGE(OFFSET($R$3,0,0,'Données projet'!$E$9+1,1))-AVERAGE(OFFSET($H$3,0,0,'Données projet'!$E$9+1,1))</f>
        <v>126.9946492</v>
      </c>
      <c r="T144" s="133">
        <f t="shared" si="35"/>
        <v>140.039049</v>
      </c>
      <c r="U144" s="134">
        <f>IF(ISNA(VLOOKUP(A144,'Données projet'!$A$35:$I$55,3,0)),0,VLOOKUP(A144,'Données projet'!$A$35:$I$55,3,0))</f>
        <v>0</v>
      </c>
      <c r="V144" s="134">
        <f>IF(ISNA(VLOOKUP(A144,'Données projet'!$A$35:$I$55,4,0)),0,VLOOKUP(A144,'Données projet'!$A$35:$I$55,4,0))</f>
        <v>0</v>
      </c>
      <c r="W144" s="135">
        <f>IF(ISNA(VLOOKUP(A144,'Données projet'!$A$35:$I$55,5,0)),0%,VLOOKUP(A144,'Données projet'!$A$35:$I$55,5,0)*VLOOKUP('Données projet'!$B$9,'Paramètres'!$A$1:$I$89,7,0))</f>
        <v>0</v>
      </c>
      <c r="X144" s="135">
        <f>IF(ISNA(VLOOKUP(A144,'Données projet'!$A$35:$I$55,6,0)),0%,VLOOKUP(A144,'Données projet'!$A$35:$I$55,6,0)*VLOOKUP('Données projet'!$B$9,'Paramètres'!$A$1:$I$89,7,0))</f>
        <v>0</v>
      </c>
      <c r="Y144" s="135">
        <f>IF(ISNA(VLOOKUP(A144,'Données projet'!$A$35:$I$55,7,0)),0%,VLOOKUP(A144,'Données projet'!$A$35:$I$55,7,0))</f>
        <v>0</v>
      </c>
      <c r="Z144" s="142">
        <f>EXP(-LN(2)/35)*Z143+(1-EXP(-LN(2)/35))/(LN(2)/35)*V144*W144*VLOOKUP('Données projet'!$B$9,'Paramètres'!$A$1:$I$89,3,0)*0.475*44/12</f>
        <v>21.35870946</v>
      </c>
      <c r="AA144" s="142">
        <f>EXP(-LN(2)/25)*AA143+(1-EXP(-LN(2)/25))/(LN(2)/25)*Calculateur!V144*Calculateur!X144*VLOOKUP('Données projet'!$B$9,'Paramètres'!$A$1:$I$89,3,0)*0.475*44/12</f>
        <v>2.459651968</v>
      </c>
      <c r="AB144" s="142">
        <f>EXP(-LN(2)/2)*AB143+(1-EXP(-LN(2)/2))/(LN(2)/2)*V144*Y144*VLOOKUP('Données projet'!$B$9,'Paramètres'!$A$1:$I$89,3,0)*0.475*44/12</f>
        <v>0</v>
      </c>
      <c r="AC144" s="143">
        <f t="shared" si="4"/>
        <v>23.81836143</v>
      </c>
      <c r="AD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1" t="str">
        <f>VLOOKUP(A144,'Données projet'!$A$61:$I$81,2,0)</f>
        <v>#N/A</v>
      </c>
      <c r="AG144" s="131" t="str">
        <f>VLOOKUP(A144,'Données projet'!$A$61:$I$81,9,0)</f>
        <v>#N/A</v>
      </c>
      <c r="AH144" s="131" t="str">
        <f t="array" ref="AH144">INDEX(AG:AG,MIN(IF(ISNUMBER(AG144:AG340),ROW(AG144:AG340),"")))</f>
        <v/>
      </c>
      <c r="AI144" s="130">
        <f>IF('Données projet'!$A$62&gt;35,AI143+AH144-AQ143,IF(A144&lt;'Données projet'!$A$62,$AF$205^A144,IF(A144='Données projet'!$A$62,'Données projet'!$B$62,AI143+AH144-AQ143)))</f>
        <v>0</v>
      </c>
      <c r="AJ144" s="130">
        <f>AI144*VLOOKUP('Données projet'!$B$10,'Paramètres'!$A$1:$I$89,3,0)*VLOOKUP('Données projet'!$B$10,'Paramètres'!$A$1:$I$89,5,0)</f>
        <v>0</v>
      </c>
      <c r="AK144" s="130" t="str">
        <f t="shared" si="36"/>
        <v>#NUM!</v>
      </c>
      <c r="AL144" s="141" t="str">
        <f t="shared" si="5"/>
        <v>#NUM!</v>
      </c>
      <c r="AM144" s="133" t="str">
        <f t="shared" si="6"/>
        <v>#NUM!</v>
      </c>
      <c r="AN144" s="133">
        <f>AVERAGE(OFFSET($AM$3,0,0,'Données projet'!$E$10+1,1))-AVERAGE(OFFSET($H$3,0,0,'Données projet'!$E$10+1,1))</f>
        <v>196.874484</v>
      </c>
      <c r="AO144" s="133">
        <f t="shared" si="37"/>
        <v>217.5750859</v>
      </c>
      <c r="AP144" s="134">
        <f>IF(ISNA(VLOOKUP(A144,'Données projet'!$A$61:$I$81,3,0)),0,VLOOKUP(A144,'Données projet'!$A$61:$I$81,3,0))</f>
        <v>0</v>
      </c>
      <c r="AQ144" s="134">
        <f>IF(ISNA(VLOOKUP(A144,'Données projet'!$A$61:$I$81,4,0)),0,VLOOKUP(A144,'Données projet'!$A$61:$I$81,4,0))</f>
        <v>0</v>
      </c>
      <c r="AR144" s="135">
        <f>IF(ISNA(VLOOKUP(A144,'Données projet'!$A$61:$I$81,5,0)),0%,VLOOKUP(A144,'Données projet'!$A$61:$I$81,5,0)*VLOOKUP('Données projet'!$B$10,'Paramètres'!$A$1:$I$89,7,0))</f>
        <v>0</v>
      </c>
      <c r="AS144" s="135">
        <f>IF(ISNA(VLOOKUP(A144,'Données projet'!$A$61:$I$81,6,0)),0%,VLOOKUP(A144,'Données projet'!$A$61:$I$81,6,0)*VLOOKUP('Données projet'!$B$10,'Paramètres'!$A$1:$I$89,7,0))</f>
        <v>0</v>
      </c>
      <c r="AT144" s="135">
        <f>IF(ISNA(VLOOKUP(A144,'Données projet'!$A$61:$I$81,7,0)),0%,VLOOKUP(A144,'Données projet'!$A$61:$I$81,7,0))</f>
        <v>0</v>
      </c>
      <c r="AU144" s="142">
        <f>EXP(-LN(2)/35)*AU143+(1-EXP(-LN(2)/35))/(LN(2)/35)*AQ144*AR144*VLOOKUP('Données projet'!$B$10,'Paramètres'!$A$1:$I$89,3,0)*0.475*44/12</f>
        <v>29.68799948</v>
      </c>
      <c r="AV144" s="142">
        <f>EXP(-LN(2)/25)*AV143+(1-EXP(-LN(2)/25))/(LN(2)/25)*Calculateur!AQ144*Calculateur!AS144*VLOOKUP('Données projet'!$B$10,'Paramètres'!$A$1:$I$89,3,0)*0.475*44/12</f>
        <v>3.781718187</v>
      </c>
      <c r="AW144" s="142">
        <f>EXP(-LN(2)/2)*AW143+(1-EXP(-LN(2)/2))/(LN(2)/2)*AQ144*AT144*VLOOKUP('Données projet'!$B$10,'Paramètres'!$A$1:$I$89,3,0)*0.475*44/12</f>
        <v>0</v>
      </c>
      <c r="AX144" s="142">
        <f t="shared" si="7"/>
        <v>33.46971767</v>
      </c>
      <c r="AY144" s="13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1" t="str">
        <f>VLOOKUP(A144,'Données projet'!$A$87:$I$107,2,0)</f>
        <v>#N/A</v>
      </c>
      <c r="BB144" s="131" t="str">
        <f>VLOOKUP(A144,'Données projet'!$A$87:$I$107,9,0)</f>
        <v>#N/A</v>
      </c>
      <c r="BC144" s="131" t="str">
        <f t="array" ref="BC144">INDEX(BB:BB,MIN(IF(ISNUMBER(BB144:BB340),ROW(BB144:BB340),"")))</f>
        <v/>
      </c>
      <c r="BD144" s="130">
        <f>IF('Données projet'!$A$88&gt;35,BD143+BC144-BL143,IF(A144&lt;'Données projet'!$A$88,$BA$205^A144,IF(A144='Données projet'!$A$88,'Données projet'!$B$88,BD143+BC144-BL143)))</f>
        <v>0</v>
      </c>
      <c r="BE144" s="130">
        <f>BD144*VLOOKUP('Données projet'!$B$11,'Paramètres'!$A$1:$I$89,3,0)*VLOOKUP('Données projet'!$B$11,'Paramètres'!$A$1:$I$89,5,0)</f>
        <v>0</v>
      </c>
      <c r="BF144" s="130" t="str">
        <f t="shared" si="38"/>
        <v>#NUM!</v>
      </c>
      <c r="BG144" s="141" t="str">
        <f t="shared" si="8"/>
        <v>#NUM!</v>
      </c>
      <c r="BH144" s="133" t="str">
        <f t="shared" si="9"/>
        <v>#NUM!</v>
      </c>
      <c r="BI144" s="133">
        <f>AVERAGE(OFFSET($BH$3,0,0,'Données projet'!$E$11+1,1))-AVERAGE(OFFSET($H$3,0,0,'Données projet'!$E$11+1,1))</f>
        <v>134.0948534</v>
      </c>
      <c r="BJ144" s="133">
        <f t="shared" si="39"/>
        <v>108.4102536</v>
      </c>
      <c r="BK144" s="134">
        <f>IF(ISNA(VLOOKUP(A144,'Données projet'!$A$87:$I$107,3,0)),0,VLOOKUP(A144,'Données projet'!$A$87:$I$107,3,0))</f>
        <v>0</v>
      </c>
      <c r="BL144" s="134">
        <f>IF(ISNA(VLOOKUP(A144,'Données projet'!$A$87:$I$107,4,0)),0,VLOOKUP(A144,'Données projet'!$A$87:$I$107,4,0))</f>
        <v>0</v>
      </c>
      <c r="BM144" s="135">
        <f>IF(ISNA(VLOOKUP(A144,'Données projet'!$A$87:$I$107,5,0)),0%,VLOOKUP(A144,'Données projet'!$A$87:$I$107,5,0)*VLOOKUP('Données projet'!$B$11,'Paramètres'!$A$1:$I$89,7,0))</f>
        <v>0</v>
      </c>
      <c r="BN144" s="135">
        <f>IF(ISNA(VLOOKUP(A144,'Données projet'!$A$87:$I$107,6,0)),0%,VLOOKUP(A144,'Données projet'!$A$87:$I$107,6,0)*VLOOKUP('Données projet'!$B$11,'Paramètres'!$A$1:$I$89,7,0))</f>
        <v>0</v>
      </c>
      <c r="BO144" s="135">
        <f>IF(ISNA(VLOOKUP(A144,'Données projet'!$A$87:$I$107,7,0)),0%,VLOOKUP(A144,'Données projet'!$A$87:$I$107,7,0))</f>
        <v>0</v>
      </c>
      <c r="BP144" s="142">
        <f>EXP(-LN(2)/35)*BP143+(1-EXP(-LN(2)/35))/(LN(2)/35)*BL144*BM144*VLOOKUP('Données projet'!$B$11,'Paramètres'!$A$1:$I$89,3,0)*0.475*44/12</f>
        <v>41.06404777</v>
      </c>
      <c r="BQ144" s="142">
        <f>EXP(-LN(2)/25)*BQ143+(1-EXP(-LN(2)/25))/(LN(2)/25)*Calculateur!BL144*Calculateur!BN144*VLOOKUP('Données projet'!$B$11,'Paramètres'!$A$1:$I$89,3,0)*0.475*44/12</f>
        <v>2.385511079</v>
      </c>
      <c r="BR144" s="142">
        <f>EXP(-LN(2)/2)*BR143+(1-EXP(-LN(2)/2))/(LN(2)/2)*BL144*BO144*VLOOKUP('Données projet'!$B$11,'Paramètres'!$A$1:$I$89,3,0)*0.475*44/12</f>
        <v>0.0000000002271083205</v>
      </c>
      <c r="BS144" s="143">
        <f t="shared" si="10"/>
        <v>43.44955885</v>
      </c>
      <c r="BT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1" t="str">
        <f>VLOOKUP(A144,'Données projet'!$A$113:$I$133,2,0)</f>
        <v>#N/A</v>
      </c>
      <c r="BW144" s="131" t="str">
        <f>VLOOKUP(A144,'Données projet'!$A$113:$I$133,9,0)</f>
        <v>#N/A</v>
      </c>
      <c r="BX144" s="131" t="str">
        <f t="array" ref="BX144">INDEX(BW:BW,MIN(IF(ISNUMBER(BW144:BW340),ROW(BW144:BW340),"")))</f>
        <v/>
      </c>
      <c r="BY144" s="130">
        <f>IF('Données projet'!$A$114&gt;35,BY143+BX144-CG143,IF(A144&lt;'Données projet'!$A$114,$BV$205^A144,IF(A144='Données projet'!$A$114,'Données projet'!$B$114,BY143+BX144-CG143)))</f>
        <v>0</v>
      </c>
      <c r="BZ144" s="130">
        <f>BY144*VLOOKUP('Données projet'!$B$12,'Paramètres'!$A$1:$I$89,3,0)*VLOOKUP('Données projet'!$B$12,'Paramètres'!$A$1:$I$89,5,0)</f>
        <v>0</v>
      </c>
      <c r="CA144" s="130" t="str">
        <f t="shared" si="40"/>
        <v>#NUM!</v>
      </c>
      <c r="CB144" s="141" t="str">
        <f t="shared" si="11"/>
        <v>#NUM!</v>
      </c>
      <c r="CC144" s="133" t="str">
        <f t="shared" si="12"/>
        <v>#NUM!</v>
      </c>
      <c r="CD144" s="133">
        <f>AVERAGE(OFFSET($CC$3,0,0,'Données projet'!$E$12+1,1))-AVERAGE(OFFSET($H$3,0,0,'Données projet'!$E$12+1,1))</f>
        <v>258.1672054</v>
      </c>
      <c r="CE144" s="133">
        <f t="shared" si="41"/>
        <v>296.0724261</v>
      </c>
      <c r="CF144" s="134">
        <f>IF(ISNA(VLOOKUP(A144,'Données projet'!$A$113:$I$133,3,0)),0,VLOOKUP(A144,'Données projet'!$A$113:$I$133,3,0))</f>
        <v>0</v>
      </c>
      <c r="CG144" s="134">
        <f>IF(ISNA(VLOOKUP(A144,'Données projet'!$A$113:$I$133,4,0)),0,VLOOKUP(A144,'Données projet'!$A$113:$I$133,4,0))</f>
        <v>0</v>
      </c>
      <c r="CH144" s="135">
        <f>IF(ISNA(VLOOKUP(A144,'Données projet'!$A$113:$I$133,5,0)),0%,VLOOKUP(A144,'Données projet'!$A$113:$I$133,5,0)*VLOOKUP('Données projet'!$B$12,'Paramètres'!$A$1:$I$89,7,0))</f>
        <v>0</v>
      </c>
      <c r="CI144" s="135">
        <f>IF(ISNA(VLOOKUP(A144,'Données projet'!$A$113:$I$133,6,0)),0%,VLOOKUP(A144,'Données projet'!$A$113:$I$133,6,0)*VLOOKUP('Données projet'!$B$12,'Paramètres'!$A$1:$I$89,7,0))</f>
        <v>0</v>
      </c>
      <c r="CJ144" s="135">
        <f>IF(ISNA(VLOOKUP(A144,'Données projet'!$A$113:$I$133,7,0)),0%,VLOOKUP(A144,'Données projet'!$A$113:$I$133,7,0))</f>
        <v>0</v>
      </c>
      <c r="CK144" s="142">
        <f>EXP(-LN(2)/35)*CK143+(1-EXP(-LN(2)/35))/(LN(2)/35)*CG144*CH144*VLOOKUP('Données projet'!$B$12,'Paramètres'!$A$1:$I$89,3,0)*0.475*44/12</f>
        <v>51.91751839</v>
      </c>
      <c r="CL144" s="142">
        <f>EXP(-LN(2)/25)*CL143+(1-EXP(-LN(2)/25))/(LN(2)/25)*Calculateur!CG144*Calculateur!CI144*VLOOKUP('Données projet'!$B$12,'Paramètres'!$A$1:$I$89,3,0)*0.475*44/12</f>
        <v>4.184321852</v>
      </c>
      <c r="CM144" s="142">
        <f>EXP(-LN(2)/2)*CM143+(1-EXP(-LN(2)/2))/(LN(2)/2)*CG144*CJ144*VLOOKUP('Données projet'!$B$12,'Paramètres'!$A$1:$I$89,3,0)*0.475*44/12</f>
        <v>0</v>
      </c>
      <c r="CN144" s="143">
        <f t="shared" si="13"/>
        <v>56.10184024</v>
      </c>
      <c r="CO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1" t="str">
        <f>VLOOKUP(A144,'Données projet'!$A$139:$I$159,2,0)</f>
        <v>#N/A</v>
      </c>
      <c r="CR144" s="131" t="str">
        <f>VLOOKUP(A144,'Données projet'!$A$139:$I$159,9,0)</f>
        <v>#N/A</v>
      </c>
      <c r="CS144" s="130">
        <f t="array" ref="CS144">INDEX(CR:CR,MIN(IF(ISNUMBER(CR144:CR340),ROW(CR144:CR340),"")))</f>
        <v>0.7</v>
      </c>
      <c r="CT144" s="138">
        <f>IF('Données projet'!$A$140&gt;35,CT143+CS144-DB143,IF(A144&lt;'Données projet'!$A$140,$CQ$205^A144,IF(A144='Données projet'!$A$140,'Données projet'!$B$140,CT143+CS144-DB143)))</f>
        <v>210.7</v>
      </c>
      <c r="CU144" s="138">
        <f>CT144*VLOOKUP('Données projet'!$B$13,'Paramètres'!$A$1:$I$89,3,0)*VLOOKUP('Données projet'!$B$13,'Paramètres'!$A$1:$I$89,5,0)</f>
        <v>213.6498</v>
      </c>
      <c r="CV144" s="130">
        <f t="shared" si="42"/>
        <v>52.73235724</v>
      </c>
      <c r="CW144" s="141">
        <f t="shared" si="14"/>
        <v>463.9489239</v>
      </c>
      <c r="CX144" s="133">
        <f t="shared" si="15"/>
        <v>757.2822572</v>
      </c>
      <c r="CY144" s="133">
        <f>AVERAGE(OFFSET($CX$3,0,0,'Données projet'!$E$13+1,1))-AVERAGE(OFFSET($H$3,0,0,'Données projet'!$E$13+1,1))</f>
        <v>223.783507</v>
      </c>
      <c r="CZ144" s="133">
        <f t="shared" si="43"/>
        <v>84.92349117</v>
      </c>
      <c r="DA144" s="134">
        <f>IF(ISNA(VLOOKUP(A144,'Données projet'!$A$139:$I$159,3,0)),0,VLOOKUP(A144,'Données projet'!$A$139:$I$159,3,0))</f>
        <v>0</v>
      </c>
      <c r="DB144" s="134">
        <f>IF(ISNA(VLOOKUP(A144,'Données projet'!$A$139:$I$159,4,0)),0,VLOOKUP(A144,'Données projet'!$A$139:$I$159,4,0))</f>
        <v>0</v>
      </c>
      <c r="DC144" s="135">
        <f>IF(ISNA(VLOOKUP(A144,'Données projet'!$A$139:$I$159,5,0)),0%,VLOOKUP(A144,'Données projet'!$A$139:$I$159,5,0)*VLOOKUP('Données projet'!$B$13,'Paramètres'!$A$1:$I$89,7,0))</f>
        <v>0</v>
      </c>
      <c r="DD144" s="135">
        <f>IF(ISNA(VLOOKUP(A144,'Données projet'!$A$139:$I$159,6,0)),0%,VLOOKUP(A144,'Données projet'!$A$139:$I$159,6,0)*VLOOKUP('Données projet'!$B$13,'Paramètres'!$A$1:$I$89,7,0))</f>
        <v>0</v>
      </c>
      <c r="DE144" s="135">
        <f>IF(ISNA(VLOOKUP(A144,'Données projet'!$A$139:$I$159,7,0)),0%,VLOOKUP(A144,'Données projet'!$A$139:$I$159,7,0))</f>
        <v>0</v>
      </c>
      <c r="DF144" s="142">
        <f>EXP(-LN(2)/35)*DF143+(1-EXP(-LN(2)/35))/(LN(2)/35)*DB144*DC144*VLOOKUP('Données projet'!$B$13,'Paramètres'!$A$1:$I$89,3,0)*0.475*44/12</f>
        <v>20.84172103</v>
      </c>
      <c r="DG144" s="142">
        <f>EXP(-LN(2)/25)*DG143+(1-EXP(-LN(2)/25))/(LN(2)/25)*Calculateur!DB144*Calculateur!DD144*VLOOKUP('Données projet'!$B$13,'Paramètres'!$A$1:$I$89,3,0)*0.475*44/12</f>
        <v>0</v>
      </c>
      <c r="DH144" s="142">
        <f>EXP(-LN(2)/2)*DH143+(1-EXP(-LN(2)/2))/(LN(2)/2)*DB144*DE144*VLOOKUP('Données projet'!$B$13,'Paramètres'!$A$1:$I$89,3,0)*0.475*44/12</f>
        <v>0</v>
      </c>
      <c r="DI144" s="143">
        <f t="shared" si="16"/>
        <v>20.84172103</v>
      </c>
      <c r="DJ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1" t="str">
        <f>VLOOKUP(A144,'Données projet'!$A$165:$I$185,2,0)</f>
        <v>#N/A</v>
      </c>
      <c r="DM144" s="131" t="str">
        <f>VLOOKUP(A144,'Données projet'!$A$165:$I$185,9,0)</f>
        <v>#N/A</v>
      </c>
      <c r="DN144" s="131">
        <f t="array" ref="DN144">INDEX(DM:DM,MIN(IF(ISNUMBER(DM144:DM340),ROW(DM144:DM340),"")))</f>
        <v>0.55</v>
      </c>
      <c r="DO144" s="138">
        <f>IF('Données projet'!$A$166&gt;35,DO143+DN144-DW143,IF(A144&lt;'Données projet'!$A$166,$DL$205^A144,IF(A144='Données projet'!$A$166,'Données projet'!$B$166,DO143+DN144-DW143)))</f>
        <v>275.05</v>
      </c>
      <c r="DP144" s="138">
        <f>DO144*VLOOKUP('Données projet'!$B$14,'Paramètres'!$A$1:$I$89,3,0)*VLOOKUP('Données projet'!$B$14,'Paramètres'!$A$1:$I$89,5,0)</f>
        <v>248.86524</v>
      </c>
      <c r="DQ144" s="130">
        <f t="shared" si="44"/>
        <v>60.34288478</v>
      </c>
      <c r="DR144" s="141">
        <f t="shared" si="17"/>
        <v>538.537484</v>
      </c>
      <c r="DS144" s="133">
        <f t="shared" si="18"/>
        <v>831.8708173</v>
      </c>
      <c r="DT144" s="133">
        <f>AVERAGE(OFFSET($DS$3,0,0,'Données projet'!$E$14+1,1))-AVERAGE(OFFSET($H$3,0,0,'Données projet'!$E$14+1,1))</f>
        <v>287.9334714</v>
      </c>
      <c r="DU144" s="133">
        <f t="shared" si="45"/>
        <v>156.6796502</v>
      </c>
      <c r="DV144" s="134">
        <f>IF(ISNA(VLOOKUP(A144,'Données projet'!$A$165:$I$185,3,0)),0,VLOOKUP(A144,'Données projet'!$A$165:$I$185,3,0))</f>
        <v>0</v>
      </c>
      <c r="DW144" s="134">
        <f>IF(ISNA(VLOOKUP(A144,'Données projet'!$A$165:$I$185,4,0)),0,VLOOKUP(A144,'Données projet'!$A$165:$I$185,4,0))</f>
        <v>0</v>
      </c>
      <c r="DX144" s="135">
        <f>IF(ISNA(VLOOKUP(A144,'Données projet'!$A$165:$I$185,5,0)),0%,VLOOKUP(A144,'Données projet'!$A$165:$I$185,5,0)*VLOOKUP('Données projet'!$B$14,'Paramètres'!$A$1:$I$89,7,0))</f>
        <v>0</v>
      </c>
      <c r="DY144" s="135">
        <f>IF(ISNA(VLOOKUP(A144,'Données projet'!$A$165:$I$185,6,0)),0%,VLOOKUP(A144,'Données projet'!$A$165:$I$185,6,0)*VLOOKUP('Données projet'!$B$14,'Paramètres'!$A$1:$I$89,7,0))</f>
        <v>0</v>
      </c>
      <c r="DZ144" s="135">
        <f>IF(ISNA(VLOOKUP(A144,'Données projet'!$A$165:$I$185,7,0)),0%,VLOOKUP(A144,'Données projet'!$A$165:$I$185,7,0))</f>
        <v>0</v>
      </c>
      <c r="EA144" s="142">
        <f>EXP(-LN(2)/35)*EA143+(1-EXP(-LN(2)/35))/(LN(2)/35)*DW144*DX144*VLOOKUP('Données projet'!$B$14,'Paramètres'!$A$1:$I$89,3,0)*0.475*44/12</f>
        <v>25.37684219</v>
      </c>
      <c r="EB144" s="142">
        <f>EXP(-LN(2)/25)*EB143+(1-EXP(-LN(2)/25))/(LN(2)/25)*Calculateur!DW144*Calculateur!DY144*VLOOKUP('Données projet'!$B$14,'Paramètres'!$A$1:$I$89,3,0)*0.475*44/12</f>
        <v>0</v>
      </c>
      <c r="EC144" s="142">
        <f>EXP(-LN(2)/2)*EC143+(1-EXP(-LN(2)/2))/(LN(2)/2)*DW144*DZ144*VLOOKUP('Données projet'!$B$14,'Paramètres'!$A$1:$I$89,3,0)*0.475*44/12</f>
        <v>0</v>
      </c>
      <c r="ED144" s="143">
        <f t="shared" si="19"/>
        <v>25.37684219</v>
      </c>
      <c r="EE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1" t="str">
        <f>VLOOKUP(A144,'Données projet'!$A$191:$I$211,2,0)</f>
        <v>#N/A</v>
      </c>
      <c r="EH144" s="131" t="str">
        <f>VLOOKUP(A144,'Données projet'!$A$191:$I$211,9,0)</f>
        <v>#N/A</v>
      </c>
      <c r="EI144" s="131" t="str">
        <f t="array" ref="EI144">INDEX(EH:EH,MIN(IF(ISNUMBER(EH144:EH340),ROW(EH144:EH340),"")))</f>
        <v/>
      </c>
      <c r="EJ144" s="138">
        <f>IF('Données projet'!$A$192&gt;35,EJ143+EI144-ER143,IF(A144&lt;'Données projet'!$A$192,$EG$205^A144,IF(A144='Données projet'!$A$192,'Données projet'!$B$192,EJ143+EI144-ER143)))</f>
        <v>0</v>
      </c>
      <c r="EK144" s="138">
        <f>EJ144*VLOOKUP('Données projet'!$B$15,'Paramètres'!$A$1:$I$89,3,0)*VLOOKUP('Données projet'!$B$15,'Paramètres'!$A$1:$I$89,5,0)</f>
        <v>0</v>
      </c>
      <c r="EL144" s="130" t="str">
        <f t="shared" si="46"/>
        <v>#NUM!</v>
      </c>
      <c r="EM144" s="141" t="str">
        <f t="shared" si="20"/>
        <v>#NUM!</v>
      </c>
      <c r="EN144" s="133" t="str">
        <f t="shared" si="21"/>
        <v>#NUM!</v>
      </c>
      <c r="EO144" s="133">
        <f>AVERAGE(OFFSET($EN$3,0,0,'Données projet'!$E$15+1,1))-AVERAGE(OFFSET($H$3,0,0,'Données projet'!$E$15+1,1))</f>
        <v>130.3193339</v>
      </c>
      <c r="EP144" s="133">
        <f t="shared" si="47"/>
        <v>82.22784365</v>
      </c>
      <c r="EQ144" s="134">
        <f>IF(ISNA(VLOOKUP(A144,'Données projet'!$A$191:$I$211,3,0)),0,VLOOKUP(A144,'Données projet'!$A$191:$I$211,3,0))</f>
        <v>0</v>
      </c>
      <c r="ER144" s="134">
        <f>IF(ISNA(VLOOKUP(A144,'Données projet'!$A$191:$I$211,4,0)),0,VLOOKUP(A144,'Données projet'!$A$191:$I$211,4,0))</f>
        <v>0</v>
      </c>
      <c r="ES144" s="135">
        <f>IF(ISNA(VLOOKUP(A144,'Données projet'!$A$191:$I$211,5,0)),0%,VLOOKUP(A144,'Données projet'!$A$191:$I$211,5,0)*VLOOKUP('Données projet'!$B$15,'Paramètres'!$A$1:$I$89,7,0))</f>
        <v>0</v>
      </c>
      <c r="ET144" s="135">
        <f>IF(ISNA(VLOOKUP(A144,'Données projet'!$A$191:$I$211,6,0)),0%,VLOOKUP(A144,'Données projet'!$A$191:$I$211,6,0)*VLOOKUP('Données projet'!$B$15,'Paramètres'!$A$1:$I$89,7,0))</f>
        <v>0</v>
      </c>
      <c r="EU144" s="135">
        <f>IF(ISNA(VLOOKUP(A144,'Données projet'!$A$191:$I$211,7,0)),0%,VLOOKUP(A144,'Données projet'!$A$191:$I$211,7,0))</f>
        <v>0</v>
      </c>
      <c r="EV144" s="142">
        <f>EXP(-LN(2)/35)*EV143+(1-EXP(-LN(2)/35))/(LN(2)/35)*ER144*ES144*VLOOKUP('Données projet'!$B$15,'Paramètres'!$A$1:$I$89,3,0)*0.475*44/12</f>
        <v>31.74648846</v>
      </c>
      <c r="EW144" s="142">
        <f>EXP(-LN(2)/25)*EW143+(1-EXP(-LN(2)/25))/(LN(2)/25)*Calculateur!ER144*Calculateur!ET144*VLOOKUP('Données projet'!$B$15,'Paramètres'!$A$1:$I$89,3,0)*0.475*44/12</f>
        <v>0</v>
      </c>
      <c r="EX144" s="142">
        <f>EXP(-LN(2)/2)*EX143+(1-EXP(-LN(2)/2))/(LN(2)/2)*ER144*EU144*VLOOKUP('Données projet'!$B$15,'Paramètres'!$A$1:$I$89,3,0)*0.475*44/12</f>
        <v>0</v>
      </c>
      <c r="EY144" s="143">
        <f t="shared" si="22"/>
        <v>31.74648846</v>
      </c>
      <c r="EZ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1" t="str">
        <f>VLOOKUP(A144,'Données projet'!$A$217:$I$237,2,0)</f>
        <v>#N/A</v>
      </c>
      <c r="FC144" s="131" t="str">
        <f>VLOOKUP(A144,'Données projet'!$A$217:$I$237,9,0)</f>
        <v>#N/A</v>
      </c>
      <c r="FD144" s="131" t="str">
        <f t="array" ref="FD144">INDEX(FC:FC,MIN(IF(ISNUMBER(FC144:FC340),ROW(FC144:FC340),"")))</f>
        <v/>
      </c>
      <c r="FE144" s="130">
        <f>IF('Données projet'!$A$218&gt;35,FE143+FD144-FM143,IF(A144&lt;'Données projet'!$A$218,$FB$205^A144,IF(A144='Données projet'!$A$218,'Données projet'!$B$218,FE143+FD144-FM143)))</f>
        <v>0</v>
      </c>
      <c r="FF144" s="138">
        <f>FE144*VLOOKUP('Données projet'!$B$16,'Paramètres'!$A$1:$I$89,3,0)*VLOOKUP('Données projet'!$B$16,'Paramètres'!$A$1:$I$89,5,0)</f>
        <v>0</v>
      </c>
      <c r="FG144" s="130">
        <f t="shared" si="48"/>
        <v>0</v>
      </c>
      <c r="FH144" s="141">
        <f t="shared" si="23"/>
        <v>0</v>
      </c>
      <c r="FI144" s="133">
        <f t="shared" si="24"/>
        <v>293.3333333</v>
      </c>
      <c r="FJ144" s="133">
        <f>AVERAGE(OFFSET($FI$3,0,0,'Données projet'!$E$16+1,1))-AVERAGE(OFFSET($H$3,0,0,'Données projet'!$E$16+1,1))</f>
        <v>305.6252353</v>
      </c>
      <c r="FK144" s="133">
        <f t="shared" si="49"/>
        <v>331.397916</v>
      </c>
      <c r="FL144" s="134">
        <f>IF(ISNA(VLOOKUP(A144,'Données projet'!$A$217:$I$237,3,0)),0,VLOOKUP(A144,'Données projet'!$A$217:$I$237,3,0))</f>
        <v>0</v>
      </c>
      <c r="FM144" s="134">
        <f>IF(ISNA(VLOOKUP(A144,'Données projet'!$A$217:$I$237,4,0)),0,VLOOKUP(A144,'Données projet'!$A$217:$I$237,4,0))</f>
        <v>0</v>
      </c>
      <c r="FN144" s="135">
        <f>IF(ISNA(VLOOKUP(A144,'Données projet'!$A$217:$I$237,5,0)),0%,VLOOKUP(A144,'Données projet'!$A$217:$I$237,5,0)*VLOOKUP('Données projet'!$B$16,'Paramètres'!$A$1:$I$89,7,0))</f>
        <v>0</v>
      </c>
      <c r="FO144" s="135">
        <f>IF(ISNA(VLOOKUP(A144,'Données projet'!$A$217:$I$237,6,0)),0%,VLOOKUP(A144,'Données projet'!$A$217:$I$237,6,0)*VLOOKUP('Données projet'!$B$16,'Paramètres'!$A$1:$I$89,7,0))</f>
        <v>0</v>
      </c>
      <c r="FP144" s="135">
        <f>IF(ISNA(VLOOKUP(A144,'Données projet'!$A$217:$I$237,7,0)),0%,VLOOKUP(A144,'Données projet'!$A$217:$I$237,7,0))</f>
        <v>0</v>
      </c>
      <c r="FQ144" s="142">
        <f>EXP(-LN(2)/35)*FQ143+(1-EXP(-LN(2)/35))/(LN(2)/35)*FM144*FN144*VLOOKUP('Données projet'!$B$16,'Paramètres'!$A$1:$I$89,3,0)*0.475*44/12</f>
        <v>19.76631247</v>
      </c>
      <c r="FR144" s="142">
        <f>EXP(-LN(2)/25)*FR143+(1-EXP(-LN(2)/25))/(LN(2)/25)*Calculateur!FM144*Calculateur!FO144*VLOOKUP('Données projet'!$B$16,'Paramètres'!$A$1:$I$89,3,0)*0.475*44/12</f>
        <v>0</v>
      </c>
      <c r="FS144" s="142">
        <f>EXP(-LN(2)/2)*FS143+(1-EXP(-LN(2)/2))/(LN(2)/2)*FM144*FP144*VLOOKUP('Données projet'!$B$16,'Paramètres'!$A$1:$I$89,3,0)*0.475*44/12</f>
        <v>0</v>
      </c>
      <c r="FT144" s="143">
        <f t="shared" si="25"/>
        <v>19.76631247</v>
      </c>
      <c r="FU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1" t="str">
        <f>VLOOKUP(A144,'Données projet'!$A$243:$I$263,2,0)</f>
        <v>#N/A</v>
      </c>
      <c r="FX144" s="131" t="str">
        <f>VLOOKUP(A144,'Données projet'!$A$243:$I$263,9,0)</f>
        <v>#N/A</v>
      </c>
      <c r="FY144" s="131" t="str">
        <f t="array" ref="FY144">INDEX(FX:FX,MIN(IF(ISNUMBER(FX144:FX340),ROW(FX144:FX340),"")))</f>
        <v/>
      </c>
      <c r="FZ144" s="138">
        <f>IF('Données projet'!$A$244&gt;35,FZ143+FY144-GH143,IF(A144&lt;'Données projet'!$A$244,$FW$205^A144,IF(A144='Données projet'!$A$244,'Données projet'!$B$244,FZ143+FY144-GH143)))</f>
        <v>0</v>
      </c>
      <c r="GA144" s="138">
        <f>FZ144*VLOOKUP('Données projet'!$B$17,'Paramètres'!$A$1:$I$89,3,0)*VLOOKUP('Données projet'!$B$17,'Paramètres'!$A$1:$I$89,5,0)</f>
        <v>0</v>
      </c>
      <c r="GB144" s="130">
        <f t="shared" si="50"/>
        <v>0</v>
      </c>
      <c r="GC144" s="141">
        <f t="shared" si="26"/>
        <v>0</v>
      </c>
      <c r="GD144" s="133">
        <f t="shared" si="27"/>
        <v>293.3333333</v>
      </c>
      <c r="GE144" s="133">
        <f>AVERAGE(OFFSET($GD$3,0,0,'Données projet'!$E$17+1,1))-AVERAGE(OFFSET($H$3,0,0,'Données projet'!$E$17+1,1))</f>
        <v>118.7368745</v>
      </c>
      <c r="GF144" s="133">
        <f t="shared" si="51"/>
        <v>135.1233677</v>
      </c>
      <c r="GG144" s="134">
        <f>IF(ISNA(VLOOKUP(A144,'Données projet'!$A$243:$I$263,3,0)),0,VLOOKUP(A144,'Données projet'!$A$243:$I$263,3,0))</f>
        <v>0</v>
      </c>
      <c r="GH144" s="134">
        <f>IF(ISNA(VLOOKUP(A144,'Données projet'!$A$243:$I$263,4,0)),0,VLOOKUP(A144,'Données projet'!$A$243:$I$263,4,0))</f>
        <v>0</v>
      </c>
      <c r="GI144" s="135">
        <f>IF(ISNA(VLOOKUP(A144,'Données projet'!$A$243:$I$263,5,0)),0%,VLOOKUP(A144,'Données projet'!$A$243:$I$263,5,0)*VLOOKUP('Données projet'!$B$17,'Paramètres'!$A$1:$I$89,7,0))</f>
        <v>0</v>
      </c>
      <c r="GJ144" s="135">
        <f>IF(ISNA(VLOOKUP(A144,'Données projet'!$A$243:$I$263,6,0)),0%,VLOOKUP(A144,'Données projet'!$A$243:$I$263,6,0)*VLOOKUP('Données projet'!$B$17,'Paramètres'!$A$1:$I$89,7,0))</f>
        <v>0</v>
      </c>
      <c r="GK144" s="135">
        <f>IF(ISNA(VLOOKUP(A144,'Données projet'!$A$243:$I$263,7,0)),0%,VLOOKUP(A144,'Données projet'!$A$243:$I$263,7,0))</f>
        <v>0</v>
      </c>
      <c r="GL144" s="142">
        <f>EXP(-LN(2)/35)*GL143+(1-EXP(-LN(2)/35))/(LN(2)/35)*GH144*GI144*VLOOKUP('Données projet'!$B$17,'Paramètres'!$A$1:$I$89,3,0)*0.475*44/12</f>
        <v>20.883048</v>
      </c>
      <c r="GM144" s="142">
        <f>EXP(-LN(2)/25)*GM143+(1-EXP(-LN(2)/25))/(LN(2)/25)*Calculateur!GH144*Calculateur!GJ144*VLOOKUP('Données projet'!$B$17,'Paramètres'!$A$1:$I$89,3,0)*0.475*44/12</f>
        <v>0</v>
      </c>
      <c r="GN144" s="142">
        <f>EXP(-LN(2)/2)*GN143+(1-EXP(-LN(2)/2))/(LN(2)/2)*GH144*GK144*VLOOKUP('Données projet'!$B$17,'Paramètres'!$A$1:$I$89,3,0)*0.475*44/12</f>
        <v>0</v>
      </c>
      <c r="GO144" s="142">
        <f t="shared" si="28"/>
        <v>20.883048</v>
      </c>
      <c r="GP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1" t="str">
        <f>VLOOKUP(A144,'Données projet'!$A$269:$I$289,2,0)</f>
        <v>#N/A</v>
      </c>
      <c r="GS144" s="131" t="str">
        <f>VLOOKUP(A144,'Données projet'!$A$269:$I$289,9,0)</f>
        <v>#N/A</v>
      </c>
      <c r="GT144" s="131" t="str">
        <f t="array" ref="GT144">INDEX(GS:GS,MIN(IF(ISNUMBER(GS144:GS340),ROW(GS144:GS340),"")))</f>
        <v/>
      </c>
      <c r="GU144" s="138">
        <f>IF('Données projet'!$A$270&gt;35,GU143+GT144-HC143,IF(A144&lt;'Données projet'!$A$270,$GR$205^A144,IF(A144='Données projet'!$A$270,'Données projet'!$B$270,GU143+GT144-HC143)))</f>
        <v>0</v>
      </c>
      <c r="GV144" s="138">
        <f>GU144*VLOOKUP('Données projet'!$B$18,'Paramètres'!$A$1:$I$89,3,0)*VLOOKUP('Données projet'!$B$18,'Paramètres'!$A$1:$I$89,5,0)</f>
        <v>0</v>
      </c>
      <c r="GW144" s="130" t="str">
        <f t="shared" si="52"/>
        <v>#NUM!</v>
      </c>
      <c r="GX144" s="141" t="str">
        <f t="shared" si="29"/>
        <v>#NUM!</v>
      </c>
      <c r="GY144" s="133" t="str">
        <f t="shared" si="30"/>
        <v>#NUM!</v>
      </c>
      <c r="GZ144" s="133">
        <f>AVERAGE(OFFSET($GY$3,0,0,'Données projet'!$E$18+1,1))-AVERAGE(OFFSET($H$3,0,0,'Données projet'!$E$18+1,1))</f>
        <v>100.5427875</v>
      </c>
      <c r="HA144" s="133">
        <f t="shared" si="53"/>
        <v>92.28663609</v>
      </c>
      <c r="HB144" s="134">
        <f>IF(ISNA(VLOOKUP(A144,'Données projet'!$A$269:$I$289,3,0)),0,VLOOKUP(A144,'Données projet'!$A$269:$I$289,3,0))</f>
        <v>0</v>
      </c>
      <c r="HC144" s="134">
        <f>IF(ISNA(VLOOKUP(A144,'Données projet'!$A$269:$I$289,4,0)),0,VLOOKUP(A144,'Données projet'!$A$269:$I$289,4,0))</f>
        <v>0</v>
      </c>
      <c r="HD144" s="135">
        <f>IF(ISNA(VLOOKUP(A144,'Données projet'!$A$269:$I$289,5,0)),0%,VLOOKUP(A144,'Données projet'!$A$269:$I$289,5,0)*VLOOKUP('Données projet'!$B$18,'Paramètres'!$A$1:$I$89,7,0))</f>
        <v>0</v>
      </c>
      <c r="HE144" s="135">
        <f>IF(ISNA(VLOOKUP(A144,'Données projet'!$A$269:$I$289,6,0)),0%,VLOOKUP(A144,'Données projet'!$A$269:$I$289,6,0)*VLOOKUP('Données projet'!$B$18,'Paramètres'!$A$1:$I$89,7,0))</f>
        <v>0</v>
      </c>
      <c r="HF144" s="135">
        <f>IF(ISNA(VLOOKUP(A144,'Données projet'!$A$269:$I$289,7,0)),0%,VLOOKUP(A144,'Données projet'!$A$269:$I$289,7,0))</f>
        <v>0</v>
      </c>
      <c r="HG144" s="142">
        <f>EXP(-LN(2)/35)*HG143+(1-EXP(-LN(2)/35))/(LN(2)/35)*HC144*HD144*VLOOKUP('Données projet'!$B$18,'Paramètres'!$A$1:$I$89,3,0)*0.475*44/12</f>
        <v>14.22091513</v>
      </c>
      <c r="HH144" s="142">
        <f>EXP(-LN(2)/25)*HH143+(1-EXP(-LN(2)/25))/(LN(2)/25)*Calculateur!HC144*Calculateur!HE144*VLOOKUP('Données projet'!$B$18,'Paramètres'!$A$1:$I$89,3,0)*0.475*44/12</f>
        <v>0</v>
      </c>
      <c r="HI144" s="142">
        <f>EXP(-LN(2)/2)*HI143+(1-EXP(-LN(2)/2))/(LN(2)/2)*HC144*HF144*VLOOKUP('Données projet'!$B$18,'Paramètres'!$A$1:$I$89,3,0)*0.475*44/12</f>
        <v>0</v>
      </c>
      <c r="HJ144" s="143">
        <f t="shared" si="31"/>
        <v>14.22091513</v>
      </c>
    </row>
    <row r="145" ht="15.75" customHeight="1">
      <c r="A145" s="125">
        <f t="shared" si="32"/>
        <v>142</v>
      </c>
      <c r="B145" s="126">
        <f>'Scénario référence'!$B$16*5+'Scénario référence'!$B$17*0+'Scénario référence'!$B$18*5</f>
        <v>0</v>
      </c>
      <c r="C145" s="140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77.532</v>
      </c>
      <c r="D145" s="127">
        <f t="shared" si="33"/>
        <v>21.5326492</v>
      </c>
      <c r="E14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7">
        <f>IF(OR('Scénario référence'!$F$8&gt;0,'Scénario référence'!$F$9&gt;0),('Scénario référence'!$F$8+'Scénario référence'!$F$9)*10,0)</f>
        <v>10</v>
      </c>
      <c r="G145" s="127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</v>
      </c>
      <c r="H145" s="128">
        <f t="shared" si="1"/>
        <v>465.8709307</v>
      </c>
      <c r="I145" s="12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1" t="str">
        <f>VLOOKUP(A145,'Données projet'!$A$35:$I$55,2,0)</f>
        <v>#N/A</v>
      </c>
      <c r="L145" s="131" t="str">
        <f>VLOOKUP(A145,'Données projet'!$A$35:$I$55,9,0)</f>
        <v>#N/A</v>
      </c>
      <c r="M145" s="131" t="str">
        <f t="array" ref="M145">INDEX(L:L,MIN(IF(ISNUMBER(L145:L341),ROW(L145:L341),"")))</f>
        <v/>
      </c>
      <c r="N145" s="130">
        <f>IF('Données projet'!$A$36&gt;35,N144+M145-V144,IF(A145&lt;'Données projet'!$A$36,$K$205^A145,IF(A145='Données projet'!$A$36,'Données projet'!$B$36,N144+M145-V144)))</f>
        <v>0</v>
      </c>
      <c r="O145" s="130">
        <f>N145*VLOOKUP('Données projet'!$B$9,'Paramètres'!$A$1:$I$89,3,0)*VLOOKUP('Données projet'!$B$9,'Paramètres'!$A$1:$I$89,5,0)</f>
        <v>0</v>
      </c>
      <c r="P145" s="130">
        <f t="shared" si="34"/>
        <v>0</v>
      </c>
      <c r="Q145" s="141">
        <f t="shared" si="2"/>
        <v>0</v>
      </c>
      <c r="R145" s="133">
        <f t="shared" si="3"/>
        <v>293.3333333</v>
      </c>
      <c r="S145" s="133">
        <f>AVERAGE(OFFSET($R$3,0,0,'Données projet'!$E$9+1,1))-AVERAGE(OFFSET($H$3,0,0,'Données projet'!$E$9+1,1))</f>
        <v>126.9946492</v>
      </c>
      <c r="T145" s="133">
        <f t="shared" si="35"/>
        <v>140.039049</v>
      </c>
      <c r="U145" s="134">
        <f>IF(ISNA(VLOOKUP(A145,'Données projet'!$A$35:$I$55,3,0)),0,VLOOKUP(A145,'Données projet'!$A$35:$I$55,3,0))</f>
        <v>0</v>
      </c>
      <c r="V145" s="134">
        <f>IF(ISNA(VLOOKUP(A145,'Données projet'!$A$35:$I$55,4,0)),0,VLOOKUP(A145,'Données projet'!$A$35:$I$55,4,0))</f>
        <v>0</v>
      </c>
      <c r="W145" s="135">
        <f>IF(ISNA(VLOOKUP(A145,'Données projet'!$A$35:$I$55,5,0)),0%,VLOOKUP(A145,'Données projet'!$A$35:$I$55,5,0)*VLOOKUP('Données projet'!$B$9,'Paramètres'!$A$1:$I$89,7,0))</f>
        <v>0</v>
      </c>
      <c r="X145" s="135">
        <f>IF(ISNA(VLOOKUP(A145,'Données projet'!$A$35:$I$55,6,0)),0%,VLOOKUP(A145,'Données projet'!$A$35:$I$55,6,0)*VLOOKUP('Données projet'!$B$9,'Paramètres'!$A$1:$I$89,7,0))</f>
        <v>0</v>
      </c>
      <c r="Y145" s="135">
        <f>IF(ISNA(VLOOKUP(A145,'Données projet'!$A$35:$I$55,7,0)),0%,VLOOKUP(A145,'Données projet'!$A$35:$I$55,7,0))</f>
        <v>0</v>
      </c>
      <c r="Z145" s="142">
        <f>EXP(-LN(2)/35)*Z144+(1-EXP(-LN(2)/35))/(LN(2)/35)*V145*W145*VLOOKUP('Données projet'!$B$9,'Paramètres'!$A$1:$I$89,3,0)*0.475*44/12</f>
        <v>20.9398782</v>
      </c>
      <c r="AA145" s="142">
        <f>EXP(-LN(2)/25)*AA144+(1-EXP(-LN(2)/25))/(LN(2)/25)*Calculateur!V145*Calculateur!X145*VLOOKUP('Données projet'!$B$9,'Paramètres'!$A$1:$I$89,3,0)*0.475*44/12</f>
        <v>2.392392656</v>
      </c>
      <c r="AB145" s="142">
        <f>EXP(-LN(2)/2)*AB144+(1-EXP(-LN(2)/2))/(LN(2)/2)*V145*Y145*VLOOKUP('Données projet'!$B$9,'Paramètres'!$A$1:$I$89,3,0)*0.475*44/12</f>
        <v>0</v>
      </c>
      <c r="AC145" s="143">
        <f t="shared" si="4"/>
        <v>23.33227085</v>
      </c>
      <c r="AD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1" t="str">
        <f>VLOOKUP(A145,'Données projet'!$A$61:$I$81,2,0)</f>
        <v>#N/A</v>
      </c>
      <c r="AG145" s="131" t="str">
        <f>VLOOKUP(A145,'Données projet'!$A$61:$I$81,9,0)</f>
        <v>#N/A</v>
      </c>
      <c r="AH145" s="131" t="str">
        <f t="array" ref="AH145">INDEX(AG:AG,MIN(IF(ISNUMBER(AG145:AG341),ROW(AG145:AG341),"")))</f>
        <v/>
      </c>
      <c r="AI145" s="130">
        <f>IF('Données projet'!$A$62&gt;35,AI144+AH145-AQ144,IF(A145&lt;'Données projet'!$A$62,$AF$205^A145,IF(A145='Données projet'!$A$62,'Données projet'!$B$62,AI144+AH145-AQ144)))</f>
        <v>0</v>
      </c>
      <c r="AJ145" s="130">
        <f>AI145*VLOOKUP('Données projet'!$B$10,'Paramètres'!$A$1:$I$89,3,0)*VLOOKUP('Données projet'!$B$10,'Paramètres'!$A$1:$I$89,5,0)</f>
        <v>0</v>
      </c>
      <c r="AK145" s="130" t="str">
        <f t="shared" si="36"/>
        <v>#NUM!</v>
      </c>
      <c r="AL145" s="141" t="str">
        <f t="shared" si="5"/>
        <v>#NUM!</v>
      </c>
      <c r="AM145" s="133" t="str">
        <f t="shared" si="6"/>
        <v>#NUM!</v>
      </c>
      <c r="AN145" s="133">
        <f>AVERAGE(OFFSET($AM$3,0,0,'Données projet'!$E$10+1,1))-AVERAGE(OFFSET($H$3,0,0,'Données projet'!$E$10+1,1))</f>
        <v>196.874484</v>
      </c>
      <c r="AO145" s="133">
        <f t="shared" si="37"/>
        <v>217.5750859</v>
      </c>
      <c r="AP145" s="134">
        <f>IF(ISNA(VLOOKUP(A145,'Données projet'!$A$61:$I$81,3,0)),0,VLOOKUP(A145,'Données projet'!$A$61:$I$81,3,0))</f>
        <v>0</v>
      </c>
      <c r="AQ145" s="134">
        <f>IF(ISNA(VLOOKUP(A145,'Données projet'!$A$61:$I$81,4,0)),0,VLOOKUP(A145,'Données projet'!$A$61:$I$81,4,0))</f>
        <v>0</v>
      </c>
      <c r="AR145" s="135">
        <f>IF(ISNA(VLOOKUP(A145,'Données projet'!$A$61:$I$81,5,0)),0%,VLOOKUP(A145,'Données projet'!$A$61:$I$81,5,0)*VLOOKUP('Données projet'!$B$10,'Paramètres'!$A$1:$I$89,7,0))</f>
        <v>0</v>
      </c>
      <c r="AS145" s="135">
        <f>IF(ISNA(VLOOKUP(A145,'Données projet'!$A$61:$I$81,6,0)),0%,VLOOKUP(A145,'Données projet'!$A$61:$I$81,6,0)*VLOOKUP('Données projet'!$B$10,'Paramètres'!$A$1:$I$89,7,0))</f>
        <v>0</v>
      </c>
      <c r="AT145" s="135">
        <f>IF(ISNA(VLOOKUP(A145,'Données projet'!$A$61:$I$81,7,0)),0%,VLOOKUP(A145,'Données projet'!$A$61:$I$81,7,0))</f>
        <v>0</v>
      </c>
      <c r="AU145" s="142">
        <f>EXP(-LN(2)/35)*AU144+(1-EXP(-LN(2)/35))/(LN(2)/35)*AQ145*AR145*VLOOKUP('Données projet'!$B$10,'Paramètres'!$A$1:$I$89,3,0)*0.475*44/12</f>
        <v>29.10583592</v>
      </c>
      <c r="AV145" s="142">
        <f>EXP(-LN(2)/25)*AV144+(1-EXP(-LN(2)/25))/(LN(2)/25)*Calculateur!AQ145*Calculateur!AS145*VLOOKUP('Données projet'!$B$10,'Paramètres'!$A$1:$I$89,3,0)*0.475*44/12</f>
        <v>3.678306904</v>
      </c>
      <c r="AW145" s="142">
        <f>EXP(-LN(2)/2)*AW144+(1-EXP(-LN(2)/2))/(LN(2)/2)*AQ145*AT145*VLOOKUP('Données projet'!$B$10,'Paramètres'!$A$1:$I$89,3,0)*0.475*44/12</f>
        <v>0</v>
      </c>
      <c r="AX145" s="142">
        <f t="shared" si="7"/>
        <v>32.78414282</v>
      </c>
      <c r="AY145" s="13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1" t="str">
        <f>VLOOKUP(A145,'Données projet'!$A$87:$I$107,2,0)</f>
        <v>#N/A</v>
      </c>
      <c r="BB145" s="131" t="str">
        <f>VLOOKUP(A145,'Données projet'!$A$87:$I$107,9,0)</f>
        <v>#N/A</v>
      </c>
      <c r="BC145" s="131" t="str">
        <f t="array" ref="BC145">INDEX(BB:BB,MIN(IF(ISNUMBER(BB145:BB341),ROW(BB145:BB341),"")))</f>
        <v/>
      </c>
      <c r="BD145" s="130">
        <f>IF('Données projet'!$A$88&gt;35,BD144+BC145-BL144,IF(A145&lt;'Données projet'!$A$88,$BA$205^A145,IF(A145='Données projet'!$A$88,'Données projet'!$B$88,BD144+BC145-BL144)))</f>
        <v>0</v>
      </c>
      <c r="BE145" s="130">
        <f>BD145*VLOOKUP('Données projet'!$B$11,'Paramètres'!$A$1:$I$89,3,0)*VLOOKUP('Données projet'!$B$11,'Paramètres'!$A$1:$I$89,5,0)</f>
        <v>0</v>
      </c>
      <c r="BF145" s="130" t="str">
        <f t="shared" si="38"/>
        <v>#NUM!</v>
      </c>
      <c r="BG145" s="141" t="str">
        <f t="shared" si="8"/>
        <v>#NUM!</v>
      </c>
      <c r="BH145" s="133" t="str">
        <f t="shared" si="9"/>
        <v>#NUM!</v>
      </c>
      <c r="BI145" s="133">
        <f>AVERAGE(OFFSET($BH$3,0,0,'Données projet'!$E$11+1,1))-AVERAGE(OFFSET($H$3,0,0,'Données projet'!$E$11+1,1))</f>
        <v>134.0948534</v>
      </c>
      <c r="BJ145" s="133">
        <f t="shared" si="39"/>
        <v>108.4102536</v>
      </c>
      <c r="BK145" s="134">
        <f>IF(ISNA(VLOOKUP(A145,'Données projet'!$A$87:$I$107,3,0)),0,VLOOKUP(A145,'Données projet'!$A$87:$I$107,3,0))</f>
        <v>0</v>
      </c>
      <c r="BL145" s="134">
        <f>IF(ISNA(VLOOKUP(A145,'Données projet'!$A$87:$I$107,4,0)),0,VLOOKUP(A145,'Données projet'!$A$87:$I$107,4,0))</f>
        <v>0</v>
      </c>
      <c r="BM145" s="135">
        <f>IF(ISNA(VLOOKUP(A145,'Données projet'!$A$87:$I$107,5,0)),0%,VLOOKUP(A145,'Données projet'!$A$87:$I$107,5,0)*VLOOKUP('Données projet'!$B$11,'Paramètres'!$A$1:$I$89,7,0))</f>
        <v>0</v>
      </c>
      <c r="BN145" s="135">
        <f>IF(ISNA(VLOOKUP(A145,'Données projet'!$A$87:$I$107,6,0)),0%,VLOOKUP(A145,'Données projet'!$A$87:$I$107,6,0)*VLOOKUP('Données projet'!$B$11,'Paramètres'!$A$1:$I$89,7,0))</f>
        <v>0</v>
      </c>
      <c r="BO145" s="135">
        <f>IF(ISNA(VLOOKUP(A145,'Données projet'!$A$87:$I$107,7,0)),0%,VLOOKUP(A145,'Données projet'!$A$87:$I$107,7,0))</f>
        <v>0</v>
      </c>
      <c r="BP145" s="142">
        <f>EXP(-LN(2)/35)*BP144+(1-EXP(-LN(2)/35))/(LN(2)/35)*BL145*BM145*VLOOKUP('Données projet'!$B$11,'Paramètres'!$A$1:$I$89,3,0)*0.475*44/12</f>
        <v>40.25880684</v>
      </c>
      <c r="BQ145" s="142">
        <f>EXP(-LN(2)/25)*BQ144+(1-EXP(-LN(2)/25))/(LN(2)/25)*Calculateur!BL145*Calculateur!BN145*VLOOKUP('Données projet'!$B$11,'Paramètres'!$A$1:$I$89,3,0)*0.475*44/12</f>
        <v>2.320279153</v>
      </c>
      <c r="BR145" s="142">
        <f>EXP(-LN(2)/2)*BR144+(1-EXP(-LN(2)/2))/(LN(2)/2)*BL145*BO145*VLOOKUP('Données projet'!$B$11,'Paramètres'!$A$1:$I$89,3,0)*0.475*44/12</f>
        <v>0.0000000001605898335</v>
      </c>
      <c r="BS145" s="143">
        <f t="shared" si="10"/>
        <v>42.57908599</v>
      </c>
      <c r="BT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1" t="str">
        <f>VLOOKUP(A145,'Données projet'!$A$113:$I$133,2,0)</f>
        <v>#N/A</v>
      </c>
      <c r="BW145" s="131" t="str">
        <f>VLOOKUP(A145,'Données projet'!$A$113:$I$133,9,0)</f>
        <v>#N/A</v>
      </c>
      <c r="BX145" s="131" t="str">
        <f t="array" ref="BX145">INDEX(BW:BW,MIN(IF(ISNUMBER(BW145:BW341),ROW(BW145:BW341),"")))</f>
        <v/>
      </c>
      <c r="BY145" s="130">
        <f>IF('Données projet'!$A$114&gt;35,BY144+BX145-CG144,IF(A145&lt;'Données projet'!$A$114,$BV$205^A145,IF(A145='Données projet'!$A$114,'Données projet'!$B$114,BY144+BX145-CG144)))</f>
        <v>0</v>
      </c>
      <c r="BZ145" s="130">
        <f>BY145*VLOOKUP('Données projet'!$B$12,'Paramètres'!$A$1:$I$89,3,0)*VLOOKUP('Données projet'!$B$12,'Paramètres'!$A$1:$I$89,5,0)</f>
        <v>0</v>
      </c>
      <c r="CA145" s="130" t="str">
        <f t="shared" si="40"/>
        <v>#NUM!</v>
      </c>
      <c r="CB145" s="141" t="str">
        <f t="shared" si="11"/>
        <v>#NUM!</v>
      </c>
      <c r="CC145" s="133" t="str">
        <f t="shared" si="12"/>
        <v>#NUM!</v>
      </c>
      <c r="CD145" s="133">
        <f>AVERAGE(OFFSET($CC$3,0,0,'Données projet'!$E$12+1,1))-AVERAGE(OFFSET($H$3,0,0,'Données projet'!$E$12+1,1))</f>
        <v>258.1672054</v>
      </c>
      <c r="CE145" s="133">
        <f t="shared" si="41"/>
        <v>296.0724261</v>
      </c>
      <c r="CF145" s="134">
        <f>IF(ISNA(VLOOKUP(A145,'Données projet'!$A$113:$I$133,3,0)),0,VLOOKUP(A145,'Données projet'!$A$113:$I$133,3,0))</f>
        <v>0</v>
      </c>
      <c r="CG145" s="134">
        <f>IF(ISNA(VLOOKUP(A145,'Données projet'!$A$113:$I$133,4,0)),0,VLOOKUP(A145,'Données projet'!$A$113:$I$133,4,0))</f>
        <v>0</v>
      </c>
      <c r="CH145" s="135">
        <f>IF(ISNA(VLOOKUP(A145,'Données projet'!$A$113:$I$133,5,0)),0%,VLOOKUP(A145,'Données projet'!$A$113:$I$133,5,0)*VLOOKUP('Données projet'!$B$12,'Paramètres'!$A$1:$I$89,7,0))</f>
        <v>0</v>
      </c>
      <c r="CI145" s="135">
        <f>IF(ISNA(VLOOKUP(A145,'Données projet'!$A$113:$I$133,6,0)),0%,VLOOKUP(A145,'Données projet'!$A$113:$I$133,6,0)*VLOOKUP('Données projet'!$B$12,'Paramètres'!$A$1:$I$89,7,0))</f>
        <v>0</v>
      </c>
      <c r="CJ145" s="135">
        <f>IF(ISNA(VLOOKUP(A145,'Données projet'!$A$113:$I$133,7,0)),0%,VLOOKUP(A145,'Données projet'!$A$113:$I$133,7,0))</f>
        <v>0</v>
      </c>
      <c r="CK145" s="142">
        <f>EXP(-LN(2)/35)*CK144+(1-EXP(-LN(2)/35))/(LN(2)/35)*CG145*CH145*VLOOKUP('Données projet'!$B$12,'Paramètres'!$A$1:$I$89,3,0)*0.475*44/12</f>
        <v>50.89944752</v>
      </c>
      <c r="CL145" s="142">
        <f>EXP(-LN(2)/25)*CL144+(1-EXP(-LN(2)/25))/(LN(2)/25)*Calculateur!CG145*Calculateur!CI145*VLOOKUP('Données projet'!$B$12,'Paramètres'!$A$1:$I$89,3,0)*0.475*44/12</f>
        <v>4.069901351</v>
      </c>
      <c r="CM145" s="142">
        <f>EXP(-LN(2)/2)*CM144+(1-EXP(-LN(2)/2))/(LN(2)/2)*CG145*CJ145*VLOOKUP('Données projet'!$B$12,'Paramètres'!$A$1:$I$89,3,0)*0.475*44/12</f>
        <v>0</v>
      </c>
      <c r="CN145" s="143">
        <f t="shared" si="13"/>
        <v>54.96934887</v>
      </c>
      <c r="CO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1" t="str">
        <f>VLOOKUP(A145,'Données projet'!$A$139:$I$159,2,0)</f>
        <v>#N/A</v>
      </c>
      <c r="CR145" s="131" t="str">
        <f>VLOOKUP(A145,'Données projet'!$A$139:$I$159,9,0)</f>
        <v>#N/A</v>
      </c>
      <c r="CS145" s="130">
        <f t="array" ref="CS145">INDEX(CR:CR,MIN(IF(ISNUMBER(CR145:CR341),ROW(CR145:CR341),"")))</f>
        <v>0.7</v>
      </c>
      <c r="CT145" s="138">
        <f>IF('Données projet'!$A$140&gt;35,CT144+CS145-DB144,IF(A145&lt;'Données projet'!$A$140,$CQ$205^A145,IF(A145='Données projet'!$A$140,'Données projet'!$B$140,CT144+CS145-DB144)))</f>
        <v>211.4</v>
      </c>
      <c r="CU145" s="138">
        <f>CT145*VLOOKUP('Données projet'!$B$13,'Paramètres'!$A$1:$I$89,3,0)*VLOOKUP('Données projet'!$B$13,'Paramètres'!$A$1:$I$89,5,0)</f>
        <v>214.3596</v>
      </c>
      <c r="CV145" s="130">
        <f t="shared" si="42"/>
        <v>52.88712572</v>
      </c>
      <c r="CW145" s="141">
        <f t="shared" si="14"/>
        <v>465.454714</v>
      </c>
      <c r="CX145" s="133">
        <f t="shared" si="15"/>
        <v>758.7880473</v>
      </c>
      <c r="CY145" s="133">
        <f>AVERAGE(OFFSET($CX$3,0,0,'Données projet'!$E$13+1,1))-AVERAGE(OFFSET($H$3,0,0,'Données projet'!$E$13+1,1))</f>
        <v>223.783507</v>
      </c>
      <c r="CZ145" s="133">
        <f t="shared" si="43"/>
        <v>84.92349117</v>
      </c>
      <c r="DA145" s="134">
        <f>IF(ISNA(VLOOKUP(A145,'Données projet'!$A$139:$I$159,3,0)),0,VLOOKUP(A145,'Données projet'!$A$139:$I$159,3,0))</f>
        <v>0</v>
      </c>
      <c r="DB145" s="134">
        <f>IF(ISNA(VLOOKUP(A145,'Données projet'!$A$139:$I$159,4,0)),0,VLOOKUP(A145,'Données projet'!$A$139:$I$159,4,0))</f>
        <v>0</v>
      </c>
      <c r="DC145" s="135">
        <f>IF(ISNA(VLOOKUP(A145,'Données projet'!$A$139:$I$159,5,0)),0%,VLOOKUP(A145,'Données projet'!$A$139:$I$159,5,0)*VLOOKUP('Données projet'!$B$13,'Paramètres'!$A$1:$I$89,7,0))</f>
        <v>0</v>
      </c>
      <c r="DD145" s="135">
        <f>IF(ISNA(VLOOKUP(A145,'Données projet'!$A$139:$I$159,6,0)),0%,VLOOKUP(A145,'Données projet'!$A$139:$I$159,6,0)*VLOOKUP('Données projet'!$B$13,'Paramètres'!$A$1:$I$89,7,0))</f>
        <v>0</v>
      </c>
      <c r="DE145" s="135">
        <f>IF(ISNA(VLOOKUP(A145,'Données projet'!$A$139:$I$159,7,0)),0%,VLOOKUP(A145,'Données projet'!$A$139:$I$159,7,0))</f>
        <v>0</v>
      </c>
      <c r="DF145" s="142">
        <f>EXP(-LN(2)/35)*DF144+(1-EXP(-LN(2)/35))/(LN(2)/35)*DB145*DC145*VLOOKUP('Données projet'!$B$13,'Paramètres'!$A$1:$I$89,3,0)*0.475*44/12</f>
        <v>20.4330276</v>
      </c>
      <c r="DG145" s="142">
        <f>EXP(-LN(2)/25)*DG144+(1-EXP(-LN(2)/25))/(LN(2)/25)*Calculateur!DB145*Calculateur!DD145*VLOOKUP('Données projet'!$B$13,'Paramètres'!$A$1:$I$89,3,0)*0.475*44/12</f>
        <v>0</v>
      </c>
      <c r="DH145" s="142">
        <f>EXP(-LN(2)/2)*DH144+(1-EXP(-LN(2)/2))/(LN(2)/2)*DB145*DE145*VLOOKUP('Données projet'!$B$13,'Paramètres'!$A$1:$I$89,3,0)*0.475*44/12</f>
        <v>0</v>
      </c>
      <c r="DI145" s="143">
        <f t="shared" si="16"/>
        <v>20.4330276</v>
      </c>
      <c r="DJ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1" t="str">
        <f>VLOOKUP(A145,'Données projet'!$A$165:$I$185,2,0)</f>
        <v>#N/A</v>
      </c>
      <c r="DM145" s="131" t="str">
        <f>VLOOKUP(A145,'Données projet'!$A$165:$I$185,9,0)</f>
        <v>#N/A</v>
      </c>
      <c r="DN145" s="131">
        <f t="array" ref="DN145">INDEX(DM:DM,MIN(IF(ISNUMBER(DM145:DM341),ROW(DM145:DM341),"")))</f>
        <v>0.55</v>
      </c>
      <c r="DO145" s="138">
        <f>IF('Données projet'!$A$166&gt;35,DO144+DN145-DW144,IF(A145&lt;'Données projet'!$A$166,$DL$205^A145,IF(A145='Données projet'!$A$166,'Données projet'!$B$166,DO144+DN145-DW144)))</f>
        <v>275.6</v>
      </c>
      <c r="DP145" s="138">
        <f>DO145*VLOOKUP('Données projet'!$B$14,'Paramètres'!$A$1:$I$89,3,0)*VLOOKUP('Données projet'!$B$14,'Paramètres'!$A$1:$I$89,5,0)</f>
        <v>249.36288</v>
      </c>
      <c r="DQ145" s="130">
        <f t="shared" si="44"/>
        <v>60.44949094</v>
      </c>
      <c r="DR145" s="141">
        <f t="shared" si="17"/>
        <v>539.5898794</v>
      </c>
      <c r="DS145" s="133">
        <f t="shared" si="18"/>
        <v>832.9232127</v>
      </c>
      <c r="DT145" s="133">
        <f>AVERAGE(OFFSET($DS$3,0,0,'Données projet'!$E$14+1,1))-AVERAGE(OFFSET($H$3,0,0,'Données projet'!$E$14+1,1))</f>
        <v>287.9334714</v>
      </c>
      <c r="DU145" s="133">
        <f t="shared" si="45"/>
        <v>156.6796502</v>
      </c>
      <c r="DV145" s="134">
        <f>IF(ISNA(VLOOKUP(A145,'Données projet'!$A$165:$I$185,3,0)),0,VLOOKUP(A145,'Données projet'!$A$165:$I$185,3,0))</f>
        <v>0</v>
      </c>
      <c r="DW145" s="134">
        <f>IF(ISNA(VLOOKUP(A145,'Données projet'!$A$165:$I$185,4,0)),0,VLOOKUP(A145,'Données projet'!$A$165:$I$185,4,0))</f>
        <v>0</v>
      </c>
      <c r="DX145" s="135">
        <f>IF(ISNA(VLOOKUP(A145,'Données projet'!$A$165:$I$185,5,0)),0%,VLOOKUP(A145,'Données projet'!$A$165:$I$185,5,0)*VLOOKUP('Données projet'!$B$14,'Paramètres'!$A$1:$I$89,7,0))</f>
        <v>0</v>
      </c>
      <c r="DY145" s="135">
        <f>IF(ISNA(VLOOKUP(A145,'Données projet'!$A$165:$I$185,6,0)),0%,VLOOKUP(A145,'Données projet'!$A$165:$I$185,6,0)*VLOOKUP('Données projet'!$B$14,'Paramètres'!$A$1:$I$89,7,0))</f>
        <v>0</v>
      </c>
      <c r="DZ145" s="135">
        <f>IF(ISNA(VLOOKUP(A145,'Données projet'!$A$165:$I$185,7,0)),0%,VLOOKUP(A145,'Données projet'!$A$165:$I$185,7,0))</f>
        <v>0</v>
      </c>
      <c r="EA145" s="142">
        <f>EXP(-LN(2)/35)*EA144+(1-EXP(-LN(2)/35))/(LN(2)/35)*DW145*DX145*VLOOKUP('Données projet'!$B$14,'Paramètres'!$A$1:$I$89,3,0)*0.475*44/12</f>
        <v>24.8792178</v>
      </c>
      <c r="EB145" s="142">
        <f>EXP(-LN(2)/25)*EB144+(1-EXP(-LN(2)/25))/(LN(2)/25)*Calculateur!DW145*Calculateur!DY145*VLOOKUP('Données projet'!$B$14,'Paramètres'!$A$1:$I$89,3,0)*0.475*44/12</f>
        <v>0</v>
      </c>
      <c r="EC145" s="142">
        <f>EXP(-LN(2)/2)*EC144+(1-EXP(-LN(2)/2))/(LN(2)/2)*DW145*DZ145*VLOOKUP('Données projet'!$B$14,'Paramètres'!$A$1:$I$89,3,0)*0.475*44/12</f>
        <v>0</v>
      </c>
      <c r="ED145" s="143">
        <f t="shared" si="19"/>
        <v>24.8792178</v>
      </c>
      <c r="EE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1" t="str">
        <f>VLOOKUP(A145,'Données projet'!$A$191:$I$211,2,0)</f>
        <v>#N/A</v>
      </c>
      <c r="EH145" s="131" t="str">
        <f>VLOOKUP(A145,'Données projet'!$A$191:$I$211,9,0)</f>
        <v>#N/A</v>
      </c>
      <c r="EI145" s="131" t="str">
        <f t="array" ref="EI145">INDEX(EH:EH,MIN(IF(ISNUMBER(EH145:EH341),ROW(EH145:EH341),"")))</f>
        <v/>
      </c>
      <c r="EJ145" s="138">
        <f>IF('Données projet'!$A$192&gt;35,EJ144+EI145-ER144,IF(A145&lt;'Données projet'!$A$192,$EG$205^A145,IF(A145='Données projet'!$A$192,'Données projet'!$B$192,EJ144+EI145-ER144)))</f>
        <v>0</v>
      </c>
      <c r="EK145" s="138">
        <f>EJ145*VLOOKUP('Données projet'!$B$15,'Paramètres'!$A$1:$I$89,3,0)*VLOOKUP('Données projet'!$B$15,'Paramètres'!$A$1:$I$89,5,0)</f>
        <v>0</v>
      </c>
      <c r="EL145" s="130" t="str">
        <f t="shared" si="46"/>
        <v>#NUM!</v>
      </c>
      <c r="EM145" s="141" t="str">
        <f t="shared" si="20"/>
        <v>#NUM!</v>
      </c>
      <c r="EN145" s="133" t="str">
        <f t="shared" si="21"/>
        <v>#NUM!</v>
      </c>
      <c r="EO145" s="133">
        <f>AVERAGE(OFFSET($EN$3,0,0,'Données projet'!$E$15+1,1))-AVERAGE(OFFSET($H$3,0,0,'Données projet'!$E$15+1,1))</f>
        <v>130.3193339</v>
      </c>
      <c r="EP145" s="133">
        <f t="shared" si="47"/>
        <v>82.22784365</v>
      </c>
      <c r="EQ145" s="134">
        <f>IF(ISNA(VLOOKUP(A145,'Données projet'!$A$191:$I$211,3,0)),0,VLOOKUP(A145,'Données projet'!$A$191:$I$211,3,0))</f>
        <v>0</v>
      </c>
      <c r="ER145" s="134">
        <f>IF(ISNA(VLOOKUP(A145,'Données projet'!$A$191:$I$211,4,0)),0,VLOOKUP(A145,'Données projet'!$A$191:$I$211,4,0))</f>
        <v>0</v>
      </c>
      <c r="ES145" s="135">
        <f>IF(ISNA(VLOOKUP(A145,'Données projet'!$A$191:$I$211,5,0)),0%,VLOOKUP(A145,'Données projet'!$A$191:$I$211,5,0)*VLOOKUP('Données projet'!$B$15,'Paramètres'!$A$1:$I$89,7,0))</f>
        <v>0</v>
      </c>
      <c r="ET145" s="135">
        <f>IF(ISNA(VLOOKUP(A145,'Données projet'!$A$191:$I$211,6,0)),0%,VLOOKUP(A145,'Données projet'!$A$191:$I$211,6,0)*VLOOKUP('Données projet'!$B$15,'Paramètres'!$A$1:$I$89,7,0))</f>
        <v>0</v>
      </c>
      <c r="EU145" s="135">
        <f>IF(ISNA(VLOOKUP(A145,'Données projet'!$A$191:$I$211,7,0)),0%,VLOOKUP(A145,'Données projet'!$A$191:$I$211,7,0))</f>
        <v>0</v>
      </c>
      <c r="EV145" s="142">
        <f>EXP(-LN(2)/35)*EV144+(1-EXP(-LN(2)/35))/(LN(2)/35)*ER145*ES145*VLOOKUP('Données projet'!$B$15,'Paramètres'!$A$1:$I$89,3,0)*0.475*44/12</f>
        <v>31.12395919</v>
      </c>
      <c r="EW145" s="142">
        <f>EXP(-LN(2)/25)*EW144+(1-EXP(-LN(2)/25))/(LN(2)/25)*Calculateur!ER145*Calculateur!ET145*VLOOKUP('Données projet'!$B$15,'Paramètres'!$A$1:$I$89,3,0)*0.475*44/12</f>
        <v>0</v>
      </c>
      <c r="EX145" s="142">
        <f>EXP(-LN(2)/2)*EX144+(1-EXP(-LN(2)/2))/(LN(2)/2)*ER145*EU145*VLOOKUP('Données projet'!$B$15,'Paramètres'!$A$1:$I$89,3,0)*0.475*44/12</f>
        <v>0</v>
      </c>
      <c r="EY145" s="143">
        <f t="shared" si="22"/>
        <v>31.12395919</v>
      </c>
      <c r="EZ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1" t="str">
        <f>VLOOKUP(A145,'Données projet'!$A$217:$I$237,2,0)</f>
        <v>#N/A</v>
      </c>
      <c r="FC145" s="131" t="str">
        <f>VLOOKUP(A145,'Données projet'!$A$217:$I$237,9,0)</f>
        <v>#N/A</v>
      </c>
      <c r="FD145" s="131" t="str">
        <f t="array" ref="FD145">INDEX(FC:FC,MIN(IF(ISNUMBER(FC145:FC341),ROW(FC145:FC341),"")))</f>
        <v/>
      </c>
      <c r="FE145" s="130">
        <f>IF('Données projet'!$A$218&gt;35,FE144+FD145-FM144,IF(A145&lt;'Données projet'!$A$218,$FB$205^A145,IF(A145='Données projet'!$A$218,'Données projet'!$B$218,FE144+FD145-FM144)))</f>
        <v>0</v>
      </c>
      <c r="FF145" s="138">
        <f>FE145*VLOOKUP('Données projet'!$B$16,'Paramètres'!$A$1:$I$89,3,0)*VLOOKUP('Données projet'!$B$16,'Paramètres'!$A$1:$I$89,5,0)</f>
        <v>0</v>
      </c>
      <c r="FG145" s="130">
        <f t="shared" si="48"/>
        <v>0</v>
      </c>
      <c r="FH145" s="141">
        <f t="shared" si="23"/>
        <v>0</v>
      </c>
      <c r="FI145" s="133">
        <f t="shared" si="24"/>
        <v>293.3333333</v>
      </c>
      <c r="FJ145" s="133">
        <f>AVERAGE(OFFSET($FI$3,0,0,'Données projet'!$E$16+1,1))-AVERAGE(OFFSET($H$3,0,0,'Données projet'!$E$16+1,1))</f>
        <v>305.6252353</v>
      </c>
      <c r="FK145" s="133">
        <f t="shared" si="49"/>
        <v>331.397916</v>
      </c>
      <c r="FL145" s="134">
        <f>IF(ISNA(VLOOKUP(A145,'Données projet'!$A$217:$I$237,3,0)),0,VLOOKUP(A145,'Données projet'!$A$217:$I$237,3,0))</f>
        <v>0</v>
      </c>
      <c r="FM145" s="134">
        <f>IF(ISNA(VLOOKUP(A145,'Données projet'!$A$217:$I$237,4,0)),0,VLOOKUP(A145,'Données projet'!$A$217:$I$237,4,0))</f>
        <v>0</v>
      </c>
      <c r="FN145" s="135">
        <f>IF(ISNA(VLOOKUP(A145,'Données projet'!$A$217:$I$237,5,0)),0%,VLOOKUP(A145,'Données projet'!$A$217:$I$237,5,0)*VLOOKUP('Données projet'!$B$16,'Paramètres'!$A$1:$I$89,7,0))</f>
        <v>0</v>
      </c>
      <c r="FO145" s="135">
        <f>IF(ISNA(VLOOKUP(A145,'Données projet'!$A$217:$I$237,6,0)),0%,VLOOKUP(A145,'Données projet'!$A$217:$I$237,6,0)*VLOOKUP('Données projet'!$B$16,'Paramètres'!$A$1:$I$89,7,0))</f>
        <v>0</v>
      </c>
      <c r="FP145" s="135">
        <f>IF(ISNA(VLOOKUP(A145,'Données projet'!$A$217:$I$237,7,0)),0%,VLOOKUP(A145,'Données projet'!$A$217:$I$237,7,0))</f>
        <v>0</v>
      </c>
      <c r="FQ145" s="142">
        <f>EXP(-LN(2)/35)*FQ144+(1-EXP(-LN(2)/35))/(LN(2)/35)*FM145*FN145*VLOOKUP('Données projet'!$B$16,'Paramètres'!$A$1:$I$89,3,0)*0.475*44/12</f>
        <v>19.37870714</v>
      </c>
      <c r="FR145" s="142">
        <f>EXP(-LN(2)/25)*FR144+(1-EXP(-LN(2)/25))/(LN(2)/25)*Calculateur!FM145*Calculateur!FO145*VLOOKUP('Données projet'!$B$16,'Paramètres'!$A$1:$I$89,3,0)*0.475*44/12</f>
        <v>0</v>
      </c>
      <c r="FS145" s="142">
        <f>EXP(-LN(2)/2)*FS144+(1-EXP(-LN(2)/2))/(LN(2)/2)*FM145*FP145*VLOOKUP('Données projet'!$B$16,'Paramètres'!$A$1:$I$89,3,0)*0.475*44/12</f>
        <v>0</v>
      </c>
      <c r="FT145" s="143">
        <f t="shared" si="25"/>
        <v>19.37870714</v>
      </c>
      <c r="FU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1" t="str">
        <f>VLOOKUP(A145,'Données projet'!$A$243:$I$263,2,0)</f>
        <v>#N/A</v>
      </c>
      <c r="FX145" s="131" t="str">
        <f>VLOOKUP(A145,'Données projet'!$A$243:$I$263,9,0)</f>
        <v>#N/A</v>
      </c>
      <c r="FY145" s="131" t="str">
        <f t="array" ref="FY145">INDEX(FX:FX,MIN(IF(ISNUMBER(FX145:FX341),ROW(FX145:FX341),"")))</f>
        <v/>
      </c>
      <c r="FZ145" s="138">
        <f>IF('Données projet'!$A$244&gt;35,FZ144+FY145-GH144,IF(A145&lt;'Données projet'!$A$244,$FW$205^A145,IF(A145='Données projet'!$A$244,'Données projet'!$B$244,FZ144+FY145-GH144)))</f>
        <v>0</v>
      </c>
      <c r="GA145" s="138">
        <f>FZ145*VLOOKUP('Données projet'!$B$17,'Paramètres'!$A$1:$I$89,3,0)*VLOOKUP('Données projet'!$B$17,'Paramètres'!$A$1:$I$89,5,0)</f>
        <v>0</v>
      </c>
      <c r="GB145" s="130">
        <f t="shared" si="50"/>
        <v>0</v>
      </c>
      <c r="GC145" s="141">
        <f t="shared" si="26"/>
        <v>0</v>
      </c>
      <c r="GD145" s="133">
        <f t="shared" si="27"/>
        <v>293.3333333</v>
      </c>
      <c r="GE145" s="133">
        <f>AVERAGE(OFFSET($GD$3,0,0,'Données projet'!$E$17+1,1))-AVERAGE(OFFSET($H$3,0,0,'Données projet'!$E$17+1,1))</f>
        <v>118.7368745</v>
      </c>
      <c r="GF145" s="133">
        <f t="shared" si="51"/>
        <v>135.1233677</v>
      </c>
      <c r="GG145" s="134">
        <f>IF(ISNA(VLOOKUP(A145,'Données projet'!$A$243:$I$263,3,0)),0,VLOOKUP(A145,'Données projet'!$A$243:$I$263,3,0))</f>
        <v>0</v>
      </c>
      <c r="GH145" s="134">
        <f>IF(ISNA(VLOOKUP(A145,'Données projet'!$A$243:$I$263,4,0)),0,VLOOKUP(A145,'Données projet'!$A$243:$I$263,4,0))</f>
        <v>0</v>
      </c>
      <c r="GI145" s="135">
        <f>IF(ISNA(VLOOKUP(A145,'Données projet'!$A$243:$I$263,5,0)),0%,VLOOKUP(A145,'Données projet'!$A$243:$I$263,5,0)*VLOOKUP('Données projet'!$B$17,'Paramètres'!$A$1:$I$89,7,0))</f>
        <v>0</v>
      </c>
      <c r="GJ145" s="135">
        <f>IF(ISNA(VLOOKUP(A145,'Données projet'!$A$243:$I$263,6,0)),0%,VLOOKUP(A145,'Données projet'!$A$243:$I$263,6,0)*VLOOKUP('Données projet'!$B$17,'Paramètres'!$A$1:$I$89,7,0))</f>
        <v>0</v>
      </c>
      <c r="GK145" s="135">
        <f>IF(ISNA(VLOOKUP(A145,'Données projet'!$A$243:$I$263,7,0)),0%,VLOOKUP(A145,'Données projet'!$A$243:$I$263,7,0))</f>
        <v>0</v>
      </c>
      <c r="GL145" s="142">
        <f>EXP(-LN(2)/35)*GL144+(1-EXP(-LN(2)/35))/(LN(2)/35)*GH145*GI145*VLOOKUP('Données projet'!$B$17,'Paramètres'!$A$1:$I$89,3,0)*0.475*44/12</f>
        <v>20.47354416</v>
      </c>
      <c r="GM145" s="142">
        <f>EXP(-LN(2)/25)*GM144+(1-EXP(-LN(2)/25))/(LN(2)/25)*Calculateur!GH145*Calculateur!GJ145*VLOOKUP('Données projet'!$B$17,'Paramètres'!$A$1:$I$89,3,0)*0.475*44/12</f>
        <v>0</v>
      </c>
      <c r="GN145" s="142">
        <f>EXP(-LN(2)/2)*GN144+(1-EXP(-LN(2)/2))/(LN(2)/2)*GH145*GK145*VLOOKUP('Données projet'!$B$17,'Paramètres'!$A$1:$I$89,3,0)*0.475*44/12</f>
        <v>0</v>
      </c>
      <c r="GO145" s="142">
        <f t="shared" si="28"/>
        <v>20.47354416</v>
      </c>
      <c r="GP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1" t="str">
        <f>VLOOKUP(A145,'Données projet'!$A$269:$I$289,2,0)</f>
        <v>#N/A</v>
      </c>
      <c r="GS145" s="131" t="str">
        <f>VLOOKUP(A145,'Données projet'!$A$269:$I$289,9,0)</f>
        <v>#N/A</v>
      </c>
      <c r="GT145" s="131" t="str">
        <f t="array" ref="GT145">INDEX(GS:GS,MIN(IF(ISNUMBER(GS145:GS341),ROW(GS145:GS341),"")))</f>
        <v/>
      </c>
      <c r="GU145" s="138">
        <f>IF('Données projet'!$A$270&gt;35,GU144+GT145-HC144,IF(A145&lt;'Données projet'!$A$270,$GR$205^A145,IF(A145='Données projet'!$A$270,'Données projet'!$B$270,GU144+GT145-HC144)))</f>
        <v>0</v>
      </c>
      <c r="GV145" s="138">
        <f>GU145*VLOOKUP('Données projet'!$B$18,'Paramètres'!$A$1:$I$89,3,0)*VLOOKUP('Données projet'!$B$18,'Paramètres'!$A$1:$I$89,5,0)</f>
        <v>0</v>
      </c>
      <c r="GW145" s="130" t="str">
        <f t="shared" si="52"/>
        <v>#NUM!</v>
      </c>
      <c r="GX145" s="141" t="str">
        <f t="shared" si="29"/>
        <v>#NUM!</v>
      </c>
      <c r="GY145" s="133" t="str">
        <f t="shared" si="30"/>
        <v>#NUM!</v>
      </c>
      <c r="GZ145" s="133">
        <f>AVERAGE(OFFSET($GY$3,0,0,'Données projet'!$E$18+1,1))-AVERAGE(OFFSET($H$3,0,0,'Données projet'!$E$18+1,1))</f>
        <v>100.5427875</v>
      </c>
      <c r="HA145" s="133">
        <f t="shared" si="53"/>
        <v>92.28663609</v>
      </c>
      <c r="HB145" s="134">
        <f>IF(ISNA(VLOOKUP(A145,'Données projet'!$A$269:$I$289,3,0)),0,VLOOKUP(A145,'Données projet'!$A$269:$I$289,3,0))</f>
        <v>0</v>
      </c>
      <c r="HC145" s="134">
        <f>IF(ISNA(VLOOKUP(A145,'Données projet'!$A$269:$I$289,4,0)),0,VLOOKUP(A145,'Données projet'!$A$269:$I$289,4,0))</f>
        <v>0</v>
      </c>
      <c r="HD145" s="135">
        <f>IF(ISNA(VLOOKUP(A145,'Données projet'!$A$269:$I$289,5,0)),0%,VLOOKUP(A145,'Données projet'!$A$269:$I$289,5,0)*VLOOKUP('Données projet'!$B$18,'Paramètres'!$A$1:$I$89,7,0))</f>
        <v>0</v>
      </c>
      <c r="HE145" s="135">
        <f>IF(ISNA(VLOOKUP(A145,'Données projet'!$A$269:$I$289,6,0)),0%,VLOOKUP(A145,'Données projet'!$A$269:$I$289,6,0)*VLOOKUP('Données projet'!$B$18,'Paramètres'!$A$1:$I$89,7,0))</f>
        <v>0</v>
      </c>
      <c r="HF145" s="135">
        <f>IF(ISNA(VLOOKUP(A145,'Données projet'!$A$269:$I$289,7,0)),0%,VLOOKUP(A145,'Données projet'!$A$269:$I$289,7,0))</f>
        <v>0</v>
      </c>
      <c r="HG145" s="142">
        <f>EXP(-LN(2)/35)*HG144+(1-EXP(-LN(2)/35))/(LN(2)/35)*HC145*HD145*VLOOKUP('Données projet'!$B$18,'Paramètres'!$A$1:$I$89,3,0)*0.475*44/12</f>
        <v>13.94205166</v>
      </c>
      <c r="HH145" s="142">
        <f>EXP(-LN(2)/25)*HH144+(1-EXP(-LN(2)/25))/(LN(2)/25)*Calculateur!HC145*Calculateur!HE145*VLOOKUP('Données projet'!$B$18,'Paramètres'!$A$1:$I$89,3,0)*0.475*44/12</f>
        <v>0</v>
      </c>
      <c r="HI145" s="142">
        <f>EXP(-LN(2)/2)*HI144+(1-EXP(-LN(2)/2))/(LN(2)/2)*HC145*HF145*VLOOKUP('Données projet'!$B$18,'Paramètres'!$A$1:$I$89,3,0)*0.475*44/12</f>
        <v>0</v>
      </c>
      <c r="HJ145" s="143">
        <f t="shared" si="31"/>
        <v>13.94205166</v>
      </c>
    </row>
    <row r="146" ht="15.75" customHeight="1">
      <c r="A146" s="125">
        <f t="shared" si="32"/>
        <v>143</v>
      </c>
      <c r="B146" s="126">
        <f>'Scénario référence'!$B$16*5+'Scénario référence'!$B$17*0+'Scénario référence'!$B$18*5</f>
        <v>0</v>
      </c>
      <c r="C146" s="140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78.078</v>
      </c>
      <c r="D146" s="127">
        <f t="shared" si="33"/>
        <v>21.66658209</v>
      </c>
      <c r="E14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7">
        <f>IF(OR('Scénario référence'!$F$8&gt;0,'Scénario référence'!$F$9&gt;0),('Scénario référence'!$F$8+'Scénario référence'!$F$9)*10,0)</f>
        <v>10</v>
      </c>
      <c r="G146" s="127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</v>
      </c>
      <c r="H146" s="128">
        <f t="shared" si="1"/>
        <v>467.0551471</v>
      </c>
      <c r="I146" s="12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1" t="str">
        <f>VLOOKUP(A146,'Données projet'!$A$35:$I$55,2,0)</f>
        <v>#N/A</v>
      </c>
      <c r="L146" s="131" t="str">
        <f>VLOOKUP(A146,'Données projet'!$A$35:$I$55,9,0)</f>
        <v>#N/A</v>
      </c>
      <c r="M146" s="131" t="str">
        <f t="array" ref="M146">INDEX(L:L,MIN(IF(ISNUMBER(L146:L342),ROW(L146:L342),"")))</f>
        <v/>
      </c>
      <c r="N146" s="130">
        <f>IF('Données projet'!$A$36&gt;35,N145+M146-V145,IF(A146&lt;'Données projet'!$A$36,$K$205^A146,IF(A146='Données projet'!$A$36,'Données projet'!$B$36,N145+M146-V145)))</f>
        <v>0</v>
      </c>
      <c r="O146" s="130">
        <f>N146*VLOOKUP('Données projet'!$B$9,'Paramètres'!$A$1:$I$89,3,0)*VLOOKUP('Données projet'!$B$9,'Paramètres'!$A$1:$I$89,5,0)</f>
        <v>0</v>
      </c>
      <c r="P146" s="130">
        <f t="shared" si="34"/>
        <v>0</v>
      </c>
      <c r="Q146" s="141">
        <f t="shared" si="2"/>
        <v>0</v>
      </c>
      <c r="R146" s="133">
        <f t="shared" si="3"/>
        <v>293.3333333</v>
      </c>
      <c r="S146" s="133">
        <f>AVERAGE(OFFSET($R$3,0,0,'Données projet'!$E$9+1,1))-AVERAGE(OFFSET($H$3,0,0,'Données projet'!$E$9+1,1))</f>
        <v>126.9946492</v>
      </c>
      <c r="T146" s="133">
        <f t="shared" si="35"/>
        <v>140.039049</v>
      </c>
      <c r="U146" s="134">
        <f>IF(ISNA(VLOOKUP(A146,'Données projet'!$A$35:$I$55,3,0)),0,VLOOKUP(A146,'Données projet'!$A$35:$I$55,3,0))</f>
        <v>0</v>
      </c>
      <c r="V146" s="134">
        <f>IF(ISNA(VLOOKUP(A146,'Données projet'!$A$35:$I$55,4,0)),0,VLOOKUP(A146,'Données projet'!$A$35:$I$55,4,0))</f>
        <v>0</v>
      </c>
      <c r="W146" s="135">
        <f>IF(ISNA(VLOOKUP(A146,'Données projet'!$A$35:$I$55,5,0)),0%,VLOOKUP(A146,'Données projet'!$A$35:$I$55,5,0)*VLOOKUP('Données projet'!$B$9,'Paramètres'!$A$1:$I$89,7,0))</f>
        <v>0</v>
      </c>
      <c r="X146" s="135">
        <f>IF(ISNA(VLOOKUP(A146,'Données projet'!$A$35:$I$55,6,0)),0%,VLOOKUP(A146,'Données projet'!$A$35:$I$55,6,0)*VLOOKUP('Données projet'!$B$9,'Paramètres'!$A$1:$I$89,7,0))</f>
        <v>0</v>
      </c>
      <c r="Y146" s="135">
        <f>IF(ISNA(VLOOKUP(A146,'Données projet'!$A$35:$I$55,7,0)),0%,VLOOKUP(A146,'Données projet'!$A$35:$I$55,7,0))</f>
        <v>0</v>
      </c>
      <c r="Z146" s="142">
        <f>EXP(-LN(2)/35)*Z145+(1-EXP(-LN(2)/35))/(LN(2)/35)*V146*W146*VLOOKUP('Données projet'!$B$9,'Paramètres'!$A$1:$I$89,3,0)*0.475*44/12</f>
        <v>20.52925996</v>
      </c>
      <c r="AA146" s="142">
        <f>EXP(-LN(2)/25)*AA145+(1-EXP(-LN(2)/25))/(LN(2)/25)*Calculateur!V146*Calculateur!X146*VLOOKUP('Données projet'!$B$9,'Paramètres'!$A$1:$I$89,3,0)*0.475*44/12</f>
        <v>2.326972553</v>
      </c>
      <c r="AB146" s="142">
        <f>EXP(-LN(2)/2)*AB145+(1-EXP(-LN(2)/2))/(LN(2)/2)*V146*Y146*VLOOKUP('Données projet'!$B$9,'Paramètres'!$A$1:$I$89,3,0)*0.475*44/12</f>
        <v>0</v>
      </c>
      <c r="AC146" s="143">
        <f t="shared" si="4"/>
        <v>22.85623251</v>
      </c>
      <c r="AD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1" t="str">
        <f>VLOOKUP(A146,'Données projet'!$A$61:$I$81,2,0)</f>
        <v>#N/A</v>
      </c>
      <c r="AG146" s="131" t="str">
        <f>VLOOKUP(A146,'Données projet'!$A$61:$I$81,9,0)</f>
        <v>#N/A</v>
      </c>
      <c r="AH146" s="131" t="str">
        <f t="array" ref="AH146">INDEX(AG:AG,MIN(IF(ISNUMBER(AG146:AG342),ROW(AG146:AG342),"")))</f>
        <v/>
      </c>
      <c r="AI146" s="130">
        <f>IF('Données projet'!$A$62&gt;35,AI145+AH146-AQ145,IF(A146&lt;'Données projet'!$A$62,$AF$205^A146,IF(A146='Données projet'!$A$62,'Données projet'!$B$62,AI145+AH146-AQ145)))</f>
        <v>0</v>
      </c>
      <c r="AJ146" s="130">
        <f>AI146*VLOOKUP('Données projet'!$B$10,'Paramètres'!$A$1:$I$89,3,0)*VLOOKUP('Données projet'!$B$10,'Paramètres'!$A$1:$I$89,5,0)</f>
        <v>0</v>
      </c>
      <c r="AK146" s="130" t="str">
        <f t="shared" si="36"/>
        <v>#NUM!</v>
      </c>
      <c r="AL146" s="141" t="str">
        <f t="shared" si="5"/>
        <v>#NUM!</v>
      </c>
      <c r="AM146" s="133" t="str">
        <f t="shared" si="6"/>
        <v>#NUM!</v>
      </c>
      <c r="AN146" s="133">
        <f>AVERAGE(OFFSET($AM$3,0,0,'Données projet'!$E$10+1,1))-AVERAGE(OFFSET($H$3,0,0,'Données projet'!$E$10+1,1))</f>
        <v>196.874484</v>
      </c>
      <c r="AO146" s="133">
        <f t="shared" si="37"/>
        <v>217.5750859</v>
      </c>
      <c r="AP146" s="134">
        <f>IF(ISNA(VLOOKUP(A146,'Données projet'!$A$61:$I$81,3,0)),0,VLOOKUP(A146,'Données projet'!$A$61:$I$81,3,0))</f>
        <v>0</v>
      </c>
      <c r="AQ146" s="134">
        <f>IF(ISNA(VLOOKUP(A146,'Données projet'!$A$61:$I$81,4,0)),0,VLOOKUP(A146,'Données projet'!$A$61:$I$81,4,0))</f>
        <v>0</v>
      </c>
      <c r="AR146" s="135">
        <f>IF(ISNA(VLOOKUP(A146,'Données projet'!$A$61:$I$81,5,0)),0%,VLOOKUP(A146,'Données projet'!$A$61:$I$81,5,0)*VLOOKUP('Données projet'!$B$10,'Paramètres'!$A$1:$I$89,7,0))</f>
        <v>0</v>
      </c>
      <c r="AS146" s="135">
        <f>IF(ISNA(VLOOKUP(A146,'Données projet'!$A$61:$I$81,6,0)),0%,VLOOKUP(A146,'Données projet'!$A$61:$I$81,6,0)*VLOOKUP('Données projet'!$B$10,'Paramètres'!$A$1:$I$89,7,0))</f>
        <v>0</v>
      </c>
      <c r="AT146" s="135">
        <f>IF(ISNA(VLOOKUP(A146,'Données projet'!$A$61:$I$81,7,0)),0%,VLOOKUP(A146,'Données projet'!$A$61:$I$81,7,0))</f>
        <v>0</v>
      </c>
      <c r="AU146" s="142">
        <f>EXP(-LN(2)/35)*AU145+(1-EXP(-LN(2)/35))/(LN(2)/35)*AQ146*AR146*VLOOKUP('Données projet'!$B$10,'Paramètres'!$A$1:$I$89,3,0)*0.475*44/12</f>
        <v>28.53508823</v>
      </c>
      <c r="AV146" s="142">
        <f>EXP(-LN(2)/25)*AV145+(1-EXP(-LN(2)/25))/(LN(2)/25)*Calculateur!AQ146*Calculateur!AS146*VLOOKUP('Données projet'!$B$10,'Paramètres'!$A$1:$I$89,3,0)*0.475*44/12</f>
        <v>3.577723409</v>
      </c>
      <c r="AW146" s="142">
        <f>EXP(-LN(2)/2)*AW145+(1-EXP(-LN(2)/2))/(LN(2)/2)*AQ146*AT146*VLOOKUP('Données projet'!$B$10,'Paramètres'!$A$1:$I$89,3,0)*0.475*44/12</f>
        <v>0</v>
      </c>
      <c r="AX146" s="142">
        <f t="shared" si="7"/>
        <v>32.11281164</v>
      </c>
      <c r="AY146" s="13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1" t="str">
        <f>VLOOKUP(A146,'Données projet'!$A$87:$I$107,2,0)</f>
        <v>#N/A</v>
      </c>
      <c r="BB146" s="131" t="str">
        <f>VLOOKUP(A146,'Données projet'!$A$87:$I$107,9,0)</f>
        <v>#N/A</v>
      </c>
      <c r="BC146" s="131" t="str">
        <f t="array" ref="BC146">INDEX(BB:BB,MIN(IF(ISNUMBER(BB146:BB342),ROW(BB146:BB342),"")))</f>
        <v/>
      </c>
      <c r="BD146" s="130">
        <f>IF('Données projet'!$A$88&gt;35,BD145+BC146-BL145,IF(A146&lt;'Données projet'!$A$88,$BA$205^A146,IF(A146='Données projet'!$A$88,'Données projet'!$B$88,BD145+BC146-BL145)))</f>
        <v>0</v>
      </c>
      <c r="BE146" s="130">
        <f>BD146*VLOOKUP('Données projet'!$B$11,'Paramètres'!$A$1:$I$89,3,0)*VLOOKUP('Données projet'!$B$11,'Paramètres'!$A$1:$I$89,5,0)</f>
        <v>0</v>
      </c>
      <c r="BF146" s="130" t="str">
        <f t="shared" si="38"/>
        <v>#NUM!</v>
      </c>
      <c r="BG146" s="141" t="str">
        <f t="shared" si="8"/>
        <v>#NUM!</v>
      </c>
      <c r="BH146" s="133" t="str">
        <f t="shared" si="9"/>
        <v>#NUM!</v>
      </c>
      <c r="BI146" s="133">
        <f>AVERAGE(OFFSET($BH$3,0,0,'Données projet'!$E$11+1,1))-AVERAGE(OFFSET($H$3,0,0,'Données projet'!$E$11+1,1))</f>
        <v>134.0948534</v>
      </c>
      <c r="BJ146" s="133">
        <f t="shared" si="39"/>
        <v>108.4102536</v>
      </c>
      <c r="BK146" s="134">
        <f>IF(ISNA(VLOOKUP(A146,'Données projet'!$A$87:$I$107,3,0)),0,VLOOKUP(A146,'Données projet'!$A$87:$I$107,3,0))</f>
        <v>0</v>
      </c>
      <c r="BL146" s="134">
        <f>IF(ISNA(VLOOKUP(A146,'Données projet'!$A$87:$I$107,4,0)),0,VLOOKUP(A146,'Données projet'!$A$87:$I$107,4,0))</f>
        <v>0</v>
      </c>
      <c r="BM146" s="135">
        <f>IF(ISNA(VLOOKUP(A146,'Données projet'!$A$87:$I$107,5,0)),0%,VLOOKUP(A146,'Données projet'!$A$87:$I$107,5,0)*VLOOKUP('Données projet'!$B$11,'Paramètres'!$A$1:$I$89,7,0))</f>
        <v>0</v>
      </c>
      <c r="BN146" s="135">
        <f>IF(ISNA(VLOOKUP(A146,'Données projet'!$A$87:$I$107,6,0)),0%,VLOOKUP(A146,'Données projet'!$A$87:$I$107,6,0)*VLOOKUP('Données projet'!$B$11,'Paramètres'!$A$1:$I$89,7,0))</f>
        <v>0</v>
      </c>
      <c r="BO146" s="135">
        <f>IF(ISNA(VLOOKUP(A146,'Données projet'!$A$87:$I$107,7,0)),0%,VLOOKUP(A146,'Données projet'!$A$87:$I$107,7,0))</f>
        <v>0</v>
      </c>
      <c r="BP146" s="142">
        <f>EXP(-LN(2)/35)*BP145+(1-EXP(-LN(2)/35))/(LN(2)/35)*BL146*BM146*VLOOKUP('Données projet'!$B$11,'Paramètres'!$A$1:$I$89,3,0)*0.475*44/12</f>
        <v>39.46935619</v>
      </c>
      <c r="BQ146" s="142">
        <f>EXP(-LN(2)/25)*BQ145+(1-EXP(-LN(2)/25))/(LN(2)/25)*Calculateur!BL146*Calculateur!BN146*VLOOKUP('Données projet'!$B$11,'Paramètres'!$A$1:$I$89,3,0)*0.475*44/12</f>
        <v>2.256830998</v>
      </c>
      <c r="BR146" s="142">
        <f>EXP(-LN(2)/2)*BR145+(1-EXP(-LN(2)/2))/(LN(2)/2)*BL146*BO146*VLOOKUP('Données projet'!$B$11,'Paramètres'!$A$1:$I$89,3,0)*0.475*44/12</f>
        <v>0.0000000001135541602</v>
      </c>
      <c r="BS146" s="143">
        <f t="shared" si="10"/>
        <v>41.72618719</v>
      </c>
      <c r="BT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1" t="str">
        <f>VLOOKUP(A146,'Données projet'!$A$113:$I$133,2,0)</f>
        <v>#N/A</v>
      </c>
      <c r="BW146" s="131" t="str">
        <f>VLOOKUP(A146,'Données projet'!$A$113:$I$133,9,0)</f>
        <v>#N/A</v>
      </c>
      <c r="BX146" s="131" t="str">
        <f t="array" ref="BX146">INDEX(BW:BW,MIN(IF(ISNUMBER(BW146:BW342),ROW(BW146:BW342),"")))</f>
        <v/>
      </c>
      <c r="BY146" s="130">
        <f>IF('Données projet'!$A$114&gt;35,BY145+BX146-CG145,IF(A146&lt;'Données projet'!$A$114,$BV$205^A146,IF(A146='Données projet'!$A$114,'Données projet'!$B$114,BY145+BX146-CG145)))</f>
        <v>0</v>
      </c>
      <c r="BZ146" s="130">
        <f>BY146*VLOOKUP('Données projet'!$B$12,'Paramètres'!$A$1:$I$89,3,0)*VLOOKUP('Données projet'!$B$12,'Paramètres'!$A$1:$I$89,5,0)</f>
        <v>0</v>
      </c>
      <c r="CA146" s="130" t="str">
        <f t="shared" si="40"/>
        <v>#NUM!</v>
      </c>
      <c r="CB146" s="141" t="str">
        <f t="shared" si="11"/>
        <v>#NUM!</v>
      </c>
      <c r="CC146" s="133" t="str">
        <f t="shared" si="12"/>
        <v>#NUM!</v>
      </c>
      <c r="CD146" s="133">
        <f>AVERAGE(OFFSET($CC$3,0,0,'Données projet'!$E$12+1,1))-AVERAGE(OFFSET($H$3,0,0,'Données projet'!$E$12+1,1))</f>
        <v>258.1672054</v>
      </c>
      <c r="CE146" s="133">
        <f t="shared" si="41"/>
        <v>296.0724261</v>
      </c>
      <c r="CF146" s="134">
        <f>IF(ISNA(VLOOKUP(A146,'Données projet'!$A$113:$I$133,3,0)),0,VLOOKUP(A146,'Données projet'!$A$113:$I$133,3,0))</f>
        <v>0</v>
      </c>
      <c r="CG146" s="134">
        <f>IF(ISNA(VLOOKUP(A146,'Données projet'!$A$113:$I$133,4,0)),0,VLOOKUP(A146,'Données projet'!$A$113:$I$133,4,0))</f>
        <v>0</v>
      </c>
      <c r="CH146" s="135">
        <f>IF(ISNA(VLOOKUP(A146,'Données projet'!$A$113:$I$133,5,0)),0%,VLOOKUP(A146,'Données projet'!$A$113:$I$133,5,0)*VLOOKUP('Données projet'!$B$12,'Paramètres'!$A$1:$I$89,7,0))</f>
        <v>0</v>
      </c>
      <c r="CI146" s="135">
        <f>IF(ISNA(VLOOKUP(A146,'Données projet'!$A$113:$I$133,6,0)),0%,VLOOKUP(A146,'Données projet'!$A$113:$I$133,6,0)*VLOOKUP('Données projet'!$B$12,'Paramètres'!$A$1:$I$89,7,0))</f>
        <v>0</v>
      </c>
      <c r="CJ146" s="135">
        <f>IF(ISNA(VLOOKUP(A146,'Données projet'!$A$113:$I$133,7,0)),0%,VLOOKUP(A146,'Données projet'!$A$113:$I$133,7,0))</f>
        <v>0</v>
      </c>
      <c r="CK146" s="142">
        <f>EXP(-LN(2)/35)*CK145+(1-EXP(-LN(2)/35))/(LN(2)/35)*CG146*CH146*VLOOKUP('Données projet'!$B$12,'Paramètres'!$A$1:$I$89,3,0)*0.475*44/12</f>
        <v>49.9013404</v>
      </c>
      <c r="CL146" s="142">
        <f>EXP(-LN(2)/25)*CL145+(1-EXP(-LN(2)/25))/(LN(2)/25)*Calculateur!CG146*Calculateur!CI146*VLOOKUP('Données projet'!$B$12,'Paramètres'!$A$1:$I$89,3,0)*0.475*44/12</f>
        <v>3.958609684</v>
      </c>
      <c r="CM146" s="142">
        <f>EXP(-LN(2)/2)*CM145+(1-EXP(-LN(2)/2))/(LN(2)/2)*CG146*CJ146*VLOOKUP('Données projet'!$B$12,'Paramètres'!$A$1:$I$89,3,0)*0.475*44/12</f>
        <v>0</v>
      </c>
      <c r="CN146" s="143">
        <f t="shared" si="13"/>
        <v>53.85995008</v>
      </c>
      <c r="CO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1" t="str">
        <f>VLOOKUP(A146,'Données projet'!$A$139:$I$159,2,0)</f>
        <v>#N/A</v>
      </c>
      <c r="CR146" s="131" t="str">
        <f>VLOOKUP(A146,'Données projet'!$A$139:$I$159,9,0)</f>
        <v>#N/A</v>
      </c>
      <c r="CS146" s="130">
        <f t="array" ref="CS146">INDEX(CR:CR,MIN(IF(ISNUMBER(CR146:CR342),ROW(CR146:CR342),"")))</f>
        <v>0.7</v>
      </c>
      <c r="CT146" s="138">
        <f>IF('Données projet'!$A$140&gt;35,CT145+CS146-DB145,IF(A146&lt;'Données projet'!$A$140,$CQ$205^A146,IF(A146='Données projet'!$A$140,'Données projet'!$B$140,CT145+CS146-DB145)))</f>
        <v>212.1</v>
      </c>
      <c r="CU146" s="138">
        <f>CT146*VLOOKUP('Données projet'!$B$13,'Paramètres'!$A$1:$I$89,3,0)*VLOOKUP('Données projet'!$B$13,'Paramètres'!$A$1:$I$89,5,0)</f>
        <v>215.0694</v>
      </c>
      <c r="CV146" s="130">
        <f t="shared" si="42"/>
        <v>53.04183456</v>
      </c>
      <c r="CW146" s="141">
        <f t="shared" si="14"/>
        <v>466.9604002</v>
      </c>
      <c r="CX146" s="133">
        <f t="shared" si="15"/>
        <v>760.2937335</v>
      </c>
      <c r="CY146" s="133">
        <f>AVERAGE(OFFSET($CX$3,0,0,'Données projet'!$E$13+1,1))-AVERAGE(OFFSET($H$3,0,0,'Données projet'!$E$13+1,1))</f>
        <v>223.783507</v>
      </c>
      <c r="CZ146" s="133">
        <f t="shared" si="43"/>
        <v>84.92349117</v>
      </c>
      <c r="DA146" s="134">
        <f>IF(ISNA(VLOOKUP(A146,'Données projet'!$A$139:$I$159,3,0)),0,VLOOKUP(A146,'Données projet'!$A$139:$I$159,3,0))</f>
        <v>0</v>
      </c>
      <c r="DB146" s="134">
        <f>IF(ISNA(VLOOKUP(A146,'Données projet'!$A$139:$I$159,4,0)),0,VLOOKUP(A146,'Données projet'!$A$139:$I$159,4,0))</f>
        <v>0</v>
      </c>
      <c r="DC146" s="135">
        <f>IF(ISNA(VLOOKUP(A146,'Données projet'!$A$139:$I$159,5,0)),0%,VLOOKUP(A146,'Données projet'!$A$139:$I$159,5,0)*VLOOKUP('Données projet'!$B$13,'Paramètres'!$A$1:$I$89,7,0))</f>
        <v>0</v>
      </c>
      <c r="DD146" s="135">
        <f>IF(ISNA(VLOOKUP(A146,'Données projet'!$A$139:$I$159,6,0)),0%,VLOOKUP(A146,'Données projet'!$A$139:$I$159,6,0)*VLOOKUP('Données projet'!$B$13,'Paramètres'!$A$1:$I$89,7,0))</f>
        <v>0</v>
      </c>
      <c r="DE146" s="135">
        <f>IF(ISNA(VLOOKUP(A146,'Données projet'!$A$139:$I$159,7,0)),0%,VLOOKUP(A146,'Données projet'!$A$139:$I$159,7,0))</f>
        <v>0</v>
      </c>
      <c r="DF146" s="142">
        <f>EXP(-LN(2)/35)*DF145+(1-EXP(-LN(2)/35))/(LN(2)/35)*DB146*DC146*VLOOKUP('Données projet'!$B$13,'Paramètres'!$A$1:$I$89,3,0)*0.475*44/12</f>
        <v>20.03234839</v>
      </c>
      <c r="DG146" s="142">
        <f>EXP(-LN(2)/25)*DG145+(1-EXP(-LN(2)/25))/(LN(2)/25)*Calculateur!DB146*Calculateur!DD146*VLOOKUP('Données projet'!$B$13,'Paramètres'!$A$1:$I$89,3,0)*0.475*44/12</f>
        <v>0</v>
      </c>
      <c r="DH146" s="142">
        <f>EXP(-LN(2)/2)*DH145+(1-EXP(-LN(2)/2))/(LN(2)/2)*DB146*DE146*VLOOKUP('Données projet'!$B$13,'Paramètres'!$A$1:$I$89,3,0)*0.475*44/12</f>
        <v>0</v>
      </c>
      <c r="DI146" s="143">
        <f t="shared" si="16"/>
        <v>20.03234839</v>
      </c>
      <c r="DJ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1" t="str">
        <f>VLOOKUP(A146,'Données projet'!$A$165:$I$185,2,0)</f>
        <v>#N/A</v>
      </c>
      <c r="DM146" s="131" t="str">
        <f>VLOOKUP(A146,'Données projet'!$A$165:$I$185,9,0)</f>
        <v>#N/A</v>
      </c>
      <c r="DN146" s="131">
        <f t="array" ref="DN146">INDEX(DM:DM,MIN(IF(ISNUMBER(DM146:DM342),ROW(DM146:DM342),"")))</f>
        <v>0.55</v>
      </c>
      <c r="DO146" s="138">
        <f>IF('Données projet'!$A$166&gt;35,DO145+DN146-DW145,IF(A146&lt;'Données projet'!$A$166,$DL$205^A146,IF(A146='Données projet'!$A$166,'Données projet'!$B$166,DO145+DN146-DW145)))</f>
        <v>276.15</v>
      </c>
      <c r="DP146" s="138">
        <f>DO146*VLOOKUP('Données projet'!$B$14,'Paramètres'!$A$1:$I$89,3,0)*VLOOKUP('Données projet'!$B$14,'Paramètres'!$A$1:$I$89,5,0)</f>
        <v>249.86052</v>
      </c>
      <c r="DQ146" s="130">
        <f t="shared" si="44"/>
        <v>60.55607234</v>
      </c>
      <c r="DR146" s="141">
        <f t="shared" si="17"/>
        <v>540.6422317</v>
      </c>
      <c r="DS146" s="133">
        <f t="shared" si="18"/>
        <v>833.975565</v>
      </c>
      <c r="DT146" s="133">
        <f>AVERAGE(OFFSET($DS$3,0,0,'Données projet'!$E$14+1,1))-AVERAGE(OFFSET($H$3,0,0,'Données projet'!$E$14+1,1))</f>
        <v>287.9334714</v>
      </c>
      <c r="DU146" s="133">
        <f t="shared" si="45"/>
        <v>156.6796502</v>
      </c>
      <c r="DV146" s="134">
        <f>IF(ISNA(VLOOKUP(A146,'Données projet'!$A$165:$I$185,3,0)),0,VLOOKUP(A146,'Données projet'!$A$165:$I$185,3,0))</f>
        <v>0</v>
      </c>
      <c r="DW146" s="134">
        <f>IF(ISNA(VLOOKUP(A146,'Données projet'!$A$165:$I$185,4,0)),0,VLOOKUP(A146,'Données projet'!$A$165:$I$185,4,0))</f>
        <v>0</v>
      </c>
      <c r="DX146" s="135">
        <f>IF(ISNA(VLOOKUP(A146,'Données projet'!$A$165:$I$185,5,0)),0%,VLOOKUP(A146,'Données projet'!$A$165:$I$185,5,0)*VLOOKUP('Données projet'!$B$14,'Paramètres'!$A$1:$I$89,7,0))</f>
        <v>0</v>
      </c>
      <c r="DY146" s="135">
        <f>IF(ISNA(VLOOKUP(A146,'Données projet'!$A$165:$I$185,6,0)),0%,VLOOKUP(A146,'Données projet'!$A$165:$I$185,6,0)*VLOOKUP('Données projet'!$B$14,'Paramètres'!$A$1:$I$89,7,0))</f>
        <v>0</v>
      </c>
      <c r="DZ146" s="135">
        <f>IF(ISNA(VLOOKUP(A146,'Données projet'!$A$165:$I$185,7,0)),0%,VLOOKUP(A146,'Données projet'!$A$165:$I$185,7,0))</f>
        <v>0</v>
      </c>
      <c r="EA146" s="142">
        <f>EXP(-LN(2)/35)*EA145+(1-EXP(-LN(2)/35))/(LN(2)/35)*DW146*DX146*VLOOKUP('Données projet'!$B$14,'Paramètres'!$A$1:$I$89,3,0)*0.475*44/12</f>
        <v>24.39135151</v>
      </c>
      <c r="EB146" s="142">
        <f>EXP(-LN(2)/25)*EB145+(1-EXP(-LN(2)/25))/(LN(2)/25)*Calculateur!DW146*Calculateur!DY146*VLOOKUP('Données projet'!$B$14,'Paramètres'!$A$1:$I$89,3,0)*0.475*44/12</f>
        <v>0</v>
      </c>
      <c r="EC146" s="142">
        <f>EXP(-LN(2)/2)*EC145+(1-EXP(-LN(2)/2))/(LN(2)/2)*DW146*DZ146*VLOOKUP('Données projet'!$B$14,'Paramètres'!$A$1:$I$89,3,0)*0.475*44/12</f>
        <v>0</v>
      </c>
      <c r="ED146" s="143">
        <f t="shared" si="19"/>
        <v>24.39135151</v>
      </c>
      <c r="EE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1" t="str">
        <f>VLOOKUP(A146,'Données projet'!$A$191:$I$211,2,0)</f>
        <v>#N/A</v>
      </c>
      <c r="EH146" s="131" t="str">
        <f>VLOOKUP(A146,'Données projet'!$A$191:$I$211,9,0)</f>
        <v>#N/A</v>
      </c>
      <c r="EI146" s="131" t="str">
        <f t="array" ref="EI146">INDEX(EH:EH,MIN(IF(ISNUMBER(EH146:EH342),ROW(EH146:EH342),"")))</f>
        <v/>
      </c>
      <c r="EJ146" s="138">
        <f>IF('Données projet'!$A$192&gt;35,EJ145+EI146-ER145,IF(A146&lt;'Données projet'!$A$192,$EG$205^A146,IF(A146='Données projet'!$A$192,'Données projet'!$B$192,EJ145+EI146-ER145)))</f>
        <v>0</v>
      </c>
      <c r="EK146" s="138">
        <f>EJ146*VLOOKUP('Données projet'!$B$15,'Paramètres'!$A$1:$I$89,3,0)*VLOOKUP('Données projet'!$B$15,'Paramètres'!$A$1:$I$89,5,0)</f>
        <v>0</v>
      </c>
      <c r="EL146" s="130" t="str">
        <f t="shared" si="46"/>
        <v>#NUM!</v>
      </c>
      <c r="EM146" s="141" t="str">
        <f t="shared" si="20"/>
        <v>#NUM!</v>
      </c>
      <c r="EN146" s="133" t="str">
        <f t="shared" si="21"/>
        <v>#NUM!</v>
      </c>
      <c r="EO146" s="133">
        <f>AVERAGE(OFFSET($EN$3,0,0,'Données projet'!$E$15+1,1))-AVERAGE(OFFSET($H$3,0,0,'Données projet'!$E$15+1,1))</f>
        <v>130.3193339</v>
      </c>
      <c r="EP146" s="133">
        <f t="shared" si="47"/>
        <v>82.22784365</v>
      </c>
      <c r="EQ146" s="134">
        <f>IF(ISNA(VLOOKUP(A146,'Données projet'!$A$191:$I$211,3,0)),0,VLOOKUP(A146,'Données projet'!$A$191:$I$211,3,0))</f>
        <v>0</v>
      </c>
      <c r="ER146" s="134">
        <f>IF(ISNA(VLOOKUP(A146,'Données projet'!$A$191:$I$211,4,0)),0,VLOOKUP(A146,'Données projet'!$A$191:$I$211,4,0))</f>
        <v>0</v>
      </c>
      <c r="ES146" s="135">
        <f>IF(ISNA(VLOOKUP(A146,'Données projet'!$A$191:$I$211,5,0)),0%,VLOOKUP(A146,'Données projet'!$A$191:$I$211,5,0)*VLOOKUP('Données projet'!$B$15,'Paramètres'!$A$1:$I$89,7,0))</f>
        <v>0</v>
      </c>
      <c r="ET146" s="135">
        <f>IF(ISNA(VLOOKUP(A146,'Données projet'!$A$191:$I$211,6,0)),0%,VLOOKUP(A146,'Données projet'!$A$191:$I$211,6,0)*VLOOKUP('Données projet'!$B$15,'Paramètres'!$A$1:$I$89,7,0))</f>
        <v>0</v>
      </c>
      <c r="EU146" s="135">
        <f>IF(ISNA(VLOOKUP(A146,'Données projet'!$A$191:$I$211,7,0)),0%,VLOOKUP(A146,'Données projet'!$A$191:$I$211,7,0))</f>
        <v>0</v>
      </c>
      <c r="EV146" s="142">
        <f>EXP(-LN(2)/35)*EV145+(1-EXP(-LN(2)/35))/(LN(2)/35)*ER146*ES146*VLOOKUP('Données projet'!$B$15,'Paramètres'!$A$1:$I$89,3,0)*0.475*44/12</f>
        <v>30.51363733</v>
      </c>
      <c r="EW146" s="142">
        <f>EXP(-LN(2)/25)*EW145+(1-EXP(-LN(2)/25))/(LN(2)/25)*Calculateur!ER146*Calculateur!ET146*VLOOKUP('Données projet'!$B$15,'Paramètres'!$A$1:$I$89,3,0)*0.475*44/12</f>
        <v>0</v>
      </c>
      <c r="EX146" s="142">
        <f>EXP(-LN(2)/2)*EX145+(1-EXP(-LN(2)/2))/(LN(2)/2)*ER146*EU146*VLOOKUP('Données projet'!$B$15,'Paramètres'!$A$1:$I$89,3,0)*0.475*44/12</f>
        <v>0</v>
      </c>
      <c r="EY146" s="143">
        <f t="shared" si="22"/>
        <v>30.51363733</v>
      </c>
      <c r="EZ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1" t="str">
        <f>VLOOKUP(A146,'Données projet'!$A$217:$I$237,2,0)</f>
        <v>#N/A</v>
      </c>
      <c r="FC146" s="131" t="str">
        <f>VLOOKUP(A146,'Données projet'!$A$217:$I$237,9,0)</f>
        <v>#N/A</v>
      </c>
      <c r="FD146" s="131" t="str">
        <f t="array" ref="FD146">INDEX(FC:FC,MIN(IF(ISNUMBER(FC146:FC342),ROW(FC146:FC342),"")))</f>
        <v/>
      </c>
      <c r="FE146" s="130">
        <f>IF('Données projet'!$A$218&gt;35,FE145+FD146-FM145,IF(A146&lt;'Données projet'!$A$218,$FB$205^A146,IF(A146='Données projet'!$A$218,'Données projet'!$B$218,FE145+FD146-FM145)))</f>
        <v>0</v>
      </c>
      <c r="FF146" s="138">
        <f>FE146*VLOOKUP('Données projet'!$B$16,'Paramètres'!$A$1:$I$89,3,0)*VLOOKUP('Données projet'!$B$16,'Paramètres'!$A$1:$I$89,5,0)</f>
        <v>0</v>
      </c>
      <c r="FG146" s="130">
        <f t="shared" si="48"/>
        <v>0</v>
      </c>
      <c r="FH146" s="141">
        <f t="shared" si="23"/>
        <v>0</v>
      </c>
      <c r="FI146" s="133">
        <f t="shared" si="24"/>
        <v>293.3333333</v>
      </c>
      <c r="FJ146" s="133">
        <f>AVERAGE(OFFSET($FI$3,0,0,'Données projet'!$E$16+1,1))-AVERAGE(OFFSET($H$3,0,0,'Données projet'!$E$16+1,1))</f>
        <v>305.6252353</v>
      </c>
      <c r="FK146" s="133">
        <f t="shared" si="49"/>
        <v>331.397916</v>
      </c>
      <c r="FL146" s="134">
        <f>IF(ISNA(VLOOKUP(A146,'Données projet'!$A$217:$I$237,3,0)),0,VLOOKUP(A146,'Données projet'!$A$217:$I$237,3,0))</f>
        <v>0</v>
      </c>
      <c r="FM146" s="134">
        <f>IF(ISNA(VLOOKUP(A146,'Données projet'!$A$217:$I$237,4,0)),0,VLOOKUP(A146,'Données projet'!$A$217:$I$237,4,0))</f>
        <v>0</v>
      </c>
      <c r="FN146" s="135">
        <f>IF(ISNA(VLOOKUP(A146,'Données projet'!$A$217:$I$237,5,0)),0%,VLOOKUP(A146,'Données projet'!$A$217:$I$237,5,0)*VLOOKUP('Données projet'!$B$16,'Paramètres'!$A$1:$I$89,7,0))</f>
        <v>0</v>
      </c>
      <c r="FO146" s="135">
        <f>IF(ISNA(VLOOKUP(A146,'Données projet'!$A$217:$I$237,6,0)),0%,VLOOKUP(A146,'Données projet'!$A$217:$I$237,6,0)*VLOOKUP('Données projet'!$B$16,'Paramètres'!$A$1:$I$89,7,0))</f>
        <v>0</v>
      </c>
      <c r="FP146" s="135">
        <f>IF(ISNA(VLOOKUP(A146,'Données projet'!$A$217:$I$237,7,0)),0%,VLOOKUP(A146,'Données projet'!$A$217:$I$237,7,0))</f>
        <v>0</v>
      </c>
      <c r="FQ146" s="142">
        <f>EXP(-LN(2)/35)*FQ145+(1-EXP(-LN(2)/35))/(LN(2)/35)*FM146*FN146*VLOOKUP('Données projet'!$B$16,'Paramètres'!$A$1:$I$89,3,0)*0.475*44/12</f>
        <v>18.99870251</v>
      </c>
      <c r="FR146" s="142">
        <f>EXP(-LN(2)/25)*FR145+(1-EXP(-LN(2)/25))/(LN(2)/25)*Calculateur!FM146*Calculateur!FO146*VLOOKUP('Données projet'!$B$16,'Paramètres'!$A$1:$I$89,3,0)*0.475*44/12</f>
        <v>0</v>
      </c>
      <c r="FS146" s="142">
        <f>EXP(-LN(2)/2)*FS145+(1-EXP(-LN(2)/2))/(LN(2)/2)*FM146*FP146*VLOOKUP('Données projet'!$B$16,'Paramètres'!$A$1:$I$89,3,0)*0.475*44/12</f>
        <v>0</v>
      </c>
      <c r="FT146" s="143">
        <f t="shared" si="25"/>
        <v>18.99870251</v>
      </c>
      <c r="FU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1" t="str">
        <f>VLOOKUP(A146,'Données projet'!$A$243:$I$263,2,0)</f>
        <v>#N/A</v>
      </c>
      <c r="FX146" s="131" t="str">
        <f>VLOOKUP(A146,'Données projet'!$A$243:$I$263,9,0)</f>
        <v>#N/A</v>
      </c>
      <c r="FY146" s="131" t="str">
        <f t="array" ref="FY146">INDEX(FX:FX,MIN(IF(ISNUMBER(FX146:FX342),ROW(FX146:FX342),"")))</f>
        <v/>
      </c>
      <c r="FZ146" s="138">
        <f>IF('Données projet'!$A$244&gt;35,FZ145+FY146-GH145,IF(A146&lt;'Données projet'!$A$244,$FW$205^A146,IF(A146='Données projet'!$A$244,'Données projet'!$B$244,FZ145+FY146-GH145)))</f>
        <v>0</v>
      </c>
      <c r="GA146" s="138">
        <f>FZ146*VLOOKUP('Données projet'!$B$17,'Paramètres'!$A$1:$I$89,3,0)*VLOOKUP('Données projet'!$B$17,'Paramètres'!$A$1:$I$89,5,0)</f>
        <v>0</v>
      </c>
      <c r="GB146" s="130">
        <f t="shared" si="50"/>
        <v>0</v>
      </c>
      <c r="GC146" s="141">
        <f t="shared" si="26"/>
        <v>0</v>
      </c>
      <c r="GD146" s="133">
        <f t="shared" si="27"/>
        <v>293.3333333</v>
      </c>
      <c r="GE146" s="133">
        <f>AVERAGE(OFFSET($GD$3,0,0,'Données projet'!$E$17+1,1))-AVERAGE(OFFSET($H$3,0,0,'Données projet'!$E$17+1,1))</f>
        <v>118.7368745</v>
      </c>
      <c r="GF146" s="133">
        <f t="shared" si="51"/>
        <v>135.1233677</v>
      </c>
      <c r="GG146" s="134">
        <f>IF(ISNA(VLOOKUP(A146,'Données projet'!$A$243:$I$263,3,0)),0,VLOOKUP(A146,'Données projet'!$A$243:$I$263,3,0))</f>
        <v>0</v>
      </c>
      <c r="GH146" s="134">
        <f>IF(ISNA(VLOOKUP(A146,'Données projet'!$A$243:$I$263,4,0)),0,VLOOKUP(A146,'Données projet'!$A$243:$I$263,4,0))</f>
        <v>0</v>
      </c>
      <c r="GI146" s="135">
        <f>IF(ISNA(VLOOKUP(A146,'Données projet'!$A$243:$I$263,5,0)),0%,VLOOKUP(A146,'Données projet'!$A$243:$I$263,5,0)*VLOOKUP('Données projet'!$B$17,'Paramètres'!$A$1:$I$89,7,0))</f>
        <v>0</v>
      </c>
      <c r="GJ146" s="135">
        <f>IF(ISNA(VLOOKUP(A146,'Données projet'!$A$243:$I$263,6,0)),0%,VLOOKUP(A146,'Données projet'!$A$243:$I$263,6,0)*VLOOKUP('Données projet'!$B$17,'Paramètres'!$A$1:$I$89,7,0))</f>
        <v>0</v>
      </c>
      <c r="GK146" s="135">
        <f>IF(ISNA(VLOOKUP(A146,'Données projet'!$A$243:$I$263,7,0)),0%,VLOOKUP(A146,'Données projet'!$A$243:$I$263,7,0))</f>
        <v>0</v>
      </c>
      <c r="GL146" s="142">
        <f>EXP(-LN(2)/35)*GL145+(1-EXP(-LN(2)/35))/(LN(2)/35)*GH146*GI146*VLOOKUP('Données projet'!$B$17,'Paramètres'!$A$1:$I$89,3,0)*0.475*44/12</f>
        <v>20.07207045</v>
      </c>
      <c r="GM146" s="142">
        <f>EXP(-LN(2)/25)*GM145+(1-EXP(-LN(2)/25))/(LN(2)/25)*Calculateur!GH146*Calculateur!GJ146*VLOOKUP('Données projet'!$B$17,'Paramètres'!$A$1:$I$89,3,0)*0.475*44/12</f>
        <v>0</v>
      </c>
      <c r="GN146" s="142">
        <f>EXP(-LN(2)/2)*GN145+(1-EXP(-LN(2)/2))/(LN(2)/2)*GH146*GK146*VLOOKUP('Données projet'!$B$17,'Paramètres'!$A$1:$I$89,3,0)*0.475*44/12</f>
        <v>0</v>
      </c>
      <c r="GO146" s="142">
        <f t="shared" si="28"/>
        <v>20.07207045</v>
      </c>
      <c r="GP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1" t="str">
        <f>VLOOKUP(A146,'Données projet'!$A$269:$I$289,2,0)</f>
        <v>#N/A</v>
      </c>
      <c r="GS146" s="131" t="str">
        <f>VLOOKUP(A146,'Données projet'!$A$269:$I$289,9,0)</f>
        <v>#N/A</v>
      </c>
      <c r="GT146" s="131" t="str">
        <f t="array" ref="GT146">INDEX(GS:GS,MIN(IF(ISNUMBER(GS146:GS342),ROW(GS146:GS342),"")))</f>
        <v/>
      </c>
      <c r="GU146" s="138">
        <f>IF('Données projet'!$A$270&gt;35,GU145+GT146-HC145,IF(A146&lt;'Données projet'!$A$270,$GR$205^A146,IF(A146='Données projet'!$A$270,'Données projet'!$B$270,GU145+GT146-HC145)))</f>
        <v>0</v>
      </c>
      <c r="GV146" s="138">
        <f>GU146*VLOOKUP('Données projet'!$B$18,'Paramètres'!$A$1:$I$89,3,0)*VLOOKUP('Données projet'!$B$18,'Paramètres'!$A$1:$I$89,5,0)</f>
        <v>0</v>
      </c>
      <c r="GW146" s="130" t="str">
        <f t="shared" si="52"/>
        <v>#NUM!</v>
      </c>
      <c r="GX146" s="141" t="str">
        <f t="shared" si="29"/>
        <v>#NUM!</v>
      </c>
      <c r="GY146" s="133" t="str">
        <f t="shared" si="30"/>
        <v>#NUM!</v>
      </c>
      <c r="GZ146" s="133">
        <f>AVERAGE(OFFSET($GY$3,0,0,'Données projet'!$E$18+1,1))-AVERAGE(OFFSET($H$3,0,0,'Données projet'!$E$18+1,1))</f>
        <v>100.5427875</v>
      </c>
      <c r="HA146" s="133">
        <f t="shared" si="53"/>
        <v>92.28663609</v>
      </c>
      <c r="HB146" s="134">
        <f>IF(ISNA(VLOOKUP(A146,'Données projet'!$A$269:$I$289,3,0)),0,VLOOKUP(A146,'Données projet'!$A$269:$I$289,3,0))</f>
        <v>0</v>
      </c>
      <c r="HC146" s="134">
        <f>IF(ISNA(VLOOKUP(A146,'Données projet'!$A$269:$I$289,4,0)),0,VLOOKUP(A146,'Données projet'!$A$269:$I$289,4,0))</f>
        <v>0</v>
      </c>
      <c r="HD146" s="135">
        <f>IF(ISNA(VLOOKUP(A146,'Données projet'!$A$269:$I$289,5,0)),0%,VLOOKUP(A146,'Données projet'!$A$269:$I$289,5,0)*VLOOKUP('Données projet'!$B$18,'Paramètres'!$A$1:$I$89,7,0))</f>
        <v>0</v>
      </c>
      <c r="HE146" s="135">
        <f>IF(ISNA(VLOOKUP(A146,'Données projet'!$A$269:$I$289,6,0)),0%,VLOOKUP(A146,'Données projet'!$A$269:$I$289,6,0)*VLOOKUP('Données projet'!$B$18,'Paramètres'!$A$1:$I$89,7,0))</f>
        <v>0</v>
      </c>
      <c r="HF146" s="135">
        <f>IF(ISNA(VLOOKUP(A146,'Données projet'!$A$269:$I$289,7,0)),0%,VLOOKUP(A146,'Données projet'!$A$269:$I$289,7,0))</f>
        <v>0</v>
      </c>
      <c r="HG146" s="142">
        <f>EXP(-LN(2)/35)*HG145+(1-EXP(-LN(2)/35))/(LN(2)/35)*HC146*HD146*VLOOKUP('Données projet'!$B$18,'Paramètres'!$A$1:$I$89,3,0)*0.475*44/12</f>
        <v>13.66865653</v>
      </c>
      <c r="HH146" s="142">
        <f>EXP(-LN(2)/25)*HH145+(1-EXP(-LN(2)/25))/(LN(2)/25)*Calculateur!HC146*Calculateur!HE146*VLOOKUP('Données projet'!$B$18,'Paramètres'!$A$1:$I$89,3,0)*0.475*44/12</f>
        <v>0</v>
      </c>
      <c r="HI146" s="142">
        <f>EXP(-LN(2)/2)*HI145+(1-EXP(-LN(2)/2))/(LN(2)/2)*HC146*HF146*VLOOKUP('Données projet'!$B$18,'Paramètres'!$A$1:$I$89,3,0)*0.475*44/12</f>
        <v>0</v>
      </c>
      <c r="HJ146" s="143">
        <f t="shared" si="31"/>
        <v>13.66865653</v>
      </c>
    </row>
    <row r="147" ht="15.75" customHeight="1">
      <c r="A147" s="125">
        <f t="shared" si="32"/>
        <v>144</v>
      </c>
      <c r="B147" s="126">
        <f>'Scénario référence'!$B$16*5+'Scénario référence'!$B$17*0+'Scénario référence'!$B$18*5</f>
        <v>0</v>
      </c>
      <c r="C147" s="140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78.624</v>
      </c>
      <c r="D147" s="127">
        <f t="shared" si="33"/>
        <v>21.80040601</v>
      </c>
      <c r="E14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7">
        <f>IF(OR('Scénario référence'!$F$8&gt;0,'Scénario référence'!$F$9&gt;0),('Scénario référence'!$F$8+'Scénario référence'!$F$9)*10,0)</f>
        <v>10</v>
      </c>
      <c r="G147" s="127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</v>
      </c>
      <c r="H147" s="128">
        <f t="shared" si="1"/>
        <v>468.2391738</v>
      </c>
      <c r="I147" s="12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1" t="str">
        <f>VLOOKUP(A147,'Données projet'!$A$35:$I$55,2,0)</f>
        <v>#N/A</v>
      </c>
      <c r="L147" s="131" t="str">
        <f>VLOOKUP(A147,'Données projet'!$A$35:$I$55,9,0)</f>
        <v>#N/A</v>
      </c>
      <c r="M147" s="131" t="str">
        <f t="array" ref="M147">INDEX(L:L,MIN(IF(ISNUMBER(L147:L343),ROW(L147:L343),"")))</f>
        <v/>
      </c>
      <c r="N147" s="130">
        <f>IF('Données projet'!$A$36&gt;35,N146+M147-V146,IF(A147&lt;'Données projet'!$A$36,$K$205^A147,IF(A147='Données projet'!$A$36,'Données projet'!$B$36,N146+M147-V146)))</f>
        <v>0</v>
      </c>
      <c r="O147" s="130">
        <f>N147*VLOOKUP('Données projet'!$B$9,'Paramètres'!$A$1:$I$89,3,0)*VLOOKUP('Données projet'!$B$9,'Paramètres'!$A$1:$I$89,5,0)</f>
        <v>0</v>
      </c>
      <c r="P147" s="130">
        <f t="shared" si="34"/>
        <v>0</v>
      </c>
      <c r="Q147" s="141">
        <f t="shared" si="2"/>
        <v>0</v>
      </c>
      <c r="R147" s="133">
        <f t="shared" si="3"/>
        <v>293.3333333</v>
      </c>
      <c r="S147" s="133">
        <f>AVERAGE(OFFSET($R$3,0,0,'Données projet'!$E$9+1,1))-AVERAGE(OFFSET($H$3,0,0,'Données projet'!$E$9+1,1))</f>
        <v>126.9946492</v>
      </c>
      <c r="T147" s="133">
        <f t="shared" si="35"/>
        <v>140.039049</v>
      </c>
      <c r="U147" s="134">
        <f>IF(ISNA(VLOOKUP(A147,'Données projet'!$A$35:$I$55,3,0)),0,VLOOKUP(A147,'Données projet'!$A$35:$I$55,3,0))</f>
        <v>0</v>
      </c>
      <c r="V147" s="134">
        <f>IF(ISNA(VLOOKUP(A147,'Données projet'!$A$35:$I$55,4,0)),0,VLOOKUP(A147,'Données projet'!$A$35:$I$55,4,0))</f>
        <v>0</v>
      </c>
      <c r="W147" s="135">
        <f>IF(ISNA(VLOOKUP(A147,'Données projet'!$A$35:$I$55,5,0)),0%,VLOOKUP(A147,'Données projet'!$A$35:$I$55,5,0)*VLOOKUP('Données projet'!$B$9,'Paramètres'!$A$1:$I$89,7,0))</f>
        <v>0</v>
      </c>
      <c r="X147" s="135">
        <f>IF(ISNA(VLOOKUP(A147,'Données projet'!$A$35:$I$55,6,0)),0%,VLOOKUP(A147,'Données projet'!$A$35:$I$55,6,0)*VLOOKUP('Données projet'!$B$9,'Paramètres'!$A$1:$I$89,7,0))</f>
        <v>0</v>
      </c>
      <c r="Y147" s="135">
        <f>IF(ISNA(VLOOKUP(A147,'Données projet'!$A$35:$I$55,7,0)),0%,VLOOKUP(A147,'Données projet'!$A$35:$I$55,7,0))</f>
        <v>0</v>
      </c>
      <c r="Z147" s="142">
        <f>EXP(-LN(2)/35)*Z146+(1-EXP(-LN(2)/35))/(LN(2)/35)*V147*W147*VLOOKUP('Données projet'!$B$9,'Paramètres'!$A$1:$I$89,3,0)*0.475*44/12</f>
        <v>20.12669369</v>
      </c>
      <c r="AA147" s="142">
        <f>EXP(-LN(2)/25)*AA146+(1-EXP(-LN(2)/25))/(LN(2)/25)*Calculateur!V147*Calculateur!X147*VLOOKUP('Données projet'!$B$9,'Paramètres'!$A$1:$I$89,3,0)*0.475*44/12</f>
        <v>2.263341366</v>
      </c>
      <c r="AB147" s="142">
        <f>EXP(-LN(2)/2)*AB146+(1-EXP(-LN(2)/2))/(LN(2)/2)*V147*Y147*VLOOKUP('Données projet'!$B$9,'Paramètres'!$A$1:$I$89,3,0)*0.475*44/12</f>
        <v>0</v>
      </c>
      <c r="AC147" s="143">
        <f t="shared" si="4"/>
        <v>22.39003506</v>
      </c>
      <c r="AD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1" t="str">
        <f>VLOOKUP(A147,'Données projet'!$A$61:$I$81,2,0)</f>
        <v>#N/A</v>
      </c>
      <c r="AG147" s="131" t="str">
        <f>VLOOKUP(A147,'Données projet'!$A$61:$I$81,9,0)</f>
        <v>#N/A</v>
      </c>
      <c r="AH147" s="131" t="str">
        <f t="array" ref="AH147">INDEX(AG:AG,MIN(IF(ISNUMBER(AG147:AG343),ROW(AG147:AG343),"")))</f>
        <v/>
      </c>
      <c r="AI147" s="130">
        <f>IF('Données projet'!$A$62&gt;35,AI146+AH147-AQ146,IF(A147&lt;'Données projet'!$A$62,$AF$205^A147,IF(A147='Données projet'!$A$62,'Données projet'!$B$62,AI146+AH147-AQ146)))</f>
        <v>0</v>
      </c>
      <c r="AJ147" s="130">
        <f>AI147*VLOOKUP('Données projet'!$B$10,'Paramètres'!$A$1:$I$89,3,0)*VLOOKUP('Données projet'!$B$10,'Paramètres'!$A$1:$I$89,5,0)</f>
        <v>0</v>
      </c>
      <c r="AK147" s="130" t="str">
        <f t="shared" si="36"/>
        <v>#NUM!</v>
      </c>
      <c r="AL147" s="141" t="str">
        <f t="shared" si="5"/>
        <v>#NUM!</v>
      </c>
      <c r="AM147" s="133" t="str">
        <f t="shared" si="6"/>
        <v>#NUM!</v>
      </c>
      <c r="AN147" s="133">
        <f>AVERAGE(OFFSET($AM$3,0,0,'Données projet'!$E$10+1,1))-AVERAGE(OFFSET($H$3,0,0,'Données projet'!$E$10+1,1))</f>
        <v>196.874484</v>
      </c>
      <c r="AO147" s="133">
        <f t="shared" si="37"/>
        <v>217.5750859</v>
      </c>
      <c r="AP147" s="134">
        <f>IF(ISNA(VLOOKUP(A147,'Données projet'!$A$61:$I$81,3,0)),0,VLOOKUP(A147,'Données projet'!$A$61:$I$81,3,0))</f>
        <v>0</v>
      </c>
      <c r="AQ147" s="134">
        <f>IF(ISNA(VLOOKUP(A147,'Données projet'!$A$61:$I$81,4,0)),0,VLOOKUP(A147,'Données projet'!$A$61:$I$81,4,0))</f>
        <v>0</v>
      </c>
      <c r="AR147" s="135">
        <f>IF(ISNA(VLOOKUP(A147,'Données projet'!$A$61:$I$81,5,0)),0%,VLOOKUP(A147,'Données projet'!$A$61:$I$81,5,0)*VLOOKUP('Données projet'!$B$10,'Paramètres'!$A$1:$I$89,7,0))</f>
        <v>0</v>
      </c>
      <c r="AS147" s="135">
        <f>IF(ISNA(VLOOKUP(A147,'Données projet'!$A$61:$I$81,6,0)),0%,VLOOKUP(A147,'Données projet'!$A$61:$I$81,6,0)*VLOOKUP('Données projet'!$B$10,'Paramètres'!$A$1:$I$89,7,0))</f>
        <v>0</v>
      </c>
      <c r="AT147" s="135">
        <f>IF(ISNA(VLOOKUP(A147,'Données projet'!$A$61:$I$81,7,0)),0%,VLOOKUP(A147,'Données projet'!$A$61:$I$81,7,0))</f>
        <v>0</v>
      </c>
      <c r="AU147" s="142">
        <f>EXP(-LN(2)/35)*AU146+(1-EXP(-LN(2)/35))/(LN(2)/35)*AQ147*AR147*VLOOKUP('Données projet'!$B$10,'Paramètres'!$A$1:$I$89,3,0)*0.475*44/12</f>
        <v>27.97553256</v>
      </c>
      <c r="AV147" s="142">
        <f>EXP(-LN(2)/25)*AV146+(1-EXP(-LN(2)/25))/(LN(2)/25)*Calculateur!AQ147*Calculateur!AS147*VLOOKUP('Données projet'!$B$10,'Paramètres'!$A$1:$I$89,3,0)*0.475*44/12</f>
        <v>3.479890374</v>
      </c>
      <c r="AW147" s="142">
        <f>EXP(-LN(2)/2)*AW146+(1-EXP(-LN(2)/2))/(LN(2)/2)*AQ147*AT147*VLOOKUP('Données projet'!$B$10,'Paramètres'!$A$1:$I$89,3,0)*0.475*44/12</f>
        <v>0</v>
      </c>
      <c r="AX147" s="142">
        <f t="shared" si="7"/>
        <v>31.45542293</v>
      </c>
      <c r="AY147" s="13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1" t="str">
        <f>VLOOKUP(A147,'Données projet'!$A$87:$I$107,2,0)</f>
        <v>#N/A</v>
      </c>
      <c r="BB147" s="131" t="str">
        <f>VLOOKUP(A147,'Données projet'!$A$87:$I$107,9,0)</f>
        <v>#N/A</v>
      </c>
      <c r="BC147" s="131" t="str">
        <f t="array" ref="BC147">INDEX(BB:BB,MIN(IF(ISNUMBER(BB147:BB343),ROW(BB147:BB343),"")))</f>
        <v/>
      </c>
      <c r="BD147" s="130">
        <f>IF('Données projet'!$A$88&gt;35,BD146+BC147-BL146,IF(A147&lt;'Données projet'!$A$88,$BA$205^A147,IF(A147='Données projet'!$A$88,'Données projet'!$B$88,BD146+BC147-BL146)))</f>
        <v>0</v>
      </c>
      <c r="BE147" s="130">
        <f>BD147*VLOOKUP('Données projet'!$B$11,'Paramètres'!$A$1:$I$89,3,0)*VLOOKUP('Données projet'!$B$11,'Paramètres'!$A$1:$I$89,5,0)</f>
        <v>0</v>
      </c>
      <c r="BF147" s="130" t="str">
        <f t="shared" si="38"/>
        <v>#NUM!</v>
      </c>
      <c r="BG147" s="141" t="str">
        <f t="shared" si="8"/>
        <v>#NUM!</v>
      </c>
      <c r="BH147" s="133" t="str">
        <f t="shared" si="9"/>
        <v>#NUM!</v>
      </c>
      <c r="BI147" s="133">
        <f>AVERAGE(OFFSET($BH$3,0,0,'Données projet'!$E$11+1,1))-AVERAGE(OFFSET($H$3,0,0,'Données projet'!$E$11+1,1))</f>
        <v>134.0948534</v>
      </c>
      <c r="BJ147" s="133">
        <f t="shared" si="39"/>
        <v>108.4102536</v>
      </c>
      <c r="BK147" s="134">
        <f>IF(ISNA(VLOOKUP(A147,'Données projet'!$A$87:$I$107,3,0)),0,VLOOKUP(A147,'Données projet'!$A$87:$I$107,3,0))</f>
        <v>0</v>
      </c>
      <c r="BL147" s="134">
        <f>IF(ISNA(VLOOKUP(A147,'Données projet'!$A$87:$I$107,4,0)),0,VLOOKUP(A147,'Données projet'!$A$87:$I$107,4,0))</f>
        <v>0</v>
      </c>
      <c r="BM147" s="135">
        <f>IF(ISNA(VLOOKUP(A147,'Données projet'!$A$87:$I$107,5,0)),0%,VLOOKUP(A147,'Données projet'!$A$87:$I$107,5,0)*VLOOKUP('Données projet'!$B$11,'Paramètres'!$A$1:$I$89,7,0))</f>
        <v>0</v>
      </c>
      <c r="BN147" s="135">
        <f>IF(ISNA(VLOOKUP(A147,'Données projet'!$A$87:$I$107,6,0)),0%,VLOOKUP(A147,'Données projet'!$A$87:$I$107,6,0)*VLOOKUP('Données projet'!$B$11,'Paramètres'!$A$1:$I$89,7,0))</f>
        <v>0</v>
      </c>
      <c r="BO147" s="135">
        <f>IF(ISNA(VLOOKUP(A147,'Données projet'!$A$87:$I$107,7,0)),0%,VLOOKUP(A147,'Données projet'!$A$87:$I$107,7,0))</f>
        <v>0</v>
      </c>
      <c r="BP147" s="142">
        <f>EXP(-LN(2)/35)*BP146+(1-EXP(-LN(2)/35))/(LN(2)/35)*BL147*BM147*VLOOKUP('Données projet'!$B$11,'Paramètres'!$A$1:$I$89,3,0)*0.475*44/12</f>
        <v>38.69538619</v>
      </c>
      <c r="BQ147" s="142">
        <f>EXP(-LN(2)/25)*BQ146+(1-EXP(-LN(2)/25))/(LN(2)/25)*Calculateur!BL147*Calculateur!BN147*VLOOKUP('Données projet'!$B$11,'Paramètres'!$A$1:$I$89,3,0)*0.475*44/12</f>
        <v>2.195117836</v>
      </c>
      <c r="BR147" s="142">
        <f>EXP(-LN(2)/2)*BR146+(1-EXP(-LN(2)/2))/(LN(2)/2)*BL147*BO147*VLOOKUP('Données projet'!$B$11,'Paramètres'!$A$1:$I$89,3,0)*0.475*44/12</f>
        <v>0</v>
      </c>
      <c r="BS147" s="143">
        <f t="shared" si="10"/>
        <v>40.89050403</v>
      </c>
      <c r="BT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1" t="str">
        <f>VLOOKUP(A147,'Données projet'!$A$113:$I$133,2,0)</f>
        <v>#N/A</v>
      </c>
      <c r="BW147" s="131" t="str">
        <f>VLOOKUP(A147,'Données projet'!$A$113:$I$133,9,0)</f>
        <v>#N/A</v>
      </c>
      <c r="BX147" s="131" t="str">
        <f t="array" ref="BX147">INDEX(BW:BW,MIN(IF(ISNUMBER(BW147:BW343),ROW(BW147:BW343),"")))</f>
        <v/>
      </c>
      <c r="BY147" s="130">
        <f>IF('Données projet'!$A$114&gt;35,BY146+BX147-CG146,IF(A147&lt;'Données projet'!$A$114,$BV$205^A147,IF(A147='Données projet'!$A$114,'Données projet'!$B$114,BY146+BX147-CG146)))</f>
        <v>0</v>
      </c>
      <c r="BZ147" s="130">
        <f>BY147*VLOOKUP('Données projet'!$B$12,'Paramètres'!$A$1:$I$89,3,0)*VLOOKUP('Données projet'!$B$12,'Paramètres'!$A$1:$I$89,5,0)</f>
        <v>0</v>
      </c>
      <c r="CA147" s="130" t="str">
        <f t="shared" si="40"/>
        <v>#NUM!</v>
      </c>
      <c r="CB147" s="141" t="str">
        <f t="shared" si="11"/>
        <v>#NUM!</v>
      </c>
      <c r="CC147" s="133" t="str">
        <f t="shared" si="12"/>
        <v>#NUM!</v>
      </c>
      <c r="CD147" s="133">
        <f>AVERAGE(OFFSET($CC$3,0,0,'Données projet'!$E$12+1,1))-AVERAGE(OFFSET($H$3,0,0,'Données projet'!$E$12+1,1))</f>
        <v>258.1672054</v>
      </c>
      <c r="CE147" s="133">
        <f t="shared" si="41"/>
        <v>296.0724261</v>
      </c>
      <c r="CF147" s="134">
        <f>IF(ISNA(VLOOKUP(A147,'Données projet'!$A$113:$I$133,3,0)),0,VLOOKUP(A147,'Données projet'!$A$113:$I$133,3,0))</f>
        <v>0</v>
      </c>
      <c r="CG147" s="134">
        <f>IF(ISNA(VLOOKUP(A147,'Données projet'!$A$113:$I$133,4,0)),0,VLOOKUP(A147,'Données projet'!$A$113:$I$133,4,0))</f>
        <v>0</v>
      </c>
      <c r="CH147" s="135">
        <f>IF(ISNA(VLOOKUP(A147,'Données projet'!$A$113:$I$133,5,0)),0%,VLOOKUP(A147,'Données projet'!$A$113:$I$133,5,0)*VLOOKUP('Données projet'!$B$12,'Paramètres'!$A$1:$I$89,7,0))</f>
        <v>0</v>
      </c>
      <c r="CI147" s="135">
        <f>IF(ISNA(VLOOKUP(A147,'Données projet'!$A$113:$I$133,6,0)),0%,VLOOKUP(A147,'Données projet'!$A$113:$I$133,6,0)*VLOOKUP('Données projet'!$B$12,'Paramètres'!$A$1:$I$89,7,0))</f>
        <v>0</v>
      </c>
      <c r="CJ147" s="135">
        <f>IF(ISNA(VLOOKUP(A147,'Données projet'!$A$113:$I$133,7,0)),0%,VLOOKUP(A147,'Données projet'!$A$113:$I$133,7,0))</f>
        <v>0</v>
      </c>
      <c r="CK147" s="142">
        <f>EXP(-LN(2)/35)*CK146+(1-EXP(-LN(2)/35))/(LN(2)/35)*CG147*CH147*VLOOKUP('Données projet'!$B$12,'Paramètres'!$A$1:$I$89,3,0)*0.475*44/12</f>
        <v>48.92280555</v>
      </c>
      <c r="CL147" s="142">
        <f>EXP(-LN(2)/25)*CL146+(1-EXP(-LN(2)/25))/(LN(2)/25)*Calculateur!CG147*Calculateur!CI147*VLOOKUP('Données projet'!$B$12,'Paramètres'!$A$1:$I$89,3,0)*0.475*44/12</f>
        <v>3.850361294</v>
      </c>
      <c r="CM147" s="142">
        <f>EXP(-LN(2)/2)*CM146+(1-EXP(-LN(2)/2))/(LN(2)/2)*CG147*CJ147*VLOOKUP('Données projet'!$B$12,'Paramètres'!$A$1:$I$89,3,0)*0.475*44/12</f>
        <v>0</v>
      </c>
      <c r="CN147" s="143">
        <f t="shared" si="13"/>
        <v>52.77316684</v>
      </c>
      <c r="CO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1" t="str">
        <f>VLOOKUP(A147,'Données projet'!$A$139:$I$159,2,0)</f>
        <v>#N/A</v>
      </c>
      <c r="CR147" s="131" t="str">
        <f>VLOOKUP(A147,'Données projet'!$A$139:$I$159,9,0)</f>
        <v>#N/A</v>
      </c>
      <c r="CS147" s="130">
        <f t="array" ref="CS147">INDEX(CR:CR,MIN(IF(ISNUMBER(CR147:CR343),ROW(CR147:CR343),"")))</f>
        <v>0.7</v>
      </c>
      <c r="CT147" s="138">
        <f>IF('Données projet'!$A$140&gt;35,CT146+CS147-DB146,IF(A147&lt;'Données projet'!$A$140,$CQ$205^A147,IF(A147='Données projet'!$A$140,'Données projet'!$B$140,CT146+CS147-DB146)))</f>
        <v>212.8</v>
      </c>
      <c r="CU147" s="138">
        <f>CT147*VLOOKUP('Données projet'!$B$13,'Paramètres'!$A$1:$I$89,3,0)*VLOOKUP('Données projet'!$B$13,'Paramètres'!$A$1:$I$89,5,0)</f>
        <v>215.7792</v>
      </c>
      <c r="CV147" s="130">
        <f t="shared" si="42"/>
        <v>53.19648398</v>
      </c>
      <c r="CW147" s="141">
        <f t="shared" si="14"/>
        <v>468.4659829</v>
      </c>
      <c r="CX147" s="133">
        <f t="shared" si="15"/>
        <v>761.7993163</v>
      </c>
      <c r="CY147" s="133">
        <f>AVERAGE(OFFSET($CX$3,0,0,'Données projet'!$E$13+1,1))-AVERAGE(OFFSET($H$3,0,0,'Données projet'!$E$13+1,1))</f>
        <v>223.783507</v>
      </c>
      <c r="CZ147" s="133">
        <f t="shared" si="43"/>
        <v>84.92349117</v>
      </c>
      <c r="DA147" s="134">
        <f>IF(ISNA(VLOOKUP(A147,'Données projet'!$A$139:$I$159,3,0)),0,VLOOKUP(A147,'Données projet'!$A$139:$I$159,3,0))</f>
        <v>0</v>
      </c>
      <c r="DB147" s="134">
        <f>IF(ISNA(VLOOKUP(A147,'Données projet'!$A$139:$I$159,4,0)),0,VLOOKUP(A147,'Données projet'!$A$139:$I$159,4,0))</f>
        <v>0</v>
      </c>
      <c r="DC147" s="135">
        <f>IF(ISNA(VLOOKUP(A147,'Données projet'!$A$139:$I$159,5,0)),0%,VLOOKUP(A147,'Données projet'!$A$139:$I$159,5,0)*VLOOKUP('Données projet'!$B$13,'Paramètres'!$A$1:$I$89,7,0))</f>
        <v>0</v>
      </c>
      <c r="DD147" s="135">
        <f>IF(ISNA(VLOOKUP(A147,'Données projet'!$A$139:$I$159,6,0)),0%,VLOOKUP(A147,'Données projet'!$A$139:$I$159,6,0)*VLOOKUP('Données projet'!$B$13,'Paramètres'!$A$1:$I$89,7,0))</f>
        <v>0</v>
      </c>
      <c r="DE147" s="135">
        <f>IF(ISNA(VLOOKUP(A147,'Données projet'!$A$139:$I$159,7,0)),0%,VLOOKUP(A147,'Données projet'!$A$139:$I$159,7,0))</f>
        <v>0</v>
      </c>
      <c r="DF147" s="142">
        <f>EXP(-LN(2)/35)*DF146+(1-EXP(-LN(2)/35))/(LN(2)/35)*DB147*DC147*VLOOKUP('Données projet'!$B$13,'Paramètres'!$A$1:$I$89,3,0)*0.475*44/12</f>
        <v>19.63952625</v>
      </c>
      <c r="DG147" s="142">
        <f>EXP(-LN(2)/25)*DG146+(1-EXP(-LN(2)/25))/(LN(2)/25)*Calculateur!DB147*Calculateur!DD147*VLOOKUP('Données projet'!$B$13,'Paramètres'!$A$1:$I$89,3,0)*0.475*44/12</f>
        <v>0</v>
      </c>
      <c r="DH147" s="142">
        <f>EXP(-LN(2)/2)*DH146+(1-EXP(-LN(2)/2))/(LN(2)/2)*DB147*DE147*VLOOKUP('Données projet'!$B$13,'Paramètres'!$A$1:$I$89,3,0)*0.475*44/12</f>
        <v>0</v>
      </c>
      <c r="DI147" s="143">
        <f t="shared" si="16"/>
        <v>19.63952625</v>
      </c>
      <c r="DJ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1" t="str">
        <f>VLOOKUP(A147,'Données projet'!$A$165:$I$185,2,0)</f>
        <v>#N/A</v>
      </c>
      <c r="DM147" s="131" t="str">
        <f>VLOOKUP(A147,'Données projet'!$A$165:$I$185,9,0)</f>
        <v>#N/A</v>
      </c>
      <c r="DN147" s="131">
        <f t="array" ref="DN147">INDEX(DM:DM,MIN(IF(ISNUMBER(DM147:DM343),ROW(DM147:DM343),"")))</f>
        <v>0.55</v>
      </c>
      <c r="DO147" s="138">
        <f>IF('Données projet'!$A$166&gt;35,DO146+DN147-DW146,IF(A147&lt;'Données projet'!$A$166,$DL$205^A147,IF(A147='Données projet'!$A$166,'Données projet'!$B$166,DO146+DN147-DW146)))</f>
        <v>276.7</v>
      </c>
      <c r="DP147" s="138">
        <f>DO147*VLOOKUP('Données projet'!$B$14,'Paramètres'!$A$1:$I$89,3,0)*VLOOKUP('Données projet'!$B$14,'Paramètres'!$A$1:$I$89,5,0)</f>
        <v>250.35816</v>
      </c>
      <c r="DQ147" s="130">
        <f t="shared" si="44"/>
        <v>60.66262903</v>
      </c>
      <c r="DR147" s="141">
        <f t="shared" si="17"/>
        <v>541.6945409</v>
      </c>
      <c r="DS147" s="133">
        <f t="shared" si="18"/>
        <v>835.0278742</v>
      </c>
      <c r="DT147" s="133">
        <f>AVERAGE(OFFSET($DS$3,0,0,'Données projet'!$E$14+1,1))-AVERAGE(OFFSET($H$3,0,0,'Données projet'!$E$14+1,1))</f>
        <v>287.9334714</v>
      </c>
      <c r="DU147" s="133">
        <f t="shared" si="45"/>
        <v>156.6796502</v>
      </c>
      <c r="DV147" s="134">
        <f>IF(ISNA(VLOOKUP(A147,'Données projet'!$A$165:$I$185,3,0)),0,VLOOKUP(A147,'Données projet'!$A$165:$I$185,3,0))</f>
        <v>0</v>
      </c>
      <c r="DW147" s="134">
        <f>IF(ISNA(VLOOKUP(A147,'Données projet'!$A$165:$I$185,4,0)),0,VLOOKUP(A147,'Données projet'!$A$165:$I$185,4,0))</f>
        <v>0</v>
      </c>
      <c r="DX147" s="135">
        <f>IF(ISNA(VLOOKUP(A147,'Données projet'!$A$165:$I$185,5,0)),0%,VLOOKUP(A147,'Données projet'!$A$165:$I$185,5,0)*VLOOKUP('Données projet'!$B$14,'Paramètres'!$A$1:$I$89,7,0))</f>
        <v>0</v>
      </c>
      <c r="DY147" s="135">
        <f>IF(ISNA(VLOOKUP(A147,'Données projet'!$A$165:$I$185,6,0)),0%,VLOOKUP(A147,'Données projet'!$A$165:$I$185,6,0)*VLOOKUP('Données projet'!$B$14,'Paramètres'!$A$1:$I$89,7,0))</f>
        <v>0</v>
      </c>
      <c r="DZ147" s="135">
        <f>IF(ISNA(VLOOKUP(A147,'Données projet'!$A$165:$I$185,7,0)),0%,VLOOKUP(A147,'Données projet'!$A$165:$I$185,7,0))</f>
        <v>0</v>
      </c>
      <c r="EA147" s="142">
        <f>EXP(-LN(2)/35)*EA146+(1-EXP(-LN(2)/35))/(LN(2)/35)*DW147*DX147*VLOOKUP('Données projet'!$B$14,'Paramètres'!$A$1:$I$89,3,0)*0.475*44/12</f>
        <v>23.91305198</v>
      </c>
      <c r="EB147" s="142">
        <f>EXP(-LN(2)/25)*EB146+(1-EXP(-LN(2)/25))/(LN(2)/25)*Calculateur!DW147*Calculateur!DY147*VLOOKUP('Données projet'!$B$14,'Paramètres'!$A$1:$I$89,3,0)*0.475*44/12</f>
        <v>0</v>
      </c>
      <c r="EC147" s="142">
        <f>EXP(-LN(2)/2)*EC146+(1-EXP(-LN(2)/2))/(LN(2)/2)*DW147*DZ147*VLOOKUP('Données projet'!$B$14,'Paramètres'!$A$1:$I$89,3,0)*0.475*44/12</f>
        <v>0</v>
      </c>
      <c r="ED147" s="143">
        <f t="shared" si="19"/>
        <v>23.91305198</v>
      </c>
      <c r="EE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1" t="str">
        <f>VLOOKUP(A147,'Données projet'!$A$191:$I$211,2,0)</f>
        <v>#N/A</v>
      </c>
      <c r="EH147" s="131" t="str">
        <f>VLOOKUP(A147,'Données projet'!$A$191:$I$211,9,0)</f>
        <v>#N/A</v>
      </c>
      <c r="EI147" s="131" t="str">
        <f t="array" ref="EI147">INDEX(EH:EH,MIN(IF(ISNUMBER(EH147:EH343),ROW(EH147:EH343),"")))</f>
        <v/>
      </c>
      <c r="EJ147" s="138">
        <f>IF('Données projet'!$A$192&gt;35,EJ146+EI147-ER146,IF(A147&lt;'Données projet'!$A$192,$EG$205^A147,IF(A147='Données projet'!$A$192,'Données projet'!$B$192,EJ146+EI147-ER146)))</f>
        <v>0</v>
      </c>
      <c r="EK147" s="138">
        <f>EJ147*VLOOKUP('Données projet'!$B$15,'Paramètres'!$A$1:$I$89,3,0)*VLOOKUP('Données projet'!$B$15,'Paramètres'!$A$1:$I$89,5,0)</f>
        <v>0</v>
      </c>
      <c r="EL147" s="130" t="str">
        <f t="shared" si="46"/>
        <v>#NUM!</v>
      </c>
      <c r="EM147" s="141" t="str">
        <f t="shared" si="20"/>
        <v>#NUM!</v>
      </c>
      <c r="EN147" s="133" t="str">
        <f t="shared" si="21"/>
        <v>#NUM!</v>
      </c>
      <c r="EO147" s="133">
        <f>AVERAGE(OFFSET($EN$3,0,0,'Données projet'!$E$15+1,1))-AVERAGE(OFFSET($H$3,0,0,'Données projet'!$E$15+1,1))</f>
        <v>130.3193339</v>
      </c>
      <c r="EP147" s="133">
        <f t="shared" si="47"/>
        <v>82.22784365</v>
      </c>
      <c r="EQ147" s="134">
        <f>IF(ISNA(VLOOKUP(A147,'Données projet'!$A$191:$I$211,3,0)),0,VLOOKUP(A147,'Données projet'!$A$191:$I$211,3,0))</f>
        <v>0</v>
      </c>
      <c r="ER147" s="134">
        <f>IF(ISNA(VLOOKUP(A147,'Données projet'!$A$191:$I$211,4,0)),0,VLOOKUP(A147,'Données projet'!$A$191:$I$211,4,0))</f>
        <v>0</v>
      </c>
      <c r="ES147" s="135">
        <f>IF(ISNA(VLOOKUP(A147,'Données projet'!$A$191:$I$211,5,0)),0%,VLOOKUP(A147,'Données projet'!$A$191:$I$211,5,0)*VLOOKUP('Données projet'!$B$15,'Paramètres'!$A$1:$I$89,7,0))</f>
        <v>0</v>
      </c>
      <c r="ET147" s="135">
        <f>IF(ISNA(VLOOKUP(A147,'Données projet'!$A$191:$I$211,6,0)),0%,VLOOKUP(A147,'Données projet'!$A$191:$I$211,6,0)*VLOOKUP('Données projet'!$B$15,'Paramètres'!$A$1:$I$89,7,0))</f>
        <v>0</v>
      </c>
      <c r="EU147" s="135">
        <f>IF(ISNA(VLOOKUP(A147,'Données projet'!$A$191:$I$211,7,0)),0%,VLOOKUP(A147,'Données projet'!$A$191:$I$211,7,0))</f>
        <v>0</v>
      </c>
      <c r="EV147" s="142">
        <f>EXP(-LN(2)/35)*EV146+(1-EXP(-LN(2)/35))/(LN(2)/35)*ER147*ES147*VLOOKUP('Données projet'!$B$15,'Paramètres'!$A$1:$I$89,3,0)*0.475*44/12</f>
        <v>29.91528351</v>
      </c>
      <c r="EW147" s="142">
        <f>EXP(-LN(2)/25)*EW146+(1-EXP(-LN(2)/25))/(LN(2)/25)*Calculateur!ER147*Calculateur!ET147*VLOOKUP('Données projet'!$B$15,'Paramètres'!$A$1:$I$89,3,0)*0.475*44/12</f>
        <v>0</v>
      </c>
      <c r="EX147" s="142">
        <f>EXP(-LN(2)/2)*EX146+(1-EXP(-LN(2)/2))/(LN(2)/2)*ER147*EU147*VLOOKUP('Données projet'!$B$15,'Paramètres'!$A$1:$I$89,3,0)*0.475*44/12</f>
        <v>0</v>
      </c>
      <c r="EY147" s="143">
        <f t="shared" si="22"/>
        <v>29.91528351</v>
      </c>
      <c r="EZ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1" t="str">
        <f>VLOOKUP(A147,'Données projet'!$A$217:$I$237,2,0)</f>
        <v>#N/A</v>
      </c>
      <c r="FC147" s="131" t="str">
        <f>VLOOKUP(A147,'Données projet'!$A$217:$I$237,9,0)</f>
        <v>#N/A</v>
      </c>
      <c r="FD147" s="131" t="str">
        <f t="array" ref="FD147">INDEX(FC:FC,MIN(IF(ISNUMBER(FC147:FC343),ROW(FC147:FC343),"")))</f>
        <v/>
      </c>
      <c r="FE147" s="130">
        <f>IF('Données projet'!$A$218&gt;35,FE146+FD147-FM146,IF(A147&lt;'Données projet'!$A$218,$FB$205^A147,IF(A147='Données projet'!$A$218,'Données projet'!$B$218,FE146+FD147-FM146)))</f>
        <v>0</v>
      </c>
      <c r="FF147" s="138">
        <f>FE147*VLOOKUP('Données projet'!$B$16,'Paramètres'!$A$1:$I$89,3,0)*VLOOKUP('Données projet'!$B$16,'Paramètres'!$A$1:$I$89,5,0)</f>
        <v>0</v>
      </c>
      <c r="FG147" s="130">
        <f t="shared" si="48"/>
        <v>0</v>
      </c>
      <c r="FH147" s="141">
        <f t="shared" si="23"/>
        <v>0</v>
      </c>
      <c r="FI147" s="133">
        <f t="shared" si="24"/>
        <v>293.3333333</v>
      </c>
      <c r="FJ147" s="133">
        <f>AVERAGE(OFFSET($FI$3,0,0,'Données projet'!$E$16+1,1))-AVERAGE(OFFSET($H$3,0,0,'Données projet'!$E$16+1,1))</f>
        <v>305.6252353</v>
      </c>
      <c r="FK147" s="133">
        <f t="shared" si="49"/>
        <v>331.397916</v>
      </c>
      <c r="FL147" s="134">
        <f>IF(ISNA(VLOOKUP(A147,'Données projet'!$A$217:$I$237,3,0)),0,VLOOKUP(A147,'Données projet'!$A$217:$I$237,3,0))</f>
        <v>0</v>
      </c>
      <c r="FM147" s="134">
        <f>IF(ISNA(VLOOKUP(A147,'Données projet'!$A$217:$I$237,4,0)),0,VLOOKUP(A147,'Données projet'!$A$217:$I$237,4,0))</f>
        <v>0</v>
      </c>
      <c r="FN147" s="135">
        <f>IF(ISNA(VLOOKUP(A147,'Données projet'!$A$217:$I$237,5,0)),0%,VLOOKUP(A147,'Données projet'!$A$217:$I$237,5,0)*VLOOKUP('Données projet'!$B$16,'Paramètres'!$A$1:$I$89,7,0))</f>
        <v>0</v>
      </c>
      <c r="FO147" s="135">
        <f>IF(ISNA(VLOOKUP(A147,'Données projet'!$A$217:$I$237,6,0)),0%,VLOOKUP(A147,'Données projet'!$A$217:$I$237,6,0)*VLOOKUP('Données projet'!$B$16,'Paramètres'!$A$1:$I$89,7,0))</f>
        <v>0</v>
      </c>
      <c r="FP147" s="135">
        <f>IF(ISNA(VLOOKUP(A147,'Données projet'!$A$217:$I$237,7,0)),0%,VLOOKUP(A147,'Données projet'!$A$217:$I$237,7,0))</f>
        <v>0</v>
      </c>
      <c r="FQ147" s="142">
        <f>EXP(-LN(2)/35)*FQ146+(1-EXP(-LN(2)/35))/(LN(2)/35)*FM147*FN147*VLOOKUP('Données projet'!$B$16,'Paramètres'!$A$1:$I$89,3,0)*0.475*44/12</f>
        <v>18.62614954</v>
      </c>
      <c r="FR147" s="142">
        <f>EXP(-LN(2)/25)*FR146+(1-EXP(-LN(2)/25))/(LN(2)/25)*Calculateur!FM147*Calculateur!FO147*VLOOKUP('Données projet'!$B$16,'Paramètres'!$A$1:$I$89,3,0)*0.475*44/12</f>
        <v>0</v>
      </c>
      <c r="FS147" s="142">
        <f>EXP(-LN(2)/2)*FS146+(1-EXP(-LN(2)/2))/(LN(2)/2)*FM147*FP147*VLOOKUP('Données projet'!$B$16,'Paramètres'!$A$1:$I$89,3,0)*0.475*44/12</f>
        <v>0</v>
      </c>
      <c r="FT147" s="143">
        <f t="shared" si="25"/>
        <v>18.62614954</v>
      </c>
      <c r="FU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1" t="str">
        <f>VLOOKUP(A147,'Données projet'!$A$243:$I$263,2,0)</f>
        <v>#N/A</v>
      </c>
      <c r="FX147" s="131" t="str">
        <f>VLOOKUP(A147,'Données projet'!$A$243:$I$263,9,0)</f>
        <v>#N/A</v>
      </c>
      <c r="FY147" s="131" t="str">
        <f t="array" ref="FY147">INDEX(FX:FX,MIN(IF(ISNUMBER(FX147:FX343),ROW(FX147:FX343),"")))</f>
        <v/>
      </c>
      <c r="FZ147" s="138">
        <f>IF('Données projet'!$A$244&gt;35,FZ146+FY147-GH146,IF(A147&lt;'Données projet'!$A$244,$FW$205^A147,IF(A147='Données projet'!$A$244,'Données projet'!$B$244,FZ146+FY147-GH146)))</f>
        <v>0</v>
      </c>
      <c r="GA147" s="138">
        <f>FZ147*VLOOKUP('Données projet'!$B$17,'Paramètres'!$A$1:$I$89,3,0)*VLOOKUP('Données projet'!$B$17,'Paramètres'!$A$1:$I$89,5,0)</f>
        <v>0</v>
      </c>
      <c r="GB147" s="130">
        <f t="shared" si="50"/>
        <v>0</v>
      </c>
      <c r="GC147" s="141">
        <f t="shared" si="26"/>
        <v>0</v>
      </c>
      <c r="GD147" s="133">
        <f t="shared" si="27"/>
        <v>293.3333333</v>
      </c>
      <c r="GE147" s="133">
        <f>AVERAGE(OFFSET($GD$3,0,0,'Données projet'!$E$17+1,1))-AVERAGE(OFFSET($H$3,0,0,'Données projet'!$E$17+1,1))</f>
        <v>118.7368745</v>
      </c>
      <c r="GF147" s="133">
        <f t="shared" si="51"/>
        <v>135.1233677</v>
      </c>
      <c r="GG147" s="134">
        <f>IF(ISNA(VLOOKUP(A147,'Données projet'!$A$243:$I$263,3,0)),0,VLOOKUP(A147,'Données projet'!$A$243:$I$263,3,0))</f>
        <v>0</v>
      </c>
      <c r="GH147" s="134">
        <f>IF(ISNA(VLOOKUP(A147,'Données projet'!$A$243:$I$263,4,0)),0,VLOOKUP(A147,'Données projet'!$A$243:$I$263,4,0))</f>
        <v>0</v>
      </c>
      <c r="GI147" s="135">
        <f>IF(ISNA(VLOOKUP(A147,'Données projet'!$A$243:$I$263,5,0)),0%,VLOOKUP(A147,'Données projet'!$A$243:$I$263,5,0)*VLOOKUP('Données projet'!$B$17,'Paramètres'!$A$1:$I$89,7,0))</f>
        <v>0</v>
      </c>
      <c r="GJ147" s="135">
        <f>IF(ISNA(VLOOKUP(A147,'Données projet'!$A$243:$I$263,6,0)),0%,VLOOKUP(A147,'Données projet'!$A$243:$I$263,6,0)*VLOOKUP('Données projet'!$B$17,'Paramètres'!$A$1:$I$89,7,0))</f>
        <v>0</v>
      </c>
      <c r="GK147" s="135">
        <f>IF(ISNA(VLOOKUP(A147,'Données projet'!$A$243:$I$263,7,0)),0%,VLOOKUP(A147,'Données projet'!$A$243:$I$263,7,0))</f>
        <v>0</v>
      </c>
      <c r="GL147" s="142">
        <f>EXP(-LN(2)/35)*GL146+(1-EXP(-LN(2)/35))/(LN(2)/35)*GH147*GI147*VLOOKUP('Données projet'!$B$17,'Paramètres'!$A$1:$I$89,3,0)*0.475*44/12</f>
        <v>19.67846939</v>
      </c>
      <c r="GM147" s="142">
        <f>EXP(-LN(2)/25)*GM146+(1-EXP(-LN(2)/25))/(LN(2)/25)*Calculateur!GH147*Calculateur!GJ147*VLOOKUP('Données projet'!$B$17,'Paramètres'!$A$1:$I$89,3,0)*0.475*44/12</f>
        <v>0</v>
      </c>
      <c r="GN147" s="142">
        <f>EXP(-LN(2)/2)*GN146+(1-EXP(-LN(2)/2))/(LN(2)/2)*GH147*GK147*VLOOKUP('Données projet'!$B$17,'Paramètres'!$A$1:$I$89,3,0)*0.475*44/12</f>
        <v>0</v>
      </c>
      <c r="GO147" s="142">
        <f t="shared" si="28"/>
        <v>19.67846939</v>
      </c>
      <c r="GP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1" t="str">
        <f>VLOOKUP(A147,'Données projet'!$A$269:$I$289,2,0)</f>
        <v>#N/A</v>
      </c>
      <c r="GS147" s="131" t="str">
        <f>VLOOKUP(A147,'Données projet'!$A$269:$I$289,9,0)</f>
        <v>#N/A</v>
      </c>
      <c r="GT147" s="131" t="str">
        <f t="array" ref="GT147">INDEX(GS:GS,MIN(IF(ISNUMBER(GS147:GS343),ROW(GS147:GS343),"")))</f>
        <v/>
      </c>
      <c r="GU147" s="138">
        <f>IF('Données projet'!$A$270&gt;35,GU146+GT147-HC146,IF(A147&lt;'Données projet'!$A$270,$GR$205^A147,IF(A147='Données projet'!$A$270,'Données projet'!$B$270,GU146+GT147-HC146)))</f>
        <v>0</v>
      </c>
      <c r="GV147" s="138">
        <f>GU147*VLOOKUP('Données projet'!$B$18,'Paramètres'!$A$1:$I$89,3,0)*VLOOKUP('Données projet'!$B$18,'Paramètres'!$A$1:$I$89,5,0)</f>
        <v>0</v>
      </c>
      <c r="GW147" s="130" t="str">
        <f t="shared" si="52"/>
        <v>#NUM!</v>
      </c>
      <c r="GX147" s="141" t="str">
        <f t="shared" si="29"/>
        <v>#NUM!</v>
      </c>
      <c r="GY147" s="133" t="str">
        <f t="shared" si="30"/>
        <v>#NUM!</v>
      </c>
      <c r="GZ147" s="133">
        <f>AVERAGE(OFFSET($GY$3,0,0,'Données projet'!$E$18+1,1))-AVERAGE(OFFSET($H$3,0,0,'Données projet'!$E$18+1,1))</f>
        <v>100.5427875</v>
      </c>
      <c r="HA147" s="133">
        <f t="shared" si="53"/>
        <v>92.28663609</v>
      </c>
      <c r="HB147" s="134">
        <f>IF(ISNA(VLOOKUP(A147,'Données projet'!$A$269:$I$289,3,0)),0,VLOOKUP(A147,'Données projet'!$A$269:$I$289,3,0))</f>
        <v>0</v>
      </c>
      <c r="HC147" s="134">
        <f>IF(ISNA(VLOOKUP(A147,'Données projet'!$A$269:$I$289,4,0)),0,VLOOKUP(A147,'Données projet'!$A$269:$I$289,4,0))</f>
        <v>0</v>
      </c>
      <c r="HD147" s="135">
        <f>IF(ISNA(VLOOKUP(A147,'Données projet'!$A$269:$I$289,5,0)),0%,VLOOKUP(A147,'Données projet'!$A$269:$I$289,5,0)*VLOOKUP('Données projet'!$B$18,'Paramètres'!$A$1:$I$89,7,0))</f>
        <v>0</v>
      </c>
      <c r="HE147" s="135">
        <f>IF(ISNA(VLOOKUP(A147,'Données projet'!$A$269:$I$289,6,0)),0%,VLOOKUP(A147,'Données projet'!$A$269:$I$289,6,0)*VLOOKUP('Données projet'!$B$18,'Paramètres'!$A$1:$I$89,7,0))</f>
        <v>0</v>
      </c>
      <c r="HF147" s="135">
        <f>IF(ISNA(VLOOKUP(A147,'Données projet'!$A$269:$I$289,7,0)),0%,VLOOKUP(A147,'Données projet'!$A$269:$I$289,7,0))</f>
        <v>0</v>
      </c>
      <c r="HG147" s="142">
        <f>EXP(-LN(2)/35)*HG146+(1-EXP(-LN(2)/35))/(LN(2)/35)*HC147*HD147*VLOOKUP('Données projet'!$B$18,'Paramètres'!$A$1:$I$89,3,0)*0.475*44/12</f>
        <v>13.40062252</v>
      </c>
      <c r="HH147" s="142">
        <f>EXP(-LN(2)/25)*HH146+(1-EXP(-LN(2)/25))/(LN(2)/25)*Calculateur!HC147*Calculateur!HE147*VLOOKUP('Données projet'!$B$18,'Paramètres'!$A$1:$I$89,3,0)*0.475*44/12</f>
        <v>0</v>
      </c>
      <c r="HI147" s="142">
        <f>EXP(-LN(2)/2)*HI146+(1-EXP(-LN(2)/2))/(LN(2)/2)*HC147*HF147*VLOOKUP('Données projet'!$B$18,'Paramètres'!$A$1:$I$89,3,0)*0.475*44/12</f>
        <v>0</v>
      </c>
      <c r="HJ147" s="143">
        <f t="shared" si="31"/>
        <v>13.40062252</v>
      </c>
    </row>
    <row r="148" ht="15.75" customHeight="1">
      <c r="A148" s="125">
        <f t="shared" si="32"/>
        <v>145</v>
      </c>
      <c r="B148" s="126">
        <f>'Scénario référence'!$B$16*5+'Scénario référence'!$B$17*0+'Scénario référence'!$B$18*5</f>
        <v>0</v>
      </c>
      <c r="C148" s="140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79.17</v>
      </c>
      <c r="D148" s="127">
        <f t="shared" si="33"/>
        <v>21.9341218</v>
      </c>
      <c r="E14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7">
        <f>IF(OR('Scénario référence'!$F$8&gt;0,'Scénario référence'!$F$9&gt;0),('Scénario référence'!$F$8+'Scénario référence'!$F$9)*10,0)</f>
        <v>10</v>
      </c>
      <c r="G148" s="127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</v>
      </c>
      <c r="H148" s="128">
        <f t="shared" si="1"/>
        <v>469.4230121</v>
      </c>
      <c r="I148" s="12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1" t="str">
        <f>VLOOKUP(A148,'Données projet'!$A$35:$I$55,2,0)</f>
        <v>#N/A</v>
      </c>
      <c r="L148" s="131" t="str">
        <f>VLOOKUP(A148,'Données projet'!$A$35:$I$55,9,0)</f>
        <v>#N/A</v>
      </c>
      <c r="M148" s="131" t="str">
        <f t="array" ref="M148">INDEX(L:L,MIN(IF(ISNUMBER(L148:L344),ROW(L148:L344),"")))</f>
        <v/>
      </c>
      <c r="N148" s="130">
        <f>IF('Données projet'!$A$36&gt;35,N147+M148-V147,IF(A148&lt;'Données projet'!$A$36,$K$205^A148,IF(A148='Données projet'!$A$36,'Données projet'!$B$36,N147+M148-V147)))</f>
        <v>0</v>
      </c>
      <c r="O148" s="130">
        <f>N148*VLOOKUP('Données projet'!$B$9,'Paramètres'!$A$1:$I$89,3,0)*VLOOKUP('Données projet'!$B$9,'Paramètres'!$A$1:$I$89,5,0)</f>
        <v>0</v>
      </c>
      <c r="P148" s="130">
        <f t="shared" si="34"/>
        <v>0</v>
      </c>
      <c r="Q148" s="141">
        <f t="shared" si="2"/>
        <v>0</v>
      </c>
      <c r="R148" s="133">
        <f t="shared" si="3"/>
        <v>293.3333333</v>
      </c>
      <c r="S148" s="133">
        <f>AVERAGE(OFFSET($R$3,0,0,'Données projet'!$E$9+1,1))-AVERAGE(OFFSET($H$3,0,0,'Données projet'!$E$9+1,1))</f>
        <v>126.9946492</v>
      </c>
      <c r="T148" s="133">
        <f t="shared" si="35"/>
        <v>140.039049</v>
      </c>
      <c r="U148" s="134">
        <f>IF(ISNA(VLOOKUP(A148,'Données projet'!$A$35:$I$55,3,0)),0,VLOOKUP(A148,'Données projet'!$A$35:$I$55,3,0))</f>
        <v>0</v>
      </c>
      <c r="V148" s="134">
        <f>IF(ISNA(VLOOKUP(A148,'Données projet'!$A$35:$I$55,4,0)),0,VLOOKUP(A148,'Données projet'!$A$35:$I$55,4,0))</f>
        <v>0</v>
      </c>
      <c r="W148" s="135">
        <f>IF(ISNA(VLOOKUP(A148,'Données projet'!$A$35:$I$55,5,0)),0%,VLOOKUP(A148,'Données projet'!$A$35:$I$55,5,0)*VLOOKUP('Données projet'!$B$9,'Paramètres'!$A$1:$I$89,7,0))</f>
        <v>0</v>
      </c>
      <c r="X148" s="135">
        <f>IF(ISNA(VLOOKUP(A148,'Données projet'!$A$35:$I$55,6,0)),0%,VLOOKUP(A148,'Données projet'!$A$35:$I$55,6,0)*VLOOKUP('Données projet'!$B$9,'Paramètres'!$A$1:$I$89,7,0))</f>
        <v>0</v>
      </c>
      <c r="Y148" s="135">
        <f>IF(ISNA(VLOOKUP(A148,'Données projet'!$A$35:$I$55,7,0)),0%,VLOOKUP(A148,'Données projet'!$A$35:$I$55,7,0))</f>
        <v>0</v>
      </c>
      <c r="Z148" s="142">
        <f>EXP(-LN(2)/35)*Z147+(1-EXP(-LN(2)/35))/(LN(2)/35)*V148*W148*VLOOKUP('Données projet'!$B$9,'Paramètres'!$A$1:$I$89,3,0)*0.475*44/12</f>
        <v>19.7320215</v>
      </c>
      <c r="AA148" s="142">
        <f>EXP(-LN(2)/25)*AA147+(1-EXP(-LN(2)/25))/(LN(2)/25)*Calculateur!V148*Calculateur!X148*VLOOKUP('Données projet'!$B$9,'Paramètres'!$A$1:$I$89,3,0)*0.475*44/12</f>
        <v>2.201450177</v>
      </c>
      <c r="AB148" s="142">
        <f>EXP(-LN(2)/2)*AB147+(1-EXP(-LN(2)/2))/(LN(2)/2)*V148*Y148*VLOOKUP('Données projet'!$B$9,'Paramètres'!$A$1:$I$89,3,0)*0.475*44/12</f>
        <v>0</v>
      </c>
      <c r="AC148" s="143">
        <f t="shared" si="4"/>
        <v>21.93347168</v>
      </c>
      <c r="AD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1" t="str">
        <f>VLOOKUP(A148,'Données projet'!$A$61:$I$81,2,0)</f>
        <v>#N/A</v>
      </c>
      <c r="AG148" s="131" t="str">
        <f>VLOOKUP(A148,'Données projet'!$A$61:$I$81,9,0)</f>
        <v>#N/A</v>
      </c>
      <c r="AH148" s="131" t="str">
        <f t="array" ref="AH148">INDEX(AG:AG,MIN(IF(ISNUMBER(AG148:AG344),ROW(AG148:AG344),"")))</f>
        <v/>
      </c>
      <c r="AI148" s="130">
        <f>IF('Données projet'!$A$62&gt;35,AI147+AH148-AQ147,IF(A148&lt;'Données projet'!$A$62,$AF$205^A148,IF(A148='Données projet'!$A$62,'Données projet'!$B$62,AI147+AH148-AQ147)))</f>
        <v>0</v>
      </c>
      <c r="AJ148" s="130">
        <f>AI148*VLOOKUP('Données projet'!$B$10,'Paramètres'!$A$1:$I$89,3,0)*VLOOKUP('Données projet'!$B$10,'Paramètres'!$A$1:$I$89,5,0)</f>
        <v>0</v>
      </c>
      <c r="AK148" s="130" t="str">
        <f t="shared" si="36"/>
        <v>#NUM!</v>
      </c>
      <c r="AL148" s="141" t="str">
        <f t="shared" si="5"/>
        <v>#NUM!</v>
      </c>
      <c r="AM148" s="133" t="str">
        <f t="shared" si="6"/>
        <v>#NUM!</v>
      </c>
      <c r="AN148" s="133">
        <f>AVERAGE(OFFSET($AM$3,0,0,'Données projet'!$E$10+1,1))-AVERAGE(OFFSET($H$3,0,0,'Données projet'!$E$10+1,1))</f>
        <v>196.874484</v>
      </c>
      <c r="AO148" s="133">
        <f t="shared" si="37"/>
        <v>217.5750859</v>
      </c>
      <c r="AP148" s="134">
        <f>IF(ISNA(VLOOKUP(A148,'Données projet'!$A$61:$I$81,3,0)),0,VLOOKUP(A148,'Données projet'!$A$61:$I$81,3,0))</f>
        <v>0</v>
      </c>
      <c r="AQ148" s="134">
        <f>IF(ISNA(VLOOKUP(A148,'Données projet'!$A$61:$I$81,4,0)),0,VLOOKUP(A148,'Données projet'!$A$61:$I$81,4,0))</f>
        <v>0</v>
      </c>
      <c r="AR148" s="135">
        <f>IF(ISNA(VLOOKUP(A148,'Données projet'!$A$61:$I$81,5,0)),0%,VLOOKUP(A148,'Données projet'!$A$61:$I$81,5,0)*VLOOKUP('Données projet'!$B$10,'Paramètres'!$A$1:$I$89,7,0))</f>
        <v>0</v>
      </c>
      <c r="AS148" s="135">
        <f>IF(ISNA(VLOOKUP(A148,'Données projet'!$A$61:$I$81,6,0)),0%,VLOOKUP(A148,'Données projet'!$A$61:$I$81,6,0)*VLOOKUP('Données projet'!$B$10,'Paramètres'!$A$1:$I$89,7,0))</f>
        <v>0</v>
      </c>
      <c r="AT148" s="135">
        <f>IF(ISNA(VLOOKUP(A148,'Données projet'!$A$61:$I$81,7,0)),0%,VLOOKUP(A148,'Données projet'!$A$61:$I$81,7,0))</f>
        <v>0</v>
      </c>
      <c r="AU148" s="142">
        <f>EXP(-LN(2)/35)*AU147+(1-EXP(-LN(2)/35))/(LN(2)/35)*AQ148*AR148*VLOOKUP('Données projet'!$B$10,'Paramètres'!$A$1:$I$89,3,0)*0.475*44/12</f>
        <v>27.42694943</v>
      </c>
      <c r="AV148" s="142">
        <f>EXP(-LN(2)/25)*AV147+(1-EXP(-LN(2)/25))/(LN(2)/25)*Calculateur!AQ148*Calculateur!AS148*VLOOKUP('Données projet'!$B$10,'Paramètres'!$A$1:$I$89,3,0)*0.475*44/12</f>
        <v>3.384732589</v>
      </c>
      <c r="AW148" s="142">
        <f>EXP(-LN(2)/2)*AW147+(1-EXP(-LN(2)/2))/(LN(2)/2)*AQ148*AT148*VLOOKUP('Données projet'!$B$10,'Paramètres'!$A$1:$I$89,3,0)*0.475*44/12</f>
        <v>0</v>
      </c>
      <c r="AX148" s="142">
        <f t="shared" si="7"/>
        <v>30.81168201</v>
      </c>
      <c r="AY148" s="13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1" t="str">
        <f>VLOOKUP(A148,'Données projet'!$A$87:$I$107,2,0)</f>
        <v>#N/A</v>
      </c>
      <c r="BB148" s="131" t="str">
        <f>VLOOKUP(A148,'Données projet'!$A$87:$I$107,9,0)</f>
        <v>#N/A</v>
      </c>
      <c r="BC148" s="131" t="str">
        <f t="array" ref="BC148">INDEX(BB:BB,MIN(IF(ISNUMBER(BB148:BB344),ROW(BB148:BB344),"")))</f>
        <v/>
      </c>
      <c r="BD148" s="130">
        <f>IF('Données projet'!$A$88&gt;35,BD147+BC148-BL147,IF(A148&lt;'Données projet'!$A$88,$BA$205^A148,IF(A148='Données projet'!$A$88,'Données projet'!$B$88,BD147+BC148-BL147)))</f>
        <v>0</v>
      </c>
      <c r="BE148" s="130">
        <f>BD148*VLOOKUP('Données projet'!$B$11,'Paramètres'!$A$1:$I$89,3,0)*VLOOKUP('Données projet'!$B$11,'Paramètres'!$A$1:$I$89,5,0)</f>
        <v>0</v>
      </c>
      <c r="BF148" s="130" t="str">
        <f t="shared" si="38"/>
        <v>#NUM!</v>
      </c>
      <c r="BG148" s="141" t="str">
        <f t="shared" si="8"/>
        <v>#NUM!</v>
      </c>
      <c r="BH148" s="133" t="str">
        <f t="shared" si="9"/>
        <v>#NUM!</v>
      </c>
      <c r="BI148" s="133">
        <f>AVERAGE(OFFSET($BH$3,0,0,'Données projet'!$E$11+1,1))-AVERAGE(OFFSET($H$3,0,0,'Données projet'!$E$11+1,1))</f>
        <v>134.0948534</v>
      </c>
      <c r="BJ148" s="133">
        <f t="shared" si="39"/>
        <v>108.4102536</v>
      </c>
      <c r="BK148" s="134">
        <f>IF(ISNA(VLOOKUP(A148,'Données projet'!$A$87:$I$107,3,0)),0,VLOOKUP(A148,'Données projet'!$A$87:$I$107,3,0))</f>
        <v>0</v>
      </c>
      <c r="BL148" s="134">
        <f>IF(ISNA(VLOOKUP(A148,'Données projet'!$A$87:$I$107,4,0)),0,VLOOKUP(A148,'Données projet'!$A$87:$I$107,4,0))</f>
        <v>0</v>
      </c>
      <c r="BM148" s="135">
        <f>IF(ISNA(VLOOKUP(A148,'Données projet'!$A$87:$I$107,5,0)),0%,VLOOKUP(A148,'Données projet'!$A$87:$I$107,5,0)*VLOOKUP('Données projet'!$B$11,'Paramètres'!$A$1:$I$89,7,0))</f>
        <v>0</v>
      </c>
      <c r="BN148" s="135">
        <f>IF(ISNA(VLOOKUP(A148,'Données projet'!$A$87:$I$107,6,0)),0%,VLOOKUP(A148,'Données projet'!$A$87:$I$107,6,0)*VLOOKUP('Données projet'!$B$11,'Paramètres'!$A$1:$I$89,7,0))</f>
        <v>0</v>
      </c>
      <c r="BO148" s="135">
        <f>IF(ISNA(VLOOKUP(A148,'Données projet'!$A$87:$I$107,7,0)),0%,VLOOKUP(A148,'Données projet'!$A$87:$I$107,7,0))</f>
        <v>0</v>
      </c>
      <c r="BP148" s="142">
        <f>EXP(-LN(2)/35)*BP147+(1-EXP(-LN(2)/35))/(LN(2)/35)*BL148*BM148*VLOOKUP('Données projet'!$B$11,'Paramètres'!$A$1:$I$89,3,0)*0.475*44/12</f>
        <v>37.93659327</v>
      </c>
      <c r="BQ148" s="142">
        <f>EXP(-LN(2)/25)*BQ147+(1-EXP(-LN(2)/25))/(LN(2)/25)*Calculateur!BL148*Calculateur!BN148*VLOOKUP('Données projet'!$B$11,'Paramètres'!$A$1:$I$89,3,0)*0.475*44/12</f>
        <v>2.135092223</v>
      </c>
      <c r="BR148" s="142">
        <f>EXP(-LN(2)/2)*BR147+(1-EXP(-LN(2)/2))/(LN(2)/2)*BL148*BO148*VLOOKUP('Données projet'!$B$11,'Paramètres'!$A$1:$I$89,3,0)*0.475*44/12</f>
        <v>0</v>
      </c>
      <c r="BS148" s="143">
        <f t="shared" si="10"/>
        <v>40.07168549</v>
      </c>
      <c r="BT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1" t="str">
        <f>VLOOKUP(A148,'Données projet'!$A$113:$I$133,2,0)</f>
        <v>#N/A</v>
      </c>
      <c r="BW148" s="131" t="str">
        <f>VLOOKUP(A148,'Données projet'!$A$113:$I$133,9,0)</f>
        <v>#N/A</v>
      </c>
      <c r="BX148" s="131" t="str">
        <f t="array" ref="BX148">INDEX(BW:BW,MIN(IF(ISNUMBER(BW148:BW344),ROW(BW148:BW344),"")))</f>
        <v/>
      </c>
      <c r="BY148" s="130">
        <f>IF('Données projet'!$A$114&gt;35,BY147+BX148-CG147,IF(A148&lt;'Données projet'!$A$114,$BV$205^A148,IF(A148='Données projet'!$A$114,'Données projet'!$B$114,BY147+BX148-CG147)))</f>
        <v>0</v>
      </c>
      <c r="BZ148" s="130">
        <f>BY148*VLOOKUP('Données projet'!$B$12,'Paramètres'!$A$1:$I$89,3,0)*VLOOKUP('Données projet'!$B$12,'Paramètres'!$A$1:$I$89,5,0)</f>
        <v>0</v>
      </c>
      <c r="CA148" s="130" t="str">
        <f t="shared" si="40"/>
        <v>#NUM!</v>
      </c>
      <c r="CB148" s="141" t="str">
        <f t="shared" si="11"/>
        <v>#NUM!</v>
      </c>
      <c r="CC148" s="133" t="str">
        <f t="shared" si="12"/>
        <v>#NUM!</v>
      </c>
      <c r="CD148" s="133">
        <f>AVERAGE(OFFSET($CC$3,0,0,'Données projet'!$E$12+1,1))-AVERAGE(OFFSET($H$3,0,0,'Données projet'!$E$12+1,1))</f>
        <v>258.1672054</v>
      </c>
      <c r="CE148" s="133">
        <f t="shared" si="41"/>
        <v>296.0724261</v>
      </c>
      <c r="CF148" s="134">
        <f>IF(ISNA(VLOOKUP(A148,'Données projet'!$A$113:$I$133,3,0)),0,VLOOKUP(A148,'Données projet'!$A$113:$I$133,3,0))</f>
        <v>0</v>
      </c>
      <c r="CG148" s="134">
        <f>IF(ISNA(VLOOKUP(A148,'Données projet'!$A$113:$I$133,4,0)),0,VLOOKUP(A148,'Données projet'!$A$113:$I$133,4,0))</f>
        <v>0</v>
      </c>
      <c r="CH148" s="135">
        <f>IF(ISNA(VLOOKUP(A148,'Données projet'!$A$113:$I$133,5,0)),0%,VLOOKUP(A148,'Données projet'!$A$113:$I$133,5,0)*VLOOKUP('Données projet'!$B$12,'Paramètres'!$A$1:$I$89,7,0))</f>
        <v>0</v>
      </c>
      <c r="CI148" s="135">
        <f>IF(ISNA(VLOOKUP(A148,'Données projet'!$A$113:$I$133,6,0)),0%,VLOOKUP(A148,'Données projet'!$A$113:$I$133,6,0)*VLOOKUP('Données projet'!$B$12,'Paramètres'!$A$1:$I$89,7,0))</f>
        <v>0</v>
      </c>
      <c r="CJ148" s="135">
        <f>IF(ISNA(VLOOKUP(A148,'Données projet'!$A$113:$I$133,7,0)),0%,VLOOKUP(A148,'Données projet'!$A$113:$I$133,7,0))</f>
        <v>0</v>
      </c>
      <c r="CK148" s="142">
        <f>EXP(-LN(2)/35)*CK147+(1-EXP(-LN(2)/35))/(LN(2)/35)*CG148*CH148*VLOOKUP('Données projet'!$B$12,'Paramètres'!$A$1:$I$89,3,0)*0.475*44/12</f>
        <v>47.96345917</v>
      </c>
      <c r="CL148" s="142">
        <f>EXP(-LN(2)/25)*CL147+(1-EXP(-LN(2)/25))/(LN(2)/25)*Calculateur!CG148*Calculateur!CI148*VLOOKUP('Données projet'!$B$12,'Paramètres'!$A$1:$I$89,3,0)*0.475*44/12</f>
        <v>3.745072962</v>
      </c>
      <c r="CM148" s="142">
        <f>EXP(-LN(2)/2)*CM147+(1-EXP(-LN(2)/2))/(LN(2)/2)*CG148*CJ148*VLOOKUP('Données projet'!$B$12,'Paramètres'!$A$1:$I$89,3,0)*0.475*44/12</f>
        <v>0</v>
      </c>
      <c r="CN148" s="143">
        <f t="shared" si="13"/>
        <v>51.70853213</v>
      </c>
      <c r="CO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1" t="str">
        <f>VLOOKUP(A148,'Données projet'!$A$139:$I$159,2,0)</f>
        <v>#N/A</v>
      </c>
      <c r="CR148" s="131" t="str">
        <f>VLOOKUP(A148,'Données projet'!$A$139:$I$159,9,0)</f>
        <v>#N/A</v>
      </c>
      <c r="CS148" s="130">
        <f t="array" ref="CS148">INDEX(CR:CR,MIN(IF(ISNUMBER(CR148:CR344),ROW(CR148:CR344),"")))</f>
        <v>0.7</v>
      </c>
      <c r="CT148" s="138">
        <f>IF('Données projet'!$A$140&gt;35,CT147+CS148-DB147,IF(A148&lt;'Données projet'!$A$140,$CQ$205^A148,IF(A148='Données projet'!$A$140,'Données projet'!$B$140,CT147+CS148-DB147)))</f>
        <v>213.5</v>
      </c>
      <c r="CU148" s="138">
        <f>CT148*VLOOKUP('Données projet'!$B$13,'Paramètres'!$A$1:$I$89,3,0)*VLOOKUP('Données projet'!$B$13,'Paramètres'!$A$1:$I$89,5,0)</f>
        <v>216.489</v>
      </c>
      <c r="CV148" s="130">
        <f t="shared" si="42"/>
        <v>53.35107419</v>
      </c>
      <c r="CW148" s="141">
        <f t="shared" si="14"/>
        <v>469.9714626</v>
      </c>
      <c r="CX148" s="133">
        <f t="shared" si="15"/>
        <v>763.3047959</v>
      </c>
      <c r="CY148" s="133">
        <f>AVERAGE(OFFSET($CX$3,0,0,'Données projet'!$E$13+1,1))-AVERAGE(OFFSET($H$3,0,0,'Données projet'!$E$13+1,1))</f>
        <v>223.783507</v>
      </c>
      <c r="CZ148" s="133">
        <f t="shared" si="43"/>
        <v>84.92349117</v>
      </c>
      <c r="DA148" s="134">
        <f>IF(ISNA(VLOOKUP(A148,'Données projet'!$A$139:$I$159,3,0)),0,VLOOKUP(A148,'Données projet'!$A$139:$I$159,3,0))</f>
        <v>0</v>
      </c>
      <c r="DB148" s="134">
        <f>IF(ISNA(VLOOKUP(A148,'Données projet'!$A$139:$I$159,4,0)),0,VLOOKUP(A148,'Données projet'!$A$139:$I$159,4,0))</f>
        <v>0</v>
      </c>
      <c r="DC148" s="135">
        <f>IF(ISNA(VLOOKUP(A148,'Données projet'!$A$139:$I$159,5,0)),0%,VLOOKUP(A148,'Données projet'!$A$139:$I$159,5,0)*VLOOKUP('Données projet'!$B$13,'Paramètres'!$A$1:$I$89,7,0))</f>
        <v>0</v>
      </c>
      <c r="DD148" s="135">
        <f>IF(ISNA(VLOOKUP(A148,'Données projet'!$A$139:$I$159,6,0)),0%,VLOOKUP(A148,'Données projet'!$A$139:$I$159,6,0)*VLOOKUP('Données projet'!$B$13,'Paramètres'!$A$1:$I$89,7,0))</f>
        <v>0</v>
      </c>
      <c r="DE148" s="135">
        <f>IF(ISNA(VLOOKUP(A148,'Données projet'!$A$139:$I$159,7,0)),0%,VLOOKUP(A148,'Données projet'!$A$139:$I$159,7,0))</f>
        <v>0</v>
      </c>
      <c r="DF148" s="142">
        <f>EXP(-LN(2)/35)*DF147+(1-EXP(-LN(2)/35))/(LN(2)/35)*DB148*DC148*VLOOKUP('Données projet'!$B$13,'Paramètres'!$A$1:$I$89,3,0)*0.475*44/12</f>
        <v>19.25440712</v>
      </c>
      <c r="DG148" s="142">
        <f>EXP(-LN(2)/25)*DG147+(1-EXP(-LN(2)/25))/(LN(2)/25)*Calculateur!DB148*Calculateur!DD148*VLOOKUP('Données projet'!$B$13,'Paramètres'!$A$1:$I$89,3,0)*0.475*44/12</f>
        <v>0</v>
      </c>
      <c r="DH148" s="142">
        <f>EXP(-LN(2)/2)*DH147+(1-EXP(-LN(2)/2))/(LN(2)/2)*DB148*DE148*VLOOKUP('Données projet'!$B$13,'Paramètres'!$A$1:$I$89,3,0)*0.475*44/12</f>
        <v>0</v>
      </c>
      <c r="DI148" s="143">
        <f t="shared" si="16"/>
        <v>19.25440712</v>
      </c>
      <c r="DJ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1" t="str">
        <f>VLOOKUP(A148,'Données projet'!$A$165:$I$185,2,0)</f>
        <v>#N/A</v>
      </c>
      <c r="DM148" s="131" t="str">
        <f>VLOOKUP(A148,'Données projet'!$A$165:$I$185,9,0)</f>
        <v>#N/A</v>
      </c>
      <c r="DN148" s="131">
        <f t="array" ref="DN148">INDEX(DM:DM,MIN(IF(ISNUMBER(DM148:DM344),ROW(DM148:DM344),"")))</f>
        <v>0.55</v>
      </c>
      <c r="DO148" s="138">
        <f>IF('Données projet'!$A$166&gt;35,DO147+DN148-DW147,IF(A148&lt;'Données projet'!$A$166,$DL$205^A148,IF(A148='Données projet'!$A$166,'Données projet'!$B$166,DO147+DN148-DW147)))</f>
        <v>277.25</v>
      </c>
      <c r="DP148" s="138">
        <f>DO148*VLOOKUP('Données projet'!$B$14,'Paramètres'!$A$1:$I$89,3,0)*VLOOKUP('Données projet'!$B$14,'Paramètres'!$A$1:$I$89,5,0)</f>
        <v>250.8558</v>
      </c>
      <c r="DQ148" s="130">
        <f t="shared" si="44"/>
        <v>60.76916108</v>
      </c>
      <c r="DR148" s="141">
        <f t="shared" si="17"/>
        <v>542.7468072</v>
      </c>
      <c r="DS148" s="133">
        <f t="shared" si="18"/>
        <v>836.0801405</v>
      </c>
      <c r="DT148" s="133">
        <f>AVERAGE(OFFSET($DS$3,0,0,'Données projet'!$E$14+1,1))-AVERAGE(OFFSET($H$3,0,0,'Données projet'!$E$14+1,1))</f>
        <v>287.9334714</v>
      </c>
      <c r="DU148" s="133">
        <f t="shared" si="45"/>
        <v>156.6796502</v>
      </c>
      <c r="DV148" s="134">
        <f>IF(ISNA(VLOOKUP(A148,'Données projet'!$A$165:$I$185,3,0)),0,VLOOKUP(A148,'Données projet'!$A$165:$I$185,3,0))</f>
        <v>0</v>
      </c>
      <c r="DW148" s="134">
        <f>IF(ISNA(VLOOKUP(A148,'Données projet'!$A$165:$I$185,4,0)),0,VLOOKUP(A148,'Données projet'!$A$165:$I$185,4,0))</f>
        <v>0</v>
      </c>
      <c r="DX148" s="135">
        <f>IF(ISNA(VLOOKUP(A148,'Données projet'!$A$165:$I$185,5,0)),0%,VLOOKUP(A148,'Données projet'!$A$165:$I$185,5,0)*VLOOKUP('Données projet'!$B$14,'Paramètres'!$A$1:$I$89,7,0))</f>
        <v>0</v>
      </c>
      <c r="DY148" s="135">
        <f>IF(ISNA(VLOOKUP(A148,'Données projet'!$A$165:$I$185,6,0)),0%,VLOOKUP(A148,'Données projet'!$A$165:$I$185,6,0)*VLOOKUP('Données projet'!$B$14,'Paramètres'!$A$1:$I$89,7,0))</f>
        <v>0</v>
      </c>
      <c r="DZ148" s="135">
        <f>IF(ISNA(VLOOKUP(A148,'Données projet'!$A$165:$I$185,7,0)),0%,VLOOKUP(A148,'Données projet'!$A$165:$I$185,7,0))</f>
        <v>0</v>
      </c>
      <c r="EA148" s="142">
        <f>EXP(-LN(2)/35)*EA147+(1-EXP(-LN(2)/35))/(LN(2)/35)*DW148*DX148*VLOOKUP('Données projet'!$B$14,'Paramètres'!$A$1:$I$89,3,0)*0.475*44/12</f>
        <v>23.44413162</v>
      </c>
      <c r="EB148" s="142">
        <f>EXP(-LN(2)/25)*EB147+(1-EXP(-LN(2)/25))/(LN(2)/25)*Calculateur!DW148*Calculateur!DY148*VLOOKUP('Données projet'!$B$14,'Paramètres'!$A$1:$I$89,3,0)*0.475*44/12</f>
        <v>0</v>
      </c>
      <c r="EC148" s="142">
        <f>EXP(-LN(2)/2)*EC147+(1-EXP(-LN(2)/2))/(LN(2)/2)*DW148*DZ148*VLOOKUP('Données projet'!$B$14,'Paramètres'!$A$1:$I$89,3,0)*0.475*44/12</f>
        <v>0</v>
      </c>
      <c r="ED148" s="143">
        <f t="shared" si="19"/>
        <v>23.44413162</v>
      </c>
      <c r="EE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1" t="str">
        <f>VLOOKUP(A148,'Données projet'!$A$191:$I$211,2,0)</f>
        <v>#N/A</v>
      </c>
      <c r="EH148" s="131" t="str">
        <f>VLOOKUP(A148,'Données projet'!$A$191:$I$211,9,0)</f>
        <v>#N/A</v>
      </c>
      <c r="EI148" s="131" t="str">
        <f t="array" ref="EI148">INDEX(EH:EH,MIN(IF(ISNUMBER(EH148:EH344),ROW(EH148:EH344),"")))</f>
        <v/>
      </c>
      <c r="EJ148" s="138">
        <f>IF('Données projet'!$A$192&gt;35,EJ147+EI148-ER147,IF(A148&lt;'Données projet'!$A$192,$EG$205^A148,IF(A148='Données projet'!$A$192,'Données projet'!$B$192,EJ147+EI148-ER147)))</f>
        <v>0</v>
      </c>
      <c r="EK148" s="138">
        <f>EJ148*VLOOKUP('Données projet'!$B$15,'Paramètres'!$A$1:$I$89,3,0)*VLOOKUP('Données projet'!$B$15,'Paramètres'!$A$1:$I$89,5,0)</f>
        <v>0</v>
      </c>
      <c r="EL148" s="130" t="str">
        <f t="shared" si="46"/>
        <v>#NUM!</v>
      </c>
      <c r="EM148" s="141" t="str">
        <f t="shared" si="20"/>
        <v>#NUM!</v>
      </c>
      <c r="EN148" s="133" t="str">
        <f t="shared" si="21"/>
        <v>#NUM!</v>
      </c>
      <c r="EO148" s="133">
        <f>AVERAGE(OFFSET($EN$3,0,0,'Données projet'!$E$15+1,1))-AVERAGE(OFFSET($H$3,0,0,'Données projet'!$E$15+1,1))</f>
        <v>130.3193339</v>
      </c>
      <c r="EP148" s="133">
        <f t="shared" si="47"/>
        <v>82.22784365</v>
      </c>
      <c r="EQ148" s="134">
        <f>IF(ISNA(VLOOKUP(A148,'Données projet'!$A$191:$I$211,3,0)),0,VLOOKUP(A148,'Données projet'!$A$191:$I$211,3,0))</f>
        <v>0</v>
      </c>
      <c r="ER148" s="134">
        <f>IF(ISNA(VLOOKUP(A148,'Données projet'!$A$191:$I$211,4,0)),0,VLOOKUP(A148,'Données projet'!$A$191:$I$211,4,0))</f>
        <v>0</v>
      </c>
      <c r="ES148" s="135">
        <f>IF(ISNA(VLOOKUP(A148,'Données projet'!$A$191:$I$211,5,0)),0%,VLOOKUP(A148,'Données projet'!$A$191:$I$211,5,0)*VLOOKUP('Données projet'!$B$15,'Paramètres'!$A$1:$I$89,7,0))</f>
        <v>0</v>
      </c>
      <c r="ET148" s="135">
        <f>IF(ISNA(VLOOKUP(A148,'Données projet'!$A$191:$I$211,6,0)),0%,VLOOKUP(A148,'Données projet'!$A$191:$I$211,6,0)*VLOOKUP('Données projet'!$B$15,'Paramètres'!$A$1:$I$89,7,0))</f>
        <v>0</v>
      </c>
      <c r="EU148" s="135">
        <f>IF(ISNA(VLOOKUP(A148,'Données projet'!$A$191:$I$211,7,0)),0%,VLOOKUP(A148,'Données projet'!$A$191:$I$211,7,0))</f>
        <v>0</v>
      </c>
      <c r="EV148" s="142">
        <f>EXP(-LN(2)/35)*EV147+(1-EXP(-LN(2)/35))/(LN(2)/35)*ER148*ES148*VLOOKUP('Données projet'!$B$15,'Paramètres'!$A$1:$I$89,3,0)*0.475*44/12</f>
        <v>29.32866305</v>
      </c>
      <c r="EW148" s="142">
        <f>EXP(-LN(2)/25)*EW147+(1-EXP(-LN(2)/25))/(LN(2)/25)*Calculateur!ER148*Calculateur!ET148*VLOOKUP('Données projet'!$B$15,'Paramètres'!$A$1:$I$89,3,0)*0.475*44/12</f>
        <v>0</v>
      </c>
      <c r="EX148" s="142">
        <f>EXP(-LN(2)/2)*EX147+(1-EXP(-LN(2)/2))/(LN(2)/2)*ER148*EU148*VLOOKUP('Données projet'!$B$15,'Paramètres'!$A$1:$I$89,3,0)*0.475*44/12</f>
        <v>0</v>
      </c>
      <c r="EY148" s="143">
        <f t="shared" si="22"/>
        <v>29.32866305</v>
      </c>
      <c r="EZ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1" t="str">
        <f>VLOOKUP(A148,'Données projet'!$A$217:$I$237,2,0)</f>
        <v>#N/A</v>
      </c>
      <c r="FC148" s="131" t="str">
        <f>VLOOKUP(A148,'Données projet'!$A$217:$I$237,9,0)</f>
        <v>#N/A</v>
      </c>
      <c r="FD148" s="131" t="str">
        <f t="array" ref="FD148">INDEX(FC:FC,MIN(IF(ISNUMBER(FC148:FC344),ROW(FC148:FC344),"")))</f>
        <v/>
      </c>
      <c r="FE148" s="130">
        <f>IF('Données projet'!$A$218&gt;35,FE147+FD148-FM147,IF(A148&lt;'Données projet'!$A$218,$FB$205^A148,IF(A148='Données projet'!$A$218,'Données projet'!$B$218,FE147+FD148-FM147)))</f>
        <v>0</v>
      </c>
      <c r="FF148" s="138">
        <f>FE148*VLOOKUP('Données projet'!$B$16,'Paramètres'!$A$1:$I$89,3,0)*VLOOKUP('Données projet'!$B$16,'Paramètres'!$A$1:$I$89,5,0)</f>
        <v>0</v>
      </c>
      <c r="FG148" s="130">
        <f t="shared" si="48"/>
        <v>0</v>
      </c>
      <c r="FH148" s="141">
        <f t="shared" si="23"/>
        <v>0</v>
      </c>
      <c r="FI148" s="133">
        <f t="shared" si="24"/>
        <v>293.3333333</v>
      </c>
      <c r="FJ148" s="133">
        <f>AVERAGE(OFFSET($FI$3,0,0,'Données projet'!$E$16+1,1))-AVERAGE(OFFSET($H$3,0,0,'Données projet'!$E$16+1,1))</f>
        <v>305.6252353</v>
      </c>
      <c r="FK148" s="133">
        <f t="shared" si="49"/>
        <v>331.397916</v>
      </c>
      <c r="FL148" s="134">
        <f>IF(ISNA(VLOOKUP(A148,'Données projet'!$A$217:$I$237,3,0)),0,VLOOKUP(A148,'Données projet'!$A$217:$I$237,3,0))</f>
        <v>0</v>
      </c>
      <c r="FM148" s="134">
        <f>IF(ISNA(VLOOKUP(A148,'Données projet'!$A$217:$I$237,4,0)),0,VLOOKUP(A148,'Données projet'!$A$217:$I$237,4,0))</f>
        <v>0</v>
      </c>
      <c r="FN148" s="135">
        <f>IF(ISNA(VLOOKUP(A148,'Données projet'!$A$217:$I$237,5,0)),0%,VLOOKUP(A148,'Données projet'!$A$217:$I$237,5,0)*VLOOKUP('Données projet'!$B$16,'Paramètres'!$A$1:$I$89,7,0))</f>
        <v>0</v>
      </c>
      <c r="FO148" s="135">
        <f>IF(ISNA(VLOOKUP(A148,'Données projet'!$A$217:$I$237,6,0)),0%,VLOOKUP(A148,'Données projet'!$A$217:$I$237,6,0)*VLOOKUP('Données projet'!$B$16,'Paramètres'!$A$1:$I$89,7,0))</f>
        <v>0</v>
      </c>
      <c r="FP148" s="135">
        <f>IF(ISNA(VLOOKUP(A148,'Données projet'!$A$217:$I$237,7,0)),0%,VLOOKUP(A148,'Données projet'!$A$217:$I$237,7,0))</f>
        <v>0</v>
      </c>
      <c r="FQ148" s="142">
        <f>EXP(-LN(2)/35)*FQ147+(1-EXP(-LN(2)/35))/(LN(2)/35)*FM148*FN148*VLOOKUP('Données projet'!$B$16,'Paramètres'!$A$1:$I$89,3,0)*0.475*44/12</f>
        <v>18.26090211</v>
      </c>
      <c r="FR148" s="142">
        <f>EXP(-LN(2)/25)*FR147+(1-EXP(-LN(2)/25))/(LN(2)/25)*Calculateur!FM148*Calculateur!FO148*VLOOKUP('Données projet'!$B$16,'Paramètres'!$A$1:$I$89,3,0)*0.475*44/12</f>
        <v>0</v>
      </c>
      <c r="FS148" s="142">
        <f>EXP(-LN(2)/2)*FS147+(1-EXP(-LN(2)/2))/(LN(2)/2)*FM148*FP148*VLOOKUP('Données projet'!$B$16,'Paramètres'!$A$1:$I$89,3,0)*0.475*44/12</f>
        <v>0</v>
      </c>
      <c r="FT148" s="143">
        <f t="shared" si="25"/>
        <v>18.26090211</v>
      </c>
      <c r="FU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1" t="str">
        <f>VLOOKUP(A148,'Données projet'!$A$243:$I$263,2,0)</f>
        <v>#N/A</v>
      </c>
      <c r="FX148" s="131" t="str">
        <f>VLOOKUP(A148,'Données projet'!$A$243:$I$263,9,0)</f>
        <v>#N/A</v>
      </c>
      <c r="FY148" s="131" t="str">
        <f t="array" ref="FY148">INDEX(FX:FX,MIN(IF(ISNUMBER(FX148:FX344),ROW(FX148:FX344),"")))</f>
        <v/>
      </c>
      <c r="FZ148" s="138">
        <f>IF('Données projet'!$A$244&gt;35,FZ147+FY148-GH147,IF(A148&lt;'Données projet'!$A$244,$FW$205^A148,IF(A148='Données projet'!$A$244,'Données projet'!$B$244,FZ147+FY148-GH147)))</f>
        <v>0</v>
      </c>
      <c r="GA148" s="138">
        <f>FZ148*VLOOKUP('Données projet'!$B$17,'Paramètres'!$A$1:$I$89,3,0)*VLOOKUP('Données projet'!$B$17,'Paramètres'!$A$1:$I$89,5,0)</f>
        <v>0</v>
      </c>
      <c r="GB148" s="130">
        <f t="shared" si="50"/>
        <v>0</v>
      </c>
      <c r="GC148" s="141">
        <f t="shared" si="26"/>
        <v>0</v>
      </c>
      <c r="GD148" s="133">
        <f t="shared" si="27"/>
        <v>293.3333333</v>
      </c>
      <c r="GE148" s="133">
        <f>AVERAGE(OFFSET($GD$3,0,0,'Données projet'!$E$17+1,1))-AVERAGE(OFFSET($H$3,0,0,'Données projet'!$E$17+1,1))</f>
        <v>118.7368745</v>
      </c>
      <c r="GF148" s="133">
        <f t="shared" si="51"/>
        <v>135.1233677</v>
      </c>
      <c r="GG148" s="134">
        <f>IF(ISNA(VLOOKUP(A148,'Données projet'!$A$243:$I$263,3,0)),0,VLOOKUP(A148,'Données projet'!$A$243:$I$263,3,0))</f>
        <v>0</v>
      </c>
      <c r="GH148" s="134">
        <f>IF(ISNA(VLOOKUP(A148,'Données projet'!$A$243:$I$263,4,0)),0,VLOOKUP(A148,'Données projet'!$A$243:$I$263,4,0))</f>
        <v>0</v>
      </c>
      <c r="GI148" s="135">
        <f>IF(ISNA(VLOOKUP(A148,'Données projet'!$A$243:$I$263,5,0)),0%,VLOOKUP(A148,'Données projet'!$A$243:$I$263,5,0)*VLOOKUP('Données projet'!$B$17,'Paramètres'!$A$1:$I$89,7,0))</f>
        <v>0</v>
      </c>
      <c r="GJ148" s="135">
        <f>IF(ISNA(VLOOKUP(A148,'Données projet'!$A$243:$I$263,6,0)),0%,VLOOKUP(A148,'Données projet'!$A$243:$I$263,6,0)*VLOOKUP('Données projet'!$B$17,'Paramètres'!$A$1:$I$89,7,0))</f>
        <v>0</v>
      </c>
      <c r="GK148" s="135">
        <f>IF(ISNA(VLOOKUP(A148,'Données projet'!$A$243:$I$263,7,0)),0%,VLOOKUP(A148,'Données projet'!$A$243:$I$263,7,0))</f>
        <v>0</v>
      </c>
      <c r="GL148" s="142">
        <f>EXP(-LN(2)/35)*GL147+(1-EXP(-LN(2)/35))/(LN(2)/35)*GH148*GI148*VLOOKUP('Données projet'!$B$17,'Paramètres'!$A$1:$I$89,3,0)*0.475*44/12</f>
        <v>19.29258661</v>
      </c>
      <c r="GM148" s="142">
        <f>EXP(-LN(2)/25)*GM147+(1-EXP(-LN(2)/25))/(LN(2)/25)*Calculateur!GH148*Calculateur!GJ148*VLOOKUP('Données projet'!$B$17,'Paramètres'!$A$1:$I$89,3,0)*0.475*44/12</f>
        <v>0</v>
      </c>
      <c r="GN148" s="142">
        <f>EXP(-LN(2)/2)*GN147+(1-EXP(-LN(2)/2))/(LN(2)/2)*GH148*GK148*VLOOKUP('Données projet'!$B$17,'Paramètres'!$A$1:$I$89,3,0)*0.475*44/12</f>
        <v>0</v>
      </c>
      <c r="GO148" s="142">
        <f t="shared" si="28"/>
        <v>19.29258661</v>
      </c>
      <c r="GP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1" t="str">
        <f>VLOOKUP(A148,'Données projet'!$A$269:$I$289,2,0)</f>
        <v>#N/A</v>
      </c>
      <c r="GS148" s="131" t="str">
        <f>VLOOKUP(A148,'Données projet'!$A$269:$I$289,9,0)</f>
        <v>#N/A</v>
      </c>
      <c r="GT148" s="131" t="str">
        <f t="array" ref="GT148">INDEX(GS:GS,MIN(IF(ISNUMBER(GS148:GS344),ROW(GS148:GS344),"")))</f>
        <v/>
      </c>
      <c r="GU148" s="138">
        <f>IF('Données projet'!$A$270&gt;35,GU147+GT148-HC147,IF(A148&lt;'Données projet'!$A$270,$GR$205^A148,IF(A148='Données projet'!$A$270,'Données projet'!$B$270,GU147+GT148-HC147)))</f>
        <v>0</v>
      </c>
      <c r="GV148" s="138">
        <f>GU148*VLOOKUP('Données projet'!$B$18,'Paramètres'!$A$1:$I$89,3,0)*VLOOKUP('Données projet'!$B$18,'Paramètres'!$A$1:$I$89,5,0)</f>
        <v>0</v>
      </c>
      <c r="GW148" s="130" t="str">
        <f t="shared" si="52"/>
        <v>#NUM!</v>
      </c>
      <c r="GX148" s="141" t="str">
        <f t="shared" si="29"/>
        <v>#NUM!</v>
      </c>
      <c r="GY148" s="133" t="str">
        <f t="shared" si="30"/>
        <v>#NUM!</v>
      </c>
      <c r="GZ148" s="133">
        <f>AVERAGE(OFFSET($GY$3,0,0,'Données projet'!$E$18+1,1))-AVERAGE(OFFSET($H$3,0,0,'Données projet'!$E$18+1,1))</f>
        <v>100.5427875</v>
      </c>
      <c r="HA148" s="133">
        <f t="shared" si="53"/>
        <v>92.28663609</v>
      </c>
      <c r="HB148" s="134">
        <f>IF(ISNA(VLOOKUP(A148,'Données projet'!$A$269:$I$289,3,0)),0,VLOOKUP(A148,'Données projet'!$A$269:$I$289,3,0))</f>
        <v>0</v>
      </c>
      <c r="HC148" s="134">
        <f>IF(ISNA(VLOOKUP(A148,'Données projet'!$A$269:$I$289,4,0)),0,VLOOKUP(A148,'Données projet'!$A$269:$I$289,4,0))</f>
        <v>0</v>
      </c>
      <c r="HD148" s="135">
        <f>IF(ISNA(VLOOKUP(A148,'Données projet'!$A$269:$I$289,5,0)),0%,VLOOKUP(A148,'Données projet'!$A$269:$I$289,5,0)*VLOOKUP('Données projet'!$B$18,'Paramètres'!$A$1:$I$89,7,0))</f>
        <v>0</v>
      </c>
      <c r="HE148" s="135">
        <f>IF(ISNA(VLOOKUP(A148,'Données projet'!$A$269:$I$289,6,0)),0%,VLOOKUP(A148,'Données projet'!$A$269:$I$289,6,0)*VLOOKUP('Données projet'!$B$18,'Paramètres'!$A$1:$I$89,7,0))</f>
        <v>0</v>
      </c>
      <c r="HF148" s="135">
        <f>IF(ISNA(VLOOKUP(A148,'Données projet'!$A$269:$I$289,7,0)),0%,VLOOKUP(A148,'Données projet'!$A$269:$I$289,7,0))</f>
        <v>0</v>
      </c>
      <c r="HG148" s="142">
        <f>EXP(-LN(2)/35)*HG147+(1-EXP(-LN(2)/35))/(LN(2)/35)*HC148*HD148*VLOOKUP('Données projet'!$B$18,'Paramètres'!$A$1:$I$89,3,0)*0.475*44/12</f>
        <v>13.13784448</v>
      </c>
      <c r="HH148" s="142">
        <f>EXP(-LN(2)/25)*HH147+(1-EXP(-LN(2)/25))/(LN(2)/25)*Calculateur!HC148*Calculateur!HE148*VLOOKUP('Données projet'!$B$18,'Paramètres'!$A$1:$I$89,3,0)*0.475*44/12</f>
        <v>0</v>
      </c>
      <c r="HI148" s="142">
        <f>EXP(-LN(2)/2)*HI147+(1-EXP(-LN(2)/2))/(LN(2)/2)*HC148*HF148*VLOOKUP('Données projet'!$B$18,'Paramètres'!$A$1:$I$89,3,0)*0.475*44/12</f>
        <v>0</v>
      </c>
      <c r="HJ148" s="143">
        <f t="shared" si="31"/>
        <v>13.13784448</v>
      </c>
    </row>
    <row r="149" ht="15.75" customHeight="1">
      <c r="A149" s="125">
        <f t="shared" si="32"/>
        <v>146</v>
      </c>
      <c r="B149" s="126">
        <f>'Scénario référence'!$B$16*5+'Scénario référence'!$B$17*0+'Scénario référence'!$B$18*5</f>
        <v>0</v>
      </c>
      <c r="C149" s="140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79.716</v>
      </c>
      <c r="D149" s="127">
        <f t="shared" si="33"/>
        <v>22.06773029</v>
      </c>
      <c r="E14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7">
        <f>IF(OR('Scénario référence'!$F$8&gt;0,'Scénario référence'!$F$9&gt;0),('Scénario référence'!$F$8+'Scénario référence'!$F$9)*10,0)</f>
        <v>10</v>
      </c>
      <c r="G149" s="127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</v>
      </c>
      <c r="H149" s="128">
        <f t="shared" si="1"/>
        <v>470.6066636</v>
      </c>
      <c r="I149" s="12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1" t="str">
        <f>VLOOKUP(A149,'Données projet'!$A$35:$I$55,2,0)</f>
        <v>#N/A</v>
      </c>
      <c r="L149" s="131" t="str">
        <f>VLOOKUP(A149,'Données projet'!$A$35:$I$55,9,0)</f>
        <v>#N/A</v>
      </c>
      <c r="M149" s="131" t="str">
        <f t="array" ref="M149">INDEX(L:L,MIN(IF(ISNUMBER(L149:L345),ROW(L149:L345),"")))</f>
        <v/>
      </c>
      <c r="N149" s="130">
        <f>IF('Données projet'!$A$36&gt;35,N148+M149-V148,IF(A149&lt;'Données projet'!$A$36,$K$205^A149,IF(A149='Données projet'!$A$36,'Données projet'!$B$36,N148+M149-V148)))</f>
        <v>0</v>
      </c>
      <c r="O149" s="130">
        <f>N149*VLOOKUP('Données projet'!$B$9,'Paramètres'!$A$1:$I$89,3,0)*VLOOKUP('Données projet'!$B$9,'Paramètres'!$A$1:$I$89,5,0)</f>
        <v>0</v>
      </c>
      <c r="P149" s="130">
        <f t="shared" si="34"/>
        <v>0</v>
      </c>
      <c r="Q149" s="141">
        <f t="shared" si="2"/>
        <v>0</v>
      </c>
      <c r="R149" s="133">
        <f t="shared" si="3"/>
        <v>293.3333333</v>
      </c>
      <c r="S149" s="133">
        <f>AVERAGE(OFFSET($R$3,0,0,'Données projet'!$E$9+1,1))-AVERAGE(OFFSET($H$3,0,0,'Données projet'!$E$9+1,1))</f>
        <v>126.9946492</v>
      </c>
      <c r="T149" s="133">
        <f t="shared" si="35"/>
        <v>140.039049</v>
      </c>
      <c r="U149" s="134">
        <f>IF(ISNA(VLOOKUP(A149,'Données projet'!$A$35:$I$55,3,0)),0,VLOOKUP(A149,'Données projet'!$A$35:$I$55,3,0))</f>
        <v>0</v>
      </c>
      <c r="V149" s="134">
        <f>IF(ISNA(VLOOKUP(A149,'Données projet'!$A$35:$I$55,4,0)),0,VLOOKUP(A149,'Données projet'!$A$35:$I$55,4,0))</f>
        <v>0</v>
      </c>
      <c r="W149" s="135">
        <f>IF(ISNA(VLOOKUP(A149,'Données projet'!$A$35:$I$55,5,0)),0%,VLOOKUP(A149,'Données projet'!$A$35:$I$55,5,0)*VLOOKUP('Données projet'!$B$9,'Paramètres'!$A$1:$I$89,7,0))</f>
        <v>0</v>
      </c>
      <c r="X149" s="135">
        <f>IF(ISNA(VLOOKUP(A149,'Données projet'!$A$35:$I$55,6,0)),0%,VLOOKUP(A149,'Données projet'!$A$35:$I$55,6,0)*VLOOKUP('Données projet'!$B$9,'Paramètres'!$A$1:$I$89,7,0))</f>
        <v>0</v>
      </c>
      <c r="Y149" s="135">
        <f>IF(ISNA(VLOOKUP(A149,'Données projet'!$A$35:$I$55,7,0)),0%,VLOOKUP(A149,'Données projet'!$A$35:$I$55,7,0))</f>
        <v>0</v>
      </c>
      <c r="Z149" s="142">
        <f>EXP(-LN(2)/35)*Z148+(1-EXP(-LN(2)/35))/(LN(2)/35)*V149*W149*VLOOKUP('Données projet'!$B$9,'Paramètres'!$A$1:$I$89,3,0)*0.475*44/12</f>
        <v>19.3450886</v>
      </c>
      <c r="AA149" s="142">
        <f>EXP(-LN(2)/25)*AA148+(1-EXP(-LN(2)/25))/(LN(2)/25)*Calculateur!V149*Calculateur!X149*VLOOKUP('Données projet'!$B$9,'Paramètres'!$A$1:$I$89,3,0)*0.475*44/12</f>
        <v>2.141251406</v>
      </c>
      <c r="AB149" s="142">
        <f>EXP(-LN(2)/2)*AB148+(1-EXP(-LN(2)/2))/(LN(2)/2)*V149*Y149*VLOOKUP('Données projet'!$B$9,'Paramètres'!$A$1:$I$89,3,0)*0.475*44/12</f>
        <v>0</v>
      </c>
      <c r="AC149" s="143">
        <f t="shared" si="4"/>
        <v>21.48634</v>
      </c>
      <c r="AD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1" t="str">
        <f>VLOOKUP(A149,'Données projet'!$A$61:$I$81,2,0)</f>
        <v>#N/A</v>
      </c>
      <c r="AG149" s="131" t="str">
        <f>VLOOKUP(A149,'Données projet'!$A$61:$I$81,9,0)</f>
        <v>#N/A</v>
      </c>
      <c r="AH149" s="131" t="str">
        <f t="array" ref="AH149">INDEX(AG:AG,MIN(IF(ISNUMBER(AG149:AG345),ROW(AG149:AG345),"")))</f>
        <v/>
      </c>
      <c r="AI149" s="130">
        <f>IF('Données projet'!$A$62&gt;35,AI148+AH149-AQ148,IF(A149&lt;'Données projet'!$A$62,$AF$205^A149,IF(A149='Données projet'!$A$62,'Données projet'!$B$62,AI148+AH149-AQ148)))</f>
        <v>0</v>
      </c>
      <c r="AJ149" s="130">
        <f>AI149*VLOOKUP('Données projet'!$B$10,'Paramètres'!$A$1:$I$89,3,0)*VLOOKUP('Données projet'!$B$10,'Paramètres'!$A$1:$I$89,5,0)</f>
        <v>0</v>
      </c>
      <c r="AK149" s="130" t="str">
        <f t="shared" si="36"/>
        <v>#NUM!</v>
      </c>
      <c r="AL149" s="141" t="str">
        <f t="shared" si="5"/>
        <v>#NUM!</v>
      </c>
      <c r="AM149" s="133" t="str">
        <f t="shared" si="6"/>
        <v>#NUM!</v>
      </c>
      <c r="AN149" s="133">
        <f>AVERAGE(OFFSET($AM$3,0,0,'Données projet'!$E$10+1,1))-AVERAGE(OFFSET($H$3,0,0,'Données projet'!$E$10+1,1))</f>
        <v>196.874484</v>
      </c>
      <c r="AO149" s="133">
        <f t="shared" si="37"/>
        <v>217.5750859</v>
      </c>
      <c r="AP149" s="134">
        <f>IF(ISNA(VLOOKUP(A149,'Données projet'!$A$61:$I$81,3,0)),0,VLOOKUP(A149,'Données projet'!$A$61:$I$81,3,0))</f>
        <v>0</v>
      </c>
      <c r="AQ149" s="134">
        <f>IF(ISNA(VLOOKUP(A149,'Données projet'!$A$61:$I$81,4,0)),0,VLOOKUP(A149,'Données projet'!$A$61:$I$81,4,0))</f>
        <v>0</v>
      </c>
      <c r="AR149" s="135">
        <f>IF(ISNA(VLOOKUP(A149,'Données projet'!$A$61:$I$81,5,0)),0%,VLOOKUP(A149,'Données projet'!$A$61:$I$81,5,0)*VLOOKUP('Données projet'!$B$10,'Paramètres'!$A$1:$I$89,7,0))</f>
        <v>0</v>
      </c>
      <c r="AS149" s="135">
        <f>IF(ISNA(VLOOKUP(A149,'Données projet'!$A$61:$I$81,6,0)),0%,VLOOKUP(A149,'Données projet'!$A$61:$I$81,6,0)*VLOOKUP('Données projet'!$B$10,'Paramètres'!$A$1:$I$89,7,0))</f>
        <v>0</v>
      </c>
      <c r="AT149" s="135">
        <f>IF(ISNA(VLOOKUP(A149,'Données projet'!$A$61:$I$81,7,0)),0%,VLOOKUP(A149,'Données projet'!$A$61:$I$81,7,0))</f>
        <v>0</v>
      </c>
      <c r="AU149" s="142">
        <f>EXP(-LN(2)/35)*AU148+(1-EXP(-LN(2)/35))/(LN(2)/35)*AQ149*AR149*VLOOKUP('Données projet'!$B$10,'Paramètres'!$A$1:$I$89,3,0)*0.475*44/12</f>
        <v>26.88912368</v>
      </c>
      <c r="AV149" s="142">
        <f>EXP(-LN(2)/25)*AV148+(1-EXP(-LN(2)/25))/(LN(2)/25)*Calculateur!AQ149*Calculateur!AS149*VLOOKUP('Données projet'!$B$10,'Paramètres'!$A$1:$I$89,3,0)*0.475*44/12</f>
        <v>3.292176898</v>
      </c>
      <c r="AW149" s="142">
        <f>EXP(-LN(2)/2)*AW148+(1-EXP(-LN(2)/2))/(LN(2)/2)*AQ149*AT149*VLOOKUP('Données projet'!$B$10,'Paramètres'!$A$1:$I$89,3,0)*0.475*44/12</f>
        <v>0</v>
      </c>
      <c r="AX149" s="142">
        <f t="shared" si="7"/>
        <v>30.18130057</v>
      </c>
      <c r="AY149" s="13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1" t="str">
        <f>VLOOKUP(A149,'Données projet'!$A$87:$I$107,2,0)</f>
        <v>#N/A</v>
      </c>
      <c r="BB149" s="131" t="str">
        <f>VLOOKUP(A149,'Données projet'!$A$87:$I$107,9,0)</f>
        <v>#N/A</v>
      </c>
      <c r="BC149" s="131" t="str">
        <f t="array" ref="BC149">INDEX(BB:BB,MIN(IF(ISNUMBER(BB149:BB345),ROW(BB149:BB345),"")))</f>
        <v/>
      </c>
      <c r="BD149" s="130">
        <f>IF('Données projet'!$A$88&gt;35,BD148+BC149-BL148,IF(A149&lt;'Données projet'!$A$88,$BA$205^A149,IF(A149='Données projet'!$A$88,'Données projet'!$B$88,BD148+BC149-BL148)))</f>
        <v>0</v>
      </c>
      <c r="BE149" s="130">
        <f>BD149*VLOOKUP('Données projet'!$B$11,'Paramètres'!$A$1:$I$89,3,0)*VLOOKUP('Données projet'!$B$11,'Paramètres'!$A$1:$I$89,5,0)</f>
        <v>0</v>
      </c>
      <c r="BF149" s="130" t="str">
        <f t="shared" si="38"/>
        <v>#NUM!</v>
      </c>
      <c r="BG149" s="141" t="str">
        <f t="shared" si="8"/>
        <v>#NUM!</v>
      </c>
      <c r="BH149" s="133" t="str">
        <f t="shared" si="9"/>
        <v>#NUM!</v>
      </c>
      <c r="BI149" s="133">
        <f>AVERAGE(OFFSET($BH$3,0,0,'Données projet'!$E$11+1,1))-AVERAGE(OFFSET($H$3,0,0,'Données projet'!$E$11+1,1))</f>
        <v>134.0948534</v>
      </c>
      <c r="BJ149" s="133">
        <f t="shared" si="39"/>
        <v>108.4102536</v>
      </c>
      <c r="BK149" s="134">
        <f>IF(ISNA(VLOOKUP(A149,'Données projet'!$A$87:$I$107,3,0)),0,VLOOKUP(A149,'Données projet'!$A$87:$I$107,3,0))</f>
        <v>0</v>
      </c>
      <c r="BL149" s="134">
        <f>IF(ISNA(VLOOKUP(A149,'Données projet'!$A$87:$I$107,4,0)),0,VLOOKUP(A149,'Données projet'!$A$87:$I$107,4,0))</f>
        <v>0</v>
      </c>
      <c r="BM149" s="135">
        <f>IF(ISNA(VLOOKUP(A149,'Données projet'!$A$87:$I$107,5,0)),0%,VLOOKUP(A149,'Données projet'!$A$87:$I$107,5,0)*VLOOKUP('Données projet'!$B$11,'Paramètres'!$A$1:$I$89,7,0))</f>
        <v>0</v>
      </c>
      <c r="BN149" s="135">
        <f>IF(ISNA(VLOOKUP(A149,'Données projet'!$A$87:$I$107,6,0)),0%,VLOOKUP(A149,'Données projet'!$A$87:$I$107,6,0)*VLOOKUP('Données projet'!$B$11,'Paramètres'!$A$1:$I$89,7,0))</f>
        <v>0</v>
      </c>
      <c r="BO149" s="135">
        <f>IF(ISNA(VLOOKUP(A149,'Données projet'!$A$87:$I$107,7,0)),0%,VLOOKUP(A149,'Données projet'!$A$87:$I$107,7,0))</f>
        <v>0</v>
      </c>
      <c r="BP149" s="142">
        <f>EXP(-LN(2)/35)*BP148+(1-EXP(-LN(2)/35))/(LN(2)/35)*BL149*BM149*VLOOKUP('Données projet'!$B$11,'Paramètres'!$A$1:$I$89,3,0)*0.475*44/12</f>
        <v>37.19267982</v>
      </c>
      <c r="BQ149" s="142">
        <f>EXP(-LN(2)/25)*BQ148+(1-EXP(-LN(2)/25))/(LN(2)/25)*Calculateur!BL149*Calculateur!BN149*VLOOKUP('Données projet'!$B$11,'Paramètres'!$A$1:$I$89,3,0)*0.475*44/12</f>
        <v>2.076708014</v>
      </c>
      <c r="BR149" s="142">
        <f>EXP(-LN(2)/2)*BR148+(1-EXP(-LN(2)/2))/(LN(2)/2)*BL149*BO149*VLOOKUP('Données projet'!$B$11,'Paramètres'!$A$1:$I$89,3,0)*0.475*44/12</f>
        <v>0</v>
      </c>
      <c r="BS149" s="143">
        <f t="shared" si="10"/>
        <v>39.26938783</v>
      </c>
      <c r="BT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1" t="str">
        <f>VLOOKUP(A149,'Données projet'!$A$113:$I$133,2,0)</f>
        <v>#N/A</v>
      </c>
      <c r="BW149" s="131" t="str">
        <f>VLOOKUP(A149,'Données projet'!$A$113:$I$133,9,0)</f>
        <v>#N/A</v>
      </c>
      <c r="BX149" s="131" t="str">
        <f t="array" ref="BX149">INDEX(BW:BW,MIN(IF(ISNUMBER(BW149:BW345),ROW(BW149:BW345),"")))</f>
        <v/>
      </c>
      <c r="BY149" s="130">
        <f>IF('Données projet'!$A$114&gt;35,BY148+BX149-CG148,IF(A149&lt;'Données projet'!$A$114,$BV$205^A149,IF(A149='Données projet'!$A$114,'Données projet'!$B$114,BY148+BX149-CG148)))</f>
        <v>0</v>
      </c>
      <c r="BZ149" s="130">
        <f>BY149*VLOOKUP('Données projet'!$B$12,'Paramètres'!$A$1:$I$89,3,0)*VLOOKUP('Données projet'!$B$12,'Paramètres'!$A$1:$I$89,5,0)</f>
        <v>0</v>
      </c>
      <c r="CA149" s="130" t="str">
        <f t="shared" si="40"/>
        <v>#NUM!</v>
      </c>
      <c r="CB149" s="141" t="str">
        <f t="shared" si="11"/>
        <v>#NUM!</v>
      </c>
      <c r="CC149" s="133" t="str">
        <f t="shared" si="12"/>
        <v>#NUM!</v>
      </c>
      <c r="CD149" s="133">
        <f>AVERAGE(OFFSET($CC$3,0,0,'Données projet'!$E$12+1,1))-AVERAGE(OFFSET($H$3,0,0,'Données projet'!$E$12+1,1))</f>
        <v>258.1672054</v>
      </c>
      <c r="CE149" s="133">
        <f t="shared" si="41"/>
        <v>296.0724261</v>
      </c>
      <c r="CF149" s="134">
        <f>IF(ISNA(VLOOKUP(A149,'Données projet'!$A$113:$I$133,3,0)),0,VLOOKUP(A149,'Données projet'!$A$113:$I$133,3,0))</f>
        <v>0</v>
      </c>
      <c r="CG149" s="134">
        <f>IF(ISNA(VLOOKUP(A149,'Données projet'!$A$113:$I$133,4,0)),0,VLOOKUP(A149,'Données projet'!$A$113:$I$133,4,0))</f>
        <v>0</v>
      </c>
      <c r="CH149" s="135">
        <f>IF(ISNA(VLOOKUP(A149,'Données projet'!$A$113:$I$133,5,0)),0%,VLOOKUP(A149,'Données projet'!$A$113:$I$133,5,0)*VLOOKUP('Données projet'!$B$12,'Paramètres'!$A$1:$I$89,7,0))</f>
        <v>0</v>
      </c>
      <c r="CI149" s="135">
        <f>IF(ISNA(VLOOKUP(A149,'Données projet'!$A$113:$I$133,6,0)),0%,VLOOKUP(A149,'Données projet'!$A$113:$I$133,6,0)*VLOOKUP('Données projet'!$B$12,'Paramètres'!$A$1:$I$89,7,0))</f>
        <v>0</v>
      </c>
      <c r="CJ149" s="135">
        <f>IF(ISNA(VLOOKUP(A149,'Données projet'!$A$113:$I$133,7,0)),0%,VLOOKUP(A149,'Données projet'!$A$113:$I$133,7,0))</f>
        <v>0</v>
      </c>
      <c r="CK149" s="142">
        <f>EXP(-LN(2)/35)*CK148+(1-EXP(-LN(2)/35))/(LN(2)/35)*CG149*CH149*VLOOKUP('Données projet'!$B$12,'Paramètres'!$A$1:$I$89,3,0)*0.475*44/12</f>
        <v>47.02292499</v>
      </c>
      <c r="CL149" s="142">
        <f>EXP(-LN(2)/25)*CL148+(1-EXP(-LN(2)/25))/(LN(2)/25)*Calculateur!CG149*Calculateur!CI149*VLOOKUP('Données projet'!$B$12,'Paramètres'!$A$1:$I$89,3,0)*0.475*44/12</f>
        <v>3.642663745</v>
      </c>
      <c r="CM149" s="142">
        <f>EXP(-LN(2)/2)*CM148+(1-EXP(-LN(2)/2))/(LN(2)/2)*CG149*CJ149*VLOOKUP('Données projet'!$B$12,'Paramètres'!$A$1:$I$89,3,0)*0.475*44/12</f>
        <v>0</v>
      </c>
      <c r="CN149" s="143">
        <f t="shared" si="13"/>
        <v>50.66558874</v>
      </c>
      <c r="CO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1" t="str">
        <f>VLOOKUP(A149,'Données projet'!$A$139:$I$159,2,0)</f>
        <v>#N/A</v>
      </c>
      <c r="CR149" s="131" t="str">
        <f>VLOOKUP(A149,'Données projet'!$A$139:$I$159,9,0)</f>
        <v>#N/A</v>
      </c>
      <c r="CS149" s="130">
        <f t="array" ref="CS149">INDEX(CR:CR,MIN(IF(ISNUMBER(CR149:CR345),ROW(CR149:CR345),"")))</f>
        <v>0.7</v>
      </c>
      <c r="CT149" s="138">
        <f>IF('Données projet'!$A$140&gt;35,CT148+CS149-DB148,IF(A149&lt;'Données projet'!$A$140,$CQ$205^A149,IF(A149='Données projet'!$A$140,'Données projet'!$B$140,CT148+CS149-DB148)))</f>
        <v>214.2</v>
      </c>
      <c r="CU149" s="138">
        <f>CT149*VLOOKUP('Données projet'!$B$13,'Paramètres'!$A$1:$I$89,3,0)*VLOOKUP('Données projet'!$B$13,'Paramètres'!$A$1:$I$89,5,0)</f>
        <v>217.1988</v>
      </c>
      <c r="CV149" s="130">
        <f t="shared" si="42"/>
        <v>53.50560542</v>
      </c>
      <c r="CW149" s="141">
        <f t="shared" si="14"/>
        <v>471.4768394</v>
      </c>
      <c r="CX149" s="133">
        <f t="shared" si="15"/>
        <v>764.8101728</v>
      </c>
      <c r="CY149" s="133">
        <f>AVERAGE(OFFSET($CX$3,0,0,'Données projet'!$E$13+1,1))-AVERAGE(OFFSET($H$3,0,0,'Données projet'!$E$13+1,1))</f>
        <v>223.783507</v>
      </c>
      <c r="CZ149" s="133">
        <f t="shared" si="43"/>
        <v>84.92349117</v>
      </c>
      <c r="DA149" s="134">
        <f>IF(ISNA(VLOOKUP(A149,'Données projet'!$A$139:$I$159,3,0)),0,VLOOKUP(A149,'Données projet'!$A$139:$I$159,3,0))</f>
        <v>0</v>
      </c>
      <c r="DB149" s="134">
        <f>IF(ISNA(VLOOKUP(A149,'Données projet'!$A$139:$I$159,4,0)),0,VLOOKUP(A149,'Données projet'!$A$139:$I$159,4,0))</f>
        <v>0</v>
      </c>
      <c r="DC149" s="135">
        <f>IF(ISNA(VLOOKUP(A149,'Données projet'!$A$139:$I$159,5,0)),0%,VLOOKUP(A149,'Données projet'!$A$139:$I$159,5,0)*VLOOKUP('Données projet'!$B$13,'Paramètres'!$A$1:$I$89,7,0))</f>
        <v>0</v>
      </c>
      <c r="DD149" s="135">
        <f>IF(ISNA(VLOOKUP(A149,'Données projet'!$A$139:$I$159,6,0)),0%,VLOOKUP(A149,'Données projet'!$A$139:$I$159,6,0)*VLOOKUP('Données projet'!$B$13,'Paramètres'!$A$1:$I$89,7,0))</f>
        <v>0</v>
      </c>
      <c r="DE149" s="135">
        <f>IF(ISNA(VLOOKUP(A149,'Données projet'!$A$139:$I$159,7,0)),0%,VLOOKUP(A149,'Données projet'!$A$139:$I$159,7,0))</f>
        <v>0</v>
      </c>
      <c r="DF149" s="142">
        <f>EXP(-LN(2)/35)*DF148+(1-EXP(-LN(2)/35))/(LN(2)/35)*DB149*DC149*VLOOKUP('Données projet'!$B$13,'Paramètres'!$A$1:$I$89,3,0)*0.475*44/12</f>
        <v>18.87683994</v>
      </c>
      <c r="DG149" s="142">
        <f>EXP(-LN(2)/25)*DG148+(1-EXP(-LN(2)/25))/(LN(2)/25)*Calculateur!DB149*Calculateur!DD149*VLOOKUP('Données projet'!$B$13,'Paramètres'!$A$1:$I$89,3,0)*0.475*44/12</f>
        <v>0</v>
      </c>
      <c r="DH149" s="142">
        <f>EXP(-LN(2)/2)*DH148+(1-EXP(-LN(2)/2))/(LN(2)/2)*DB149*DE149*VLOOKUP('Données projet'!$B$13,'Paramètres'!$A$1:$I$89,3,0)*0.475*44/12</f>
        <v>0</v>
      </c>
      <c r="DI149" s="143">
        <f t="shared" si="16"/>
        <v>18.87683994</v>
      </c>
      <c r="DJ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1" t="str">
        <f>VLOOKUP(A149,'Données projet'!$A$165:$I$185,2,0)</f>
        <v>#N/A</v>
      </c>
      <c r="DM149" s="131" t="str">
        <f>VLOOKUP(A149,'Données projet'!$A$165:$I$185,9,0)</f>
        <v>#N/A</v>
      </c>
      <c r="DN149" s="131">
        <f t="array" ref="DN149">INDEX(DM:DM,MIN(IF(ISNUMBER(DM149:DM345),ROW(DM149:DM345),"")))</f>
        <v>0.55</v>
      </c>
      <c r="DO149" s="138">
        <f>IF('Données projet'!$A$166&gt;35,DO148+DN149-DW148,IF(A149&lt;'Données projet'!$A$166,$DL$205^A149,IF(A149='Données projet'!$A$166,'Données projet'!$B$166,DO148+DN149-DW148)))</f>
        <v>277.8</v>
      </c>
      <c r="DP149" s="138">
        <f>DO149*VLOOKUP('Données projet'!$B$14,'Paramètres'!$A$1:$I$89,3,0)*VLOOKUP('Données projet'!$B$14,'Paramètres'!$A$1:$I$89,5,0)</f>
        <v>251.35344</v>
      </c>
      <c r="DQ149" s="130">
        <f t="shared" si="44"/>
        <v>60.87566853</v>
      </c>
      <c r="DR149" s="141">
        <f t="shared" si="17"/>
        <v>543.7990307</v>
      </c>
      <c r="DS149" s="133">
        <f t="shared" si="18"/>
        <v>837.132364</v>
      </c>
      <c r="DT149" s="133">
        <f>AVERAGE(OFFSET($DS$3,0,0,'Données projet'!$E$14+1,1))-AVERAGE(OFFSET($H$3,0,0,'Données projet'!$E$14+1,1))</f>
        <v>287.9334714</v>
      </c>
      <c r="DU149" s="133">
        <f t="shared" si="45"/>
        <v>156.6796502</v>
      </c>
      <c r="DV149" s="134">
        <f>IF(ISNA(VLOOKUP(A149,'Données projet'!$A$165:$I$185,3,0)),0,VLOOKUP(A149,'Données projet'!$A$165:$I$185,3,0))</f>
        <v>0</v>
      </c>
      <c r="DW149" s="134">
        <f>IF(ISNA(VLOOKUP(A149,'Données projet'!$A$165:$I$185,4,0)),0,VLOOKUP(A149,'Données projet'!$A$165:$I$185,4,0))</f>
        <v>0</v>
      </c>
      <c r="DX149" s="135">
        <f>IF(ISNA(VLOOKUP(A149,'Données projet'!$A$165:$I$185,5,0)),0%,VLOOKUP(A149,'Données projet'!$A$165:$I$185,5,0)*VLOOKUP('Données projet'!$B$14,'Paramètres'!$A$1:$I$89,7,0))</f>
        <v>0</v>
      </c>
      <c r="DY149" s="135">
        <f>IF(ISNA(VLOOKUP(A149,'Données projet'!$A$165:$I$185,6,0)),0%,VLOOKUP(A149,'Données projet'!$A$165:$I$185,6,0)*VLOOKUP('Données projet'!$B$14,'Paramètres'!$A$1:$I$89,7,0))</f>
        <v>0</v>
      </c>
      <c r="DZ149" s="135">
        <f>IF(ISNA(VLOOKUP(A149,'Données projet'!$A$165:$I$185,7,0)),0%,VLOOKUP(A149,'Données projet'!$A$165:$I$185,7,0))</f>
        <v>0</v>
      </c>
      <c r="EA149" s="142">
        <f>EXP(-LN(2)/35)*EA148+(1-EXP(-LN(2)/35))/(LN(2)/35)*DW149*DX149*VLOOKUP('Données projet'!$B$14,'Paramètres'!$A$1:$I$89,3,0)*0.475*44/12</f>
        <v>22.9844065</v>
      </c>
      <c r="EB149" s="142">
        <f>EXP(-LN(2)/25)*EB148+(1-EXP(-LN(2)/25))/(LN(2)/25)*Calculateur!DW149*Calculateur!DY149*VLOOKUP('Données projet'!$B$14,'Paramètres'!$A$1:$I$89,3,0)*0.475*44/12</f>
        <v>0</v>
      </c>
      <c r="EC149" s="142">
        <f>EXP(-LN(2)/2)*EC148+(1-EXP(-LN(2)/2))/(LN(2)/2)*DW149*DZ149*VLOOKUP('Données projet'!$B$14,'Paramètres'!$A$1:$I$89,3,0)*0.475*44/12</f>
        <v>0</v>
      </c>
      <c r="ED149" s="143">
        <f t="shared" si="19"/>
        <v>22.9844065</v>
      </c>
      <c r="EE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1" t="str">
        <f>VLOOKUP(A149,'Données projet'!$A$191:$I$211,2,0)</f>
        <v>#N/A</v>
      </c>
      <c r="EH149" s="131" t="str">
        <f>VLOOKUP(A149,'Données projet'!$A$191:$I$211,9,0)</f>
        <v>#N/A</v>
      </c>
      <c r="EI149" s="131" t="str">
        <f t="array" ref="EI149">INDEX(EH:EH,MIN(IF(ISNUMBER(EH149:EH345),ROW(EH149:EH345),"")))</f>
        <v/>
      </c>
      <c r="EJ149" s="138">
        <f>IF('Données projet'!$A$192&gt;35,EJ148+EI149-ER148,IF(A149&lt;'Données projet'!$A$192,$EG$205^A149,IF(A149='Données projet'!$A$192,'Données projet'!$B$192,EJ148+EI149-ER148)))</f>
        <v>0</v>
      </c>
      <c r="EK149" s="138">
        <f>EJ149*VLOOKUP('Données projet'!$B$15,'Paramètres'!$A$1:$I$89,3,0)*VLOOKUP('Données projet'!$B$15,'Paramètres'!$A$1:$I$89,5,0)</f>
        <v>0</v>
      </c>
      <c r="EL149" s="130" t="str">
        <f t="shared" si="46"/>
        <v>#NUM!</v>
      </c>
      <c r="EM149" s="141" t="str">
        <f t="shared" si="20"/>
        <v>#NUM!</v>
      </c>
      <c r="EN149" s="133" t="str">
        <f t="shared" si="21"/>
        <v>#NUM!</v>
      </c>
      <c r="EO149" s="133">
        <f>AVERAGE(OFFSET($EN$3,0,0,'Données projet'!$E$15+1,1))-AVERAGE(OFFSET($H$3,0,0,'Données projet'!$E$15+1,1))</f>
        <v>130.3193339</v>
      </c>
      <c r="EP149" s="133">
        <f t="shared" si="47"/>
        <v>82.22784365</v>
      </c>
      <c r="EQ149" s="134">
        <f>IF(ISNA(VLOOKUP(A149,'Données projet'!$A$191:$I$211,3,0)),0,VLOOKUP(A149,'Données projet'!$A$191:$I$211,3,0))</f>
        <v>0</v>
      </c>
      <c r="ER149" s="134">
        <f>IF(ISNA(VLOOKUP(A149,'Données projet'!$A$191:$I$211,4,0)),0,VLOOKUP(A149,'Données projet'!$A$191:$I$211,4,0))</f>
        <v>0</v>
      </c>
      <c r="ES149" s="135">
        <f>IF(ISNA(VLOOKUP(A149,'Données projet'!$A$191:$I$211,5,0)),0%,VLOOKUP(A149,'Données projet'!$A$191:$I$211,5,0)*VLOOKUP('Données projet'!$B$15,'Paramètres'!$A$1:$I$89,7,0))</f>
        <v>0</v>
      </c>
      <c r="ET149" s="135">
        <f>IF(ISNA(VLOOKUP(A149,'Données projet'!$A$191:$I$211,6,0)),0%,VLOOKUP(A149,'Données projet'!$A$191:$I$211,6,0)*VLOOKUP('Données projet'!$B$15,'Paramètres'!$A$1:$I$89,7,0))</f>
        <v>0</v>
      </c>
      <c r="EU149" s="135">
        <f>IF(ISNA(VLOOKUP(A149,'Données projet'!$A$191:$I$211,7,0)),0%,VLOOKUP(A149,'Données projet'!$A$191:$I$211,7,0))</f>
        <v>0</v>
      </c>
      <c r="EV149" s="142">
        <f>EXP(-LN(2)/35)*EV148+(1-EXP(-LN(2)/35))/(LN(2)/35)*ER149*ES149*VLOOKUP('Données projet'!$B$15,'Paramètres'!$A$1:$I$89,3,0)*0.475*44/12</f>
        <v>28.75354586</v>
      </c>
      <c r="EW149" s="142">
        <f>EXP(-LN(2)/25)*EW148+(1-EXP(-LN(2)/25))/(LN(2)/25)*Calculateur!ER149*Calculateur!ET149*VLOOKUP('Données projet'!$B$15,'Paramètres'!$A$1:$I$89,3,0)*0.475*44/12</f>
        <v>0</v>
      </c>
      <c r="EX149" s="142">
        <f>EXP(-LN(2)/2)*EX148+(1-EXP(-LN(2)/2))/(LN(2)/2)*ER149*EU149*VLOOKUP('Données projet'!$B$15,'Paramètres'!$A$1:$I$89,3,0)*0.475*44/12</f>
        <v>0</v>
      </c>
      <c r="EY149" s="143">
        <f t="shared" si="22"/>
        <v>28.75354586</v>
      </c>
      <c r="EZ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1" t="str">
        <f>VLOOKUP(A149,'Données projet'!$A$217:$I$237,2,0)</f>
        <v>#N/A</v>
      </c>
      <c r="FC149" s="131" t="str">
        <f>VLOOKUP(A149,'Données projet'!$A$217:$I$237,9,0)</f>
        <v>#N/A</v>
      </c>
      <c r="FD149" s="131" t="str">
        <f t="array" ref="FD149">INDEX(FC:FC,MIN(IF(ISNUMBER(FC149:FC345),ROW(FC149:FC345),"")))</f>
        <v/>
      </c>
      <c r="FE149" s="130">
        <f>IF('Données projet'!$A$218&gt;35,FE148+FD149-FM148,IF(A149&lt;'Données projet'!$A$218,$FB$205^A149,IF(A149='Données projet'!$A$218,'Données projet'!$B$218,FE148+FD149-FM148)))</f>
        <v>0</v>
      </c>
      <c r="FF149" s="138">
        <f>FE149*VLOOKUP('Données projet'!$B$16,'Paramètres'!$A$1:$I$89,3,0)*VLOOKUP('Données projet'!$B$16,'Paramètres'!$A$1:$I$89,5,0)</f>
        <v>0</v>
      </c>
      <c r="FG149" s="130">
        <f t="shared" si="48"/>
        <v>0</v>
      </c>
      <c r="FH149" s="141">
        <f t="shared" si="23"/>
        <v>0</v>
      </c>
      <c r="FI149" s="133">
        <f t="shared" si="24"/>
        <v>293.3333333</v>
      </c>
      <c r="FJ149" s="133">
        <f>AVERAGE(OFFSET($FI$3,0,0,'Données projet'!$E$16+1,1))-AVERAGE(OFFSET($H$3,0,0,'Données projet'!$E$16+1,1))</f>
        <v>305.6252353</v>
      </c>
      <c r="FK149" s="133">
        <f t="shared" si="49"/>
        <v>331.397916</v>
      </c>
      <c r="FL149" s="134">
        <f>IF(ISNA(VLOOKUP(A149,'Données projet'!$A$217:$I$237,3,0)),0,VLOOKUP(A149,'Données projet'!$A$217:$I$237,3,0))</f>
        <v>0</v>
      </c>
      <c r="FM149" s="134">
        <f>IF(ISNA(VLOOKUP(A149,'Données projet'!$A$217:$I$237,4,0)),0,VLOOKUP(A149,'Données projet'!$A$217:$I$237,4,0))</f>
        <v>0</v>
      </c>
      <c r="FN149" s="135">
        <f>IF(ISNA(VLOOKUP(A149,'Données projet'!$A$217:$I$237,5,0)),0%,VLOOKUP(A149,'Données projet'!$A$217:$I$237,5,0)*VLOOKUP('Données projet'!$B$16,'Paramètres'!$A$1:$I$89,7,0))</f>
        <v>0</v>
      </c>
      <c r="FO149" s="135">
        <f>IF(ISNA(VLOOKUP(A149,'Données projet'!$A$217:$I$237,6,0)),0%,VLOOKUP(A149,'Données projet'!$A$217:$I$237,6,0)*VLOOKUP('Données projet'!$B$16,'Paramètres'!$A$1:$I$89,7,0))</f>
        <v>0</v>
      </c>
      <c r="FP149" s="135">
        <f>IF(ISNA(VLOOKUP(A149,'Données projet'!$A$217:$I$237,7,0)),0%,VLOOKUP(A149,'Données projet'!$A$217:$I$237,7,0))</f>
        <v>0</v>
      </c>
      <c r="FQ149" s="142">
        <f>EXP(-LN(2)/35)*FQ148+(1-EXP(-LN(2)/35))/(LN(2)/35)*FM149*FN149*VLOOKUP('Données projet'!$B$16,'Paramètres'!$A$1:$I$89,3,0)*0.475*44/12</f>
        <v>17.90281696</v>
      </c>
      <c r="FR149" s="142">
        <f>EXP(-LN(2)/25)*FR148+(1-EXP(-LN(2)/25))/(LN(2)/25)*Calculateur!FM149*Calculateur!FO149*VLOOKUP('Données projet'!$B$16,'Paramètres'!$A$1:$I$89,3,0)*0.475*44/12</f>
        <v>0</v>
      </c>
      <c r="FS149" s="142">
        <f>EXP(-LN(2)/2)*FS148+(1-EXP(-LN(2)/2))/(LN(2)/2)*FM149*FP149*VLOOKUP('Données projet'!$B$16,'Paramètres'!$A$1:$I$89,3,0)*0.475*44/12</f>
        <v>0</v>
      </c>
      <c r="FT149" s="143">
        <f t="shared" si="25"/>
        <v>17.90281696</v>
      </c>
      <c r="FU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1" t="str">
        <f>VLOOKUP(A149,'Données projet'!$A$243:$I$263,2,0)</f>
        <v>#N/A</v>
      </c>
      <c r="FX149" s="131" t="str">
        <f>VLOOKUP(A149,'Données projet'!$A$243:$I$263,9,0)</f>
        <v>#N/A</v>
      </c>
      <c r="FY149" s="131" t="str">
        <f t="array" ref="FY149">INDEX(FX:FX,MIN(IF(ISNUMBER(FX149:FX345),ROW(FX149:FX345),"")))</f>
        <v/>
      </c>
      <c r="FZ149" s="138">
        <f>IF('Données projet'!$A$244&gt;35,FZ148+FY149-GH148,IF(A149&lt;'Données projet'!$A$244,$FW$205^A149,IF(A149='Données projet'!$A$244,'Données projet'!$B$244,FZ148+FY149-GH148)))</f>
        <v>0</v>
      </c>
      <c r="GA149" s="138">
        <f>FZ149*VLOOKUP('Données projet'!$B$17,'Paramètres'!$A$1:$I$89,3,0)*VLOOKUP('Données projet'!$B$17,'Paramètres'!$A$1:$I$89,5,0)</f>
        <v>0</v>
      </c>
      <c r="GB149" s="130">
        <f t="shared" si="50"/>
        <v>0</v>
      </c>
      <c r="GC149" s="141">
        <f t="shared" si="26"/>
        <v>0</v>
      </c>
      <c r="GD149" s="133">
        <f t="shared" si="27"/>
        <v>293.3333333</v>
      </c>
      <c r="GE149" s="133">
        <f>AVERAGE(OFFSET($GD$3,0,0,'Données projet'!$E$17+1,1))-AVERAGE(OFFSET($H$3,0,0,'Données projet'!$E$17+1,1))</f>
        <v>118.7368745</v>
      </c>
      <c r="GF149" s="133">
        <f t="shared" si="51"/>
        <v>135.1233677</v>
      </c>
      <c r="GG149" s="134">
        <f>IF(ISNA(VLOOKUP(A149,'Données projet'!$A$243:$I$263,3,0)),0,VLOOKUP(A149,'Données projet'!$A$243:$I$263,3,0))</f>
        <v>0</v>
      </c>
      <c r="GH149" s="134">
        <f>IF(ISNA(VLOOKUP(A149,'Données projet'!$A$243:$I$263,4,0)),0,VLOOKUP(A149,'Données projet'!$A$243:$I$263,4,0))</f>
        <v>0</v>
      </c>
      <c r="GI149" s="135">
        <f>IF(ISNA(VLOOKUP(A149,'Données projet'!$A$243:$I$263,5,0)),0%,VLOOKUP(A149,'Données projet'!$A$243:$I$263,5,0)*VLOOKUP('Données projet'!$B$17,'Paramètres'!$A$1:$I$89,7,0))</f>
        <v>0</v>
      </c>
      <c r="GJ149" s="135">
        <f>IF(ISNA(VLOOKUP(A149,'Données projet'!$A$243:$I$263,6,0)),0%,VLOOKUP(A149,'Données projet'!$A$243:$I$263,6,0)*VLOOKUP('Données projet'!$B$17,'Paramètres'!$A$1:$I$89,7,0))</f>
        <v>0</v>
      </c>
      <c r="GK149" s="135">
        <f>IF(ISNA(VLOOKUP(A149,'Données projet'!$A$243:$I$263,7,0)),0%,VLOOKUP(A149,'Données projet'!$A$243:$I$263,7,0))</f>
        <v>0</v>
      </c>
      <c r="GL149" s="142">
        <f>EXP(-LN(2)/35)*GL148+(1-EXP(-LN(2)/35))/(LN(2)/35)*GH149*GI149*VLOOKUP('Données projet'!$B$17,'Paramètres'!$A$1:$I$89,3,0)*0.475*44/12</f>
        <v>18.91427075</v>
      </c>
      <c r="GM149" s="142">
        <f>EXP(-LN(2)/25)*GM148+(1-EXP(-LN(2)/25))/(LN(2)/25)*Calculateur!GH149*Calculateur!GJ149*VLOOKUP('Données projet'!$B$17,'Paramètres'!$A$1:$I$89,3,0)*0.475*44/12</f>
        <v>0</v>
      </c>
      <c r="GN149" s="142">
        <f>EXP(-LN(2)/2)*GN148+(1-EXP(-LN(2)/2))/(LN(2)/2)*GH149*GK149*VLOOKUP('Données projet'!$B$17,'Paramètres'!$A$1:$I$89,3,0)*0.475*44/12</f>
        <v>0</v>
      </c>
      <c r="GO149" s="142">
        <f t="shared" si="28"/>
        <v>18.91427075</v>
      </c>
      <c r="GP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1" t="str">
        <f>VLOOKUP(A149,'Données projet'!$A$269:$I$289,2,0)</f>
        <v>#N/A</v>
      </c>
      <c r="GS149" s="131" t="str">
        <f>VLOOKUP(A149,'Données projet'!$A$269:$I$289,9,0)</f>
        <v>#N/A</v>
      </c>
      <c r="GT149" s="131" t="str">
        <f t="array" ref="GT149">INDEX(GS:GS,MIN(IF(ISNUMBER(GS149:GS345),ROW(GS149:GS345),"")))</f>
        <v/>
      </c>
      <c r="GU149" s="138">
        <f>IF('Données projet'!$A$270&gt;35,GU148+GT149-HC148,IF(A149&lt;'Données projet'!$A$270,$GR$205^A149,IF(A149='Données projet'!$A$270,'Données projet'!$B$270,GU148+GT149-HC148)))</f>
        <v>0</v>
      </c>
      <c r="GV149" s="138">
        <f>GU149*VLOOKUP('Données projet'!$B$18,'Paramètres'!$A$1:$I$89,3,0)*VLOOKUP('Données projet'!$B$18,'Paramètres'!$A$1:$I$89,5,0)</f>
        <v>0</v>
      </c>
      <c r="GW149" s="130" t="str">
        <f t="shared" si="52"/>
        <v>#NUM!</v>
      </c>
      <c r="GX149" s="141" t="str">
        <f t="shared" si="29"/>
        <v>#NUM!</v>
      </c>
      <c r="GY149" s="133" t="str">
        <f t="shared" si="30"/>
        <v>#NUM!</v>
      </c>
      <c r="GZ149" s="133">
        <f>AVERAGE(OFFSET($GY$3,0,0,'Données projet'!$E$18+1,1))-AVERAGE(OFFSET($H$3,0,0,'Données projet'!$E$18+1,1))</f>
        <v>100.5427875</v>
      </c>
      <c r="HA149" s="133">
        <f t="shared" si="53"/>
        <v>92.28663609</v>
      </c>
      <c r="HB149" s="134">
        <f>IF(ISNA(VLOOKUP(A149,'Données projet'!$A$269:$I$289,3,0)),0,VLOOKUP(A149,'Données projet'!$A$269:$I$289,3,0))</f>
        <v>0</v>
      </c>
      <c r="HC149" s="134">
        <f>IF(ISNA(VLOOKUP(A149,'Données projet'!$A$269:$I$289,4,0)),0,VLOOKUP(A149,'Données projet'!$A$269:$I$289,4,0))</f>
        <v>0</v>
      </c>
      <c r="HD149" s="135">
        <f>IF(ISNA(VLOOKUP(A149,'Données projet'!$A$269:$I$289,5,0)),0%,VLOOKUP(A149,'Données projet'!$A$269:$I$289,5,0)*VLOOKUP('Données projet'!$B$18,'Paramètres'!$A$1:$I$89,7,0))</f>
        <v>0</v>
      </c>
      <c r="HE149" s="135">
        <f>IF(ISNA(VLOOKUP(A149,'Données projet'!$A$269:$I$289,6,0)),0%,VLOOKUP(A149,'Données projet'!$A$269:$I$289,6,0)*VLOOKUP('Données projet'!$B$18,'Paramètres'!$A$1:$I$89,7,0))</f>
        <v>0</v>
      </c>
      <c r="HF149" s="135">
        <f>IF(ISNA(VLOOKUP(A149,'Données projet'!$A$269:$I$289,7,0)),0%,VLOOKUP(A149,'Données projet'!$A$269:$I$289,7,0))</f>
        <v>0</v>
      </c>
      <c r="HG149" s="142">
        <f>EXP(-LN(2)/35)*HG148+(1-EXP(-LN(2)/35))/(LN(2)/35)*HC149*HD149*VLOOKUP('Données projet'!$B$18,'Paramètres'!$A$1:$I$89,3,0)*0.475*44/12</f>
        <v>12.88021936</v>
      </c>
      <c r="HH149" s="142">
        <f>EXP(-LN(2)/25)*HH148+(1-EXP(-LN(2)/25))/(LN(2)/25)*Calculateur!HC149*Calculateur!HE149*VLOOKUP('Données projet'!$B$18,'Paramètres'!$A$1:$I$89,3,0)*0.475*44/12</f>
        <v>0</v>
      </c>
      <c r="HI149" s="142">
        <f>EXP(-LN(2)/2)*HI148+(1-EXP(-LN(2)/2))/(LN(2)/2)*HC149*HF149*VLOOKUP('Données projet'!$B$18,'Paramètres'!$A$1:$I$89,3,0)*0.475*44/12</f>
        <v>0</v>
      </c>
      <c r="HJ149" s="143">
        <f t="shared" si="31"/>
        <v>12.88021936</v>
      </c>
    </row>
    <row r="150" ht="15.75" customHeight="1">
      <c r="A150" s="125">
        <f t="shared" si="32"/>
        <v>147</v>
      </c>
      <c r="B150" s="126">
        <f>'Scénario référence'!$B$16*5+'Scénario référence'!$B$17*0+'Scénario référence'!$B$18*5</f>
        <v>0</v>
      </c>
      <c r="C150" s="140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80.262</v>
      </c>
      <c r="D150" s="127">
        <f t="shared" si="33"/>
        <v>22.2012323</v>
      </c>
      <c r="E15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7">
        <f>IF(OR('Scénario référence'!$F$8&gt;0,'Scénario référence'!$F$9&gt;0),('Scénario référence'!$F$8+'Scénario référence'!$F$9)*10,0)</f>
        <v>10</v>
      </c>
      <c r="G150" s="127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790.9442493</v>
      </c>
      <c r="H150" s="128">
        <f t="shared" si="1"/>
        <v>471.7901296</v>
      </c>
      <c r="I150" s="12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1" t="str">
        <f>VLOOKUP(A150,'Données projet'!$A$35:$I$55,2,0)</f>
        <v>#N/A</v>
      </c>
      <c r="L150" s="131" t="str">
        <f>VLOOKUP(A150,'Données projet'!$A$35:$I$55,9,0)</f>
        <v>#N/A</v>
      </c>
      <c r="M150" s="131" t="str">
        <f t="array" ref="M150">INDEX(L:L,MIN(IF(ISNUMBER(L150:L346),ROW(L150:L346),"")))</f>
        <v/>
      </c>
      <c r="N150" s="130">
        <f>IF('Données projet'!$A$36&gt;35,N149+M150-V149,IF(A150&lt;'Données projet'!$A$36,$K$205^A150,IF(A150='Données projet'!$A$36,'Données projet'!$B$36,N149+M150-V149)))</f>
        <v>0</v>
      </c>
      <c r="O150" s="130">
        <f>N150*VLOOKUP('Données projet'!$B$9,'Paramètres'!$A$1:$I$89,3,0)*VLOOKUP('Données projet'!$B$9,'Paramètres'!$A$1:$I$89,5,0)</f>
        <v>0</v>
      </c>
      <c r="P150" s="130">
        <f t="shared" si="34"/>
        <v>0</v>
      </c>
      <c r="Q150" s="141">
        <f t="shared" si="2"/>
        <v>0</v>
      </c>
      <c r="R150" s="133">
        <f t="shared" si="3"/>
        <v>293.3333333</v>
      </c>
      <c r="S150" s="133">
        <f>AVERAGE(OFFSET($R$3,0,0,'Données projet'!$E$9+1,1))-AVERAGE(OFFSET($H$3,0,0,'Données projet'!$E$9+1,1))</f>
        <v>126.9946492</v>
      </c>
      <c r="T150" s="133">
        <f t="shared" si="35"/>
        <v>140.039049</v>
      </c>
      <c r="U150" s="134">
        <f>IF(ISNA(VLOOKUP(A150,'Données projet'!$A$35:$I$55,3,0)),0,VLOOKUP(A150,'Données projet'!$A$35:$I$55,3,0))</f>
        <v>0</v>
      </c>
      <c r="V150" s="134">
        <f>IF(ISNA(VLOOKUP(A150,'Données projet'!$A$35:$I$55,4,0)),0,VLOOKUP(A150,'Données projet'!$A$35:$I$55,4,0))</f>
        <v>0</v>
      </c>
      <c r="W150" s="135">
        <f>IF(ISNA(VLOOKUP(A150,'Données projet'!$A$35:$I$55,5,0)),0%,VLOOKUP(A150,'Données projet'!$A$35:$I$55,5,0)*VLOOKUP('Données projet'!$B$9,'Paramètres'!$A$1:$I$89,7,0))</f>
        <v>0</v>
      </c>
      <c r="X150" s="135">
        <f>IF(ISNA(VLOOKUP(A150,'Données projet'!$A$35:$I$55,6,0)),0%,VLOOKUP(A150,'Données projet'!$A$35:$I$55,6,0)*VLOOKUP('Données projet'!$B$9,'Paramètres'!$A$1:$I$89,7,0))</f>
        <v>0</v>
      </c>
      <c r="Y150" s="135">
        <f>IF(ISNA(VLOOKUP(A150,'Données projet'!$A$35:$I$55,7,0)),0%,VLOOKUP(A150,'Données projet'!$A$35:$I$55,7,0))</f>
        <v>0</v>
      </c>
      <c r="Z150" s="142">
        <f>EXP(-LN(2)/35)*Z149+(1-EXP(-LN(2)/35))/(LN(2)/35)*V150*W150*VLOOKUP('Données projet'!$B$9,'Paramètres'!$A$1:$I$89,3,0)*0.475*44/12</f>
        <v>18.96574321</v>
      </c>
      <c r="AA150" s="142">
        <f>EXP(-LN(2)/25)*AA149+(1-EXP(-LN(2)/25))/(LN(2)/25)*Calculateur!V150*Calculateur!X150*VLOOKUP('Données projet'!$B$9,'Paramètres'!$A$1:$I$89,3,0)*0.475*44/12</f>
        <v>2.082698774</v>
      </c>
      <c r="AB150" s="142">
        <f>EXP(-LN(2)/2)*AB149+(1-EXP(-LN(2)/2))/(LN(2)/2)*V150*Y150*VLOOKUP('Données projet'!$B$9,'Paramètres'!$A$1:$I$89,3,0)*0.475*44/12</f>
        <v>0</v>
      </c>
      <c r="AC150" s="143">
        <f t="shared" si="4"/>
        <v>21.04844198</v>
      </c>
      <c r="AD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1" t="str">
        <f>VLOOKUP(A150,'Données projet'!$A$61:$I$81,2,0)</f>
        <v>#N/A</v>
      </c>
      <c r="AG150" s="131" t="str">
        <f>VLOOKUP(A150,'Données projet'!$A$61:$I$81,9,0)</f>
        <v>#N/A</v>
      </c>
      <c r="AH150" s="131" t="str">
        <f t="array" ref="AH150">INDEX(AG:AG,MIN(IF(ISNUMBER(AG150:AG346),ROW(AG150:AG346),"")))</f>
        <v/>
      </c>
      <c r="AI150" s="130">
        <f>IF('Données projet'!$A$62&gt;35,AI149+AH150-AQ149,IF(A150&lt;'Données projet'!$A$62,$AF$205^A150,IF(A150='Données projet'!$A$62,'Données projet'!$B$62,AI149+AH150-AQ149)))</f>
        <v>0</v>
      </c>
      <c r="AJ150" s="130">
        <f>AI150*VLOOKUP('Données projet'!$B$10,'Paramètres'!$A$1:$I$89,3,0)*VLOOKUP('Données projet'!$B$10,'Paramètres'!$A$1:$I$89,5,0)</f>
        <v>0</v>
      </c>
      <c r="AK150" s="130" t="str">
        <f t="shared" si="36"/>
        <v>#NUM!</v>
      </c>
      <c r="AL150" s="141" t="str">
        <f t="shared" si="5"/>
        <v>#NUM!</v>
      </c>
      <c r="AM150" s="133" t="str">
        <f t="shared" si="6"/>
        <v>#NUM!</v>
      </c>
      <c r="AN150" s="133">
        <f>AVERAGE(OFFSET($AM$3,0,0,'Données projet'!$E$10+1,1))-AVERAGE(OFFSET($H$3,0,0,'Données projet'!$E$10+1,1))</f>
        <v>196.874484</v>
      </c>
      <c r="AO150" s="133">
        <f t="shared" si="37"/>
        <v>217.5750859</v>
      </c>
      <c r="AP150" s="134">
        <f>IF(ISNA(VLOOKUP(A150,'Données projet'!$A$61:$I$81,3,0)),0,VLOOKUP(A150,'Données projet'!$A$61:$I$81,3,0))</f>
        <v>0</v>
      </c>
      <c r="AQ150" s="134">
        <f>IF(ISNA(VLOOKUP(A150,'Données projet'!$A$61:$I$81,4,0)),0,VLOOKUP(A150,'Données projet'!$A$61:$I$81,4,0))</f>
        <v>0</v>
      </c>
      <c r="AR150" s="135">
        <f>IF(ISNA(VLOOKUP(A150,'Données projet'!$A$61:$I$81,5,0)),0%,VLOOKUP(A150,'Données projet'!$A$61:$I$81,5,0)*VLOOKUP('Données projet'!$B$10,'Paramètres'!$A$1:$I$89,7,0))</f>
        <v>0</v>
      </c>
      <c r="AS150" s="135">
        <f>IF(ISNA(VLOOKUP(A150,'Données projet'!$A$61:$I$81,6,0)),0%,VLOOKUP(A150,'Données projet'!$A$61:$I$81,6,0)*VLOOKUP('Données projet'!$B$10,'Paramètres'!$A$1:$I$89,7,0))</f>
        <v>0</v>
      </c>
      <c r="AT150" s="135">
        <f>IF(ISNA(VLOOKUP(A150,'Données projet'!$A$61:$I$81,7,0)),0%,VLOOKUP(A150,'Données projet'!$A$61:$I$81,7,0))</f>
        <v>0</v>
      </c>
      <c r="AU150" s="142">
        <f>EXP(-LN(2)/35)*AU149+(1-EXP(-LN(2)/35))/(LN(2)/35)*AQ150*AR150*VLOOKUP('Données projet'!$B$10,'Paramètres'!$A$1:$I$89,3,0)*0.475*44/12</f>
        <v>26.36184436</v>
      </c>
      <c r="AV150" s="142">
        <f>EXP(-LN(2)/25)*AV149+(1-EXP(-LN(2)/25))/(LN(2)/25)*Calculateur!AQ150*Calculateur!AS150*VLOOKUP('Données projet'!$B$10,'Paramètres'!$A$1:$I$89,3,0)*0.475*44/12</f>
        <v>3.202152148</v>
      </c>
      <c r="AW150" s="142">
        <f>EXP(-LN(2)/2)*AW149+(1-EXP(-LN(2)/2))/(LN(2)/2)*AQ150*AT150*VLOOKUP('Données projet'!$B$10,'Paramètres'!$A$1:$I$89,3,0)*0.475*44/12</f>
        <v>0</v>
      </c>
      <c r="AX150" s="142">
        <f t="shared" si="7"/>
        <v>29.56399651</v>
      </c>
      <c r="AY150" s="13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1" t="str">
        <f>VLOOKUP(A150,'Données projet'!$A$87:$I$107,2,0)</f>
        <v>#N/A</v>
      </c>
      <c r="BB150" s="131" t="str">
        <f>VLOOKUP(A150,'Données projet'!$A$87:$I$107,9,0)</f>
        <v>#N/A</v>
      </c>
      <c r="BC150" s="131" t="str">
        <f t="array" ref="BC150">INDEX(BB:BB,MIN(IF(ISNUMBER(BB150:BB346),ROW(BB150:BB346),"")))</f>
        <v/>
      </c>
      <c r="BD150" s="130">
        <f>IF('Données projet'!$A$88&gt;35,BD149+BC150-BL149,IF(A150&lt;'Données projet'!$A$88,$BA$205^A150,IF(A150='Données projet'!$A$88,'Données projet'!$B$88,BD149+BC150-BL149)))</f>
        <v>0</v>
      </c>
      <c r="BE150" s="130">
        <f>BD150*VLOOKUP('Données projet'!$B$11,'Paramètres'!$A$1:$I$89,3,0)*VLOOKUP('Données projet'!$B$11,'Paramètres'!$A$1:$I$89,5,0)</f>
        <v>0</v>
      </c>
      <c r="BF150" s="130" t="str">
        <f t="shared" si="38"/>
        <v>#NUM!</v>
      </c>
      <c r="BG150" s="141" t="str">
        <f t="shared" si="8"/>
        <v>#NUM!</v>
      </c>
      <c r="BH150" s="133" t="str">
        <f t="shared" si="9"/>
        <v>#NUM!</v>
      </c>
      <c r="BI150" s="133">
        <f>AVERAGE(OFFSET($BH$3,0,0,'Données projet'!$E$11+1,1))-AVERAGE(OFFSET($H$3,0,0,'Données projet'!$E$11+1,1))</f>
        <v>134.0948534</v>
      </c>
      <c r="BJ150" s="133">
        <f t="shared" si="39"/>
        <v>108.4102536</v>
      </c>
      <c r="BK150" s="134">
        <f>IF(ISNA(VLOOKUP(A150,'Données projet'!$A$87:$I$107,3,0)),0,VLOOKUP(A150,'Données projet'!$A$87:$I$107,3,0))</f>
        <v>0</v>
      </c>
      <c r="BL150" s="134">
        <f>IF(ISNA(VLOOKUP(A150,'Données projet'!$A$87:$I$107,4,0)),0,VLOOKUP(A150,'Données projet'!$A$87:$I$107,4,0))</f>
        <v>0</v>
      </c>
      <c r="BM150" s="135">
        <f>IF(ISNA(VLOOKUP(A150,'Données projet'!$A$87:$I$107,5,0)),0%,VLOOKUP(A150,'Données projet'!$A$87:$I$107,5,0)*VLOOKUP('Données projet'!$B$11,'Paramètres'!$A$1:$I$89,7,0))</f>
        <v>0</v>
      </c>
      <c r="BN150" s="135">
        <f>IF(ISNA(VLOOKUP(A150,'Données projet'!$A$87:$I$107,6,0)),0%,VLOOKUP(A150,'Données projet'!$A$87:$I$107,6,0)*VLOOKUP('Données projet'!$B$11,'Paramètres'!$A$1:$I$89,7,0))</f>
        <v>0</v>
      </c>
      <c r="BO150" s="135">
        <f>IF(ISNA(VLOOKUP(A150,'Données projet'!$A$87:$I$107,7,0)),0%,VLOOKUP(A150,'Données projet'!$A$87:$I$107,7,0))</f>
        <v>0</v>
      </c>
      <c r="BP150" s="142">
        <f>EXP(-LN(2)/35)*BP149+(1-EXP(-LN(2)/35))/(LN(2)/35)*BL150*BM150*VLOOKUP('Données projet'!$B$11,'Paramètres'!$A$1:$I$89,3,0)*0.475*44/12</f>
        <v>36.46335405</v>
      </c>
      <c r="BQ150" s="142">
        <f>EXP(-LN(2)/25)*BQ149+(1-EXP(-LN(2)/25))/(LN(2)/25)*Calculateur!BL150*Calculateur!BN150*VLOOKUP('Données projet'!$B$11,'Paramètres'!$A$1:$I$89,3,0)*0.475*44/12</f>
        <v>2.019920324</v>
      </c>
      <c r="BR150" s="142">
        <f>EXP(-LN(2)/2)*BR149+(1-EXP(-LN(2)/2))/(LN(2)/2)*BL150*BO150*VLOOKUP('Données projet'!$B$11,'Paramètres'!$A$1:$I$89,3,0)*0.475*44/12</f>
        <v>0</v>
      </c>
      <c r="BS150" s="143">
        <f t="shared" si="10"/>
        <v>38.48327437</v>
      </c>
      <c r="BT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1" t="str">
        <f>VLOOKUP(A150,'Données projet'!$A$113:$I$133,2,0)</f>
        <v>#N/A</v>
      </c>
      <c r="BW150" s="131" t="str">
        <f>VLOOKUP(A150,'Données projet'!$A$113:$I$133,9,0)</f>
        <v>#N/A</v>
      </c>
      <c r="BX150" s="131" t="str">
        <f t="array" ref="BX150">INDEX(BW:BW,MIN(IF(ISNUMBER(BW150:BW346),ROW(BW150:BW346),"")))</f>
        <v/>
      </c>
      <c r="BY150" s="130">
        <f>IF('Données projet'!$A$114&gt;35,BY149+BX150-CG149,IF(A150&lt;'Données projet'!$A$114,$BV$205^A150,IF(A150='Données projet'!$A$114,'Données projet'!$B$114,BY149+BX150-CG149)))</f>
        <v>0</v>
      </c>
      <c r="BZ150" s="130">
        <f>BY150*VLOOKUP('Données projet'!$B$12,'Paramètres'!$A$1:$I$89,3,0)*VLOOKUP('Données projet'!$B$12,'Paramètres'!$A$1:$I$89,5,0)</f>
        <v>0</v>
      </c>
      <c r="CA150" s="130" t="str">
        <f t="shared" si="40"/>
        <v>#NUM!</v>
      </c>
      <c r="CB150" s="141" t="str">
        <f t="shared" si="11"/>
        <v>#NUM!</v>
      </c>
      <c r="CC150" s="133" t="str">
        <f t="shared" si="12"/>
        <v>#NUM!</v>
      </c>
      <c r="CD150" s="133">
        <f>AVERAGE(OFFSET($CC$3,0,0,'Données projet'!$E$12+1,1))-AVERAGE(OFFSET($H$3,0,0,'Données projet'!$E$12+1,1))</f>
        <v>258.1672054</v>
      </c>
      <c r="CE150" s="133">
        <f t="shared" si="41"/>
        <v>296.0724261</v>
      </c>
      <c r="CF150" s="134">
        <f>IF(ISNA(VLOOKUP(A150,'Données projet'!$A$113:$I$133,3,0)),0,VLOOKUP(A150,'Données projet'!$A$113:$I$133,3,0))</f>
        <v>0</v>
      </c>
      <c r="CG150" s="134">
        <f>IF(ISNA(VLOOKUP(A150,'Données projet'!$A$113:$I$133,4,0)),0,VLOOKUP(A150,'Données projet'!$A$113:$I$133,4,0))</f>
        <v>0</v>
      </c>
      <c r="CH150" s="135">
        <f>IF(ISNA(VLOOKUP(A150,'Données projet'!$A$113:$I$133,5,0)),0%,VLOOKUP(A150,'Données projet'!$A$113:$I$133,5,0)*VLOOKUP('Données projet'!$B$12,'Paramètres'!$A$1:$I$89,7,0))</f>
        <v>0</v>
      </c>
      <c r="CI150" s="135">
        <f>IF(ISNA(VLOOKUP(A150,'Données projet'!$A$113:$I$133,6,0)),0%,VLOOKUP(A150,'Données projet'!$A$113:$I$133,6,0)*VLOOKUP('Données projet'!$B$12,'Paramètres'!$A$1:$I$89,7,0))</f>
        <v>0</v>
      </c>
      <c r="CJ150" s="135">
        <f>IF(ISNA(VLOOKUP(A150,'Données projet'!$A$113:$I$133,7,0)),0%,VLOOKUP(A150,'Données projet'!$A$113:$I$133,7,0))</f>
        <v>0</v>
      </c>
      <c r="CK150" s="142">
        <f>EXP(-LN(2)/35)*CK149+(1-EXP(-LN(2)/35))/(LN(2)/35)*CG150*CH150*VLOOKUP('Données projet'!$B$12,'Paramètres'!$A$1:$I$89,3,0)*0.475*44/12</f>
        <v>46.10083411</v>
      </c>
      <c r="CL150" s="142">
        <f>EXP(-LN(2)/25)*CL149+(1-EXP(-LN(2)/25))/(LN(2)/25)*Calculateur!CG150*Calculateur!CI150*VLOOKUP('Données projet'!$B$12,'Paramètres'!$A$1:$I$89,3,0)*0.475*44/12</f>
        <v>3.543054914</v>
      </c>
      <c r="CM150" s="142">
        <f>EXP(-LN(2)/2)*CM149+(1-EXP(-LN(2)/2))/(LN(2)/2)*CG150*CJ150*VLOOKUP('Données projet'!$B$12,'Paramètres'!$A$1:$I$89,3,0)*0.475*44/12</f>
        <v>0</v>
      </c>
      <c r="CN150" s="143">
        <f t="shared" si="13"/>
        <v>49.64388903</v>
      </c>
      <c r="CO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1" t="str">
        <f>VLOOKUP(A150,'Données projet'!$A$139:$I$159,2,0)</f>
        <v>#N/A</v>
      </c>
      <c r="CR150" s="131" t="str">
        <f>VLOOKUP(A150,'Données projet'!$A$139:$I$159,9,0)</f>
        <v>#N/A</v>
      </c>
      <c r="CS150" s="130">
        <f t="array" ref="CS150">INDEX(CR:CR,MIN(IF(ISNUMBER(CR150:CR346),ROW(CR150:CR346),"")))</f>
        <v>0.7</v>
      </c>
      <c r="CT150" s="138">
        <f>IF('Données projet'!$A$140&gt;35,CT149+CS150-DB149,IF(A150&lt;'Données projet'!$A$140,$CQ$205^A150,IF(A150='Données projet'!$A$140,'Données projet'!$B$140,CT149+CS150-DB149)))</f>
        <v>214.9</v>
      </c>
      <c r="CU150" s="138">
        <f>CT150*VLOOKUP('Données projet'!$B$13,'Paramètres'!$A$1:$I$89,3,0)*VLOOKUP('Données projet'!$B$13,'Paramètres'!$A$1:$I$89,5,0)</f>
        <v>217.9086</v>
      </c>
      <c r="CV150" s="130">
        <f t="shared" si="42"/>
        <v>53.66007788</v>
      </c>
      <c r="CW150" s="141">
        <f t="shared" si="14"/>
        <v>472.982114</v>
      </c>
      <c r="CX150" s="133">
        <f t="shared" si="15"/>
        <v>766.3154473</v>
      </c>
      <c r="CY150" s="133">
        <f>AVERAGE(OFFSET($CX$3,0,0,'Données projet'!$E$13+1,1))-AVERAGE(OFFSET($H$3,0,0,'Données projet'!$E$13+1,1))</f>
        <v>223.783507</v>
      </c>
      <c r="CZ150" s="133">
        <f t="shared" si="43"/>
        <v>84.92349117</v>
      </c>
      <c r="DA150" s="134">
        <f>IF(ISNA(VLOOKUP(A150,'Données projet'!$A$139:$I$159,3,0)),0,VLOOKUP(A150,'Données projet'!$A$139:$I$159,3,0))</f>
        <v>0</v>
      </c>
      <c r="DB150" s="134">
        <f>IF(ISNA(VLOOKUP(A150,'Données projet'!$A$139:$I$159,4,0)),0,VLOOKUP(A150,'Données projet'!$A$139:$I$159,4,0))</f>
        <v>0</v>
      </c>
      <c r="DC150" s="135">
        <f>IF(ISNA(VLOOKUP(A150,'Données projet'!$A$139:$I$159,5,0)),0%,VLOOKUP(A150,'Données projet'!$A$139:$I$159,5,0)*VLOOKUP('Données projet'!$B$13,'Paramètres'!$A$1:$I$89,7,0))</f>
        <v>0</v>
      </c>
      <c r="DD150" s="135">
        <f>IF(ISNA(VLOOKUP(A150,'Données projet'!$A$139:$I$159,6,0)),0%,VLOOKUP(A150,'Données projet'!$A$139:$I$159,6,0)*VLOOKUP('Données projet'!$B$13,'Paramètres'!$A$1:$I$89,7,0))</f>
        <v>0</v>
      </c>
      <c r="DE150" s="135">
        <f>IF(ISNA(VLOOKUP(A150,'Données projet'!$A$139:$I$159,7,0)),0%,VLOOKUP(A150,'Données projet'!$A$139:$I$159,7,0))</f>
        <v>0</v>
      </c>
      <c r="DF150" s="142">
        <f>EXP(-LN(2)/35)*DF149+(1-EXP(-LN(2)/35))/(LN(2)/35)*DB150*DC150*VLOOKUP('Données projet'!$B$13,'Paramètres'!$A$1:$I$89,3,0)*0.475*44/12</f>
        <v>18.50667663</v>
      </c>
      <c r="DG150" s="142">
        <f>EXP(-LN(2)/25)*DG149+(1-EXP(-LN(2)/25))/(LN(2)/25)*Calculateur!DB150*Calculateur!DD150*VLOOKUP('Données projet'!$B$13,'Paramètres'!$A$1:$I$89,3,0)*0.475*44/12</f>
        <v>0</v>
      </c>
      <c r="DH150" s="142">
        <f>EXP(-LN(2)/2)*DH149+(1-EXP(-LN(2)/2))/(LN(2)/2)*DB150*DE150*VLOOKUP('Données projet'!$B$13,'Paramètres'!$A$1:$I$89,3,0)*0.475*44/12</f>
        <v>0</v>
      </c>
      <c r="DI150" s="143">
        <f t="shared" si="16"/>
        <v>18.50667663</v>
      </c>
      <c r="DJ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1" t="str">
        <f>VLOOKUP(A150,'Données projet'!$A$165:$I$185,2,0)</f>
        <v>#N/A</v>
      </c>
      <c r="DM150" s="131" t="str">
        <f>VLOOKUP(A150,'Données projet'!$A$165:$I$185,9,0)</f>
        <v>#N/A</v>
      </c>
      <c r="DN150" s="131">
        <f t="array" ref="DN150">INDEX(DM:DM,MIN(IF(ISNUMBER(DM150:DM346),ROW(DM150:DM346),"")))</f>
        <v>0.55</v>
      </c>
      <c r="DO150" s="138">
        <f>IF('Données projet'!$A$166&gt;35,DO149+DN150-DW149,IF(A150&lt;'Données projet'!$A$166,$DL$205^A150,IF(A150='Données projet'!$A$166,'Données projet'!$B$166,DO149+DN150-DW149)))</f>
        <v>278.35</v>
      </c>
      <c r="DP150" s="138">
        <f>DO150*VLOOKUP('Données projet'!$B$14,'Paramètres'!$A$1:$I$89,3,0)*VLOOKUP('Données projet'!$B$14,'Paramètres'!$A$1:$I$89,5,0)</f>
        <v>251.85108</v>
      </c>
      <c r="DQ150" s="130">
        <f t="shared" si="44"/>
        <v>60.98215143</v>
      </c>
      <c r="DR150" s="141">
        <f t="shared" si="17"/>
        <v>544.8512114</v>
      </c>
      <c r="DS150" s="133">
        <f t="shared" si="18"/>
        <v>838.1845447</v>
      </c>
      <c r="DT150" s="133">
        <f>AVERAGE(OFFSET($DS$3,0,0,'Données projet'!$E$14+1,1))-AVERAGE(OFFSET($H$3,0,0,'Données projet'!$E$14+1,1))</f>
        <v>287.9334714</v>
      </c>
      <c r="DU150" s="133">
        <f t="shared" si="45"/>
        <v>156.6796502</v>
      </c>
      <c r="DV150" s="134">
        <f>IF(ISNA(VLOOKUP(A150,'Données projet'!$A$165:$I$185,3,0)),0,VLOOKUP(A150,'Données projet'!$A$165:$I$185,3,0))</f>
        <v>0</v>
      </c>
      <c r="DW150" s="134">
        <f>IF(ISNA(VLOOKUP(A150,'Données projet'!$A$165:$I$185,4,0)),0,VLOOKUP(A150,'Données projet'!$A$165:$I$185,4,0))</f>
        <v>0</v>
      </c>
      <c r="DX150" s="135">
        <f>IF(ISNA(VLOOKUP(A150,'Données projet'!$A$165:$I$185,5,0)),0%,VLOOKUP(A150,'Données projet'!$A$165:$I$185,5,0)*VLOOKUP('Données projet'!$B$14,'Paramètres'!$A$1:$I$89,7,0))</f>
        <v>0</v>
      </c>
      <c r="DY150" s="135">
        <f>IF(ISNA(VLOOKUP(A150,'Données projet'!$A$165:$I$185,6,0)),0%,VLOOKUP(A150,'Données projet'!$A$165:$I$185,6,0)*VLOOKUP('Données projet'!$B$14,'Paramètres'!$A$1:$I$89,7,0))</f>
        <v>0</v>
      </c>
      <c r="DZ150" s="135">
        <f>IF(ISNA(VLOOKUP(A150,'Données projet'!$A$165:$I$185,7,0)),0%,VLOOKUP(A150,'Données projet'!$A$165:$I$185,7,0))</f>
        <v>0</v>
      </c>
      <c r="EA150" s="142">
        <f>EXP(-LN(2)/35)*EA149+(1-EXP(-LN(2)/35))/(LN(2)/35)*DW150*DX150*VLOOKUP('Données projet'!$B$14,'Paramètres'!$A$1:$I$89,3,0)*0.475*44/12</f>
        <v>22.53369631</v>
      </c>
      <c r="EB150" s="142">
        <f>EXP(-LN(2)/25)*EB149+(1-EXP(-LN(2)/25))/(LN(2)/25)*Calculateur!DW150*Calculateur!DY150*VLOOKUP('Données projet'!$B$14,'Paramètres'!$A$1:$I$89,3,0)*0.475*44/12</f>
        <v>0</v>
      </c>
      <c r="EC150" s="142">
        <f>EXP(-LN(2)/2)*EC149+(1-EXP(-LN(2)/2))/(LN(2)/2)*DW150*DZ150*VLOOKUP('Données projet'!$B$14,'Paramètres'!$A$1:$I$89,3,0)*0.475*44/12</f>
        <v>0</v>
      </c>
      <c r="ED150" s="143">
        <f t="shared" si="19"/>
        <v>22.53369631</v>
      </c>
      <c r="EE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1" t="str">
        <f>VLOOKUP(A150,'Données projet'!$A$191:$I$211,2,0)</f>
        <v>#N/A</v>
      </c>
      <c r="EH150" s="131" t="str">
        <f>VLOOKUP(A150,'Données projet'!$A$191:$I$211,9,0)</f>
        <v>#N/A</v>
      </c>
      <c r="EI150" s="131" t="str">
        <f t="array" ref="EI150">INDEX(EH:EH,MIN(IF(ISNUMBER(EH150:EH346),ROW(EH150:EH346),"")))</f>
        <v/>
      </c>
      <c r="EJ150" s="138">
        <f>IF('Données projet'!$A$192&gt;35,EJ149+EI150-ER149,IF(A150&lt;'Données projet'!$A$192,$EG$205^A150,IF(A150='Données projet'!$A$192,'Données projet'!$B$192,EJ149+EI150-ER149)))</f>
        <v>0</v>
      </c>
      <c r="EK150" s="138">
        <f>EJ150*VLOOKUP('Données projet'!$B$15,'Paramètres'!$A$1:$I$89,3,0)*VLOOKUP('Données projet'!$B$15,'Paramètres'!$A$1:$I$89,5,0)</f>
        <v>0</v>
      </c>
      <c r="EL150" s="130" t="str">
        <f t="shared" si="46"/>
        <v>#NUM!</v>
      </c>
      <c r="EM150" s="141" t="str">
        <f t="shared" si="20"/>
        <v>#NUM!</v>
      </c>
      <c r="EN150" s="133" t="str">
        <f t="shared" si="21"/>
        <v>#NUM!</v>
      </c>
      <c r="EO150" s="133">
        <f>AVERAGE(OFFSET($EN$3,0,0,'Données projet'!$E$15+1,1))-AVERAGE(OFFSET($H$3,0,0,'Données projet'!$E$15+1,1))</f>
        <v>130.3193339</v>
      </c>
      <c r="EP150" s="133">
        <f t="shared" si="47"/>
        <v>82.22784365</v>
      </c>
      <c r="EQ150" s="134">
        <f>IF(ISNA(VLOOKUP(A150,'Données projet'!$A$191:$I$211,3,0)),0,VLOOKUP(A150,'Données projet'!$A$191:$I$211,3,0))</f>
        <v>0</v>
      </c>
      <c r="ER150" s="134">
        <f>IF(ISNA(VLOOKUP(A150,'Données projet'!$A$191:$I$211,4,0)),0,VLOOKUP(A150,'Données projet'!$A$191:$I$211,4,0))</f>
        <v>0</v>
      </c>
      <c r="ES150" s="135">
        <f>IF(ISNA(VLOOKUP(A150,'Données projet'!$A$191:$I$211,5,0)),0%,VLOOKUP(A150,'Données projet'!$A$191:$I$211,5,0)*VLOOKUP('Données projet'!$B$15,'Paramètres'!$A$1:$I$89,7,0))</f>
        <v>0</v>
      </c>
      <c r="ET150" s="135">
        <f>IF(ISNA(VLOOKUP(A150,'Données projet'!$A$191:$I$211,6,0)),0%,VLOOKUP(A150,'Données projet'!$A$191:$I$211,6,0)*VLOOKUP('Données projet'!$B$15,'Paramètres'!$A$1:$I$89,7,0))</f>
        <v>0</v>
      </c>
      <c r="EU150" s="135">
        <f>IF(ISNA(VLOOKUP(A150,'Données projet'!$A$191:$I$211,7,0)),0%,VLOOKUP(A150,'Données projet'!$A$191:$I$211,7,0))</f>
        <v>0</v>
      </c>
      <c r="EV150" s="142">
        <f>EXP(-LN(2)/35)*EV149+(1-EXP(-LN(2)/35))/(LN(2)/35)*ER150*ES150*VLOOKUP('Données projet'!$B$15,'Paramètres'!$A$1:$I$89,3,0)*0.475*44/12</f>
        <v>28.18970636</v>
      </c>
      <c r="EW150" s="142">
        <f>EXP(-LN(2)/25)*EW149+(1-EXP(-LN(2)/25))/(LN(2)/25)*Calculateur!ER150*Calculateur!ET150*VLOOKUP('Données projet'!$B$15,'Paramètres'!$A$1:$I$89,3,0)*0.475*44/12</f>
        <v>0</v>
      </c>
      <c r="EX150" s="142">
        <f>EXP(-LN(2)/2)*EX149+(1-EXP(-LN(2)/2))/(LN(2)/2)*ER150*EU150*VLOOKUP('Données projet'!$B$15,'Paramètres'!$A$1:$I$89,3,0)*0.475*44/12</f>
        <v>0</v>
      </c>
      <c r="EY150" s="143">
        <f t="shared" si="22"/>
        <v>28.18970636</v>
      </c>
      <c r="EZ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1" t="str">
        <f>VLOOKUP(A150,'Données projet'!$A$217:$I$237,2,0)</f>
        <v>#N/A</v>
      </c>
      <c r="FC150" s="131" t="str">
        <f>VLOOKUP(A150,'Données projet'!$A$217:$I$237,9,0)</f>
        <v>#N/A</v>
      </c>
      <c r="FD150" s="131" t="str">
        <f t="array" ref="FD150">INDEX(FC:FC,MIN(IF(ISNUMBER(FC150:FC346),ROW(FC150:FC346),"")))</f>
        <v/>
      </c>
      <c r="FE150" s="130">
        <f>IF('Données projet'!$A$218&gt;35,FE149+FD150-FM149,IF(A150&lt;'Données projet'!$A$218,$FB$205^A150,IF(A150='Données projet'!$A$218,'Données projet'!$B$218,FE149+FD150-FM149)))</f>
        <v>0</v>
      </c>
      <c r="FF150" s="138">
        <f>FE150*VLOOKUP('Données projet'!$B$16,'Paramètres'!$A$1:$I$89,3,0)*VLOOKUP('Données projet'!$B$16,'Paramètres'!$A$1:$I$89,5,0)</f>
        <v>0</v>
      </c>
      <c r="FG150" s="130">
        <f t="shared" si="48"/>
        <v>0</v>
      </c>
      <c r="FH150" s="141">
        <f t="shared" si="23"/>
        <v>0</v>
      </c>
      <c r="FI150" s="133">
        <f t="shared" si="24"/>
        <v>293.3333333</v>
      </c>
      <c r="FJ150" s="133">
        <f>AVERAGE(OFFSET($FI$3,0,0,'Données projet'!$E$16+1,1))-AVERAGE(OFFSET($H$3,0,0,'Données projet'!$E$16+1,1))</f>
        <v>305.6252353</v>
      </c>
      <c r="FK150" s="133">
        <f t="shared" si="49"/>
        <v>331.397916</v>
      </c>
      <c r="FL150" s="134">
        <f>IF(ISNA(VLOOKUP(A150,'Données projet'!$A$217:$I$237,3,0)),0,VLOOKUP(A150,'Données projet'!$A$217:$I$237,3,0))</f>
        <v>0</v>
      </c>
      <c r="FM150" s="134">
        <f>IF(ISNA(VLOOKUP(A150,'Données projet'!$A$217:$I$237,4,0)),0,VLOOKUP(A150,'Données projet'!$A$217:$I$237,4,0))</f>
        <v>0</v>
      </c>
      <c r="FN150" s="135">
        <f>IF(ISNA(VLOOKUP(A150,'Données projet'!$A$217:$I$237,5,0)),0%,VLOOKUP(A150,'Données projet'!$A$217:$I$237,5,0)*VLOOKUP('Données projet'!$B$16,'Paramètres'!$A$1:$I$89,7,0))</f>
        <v>0</v>
      </c>
      <c r="FO150" s="135">
        <f>IF(ISNA(VLOOKUP(A150,'Données projet'!$A$217:$I$237,6,0)),0%,VLOOKUP(A150,'Données projet'!$A$217:$I$237,6,0)*VLOOKUP('Données projet'!$B$16,'Paramètres'!$A$1:$I$89,7,0))</f>
        <v>0</v>
      </c>
      <c r="FP150" s="135">
        <f>IF(ISNA(VLOOKUP(A150,'Données projet'!$A$217:$I$237,7,0)),0%,VLOOKUP(A150,'Données projet'!$A$217:$I$237,7,0))</f>
        <v>0</v>
      </c>
      <c r="FQ150" s="142">
        <f>EXP(-LN(2)/35)*FQ149+(1-EXP(-LN(2)/35))/(LN(2)/35)*FM150*FN150*VLOOKUP('Données projet'!$B$16,'Paramètres'!$A$1:$I$89,3,0)*0.475*44/12</f>
        <v>17.55175364</v>
      </c>
      <c r="FR150" s="142">
        <f>EXP(-LN(2)/25)*FR149+(1-EXP(-LN(2)/25))/(LN(2)/25)*Calculateur!FM150*Calculateur!FO150*VLOOKUP('Données projet'!$B$16,'Paramètres'!$A$1:$I$89,3,0)*0.475*44/12</f>
        <v>0</v>
      </c>
      <c r="FS150" s="142">
        <f>EXP(-LN(2)/2)*FS149+(1-EXP(-LN(2)/2))/(LN(2)/2)*FM150*FP150*VLOOKUP('Données projet'!$B$16,'Paramètres'!$A$1:$I$89,3,0)*0.475*44/12</f>
        <v>0</v>
      </c>
      <c r="FT150" s="143">
        <f t="shared" si="25"/>
        <v>17.55175364</v>
      </c>
      <c r="FU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1" t="str">
        <f>VLOOKUP(A150,'Données projet'!$A$243:$I$263,2,0)</f>
        <v>#N/A</v>
      </c>
      <c r="FX150" s="131" t="str">
        <f>VLOOKUP(A150,'Données projet'!$A$243:$I$263,9,0)</f>
        <v>#N/A</v>
      </c>
      <c r="FY150" s="131" t="str">
        <f t="array" ref="FY150">INDEX(FX:FX,MIN(IF(ISNUMBER(FX150:FX346),ROW(FX150:FX346),"")))</f>
        <v/>
      </c>
      <c r="FZ150" s="138">
        <f>IF('Données projet'!$A$244&gt;35,FZ149+FY150-GH149,IF(A150&lt;'Données projet'!$A$244,$FW$205^A150,IF(A150='Données projet'!$A$244,'Données projet'!$B$244,FZ149+FY150-GH149)))</f>
        <v>0</v>
      </c>
      <c r="GA150" s="138">
        <f>FZ150*VLOOKUP('Données projet'!$B$17,'Paramètres'!$A$1:$I$89,3,0)*VLOOKUP('Données projet'!$B$17,'Paramètres'!$A$1:$I$89,5,0)</f>
        <v>0</v>
      </c>
      <c r="GB150" s="130">
        <f t="shared" si="50"/>
        <v>0</v>
      </c>
      <c r="GC150" s="141">
        <f t="shared" si="26"/>
        <v>0</v>
      </c>
      <c r="GD150" s="133">
        <f t="shared" si="27"/>
        <v>293.3333333</v>
      </c>
      <c r="GE150" s="133">
        <f>AVERAGE(OFFSET($GD$3,0,0,'Données projet'!$E$17+1,1))-AVERAGE(OFFSET($H$3,0,0,'Données projet'!$E$17+1,1))</f>
        <v>118.7368745</v>
      </c>
      <c r="GF150" s="133">
        <f t="shared" si="51"/>
        <v>135.1233677</v>
      </c>
      <c r="GG150" s="134">
        <f>IF(ISNA(VLOOKUP(A150,'Données projet'!$A$243:$I$263,3,0)),0,VLOOKUP(A150,'Données projet'!$A$243:$I$263,3,0))</f>
        <v>0</v>
      </c>
      <c r="GH150" s="134">
        <f>IF(ISNA(VLOOKUP(A150,'Données projet'!$A$243:$I$263,4,0)),0,VLOOKUP(A150,'Données projet'!$A$243:$I$263,4,0))</f>
        <v>0</v>
      </c>
      <c r="GI150" s="135">
        <f>IF(ISNA(VLOOKUP(A150,'Données projet'!$A$243:$I$263,5,0)),0%,VLOOKUP(A150,'Données projet'!$A$243:$I$263,5,0)*VLOOKUP('Données projet'!$B$17,'Paramètres'!$A$1:$I$89,7,0))</f>
        <v>0</v>
      </c>
      <c r="GJ150" s="135">
        <f>IF(ISNA(VLOOKUP(A150,'Données projet'!$A$243:$I$263,6,0)),0%,VLOOKUP(A150,'Données projet'!$A$243:$I$263,6,0)*VLOOKUP('Données projet'!$B$17,'Paramètres'!$A$1:$I$89,7,0))</f>
        <v>0</v>
      </c>
      <c r="GK150" s="135">
        <f>IF(ISNA(VLOOKUP(A150,'Données projet'!$A$243:$I$263,7,0)),0%,VLOOKUP(A150,'Données projet'!$A$243:$I$263,7,0))</f>
        <v>0</v>
      </c>
      <c r="GL150" s="142">
        <f>EXP(-LN(2)/35)*GL149+(1-EXP(-LN(2)/35))/(LN(2)/35)*GH150*GI150*VLOOKUP('Données projet'!$B$17,'Paramètres'!$A$1:$I$89,3,0)*0.475*44/12</f>
        <v>18.54337344</v>
      </c>
      <c r="GM150" s="142">
        <f>EXP(-LN(2)/25)*GM149+(1-EXP(-LN(2)/25))/(LN(2)/25)*Calculateur!GH150*Calculateur!GJ150*VLOOKUP('Données projet'!$B$17,'Paramètres'!$A$1:$I$89,3,0)*0.475*44/12</f>
        <v>0</v>
      </c>
      <c r="GN150" s="142">
        <f>EXP(-LN(2)/2)*GN149+(1-EXP(-LN(2)/2))/(LN(2)/2)*GH150*GK150*VLOOKUP('Données projet'!$B$17,'Paramètres'!$A$1:$I$89,3,0)*0.475*44/12</f>
        <v>0</v>
      </c>
      <c r="GO150" s="142">
        <f t="shared" si="28"/>
        <v>18.54337344</v>
      </c>
      <c r="GP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1" t="str">
        <f>VLOOKUP(A150,'Données projet'!$A$269:$I$289,2,0)</f>
        <v>#N/A</v>
      </c>
      <c r="GS150" s="131" t="str">
        <f>VLOOKUP(A150,'Données projet'!$A$269:$I$289,9,0)</f>
        <v>#N/A</v>
      </c>
      <c r="GT150" s="131" t="str">
        <f t="array" ref="GT150">INDEX(GS:GS,MIN(IF(ISNUMBER(GS150:GS346),ROW(GS150:GS346),"")))</f>
        <v/>
      </c>
      <c r="GU150" s="138">
        <f>IF('Données projet'!$A$270&gt;35,GU149+GT150-HC149,IF(A150&lt;'Données projet'!$A$270,$GR$205^A150,IF(A150='Données projet'!$A$270,'Données projet'!$B$270,GU149+GT150-HC149)))</f>
        <v>0</v>
      </c>
      <c r="GV150" s="138">
        <f>GU150*VLOOKUP('Données projet'!$B$18,'Paramètres'!$A$1:$I$89,3,0)*VLOOKUP('Données projet'!$B$18,'Paramètres'!$A$1:$I$89,5,0)</f>
        <v>0</v>
      </c>
      <c r="GW150" s="130" t="str">
        <f t="shared" si="52"/>
        <v>#NUM!</v>
      </c>
      <c r="GX150" s="141" t="str">
        <f t="shared" si="29"/>
        <v>#NUM!</v>
      </c>
      <c r="GY150" s="133" t="str">
        <f t="shared" si="30"/>
        <v>#NUM!</v>
      </c>
      <c r="GZ150" s="133">
        <f>AVERAGE(OFFSET($GY$3,0,0,'Données projet'!$E$18+1,1))-AVERAGE(OFFSET($H$3,0,0,'Données projet'!$E$18+1,1))</f>
        <v>100.5427875</v>
      </c>
      <c r="HA150" s="133">
        <f t="shared" si="53"/>
        <v>92.28663609</v>
      </c>
      <c r="HB150" s="134">
        <f>IF(ISNA(VLOOKUP(A150,'Données projet'!$A$269:$I$289,3,0)),0,VLOOKUP(A150,'Données projet'!$A$269:$I$289,3,0))</f>
        <v>0</v>
      </c>
      <c r="HC150" s="134">
        <f>IF(ISNA(VLOOKUP(A150,'Données projet'!$A$269:$I$289,4,0)),0,VLOOKUP(A150,'Données projet'!$A$269:$I$289,4,0))</f>
        <v>0</v>
      </c>
      <c r="HD150" s="135">
        <f>IF(ISNA(VLOOKUP(A150,'Données projet'!$A$269:$I$289,5,0)),0%,VLOOKUP(A150,'Données projet'!$A$269:$I$289,5,0)*VLOOKUP('Données projet'!$B$18,'Paramètres'!$A$1:$I$89,7,0))</f>
        <v>0</v>
      </c>
      <c r="HE150" s="135">
        <f>IF(ISNA(VLOOKUP(A150,'Données projet'!$A$269:$I$289,6,0)),0%,VLOOKUP(A150,'Données projet'!$A$269:$I$289,6,0)*VLOOKUP('Données projet'!$B$18,'Paramètres'!$A$1:$I$89,7,0))</f>
        <v>0</v>
      </c>
      <c r="HF150" s="135">
        <f>IF(ISNA(VLOOKUP(A150,'Données projet'!$A$269:$I$289,7,0)),0%,VLOOKUP(A150,'Données projet'!$A$269:$I$289,7,0))</f>
        <v>0</v>
      </c>
      <c r="HG150" s="142">
        <f>EXP(-LN(2)/35)*HG149+(1-EXP(-LN(2)/35))/(LN(2)/35)*HC150*HD150*VLOOKUP('Données projet'!$B$18,'Paramètres'!$A$1:$I$89,3,0)*0.475*44/12</f>
        <v>12.62764612</v>
      </c>
      <c r="HH150" s="142">
        <f>EXP(-LN(2)/25)*HH149+(1-EXP(-LN(2)/25))/(LN(2)/25)*Calculateur!HC150*Calculateur!HE150*VLOOKUP('Données projet'!$B$18,'Paramètres'!$A$1:$I$89,3,0)*0.475*44/12</f>
        <v>0</v>
      </c>
      <c r="HI150" s="142">
        <f>EXP(-LN(2)/2)*HI149+(1-EXP(-LN(2)/2))/(LN(2)/2)*HC150*HF150*VLOOKUP('Données projet'!$B$18,'Paramètres'!$A$1:$I$89,3,0)*0.475*44/12</f>
        <v>0</v>
      </c>
      <c r="HJ150" s="143">
        <f t="shared" si="31"/>
        <v>12.62764612</v>
      </c>
    </row>
    <row r="151" ht="15.75" customHeight="1">
      <c r="A151" s="125">
        <f t="shared" si="32"/>
        <v>148</v>
      </c>
      <c r="B151" s="126">
        <f>'Scénario référence'!$B$16*5+'Scénario référence'!$B$17*0+'Scénario référence'!$B$18*5</f>
        <v>0</v>
      </c>
      <c r="C151" s="140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80.808</v>
      </c>
      <c r="D151" s="127">
        <f t="shared" si="33"/>
        <v>22.33462863</v>
      </c>
      <c r="E15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7">
        <f>IF(OR('Scénario référence'!$F$8&gt;0,'Scénario référence'!$F$9&gt;0),('Scénario référence'!$F$8+'Scénario référence'!$F$9)*10,0)</f>
        <v>10</v>
      </c>
      <c r="G151" s="127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796.1887123</v>
      </c>
      <c r="H151" s="128">
        <f t="shared" si="1"/>
        <v>472.9734115</v>
      </c>
      <c r="I151" s="12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1" t="str">
        <f>VLOOKUP(A151,'Données projet'!$A$35:$I$55,2,0)</f>
        <v>#N/A</v>
      </c>
      <c r="L151" s="131" t="str">
        <f>VLOOKUP(A151,'Données projet'!$A$35:$I$55,9,0)</f>
        <v>#N/A</v>
      </c>
      <c r="M151" s="131" t="str">
        <f t="array" ref="M151">INDEX(L:L,MIN(IF(ISNUMBER(L151:L347),ROW(L151:L347),"")))</f>
        <v/>
      </c>
      <c r="N151" s="130">
        <f>IF('Données projet'!$A$36&gt;35,N150+M151-V150,IF(A151&lt;'Données projet'!$A$36,$K$205^A151,IF(A151='Données projet'!$A$36,'Données projet'!$B$36,N150+M151-V150)))</f>
        <v>0</v>
      </c>
      <c r="O151" s="130">
        <f>N151*VLOOKUP('Données projet'!$B$9,'Paramètres'!$A$1:$I$89,3,0)*VLOOKUP('Données projet'!$B$9,'Paramètres'!$A$1:$I$89,5,0)</f>
        <v>0</v>
      </c>
      <c r="P151" s="130">
        <f t="shared" si="34"/>
        <v>0</v>
      </c>
      <c r="Q151" s="141">
        <f t="shared" si="2"/>
        <v>0</v>
      </c>
      <c r="R151" s="133">
        <f t="shared" si="3"/>
        <v>293.3333333</v>
      </c>
      <c r="S151" s="133">
        <f>AVERAGE(OFFSET($R$3,0,0,'Données projet'!$E$9+1,1))-AVERAGE(OFFSET($H$3,0,0,'Données projet'!$E$9+1,1))</f>
        <v>126.9946492</v>
      </c>
      <c r="T151" s="133">
        <f t="shared" si="35"/>
        <v>140.039049</v>
      </c>
      <c r="U151" s="134">
        <f>IF(ISNA(VLOOKUP(A151,'Données projet'!$A$35:$I$55,3,0)),0,VLOOKUP(A151,'Données projet'!$A$35:$I$55,3,0))</f>
        <v>0</v>
      </c>
      <c r="V151" s="134">
        <f>IF(ISNA(VLOOKUP(A151,'Données projet'!$A$35:$I$55,4,0)),0,VLOOKUP(A151,'Données projet'!$A$35:$I$55,4,0))</f>
        <v>0</v>
      </c>
      <c r="W151" s="135">
        <f>IF(ISNA(VLOOKUP(A151,'Données projet'!$A$35:$I$55,5,0)),0%,VLOOKUP(A151,'Données projet'!$A$35:$I$55,5,0)*VLOOKUP('Données projet'!$B$9,'Paramètres'!$A$1:$I$89,7,0))</f>
        <v>0</v>
      </c>
      <c r="X151" s="135">
        <f>IF(ISNA(VLOOKUP(A151,'Données projet'!$A$35:$I$55,6,0)),0%,VLOOKUP(A151,'Données projet'!$A$35:$I$55,6,0)*VLOOKUP('Données projet'!$B$9,'Paramètres'!$A$1:$I$89,7,0))</f>
        <v>0</v>
      </c>
      <c r="Y151" s="135">
        <f>IF(ISNA(VLOOKUP(A151,'Données projet'!$A$35:$I$55,7,0)),0%,VLOOKUP(A151,'Données projet'!$A$35:$I$55,7,0))</f>
        <v>0</v>
      </c>
      <c r="Z151" s="142">
        <f>EXP(-LN(2)/35)*Z150+(1-EXP(-LN(2)/35))/(LN(2)/35)*V151*W151*VLOOKUP('Données projet'!$B$9,'Paramètres'!$A$1:$I$89,3,0)*0.475*44/12</f>
        <v>18.59383655</v>
      </c>
      <c r="AA151" s="142">
        <f>EXP(-LN(2)/25)*AA150+(1-EXP(-LN(2)/25))/(LN(2)/25)*Calculateur!V151*Calculateur!X151*VLOOKUP('Données projet'!$B$9,'Paramètres'!$A$1:$I$89,3,0)*0.475*44/12</f>
        <v>2.025747267</v>
      </c>
      <c r="AB151" s="142">
        <f>EXP(-LN(2)/2)*AB150+(1-EXP(-LN(2)/2))/(LN(2)/2)*V151*Y151*VLOOKUP('Données projet'!$B$9,'Paramètres'!$A$1:$I$89,3,0)*0.475*44/12</f>
        <v>0</v>
      </c>
      <c r="AC151" s="143">
        <f t="shared" si="4"/>
        <v>20.61958382</v>
      </c>
      <c r="AD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1" t="str">
        <f>VLOOKUP(A151,'Données projet'!$A$61:$I$81,2,0)</f>
        <v>#N/A</v>
      </c>
      <c r="AG151" s="131" t="str">
        <f>VLOOKUP(A151,'Données projet'!$A$61:$I$81,9,0)</f>
        <v>#N/A</v>
      </c>
      <c r="AH151" s="131" t="str">
        <f t="array" ref="AH151">INDEX(AG:AG,MIN(IF(ISNUMBER(AG151:AG347),ROW(AG151:AG347),"")))</f>
        <v/>
      </c>
      <c r="AI151" s="130">
        <f>IF('Données projet'!$A$62&gt;35,AI150+AH151-AQ150,IF(A151&lt;'Données projet'!$A$62,$AF$205^A151,IF(A151='Données projet'!$A$62,'Données projet'!$B$62,AI150+AH151-AQ150)))</f>
        <v>0</v>
      </c>
      <c r="AJ151" s="130">
        <f>AI151*VLOOKUP('Données projet'!$B$10,'Paramètres'!$A$1:$I$89,3,0)*VLOOKUP('Données projet'!$B$10,'Paramètres'!$A$1:$I$89,5,0)</f>
        <v>0</v>
      </c>
      <c r="AK151" s="130" t="str">
        <f t="shared" si="36"/>
        <v>#NUM!</v>
      </c>
      <c r="AL151" s="141" t="str">
        <f t="shared" si="5"/>
        <v>#NUM!</v>
      </c>
      <c r="AM151" s="133" t="str">
        <f t="shared" si="6"/>
        <v>#NUM!</v>
      </c>
      <c r="AN151" s="133">
        <f>AVERAGE(OFFSET($AM$3,0,0,'Données projet'!$E$10+1,1))-AVERAGE(OFFSET($H$3,0,0,'Données projet'!$E$10+1,1))</f>
        <v>196.874484</v>
      </c>
      <c r="AO151" s="133">
        <f t="shared" si="37"/>
        <v>217.5750859</v>
      </c>
      <c r="AP151" s="134">
        <f>IF(ISNA(VLOOKUP(A151,'Données projet'!$A$61:$I$81,3,0)),0,VLOOKUP(A151,'Données projet'!$A$61:$I$81,3,0))</f>
        <v>0</v>
      </c>
      <c r="AQ151" s="134">
        <f>IF(ISNA(VLOOKUP(A151,'Données projet'!$A$61:$I$81,4,0)),0,VLOOKUP(A151,'Données projet'!$A$61:$I$81,4,0))</f>
        <v>0</v>
      </c>
      <c r="AR151" s="135">
        <f>IF(ISNA(VLOOKUP(A151,'Données projet'!$A$61:$I$81,5,0)),0%,VLOOKUP(A151,'Données projet'!$A$61:$I$81,5,0)*VLOOKUP('Données projet'!$B$10,'Paramètres'!$A$1:$I$89,7,0))</f>
        <v>0</v>
      </c>
      <c r="AS151" s="135">
        <f>IF(ISNA(VLOOKUP(A151,'Données projet'!$A$61:$I$81,6,0)),0%,VLOOKUP(A151,'Données projet'!$A$61:$I$81,6,0)*VLOOKUP('Données projet'!$B$10,'Paramètres'!$A$1:$I$89,7,0))</f>
        <v>0</v>
      </c>
      <c r="AT151" s="135">
        <f>IF(ISNA(VLOOKUP(A151,'Données projet'!$A$61:$I$81,7,0)),0%,VLOOKUP(A151,'Données projet'!$A$61:$I$81,7,0))</f>
        <v>0</v>
      </c>
      <c r="AU151" s="142">
        <f>EXP(-LN(2)/35)*AU150+(1-EXP(-LN(2)/35))/(LN(2)/35)*AQ151*AR151*VLOOKUP('Données projet'!$B$10,'Paramètres'!$A$1:$I$89,3,0)*0.475*44/12</f>
        <v>25.84490467</v>
      </c>
      <c r="AV151" s="142">
        <f>EXP(-LN(2)/25)*AV150+(1-EXP(-LN(2)/25))/(LN(2)/25)*Calculateur!AQ151*Calculateur!AS151*VLOOKUP('Données projet'!$B$10,'Paramètres'!$A$1:$I$89,3,0)*0.475*44/12</f>
        <v>3.114589129</v>
      </c>
      <c r="AW151" s="142">
        <f>EXP(-LN(2)/2)*AW150+(1-EXP(-LN(2)/2))/(LN(2)/2)*AQ151*AT151*VLOOKUP('Données projet'!$B$10,'Paramètres'!$A$1:$I$89,3,0)*0.475*44/12</f>
        <v>0</v>
      </c>
      <c r="AX151" s="142">
        <f t="shared" si="7"/>
        <v>28.9594938</v>
      </c>
      <c r="AY151" s="13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1" t="str">
        <f>VLOOKUP(A151,'Données projet'!$A$87:$I$107,2,0)</f>
        <v>#N/A</v>
      </c>
      <c r="BB151" s="131" t="str">
        <f>VLOOKUP(A151,'Données projet'!$A$87:$I$107,9,0)</f>
        <v>#N/A</v>
      </c>
      <c r="BC151" s="131" t="str">
        <f t="array" ref="BC151">INDEX(BB:BB,MIN(IF(ISNUMBER(BB151:BB347),ROW(BB151:BB347),"")))</f>
        <v/>
      </c>
      <c r="BD151" s="130">
        <f>IF('Données projet'!$A$88&gt;35,BD150+BC151-BL150,IF(A151&lt;'Données projet'!$A$88,$BA$205^A151,IF(A151='Données projet'!$A$88,'Données projet'!$B$88,BD150+BC151-BL150)))</f>
        <v>0</v>
      </c>
      <c r="BE151" s="130">
        <f>BD151*VLOOKUP('Données projet'!$B$11,'Paramètres'!$A$1:$I$89,3,0)*VLOOKUP('Données projet'!$B$11,'Paramètres'!$A$1:$I$89,5,0)</f>
        <v>0</v>
      </c>
      <c r="BF151" s="130" t="str">
        <f t="shared" si="38"/>
        <v>#NUM!</v>
      </c>
      <c r="BG151" s="141" t="str">
        <f t="shared" si="8"/>
        <v>#NUM!</v>
      </c>
      <c r="BH151" s="133" t="str">
        <f t="shared" si="9"/>
        <v>#NUM!</v>
      </c>
      <c r="BI151" s="133">
        <f>AVERAGE(OFFSET($BH$3,0,0,'Données projet'!$E$11+1,1))-AVERAGE(OFFSET($H$3,0,0,'Données projet'!$E$11+1,1))</f>
        <v>134.0948534</v>
      </c>
      <c r="BJ151" s="133">
        <f t="shared" si="39"/>
        <v>108.4102536</v>
      </c>
      <c r="BK151" s="134">
        <f>IF(ISNA(VLOOKUP(A151,'Données projet'!$A$87:$I$107,3,0)),0,VLOOKUP(A151,'Données projet'!$A$87:$I$107,3,0))</f>
        <v>0</v>
      </c>
      <c r="BL151" s="134">
        <f>IF(ISNA(VLOOKUP(A151,'Données projet'!$A$87:$I$107,4,0)),0,VLOOKUP(A151,'Données projet'!$A$87:$I$107,4,0))</f>
        <v>0</v>
      </c>
      <c r="BM151" s="135">
        <f>IF(ISNA(VLOOKUP(A151,'Données projet'!$A$87:$I$107,5,0)),0%,VLOOKUP(A151,'Données projet'!$A$87:$I$107,5,0)*VLOOKUP('Données projet'!$B$11,'Paramètres'!$A$1:$I$89,7,0))</f>
        <v>0</v>
      </c>
      <c r="BN151" s="135">
        <f>IF(ISNA(VLOOKUP(A151,'Données projet'!$A$87:$I$107,6,0)),0%,VLOOKUP(A151,'Données projet'!$A$87:$I$107,6,0)*VLOOKUP('Données projet'!$B$11,'Paramètres'!$A$1:$I$89,7,0))</f>
        <v>0</v>
      </c>
      <c r="BO151" s="135">
        <f>IF(ISNA(VLOOKUP(A151,'Données projet'!$A$87:$I$107,7,0)),0%,VLOOKUP(A151,'Données projet'!$A$87:$I$107,7,0))</f>
        <v>0</v>
      </c>
      <c r="BP151" s="142">
        <f>EXP(-LN(2)/35)*BP150+(1-EXP(-LN(2)/35))/(LN(2)/35)*BL151*BM151*VLOOKUP('Données projet'!$B$11,'Paramètres'!$A$1:$I$89,3,0)*0.475*44/12</f>
        <v>35.74832992</v>
      </c>
      <c r="BQ151" s="142">
        <f>EXP(-LN(2)/25)*BQ150+(1-EXP(-LN(2)/25))/(LN(2)/25)*Calculateur!BL151*Calculateur!BN151*VLOOKUP('Données projet'!$B$11,'Paramètres'!$A$1:$I$89,3,0)*0.475*44/12</f>
        <v>1.964685497</v>
      </c>
      <c r="BR151" s="142">
        <f>EXP(-LN(2)/2)*BR150+(1-EXP(-LN(2)/2))/(LN(2)/2)*BL151*BO151*VLOOKUP('Données projet'!$B$11,'Paramètres'!$A$1:$I$89,3,0)*0.475*44/12</f>
        <v>0</v>
      </c>
      <c r="BS151" s="143">
        <f t="shared" si="10"/>
        <v>37.71301541</v>
      </c>
      <c r="BT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1" t="str">
        <f>VLOOKUP(A151,'Données projet'!$A$113:$I$133,2,0)</f>
        <v>#N/A</v>
      </c>
      <c r="BW151" s="131" t="str">
        <f>VLOOKUP(A151,'Données projet'!$A$113:$I$133,9,0)</f>
        <v>#N/A</v>
      </c>
      <c r="BX151" s="131" t="str">
        <f t="array" ref="BX151">INDEX(BW:BW,MIN(IF(ISNUMBER(BW151:BW347),ROW(BW151:BW347),"")))</f>
        <v/>
      </c>
      <c r="BY151" s="130">
        <f>IF('Données projet'!$A$114&gt;35,BY150+BX151-CG150,IF(A151&lt;'Données projet'!$A$114,$BV$205^A151,IF(A151='Données projet'!$A$114,'Données projet'!$B$114,BY150+BX151-CG150)))</f>
        <v>0</v>
      </c>
      <c r="BZ151" s="130">
        <f>BY151*VLOOKUP('Données projet'!$B$12,'Paramètres'!$A$1:$I$89,3,0)*VLOOKUP('Données projet'!$B$12,'Paramètres'!$A$1:$I$89,5,0)</f>
        <v>0</v>
      </c>
      <c r="CA151" s="130" t="str">
        <f t="shared" si="40"/>
        <v>#NUM!</v>
      </c>
      <c r="CB151" s="141" t="str">
        <f t="shared" si="11"/>
        <v>#NUM!</v>
      </c>
      <c r="CC151" s="133" t="str">
        <f t="shared" si="12"/>
        <v>#NUM!</v>
      </c>
      <c r="CD151" s="133">
        <f>AVERAGE(OFFSET($CC$3,0,0,'Données projet'!$E$12+1,1))-AVERAGE(OFFSET($H$3,0,0,'Données projet'!$E$12+1,1))</f>
        <v>258.1672054</v>
      </c>
      <c r="CE151" s="133">
        <f t="shared" si="41"/>
        <v>296.0724261</v>
      </c>
      <c r="CF151" s="134">
        <f>IF(ISNA(VLOOKUP(A151,'Données projet'!$A$113:$I$133,3,0)),0,VLOOKUP(A151,'Données projet'!$A$113:$I$133,3,0))</f>
        <v>0</v>
      </c>
      <c r="CG151" s="134">
        <f>IF(ISNA(VLOOKUP(A151,'Données projet'!$A$113:$I$133,4,0)),0,VLOOKUP(A151,'Données projet'!$A$113:$I$133,4,0))</f>
        <v>0</v>
      </c>
      <c r="CH151" s="135">
        <f>IF(ISNA(VLOOKUP(A151,'Données projet'!$A$113:$I$133,5,0)),0%,VLOOKUP(A151,'Données projet'!$A$113:$I$133,5,0)*VLOOKUP('Données projet'!$B$12,'Paramètres'!$A$1:$I$89,7,0))</f>
        <v>0</v>
      </c>
      <c r="CI151" s="135">
        <f>IF(ISNA(VLOOKUP(A151,'Données projet'!$A$113:$I$133,6,0)),0%,VLOOKUP(A151,'Données projet'!$A$113:$I$133,6,0)*VLOOKUP('Données projet'!$B$12,'Paramètres'!$A$1:$I$89,7,0))</f>
        <v>0</v>
      </c>
      <c r="CJ151" s="135">
        <f>IF(ISNA(VLOOKUP(A151,'Données projet'!$A$113:$I$133,7,0)),0%,VLOOKUP(A151,'Données projet'!$A$113:$I$133,7,0))</f>
        <v>0</v>
      </c>
      <c r="CK151" s="142">
        <f>EXP(-LN(2)/35)*CK150+(1-EXP(-LN(2)/35))/(LN(2)/35)*CG151*CH151*VLOOKUP('Données projet'!$B$12,'Paramètres'!$A$1:$I$89,3,0)*0.475*44/12</f>
        <v>45.19682488</v>
      </c>
      <c r="CL151" s="142">
        <f>EXP(-LN(2)/25)*CL150+(1-EXP(-LN(2)/25))/(LN(2)/25)*Calculateur!CG151*Calculateur!CI151*VLOOKUP('Données projet'!$B$12,'Paramètres'!$A$1:$I$89,3,0)*0.475*44/12</f>
        <v>3.446169891</v>
      </c>
      <c r="CM151" s="142">
        <f>EXP(-LN(2)/2)*CM150+(1-EXP(-LN(2)/2))/(LN(2)/2)*CG151*CJ151*VLOOKUP('Données projet'!$B$12,'Paramètres'!$A$1:$I$89,3,0)*0.475*44/12</f>
        <v>0</v>
      </c>
      <c r="CN151" s="143">
        <f t="shared" si="13"/>
        <v>48.64299477</v>
      </c>
      <c r="CO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1" t="str">
        <f>VLOOKUP(A151,'Données projet'!$A$139:$I$159,2,0)</f>
        <v>#N/A</v>
      </c>
      <c r="CR151" s="131" t="str">
        <f>VLOOKUP(A151,'Données projet'!$A$139:$I$159,9,0)</f>
        <v>#N/A</v>
      </c>
      <c r="CS151" s="130">
        <f t="array" ref="CS151">INDEX(CR:CR,MIN(IF(ISNUMBER(CR151:CR347),ROW(CR151:CR347),"")))</f>
        <v>0.7</v>
      </c>
      <c r="CT151" s="138">
        <f>IF('Données projet'!$A$140&gt;35,CT150+CS151-DB150,IF(A151&lt;'Données projet'!$A$140,$CQ$205^A151,IF(A151='Données projet'!$A$140,'Données projet'!$B$140,CT150+CS151-DB150)))</f>
        <v>215.6</v>
      </c>
      <c r="CU151" s="138">
        <f>CT151*VLOOKUP('Données projet'!$B$13,'Paramètres'!$A$1:$I$89,3,0)*VLOOKUP('Données projet'!$B$13,'Paramètres'!$A$1:$I$89,5,0)</f>
        <v>218.6184</v>
      </c>
      <c r="CV151" s="130">
        <f t="shared" si="42"/>
        <v>53.81449178</v>
      </c>
      <c r="CW151" s="141">
        <f t="shared" si="14"/>
        <v>474.4872865</v>
      </c>
      <c r="CX151" s="133">
        <f t="shared" si="15"/>
        <v>767.8206198</v>
      </c>
      <c r="CY151" s="133">
        <f>AVERAGE(OFFSET($CX$3,0,0,'Données projet'!$E$13+1,1))-AVERAGE(OFFSET($H$3,0,0,'Données projet'!$E$13+1,1))</f>
        <v>223.783507</v>
      </c>
      <c r="CZ151" s="133">
        <f t="shared" si="43"/>
        <v>84.92349117</v>
      </c>
      <c r="DA151" s="134">
        <f>IF(ISNA(VLOOKUP(A151,'Données projet'!$A$139:$I$159,3,0)),0,VLOOKUP(A151,'Données projet'!$A$139:$I$159,3,0))</f>
        <v>0</v>
      </c>
      <c r="DB151" s="134">
        <f>IF(ISNA(VLOOKUP(A151,'Données projet'!$A$139:$I$159,4,0)),0,VLOOKUP(A151,'Données projet'!$A$139:$I$159,4,0))</f>
        <v>0</v>
      </c>
      <c r="DC151" s="135">
        <f>IF(ISNA(VLOOKUP(A151,'Données projet'!$A$139:$I$159,5,0)),0%,VLOOKUP(A151,'Données projet'!$A$139:$I$159,5,0)*VLOOKUP('Données projet'!$B$13,'Paramètres'!$A$1:$I$89,7,0))</f>
        <v>0</v>
      </c>
      <c r="DD151" s="135">
        <f>IF(ISNA(VLOOKUP(A151,'Données projet'!$A$139:$I$159,6,0)),0%,VLOOKUP(A151,'Données projet'!$A$139:$I$159,6,0)*VLOOKUP('Données projet'!$B$13,'Paramètres'!$A$1:$I$89,7,0))</f>
        <v>0</v>
      </c>
      <c r="DE151" s="135">
        <f>IF(ISNA(VLOOKUP(A151,'Données projet'!$A$139:$I$159,7,0)),0%,VLOOKUP(A151,'Données projet'!$A$139:$I$159,7,0))</f>
        <v>0</v>
      </c>
      <c r="DF151" s="142">
        <f>EXP(-LN(2)/35)*DF150+(1-EXP(-LN(2)/35))/(LN(2)/35)*DB151*DC151*VLOOKUP('Données projet'!$B$13,'Paramètres'!$A$1:$I$89,3,0)*0.475*44/12</f>
        <v>18.14377198</v>
      </c>
      <c r="DG151" s="142">
        <f>EXP(-LN(2)/25)*DG150+(1-EXP(-LN(2)/25))/(LN(2)/25)*Calculateur!DB151*Calculateur!DD151*VLOOKUP('Données projet'!$B$13,'Paramètres'!$A$1:$I$89,3,0)*0.475*44/12</f>
        <v>0</v>
      </c>
      <c r="DH151" s="142">
        <f>EXP(-LN(2)/2)*DH150+(1-EXP(-LN(2)/2))/(LN(2)/2)*DB151*DE151*VLOOKUP('Données projet'!$B$13,'Paramètres'!$A$1:$I$89,3,0)*0.475*44/12</f>
        <v>0</v>
      </c>
      <c r="DI151" s="143">
        <f t="shared" si="16"/>
        <v>18.14377198</v>
      </c>
      <c r="DJ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1" t="str">
        <f>VLOOKUP(A151,'Données projet'!$A$165:$I$185,2,0)</f>
        <v>#N/A</v>
      </c>
      <c r="DM151" s="131" t="str">
        <f>VLOOKUP(A151,'Données projet'!$A$165:$I$185,9,0)</f>
        <v>#N/A</v>
      </c>
      <c r="DN151" s="131">
        <f t="array" ref="DN151">INDEX(DM:DM,MIN(IF(ISNUMBER(DM151:DM347),ROW(DM151:DM347),"")))</f>
        <v>0.55</v>
      </c>
      <c r="DO151" s="138">
        <f>IF('Données projet'!$A$166&gt;35,DO150+DN151-DW150,IF(A151&lt;'Données projet'!$A$166,$DL$205^A151,IF(A151='Données projet'!$A$166,'Données projet'!$B$166,DO150+DN151-DW150)))</f>
        <v>278.9</v>
      </c>
      <c r="DP151" s="138">
        <f>DO151*VLOOKUP('Données projet'!$B$14,'Paramètres'!$A$1:$I$89,3,0)*VLOOKUP('Données projet'!$B$14,'Paramètres'!$A$1:$I$89,5,0)</f>
        <v>252.34872</v>
      </c>
      <c r="DQ151" s="130">
        <f t="shared" si="44"/>
        <v>61.08860985</v>
      </c>
      <c r="DR151" s="141">
        <f t="shared" si="17"/>
        <v>545.9033495</v>
      </c>
      <c r="DS151" s="133">
        <f t="shared" si="18"/>
        <v>839.2366828</v>
      </c>
      <c r="DT151" s="133">
        <f>AVERAGE(OFFSET($DS$3,0,0,'Données projet'!$E$14+1,1))-AVERAGE(OFFSET($H$3,0,0,'Données projet'!$E$14+1,1))</f>
        <v>287.9334714</v>
      </c>
      <c r="DU151" s="133">
        <f t="shared" si="45"/>
        <v>156.6796502</v>
      </c>
      <c r="DV151" s="134">
        <f>IF(ISNA(VLOOKUP(A151,'Données projet'!$A$165:$I$185,3,0)),0,VLOOKUP(A151,'Données projet'!$A$165:$I$185,3,0))</f>
        <v>0</v>
      </c>
      <c r="DW151" s="134">
        <f>IF(ISNA(VLOOKUP(A151,'Données projet'!$A$165:$I$185,4,0)),0,VLOOKUP(A151,'Données projet'!$A$165:$I$185,4,0))</f>
        <v>0</v>
      </c>
      <c r="DX151" s="135">
        <f>IF(ISNA(VLOOKUP(A151,'Données projet'!$A$165:$I$185,5,0)),0%,VLOOKUP(A151,'Données projet'!$A$165:$I$185,5,0)*VLOOKUP('Données projet'!$B$14,'Paramètres'!$A$1:$I$89,7,0))</f>
        <v>0</v>
      </c>
      <c r="DY151" s="135">
        <f>IF(ISNA(VLOOKUP(A151,'Données projet'!$A$165:$I$185,6,0)),0%,VLOOKUP(A151,'Données projet'!$A$165:$I$185,6,0)*VLOOKUP('Données projet'!$B$14,'Paramètres'!$A$1:$I$89,7,0))</f>
        <v>0</v>
      </c>
      <c r="DZ151" s="135">
        <f>IF(ISNA(VLOOKUP(A151,'Données projet'!$A$165:$I$185,7,0)),0%,VLOOKUP(A151,'Données projet'!$A$165:$I$185,7,0))</f>
        <v>0</v>
      </c>
      <c r="EA151" s="142">
        <f>EXP(-LN(2)/35)*EA150+(1-EXP(-LN(2)/35))/(LN(2)/35)*DW151*DX151*VLOOKUP('Données projet'!$B$14,'Paramètres'!$A$1:$I$89,3,0)*0.475*44/12</f>
        <v>22.09182427</v>
      </c>
      <c r="EB151" s="142">
        <f>EXP(-LN(2)/25)*EB150+(1-EXP(-LN(2)/25))/(LN(2)/25)*Calculateur!DW151*Calculateur!DY151*VLOOKUP('Données projet'!$B$14,'Paramètres'!$A$1:$I$89,3,0)*0.475*44/12</f>
        <v>0</v>
      </c>
      <c r="EC151" s="142">
        <f>EXP(-LN(2)/2)*EC150+(1-EXP(-LN(2)/2))/(LN(2)/2)*DW151*DZ151*VLOOKUP('Données projet'!$B$14,'Paramètres'!$A$1:$I$89,3,0)*0.475*44/12</f>
        <v>0</v>
      </c>
      <c r="ED151" s="143">
        <f t="shared" si="19"/>
        <v>22.09182427</v>
      </c>
      <c r="EE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1" t="str">
        <f>VLOOKUP(A151,'Données projet'!$A$191:$I$211,2,0)</f>
        <v>#N/A</v>
      </c>
      <c r="EH151" s="131" t="str">
        <f>VLOOKUP(A151,'Données projet'!$A$191:$I$211,9,0)</f>
        <v>#N/A</v>
      </c>
      <c r="EI151" s="131" t="str">
        <f t="array" ref="EI151">INDEX(EH:EH,MIN(IF(ISNUMBER(EH151:EH347),ROW(EH151:EH347),"")))</f>
        <v/>
      </c>
      <c r="EJ151" s="138">
        <f>IF('Données projet'!$A$192&gt;35,EJ150+EI151-ER150,IF(A151&lt;'Données projet'!$A$192,$EG$205^A151,IF(A151='Données projet'!$A$192,'Données projet'!$B$192,EJ150+EI151-ER150)))</f>
        <v>0</v>
      </c>
      <c r="EK151" s="138">
        <f>EJ151*VLOOKUP('Données projet'!$B$15,'Paramètres'!$A$1:$I$89,3,0)*VLOOKUP('Données projet'!$B$15,'Paramètres'!$A$1:$I$89,5,0)</f>
        <v>0</v>
      </c>
      <c r="EL151" s="130" t="str">
        <f t="shared" si="46"/>
        <v>#NUM!</v>
      </c>
      <c r="EM151" s="141" t="str">
        <f t="shared" si="20"/>
        <v>#NUM!</v>
      </c>
      <c r="EN151" s="133" t="str">
        <f t="shared" si="21"/>
        <v>#NUM!</v>
      </c>
      <c r="EO151" s="133">
        <f>AVERAGE(OFFSET($EN$3,0,0,'Données projet'!$E$15+1,1))-AVERAGE(OFFSET($H$3,0,0,'Données projet'!$E$15+1,1))</f>
        <v>130.3193339</v>
      </c>
      <c r="EP151" s="133">
        <f t="shared" si="47"/>
        <v>82.22784365</v>
      </c>
      <c r="EQ151" s="134">
        <f>IF(ISNA(VLOOKUP(A151,'Données projet'!$A$191:$I$211,3,0)),0,VLOOKUP(A151,'Données projet'!$A$191:$I$211,3,0))</f>
        <v>0</v>
      </c>
      <c r="ER151" s="134">
        <f>IF(ISNA(VLOOKUP(A151,'Données projet'!$A$191:$I$211,4,0)),0,VLOOKUP(A151,'Données projet'!$A$191:$I$211,4,0))</f>
        <v>0</v>
      </c>
      <c r="ES151" s="135">
        <f>IF(ISNA(VLOOKUP(A151,'Données projet'!$A$191:$I$211,5,0)),0%,VLOOKUP(A151,'Données projet'!$A$191:$I$211,5,0)*VLOOKUP('Données projet'!$B$15,'Paramètres'!$A$1:$I$89,7,0))</f>
        <v>0</v>
      </c>
      <c r="ET151" s="135">
        <f>IF(ISNA(VLOOKUP(A151,'Données projet'!$A$191:$I$211,6,0)),0%,VLOOKUP(A151,'Données projet'!$A$191:$I$211,6,0)*VLOOKUP('Données projet'!$B$15,'Paramètres'!$A$1:$I$89,7,0))</f>
        <v>0</v>
      </c>
      <c r="EU151" s="135">
        <f>IF(ISNA(VLOOKUP(A151,'Données projet'!$A$191:$I$211,7,0)),0%,VLOOKUP(A151,'Données projet'!$A$191:$I$211,7,0))</f>
        <v>0</v>
      </c>
      <c r="EV151" s="142">
        <f>EXP(-LN(2)/35)*EV150+(1-EXP(-LN(2)/35))/(LN(2)/35)*ER151*ES151*VLOOKUP('Données projet'!$B$15,'Paramètres'!$A$1:$I$89,3,0)*0.475*44/12</f>
        <v>27.63692341</v>
      </c>
      <c r="EW151" s="142">
        <f>EXP(-LN(2)/25)*EW150+(1-EXP(-LN(2)/25))/(LN(2)/25)*Calculateur!ER151*Calculateur!ET151*VLOOKUP('Données projet'!$B$15,'Paramètres'!$A$1:$I$89,3,0)*0.475*44/12</f>
        <v>0</v>
      </c>
      <c r="EX151" s="142">
        <f>EXP(-LN(2)/2)*EX150+(1-EXP(-LN(2)/2))/(LN(2)/2)*ER151*EU151*VLOOKUP('Données projet'!$B$15,'Paramètres'!$A$1:$I$89,3,0)*0.475*44/12</f>
        <v>0</v>
      </c>
      <c r="EY151" s="143">
        <f t="shared" si="22"/>
        <v>27.63692341</v>
      </c>
      <c r="EZ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1" t="str">
        <f>VLOOKUP(A151,'Données projet'!$A$217:$I$237,2,0)</f>
        <v>#N/A</v>
      </c>
      <c r="FC151" s="131" t="str">
        <f>VLOOKUP(A151,'Données projet'!$A$217:$I$237,9,0)</f>
        <v>#N/A</v>
      </c>
      <c r="FD151" s="131" t="str">
        <f t="array" ref="FD151">INDEX(FC:FC,MIN(IF(ISNUMBER(FC151:FC347),ROW(FC151:FC347),"")))</f>
        <v/>
      </c>
      <c r="FE151" s="130">
        <f>IF('Données projet'!$A$218&gt;35,FE150+FD151-FM150,IF(A151&lt;'Données projet'!$A$218,$FB$205^A151,IF(A151='Données projet'!$A$218,'Données projet'!$B$218,FE150+FD151-FM150)))</f>
        <v>0</v>
      </c>
      <c r="FF151" s="138">
        <f>FE151*VLOOKUP('Données projet'!$B$16,'Paramètres'!$A$1:$I$89,3,0)*VLOOKUP('Données projet'!$B$16,'Paramètres'!$A$1:$I$89,5,0)</f>
        <v>0</v>
      </c>
      <c r="FG151" s="130">
        <f t="shared" si="48"/>
        <v>0</v>
      </c>
      <c r="FH151" s="141">
        <f t="shared" si="23"/>
        <v>0</v>
      </c>
      <c r="FI151" s="133">
        <f t="shared" si="24"/>
        <v>293.3333333</v>
      </c>
      <c r="FJ151" s="133">
        <f>AVERAGE(OFFSET($FI$3,0,0,'Données projet'!$E$16+1,1))-AVERAGE(OFFSET($H$3,0,0,'Données projet'!$E$16+1,1))</f>
        <v>305.6252353</v>
      </c>
      <c r="FK151" s="133">
        <f t="shared" si="49"/>
        <v>331.397916</v>
      </c>
      <c r="FL151" s="134">
        <f>IF(ISNA(VLOOKUP(A151,'Données projet'!$A$217:$I$237,3,0)),0,VLOOKUP(A151,'Données projet'!$A$217:$I$237,3,0))</f>
        <v>0</v>
      </c>
      <c r="FM151" s="134">
        <f>IF(ISNA(VLOOKUP(A151,'Données projet'!$A$217:$I$237,4,0)),0,VLOOKUP(A151,'Données projet'!$A$217:$I$237,4,0))</f>
        <v>0</v>
      </c>
      <c r="FN151" s="135">
        <f>IF(ISNA(VLOOKUP(A151,'Données projet'!$A$217:$I$237,5,0)),0%,VLOOKUP(A151,'Données projet'!$A$217:$I$237,5,0)*VLOOKUP('Données projet'!$B$16,'Paramètres'!$A$1:$I$89,7,0))</f>
        <v>0</v>
      </c>
      <c r="FO151" s="135">
        <f>IF(ISNA(VLOOKUP(A151,'Données projet'!$A$217:$I$237,6,0)),0%,VLOOKUP(A151,'Données projet'!$A$217:$I$237,6,0)*VLOOKUP('Données projet'!$B$16,'Paramètres'!$A$1:$I$89,7,0))</f>
        <v>0</v>
      </c>
      <c r="FP151" s="135">
        <f>IF(ISNA(VLOOKUP(A151,'Données projet'!$A$217:$I$237,7,0)),0%,VLOOKUP(A151,'Données projet'!$A$217:$I$237,7,0))</f>
        <v>0</v>
      </c>
      <c r="FQ151" s="142">
        <f>EXP(-LN(2)/35)*FQ150+(1-EXP(-LN(2)/35))/(LN(2)/35)*FM151*FN151*VLOOKUP('Données projet'!$B$16,'Paramètres'!$A$1:$I$89,3,0)*0.475*44/12</f>
        <v>17.20757445</v>
      </c>
      <c r="FR151" s="142">
        <f>EXP(-LN(2)/25)*FR150+(1-EXP(-LN(2)/25))/(LN(2)/25)*Calculateur!FM151*Calculateur!FO151*VLOOKUP('Données projet'!$B$16,'Paramètres'!$A$1:$I$89,3,0)*0.475*44/12</f>
        <v>0</v>
      </c>
      <c r="FS151" s="142">
        <f>EXP(-LN(2)/2)*FS150+(1-EXP(-LN(2)/2))/(LN(2)/2)*FM151*FP151*VLOOKUP('Données projet'!$B$16,'Paramètres'!$A$1:$I$89,3,0)*0.475*44/12</f>
        <v>0</v>
      </c>
      <c r="FT151" s="143">
        <f t="shared" si="25"/>
        <v>17.20757445</v>
      </c>
      <c r="FU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1" t="str">
        <f>VLOOKUP(A151,'Données projet'!$A$243:$I$263,2,0)</f>
        <v>#N/A</v>
      </c>
      <c r="FX151" s="131" t="str">
        <f>VLOOKUP(A151,'Données projet'!$A$243:$I$263,9,0)</f>
        <v>#N/A</v>
      </c>
      <c r="FY151" s="131" t="str">
        <f t="array" ref="FY151">INDEX(FX:FX,MIN(IF(ISNUMBER(FX151:FX347),ROW(FX151:FX347),"")))</f>
        <v/>
      </c>
      <c r="FZ151" s="138">
        <f>IF('Données projet'!$A$244&gt;35,FZ150+FY151-GH150,IF(A151&lt;'Données projet'!$A$244,$FW$205^A151,IF(A151='Données projet'!$A$244,'Données projet'!$B$244,FZ150+FY151-GH150)))</f>
        <v>0</v>
      </c>
      <c r="GA151" s="138">
        <f>FZ151*VLOOKUP('Données projet'!$B$17,'Paramètres'!$A$1:$I$89,3,0)*VLOOKUP('Données projet'!$B$17,'Paramètres'!$A$1:$I$89,5,0)</f>
        <v>0</v>
      </c>
      <c r="GB151" s="130">
        <f t="shared" si="50"/>
        <v>0</v>
      </c>
      <c r="GC151" s="141">
        <f t="shared" si="26"/>
        <v>0</v>
      </c>
      <c r="GD151" s="133">
        <f t="shared" si="27"/>
        <v>293.3333333</v>
      </c>
      <c r="GE151" s="133">
        <f>AVERAGE(OFFSET($GD$3,0,0,'Données projet'!$E$17+1,1))-AVERAGE(OFFSET($H$3,0,0,'Données projet'!$E$17+1,1))</f>
        <v>118.7368745</v>
      </c>
      <c r="GF151" s="133">
        <f t="shared" si="51"/>
        <v>135.1233677</v>
      </c>
      <c r="GG151" s="134">
        <f>IF(ISNA(VLOOKUP(A151,'Données projet'!$A$243:$I$263,3,0)),0,VLOOKUP(A151,'Données projet'!$A$243:$I$263,3,0))</f>
        <v>0</v>
      </c>
      <c r="GH151" s="134">
        <f>IF(ISNA(VLOOKUP(A151,'Données projet'!$A$243:$I$263,4,0)),0,VLOOKUP(A151,'Données projet'!$A$243:$I$263,4,0))</f>
        <v>0</v>
      </c>
      <c r="GI151" s="135">
        <f>IF(ISNA(VLOOKUP(A151,'Données projet'!$A$243:$I$263,5,0)),0%,VLOOKUP(A151,'Données projet'!$A$243:$I$263,5,0)*VLOOKUP('Données projet'!$B$17,'Paramètres'!$A$1:$I$89,7,0))</f>
        <v>0</v>
      </c>
      <c r="GJ151" s="135">
        <f>IF(ISNA(VLOOKUP(A151,'Données projet'!$A$243:$I$263,6,0)),0%,VLOOKUP(A151,'Données projet'!$A$243:$I$263,6,0)*VLOOKUP('Données projet'!$B$17,'Paramètres'!$A$1:$I$89,7,0))</f>
        <v>0</v>
      </c>
      <c r="GK151" s="135">
        <f>IF(ISNA(VLOOKUP(A151,'Données projet'!$A$243:$I$263,7,0)),0%,VLOOKUP(A151,'Données projet'!$A$243:$I$263,7,0))</f>
        <v>0</v>
      </c>
      <c r="GL151" s="142">
        <f>EXP(-LN(2)/35)*GL150+(1-EXP(-LN(2)/35))/(LN(2)/35)*GH151*GI151*VLOOKUP('Données projet'!$B$17,'Paramètres'!$A$1:$I$89,3,0)*0.475*44/12</f>
        <v>18.1797492</v>
      </c>
      <c r="GM151" s="142">
        <f>EXP(-LN(2)/25)*GM150+(1-EXP(-LN(2)/25))/(LN(2)/25)*Calculateur!GH151*Calculateur!GJ151*VLOOKUP('Données projet'!$B$17,'Paramètres'!$A$1:$I$89,3,0)*0.475*44/12</f>
        <v>0</v>
      </c>
      <c r="GN151" s="142">
        <f>EXP(-LN(2)/2)*GN150+(1-EXP(-LN(2)/2))/(LN(2)/2)*GH151*GK151*VLOOKUP('Données projet'!$B$17,'Paramètres'!$A$1:$I$89,3,0)*0.475*44/12</f>
        <v>0</v>
      </c>
      <c r="GO151" s="142">
        <f t="shared" si="28"/>
        <v>18.1797492</v>
      </c>
      <c r="GP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1" t="str">
        <f>VLOOKUP(A151,'Données projet'!$A$269:$I$289,2,0)</f>
        <v>#N/A</v>
      </c>
      <c r="GS151" s="131" t="str">
        <f>VLOOKUP(A151,'Données projet'!$A$269:$I$289,9,0)</f>
        <v>#N/A</v>
      </c>
      <c r="GT151" s="131" t="str">
        <f t="array" ref="GT151">INDEX(GS:GS,MIN(IF(ISNUMBER(GS151:GS347),ROW(GS151:GS347),"")))</f>
        <v/>
      </c>
      <c r="GU151" s="138">
        <f>IF('Données projet'!$A$270&gt;35,GU150+GT151-HC150,IF(A151&lt;'Données projet'!$A$270,$GR$205^A151,IF(A151='Données projet'!$A$270,'Données projet'!$B$270,GU150+GT151-HC150)))</f>
        <v>0</v>
      </c>
      <c r="GV151" s="138">
        <f>GU151*VLOOKUP('Données projet'!$B$18,'Paramètres'!$A$1:$I$89,3,0)*VLOOKUP('Données projet'!$B$18,'Paramètres'!$A$1:$I$89,5,0)</f>
        <v>0</v>
      </c>
      <c r="GW151" s="130" t="str">
        <f t="shared" si="52"/>
        <v>#NUM!</v>
      </c>
      <c r="GX151" s="141" t="str">
        <f t="shared" si="29"/>
        <v>#NUM!</v>
      </c>
      <c r="GY151" s="133" t="str">
        <f t="shared" si="30"/>
        <v>#NUM!</v>
      </c>
      <c r="GZ151" s="133">
        <f>AVERAGE(OFFSET($GY$3,0,0,'Données projet'!$E$18+1,1))-AVERAGE(OFFSET($H$3,0,0,'Données projet'!$E$18+1,1))</f>
        <v>100.5427875</v>
      </c>
      <c r="HA151" s="133">
        <f t="shared" si="53"/>
        <v>92.28663609</v>
      </c>
      <c r="HB151" s="134">
        <f>IF(ISNA(VLOOKUP(A151,'Données projet'!$A$269:$I$289,3,0)),0,VLOOKUP(A151,'Données projet'!$A$269:$I$289,3,0))</f>
        <v>0</v>
      </c>
      <c r="HC151" s="134">
        <f>IF(ISNA(VLOOKUP(A151,'Données projet'!$A$269:$I$289,4,0)),0,VLOOKUP(A151,'Données projet'!$A$269:$I$289,4,0))</f>
        <v>0</v>
      </c>
      <c r="HD151" s="135">
        <f>IF(ISNA(VLOOKUP(A151,'Données projet'!$A$269:$I$289,5,0)),0%,VLOOKUP(A151,'Données projet'!$A$269:$I$289,5,0)*VLOOKUP('Données projet'!$B$18,'Paramètres'!$A$1:$I$89,7,0))</f>
        <v>0</v>
      </c>
      <c r="HE151" s="135">
        <f>IF(ISNA(VLOOKUP(A151,'Données projet'!$A$269:$I$289,6,0)),0%,VLOOKUP(A151,'Données projet'!$A$269:$I$289,6,0)*VLOOKUP('Données projet'!$B$18,'Paramètres'!$A$1:$I$89,7,0))</f>
        <v>0</v>
      </c>
      <c r="HF151" s="135">
        <f>IF(ISNA(VLOOKUP(A151,'Données projet'!$A$269:$I$289,7,0)),0%,VLOOKUP(A151,'Données projet'!$A$269:$I$289,7,0))</f>
        <v>0</v>
      </c>
      <c r="HG151" s="142">
        <f>EXP(-LN(2)/35)*HG150+(1-EXP(-LN(2)/35))/(LN(2)/35)*HC151*HD151*VLOOKUP('Données projet'!$B$18,'Paramètres'!$A$1:$I$89,3,0)*0.475*44/12</f>
        <v>12.38002568</v>
      </c>
      <c r="HH151" s="142">
        <f>EXP(-LN(2)/25)*HH150+(1-EXP(-LN(2)/25))/(LN(2)/25)*Calculateur!HC151*Calculateur!HE151*VLOOKUP('Données projet'!$B$18,'Paramètres'!$A$1:$I$89,3,0)*0.475*44/12</f>
        <v>0</v>
      </c>
      <c r="HI151" s="142">
        <f>EXP(-LN(2)/2)*HI150+(1-EXP(-LN(2)/2))/(LN(2)/2)*HC151*HF151*VLOOKUP('Données projet'!$B$18,'Paramètres'!$A$1:$I$89,3,0)*0.475*44/12</f>
        <v>0</v>
      </c>
      <c r="HJ151" s="143">
        <f t="shared" si="31"/>
        <v>12.38002568</v>
      </c>
    </row>
    <row r="152" ht="15.75" customHeight="1">
      <c r="A152" s="125">
        <f t="shared" si="32"/>
        <v>149</v>
      </c>
      <c r="B152" s="126">
        <f>'Scénario référence'!$B$16*5+'Scénario référence'!$B$17*0+'Scénario référence'!$B$18*5</f>
        <v>0</v>
      </c>
      <c r="C152" s="140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81.354</v>
      </c>
      <c r="D152" s="127">
        <f t="shared" si="33"/>
        <v>22.4679201</v>
      </c>
      <c r="E15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7">
        <f>IF(OR('Scénario référence'!$F$8&gt;0,'Scénario référence'!$F$9&gt;0),('Scénario référence'!$F$8+'Scénario référence'!$F$9)*10,0)</f>
        <v>10</v>
      </c>
      <c r="G152" s="127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801.4323657</v>
      </c>
      <c r="H152" s="128">
        <f t="shared" si="1"/>
        <v>474.1565108</v>
      </c>
      <c r="I152" s="12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1" t="str">
        <f>VLOOKUP(A152,'Données projet'!$A$35:$I$55,2,0)</f>
        <v>#N/A</v>
      </c>
      <c r="L152" s="131" t="str">
        <f>VLOOKUP(A152,'Données projet'!$A$35:$I$55,9,0)</f>
        <v>#N/A</v>
      </c>
      <c r="M152" s="131" t="str">
        <f t="array" ref="M152">INDEX(L:L,MIN(IF(ISNUMBER(L152:L348),ROW(L152:L348),"")))</f>
        <v/>
      </c>
      <c r="N152" s="130">
        <f>IF('Données projet'!$A$36&gt;35,N151+M152-V151,IF(A152&lt;'Données projet'!$A$36,$K$205^A152,IF(A152='Données projet'!$A$36,'Données projet'!$B$36,N151+M152-V151)))</f>
        <v>0</v>
      </c>
      <c r="O152" s="130">
        <f>N152*VLOOKUP('Données projet'!$B$9,'Paramètres'!$A$1:$I$89,3,0)*VLOOKUP('Données projet'!$B$9,'Paramètres'!$A$1:$I$89,5,0)</f>
        <v>0</v>
      </c>
      <c r="P152" s="130">
        <f t="shared" si="34"/>
        <v>0</v>
      </c>
      <c r="Q152" s="141">
        <f t="shared" si="2"/>
        <v>0</v>
      </c>
      <c r="R152" s="133">
        <f t="shared" si="3"/>
        <v>293.3333333</v>
      </c>
      <c r="S152" s="133">
        <f>AVERAGE(OFFSET($R$3,0,0,'Données projet'!$E$9+1,1))-AVERAGE(OFFSET($H$3,0,0,'Données projet'!$E$9+1,1))</f>
        <v>126.9946492</v>
      </c>
      <c r="T152" s="133">
        <f t="shared" si="35"/>
        <v>140.039049</v>
      </c>
      <c r="U152" s="134">
        <f>IF(ISNA(VLOOKUP(A152,'Données projet'!$A$35:$I$55,3,0)),0,VLOOKUP(A152,'Données projet'!$A$35:$I$55,3,0))</f>
        <v>0</v>
      </c>
      <c r="V152" s="134">
        <f>IF(ISNA(VLOOKUP(A152,'Données projet'!$A$35:$I$55,4,0)),0,VLOOKUP(A152,'Données projet'!$A$35:$I$55,4,0))</f>
        <v>0</v>
      </c>
      <c r="W152" s="135">
        <f>IF(ISNA(VLOOKUP(A152,'Données projet'!$A$35:$I$55,5,0)),0%,VLOOKUP(A152,'Données projet'!$A$35:$I$55,5,0)*VLOOKUP('Données projet'!$B$9,'Paramètres'!$A$1:$I$89,7,0))</f>
        <v>0</v>
      </c>
      <c r="X152" s="135">
        <f>IF(ISNA(VLOOKUP(A152,'Données projet'!$A$35:$I$55,6,0)),0%,VLOOKUP(A152,'Données projet'!$A$35:$I$55,6,0)*VLOOKUP('Données projet'!$B$9,'Paramètres'!$A$1:$I$89,7,0))</f>
        <v>0</v>
      </c>
      <c r="Y152" s="135">
        <f>IF(ISNA(VLOOKUP(A152,'Données projet'!$A$35:$I$55,7,0)),0%,VLOOKUP(A152,'Données projet'!$A$35:$I$55,7,0))</f>
        <v>0</v>
      </c>
      <c r="Z152" s="142">
        <f>EXP(-LN(2)/35)*Z151+(1-EXP(-LN(2)/35))/(LN(2)/35)*V152*W152*VLOOKUP('Données projet'!$B$9,'Paramètres'!$A$1:$I$89,3,0)*0.475*44/12</f>
        <v>18.22922276</v>
      </c>
      <c r="AA152" s="142">
        <f>EXP(-LN(2)/25)*AA151+(1-EXP(-LN(2)/25))/(LN(2)/25)*Calculateur!V152*Calculateur!X152*VLOOKUP('Données projet'!$B$9,'Paramètres'!$A$1:$I$89,3,0)*0.475*44/12</f>
        <v>1.970353101</v>
      </c>
      <c r="AB152" s="142">
        <f>EXP(-LN(2)/2)*AB151+(1-EXP(-LN(2)/2))/(LN(2)/2)*V152*Y152*VLOOKUP('Données projet'!$B$9,'Paramètres'!$A$1:$I$89,3,0)*0.475*44/12</f>
        <v>0</v>
      </c>
      <c r="AC152" s="143">
        <f t="shared" si="4"/>
        <v>20.19957586</v>
      </c>
      <c r="AD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1" t="str">
        <f>VLOOKUP(A152,'Données projet'!$A$61:$I$81,2,0)</f>
        <v>#N/A</v>
      </c>
      <c r="AG152" s="131" t="str">
        <f>VLOOKUP(A152,'Données projet'!$A$61:$I$81,9,0)</f>
        <v>#N/A</v>
      </c>
      <c r="AH152" s="131" t="str">
        <f t="array" ref="AH152">INDEX(AG:AG,MIN(IF(ISNUMBER(AG152:AG348),ROW(AG152:AG348),"")))</f>
        <v/>
      </c>
      <c r="AI152" s="130">
        <f>IF('Données projet'!$A$62&gt;35,AI151+AH152-AQ151,IF(A152&lt;'Données projet'!$A$62,$AF$205^A152,IF(A152='Données projet'!$A$62,'Données projet'!$B$62,AI151+AH152-AQ151)))</f>
        <v>0</v>
      </c>
      <c r="AJ152" s="130">
        <f>AI152*VLOOKUP('Données projet'!$B$10,'Paramètres'!$A$1:$I$89,3,0)*VLOOKUP('Données projet'!$B$10,'Paramètres'!$A$1:$I$89,5,0)</f>
        <v>0</v>
      </c>
      <c r="AK152" s="130" t="str">
        <f t="shared" si="36"/>
        <v>#NUM!</v>
      </c>
      <c r="AL152" s="141" t="str">
        <f t="shared" si="5"/>
        <v>#NUM!</v>
      </c>
      <c r="AM152" s="133" t="str">
        <f t="shared" si="6"/>
        <v>#NUM!</v>
      </c>
      <c r="AN152" s="133">
        <f>AVERAGE(OFFSET($AM$3,0,0,'Données projet'!$E$10+1,1))-AVERAGE(OFFSET($H$3,0,0,'Données projet'!$E$10+1,1))</f>
        <v>196.874484</v>
      </c>
      <c r="AO152" s="133">
        <f t="shared" si="37"/>
        <v>217.5750859</v>
      </c>
      <c r="AP152" s="134">
        <f>IF(ISNA(VLOOKUP(A152,'Données projet'!$A$61:$I$81,3,0)),0,VLOOKUP(A152,'Données projet'!$A$61:$I$81,3,0))</f>
        <v>0</v>
      </c>
      <c r="AQ152" s="134">
        <f>IF(ISNA(VLOOKUP(A152,'Données projet'!$A$61:$I$81,4,0)),0,VLOOKUP(A152,'Données projet'!$A$61:$I$81,4,0))</f>
        <v>0</v>
      </c>
      <c r="AR152" s="135">
        <f>IF(ISNA(VLOOKUP(A152,'Données projet'!$A$61:$I$81,5,0)),0%,VLOOKUP(A152,'Données projet'!$A$61:$I$81,5,0)*VLOOKUP('Données projet'!$B$10,'Paramètres'!$A$1:$I$89,7,0))</f>
        <v>0</v>
      </c>
      <c r="AS152" s="135">
        <f>IF(ISNA(VLOOKUP(A152,'Données projet'!$A$61:$I$81,6,0)),0%,VLOOKUP(A152,'Données projet'!$A$61:$I$81,6,0)*VLOOKUP('Données projet'!$B$10,'Paramètres'!$A$1:$I$89,7,0))</f>
        <v>0</v>
      </c>
      <c r="AT152" s="135">
        <f>IF(ISNA(VLOOKUP(A152,'Données projet'!$A$61:$I$81,7,0)),0%,VLOOKUP(A152,'Données projet'!$A$61:$I$81,7,0))</f>
        <v>0</v>
      </c>
      <c r="AU152" s="142">
        <f>EXP(-LN(2)/35)*AU151+(1-EXP(-LN(2)/35))/(LN(2)/35)*AQ152*AR152*VLOOKUP('Données projet'!$B$10,'Paramètres'!$A$1:$I$89,3,0)*0.475*44/12</f>
        <v>25.33810186</v>
      </c>
      <c r="AV152" s="142">
        <f>EXP(-LN(2)/25)*AV151+(1-EXP(-LN(2)/25))/(LN(2)/25)*Calculateur!AQ152*Calculateur!AS152*VLOOKUP('Données projet'!$B$10,'Paramètres'!$A$1:$I$89,3,0)*0.475*44/12</f>
        <v>3.029420525</v>
      </c>
      <c r="AW152" s="142">
        <f>EXP(-LN(2)/2)*AW151+(1-EXP(-LN(2)/2))/(LN(2)/2)*AQ152*AT152*VLOOKUP('Données projet'!$B$10,'Paramètres'!$A$1:$I$89,3,0)*0.475*44/12</f>
        <v>0</v>
      </c>
      <c r="AX152" s="142">
        <f t="shared" si="7"/>
        <v>28.36752238</v>
      </c>
      <c r="AY152" s="13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1" t="str">
        <f>VLOOKUP(A152,'Données projet'!$A$87:$I$107,2,0)</f>
        <v>#N/A</v>
      </c>
      <c r="BB152" s="131" t="str">
        <f>VLOOKUP(A152,'Données projet'!$A$87:$I$107,9,0)</f>
        <v>#N/A</v>
      </c>
      <c r="BC152" s="131" t="str">
        <f t="array" ref="BC152">INDEX(BB:BB,MIN(IF(ISNUMBER(BB152:BB348),ROW(BB152:BB348),"")))</f>
        <v/>
      </c>
      <c r="BD152" s="130">
        <f>IF('Données projet'!$A$88&gt;35,BD151+BC152-BL151,IF(A152&lt;'Données projet'!$A$88,$BA$205^A152,IF(A152='Données projet'!$A$88,'Données projet'!$B$88,BD151+BC152-BL151)))</f>
        <v>0</v>
      </c>
      <c r="BE152" s="130">
        <f>BD152*VLOOKUP('Données projet'!$B$11,'Paramètres'!$A$1:$I$89,3,0)*VLOOKUP('Données projet'!$B$11,'Paramètres'!$A$1:$I$89,5,0)</f>
        <v>0</v>
      </c>
      <c r="BF152" s="130" t="str">
        <f t="shared" si="38"/>
        <v>#NUM!</v>
      </c>
      <c r="BG152" s="141" t="str">
        <f t="shared" si="8"/>
        <v>#NUM!</v>
      </c>
      <c r="BH152" s="133" t="str">
        <f t="shared" si="9"/>
        <v>#NUM!</v>
      </c>
      <c r="BI152" s="133">
        <f>AVERAGE(OFFSET($BH$3,0,0,'Données projet'!$E$11+1,1))-AVERAGE(OFFSET($H$3,0,0,'Données projet'!$E$11+1,1))</f>
        <v>134.0948534</v>
      </c>
      <c r="BJ152" s="133">
        <f t="shared" si="39"/>
        <v>108.4102536</v>
      </c>
      <c r="BK152" s="134">
        <f>IF(ISNA(VLOOKUP(A152,'Données projet'!$A$87:$I$107,3,0)),0,VLOOKUP(A152,'Données projet'!$A$87:$I$107,3,0))</f>
        <v>0</v>
      </c>
      <c r="BL152" s="134">
        <f>IF(ISNA(VLOOKUP(A152,'Données projet'!$A$87:$I$107,4,0)),0,VLOOKUP(A152,'Données projet'!$A$87:$I$107,4,0))</f>
        <v>0</v>
      </c>
      <c r="BM152" s="135">
        <f>IF(ISNA(VLOOKUP(A152,'Données projet'!$A$87:$I$107,5,0)),0%,VLOOKUP(A152,'Données projet'!$A$87:$I$107,5,0)*VLOOKUP('Données projet'!$B$11,'Paramètres'!$A$1:$I$89,7,0))</f>
        <v>0</v>
      </c>
      <c r="BN152" s="135">
        <f>IF(ISNA(VLOOKUP(A152,'Données projet'!$A$87:$I$107,6,0)),0%,VLOOKUP(A152,'Données projet'!$A$87:$I$107,6,0)*VLOOKUP('Données projet'!$B$11,'Paramètres'!$A$1:$I$89,7,0))</f>
        <v>0</v>
      </c>
      <c r="BO152" s="135">
        <f>IF(ISNA(VLOOKUP(A152,'Données projet'!$A$87:$I$107,7,0)),0%,VLOOKUP(A152,'Données projet'!$A$87:$I$107,7,0))</f>
        <v>0</v>
      </c>
      <c r="BP152" s="142">
        <f>EXP(-LN(2)/35)*BP151+(1-EXP(-LN(2)/35))/(LN(2)/35)*BL152*BM152*VLOOKUP('Données projet'!$B$11,'Paramètres'!$A$1:$I$89,3,0)*0.475*44/12</f>
        <v>35.04732697</v>
      </c>
      <c r="BQ152" s="142">
        <f>EXP(-LN(2)/25)*BQ151+(1-EXP(-LN(2)/25))/(LN(2)/25)*Calculateur!BL152*Calculateur!BN152*VLOOKUP('Données projet'!$B$11,'Paramètres'!$A$1:$I$89,3,0)*0.475*44/12</f>
        <v>1.910961068</v>
      </c>
      <c r="BR152" s="142">
        <f>EXP(-LN(2)/2)*BR151+(1-EXP(-LN(2)/2))/(LN(2)/2)*BL152*BO152*VLOOKUP('Données projet'!$B$11,'Paramètres'!$A$1:$I$89,3,0)*0.475*44/12</f>
        <v>0</v>
      </c>
      <c r="BS152" s="143">
        <f t="shared" si="10"/>
        <v>36.95828804</v>
      </c>
      <c r="BT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1" t="str">
        <f>VLOOKUP(A152,'Données projet'!$A$113:$I$133,2,0)</f>
        <v>#N/A</v>
      </c>
      <c r="BW152" s="131" t="str">
        <f>VLOOKUP(A152,'Données projet'!$A$113:$I$133,9,0)</f>
        <v>#N/A</v>
      </c>
      <c r="BX152" s="131" t="str">
        <f t="array" ref="BX152">INDEX(BW:BW,MIN(IF(ISNUMBER(BW152:BW348),ROW(BW152:BW348),"")))</f>
        <v/>
      </c>
      <c r="BY152" s="130">
        <f>IF('Données projet'!$A$114&gt;35,BY151+BX152-CG151,IF(A152&lt;'Données projet'!$A$114,$BV$205^A152,IF(A152='Données projet'!$A$114,'Données projet'!$B$114,BY151+BX152-CG151)))</f>
        <v>0</v>
      </c>
      <c r="BZ152" s="130">
        <f>BY152*VLOOKUP('Données projet'!$B$12,'Paramètres'!$A$1:$I$89,3,0)*VLOOKUP('Données projet'!$B$12,'Paramètres'!$A$1:$I$89,5,0)</f>
        <v>0</v>
      </c>
      <c r="CA152" s="130" t="str">
        <f t="shared" si="40"/>
        <v>#NUM!</v>
      </c>
      <c r="CB152" s="141" t="str">
        <f t="shared" si="11"/>
        <v>#NUM!</v>
      </c>
      <c r="CC152" s="133" t="str">
        <f t="shared" si="12"/>
        <v>#NUM!</v>
      </c>
      <c r="CD152" s="133">
        <f>AVERAGE(OFFSET($CC$3,0,0,'Données projet'!$E$12+1,1))-AVERAGE(OFFSET($H$3,0,0,'Données projet'!$E$12+1,1))</f>
        <v>258.1672054</v>
      </c>
      <c r="CE152" s="133">
        <f t="shared" si="41"/>
        <v>296.0724261</v>
      </c>
      <c r="CF152" s="134">
        <f>IF(ISNA(VLOOKUP(A152,'Données projet'!$A$113:$I$133,3,0)),0,VLOOKUP(A152,'Données projet'!$A$113:$I$133,3,0))</f>
        <v>0</v>
      </c>
      <c r="CG152" s="134">
        <f>IF(ISNA(VLOOKUP(A152,'Données projet'!$A$113:$I$133,4,0)),0,VLOOKUP(A152,'Données projet'!$A$113:$I$133,4,0))</f>
        <v>0</v>
      </c>
      <c r="CH152" s="135">
        <f>IF(ISNA(VLOOKUP(A152,'Données projet'!$A$113:$I$133,5,0)),0%,VLOOKUP(A152,'Données projet'!$A$113:$I$133,5,0)*VLOOKUP('Données projet'!$B$12,'Paramètres'!$A$1:$I$89,7,0))</f>
        <v>0</v>
      </c>
      <c r="CI152" s="135">
        <f>IF(ISNA(VLOOKUP(A152,'Données projet'!$A$113:$I$133,6,0)),0%,VLOOKUP(A152,'Données projet'!$A$113:$I$133,6,0)*VLOOKUP('Données projet'!$B$12,'Paramètres'!$A$1:$I$89,7,0))</f>
        <v>0</v>
      </c>
      <c r="CJ152" s="135">
        <f>IF(ISNA(VLOOKUP(A152,'Données projet'!$A$113:$I$133,7,0)),0%,VLOOKUP(A152,'Données projet'!$A$113:$I$133,7,0))</f>
        <v>0</v>
      </c>
      <c r="CK152" s="142">
        <f>EXP(-LN(2)/35)*CK151+(1-EXP(-LN(2)/35))/(LN(2)/35)*CG152*CH152*VLOOKUP('Données projet'!$B$12,'Paramètres'!$A$1:$I$89,3,0)*0.475*44/12</f>
        <v>44.31054271</v>
      </c>
      <c r="CL152" s="142">
        <f>EXP(-LN(2)/25)*CL151+(1-EXP(-LN(2)/25))/(LN(2)/25)*Calculateur!CG152*Calculateur!CI152*VLOOKUP('Données projet'!$B$12,'Paramètres'!$A$1:$I$89,3,0)*0.475*44/12</f>
        <v>3.351934194</v>
      </c>
      <c r="CM152" s="142">
        <f>EXP(-LN(2)/2)*CM151+(1-EXP(-LN(2)/2))/(LN(2)/2)*CG152*CJ152*VLOOKUP('Données projet'!$B$12,'Paramètres'!$A$1:$I$89,3,0)*0.475*44/12</f>
        <v>0</v>
      </c>
      <c r="CN152" s="143">
        <f t="shared" si="13"/>
        <v>47.6624769</v>
      </c>
      <c r="CO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1" t="str">
        <f>VLOOKUP(A152,'Données projet'!$A$139:$I$159,2,0)</f>
        <v>#N/A</v>
      </c>
      <c r="CR152" s="131" t="str">
        <f>VLOOKUP(A152,'Données projet'!$A$139:$I$159,9,0)</f>
        <v>#N/A</v>
      </c>
      <c r="CS152" s="130">
        <f t="array" ref="CS152">INDEX(CR:CR,MIN(IF(ISNUMBER(CR152:CR348),ROW(CR152:CR348),"")))</f>
        <v>0.7</v>
      </c>
      <c r="CT152" s="138">
        <f>IF('Données projet'!$A$140&gt;35,CT151+CS152-DB151,IF(A152&lt;'Données projet'!$A$140,$CQ$205^A152,IF(A152='Données projet'!$A$140,'Données projet'!$B$140,CT151+CS152-DB151)))</f>
        <v>216.3</v>
      </c>
      <c r="CU152" s="138">
        <f>CT152*VLOOKUP('Données projet'!$B$13,'Paramètres'!$A$1:$I$89,3,0)*VLOOKUP('Données projet'!$B$13,'Paramètres'!$A$1:$I$89,5,0)</f>
        <v>219.3282</v>
      </c>
      <c r="CV152" s="130">
        <f t="shared" si="42"/>
        <v>53.96884733</v>
      </c>
      <c r="CW152" s="141">
        <f t="shared" si="14"/>
        <v>475.9923574</v>
      </c>
      <c r="CX152" s="133">
        <f t="shared" si="15"/>
        <v>769.3256908</v>
      </c>
      <c r="CY152" s="133">
        <f>AVERAGE(OFFSET($CX$3,0,0,'Données projet'!$E$13+1,1))-AVERAGE(OFFSET($H$3,0,0,'Données projet'!$E$13+1,1))</f>
        <v>223.783507</v>
      </c>
      <c r="CZ152" s="133">
        <f t="shared" si="43"/>
        <v>84.92349117</v>
      </c>
      <c r="DA152" s="134">
        <f>IF(ISNA(VLOOKUP(A152,'Données projet'!$A$139:$I$159,3,0)),0,VLOOKUP(A152,'Données projet'!$A$139:$I$159,3,0))</f>
        <v>0</v>
      </c>
      <c r="DB152" s="134">
        <f>IF(ISNA(VLOOKUP(A152,'Données projet'!$A$139:$I$159,4,0)),0,VLOOKUP(A152,'Données projet'!$A$139:$I$159,4,0))</f>
        <v>0</v>
      </c>
      <c r="DC152" s="135">
        <f>IF(ISNA(VLOOKUP(A152,'Données projet'!$A$139:$I$159,5,0)),0%,VLOOKUP(A152,'Données projet'!$A$139:$I$159,5,0)*VLOOKUP('Données projet'!$B$13,'Paramètres'!$A$1:$I$89,7,0))</f>
        <v>0</v>
      </c>
      <c r="DD152" s="135">
        <f>IF(ISNA(VLOOKUP(A152,'Données projet'!$A$139:$I$159,6,0)),0%,VLOOKUP(A152,'Données projet'!$A$139:$I$159,6,0)*VLOOKUP('Données projet'!$B$13,'Paramètres'!$A$1:$I$89,7,0))</f>
        <v>0</v>
      </c>
      <c r="DE152" s="135">
        <f>IF(ISNA(VLOOKUP(A152,'Données projet'!$A$139:$I$159,7,0)),0%,VLOOKUP(A152,'Données projet'!$A$139:$I$159,7,0))</f>
        <v>0</v>
      </c>
      <c r="DF152" s="142">
        <f>EXP(-LN(2)/35)*DF151+(1-EXP(-LN(2)/35))/(LN(2)/35)*DB152*DC152*VLOOKUP('Données projet'!$B$13,'Paramètres'!$A$1:$I$89,3,0)*0.475*44/12</f>
        <v>17.78798368</v>
      </c>
      <c r="DG152" s="142">
        <f>EXP(-LN(2)/25)*DG151+(1-EXP(-LN(2)/25))/(LN(2)/25)*Calculateur!DB152*Calculateur!DD152*VLOOKUP('Données projet'!$B$13,'Paramètres'!$A$1:$I$89,3,0)*0.475*44/12</f>
        <v>0</v>
      </c>
      <c r="DH152" s="142">
        <f>EXP(-LN(2)/2)*DH151+(1-EXP(-LN(2)/2))/(LN(2)/2)*DB152*DE152*VLOOKUP('Données projet'!$B$13,'Paramètres'!$A$1:$I$89,3,0)*0.475*44/12</f>
        <v>0</v>
      </c>
      <c r="DI152" s="143">
        <f t="shared" si="16"/>
        <v>17.78798368</v>
      </c>
      <c r="DJ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1" t="str">
        <f>VLOOKUP(A152,'Données projet'!$A$165:$I$185,2,0)</f>
        <v>#N/A</v>
      </c>
      <c r="DM152" s="131" t="str">
        <f>VLOOKUP(A152,'Données projet'!$A$165:$I$185,9,0)</f>
        <v>#N/A</v>
      </c>
      <c r="DN152" s="131">
        <f t="array" ref="DN152">INDEX(DM:DM,MIN(IF(ISNUMBER(DM152:DM348),ROW(DM152:DM348),"")))</f>
        <v>0.55</v>
      </c>
      <c r="DO152" s="138">
        <f>IF('Données projet'!$A$166&gt;35,DO151+DN152-DW151,IF(A152&lt;'Données projet'!$A$166,$DL$205^A152,IF(A152='Données projet'!$A$166,'Données projet'!$B$166,DO151+DN152-DW151)))</f>
        <v>279.45</v>
      </c>
      <c r="DP152" s="138">
        <f>DO152*VLOOKUP('Données projet'!$B$14,'Paramètres'!$A$1:$I$89,3,0)*VLOOKUP('Données projet'!$B$14,'Paramètres'!$A$1:$I$89,5,0)</f>
        <v>252.84636</v>
      </c>
      <c r="DQ152" s="130">
        <f t="shared" si="44"/>
        <v>61.19504383</v>
      </c>
      <c r="DR152" s="141">
        <f t="shared" si="17"/>
        <v>546.955445</v>
      </c>
      <c r="DS152" s="133">
        <f t="shared" si="18"/>
        <v>840.2887783</v>
      </c>
      <c r="DT152" s="133">
        <f>AVERAGE(OFFSET($DS$3,0,0,'Données projet'!$E$14+1,1))-AVERAGE(OFFSET($H$3,0,0,'Données projet'!$E$14+1,1))</f>
        <v>287.9334714</v>
      </c>
      <c r="DU152" s="133">
        <f t="shared" si="45"/>
        <v>156.6796502</v>
      </c>
      <c r="DV152" s="134">
        <f>IF(ISNA(VLOOKUP(A152,'Données projet'!$A$165:$I$185,3,0)),0,VLOOKUP(A152,'Données projet'!$A$165:$I$185,3,0))</f>
        <v>0</v>
      </c>
      <c r="DW152" s="134">
        <f>IF(ISNA(VLOOKUP(A152,'Données projet'!$A$165:$I$185,4,0)),0,VLOOKUP(A152,'Données projet'!$A$165:$I$185,4,0))</f>
        <v>0</v>
      </c>
      <c r="DX152" s="135">
        <f>IF(ISNA(VLOOKUP(A152,'Données projet'!$A$165:$I$185,5,0)),0%,VLOOKUP(A152,'Données projet'!$A$165:$I$185,5,0)*VLOOKUP('Données projet'!$B$14,'Paramètres'!$A$1:$I$89,7,0))</f>
        <v>0</v>
      </c>
      <c r="DY152" s="135">
        <f>IF(ISNA(VLOOKUP(A152,'Données projet'!$A$165:$I$185,6,0)),0%,VLOOKUP(A152,'Données projet'!$A$165:$I$185,6,0)*VLOOKUP('Données projet'!$B$14,'Paramètres'!$A$1:$I$89,7,0))</f>
        <v>0</v>
      </c>
      <c r="DZ152" s="135">
        <f>IF(ISNA(VLOOKUP(A152,'Données projet'!$A$165:$I$185,7,0)),0%,VLOOKUP(A152,'Données projet'!$A$165:$I$185,7,0))</f>
        <v>0</v>
      </c>
      <c r="EA152" s="142">
        <f>EXP(-LN(2)/35)*EA151+(1-EXP(-LN(2)/35))/(LN(2)/35)*DW152*DX152*VLOOKUP('Données projet'!$B$14,'Paramètres'!$A$1:$I$89,3,0)*0.475*44/12</f>
        <v>21.65861707</v>
      </c>
      <c r="EB152" s="142">
        <f>EXP(-LN(2)/25)*EB151+(1-EXP(-LN(2)/25))/(LN(2)/25)*Calculateur!DW152*Calculateur!DY152*VLOOKUP('Données projet'!$B$14,'Paramètres'!$A$1:$I$89,3,0)*0.475*44/12</f>
        <v>0</v>
      </c>
      <c r="EC152" s="142">
        <f>EXP(-LN(2)/2)*EC151+(1-EXP(-LN(2)/2))/(LN(2)/2)*DW152*DZ152*VLOOKUP('Données projet'!$B$14,'Paramètres'!$A$1:$I$89,3,0)*0.475*44/12</f>
        <v>0</v>
      </c>
      <c r="ED152" s="143">
        <f t="shared" si="19"/>
        <v>21.65861707</v>
      </c>
      <c r="EE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1" t="str">
        <f>VLOOKUP(A152,'Données projet'!$A$191:$I$211,2,0)</f>
        <v>#N/A</v>
      </c>
      <c r="EH152" s="131" t="str">
        <f>VLOOKUP(A152,'Données projet'!$A$191:$I$211,9,0)</f>
        <v>#N/A</v>
      </c>
      <c r="EI152" s="131" t="str">
        <f t="array" ref="EI152">INDEX(EH:EH,MIN(IF(ISNUMBER(EH152:EH348),ROW(EH152:EH348),"")))</f>
        <v/>
      </c>
      <c r="EJ152" s="138">
        <f>IF('Données projet'!$A$192&gt;35,EJ151+EI152-ER151,IF(A152&lt;'Données projet'!$A$192,$EG$205^A152,IF(A152='Données projet'!$A$192,'Données projet'!$B$192,EJ151+EI152-ER151)))</f>
        <v>0</v>
      </c>
      <c r="EK152" s="138">
        <f>EJ152*VLOOKUP('Données projet'!$B$15,'Paramètres'!$A$1:$I$89,3,0)*VLOOKUP('Données projet'!$B$15,'Paramètres'!$A$1:$I$89,5,0)</f>
        <v>0</v>
      </c>
      <c r="EL152" s="130" t="str">
        <f t="shared" si="46"/>
        <v>#NUM!</v>
      </c>
      <c r="EM152" s="141" t="str">
        <f t="shared" si="20"/>
        <v>#NUM!</v>
      </c>
      <c r="EN152" s="133" t="str">
        <f t="shared" si="21"/>
        <v>#NUM!</v>
      </c>
      <c r="EO152" s="133">
        <f>AVERAGE(OFFSET($EN$3,0,0,'Données projet'!$E$15+1,1))-AVERAGE(OFFSET($H$3,0,0,'Données projet'!$E$15+1,1))</f>
        <v>130.3193339</v>
      </c>
      <c r="EP152" s="133">
        <f t="shared" si="47"/>
        <v>82.22784365</v>
      </c>
      <c r="EQ152" s="134">
        <f>IF(ISNA(VLOOKUP(A152,'Données projet'!$A$191:$I$211,3,0)),0,VLOOKUP(A152,'Données projet'!$A$191:$I$211,3,0))</f>
        <v>0</v>
      </c>
      <c r="ER152" s="134">
        <f>IF(ISNA(VLOOKUP(A152,'Données projet'!$A$191:$I$211,4,0)),0,VLOOKUP(A152,'Données projet'!$A$191:$I$211,4,0))</f>
        <v>0</v>
      </c>
      <c r="ES152" s="135">
        <f>IF(ISNA(VLOOKUP(A152,'Données projet'!$A$191:$I$211,5,0)),0%,VLOOKUP(A152,'Données projet'!$A$191:$I$211,5,0)*VLOOKUP('Données projet'!$B$15,'Paramètres'!$A$1:$I$89,7,0))</f>
        <v>0</v>
      </c>
      <c r="ET152" s="135">
        <f>IF(ISNA(VLOOKUP(A152,'Données projet'!$A$191:$I$211,6,0)),0%,VLOOKUP(A152,'Données projet'!$A$191:$I$211,6,0)*VLOOKUP('Données projet'!$B$15,'Paramètres'!$A$1:$I$89,7,0))</f>
        <v>0</v>
      </c>
      <c r="EU152" s="135">
        <f>IF(ISNA(VLOOKUP(A152,'Données projet'!$A$191:$I$211,7,0)),0%,VLOOKUP(A152,'Données projet'!$A$191:$I$211,7,0))</f>
        <v>0</v>
      </c>
      <c r="EV152" s="142">
        <f>EXP(-LN(2)/35)*EV151+(1-EXP(-LN(2)/35))/(LN(2)/35)*ER152*ES152*VLOOKUP('Données projet'!$B$15,'Paramètres'!$A$1:$I$89,3,0)*0.475*44/12</f>
        <v>27.0949802</v>
      </c>
      <c r="EW152" s="142">
        <f>EXP(-LN(2)/25)*EW151+(1-EXP(-LN(2)/25))/(LN(2)/25)*Calculateur!ER152*Calculateur!ET152*VLOOKUP('Données projet'!$B$15,'Paramètres'!$A$1:$I$89,3,0)*0.475*44/12</f>
        <v>0</v>
      </c>
      <c r="EX152" s="142">
        <f>EXP(-LN(2)/2)*EX151+(1-EXP(-LN(2)/2))/(LN(2)/2)*ER152*EU152*VLOOKUP('Données projet'!$B$15,'Paramètres'!$A$1:$I$89,3,0)*0.475*44/12</f>
        <v>0</v>
      </c>
      <c r="EY152" s="143">
        <f t="shared" si="22"/>
        <v>27.0949802</v>
      </c>
      <c r="EZ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1" t="str">
        <f>VLOOKUP(A152,'Données projet'!$A$217:$I$237,2,0)</f>
        <v>#N/A</v>
      </c>
      <c r="FC152" s="131" t="str">
        <f>VLOOKUP(A152,'Données projet'!$A$217:$I$237,9,0)</f>
        <v>#N/A</v>
      </c>
      <c r="FD152" s="131" t="str">
        <f t="array" ref="FD152">INDEX(FC:FC,MIN(IF(ISNUMBER(FC152:FC348),ROW(FC152:FC348),"")))</f>
        <v/>
      </c>
      <c r="FE152" s="130">
        <f>IF('Données projet'!$A$218&gt;35,FE151+FD152-FM151,IF(A152&lt;'Données projet'!$A$218,$FB$205^A152,IF(A152='Données projet'!$A$218,'Données projet'!$B$218,FE151+FD152-FM151)))</f>
        <v>0</v>
      </c>
      <c r="FF152" s="138">
        <f>FE152*VLOOKUP('Données projet'!$B$16,'Paramètres'!$A$1:$I$89,3,0)*VLOOKUP('Données projet'!$B$16,'Paramètres'!$A$1:$I$89,5,0)</f>
        <v>0</v>
      </c>
      <c r="FG152" s="130">
        <f t="shared" si="48"/>
        <v>0</v>
      </c>
      <c r="FH152" s="141">
        <f t="shared" si="23"/>
        <v>0</v>
      </c>
      <c r="FI152" s="133">
        <f t="shared" si="24"/>
        <v>293.3333333</v>
      </c>
      <c r="FJ152" s="133">
        <f>AVERAGE(OFFSET($FI$3,0,0,'Données projet'!$E$16+1,1))-AVERAGE(OFFSET($H$3,0,0,'Données projet'!$E$16+1,1))</f>
        <v>305.6252353</v>
      </c>
      <c r="FK152" s="133">
        <f t="shared" si="49"/>
        <v>331.397916</v>
      </c>
      <c r="FL152" s="134">
        <f>IF(ISNA(VLOOKUP(A152,'Données projet'!$A$217:$I$237,3,0)),0,VLOOKUP(A152,'Données projet'!$A$217:$I$237,3,0))</f>
        <v>0</v>
      </c>
      <c r="FM152" s="134">
        <f>IF(ISNA(VLOOKUP(A152,'Données projet'!$A$217:$I$237,4,0)),0,VLOOKUP(A152,'Données projet'!$A$217:$I$237,4,0))</f>
        <v>0</v>
      </c>
      <c r="FN152" s="135">
        <f>IF(ISNA(VLOOKUP(A152,'Données projet'!$A$217:$I$237,5,0)),0%,VLOOKUP(A152,'Données projet'!$A$217:$I$237,5,0)*VLOOKUP('Données projet'!$B$16,'Paramètres'!$A$1:$I$89,7,0))</f>
        <v>0</v>
      </c>
      <c r="FO152" s="135">
        <f>IF(ISNA(VLOOKUP(A152,'Données projet'!$A$217:$I$237,6,0)),0%,VLOOKUP(A152,'Données projet'!$A$217:$I$237,6,0)*VLOOKUP('Données projet'!$B$16,'Paramètres'!$A$1:$I$89,7,0))</f>
        <v>0</v>
      </c>
      <c r="FP152" s="135">
        <f>IF(ISNA(VLOOKUP(A152,'Données projet'!$A$217:$I$237,7,0)),0%,VLOOKUP(A152,'Données projet'!$A$217:$I$237,7,0))</f>
        <v>0</v>
      </c>
      <c r="FQ152" s="142">
        <f>EXP(-LN(2)/35)*FQ151+(1-EXP(-LN(2)/35))/(LN(2)/35)*FM152*FN152*VLOOKUP('Données projet'!$B$16,'Paramètres'!$A$1:$I$89,3,0)*0.475*44/12</f>
        <v>16.87014442</v>
      </c>
      <c r="FR152" s="142">
        <f>EXP(-LN(2)/25)*FR151+(1-EXP(-LN(2)/25))/(LN(2)/25)*Calculateur!FM152*Calculateur!FO152*VLOOKUP('Données projet'!$B$16,'Paramètres'!$A$1:$I$89,3,0)*0.475*44/12</f>
        <v>0</v>
      </c>
      <c r="FS152" s="142">
        <f>EXP(-LN(2)/2)*FS151+(1-EXP(-LN(2)/2))/(LN(2)/2)*FM152*FP152*VLOOKUP('Données projet'!$B$16,'Paramètres'!$A$1:$I$89,3,0)*0.475*44/12</f>
        <v>0</v>
      </c>
      <c r="FT152" s="143">
        <f t="shared" si="25"/>
        <v>16.87014442</v>
      </c>
      <c r="FU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1" t="str">
        <f>VLOOKUP(A152,'Données projet'!$A$243:$I$263,2,0)</f>
        <v>#N/A</v>
      </c>
      <c r="FX152" s="131" t="str">
        <f>VLOOKUP(A152,'Données projet'!$A$243:$I$263,9,0)</f>
        <v>#N/A</v>
      </c>
      <c r="FY152" s="131" t="str">
        <f t="array" ref="FY152">INDEX(FX:FX,MIN(IF(ISNUMBER(FX152:FX348),ROW(FX152:FX348),"")))</f>
        <v/>
      </c>
      <c r="FZ152" s="138">
        <f>IF('Données projet'!$A$244&gt;35,FZ151+FY152-GH151,IF(A152&lt;'Données projet'!$A$244,$FW$205^A152,IF(A152='Données projet'!$A$244,'Données projet'!$B$244,FZ151+FY152-GH151)))</f>
        <v>0</v>
      </c>
      <c r="GA152" s="138">
        <f>FZ152*VLOOKUP('Données projet'!$B$17,'Paramètres'!$A$1:$I$89,3,0)*VLOOKUP('Données projet'!$B$17,'Paramètres'!$A$1:$I$89,5,0)</f>
        <v>0</v>
      </c>
      <c r="GB152" s="130">
        <f t="shared" si="50"/>
        <v>0</v>
      </c>
      <c r="GC152" s="141">
        <f t="shared" si="26"/>
        <v>0</v>
      </c>
      <c r="GD152" s="133">
        <f t="shared" si="27"/>
        <v>293.3333333</v>
      </c>
      <c r="GE152" s="133">
        <f>AVERAGE(OFFSET($GD$3,0,0,'Données projet'!$E$17+1,1))-AVERAGE(OFFSET($H$3,0,0,'Données projet'!$E$17+1,1))</f>
        <v>118.7368745</v>
      </c>
      <c r="GF152" s="133">
        <f t="shared" si="51"/>
        <v>135.1233677</v>
      </c>
      <c r="GG152" s="134">
        <f>IF(ISNA(VLOOKUP(A152,'Données projet'!$A$243:$I$263,3,0)),0,VLOOKUP(A152,'Données projet'!$A$243:$I$263,3,0))</f>
        <v>0</v>
      </c>
      <c r="GH152" s="134">
        <f>IF(ISNA(VLOOKUP(A152,'Données projet'!$A$243:$I$263,4,0)),0,VLOOKUP(A152,'Données projet'!$A$243:$I$263,4,0))</f>
        <v>0</v>
      </c>
      <c r="GI152" s="135">
        <f>IF(ISNA(VLOOKUP(A152,'Données projet'!$A$243:$I$263,5,0)),0%,VLOOKUP(A152,'Données projet'!$A$243:$I$263,5,0)*VLOOKUP('Données projet'!$B$17,'Paramètres'!$A$1:$I$89,7,0))</f>
        <v>0</v>
      </c>
      <c r="GJ152" s="135">
        <f>IF(ISNA(VLOOKUP(A152,'Données projet'!$A$243:$I$263,6,0)),0%,VLOOKUP(A152,'Données projet'!$A$243:$I$263,6,0)*VLOOKUP('Données projet'!$B$17,'Paramètres'!$A$1:$I$89,7,0))</f>
        <v>0</v>
      </c>
      <c r="GK152" s="135">
        <f>IF(ISNA(VLOOKUP(A152,'Données projet'!$A$243:$I$263,7,0)),0%,VLOOKUP(A152,'Données projet'!$A$243:$I$263,7,0))</f>
        <v>0</v>
      </c>
      <c r="GL152" s="142">
        <f>EXP(-LN(2)/35)*GL151+(1-EXP(-LN(2)/35))/(LN(2)/35)*GH152*GI152*VLOOKUP('Données projet'!$B$17,'Paramètres'!$A$1:$I$89,3,0)*0.475*44/12</f>
        <v>17.8232554</v>
      </c>
      <c r="GM152" s="142">
        <f>EXP(-LN(2)/25)*GM151+(1-EXP(-LN(2)/25))/(LN(2)/25)*Calculateur!GH152*Calculateur!GJ152*VLOOKUP('Données projet'!$B$17,'Paramètres'!$A$1:$I$89,3,0)*0.475*44/12</f>
        <v>0</v>
      </c>
      <c r="GN152" s="142">
        <f>EXP(-LN(2)/2)*GN151+(1-EXP(-LN(2)/2))/(LN(2)/2)*GH152*GK152*VLOOKUP('Données projet'!$B$17,'Paramètres'!$A$1:$I$89,3,0)*0.475*44/12</f>
        <v>0</v>
      </c>
      <c r="GO152" s="142">
        <f t="shared" si="28"/>
        <v>17.8232554</v>
      </c>
      <c r="GP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1" t="str">
        <f>VLOOKUP(A152,'Données projet'!$A$269:$I$289,2,0)</f>
        <v>#N/A</v>
      </c>
      <c r="GS152" s="131" t="str">
        <f>VLOOKUP(A152,'Données projet'!$A$269:$I$289,9,0)</f>
        <v>#N/A</v>
      </c>
      <c r="GT152" s="131" t="str">
        <f t="array" ref="GT152">INDEX(GS:GS,MIN(IF(ISNUMBER(GS152:GS348),ROW(GS152:GS348),"")))</f>
        <v/>
      </c>
      <c r="GU152" s="138">
        <f>IF('Données projet'!$A$270&gt;35,GU151+GT152-HC151,IF(A152&lt;'Données projet'!$A$270,$GR$205^A152,IF(A152='Données projet'!$A$270,'Données projet'!$B$270,GU151+GT152-HC151)))</f>
        <v>0</v>
      </c>
      <c r="GV152" s="138">
        <f>GU152*VLOOKUP('Données projet'!$B$18,'Paramètres'!$A$1:$I$89,3,0)*VLOOKUP('Données projet'!$B$18,'Paramètres'!$A$1:$I$89,5,0)</f>
        <v>0</v>
      </c>
      <c r="GW152" s="130" t="str">
        <f t="shared" si="52"/>
        <v>#NUM!</v>
      </c>
      <c r="GX152" s="141" t="str">
        <f t="shared" si="29"/>
        <v>#NUM!</v>
      </c>
      <c r="GY152" s="133" t="str">
        <f t="shared" si="30"/>
        <v>#NUM!</v>
      </c>
      <c r="GZ152" s="133">
        <f>AVERAGE(OFFSET($GY$3,0,0,'Données projet'!$E$18+1,1))-AVERAGE(OFFSET($H$3,0,0,'Données projet'!$E$18+1,1))</f>
        <v>100.5427875</v>
      </c>
      <c r="HA152" s="133">
        <f t="shared" si="53"/>
        <v>92.28663609</v>
      </c>
      <c r="HB152" s="134">
        <f>IF(ISNA(VLOOKUP(A152,'Données projet'!$A$269:$I$289,3,0)),0,VLOOKUP(A152,'Données projet'!$A$269:$I$289,3,0))</f>
        <v>0</v>
      </c>
      <c r="HC152" s="134">
        <f>IF(ISNA(VLOOKUP(A152,'Données projet'!$A$269:$I$289,4,0)),0,VLOOKUP(A152,'Données projet'!$A$269:$I$289,4,0))</f>
        <v>0</v>
      </c>
      <c r="HD152" s="135">
        <f>IF(ISNA(VLOOKUP(A152,'Données projet'!$A$269:$I$289,5,0)),0%,VLOOKUP(A152,'Données projet'!$A$269:$I$289,5,0)*VLOOKUP('Données projet'!$B$18,'Paramètres'!$A$1:$I$89,7,0))</f>
        <v>0</v>
      </c>
      <c r="HE152" s="135">
        <f>IF(ISNA(VLOOKUP(A152,'Données projet'!$A$269:$I$289,6,0)),0%,VLOOKUP(A152,'Données projet'!$A$269:$I$289,6,0)*VLOOKUP('Données projet'!$B$18,'Paramètres'!$A$1:$I$89,7,0))</f>
        <v>0</v>
      </c>
      <c r="HF152" s="135">
        <f>IF(ISNA(VLOOKUP(A152,'Données projet'!$A$269:$I$289,7,0)),0%,VLOOKUP(A152,'Données projet'!$A$269:$I$289,7,0))</f>
        <v>0</v>
      </c>
      <c r="HG152" s="142">
        <f>EXP(-LN(2)/35)*HG151+(1-EXP(-LN(2)/35))/(LN(2)/35)*HC152*HD152*VLOOKUP('Données projet'!$B$18,'Paramètres'!$A$1:$I$89,3,0)*0.475*44/12</f>
        <v>12.13726093</v>
      </c>
      <c r="HH152" s="142">
        <f>EXP(-LN(2)/25)*HH151+(1-EXP(-LN(2)/25))/(LN(2)/25)*Calculateur!HC152*Calculateur!HE152*VLOOKUP('Données projet'!$B$18,'Paramètres'!$A$1:$I$89,3,0)*0.475*44/12</f>
        <v>0</v>
      </c>
      <c r="HI152" s="142">
        <f>EXP(-LN(2)/2)*HI151+(1-EXP(-LN(2)/2))/(LN(2)/2)*HC152*HF152*VLOOKUP('Données projet'!$B$18,'Paramètres'!$A$1:$I$89,3,0)*0.475*44/12</f>
        <v>0</v>
      </c>
      <c r="HJ152" s="143">
        <f t="shared" si="31"/>
        <v>12.13726093</v>
      </c>
    </row>
    <row r="153" ht="15.75" customHeight="1">
      <c r="A153" s="125">
        <f t="shared" si="32"/>
        <v>150</v>
      </c>
      <c r="B153" s="126">
        <f>'Scénario référence'!$B$16*5+'Scénario référence'!$B$17*0+'Scénario référence'!$B$18*5</f>
        <v>0</v>
      </c>
      <c r="C153" s="140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</v>
      </c>
      <c r="D153" s="127">
        <f t="shared" si="33"/>
        <v>22.60110747</v>
      </c>
      <c r="E15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7">
        <f>IF(OR('Scénario référence'!$F$8&gt;0,'Scénario référence'!$F$9&gt;0),('Scénario référence'!$F$8+'Scénario référence'!$F$9)*10,0)</f>
        <v>10</v>
      </c>
      <c r="G153" s="127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806.6752156</v>
      </c>
      <c r="H153" s="128">
        <f t="shared" si="1"/>
        <v>475.3394288</v>
      </c>
      <c r="I153" s="12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1" t="str">
        <f>VLOOKUP(A153,'Données projet'!$A$35:$I$55,2,0)</f>
        <v>#N/A</v>
      </c>
      <c r="L153" s="131" t="str">
        <f>VLOOKUP(A153,'Données projet'!$A$35:$I$55,9,0)</f>
        <v>#N/A</v>
      </c>
      <c r="M153" s="131" t="str">
        <f t="array" ref="M153">INDEX(L:L,MIN(IF(ISNUMBER(L153:L349),ROW(L153:L349),"")))</f>
        <v/>
      </c>
      <c r="N153" s="130">
        <f>IF('Données projet'!$A$36&gt;35,N152+M153-V152,IF(A153&lt;'Données projet'!$A$36,$K$205^A153,IF(A153='Données projet'!$A$36,'Données projet'!$B$36,N152+M153-V152)))</f>
        <v>0</v>
      </c>
      <c r="O153" s="130">
        <f>N153*VLOOKUP('Données projet'!$B$9,'Paramètres'!$A$1:$I$89,3,0)*VLOOKUP('Données projet'!$B$9,'Paramètres'!$A$1:$I$89,5,0)</f>
        <v>0</v>
      </c>
      <c r="P153" s="130">
        <f t="shared" si="34"/>
        <v>0</v>
      </c>
      <c r="Q153" s="141">
        <f t="shared" si="2"/>
        <v>0</v>
      </c>
      <c r="R153" s="133">
        <f t="shared" si="3"/>
        <v>293.3333333</v>
      </c>
      <c r="S153" s="133">
        <f>AVERAGE(OFFSET($R$3,0,0,'Données projet'!$E$9+1,1))-AVERAGE(OFFSET($H$3,0,0,'Données projet'!$E$9+1,1))</f>
        <v>126.9946492</v>
      </c>
      <c r="T153" s="133">
        <f t="shared" si="35"/>
        <v>140.039049</v>
      </c>
      <c r="U153" s="134">
        <f>IF(ISNA(VLOOKUP(A153,'Données projet'!$A$35:$I$55,3,0)),0,VLOOKUP(A153,'Données projet'!$A$35:$I$55,3,0))</f>
        <v>0</v>
      </c>
      <c r="V153" s="134">
        <f>IF(ISNA(VLOOKUP(A153,'Données projet'!$A$35:$I$55,4,0)),0,VLOOKUP(A153,'Données projet'!$A$35:$I$55,4,0))</f>
        <v>0</v>
      </c>
      <c r="W153" s="135">
        <f>IF(ISNA(VLOOKUP(A153,'Données projet'!$A$35:$I$55,5,0)),0%,VLOOKUP(A153,'Données projet'!$A$35:$I$55,5,0)*VLOOKUP('Données projet'!$B$9,'Paramètres'!$A$1:$I$89,7,0))</f>
        <v>0</v>
      </c>
      <c r="X153" s="135">
        <f>IF(ISNA(VLOOKUP(A153,'Données projet'!$A$35:$I$55,6,0)),0%,VLOOKUP(A153,'Données projet'!$A$35:$I$55,6,0)*VLOOKUP('Données projet'!$B$9,'Paramètres'!$A$1:$I$89,7,0))</f>
        <v>0</v>
      </c>
      <c r="Y153" s="135">
        <f>IF(ISNA(VLOOKUP(A153,'Données projet'!$A$35:$I$55,7,0)),0%,VLOOKUP(A153,'Données projet'!$A$35:$I$55,7,0))</f>
        <v>0</v>
      </c>
      <c r="Z153" s="142">
        <f>EXP(-LN(2)/35)*Z152+(1-EXP(-LN(2)/35))/(LN(2)/35)*V153*W153*VLOOKUP('Données projet'!$B$9,'Paramètres'!$A$1:$I$89,3,0)*0.475*44/12</f>
        <v>17.87175882</v>
      </c>
      <c r="AA153" s="142">
        <f>EXP(-LN(2)/25)*AA152+(1-EXP(-LN(2)/25))/(LN(2)/25)*Calculateur!V153*Calculateur!X153*VLOOKUP('Données projet'!$B$9,'Paramètres'!$A$1:$I$89,3,0)*0.475*44/12</f>
        <v>1.916473692</v>
      </c>
      <c r="AB153" s="142">
        <f>EXP(-LN(2)/2)*AB152+(1-EXP(-LN(2)/2))/(LN(2)/2)*V153*Y153*VLOOKUP('Données projet'!$B$9,'Paramètres'!$A$1:$I$89,3,0)*0.475*44/12</f>
        <v>0</v>
      </c>
      <c r="AC153" s="143">
        <f t="shared" si="4"/>
        <v>19.78823251</v>
      </c>
      <c r="AD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1" t="str">
        <f>VLOOKUP(A153,'Données projet'!$A$61:$I$81,2,0)</f>
        <v>#N/A</v>
      </c>
      <c r="AG153" s="131" t="str">
        <f>VLOOKUP(A153,'Données projet'!$A$61:$I$81,9,0)</f>
        <v>#N/A</v>
      </c>
      <c r="AH153" s="131" t="str">
        <f t="array" ref="AH153">INDEX(AG:AG,MIN(IF(ISNUMBER(AG153:AG349),ROW(AG153:AG349),"")))</f>
        <v/>
      </c>
      <c r="AI153" s="130">
        <f>IF('Données projet'!$A$62&gt;35,AI152+AH153-AQ152,IF(A153&lt;'Données projet'!$A$62,$AF$205^A153,IF(A153='Données projet'!$A$62,'Données projet'!$B$62,AI152+AH153-AQ152)))</f>
        <v>0</v>
      </c>
      <c r="AJ153" s="130">
        <f>AI153*VLOOKUP('Données projet'!$B$10,'Paramètres'!$A$1:$I$89,3,0)*VLOOKUP('Données projet'!$B$10,'Paramètres'!$A$1:$I$89,5,0)</f>
        <v>0</v>
      </c>
      <c r="AK153" s="130" t="str">
        <f t="shared" si="36"/>
        <v>#NUM!</v>
      </c>
      <c r="AL153" s="141" t="str">
        <f t="shared" si="5"/>
        <v>#NUM!</v>
      </c>
      <c r="AM153" s="133" t="str">
        <f t="shared" si="6"/>
        <v>#NUM!</v>
      </c>
      <c r="AN153" s="133">
        <f>AVERAGE(OFFSET($AM$3,0,0,'Données projet'!$E$10+1,1))-AVERAGE(OFFSET($H$3,0,0,'Données projet'!$E$10+1,1))</f>
        <v>196.874484</v>
      </c>
      <c r="AO153" s="133">
        <f t="shared" si="37"/>
        <v>217.5750859</v>
      </c>
      <c r="AP153" s="134">
        <f>IF(ISNA(VLOOKUP(A153,'Données projet'!$A$61:$I$81,3,0)),0,VLOOKUP(A153,'Données projet'!$A$61:$I$81,3,0))</f>
        <v>0</v>
      </c>
      <c r="AQ153" s="134">
        <f>IF(ISNA(VLOOKUP(A153,'Données projet'!$A$61:$I$81,4,0)),0,VLOOKUP(A153,'Données projet'!$A$61:$I$81,4,0))</f>
        <v>0</v>
      </c>
      <c r="AR153" s="135">
        <f>IF(ISNA(VLOOKUP(A153,'Données projet'!$A$61:$I$81,5,0)),0%,VLOOKUP(A153,'Données projet'!$A$61:$I$81,5,0)*VLOOKUP('Données projet'!$B$10,'Paramètres'!$A$1:$I$89,7,0))</f>
        <v>0</v>
      </c>
      <c r="AS153" s="135">
        <f>IF(ISNA(VLOOKUP(A153,'Données projet'!$A$61:$I$81,6,0)),0%,VLOOKUP(A153,'Données projet'!$A$61:$I$81,6,0)*VLOOKUP('Données projet'!$B$10,'Paramètres'!$A$1:$I$89,7,0))</f>
        <v>0</v>
      </c>
      <c r="AT153" s="135">
        <f>IF(ISNA(VLOOKUP(A153,'Données projet'!$A$61:$I$81,7,0)),0%,VLOOKUP(A153,'Données projet'!$A$61:$I$81,7,0))</f>
        <v>0</v>
      </c>
      <c r="AU153" s="142">
        <f>EXP(-LN(2)/35)*AU152+(1-EXP(-LN(2)/35))/(LN(2)/35)*AQ153*AR153*VLOOKUP('Données projet'!$B$10,'Paramètres'!$A$1:$I$89,3,0)*0.475*44/12</f>
        <v>24.84123713</v>
      </c>
      <c r="AV153" s="142">
        <f>EXP(-LN(2)/25)*AV152+(1-EXP(-LN(2)/25))/(LN(2)/25)*Calculateur!AQ153*Calculateur!AS153*VLOOKUP('Données projet'!$B$10,'Paramètres'!$A$1:$I$89,3,0)*0.475*44/12</f>
        <v>2.946580862</v>
      </c>
      <c r="AW153" s="142">
        <f>EXP(-LN(2)/2)*AW152+(1-EXP(-LN(2)/2))/(LN(2)/2)*AQ153*AT153*VLOOKUP('Données projet'!$B$10,'Paramètres'!$A$1:$I$89,3,0)*0.475*44/12</f>
        <v>0</v>
      </c>
      <c r="AX153" s="142">
        <f t="shared" si="7"/>
        <v>27.78781799</v>
      </c>
      <c r="AY153" s="13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1" t="str">
        <f>VLOOKUP(A153,'Données projet'!$A$87:$I$107,2,0)</f>
        <v>#N/A</v>
      </c>
      <c r="BB153" s="131" t="str">
        <f>VLOOKUP(A153,'Données projet'!$A$87:$I$107,9,0)</f>
        <v>#N/A</v>
      </c>
      <c r="BC153" s="131" t="str">
        <f t="array" ref="BC153">INDEX(BB:BB,MIN(IF(ISNUMBER(BB153:BB349),ROW(BB153:BB349),"")))</f>
        <v/>
      </c>
      <c r="BD153" s="130">
        <f>IF('Données projet'!$A$88&gt;35,BD152+BC153-BL152,IF(A153&lt;'Données projet'!$A$88,$BA$205^A153,IF(A153='Données projet'!$A$88,'Données projet'!$B$88,BD152+BC153-BL152)))</f>
        <v>0</v>
      </c>
      <c r="BE153" s="130">
        <f>BD153*VLOOKUP('Données projet'!$B$11,'Paramètres'!$A$1:$I$89,3,0)*VLOOKUP('Données projet'!$B$11,'Paramètres'!$A$1:$I$89,5,0)</f>
        <v>0</v>
      </c>
      <c r="BF153" s="130" t="str">
        <f t="shared" si="38"/>
        <v>#NUM!</v>
      </c>
      <c r="BG153" s="141" t="str">
        <f t="shared" si="8"/>
        <v>#NUM!</v>
      </c>
      <c r="BH153" s="133" t="str">
        <f t="shared" si="9"/>
        <v>#NUM!</v>
      </c>
      <c r="BI153" s="133">
        <f>AVERAGE(OFFSET($BH$3,0,0,'Données projet'!$E$11+1,1))-AVERAGE(OFFSET($H$3,0,0,'Données projet'!$E$11+1,1))</f>
        <v>134.0948534</v>
      </c>
      <c r="BJ153" s="133">
        <f t="shared" si="39"/>
        <v>108.4102536</v>
      </c>
      <c r="BK153" s="134">
        <f>IF(ISNA(VLOOKUP(A153,'Données projet'!$A$87:$I$107,3,0)),0,VLOOKUP(A153,'Données projet'!$A$87:$I$107,3,0))</f>
        <v>0</v>
      </c>
      <c r="BL153" s="134">
        <f>IF(ISNA(VLOOKUP(A153,'Données projet'!$A$87:$I$107,4,0)),0,VLOOKUP(A153,'Données projet'!$A$87:$I$107,4,0))</f>
        <v>0</v>
      </c>
      <c r="BM153" s="135">
        <f>IF(ISNA(VLOOKUP(A153,'Données projet'!$A$87:$I$107,5,0)),0%,VLOOKUP(A153,'Données projet'!$A$87:$I$107,5,0)*VLOOKUP('Données projet'!$B$11,'Paramètres'!$A$1:$I$89,7,0))</f>
        <v>0</v>
      </c>
      <c r="BN153" s="135">
        <f>IF(ISNA(VLOOKUP(A153,'Données projet'!$A$87:$I$107,6,0)),0%,VLOOKUP(A153,'Données projet'!$A$87:$I$107,6,0)*VLOOKUP('Données projet'!$B$11,'Paramètres'!$A$1:$I$89,7,0))</f>
        <v>0</v>
      </c>
      <c r="BO153" s="135">
        <f>IF(ISNA(VLOOKUP(A153,'Données projet'!$A$87:$I$107,7,0)),0%,VLOOKUP(A153,'Données projet'!$A$87:$I$107,7,0))</f>
        <v>0</v>
      </c>
      <c r="BP153" s="142">
        <f>EXP(-LN(2)/35)*BP152+(1-EXP(-LN(2)/35))/(LN(2)/35)*BL153*BM153*VLOOKUP('Données projet'!$B$11,'Paramètres'!$A$1:$I$89,3,0)*0.475*44/12</f>
        <v>34.36007027</v>
      </c>
      <c r="BQ153" s="142">
        <f>EXP(-LN(2)/25)*BQ152+(1-EXP(-LN(2)/25))/(LN(2)/25)*Calculateur!BL153*Calculateur!BN153*VLOOKUP('Données projet'!$B$11,'Paramètres'!$A$1:$I$89,3,0)*0.475*44/12</f>
        <v>1.858705737</v>
      </c>
      <c r="BR153" s="142">
        <f>EXP(-LN(2)/2)*BR152+(1-EXP(-LN(2)/2))/(LN(2)/2)*BL153*BO153*VLOOKUP('Données projet'!$B$11,'Paramètres'!$A$1:$I$89,3,0)*0.475*44/12</f>
        <v>0</v>
      </c>
      <c r="BS153" s="143">
        <f t="shared" si="10"/>
        <v>36.218776</v>
      </c>
      <c r="BT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1" t="str">
        <f>VLOOKUP(A153,'Données projet'!$A$113:$I$133,2,0)</f>
        <v>#N/A</v>
      </c>
      <c r="BW153" s="131" t="str">
        <f>VLOOKUP(A153,'Données projet'!$A$113:$I$133,9,0)</f>
        <v>#N/A</v>
      </c>
      <c r="BX153" s="131" t="str">
        <f t="array" ref="BX153">INDEX(BW:BW,MIN(IF(ISNUMBER(BW153:BW349),ROW(BW153:BW349),"")))</f>
        <v/>
      </c>
      <c r="BY153" s="130">
        <f>IF('Données projet'!$A$114&gt;35,BY152+BX153-CG152,IF(A153&lt;'Données projet'!$A$114,$BV$205^A153,IF(A153='Données projet'!$A$114,'Données projet'!$B$114,BY152+BX153-CG152)))</f>
        <v>0</v>
      </c>
      <c r="BZ153" s="130">
        <f>BY153*VLOOKUP('Données projet'!$B$12,'Paramètres'!$A$1:$I$89,3,0)*VLOOKUP('Données projet'!$B$12,'Paramètres'!$A$1:$I$89,5,0)</f>
        <v>0</v>
      </c>
      <c r="CA153" s="130" t="str">
        <f t="shared" si="40"/>
        <v>#NUM!</v>
      </c>
      <c r="CB153" s="141" t="str">
        <f t="shared" si="11"/>
        <v>#NUM!</v>
      </c>
      <c r="CC153" s="133" t="str">
        <f t="shared" si="12"/>
        <v>#NUM!</v>
      </c>
      <c r="CD153" s="133">
        <f>AVERAGE(OFFSET($CC$3,0,0,'Données projet'!$E$12+1,1))-AVERAGE(OFFSET($H$3,0,0,'Données projet'!$E$12+1,1))</f>
        <v>258.1672054</v>
      </c>
      <c r="CE153" s="133">
        <f t="shared" si="41"/>
        <v>296.0724261</v>
      </c>
      <c r="CF153" s="134">
        <f>IF(ISNA(VLOOKUP(A153,'Données projet'!$A$113:$I$133,3,0)),0,VLOOKUP(A153,'Données projet'!$A$113:$I$133,3,0))</f>
        <v>0</v>
      </c>
      <c r="CG153" s="134">
        <f>IF(ISNA(VLOOKUP(A153,'Données projet'!$A$113:$I$133,4,0)),0,VLOOKUP(A153,'Données projet'!$A$113:$I$133,4,0))</f>
        <v>0</v>
      </c>
      <c r="CH153" s="135">
        <f>IF(ISNA(VLOOKUP(A153,'Données projet'!$A$113:$I$133,5,0)),0%,VLOOKUP(A153,'Données projet'!$A$113:$I$133,5,0)*VLOOKUP('Données projet'!$B$12,'Paramètres'!$A$1:$I$89,7,0))</f>
        <v>0</v>
      </c>
      <c r="CI153" s="135">
        <f>IF(ISNA(VLOOKUP(A153,'Données projet'!$A$113:$I$133,6,0)),0%,VLOOKUP(A153,'Données projet'!$A$113:$I$133,6,0)*VLOOKUP('Données projet'!$B$12,'Paramètres'!$A$1:$I$89,7,0))</f>
        <v>0</v>
      </c>
      <c r="CJ153" s="135">
        <f>IF(ISNA(VLOOKUP(A153,'Données projet'!$A$113:$I$133,7,0)),0%,VLOOKUP(A153,'Données projet'!$A$113:$I$133,7,0))</f>
        <v>0</v>
      </c>
      <c r="CK153" s="142">
        <f>EXP(-LN(2)/35)*CK152+(1-EXP(-LN(2)/35))/(LN(2)/35)*CG153*CH153*VLOOKUP('Données projet'!$B$12,'Paramètres'!$A$1:$I$89,3,0)*0.475*44/12</f>
        <v>43.44163999</v>
      </c>
      <c r="CL153" s="142">
        <f>EXP(-LN(2)/25)*CL152+(1-EXP(-LN(2)/25))/(LN(2)/25)*Calculateur!CG153*Calculateur!CI153*VLOOKUP('Données projet'!$B$12,'Paramètres'!$A$1:$I$89,3,0)*0.475*44/12</f>
        <v>3.260275377</v>
      </c>
      <c r="CM153" s="142">
        <f>EXP(-LN(2)/2)*CM152+(1-EXP(-LN(2)/2))/(LN(2)/2)*CG153*CJ153*VLOOKUP('Données projet'!$B$12,'Paramètres'!$A$1:$I$89,3,0)*0.475*44/12</f>
        <v>0</v>
      </c>
      <c r="CN153" s="143">
        <f t="shared" si="13"/>
        <v>46.70191537</v>
      </c>
      <c r="CO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8">
        <f>VLOOKUP(A153,'Données projet'!$A$139:$I$159,2,0)</f>
        <v>217</v>
      </c>
      <c r="CR153" s="130">
        <f>VLOOKUP(A153,'Données projet'!$A$139:$I$159,9,0)</f>
        <v>0.7</v>
      </c>
      <c r="CS153" s="130">
        <f t="array" ref="CS153">INDEX(CR:CR,MIN(IF(ISNUMBER(CR153:CR349),ROW(CR153:CR349),"")))</f>
        <v>0.7</v>
      </c>
      <c r="CT153" s="138">
        <f>IF('Données projet'!$A$140&gt;35,CT152+CS153-DB152,IF(A153&lt;'Données projet'!$A$140,$CQ$205^A153,IF(A153='Données projet'!$A$140,'Données projet'!$B$140,CT152+CS153-DB152)))</f>
        <v>217</v>
      </c>
      <c r="CU153" s="138">
        <f>CT153*VLOOKUP('Données projet'!$B$13,'Paramètres'!$A$1:$I$89,3,0)*VLOOKUP('Données projet'!$B$13,'Paramètres'!$A$1:$I$89,5,0)</f>
        <v>220.038</v>
      </c>
      <c r="CV153" s="130">
        <f t="shared" si="42"/>
        <v>54.12314475</v>
      </c>
      <c r="CW153" s="141">
        <f t="shared" si="14"/>
        <v>477.4973271</v>
      </c>
      <c r="CX153" s="133">
        <f t="shared" si="15"/>
        <v>770.8306604</v>
      </c>
      <c r="CY153" s="133">
        <f>AVERAGE(OFFSET($CX$3,0,0,'Données projet'!$E$13+1,1))-AVERAGE(OFFSET($H$3,0,0,'Données projet'!$E$13+1,1))</f>
        <v>223.783507</v>
      </c>
      <c r="CZ153" s="133">
        <f t="shared" si="43"/>
        <v>84.92349117</v>
      </c>
      <c r="DA153" s="134">
        <f>IF(ISNA(VLOOKUP(A153,'Données projet'!$A$139:$I$159,3,0)),0,VLOOKUP(A153,'Données projet'!$A$139:$I$159,3,0))</f>
        <v>20</v>
      </c>
      <c r="DB153" s="144">
        <f>IF(ISNA(VLOOKUP(A153,'Données projet'!$A$139:$I$159,4,0)),0,VLOOKUP(A153,'Données projet'!$A$139:$I$159,4,0))</f>
        <v>217</v>
      </c>
      <c r="DC153" s="135">
        <f>IF(ISNA(VLOOKUP(A153,'Données projet'!$A$139:$I$159,5,0)),0%,VLOOKUP(A153,'Données projet'!$A$139:$I$159,5,0)*VLOOKUP('Données projet'!$B$13,'Paramètres'!$A$1:$I$89,7,0))</f>
        <v>0.387</v>
      </c>
      <c r="DD153" s="135">
        <f>IF(ISNA(VLOOKUP(A153,'Données projet'!$A$139:$I$159,6,0)),0%,VLOOKUP(A153,'Données projet'!$A$139:$I$159,6,0)*VLOOKUP('Données projet'!$B$13,'Paramètres'!$A$1:$I$89,7,0))</f>
        <v>0</v>
      </c>
      <c r="DE153" s="135" t="str">
        <f>IF(ISNA(VLOOKUP(A153,'Données projet'!$A$139:$I$159,7,0)),0%,VLOOKUP(A153,'Données projet'!$A$139:$I$159,7,0))</f>
        <v/>
      </c>
      <c r="DF153" s="142">
        <f>EXP(-LN(2)/35)*DF152+(1-EXP(-LN(2)/35))/(LN(2)/35)*DB153*DC153*VLOOKUP('Données projet'!$B$13,'Paramètres'!$A$1:$I$89,3,0)*0.475*44/12</f>
        <v>111.5751773</v>
      </c>
      <c r="DG153" s="142">
        <f>EXP(-LN(2)/25)*DG152+(1-EXP(-LN(2)/25))/(LN(2)/25)*Calculateur!DB153*Calculateur!DD153*VLOOKUP('Données projet'!$B$13,'Paramètres'!$A$1:$I$89,3,0)*0.475*44/12</f>
        <v>0</v>
      </c>
      <c r="DH153" s="142">
        <f>EXP(-LN(2)/2)*DH152+(1-EXP(-LN(2)/2))/(LN(2)/2)*DB153*DE153*VLOOKUP('Données projet'!$B$13,'Paramètres'!$A$1:$I$89,3,0)*0.475*44/12</f>
        <v>0</v>
      </c>
      <c r="DI153" s="143">
        <f t="shared" si="16"/>
        <v>111.5751773</v>
      </c>
      <c r="DJ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8">
        <f>VLOOKUP(A153,'Données projet'!$A$165:$I$185,2,0)</f>
        <v>280</v>
      </c>
      <c r="DM153" s="131">
        <f>VLOOKUP(A153,'Données projet'!$A$165:$I$185,9,0)</f>
        <v>0.55</v>
      </c>
      <c r="DN153" s="131">
        <f t="array" ref="DN153">INDEX(DM:DM,MIN(IF(ISNUMBER(DM153:DM349),ROW(DM153:DM349),"")))</f>
        <v>0.55</v>
      </c>
      <c r="DO153" s="138">
        <f>IF('Données projet'!$A$166&gt;35,DO152+DN153-DW152,IF(A153&lt;'Données projet'!$A$166,$DL$205^A153,IF(A153='Données projet'!$A$166,'Données projet'!$B$166,DO152+DN153-DW152)))</f>
        <v>280</v>
      </c>
      <c r="DP153" s="138">
        <f>DO153*VLOOKUP('Données projet'!$B$14,'Paramètres'!$A$1:$I$89,3,0)*VLOOKUP('Données projet'!$B$14,'Paramètres'!$A$1:$I$89,5,0)</f>
        <v>253.344</v>
      </c>
      <c r="DQ153" s="130">
        <f t="shared" si="44"/>
        <v>61.30145343</v>
      </c>
      <c r="DR153" s="141">
        <f t="shared" si="17"/>
        <v>548.0074981</v>
      </c>
      <c r="DS153" s="133">
        <f t="shared" si="18"/>
        <v>841.3408314</v>
      </c>
      <c r="DT153" s="133">
        <f>AVERAGE(OFFSET($DS$3,0,0,'Données projet'!$E$14+1,1))-AVERAGE(OFFSET($H$3,0,0,'Données projet'!$E$14+1,1))</f>
        <v>287.9334714</v>
      </c>
      <c r="DU153" s="133">
        <f t="shared" si="45"/>
        <v>156.6796502</v>
      </c>
      <c r="DV153" s="134">
        <f>IF(ISNA(VLOOKUP(A153,'Données projet'!$A$165:$I$185,3,0)),0,VLOOKUP(A153,'Données projet'!$A$165:$I$185,3,0))</f>
        <v>27</v>
      </c>
      <c r="DW153" s="144">
        <f>IF(ISNA(VLOOKUP(A153,'Données projet'!$A$165:$I$185,4,0)),0,VLOOKUP(A153,'Données projet'!$A$165:$I$185,4,0))</f>
        <v>280</v>
      </c>
      <c r="DX153" s="135">
        <f>IF(ISNA(VLOOKUP(A153,'Données projet'!$A$165:$I$185,5,0)),0%,VLOOKUP(A153,'Données projet'!$A$165:$I$185,5,0)*VLOOKUP('Données projet'!$B$14,'Paramètres'!$A$1:$I$89,7,0))</f>
        <v>0.387</v>
      </c>
      <c r="DY153" s="135">
        <f>IF(ISNA(VLOOKUP(A153,'Données projet'!$A$165:$I$185,6,0)),0%,VLOOKUP(A153,'Données projet'!$A$165:$I$185,6,0)*VLOOKUP('Données projet'!$B$14,'Paramètres'!$A$1:$I$89,7,0))</f>
        <v>0</v>
      </c>
      <c r="DZ153" s="135" t="str">
        <f>IF(ISNA(VLOOKUP(A153,'Données projet'!$A$165:$I$185,7,0)),0%,VLOOKUP(A153,'Données projet'!$A$165:$I$185,7,0))</f>
        <v/>
      </c>
      <c r="EA153" s="142">
        <f>EXP(-LN(2)/35)*EA152+(1-EXP(-LN(2)/35))/(LN(2)/35)*DW153*DX153*VLOOKUP('Données projet'!$B$14,'Paramètres'!$A$1:$I$89,3,0)*0.475*44/12</f>
        <v>129.6187842</v>
      </c>
      <c r="EB153" s="142">
        <f>EXP(-LN(2)/25)*EB152+(1-EXP(-LN(2)/25))/(LN(2)/25)*Calculateur!DW153*Calculateur!DY153*VLOOKUP('Données projet'!$B$14,'Paramètres'!$A$1:$I$89,3,0)*0.475*44/12</f>
        <v>0</v>
      </c>
      <c r="EC153" s="142">
        <f>EXP(-LN(2)/2)*EC152+(1-EXP(-LN(2)/2))/(LN(2)/2)*DW153*DZ153*VLOOKUP('Données projet'!$B$14,'Paramètres'!$A$1:$I$89,3,0)*0.475*44/12</f>
        <v>0</v>
      </c>
      <c r="ED153" s="143">
        <f t="shared" si="19"/>
        <v>129.6187842</v>
      </c>
      <c r="EE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1" t="str">
        <f>VLOOKUP(A153,'Données projet'!$A$191:$I$211,2,0)</f>
        <v>#N/A</v>
      </c>
      <c r="EH153" s="131" t="str">
        <f>VLOOKUP(A153,'Données projet'!$A$191:$I$211,9,0)</f>
        <v>#N/A</v>
      </c>
      <c r="EI153" s="131" t="str">
        <f t="array" ref="EI153">INDEX(EH:EH,MIN(IF(ISNUMBER(EH153:EH349),ROW(EH153:EH349),"")))</f>
        <v/>
      </c>
      <c r="EJ153" s="138">
        <f>IF('Données projet'!$A$192&gt;35,EJ152+EI153-ER152,IF(A153&lt;'Données projet'!$A$192,$EG$205^A153,IF(A153='Données projet'!$A$192,'Données projet'!$B$192,EJ152+EI153-ER152)))</f>
        <v>0</v>
      </c>
      <c r="EK153" s="138">
        <f>EJ153*VLOOKUP('Données projet'!$B$15,'Paramètres'!$A$1:$I$89,3,0)*VLOOKUP('Données projet'!$B$15,'Paramètres'!$A$1:$I$89,5,0)</f>
        <v>0</v>
      </c>
      <c r="EL153" s="130" t="str">
        <f t="shared" si="46"/>
        <v>#NUM!</v>
      </c>
      <c r="EM153" s="141" t="str">
        <f t="shared" si="20"/>
        <v>#NUM!</v>
      </c>
      <c r="EN153" s="133" t="str">
        <f t="shared" si="21"/>
        <v>#NUM!</v>
      </c>
      <c r="EO153" s="133">
        <f>AVERAGE(OFFSET($EN$3,0,0,'Données projet'!$E$15+1,1))-AVERAGE(OFFSET($H$3,0,0,'Données projet'!$E$15+1,1))</f>
        <v>130.3193339</v>
      </c>
      <c r="EP153" s="133">
        <f t="shared" si="47"/>
        <v>82.22784365</v>
      </c>
      <c r="EQ153" s="134">
        <f>IF(ISNA(VLOOKUP(A153,'Données projet'!$A$191:$I$211,3,0)),0,VLOOKUP(A153,'Données projet'!$A$191:$I$211,3,0))</f>
        <v>0</v>
      </c>
      <c r="ER153" s="134">
        <f>IF(ISNA(VLOOKUP(A153,'Données projet'!$A$191:$I$211,4,0)),0,VLOOKUP(A153,'Données projet'!$A$191:$I$211,4,0))</f>
        <v>0</v>
      </c>
      <c r="ES153" s="135">
        <f>IF(ISNA(VLOOKUP(A153,'Données projet'!$A$191:$I$211,5,0)),0%,VLOOKUP(A153,'Données projet'!$A$191:$I$211,5,0)*VLOOKUP('Données projet'!$B$15,'Paramètres'!$A$1:$I$89,7,0))</f>
        <v>0</v>
      </c>
      <c r="ET153" s="135">
        <f>IF(ISNA(VLOOKUP(A153,'Données projet'!$A$191:$I$211,6,0)),0%,VLOOKUP(A153,'Données projet'!$A$191:$I$211,6,0)*VLOOKUP('Données projet'!$B$15,'Paramètres'!$A$1:$I$89,7,0))</f>
        <v>0</v>
      </c>
      <c r="EU153" s="135">
        <f>IF(ISNA(VLOOKUP(A153,'Données projet'!$A$191:$I$211,7,0)),0%,VLOOKUP(A153,'Données projet'!$A$191:$I$211,7,0))</f>
        <v>0</v>
      </c>
      <c r="EV153" s="142">
        <f>EXP(-LN(2)/35)*EV152+(1-EXP(-LN(2)/35))/(LN(2)/35)*ER153*ES153*VLOOKUP('Données projet'!$B$15,'Paramètres'!$A$1:$I$89,3,0)*0.475*44/12</f>
        <v>26.56366417</v>
      </c>
      <c r="EW153" s="142">
        <f>EXP(-LN(2)/25)*EW152+(1-EXP(-LN(2)/25))/(LN(2)/25)*Calculateur!ER153*Calculateur!ET153*VLOOKUP('Données projet'!$B$15,'Paramètres'!$A$1:$I$89,3,0)*0.475*44/12</f>
        <v>0</v>
      </c>
      <c r="EX153" s="142">
        <f>EXP(-LN(2)/2)*EX152+(1-EXP(-LN(2)/2))/(LN(2)/2)*ER153*EU153*VLOOKUP('Données projet'!$B$15,'Paramètres'!$A$1:$I$89,3,0)*0.475*44/12</f>
        <v>0</v>
      </c>
      <c r="EY153" s="143">
        <f t="shared" si="22"/>
        <v>26.56366417</v>
      </c>
      <c r="EZ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1" t="str">
        <f>VLOOKUP(A153,'Données projet'!$A$217:$I$237,2,0)</f>
        <v>#N/A</v>
      </c>
      <c r="FC153" s="131" t="str">
        <f>VLOOKUP(A153,'Données projet'!$A$217:$I$237,9,0)</f>
        <v>#N/A</v>
      </c>
      <c r="FD153" s="131" t="str">
        <f t="array" ref="FD153">INDEX(FC:FC,MIN(IF(ISNUMBER(FC153:FC349),ROW(FC153:FC349),"")))</f>
        <v/>
      </c>
      <c r="FE153" s="130">
        <f>IF('Données projet'!$A$218&gt;35,FE152+FD153-FM152,IF(A153&lt;'Données projet'!$A$218,$FB$205^A153,IF(A153='Données projet'!$A$218,'Données projet'!$B$218,FE152+FD153-FM152)))</f>
        <v>0</v>
      </c>
      <c r="FF153" s="138">
        <f>FE153*VLOOKUP('Données projet'!$B$16,'Paramètres'!$A$1:$I$89,3,0)*VLOOKUP('Données projet'!$B$16,'Paramètres'!$A$1:$I$89,5,0)</f>
        <v>0</v>
      </c>
      <c r="FG153" s="130">
        <f t="shared" si="48"/>
        <v>0</v>
      </c>
      <c r="FH153" s="141">
        <f t="shared" si="23"/>
        <v>0</v>
      </c>
      <c r="FI153" s="133">
        <f t="shared" si="24"/>
        <v>293.3333333</v>
      </c>
      <c r="FJ153" s="133">
        <f>AVERAGE(OFFSET($FI$3,0,0,'Données projet'!$E$16+1,1))-AVERAGE(OFFSET($H$3,0,0,'Données projet'!$E$16+1,1))</f>
        <v>305.6252353</v>
      </c>
      <c r="FK153" s="133">
        <f t="shared" si="49"/>
        <v>331.397916</v>
      </c>
      <c r="FL153" s="134">
        <f>IF(ISNA(VLOOKUP(A153,'Données projet'!$A$217:$I$237,3,0)),0,VLOOKUP(A153,'Données projet'!$A$217:$I$237,3,0))</f>
        <v>0</v>
      </c>
      <c r="FM153" s="134">
        <f>IF(ISNA(VLOOKUP(A153,'Données projet'!$A$217:$I$237,4,0)),0,VLOOKUP(A153,'Données projet'!$A$217:$I$237,4,0))</f>
        <v>0</v>
      </c>
      <c r="FN153" s="135">
        <f>IF(ISNA(VLOOKUP(A153,'Données projet'!$A$217:$I$237,5,0)),0%,VLOOKUP(A153,'Données projet'!$A$217:$I$237,5,0)*VLOOKUP('Données projet'!$B$16,'Paramètres'!$A$1:$I$89,7,0))</f>
        <v>0</v>
      </c>
      <c r="FO153" s="135">
        <f>IF(ISNA(VLOOKUP(A153,'Données projet'!$A$217:$I$237,6,0)),0%,VLOOKUP(A153,'Données projet'!$A$217:$I$237,6,0)*VLOOKUP('Données projet'!$B$16,'Paramètres'!$A$1:$I$89,7,0))</f>
        <v>0</v>
      </c>
      <c r="FP153" s="135">
        <f>IF(ISNA(VLOOKUP(A153,'Données projet'!$A$217:$I$237,7,0)),0%,VLOOKUP(A153,'Données projet'!$A$217:$I$237,7,0))</f>
        <v>0</v>
      </c>
      <c r="FQ153" s="142">
        <f>EXP(-LN(2)/35)*FQ152+(1-EXP(-LN(2)/35))/(LN(2)/35)*FM153*FN153*VLOOKUP('Données projet'!$B$16,'Paramètres'!$A$1:$I$89,3,0)*0.475*44/12</f>
        <v>16.53933117</v>
      </c>
      <c r="FR153" s="142">
        <f>EXP(-LN(2)/25)*FR152+(1-EXP(-LN(2)/25))/(LN(2)/25)*Calculateur!FM153*Calculateur!FO153*VLOOKUP('Données projet'!$B$16,'Paramètres'!$A$1:$I$89,3,0)*0.475*44/12</f>
        <v>0</v>
      </c>
      <c r="FS153" s="142">
        <f>EXP(-LN(2)/2)*FS152+(1-EXP(-LN(2)/2))/(LN(2)/2)*FM153*FP153*VLOOKUP('Données projet'!$B$16,'Paramètres'!$A$1:$I$89,3,0)*0.475*44/12</f>
        <v>0</v>
      </c>
      <c r="FT153" s="143">
        <f t="shared" si="25"/>
        <v>16.53933117</v>
      </c>
      <c r="FU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1" t="str">
        <f>VLOOKUP(A153,'Données projet'!$A$243:$I$263,2,0)</f>
        <v>#N/A</v>
      </c>
      <c r="FX153" s="131" t="str">
        <f>VLOOKUP(A153,'Données projet'!$A$243:$I$263,9,0)</f>
        <v>#N/A</v>
      </c>
      <c r="FY153" s="131" t="str">
        <f t="array" ref="FY153">INDEX(FX:FX,MIN(IF(ISNUMBER(FX153:FX349),ROW(FX153:FX349),"")))</f>
        <v/>
      </c>
      <c r="FZ153" s="138">
        <f>IF('Données projet'!$A$244&gt;35,FZ152+FY153-GH152,IF(A153&lt;'Données projet'!$A$244,$FW$205^A153,IF(A153='Données projet'!$A$244,'Données projet'!$B$244,FZ152+FY153-GH152)))</f>
        <v>0</v>
      </c>
      <c r="GA153" s="138">
        <f>FZ153*VLOOKUP('Données projet'!$B$17,'Paramètres'!$A$1:$I$89,3,0)*VLOOKUP('Données projet'!$B$17,'Paramètres'!$A$1:$I$89,5,0)</f>
        <v>0</v>
      </c>
      <c r="GB153" s="130">
        <f t="shared" si="50"/>
        <v>0</v>
      </c>
      <c r="GC153" s="141">
        <f t="shared" si="26"/>
        <v>0</v>
      </c>
      <c r="GD153" s="133">
        <f t="shared" si="27"/>
        <v>293.3333333</v>
      </c>
      <c r="GE153" s="133">
        <f>AVERAGE(OFFSET($GD$3,0,0,'Données projet'!$E$17+1,1))-AVERAGE(OFFSET($H$3,0,0,'Données projet'!$E$17+1,1))</f>
        <v>118.7368745</v>
      </c>
      <c r="GF153" s="133">
        <f t="shared" si="51"/>
        <v>135.1233677</v>
      </c>
      <c r="GG153" s="134">
        <f>IF(ISNA(VLOOKUP(A153,'Données projet'!$A$243:$I$263,3,0)),0,VLOOKUP(A153,'Données projet'!$A$243:$I$263,3,0))</f>
        <v>0</v>
      </c>
      <c r="GH153" s="134">
        <f>IF(ISNA(VLOOKUP(A153,'Données projet'!$A$243:$I$263,4,0)),0,VLOOKUP(A153,'Données projet'!$A$243:$I$263,4,0))</f>
        <v>0</v>
      </c>
      <c r="GI153" s="135">
        <f>IF(ISNA(VLOOKUP(A153,'Données projet'!$A$243:$I$263,5,0)),0%,VLOOKUP(A153,'Données projet'!$A$243:$I$263,5,0)*VLOOKUP('Données projet'!$B$17,'Paramètres'!$A$1:$I$89,7,0))</f>
        <v>0</v>
      </c>
      <c r="GJ153" s="135">
        <f>IF(ISNA(VLOOKUP(A153,'Données projet'!$A$243:$I$263,6,0)),0%,VLOOKUP(A153,'Données projet'!$A$243:$I$263,6,0)*VLOOKUP('Données projet'!$B$17,'Paramètres'!$A$1:$I$89,7,0))</f>
        <v>0</v>
      </c>
      <c r="GK153" s="135">
        <f>IF(ISNA(VLOOKUP(A153,'Données projet'!$A$243:$I$263,7,0)),0%,VLOOKUP(A153,'Données projet'!$A$243:$I$263,7,0))</f>
        <v>0</v>
      </c>
      <c r="GL153" s="142">
        <f>EXP(-LN(2)/35)*GL152+(1-EXP(-LN(2)/35))/(LN(2)/35)*GH153*GI153*VLOOKUP('Données projet'!$B$17,'Paramètres'!$A$1:$I$89,3,0)*0.475*44/12</f>
        <v>17.47375224</v>
      </c>
      <c r="GM153" s="142">
        <f>EXP(-LN(2)/25)*GM152+(1-EXP(-LN(2)/25))/(LN(2)/25)*Calculateur!GH153*Calculateur!GJ153*VLOOKUP('Données projet'!$B$17,'Paramètres'!$A$1:$I$89,3,0)*0.475*44/12</f>
        <v>0</v>
      </c>
      <c r="GN153" s="142">
        <f>EXP(-LN(2)/2)*GN152+(1-EXP(-LN(2)/2))/(LN(2)/2)*GH153*GK153*VLOOKUP('Données projet'!$B$17,'Paramètres'!$A$1:$I$89,3,0)*0.475*44/12</f>
        <v>0</v>
      </c>
      <c r="GO153" s="142">
        <f t="shared" si="28"/>
        <v>17.47375224</v>
      </c>
      <c r="GP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1" t="str">
        <f>VLOOKUP(A153,'Données projet'!$A$269:$I$289,2,0)</f>
        <v>#N/A</v>
      </c>
      <c r="GS153" s="131" t="str">
        <f>VLOOKUP(A153,'Données projet'!$A$269:$I$289,9,0)</f>
        <v>#N/A</v>
      </c>
      <c r="GT153" s="131" t="str">
        <f t="array" ref="GT153">INDEX(GS:GS,MIN(IF(ISNUMBER(GS153:GS349),ROW(GS153:GS349),"")))</f>
        <v/>
      </c>
      <c r="GU153" s="138">
        <f>IF('Données projet'!$A$270&gt;35,GU152+GT153-HC152,IF(A153&lt;'Données projet'!$A$270,$GR$205^A153,IF(A153='Données projet'!$A$270,'Données projet'!$B$270,GU152+GT153-HC152)))</f>
        <v>0</v>
      </c>
      <c r="GV153" s="138">
        <f>GU153*VLOOKUP('Données projet'!$B$18,'Paramètres'!$A$1:$I$89,3,0)*VLOOKUP('Données projet'!$B$18,'Paramètres'!$A$1:$I$89,5,0)</f>
        <v>0</v>
      </c>
      <c r="GW153" s="130" t="str">
        <f t="shared" si="52"/>
        <v>#NUM!</v>
      </c>
      <c r="GX153" s="141" t="str">
        <f t="shared" si="29"/>
        <v>#NUM!</v>
      </c>
      <c r="GY153" s="133" t="str">
        <f t="shared" si="30"/>
        <v>#NUM!</v>
      </c>
      <c r="GZ153" s="133">
        <f>AVERAGE(OFFSET($GY$3,0,0,'Données projet'!$E$18+1,1))-AVERAGE(OFFSET($H$3,0,0,'Données projet'!$E$18+1,1))</f>
        <v>100.5427875</v>
      </c>
      <c r="HA153" s="133">
        <f t="shared" si="53"/>
        <v>92.28663609</v>
      </c>
      <c r="HB153" s="134">
        <f>IF(ISNA(VLOOKUP(A153,'Données projet'!$A$269:$I$289,3,0)),0,VLOOKUP(A153,'Données projet'!$A$269:$I$289,3,0))</f>
        <v>0</v>
      </c>
      <c r="HC153" s="134">
        <f>IF(ISNA(VLOOKUP(A153,'Données projet'!$A$269:$I$289,4,0)),0,VLOOKUP(A153,'Données projet'!$A$269:$I$289,4,0))</f>
        <v>0</v>
      </c>
      <c r="HD153" s="135">
        <f>IF(ISNA(VLOOKUP(A153,'Données projet'!$A$269:$I$289,5,0)),0%,VLOOKUP(A153,'Données projet'!$A$269:$I$289,5,0)*VLOOKUP('Données projet'!$B$18,'Paramètres'!$A$1:$I$89,7,0))</f>
        <v>0</v>
      </c>
      <c r="HE153" s="135">
        <f>IF(ISNA(VLOOKUP(A153,'Données projet'!$A$269:$I$289,6,0)),0%,VLOOKUP(A153,'Données projet'!$A$269:$I$289,6,0)*VLOOKUP('Données projet'!$B$18,'Paramètres'!$A$1:$I$89,7,0))</f>
        <v>0</v>
      </c>
      <c r="HF153" s="135">
        <f>IF(ISNA(VLOOKUP(A153,'Données projet'!$A$269:$I$289,7,0)),0%,VLOOKUP(A153,'Données projet'!$A$269:$I$289,7,0))</f>
        <v>0</v>
      </c>
      <c r="HG153" s="142">
        <f>EXP(-LN(2)/35)*HG152+(1-EXP(-LN(2)/35))/(LN(2)/35)*HC153*HD153*VLOOKUP('Données projet'!$B$18,'Paramètres'!$A$1:$I$89,3,0)*0.475*44/12</f>
        <v>11.89925664</v>
      </c>
      <c r="HH153" s="142">
        <f>EXP(-LN(2)/25)*HH152+(1-EXP(-LN(2)/25))/(LN(2)/25)*Calculateur!HC153*Calculateur!HE153*VLOOKUP('Données projet'!$B$18,'Paramètres'!$A$1:$I$89,3,0)*0.475*44/12</f>
        <v>0</v>
      </c>
      <c r="HI153" s="142">
        <f>EXP(-LN(2)/2)*HI152+(1-EXP(-LN(2)/2))/(LN(2)/2)*HC153*HF153*VLOOKUP('Données projet'!$B$18,'Paramètres'!$A$1:$I$89,3,0)*0.475*44/12</f>
        <v>0</v>
      </c>
      <c r="HJ153" s="143">
        <f t="shared" si="31"/>
        <v>11.89925664</v>
      </c>
    </row>
    <row r="154" ht="15.75" customHeight="1">
      <c r="A154" s="125">
        <f t="shared" si="32"/>
        <v>151</v>
      </c>
      <c r="B154" s="126">
        <f>'Scénario référence'!$B$16*5+'Scénario référence'!$B$17*0+'Scénario référence'!$B$18*5</f>
        <v>0</v>
      </c>
      <c r="C154" s="140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82.446</v>
      </c>
      <c r="D154" s="127">
        <f t="shared" si="33"/>
        <v>22.73419153</v>
      </c>
      <c r="E15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7">
        <f>IF(OR('Scénario référence'!$F$8&gt;0,'Scénario référence'!$F$9&gt;0),('Scénario référence'!$F$8+'Scénario référence'!$F$9)*10,0)</f>
        <v>10</v>
      </c>
      <c r="G154" s="127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811.917268</v>
      </c>
      <c r="H154" s="128">
        <f t="shared" si="1"/>
        <v>476.5221669</v>
      </c>
      <c r="I154" s="12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1" t="str">
        <f>VLOOKUP(A154,'Données projet'!$A$35:$I$55,2,0)</f>
        <v>#N/A</v>
      </c>
      <c r="L154" s="131" t="str">
        <f>VLOOKUP(A154,'Données projet'!$A$35:$I$55,9,0)</f>
        <v>#N/A</v>
      </c>
      <c r="M154" s="131" t="str">
        <f t="array" ref="M154">INDEX(L:L,MIN(IF(ISNUMBER(L154:L350),ROW(L154:L350),"")))</f>
        <v/>
      </c>
      <c r="N154" s="130">
        <f>IF('Données projet'!$A$36&gt;35,N153+M154-V153,IF(A154&lt;'Données projet'!$A$36,$K$205^A154,IF(A154='Données projet'!$A$36,'Données projet'!$B$36,N153+M154-V153)))</f>
        <v>0</v>
      </c>
      <c r="O154" s="130">
        <f>N154*VLOOKUP('Données projet'!$B$9,'Paramètres'!$A$1:$I$89,3,0)*VLOOKUP('Données projet'!$B$9,'Paramètres'!$A$1:$I$89,5,0)</f>
        <v>0</v>
      </c>
      <c r="P154" s="130">
        <f t="shared" si="34"/>
        <v>0</v>
      </c>
      <c r="Q154" s="141">
        <f t="shared" si="2"/>
        <v>0</v>
      </c>
      <c r="R154" s="133">
        <f t="shared" si="3"/>
        <v>293.3333333</v>
      </c>
      <c r="S154" s="133">
        <f>AVERAGE(OFFSET($R$3,0,0,'Données projet'!$E$9+1,1))-AVERAGE(OFFSET($H$3,0,0,'Données projet'!$E$9+1,1))</f>
        <v>126.9946492</v>
      </c>
      <c r="T154" s="133">
        <f t="shared" si="35"/>
        <v>140.039049</v>
      </c>
      <c r="U154" s="134">
        <f>IF(ISNA(VLOOKUP(A154,'Données projet'!$A$35:$I$55,3,0)),0,VLOOKUP(A154,'Données projet'!$A$35:$I$55,3,0))</f>
        <v>0</v>
      </c>
      <c r="V154" s="134">
        <f>IF(ISNA(VLOOKUP(A154,'Données projet'!$A$35:$I$55,4,0)),0,VLOOKUP(A154,'Données projet'!$A$35:$I$55,4,0))</f>
        <v>0</v>
      </c>
      <c r="W154" s="135">
        <f>IF(ISNA(VLOOKUP(A154,'Données projet'!$A$35:$I$55,5,0)),0%,VLOOKUP(A154,'Données projet'!$A$35:$I$55,5,0)*VLOOKUP('Données projet'!$B$9,'Paramètres'!$A$1:$I$89,7,0))</f>
        <v>0</v>
      </c>
      <c r="X154" s="135">
        <f>IF(ISNA(VLOOKUP(A154,'Données projet'!$A$35:$I$55,6,0)),0%,VLOOKUP(A154,'Données projet'!$A$35:$I$55,6,0)*VLOOKUP('Données projet'!$B$9,'Paramètres'!$A$1:$I$89,7,0))</f>
        <v>0</v>
      </c>
      <c r="Y154" s="135">
        <f>IF(ISNA(VLOOKUP(A154,'Données projet'!$A$35:$I$55,7,0)),0%,VLOOKUP(A154,'Données projet'!$A$35:$I$55,7,0))</f>
        <v>0</v>
      </c>
      <c r="Z154" s="142">
        <f>EXP(-LN(2)/35)*Z153+(1-EXP(-LN(2)/35))/(LN(2)/35)*V154*W154*VLOOKUP('Données projet'!$B$9,'Paramètres'!$A$1:$I$89,3,0)*0.475*44/12</f>
        <v>17.52130453</v>
      </c>
      <c r="AA154" s="142">
        <f>EXP(-LN(2)/25)*AA153+(1-EXP(-LN(2)/25))/(LN(2)/25)*Calculateur!V154*Calculateur!X154*VLOOKUP('Données projet'!$B$9,'Paramètres'!$A$1:$I$89,3,0)*0.475*44/12</f>
        <v>1.864067618</v>
      </c>
      <c r="AB154" s="142">
        <f>EXP(-LN(2)/2)*AB153+(1-EXP(-LN(2)/2))/(LN(2)/2)*V154*Y154*VLOOKUP('Données projet'!$B$9,'Paramètres'!$A$1:$I$89,3,0)*0.475*44/12</f>
        <v>0</v>
      </c>
      <c r="AC154" s="143">
        <f t="shared" si="4"/>
        <v>19.38537215</v>
      </c>
      <c r="AD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1" t="str">
        <f>VLOOKUP(A154,'Données projet'!$A$61:$I$81,2,0)</f>
        <v>#N/A</v>
      </c>
      <c r="AG154" s="131" t="str">
        <f>VLOOKUP(A154,'Données projet'!$A$61:$I$81,9,0)</f>
        <v>#N/A</v>
      </c>
      <c r="AH154" s="131" t="str">
        <f t="array" ref="AH154">INDEX(AG:AG,MIN(IF(ISNUMBER(AG154:AG350),ROW(AG154:AG350),"")))</f>
        <v/>
      </c>
      <c r="AI154" s="130">
        <f>IF('Données projet'!$A$62&gt;35,AI153+AH154-AQ153,IF(A154&lt;'Données projet'!$A$62,$AF$205^A154,IF(A154='Données projet'!$A$62,'Données projet'!$B$62,AI153+AH154-AQ153)))</f>
        <v>0</v>
      </c>
      <c r="AJ154" s="130">
        <f>AI154*VLOOKUP('Données projet'!$B$10,'Paramètres'!$A$1:$I$89,3,0)*VLOOKUP('Données projet'!$B$10,'Paramètres'!$A$1:$I$89,5,0)</f>
        <v>0</v>
      </c>
      <c r="AK154" s="130" t="str">
        <f t="shared" si="36"/>
        <v>#NUM!</v>
      </c>
      <c r="AL154" s="141" t="str">
        <f t="shared" si="5"/>
        <v>#NUM!</v>
      </c>
      <c r="AM154" s="133" t="str">
        <f t="shared" si="6"/>
        <v>#NUM!</v>
      </c>
      <c r="AN154" s="133">
        <f>AVERAGE(OFFSET($AM$3,0,0,'Données projet'!$E$10+1,1))-AVERAGE(OFFSET($H$3,0,0,'Données projet'!$E$10+1,1))</f>
        <v>196.874484</v>
      </c>
      <c r="AO154" s="133">
        <f t="shared" si="37"/>
        <v>217.5750859</v>
      </c>
      <c r="AP154" s="134">
        <f>IF(ISNA(VLOOKUP(A154,'Données projet'!$A$61:$I$81,3,0)),0,VLOOKUP(A154,'Données projet'!$A$61:$I$81,3,0))</f>
        <v>0</v>
      </c>
      <c r="AQ154" s="134">
        <f>IF(ISNA(VLOOKUP(A154,'Données projet'!$A$61:$I$81,4,0)),0,VLOOKUP(A154,'Données projet'!$A$61:$I$81,4,0))</f>
        <v>0</v>
      </c>
      <c r="AR154" s="135">
        <f>IF(ISNA(VLOOKUP(A154,'Données projet'!$A$61:$I$81,5,0)),0%,VLOOKUP(A154,'Données projet'!$A$61:$I$81,5,0)*VLOOKUP('Données projet'!$B$10,'Paramètres'!$A$1:$I$89,7,0))</f>
        <v>0</v>
      </c>
      <c r="AS154" s="135">
        <f>IF(ISNA(VLOOKUP(A154,'Données projet'!$A$61:$I$81,6,0)),0%,VLOOKUP(A154,'Données projet'!$A$61:$I$81,6,0)*VLOOKUP('Données projet'!$B$10,'Paramètres'!$A$1:$I$89,7,0))</f>
        <v>0</v>
      </c>
      <c r="AT154" s="135">
        <f>IF(ISNA(VLOOKUP(A154,'Données projet'!$A$61:$I$81,7,0)),0%,VLOOKUP(A154,'Données projet'!$A$61:$I$81,7,0))</f>
        <v>0</v>
      </c>
      <c r="AU154" s="142">
        <f>EXP(-LN(2)/35)*AU153+(1-EXP(-LN(2)/35))/(LN(2)/35)*AQ154*AR154*VLOOKUP('Données projet'!$B$10,'Paramètres'!$A$1:$I$89,3,0)*0.475*44/12</f>
        <v>24.35411562</v>
      </c>
      <c r="AV154" s="142">
        <f>EXP(-LN(2)/25)*AV153+(1-EXP(-LN(2)/25))/(LN(2)/25)*Calculateur!AQ154*Calculateur!AS154*VLOOKUP('Données projet'!$B$10,'Paramètres'!$A$1:$I$89,3,0)*0.475*44/12</f>
        <v>2.866006453</v>
      </c>
      <c r="AW154" s="142">
        <f>EXP(-LN(2)/2)*AW153+(1-EXP(-LN(2)/2))/(LN(2)/2)*AQ154*AT154*VLOOKUP('Données projet'!$B$10,'Paramètres'!$A$1:$I$89,3,0)*0.475*44/12</f>
        <v>0</v>
      </c>
      <c r="AX154" s="142">
        <f t="shared" si="7"/>
        <v>27.22012208</v>
      </c>
      <c r="AY154" s="13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1" t="str">
        <f>VLOOKUP(A154,'Données projet'!$A$87:$I$107,2,0)</f>
        <v>#N/A</v>
      </c>
      <c r="BB154" s="131" t="str">
        <f>VLOOKUP(A154,'Données projet'!$A$87:$I$107,9,0)</f>
        <v>#N/A</v>
      </c>
      <c r="BC154" s="131" t="str">
        <f t="array" ref="BC154">INDEX(BB:BB,MIN(IF(ISNUMBER(BB154:BB350),ROW(BB154:BB350),"")))</f>
        <v/>
      </c>
      <c r="BD154" s="130">
        <f>IF('Données projet'!$A$88&gt;35,BD153+BC154-BL153,IF(A154&lt;'Données projet'!$A$88,$BA$205^A154,IF(A154='Données projet'!$A$88,'Données projet'!$B$88,BD153+BC154-BL153)))</f>
        <v>0</v>
      </c>
      <c r="BE154" s="130">
        <f>BD154*VLOOKUP('Données projet'!$B$11,'Paramètres'!$A$1:$I$89,3,0)*VLOOKUP('Données projet'!$B$11,'Paramètres'!$A$1:$I$89,5,0)</f>
        <v>0</v>
      </c>
      <c r="BF154" s="130" t="str">
        <f t="shared" si="38"/>
        <v>#NUM!</v>
      </c>
      <c r="BG154" s="141" t="str">
        <f t="shared" si="8"/>
        <v>#NUM!</v>
      </c>
      <c r="BH154" s="133" t="str">
        <f t="shared" si="9"/>
        <v>#NUM!</v>
      </c>
      <c r="BI154" s="133">
        <f>AVERAGE(OFFSET($BH$3,0,0,'Données projet'!$E$11+1,1))-AVERAGE(OFFSET($H$3,0,0,'Données projet'!$E$11+1,1))</f>
        <v>134.0948534</v>
      </c>
      <c r="BJ154" s="133">
        <f t="shared" si="39"/>
        <v>108.4102536</v>
      </c>
      <c r="BK154" s="134">
        <f>IF(ISNA(VLOOKUP(A154,'Données projet'!$A$87:$I$107,3,0)),0,VLOOKUP(A154,'Données projet'!$A$87:$I$107,3,0))</f>
        <v>0</v>
      </c>
      <c r="BL154" s="134">
        <f>IF(ISNA(VLOOKUP(A154,'Données projet'!$A$87:$I$107,4,0)),0,VLOOKUP(A154,'Données projet'!$A$87:$I$107,4,0))</f>
        <v>0</v>
      </c>
      <c r="BM154" s="135">
        <f>IF(ISNA(VLOOKUP(A154,'Données projet'!$A$87:$I$107,5,0)),0%,VLOOKUP(A154,'Données projet'!$A$87:$I$107,5,0)*VLOOKUP('Données projet'!$B$11,'Paramètres'!$A$1:$I$89,7,0))</f>
        <v>0</v>
      </c>
      <c r="BN154" s="135">
        <f>IF(ISNA(VLOOKUP(A154,'Données projet'!$A$87:$I$107,6,0)),0%,VLOOKUP(A154,'Données projet'!$A$87:$I$107,6,0)*VLOOKUP('Données projet'!$B$11,'Paramètres'!$A$1:$I$89,7,0))</f>
        <v>0</v>
      </c>
      <c r="BO154" s="135">
        <f>IF(ISNA(VLOOKUP(A154,'Données projet'!$A$87:$I$107,7,0)),0%,VLOOKUP(A154,'Données projet'!$A$87:$I$107,7,0))</f>
        <v>0</v>
      </c>
      <c r="BP154" s="142">
        <f>EXP(-LN(2)/35)*BP153+(1-EXP(-LN(2)/35))/(LN(2)/35)*BL154*BM154*VLOOKUP('Données projet'!$B$11,'Paramètres'!$A$1:$I$89,3,0)*0.475*44/12</f>
        <v>33.68629025</v>
      </c>
      <c r="BQ154" s="142">
        <f>EXP(-LN(2)/25)*BQ153+(1-EXP(-LN(2)/25))/(LN(2)/25)*Calculateur!BL154*Calculateur!BN154*VLOOKUP('Données projet'!$B$11,'Paramètres'!$A$1:$I$89,3,0)*0.475*44/12</f>
        <v>1.807879331</v>
      </c>
      <c r="BR154" s="142">
        <f>EXP(-LN(2)/2)*BR153+(1-EXP(-LN(2)/2))/(LN(2)/2)*BL154*BO154*VLOOKUP('Données projet'!$B$11,'Paramètres'!$A$1:$I$89,3,0)*0.475*44/12</f>
        <v>0</v>
      </c>
      <c r="BS154" s="143">
        <f t="shared" si="10"/>
        <v>35.49416958</v>
      </c>
      <c r="BT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1" t="str">
        <f>VLOOKUP(A154,'Données projet'!$A$113:$I$133,2,0)</f>
        <v>#N/A</v>
      </c>
      <c r="BW154" s="131" t="str">
        <f>VLOOKUP(A154,'Données projet'!$A$113:$I$133,9,0)</f>
        <v>#N/A</v>
      </c>
      <c r="BX154" s="131" t="str">
        <f t="array" ref="BX154">INDEX(BW:BW,MIN(IF(ISNUMBER(BW154:BW350),ROW(BW154:BW350),"")))</f>
        <v/>
      </c>
      <c r="BY154" s="130">
        <f>IF('Données projet'!$A$114&gt;35,BY153+BX154-CG153,IF(A154&lt;'Données projet'!$A$114,$BV$205^A154,IF(A154='Données projet'!$A$114,'Données projet'!$B$114,BY153+BX154-CG153)))</f>
        <v>0</v>
      </c>
      <c r="BZ154" s="130">
        <f>BY154*VLOOKUP('Données projet'!$B$12,'Paramètres'!$A$1:$I$89,3,0)*VLOOKUP('Données projet'!$B$12,'Paramètres'!$A$1:$I$89,5,0)</f>
        <v>0</v>
      </c>
      <c r="CA154" s="130" t="str">
        <f t="shared" si="40"/>
        <v>#NUM!</v>
      </c>
      <c r="CB154" s="141" t="str">
        <f t="shared" si="11"/>
        <v>#NUM!</v>
      </c>
      <c r="CC154" s="133" t="str">
        <f t="shared" si="12"/>
        <v>#NUM!</v>
      </c>
      <c r="CD154" s="133">
        <f>AVERAGE(OFFSET($CC$3,0,0,'Données projet'!$E$12+1,1))-AVERAGE(OFFSET($H$3,0,0,'Données projet'!$E$12+1,1))</f>
        <v>258.1672054</v>
      </c>
      <c r="CE154" s="133">
        <f t="shared" si="41"/>
        <v>296.0724261</v>
      </c>
      <c r="CF154" s="134">
        <f>IF(ISNA(VLOOKUP(A154,'Données projet'!$A$113:$I$133,3,0)),0,VLOOKUP(A154,'Données projet'!$A$113:$I$133,3,0))</f>
        <v>0</v>
      </c>
      <c r="CG154" s="134">
        <f>IF(ISNA(VLOOKUP(A154,'Données projet'!$A$113:$I$133,4,0)),0,VLOOKUP(A154,'Données projet'!$A$113:$I$133,4,0))</f>
        <v>0</v>
      </c>
      <c r="CH154" s="135">
        <f>IF(ISNA(VLOOKUP(A154,'Données projet'!$A$113:$I$133,5,0)),0%,VLOOKUP(A154,'Données projet'!$A$113:$I$133,5,0)*VLOOKUP('Données projet'!$B$12,'Paramètres'!$A$1:$I$89,7,0))</f>
        <v>0</v>
      </c>
      <c r="CI154" s="135">
        <f>IF(ISNA(VLOOKUP(A154,'Données projet'!$A$113:$I$133,6,0)),0%,VLOOKUP(A154,'Données projet'!$A$113:$I$133,6,0)*VLOOKUP('Données projet'!$B$12,'Paramètres'!$A$1:$I$89,7,0))</f>
        <v>0</v>
      </c>
      <c r="CJ154" s="135">
        <f>IF(ISNA(VLOOKUP(A154,'Données projet'!$A$113:$I$133,7,0)),0%,VLOOKUP(A154,'Données projet'!$A$113:$I$133,7,0))</f>
        <v>0</v>
      </c>
      <c r="CK154" s="142">
        <f>EXP(-LN(2)/35)*CK153+(1-EXP(-LN(2)/35))/(LN(2)/35)*CG154*CH154*VLOOKUP('Données projet'!$B$12,'Paramètres'!$A$1:$I$89,3,0)*0.475*44/12</f>
        <v>42.58977593</v>
      </c>
      <c r="CL154" s="142">
        <f>EXP(-LN(2)/25)*CL153+(1-EXP(-LN(2)/25))/(LN(2)/25)*Calculateur!CG154*Calculateur!CI154*VLOOKUP('Données projet'!$B$12,'Paramètres'!$A$1:$I$89,3,0)*0.475*44/12</f>
        <v>3.171122975</v>
      </c>
      <c r="CM154" s="142">
        <f>EXP(-LN(2)/2)*CM153+(1-EXP(-LN(2)/2))/(LN(2)/2)*CG154*CJ154*VLOOKUP('Données projet'!$B$12,'Paramètres'!$A$1:$I$89,3,0)*0.475*44/12</f>
        <v>0</v>
      </c>
      <c r="CN154" s="143">
        <f t="shared" si="13"/>
        <v>45.7608989</v>
      </c>
      <c r="CO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1" t="str">
        <f>VLOOKUP(A154,'Données projet'!$A$139:$I$159,2,0)</f>
        <v>#N/A</v>
      </c>
      <c r="CR154" s="131" t="str">
        <f>VLOOKUP(A154,'Données projet'!$A$139:$I$159,9,0)</f>
        <v>#N/A</v>
      </c>
      <c r="CS154" s="131" t="str">
        <f t="array" ref="CS154">INDEX(CR:CR,MIN(IF(ISNUMBER(CR154:CR350),ROW(CR154:CR350),"")))</f>
        <v/>
      </c>
      <c r="CT154" s="138">
        <f>IF('Données projet'!$A$140&gt;35,CT153+CS154-DB153,IF(A154&lt;'Données projet'!$A$140,$CQ$205^A154,IF(A154='Données projet'!$A$140,'Données projet'!$B$140,CT153+CS154-DB153)))</f>
        <v>0</v>
      </c>
      <c r="CU154" s="138">
        <f>CT154*VLOOKUP('Données projet'!$B$13,'Paramètres'!$A$1:$I$89,3,0)*VLOOKUP('Données projet'!$B$13,'Paramètres'!$A$1:$I$89,5,0)</f>
        <v>0</v>
      </c>
      <c r="CV154" s="130" t="str">
        <f t="shared" si="42"/>
        <v>#NUM!</v>
      </c>
      <c r="CW154" s="141" t="str">
        <f t="shared" si="14"/>
        <v>#NUM!</v>
      </c>
      <c r="CX154" s="133" t="str">
        <f t="shared" si="15"/>
        <v>#NUM!</v>
      </c>
      <c r="CY154" s="133">
        <f>AVERAGE(OFFSET($CX$3,0,0,'Données projet'!$E$13+1,1))-AVERAGE(OFFSET($H$3,0,0,'Données projet'!$E$13+1,1))</f>
        <v>223.783507</v>
      </c>
      <c r="CZ154" s="133">
        <f t="shared" si="43"/>
        <v>84.92349117</v>
      </c>
      <c r="DA154" s="134">
        <f>IF(ISNA(VLOOKUP(A154,'Données projet'!$A$139:$I$159,3,0)),0,VLOOKUP(A154,'Données projet'!$A$139:$I$159,3,0))</f>
        <v>0</v>
      </c>
      <c r="DB154" s="134">
        <f>IF(ISNA(VLOOKUP(A154,'Données projet'!$A$139:$I$159,4,0)),0,VLOOKUP(A154,'Données projet'!$A$139:$I$159,4,0))</f>
        <v>0</v>
      </c>
      <c r="DC154" s="135">
        <f>IF(ISNA(VLOOKUP(A154,'Données projet'!$A$139:$I$159,5,0)),0%,VLOOKUP(A154,'Données projet'!$A$139:$I$159,5,0)*VLOOKUP('Données projet'!$B$13,'Paramètres'!$A$1:$I$89,7,0))</f>
        <v>0</v>
      </c>
      <c r="DD154" s="135">
        <f>IF(ISNA(VLOOKUP(A154,'Données projet'!$A$139:$I$159,6,0)),0%,VLOOKUP(A154,'Données projet'!$A$139:$I$159,6,0)*VLOOKUP('Données projet'!$B$13,'Paramètres'!$A$1:$I$89,7,0))</f>
        <v>0</v>
      </c>
      <c r="DE154" s="135">
        <f>IF(ISNA(VLOOKUP(A154,'Données projet'!$A$139:$I$159,7,0)),0%,VLOOKUP(A154,'Données projet'!$A$139:$I$159,7,0))</f>
        <v>0</v>
      </c>
      <c r="DF154" s="142">
        <f>EXP(-LN(2)/35)*DF153+(1-EXP(-LN(2)/35))/(LN(2)/35)*DB154*DC154*VLOOKUP('Données projet'!$B$13,'Paramètres'!$A$1:$I$89,3,0)*0.475*44/12</f>
        <v>109.3872562</v>
      </c>
      <c r="DG154" s="142">
        <f>EXP(-LN(2)/25)*DG153+(1-EXP(-LN(2)/25))/(LN(2)/25)*Calculateur!DB154*Calculateur!DD154*VLOOKUP('Données projet'!$B$13,'Paramètres'!$A$1:$I$89,3,0)*0.475*44/12</f>
        <v>0</v>
      </c>
      <c r="DH154" s="142">
        <f>EXP(-LN(2)/2)*DH153+(1-EXP(-LN(2)/2))/(LN(2)/2)*DB154*DE154*VLOOKUP('Données projet'!$B$13,'Paramètres'!$A$1:$I$89,3,0)*0.475*44/12</f>
        <v>0</v>
      </c>
      <c r="DI154" s="143">
        <f t="shared" si="16"/>
        <v>109.3872562</v>
      </c>
      <c r="DJ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1" t="str">
        <f>VLOOKUP(A154,'Données projet'!$A$165:$I$185,2,0)</f>
        <v>#N/A</v>
      </c>
      <c r="DM154" s="131" t="str">
        <f>VLOOKUP(A154,'Données projet'!$A$165:$I$185,9,0)</f>
        <v>#N/A</v>
      </c>
      <c r="DN154" s="131" t="str">
        <f t="array" ref="DN154">INDEX(DM:DM,MIN(IF(ISNUMBER(DM154:DM350),ROW(DM154:DM350),"")))</f>
        <v/>
      </c>
      <c r="DO154" s="138">
        <f>IF('Données projet'!$A$166&gt;35,DO153+DN154-DW153,IF(A154&lt;'Données projet'!$A$166,$DL$205^A154,IF(A154='Données projet'!$A$166,'Données projet'!$B$166,DO153+DN154-DW153)))</f>
        <v>0</v>
      </c>
      <c r="DP154" s="138">
        <f>DO154*VLOOKUP('Données projet'!$B$14,'Paramètres'!$A$1:$I$89,3,0)*VLOOKUP('Données projet'!$B$14,'Paramètres'!$A$1:$I$89,5,0)</f>
        <v>0</v>
      </c>
      <c r="DQ154" s="130" t="str">
        <f t="shared" si="44"/>
        <v>#NUM!</v>
      </c>
      <c r="DR154" s="141" t="str">
        <f t="shared" si="17"/>
        <v>#NUM!</v>
      </c>
      <c r="DS154" s="133" t="str">
        <f t="shared" si="18"/>
        <v>#NUM!</v>
      </c>
      <c r="DT154" s="133">
        <f>AVERAGE(OFFSET($DS$3,0,0,'Données projet'!$E$14+1,1))-AVERAGE(OFFSET($H$3,0,0,'Données projet'!$E$14+1,1))</f>
        <v>287.9334714</v>
      </c>
      <c r="DU154" s="133">
        <f t="shared" si="45"/>
        <v>156.6796502</v>
      </c>
      <c r="DV154" s="134">
        <f>IF(ISNA(VLOOKUP(A154,'Données projet'!$A$165:$I$185,3,0)),0,VLOOKUP(A154,'Données projet'!$A$165:$I$185,3,0))</f>
        <v>0</v>
      </c>
      <c r="DW154" s="134">
        <f>IF(ISNA(VLOOKUP(A154,'Données projet'!$A$165:$I$185,4,0)),0,VLOOKUP(A154,'Données projet'!$A$165:$I$185,4,0))</f>
        <v>0</v>
      </c>
      <c r="DX154" s="135">
        <f>IF(ISNA(VLOOKUP(A154,'Données projet'!$A$165:$I$185,5,0)),0%,VLOOKUP(A154,'Données projet'!$A$165:$I$185,5,0)*VLOOKUP('Données projet'!$B$14,'Paramètres'!$A$1:$I$89,7,0))</f>
        <v>0</v>
      </c>
      <c r="DY154" s="135">
        <f>IF(ISNA(VLOOKUP(A154,'Données projet'!$A$165:$I$185,6,0)),0%,VLOOKUP(A154,'Données projet'!$A$165:$I$185,6,0)*VLOOKUP('Données projet'!$B$14,'Paramètres'!$A$1:$I$89,7,0))</f>
        <v>0</v>
      </c>
      <c r="DZ154" s="135">
        <f>IF(ISNA(VLOOKUP(A154,'Données projet'!$A$165:$I$185,7,0)),0%,VLOOKUP(A154,'Données projet'!$A$165:$I$185,7,0))</f>
        <v>0</v>
      </c>
      <c r="EA154" s="142">
        <f>EXP(-LN(2)/35)*EA153+(1-EXP(-LN(2)/35))/(LN(2)/35)*DW154*DX154*VLOOKUP('Données projet'!$B$14,'Paramètres'!$A$1:$I$89,3,0)*0.475*44/12</f>
        <v>127.0770389</v>
      </c>
      <c r="EB154" s="142">
        <f>EXP(-LN(2)/25)*EB153+(1-EXP(-LN(2)/25))/(LN(2)/25)*Calculateur!DW154*Calculateur!DY154*VLOOKUP('Données projet'!$B$14,'Paramètres'!$A$1:$I$89,3,0)*0.475*44/12</f>
        <v>0</v>
      </c>
      <c r="EC154" s="142">
        <f>EXP(-LN(2)/2)*EC153+(1-EXP(-LN(2)/2))/(LN(2)/2)*DW154*DZ154*VLOOKUP('Données projet'!$B$14,'Paramètres'!$A$1:$I$89,3,0)*0.475*44/12</f>
        <v>0</v>
      </c>
      <c r="ED154" s="143">
        <f t="shared" si="19"/>
        <v>127.0770389</v>
      </c>
      <c r="EE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1" t="str">
        <f>VLOOKUP(A154,'Données projet'!$A$191:$I$211,2,0)</f>
        <v>#N/A</v>
      </c>
      <c r="EH154" s="131" t="str">
        <f>VLOOKUP(A154,'Données projet'!$A$191:$I$211,9,0)</f>
        <v>#N/A</v>
      </c>
      <c r="EI154" s="131" t="str">
        <f t="array" ref="EI154">INDEX(EH:EH,MIN(IF(ISNUMBER(EH154:EH350),ROW(EH154:EH350),"")))</f>
        <v/>
      </c>
      <c r="EJ154" s="138">
        <f>IF('Données projet'!$A$192&gt;35,EJ153+EI154-ER153,IF(A154&lt;'Données projet'!$A$192,$EG$205^A154,IF(A154='Données projet'!$A$192,'Données projet'!$B$192,EJ153+EI154-ER153)))</f>
        <v>0</v>
      </c>
      <c r="EK154" s="138">
        <f>EJ154*VLOOKUP('Données projet'!$B$15,'Paramètres'!$A$1:$I$89,3,0)*VLOOKUP('Données projet'!$B$15,'Paramètres'!$A$1:$I$89,5,0)</f>
        <v>0</v>
      </c>
      <c r="EL154" s="130" t="str">
        <f t="shared" si="46"/>
        <v>#NUM!</v>
      </c>
      <c r="EM154" s="141" t="str">
        <f t="shared" si="20"/>
        <v>#NUM!</v>
      </c>
      <c r="EN154" s="133" t="str">
        <f t="shared" si="21"/>
        <v>#NUM!</v>
      </c>
      <c r="EO154" s="133">
        <f>AVERAGE(OFFSET($EN$3,0,0,'Données projet'!$E$15+1,1))-AVERAGE(OFFSET($H$3,0,0,'Données projet'!$E$15+1,1))</f>
        <v>130.3193339</v>
      </c>
      <c r="EP154" s="133">
        <f t="shared" si="47"/>
        <v>82.22784365</v>
      </c>
      <c r="EQ154" s="134">
        <f>IF(ISNA(VLOOKUP(A154,'Données projet'!$A$191:$I$211,3,0)),0,VLOOKUP(A154,'Données projet'!$A$191:$I$211,3,0))</f>
        <v>0</v>
      </c>
      <c r="ER154" s="134">
        <f>IF(ISNA(VLOOKUP(A154,'Données projet'!$A$191:$I$211,4,0)),0,VLOOKUP(A154,'Données projet'!$A$191:$I$211,4,0))</f>
        <v>0</v>
      </c>
      <c r="ES154" s="135">
        <f>IF(ISNA(VLOOKUP(A154,'Données projet'!$A$191:$I$211,5,0)),0%,VLOOKUP(A154,'Données projet'!$A$191:$I$211,5,0)*VLOOKUP('Données projet'!$B$15,'Paramètres'!$A$1:$I$89,7,0))</f>
        <v>0</v>
      </c>
      <c r="ET154" s="135">
        <f>IF(ISNA(VLOOKUP(A154,'Données projet'!$A$191:$I$211,6,0)),0%,VLOOKUP(A154,'Données projet'!$A$191:$I$211,6,0)*VLOOKUP('Données projet'!$B$15,'Paramètres'!$A$1:$I$89,7,0))</f>
        <v>0</v>
      </c>
      <c r="EU154" s="135">
        <f>IF(ISNA(VLOOKUP(A154,'Données projet'!$A$191:$I$211,7,0)),0%,VLOOKUP(A154,'Données projet'!$A$191:$I$211,7,0))</f>
        <v>0</v>
      </c>
      <c r="EV154" s="142">
        <f>EXP(-LN(2)/35)*EV153+(1-EXP(-LN(2)/35))/(LN(2)/35)*ER154*ES154*VLOOKUP('Données projet'!$B$15,'Paramètres'!$A$1:$I$89,3,0)*0.475*44/12</f>
        <v>26.04276691</v>
      </c>
      <c r="EW154" s="142">
        <f>EXP(-LN(2)/25)*EW153+(1-EXP(-LN(2)/25))/(LN(2)/25)*Calculateur!ER154*Calculateur!ET154*VLOOKUP('Données projet'!$B$15,'Paramètres'!$A$1:$I$89,3,0)*0.475*44/12</f>
        <v>0</v>
      </c>
      <c r="EX154" s="142">
        <f>EXP(-LN(2)/2)*EX153+(1-EXP(-LN(2)/2))/(LN(2)/2)*ER154*EU154*VLOOKUP('Données projet'!$B$15,'Paramètres'!$A$1:$I$89,3,0)*0.475*44/12</f>
        <v>0</v>
      </c>
      <c r="EY154" s="143">
        <f t="shared" si="22"/>
        <v>26.04276691</v>
      </c>
      <c r="EZ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1" t="str">
        <f>VLOOKUP(A154,'Données projet'!$A$217:$I$237,2,0)</f>
        <v>#N/A</v>
      </c>
      <c r="FC154" s="131" t="str">
        <f>VLOOKUP(A154,'Données projet'!$A$217:$I$237,9,0)</f>
        <v>#N/A</v>
      </c>
      <c r="FD154" s="131" t="str">
        <f t="array" ref="FD154">INDEX(FC:FC,MIN(IF(ISNUMBER(FC154:FC350),ROW(FC154:FC350),"")))</f>
        <v/>
      </c>
      <c r="FE154" s="130">
        <f>IF('Données projet'!$A$218&gt;35,FE153+FD154-FM153,IF(A154&lt;'Données projet'!$A$218,$FB$205^A154,IF(A154='Données projet'!$A$218,'Données projet'!$B$218,FE153+FD154-FM153)))</f>
        <v>0</v>
      </c>
      <c r="FF154" s="138">
        <f>FE154*VLOOKUP('Données projet'!$B$16,'Paramètres'!$A$1:$I$89,3,0)*VLOOKUP('Données projet'!$B$16,'Paramètres'!$A$1:$I$89,5,0)</f>
        <v>0</v>
      </c>
      <c r="FG154" s="130">
        <f t="shared" si="48"/>
        <v>0</v>
      </c>
      <c r="FH154" s="141">
        <f t="shared" si="23"/>
        <v>0</v>
      </c>
      <c r="FI154" s="133">
        <f t="shared" si="24"/>
        <v>293.3333333</v>
      </c>
      <c r="FJ154" s="133">
        <f>AVERAGE(OFFSET($FI$3,0,0,'Données projet'!$E$16+1,1))-AVERAGE(OFFSET($H$3,0,0,'Données projet'!$E$16+1,1))</f>
        <v>305.6252353</v>
      </c>
      <c r="FK154" s="133">
        <f t="shared" si="49"/>
        <v>331.397916</v>
      </c>
      <c r="FL154" s="134">
        <f>IF(ISNA(VLOOKUP(A154,'Données projet'!$A$217:$I$237,3,0)),0,VLOOKUP(A154,'Données projet'!$A$217:$I$237,3,0))</f>
        <v>0</v>
      </c>
      <c r="FM154" s="134">
        <f>IF(ISNA(VLOOKUP(A154,'Données projet'!$A$217:$I$237,4,0)),0,VLOOKUP(A154,'Données projet'!$A$217:$I$237,4,0))</f>
        <v>0</v>
      </c>
      <c r="FN154" s="135">
        <f>IF(ISNA(VLOOKUP(A154,'Données projet'!$A$217:$I$237,5,0)),0%,VLOOKUP(A154,'Données projet'!$A$217:$I$237,5,0)*VLOOKUP('Données projet'!$B$16,'Paramètres'!$A$1:$I$89,7,0))</f>
        <v>0</v>
      </c>
      <c r="FO154" s="135">
        <f>IF(ISNA(VLOOKUP(A154,'Données projet'!$A$217:$I$237,6,0)),0%,VLOOKUP(A154,'Données projet'!$A$217:$I$237,6,0)*VLOOKUP('Données projet'!$B$16,'Paramètres'!$A$1:$I$89,7,0))</f>
        <v>0</v>
      </c>
      <c r="FP154" s="135">
        <f>IF(ISNA(VLOOKUP(A154,'Données projet'!$A$217:$I$237,7,0)),0%,VLOOKUP(A154,'Données projet'!$A$217:$I$237,7,0))</f>
        <v>0</v>
      </c>
      <c r="FQ154" s="142">
        <f>EXP(-LN(2)/35)*FQ153+(1-EXP(-LN(2)/35))/(LN(2)/35)*FM154*FN154*VLOOKUP('Données projet'!$B$16,'Paramètres'!$A$1:$I$89,3,0)*0.475*44/12</f>
        <v>16.21500498</v>
      </c>
      <c r="FR154" s="142">
        <f>EXP(-LN(2)/25)*FR153+(1-EXP(-LN(2)/25))/(LN(2)/25)*Calculateur!FM154*Calculateur!FO154*VLOOKUP('Données projet'!$B$16,'Paramètres'!$A$1:$I$89,3,0)*0.475*44/12</f>
        <v>0</v>
      </c>
      <c r="FS154" s="142">
        <f>EXP(-LN(2)/2)*FS153+(1-EXP(-LN(2)/2))/(LN(2)/2)*FM154*FP154*VLOOKUP('Données projet'!$B$16,'Paramètres'!$A$1:$I$89,3,0)*0.475*44/12</f>
        <v>0</v>
      </c>
      <c r="FT154" s="143">
        <f t="shared" si="25"/>
        <v>16.21500498</v>
      </c>
      <c r="FU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1" t="str">
        <f>VLOOKUP(A154,'Données projet'!$A$243:$I$263,2,0)</f>
        <v>#N/A</v>
      </c>
      <c r="FX154" s="131" t="str">
        <f>VLOOKUP(A154,'Données projet'!$A$243:$I$263,9,0)</f>
        <v>#N/A</v>
      </c>
      <c r="FY154" s="131" t="str">
        <f t="array" ref="FY154">INDEX(FX:FX,MIN(IF(ISNUMBER(FX154:FX350),ROW(FX154:FX350),"")))</f>
        <v/>
      </c>
      <c r="FZ154" s="138">
        <f>IF('Données projet'!$A$244&gt;35,FZ153+FY154-GH153,IF(A154&lt;'Données projet'!$A$244,$FW$205^A154,IF(A154='Données projet'!$A$244,'Données projet'!$B$244,FZ153+FY154-GH153)))</f>
        <v>0</v>
      </c>
      <c r="GA154" s="138">
        <f>FZ154*VLOOKUP('Données projet'!$B$17,'Paramètres'!$A$1:$I$89,3,0)*VLOOKUP('Données projet'!$B$17,'Paramètres'!$A$1:$I$89,5,0)</f>
        <v>0</v>
      </c>
      <c r="GB154" s="130">
        <f t="shared" si="50"/>
        <v>0</v>
      </c>
      <c r="GC154" s="141">
        <f t="shared" si="26"/>
        <v>0</v>
      </c>
      <c r="GD154" s="133">
        <f t="shared" si="27"/>
        <v>293.3333333</v>
      </c>
      <c r="GE154" s="133">
        <f>AVERAGE(OFFSET($GD$3,0,0,'Données projet'!$E$17+1,1))-AVERAGE(OFFSET($H$3,0,0,'Données projet'!$E$17+1,1))</f>
        <v>118.7368745</v>
      </c>
      <c r="GF154" s="133">
        <f t="shared" si="51"/>
        <v>135.1233677</v>
      </c>
      <c r="GG154" s="134">
        <f>IF(ISNA(VLOOKUP(A154,'Données projet'!$A$243:$I$263,3,0)),0,VLOOKUP(A154,'Données projet'!$A$243:$I$263,3,0))</f>
        <v>0</v>
      </c>
      <c r="GH154" s="134">
        <f>IF(ISNA(VLOOKUP(A154,'Données projet'!$A$243:$I$263,4,0)),0,VLOOKUP(A154,'Données projet'!$A$243:$I$263,4,0))</f>
        <v>0</v>
      </c>
      <c r="GI154" s="135">
        <f>IF(ISNA(VLOOKUP(A154,'Données projet'!$A$243:$I$263,5,0)),0%,VLOOKUP(A154,'Données projet'!$A$243:$I$263,5,0)*VLOOKUP('Données projet'!$B$17,'Paramètres'!$A$1:$I$89,7,0))</f>
        <v>0</v>
      </c>
      <c r="GJ154" s="135">
        <f>IF(ISNA(VLOOKUP(A154,'Données projet'!$A$243:$I$263,6,0)),0%,VLOOKUP(A154,'Données projet'!$A$243:$I$263,6,0)*VLOOKUP('Données projet'!$B$17,'Paramètres'!$A$1:$I$89,7,0))</f>
        <v>0</v>
      </c>
      <c r="GK154" s="135">
        <f>IF(ISNA(VLOOKUP(A154,'Données projet'!$A$243:$I$263,7,0)),0%,VLOOKUP(A154,'Données projet'!$A$243:$I$263,7,0))</f>
        <v>0</v>
      </c>
      <c r="GL154" s="142">
        <f>EXP(-LN(2)/35)*GL153+(1-EXP(-LN(2)/35))/(LN(2)/35)*GH154*GI154*VLOOKUP('Données projet'!$B$17,'Paramètres'!$A$1:$I$89,3,0)*0.475*44/12</f>
        <v>17.13110261</v>
      </c>
      <c r="GM154" s="142">
        <f>EXP(-LN(2)/25)*GM153+(1-EXP(-LN(2)/25))/(LN(2)/25)*Calculateur!GH154*Calculateur!GJ154*VLOOKUP('Données projet'!$B$17,'Paramètres'!$A$1:$I$89,3,0)*0.475*44/12</f>
        <v>0</v>
      </c>
      <c r="GN154" s="142">
        <f>EXP(-LN(2)/2)*GN153+(1-EXP(-LN(2)/2))/(LN(2)/2)*GH154*GK154*VLOOKUP('Données projet'!$B$17,'Paramètres'!$A$1:$I$89,3,0)*0.475*44/12</f>
        <v>0</v>
      </c>
      <c r="GO154" s="142">
        <f t="shared" si="28"/>
        <v>17.13110261</v>
      </c>
      <c r="GP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1" t="str">
        <f>VLOOKUP(A154,'Données projet'!$A$269:$I$289,2,0)</f>
        <v>#N/A</v>
      </c>
      <c r="GS154" s="131" t="str">
        <f>VLOOKUP(A154,'Données projet'!$A$269:$I$289,9,0)</f>
        <v>#N/A</v>
      </c>
      <c r="GT154" s="131" t="str">
        <f t="array" ref="GT154">INDEX(GS:GS,MIN(IF(ISNUMBER(GS154:GS350),ROW(GS154:GS350),"")))</f>
        <v/>
      </c>
      <c r="GU154" s="138">
        <f>IF('Données projet'!$A$270&gt;35,GU153+GT154-HC153,IF(A154&lt;'Données projet'!$A$270,$GR$205^A154,IF(A154='Données projet'!$A$270,'Données projet'!$B$270,GU153+GT154-HC153)))</f>
        <v>0</v>
      </c>
      <c r="GV154" s="138">
        <f>GU154*VLOOKUP('Données projet'!$B$18,'Paramètres'!$A$1:$I$89,3,0)*VLOOKUP('Données projet'!$B$18,'Paramètres'!$A$1:$I$89,5,0)</f>
        <v>0</v>
      </c>
      <c r="GW154" s="130" t="str">
        <f t="shared" si="52"/>
        <v>#NUM!</v>
      </c>
      <c r="GX154" s="141" t="str">
        <f t="shared" si="29"/>
        <v>#NUM!</v>
      </c>
      <c r="GY154" s="133" t="str">
        <f t="shared" si="30"/>
        <v>#NUM!</v>
      </c>
      <c r="GZ154" s="133">
        <f>AVERAGE(OFFSET($GY$3,0,0,'Données projet'!$E$18+1,1))-AVERAGE(OFFSET($H$3,0,0,'Données projet'!$E$18+1,1))</f>
        <v>100.5427875</v>
      </c>
      <c r="HA154" s="133">
        <f t="shared" si="53"/>
        <v>92.28663609</v>
      </c>
      <c r="HB154" s="134">
        <f>IF(ISNA(VLOOKUP(A154,'Données projet'!$A$269:$I$289,3,0)),0,VLOOKUP(A154,'Données projet'!$A$269:$I$289,3,0))</f>
        <v>0</v>
      </c>
      <c r="HC154" s="134">
        <f>IF(ISNA(VLOOKUP(A154,'Données projet'!$A$269:$I$289,4,0)),0,VLOOKUP(A154,'Données projet'!$A$269:$I$289,4,0))</f>
        <v>0</v>
      </c>
      <c r="HD154" s="135">
        <f>IF(ISNA(VLOOKUP(A154,'Données projet'!$A$269:$I$289,5,0)),0%,VLOOKUP(A154,'Données projet'!$A$269:$I$289,5,0)*VLOOKUP('Données projet'!$B$18,'Paramètres'!$A$1:$I$89,7,0))</f>
        <v>0</v>
      </c>
      <c r="HE154" s="135">
        <f>IF(ISNA(VLOOKUP(A154,'Données projet'!$A$269:$I$289,6,0)),0%,VLOOKUP(A154,'Données projet'!$A$269:$I$289,6,0)*VLOOKUP('Données projet'!$B$18,'Paramètres'!$A$1:$I$89,7,0))</f>
        <v>0</v>
      </c>
      <c r="HF154" s="135">
        <f>IF(ISNA(VLOOKUP(A154,'Données projet'!$A$269:$I$289,7,0)),0%,VLOOKUP(A154,'Données projet'!$A$269:$I$289,7,0))</f>
        <v>0</v>
      </c>
      <c r="HG154" s="142">
        <f>EXP(-LN(2)/35)*HG153+(1-EXP(-LN(2)/35))/(LN(2)/35)*HC154*HD154*VLOOKUP('Données projet'!$B$18,'Paramètres'!$A$1:$I$89,3,0)*0.475*44/12</f>
        <v>11.66591948</v>
      </c>
      <c r="HH154" s="142">
        <f>EXP(-LN(2)/25)*HH153+(1-EXP(-LN(2)/25))/(LN(2)/25)*Calculateur!HC154*Calculateur!HE154*VLOOKUP('Données projet'!$B$18,'Paramètres'!$A$1:$I$89,3,0)*0.475*44/12</f>
        <v>0</v>
      </c>
      <c r="HI154" s="142">
        <f>EXP(-LN(2)/2)*HI153+(1-EXP(-LN(2)/2))/(LN(2)/2)*HC154*HF154*VLOOKUP('Données projet'!$B$18,'Paramètres'!$A$1:$I$89,3,0)*0.475*44/12</f>
        <v>0</v>
      </c>
      <c r="HJ154" s="143">
        <f t="shared" si="31"/>
        <v>11.66591948</v>
      </c>
    </row>
    <row r="155" ht="15.75" customHeight="1">
      <c r="A155" s="125">
        <f t="shared" si="32"/>
        <v>152</v>
      </c>
      <c r="B155" s="126">
        <f>'Scénario référence'!$B$16*5+'Scénario référence'!$B$17*0+'Scénario référence'!$B$18*5</f>
        <v>0</v>
      </c>
      <c r="C155" s="140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82.992</v>
      </c>
      <c r="D155" s="127">
        <f t="shared" si="33"/>
        <v>22.86717305</v>
      </c>
      <c r="E15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7">
        <f>IF(OR('Scénario référence'!$F$8&gt;0,'Scénario référence'!$F$9&gt;0),('Scénario référence'!$F$8+'Scénario référence'!$F$9)*10,0)</f>
        <v>10</v>
      </c>
      <c r="G155" s="127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817.1585288</v>
      </c>
      <c r="H155" s="128">
        <f t="shared" si="1"/>
        <v>477.7047264</v>
      </c>
      <c r="I155" s="12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1" t="str">
        <f>VLOOKUP(A155,'Données projet'!$A$35:$I$55,2,0)</f>
        <v>#N/A</v>
      </c>
      <c r="L155" s="131" t="str">
        <f>VLOOKUP(A155,'Données projet'!$A$35:$I$55,9,0)</f>
        <v>#N/A</v>
      </c>
      <c r="M155" s="131" t="str">
        <f t="array" ref="M155">INDEX(L:L,MIN(IF(ISNUMBER(L155:L351),ROW(L155:L351),"")))</f>
        <v/>
      </c>
      <c r="N155" s="130">
        <f>IF('Données projet'!$A$36&gt;35,N154+M155-V154,IF(A155&lt;'Données projet'!$A$36,$K$205^A155,IF(A155='Données projet'!$A$36,'Données projet'!$B$36,N154+M155-V154)))</f>
        <v>0</v>
      </c>
      <c r="O155" s="130">
        <f>N155*VLOOKUP('Données projet'!$B$9,'Paramètres'!$A$1:$I$89,3,0)*VLOOKUP('Données projet'!$B$9,'Paramètres'!$A$1:$I$89,5,0)</f>
        <v>0</v>
      </c>
      <c r="P155" s="130">
        <f t="shared" si="34"/>
        <v>0</v>
      </c>
      <c r="Q155" s="141">
        <f t="shared" si="2"/>
        <v>0</v>
      </c>
      <c r="R155" s="133">
        <f t="shared" si="3"/>
        <v>293.3333333</v>
      </c>
      <c r="S155" s="133">
        <f>AVERAGE(OFFSET($R$3,0,0,'Données projet'!$E$9+1,1))-AVERAGE(OFFSET($H$3,0,0,'Données projet'!$E$9+1,1))</f>
        <v>126.9946492</v>
      </c>
      <c r="T155" s="133">
        <f t="shared" si="35"/>
        <v>140.039049</v>
      </c>
      <c r="U155" s="134">
        <f>IF(ISNA(VLOOKUP(A155,'Données projet'!$A$35:$I$55,3,0)),0,VLOOKUP(A155,'Données projet'!$A$35:$I$55,3,0))</f>
        <v>0</v>
      </c>
      <c r="V155" s="134">
        <f>IF(ISNA(VLOOKUP(A155,'Données projet'!$A$35:$I$55,4,0)),0,VLOOKUP(A155,'Données projet'!$A$35:$I$55,4,0))</f>
        <v>0</v>
      </c>
      <c r="W155" s="135">
        <f>IF(ISNA(VLOOKUP(A155,'Données projet'!$A$35:$I$55,5,0)),0%,VLOOKUP(A155,'Données projet'!$A$35:$I$55,5,0)*VLOOKUP('Données projet'!$B$9,'Paramètres'!$A$1:$I$89,7,0))</f>
        <v>0</v>
      </c>
      <c r="X155" s="135">
        <f>IF(ISNA(VLOOKUP(A155,'Données projet'!$A$35:$I$55,6,0)),0%,VLOOKUP(A155,'Données projet'!$A$35:$I$55,6,0)*VLOOKUP('Données projet'!$B$9,'Paramètres'!$A$1:$I$89,7,0))</f>
        <v>0</v>
      </c>
      <c r="Y155" s="135">
        <f>IF(ISNA(VLOOKUP(A155,'Données projet'!$A$35:$I$55,7,0)),0%,VLOOKUP(A155,'Données projet'!$A$35:$I$55,7,0))</f>
        <v>0</v>
      </c>
      <c r="Z155" s="142">
        <f>EXP(-LN(2)/35)*Z154+(1-EXP(-LN(2)/35))/(LN(2)/35)*V155*W155*VLOOKUP('Données projet'!$B$9,'Paramètres'!$A$1:$I$89,3,0)*0.475*44/12</f>
        <v>17.17772243</v>
      </c>
      <c r="AA155" s="142">
        <f>EXP(-LN(2)/25)*AA154+(1-EXP(-LN(2)/25))/(LN(2)/25)*Calculateur!V155*Calculateur!X155*VLOOKUP('Données projet'!$B$9,'Paramètres'!$A$1:$I$89,3,0)*0.475*44/12</f>
        <v>1.813094591</v>
      </c>
      <c r="AB155" s="142">
        <f>EXP(-LN(2)/2)*AB154+(1-EXP(-LN(2)/2))/(LN(2)/2)*V155*Y155*VLOOKUP('Données projet'!$B$9,'Paramètres'!$A$1:$I$89,3,0)*0.475*44/12</f>
        <v>0</v>
      </c>
      <c r="AC155" s="143">
        <f t="shared" si="4"/>
        <v>18.99081703</v>
      </c>
      <c r="AD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1" t="str">
        <f>VLOOKUP(A155,'Données projet'!$A$61:$I$81,2,0)</f>
        <v>#N/A</v>
      </c>
      <c r="AG155" s="131" t="str">
        <f>VLOOKUP(A155,'Données projet'!$A$61:$I$81,9,0)</f>
        <v>#N/A</v>
      </c>
      <c r="AH155" s="131" t="str">
        <f t="array" ref="AH155">INDEX(AG:AG,MIN(IF(ISNUMBER(AG155:AG351),ROW(AG155:AG351),"")))</f>
        <v/>
      </c>
      <c r="AI155" s="130">
        <f>IF('Données projet'!$A$62&gt;35,AI154+AH155-AQ154,IF(A155&lt;'Données projet'!$A$62,$AF$205^A155,IF(A155='Données projet'!$A$62,'Données projet'!$B$62,AI154+AH155-AQ154)))</f>
        <v>0</v>
      </c>
      <c r="AJ155" s="130">
        <f>AI155*VLOOKUP('Données projet'!$B$10,'Paramètres'!$A$1:$I$89,3,0)*VLOOKUP('Données projet'!$B$10,'Paramètres'!$A$1:$I$89,5,0)</f>
        <v>0</v>
      </c>
      <c r="AK155" s="130" t="str">
        <f t="shared" si="36"/>
        <v>#NUM!</v>
      </c>
      <c r="AL155" s="141" t="str">
        <f t="shared" si="5"/>
        <v>#NUM!</v>
      </c>
      <c r="AM155" s="133" t="str">
        <f t="shared" si="6"/>
        <v>#NUM!</v>
      </c>
      <c r="AN155" s="133">
        <f>AVERAGE(OFFSET($AM$3,0,0,'Données projet'!$E$10+1,1))-AVERAGE(OFFSET($H$3,0,0,'Données projet'!$E$10+1,1))</f>
        <v>196.874484</v>
      </c>
      <c r="AO155" s="133">
        <f t="shared" si="37"/>
        <v>217.5750859</v>
      </c>
      <c r="AP155" s="134">
        <f>IF(ISNA(VLOOKUP(A155,'Données projet'!$A$61:$I$81,3,0)),0,VLOOKUP(A155,'Données projet'!$A$61:$I$81,3,0))</f>
        <v>0</v>
      </c>
      <c r="AQ155" s="134">
        <f>IF(ISNA(VLOOKUP(A155,'Données projet'!$A$61:$I$81,4,0)),0,VLOOKUP(A155,'Données projet'!$A$61:$I$81,4,0))</f>
        <v>0</v>
      </c>
      <c r="AR155" s="135">
        <f>IF(ISNA(VLOOKUP(A155,'Données projet'!$A$61:$I$81,5,0)),0%,VLOOKUP(A155,'Données projet'!$A$61:$I$81,5,0)*VLOOKUP('Données projet'!$B$10,'Paramètres'!$A$1:$I$89,7,0))</f>
        <v>0</v>
      </c>
      <c r="AS155" s="135">
        <f>IF(ISNA(VLOOKUP(A155,'Données projet'!$A$61:$I$81,6,0)),0%,VLOOKUP(A155,'Données projet'!$A$61:$I$81,6,0)*VLOOKUP('Données projet'!$B$10,'Paramètres'!$A$1:$I$89,7,0))</f>
        <v>0</v>
      </c>
      <c r="AT155" s="135">
        <f>IF(ISNA(VLOOKUP(A155,'Données projet'!$A$61:$I$81,7,0)),0%,VLOOKUP(A155,'Données projet'!$A$61:$I$81,7,0))</f>
        <v>0</v>
      </c>
      <c r="AU155" s="142">
        <f>EXP(-LN(2)/35)*AU154+(1-EXP(-LN(2)/35))/(LN(2)/35)*AQ155*AR155*VLOOKUP('Données projet'!$B$10,'Paramètres'!$A$1:$I$89,3,0)*0.475*44/12</f>
        <v>23.87654627</v>
      </c>
      <c r="AV155" s="142">
        <f>EXP(-LN(2)/25)*AV154+(1-EXP(-LN(2)/25))/(LN(2)/25)*Calculateur!AQ155*Calculateur!AS155*VLOOKUP('Données projet'!$B$10,'Paramètres'!$A$1:$I$89,3,0)*0.475*44/12</f>
        <v>2.787635356</v>
      </c>
      <c r="AW155" s="142">
        <f>EXP(-LN(2)/2)*AW154+(1-EXP(-LN(2)/2))/(LN(2)/2)*AQ155*AT155*VLOOKUP('Données projet'!$B$10,'Paramètres'!$A$1:$I$89,3,0)*0.475*44/12</f>
        <v>0</v>
      </c>
      <c r="AX155" s="142">
        <f t="shared" si="7"/>
        <v>26.66418163</v>
      </c>
      <c r="AY155" s="13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1" t="str">
        <f>VLOOKUP(A155,'Données projet'!$A$87:$I$107,2,0)</f>
        <v>#N/A</v>
      </c>
      <c r="BB155" s="131" t="str">
        <f>VLOOKUP(A155,'Données projet'!$A$87:$I$107,9,0)</f>
        <v>#N/A</v>
      </c>
      <c r="BC155" s="131" t="str">
        <f t="array" ref="BC155">INDEX(BB:BB,MIN(IF(ISNUMBER(BB155:BB351),ROW(BB155:BB351),"")))</f>
        <v/>
      </c>
      <c r="BD155" s="130">
        <f>IF('Données projet'!$A$88&gt;35,BD154+BC155-BL154,IF(A155&lt;'Données projet'!$A$88,$BA$205^A155,IF(A155='Données projet'!$A$88,'Données projet'!$B$88,BD154+BC155-BL154)))</f>
        <v>0</v>
      </c>
      <c r="BE155" s="130">
        <f>BD155*VLOOKUP('Données projet'!$B$11,'Paramètres'!$A$1:$I$89,3,0)*VLOOKUP('Données projet'!$B$11,'Paramètres'!$A$1:$I$89,5,0)</f>
        <v>0</v>
      </c>
      <c r="BF155" s="130" t="str">
        <f t="shared" si="38"/>
        <v>#NUM!</v>
      </c>
      <c r="BG155" s="141" t="str">
        <f t="shared" si="8"/>
        <v>#NUM!</v>
      </c>
      <c r="BH155" s="133" t="str">
        <f t="shared" si="9"/>
        <v>#NUM!</v>
      </c>
      <c r="BI155" s="133">
        <f>AVERAGE(OFFSET($BH$3,0,0,'Données projet'!$E$11+1,1))-AVERAGE(OFFSET($H$3,0,0,'Données projet'!$E$11+1,1))</f>
        <v>134.0948534</v>
      </c>
      <c r="BJ155" s="133">
        <f t="shared" si="39"/>
        <v>108.4102536</v>
      </c>
      <c r="BK155" s="134">
        <f>IF(ISNA(VLOOKUP(A155,'Données projet'!$A$87:$I$107,3,0)),0,VLOOKUP(A155,'Données projet'!$A$87:$I$107,3,0))</f>
        <v>0</v>
      </c>
      <c r="BL155" s="134">
        <f>IF(ISNA(VLOOKUP(A155,'Données projet'!$A$87:$I$107,4,0)),0,VLOOKUP(A155,'Données projet'!$A$87:$I$107,4,0))</f>
        <v>0</v>
      </c>
      <c r="BM155" s="135">
        <f>IF(ISNA(VLOOKUP(A155,'Données projet'!$A$87:$I$107,5,0)),0%,VLOOKUP(A155,'Données projet'!$A$87:$I$107,5,0)*VLOOKUP('Données projet'!$B$11,'Paramètres'!$A$1:$I$89,7,0))</f>
        <v>0</v>
      </c>
      <c r="BN155" s="135">
        <f>IF(ISNA(VLOOKUP(A155,'Données projet'!$A$87:$I$107,6,0)),0%,VLOOKUP(A155,'Données projet'!$A$87:$I$107,6,0)*VLOOKUP('Données projet'!$B$11,'Paramètres'!$A$1:$I$89,7,0))</f>
        <v>0</v>
      </c>
      <c r="BO155" s="135">
        <f>IF(ISNA(VLOOKUP(A155,'Données projet'!$A$87:$I$107,7,0)),0%,VLOOKUP(A155,'Données projet'!$A$87:$I$107,7,0))</f>
        <v>0</v>
      </c>
      <c r="BP155" s="142">
        <f>EXP(-LN(2)/35)*BP154+(1-EXP(-LN(2)/35))/(LN(2)/35)*BL155*BM155*VLOOKUP('Données projet'!$B$11,'Paramètres'!$A$1:$I$89,3,0)*0.475*44/12</f>
        <v>33.02572264</v>
      </c>
      <c r="BQ155" s="142">
        <f>EXP(-LN(2)/25)*BQ154+(1-EXP(-LN(2)/25))/(LN(2)/25)*Calculateur!BL155*Calculateur!BN155*VLOOKUP('Données projet'!$B$11,'Paramètres'!$A$1:$I$89,3,0)*0.475*44/12</f>
        <v>1.758442776</v>
      </c>
      <c r="BR155" s="142">
        <f>EXP(-LN(2)/2)*BR154+(1-EXP(-LN(2)/2))/(LN(2)/2)*BL155*BO155*VLOOKUP('Données projet'!$B$11,'Paramètres'!$A$1:$I$89,3,0)*0.475*44/12</f>
        <v>0</v>
      </c>
      <c r="BS155" s="143">
        <f t="shared" si="10"/>
        <v>34.78416542</v>
      </c>
      <c r="BT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1" t="str">
        <f>VLOOKUP(A155,'Données projet'!$A$113:$I$133,2,0)</f>
        <v>#N/A</v>
      </c>
      <c r="BW155" s="131" t="str">
        <f>VLOOKUP(A155,'Données projet'!$A$113:$I$133,9,0)</f>
        <v>#N/A</v>
      </c>
      <c r="BX155" s="131" t="str">
        <f t="array" ref="BX155">INDEX(BW:BW,MIN(IF(ISNUMBER(BW155:BW351),ROW(BW155:BW351),"")))</f>
        <v/>
      </c>
      <c r="BY155" s="130">
        <f>IF('Données projet'!$A$114&gt;35,BY154+BX155-CG154,IF(A155&lt;'Données projet'!$A$114,$BV$205^A155,IF(A155='Données projet'!$A$114,'Données projet'!$B$114,BY154+BX155-CG154)))</f>
        <v>0</v>
      </c>
      <c r="BZ155" s="130">
        <f>BY155*VLOOKUP('Données projet'!$B$12,'Paramètres'!$A$1:$I$89,3,0)*VLOOKUP('Données projet'!$B$12,'Paramètres'!$A$1:$I$89,5,0)</f>
        <v>0</v>
      </c>
      <c r="CA155" s="130" t="str">
        <f t="shared" si="40"/>
        <v>#NUM!</v>
      </c>
      <c r="CB155" s="141" t="str">
        <f t="shared" si="11"/>
        <v>#NUM!</v>
      </c>
      <c r="CC155" s="133" t="str">
        <f t="shared" si="12"/>
        <v>#NUM!</v>
      </c>
      <c r="CD155" s="133">
        <f>AVERAGE(OFFSET($CC$3,0,0,'Données projet'!$E$12+1,1))-AVERAGE(OFFSET($H$3,0,0,'Données projet'!$E$12+1,1))</f>
        <v>258.1672054</v>
      </c>
      <c r="CE155" s="133">
        <f t="shared" si="41"/>
        <v>296.0724261</v>
      </c>
      <c r="CF155" s="134">
        <f>IF(ISNA(VLOOKUP(A155,'Données projet'!$A$113:$I$133,3,0)),0,VLOOKUP(A155,'Données projet'!$A$113:$I$133,3,0))</f>
        <v>0</v>
      </c>
      <c r="CG155" s="134">
        <f>IF(ISNA(VLOOKUP(A155,'Données projet'!$A$113:$I$133,4,0)),0,VLOOKUP(A155,'Données projet'!$A$113:$I$133,4,0))</f>
        <v>0</v>
      </c>
      <c r="CH155" s="135">
        <f>IF(ISNA(VLOOKUP(A155,'Données projet'!$A$113:$I$133,5,0)),0%,VLOOKUP(A155,'Données projet'!$A$113:$I$133,5,0)*VLOOKUP('Données projet'!$B$12,'Paramètres'!$A$1:$I$89,7,0))</f>
        <v>0</v>
      </c>
      <c r="CI155" s="135">
        <f>IF(ISNA(VLOOKUP(A155,'Données projet'!$A$113:$I$133,6,0)),0%,VLOOKUP(A155,'Données projet'!$A$113:$I$133,6,0)*VLOOKUP('Données projet'!$B$12,'Paramètres'!$A$1:$I$89,7,0))</f>
        <v>0</v>
      </c>
      <c r="CJ155" s="135">
        <f>IF(ISNA(VLOOKUP(A155,'Données projet'!$A$113:$I$133,7,0)),0%,VLOOKUP(A155,'Données projet'!$A$113:$I$133,7,0))</f>
        <v>0</v>
      </c>
      <c r="CK155" s="142">
        <f>EXP(-LN(2)/35)*CK154+(1-EXP(-LN(2)/35))/(LN(2)/35)*CG155*CH155*VLOOKUP('Données projet'!$B$12,'Paramètres'!$A$1:$I$89,3,0)*0.475*44/12</f>
        <v>41.7546164</v>
      </c>
      <c r="CL155" s="142">
        <f>EXP(-LN(2)/25)*CL154+(1-EXP(-LN(2)/25))/(LN(2)/25)*Calculateur!CG155*Calculateur!CI155*VLOOKUP('Données projet'!$B$12,'Paramètres'!$A$1:$I$89,3,0)*0.475*44/12</f>
        <v>3.084408451</v>
      </c>
      <c r="CM155" s="142">
        <f>EXP(-LN(2)/2)*CM154+(1-EXP(-LN(2)/2))/(LN(2)/2)*CG155*CJ155*VLOOKUP('Données projet'!$B$12,'Paramètres'!$A$1:$I$89,3,0)*0.475*44/12</f>
        <v>0</v>
      </c>
      <c r="CN155" s="143">
        <f t="shared" si="13"/>
        <v>44.83902485</v>
      </c>
      <c r="CO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1" t="str">
        <f>VLOOKUP(A155,'Données projet'!$A$139:$I$159,2,0)</f>
        <v>#N/A</v>
      </c>
      <c r="CR155" s="131" t="str">
        <f>VLOOKUP(A155,'Données projet'!$A$139:$I$159,9,0)</f>
        <v>#N/A</v>
      </c>
      <c r="CS155" s="131" t="str">
        <f t="array" ref="CS155">INDEX(CR:CR,MIN(IF(ISNUMBER(CR155:CR351),ROW(CR155:CR351),"")))</f>
        <v/>
      </c>
      <c r="CT155" s="138">
        <f>IF('Données projet'!$A$140&gt;35,CT154+CS155-DB154,IF(A155&lt;'Données projet'!$A$140,$CQ$205^A155,IF(A155='Données projet'!$A$140,'Données projet'!$B$140,CT154+CS155-DB154)))</f>
        <v>0</v>
      </c>
      <c r="CU155" s="138">
        <f>CT155*VLOOKUP('Données projet'!$B$13,'Paramètres'!$A$1:$I$89,3,0)*VLOOKUP('Données projet'!$B$13,'Paramètres'!$A$1:$I$89,5,0)</f>
        <v>0</v>
      </c>
      <c r="CV155" s="130" t="str">
        <f t="shared" si="42"/>
        <v>#NUM!</v>
      </c>
      <c r="CW155" s="141" t="str">
        <f t="shared" si="14"/>
        <v>#NUM!</v>
      </c>
      <c r="CX155" s="133" t="str">
        <f t="shared" si="15"/>
        <v>#NUM!</v>
      </c>
      <c r="CY155" s="133">
        <f>AVERAGE(OFFSET($CX$3,0,0,'Données projet'!$E$13+1,1))-AVERAGE(OFFSET($H$3,0,0,'Données projet'!$E$13+1,1))</f>
        <v>223.783507</v>
      </c>
      <c r="CZ155" s="133">
        <f t="shared" si="43"/>
        <v>84.92349117</v>
      </c>
      <c r="DA155" s="134">
        <f>IF(ISNA(VLOOKUP(A155,'Données projet'!$A$139:$I$159,3,0)),0,VLOOKUP(A155,'Données projet'!$A$139:$I$159,3,0))</f>
        <v>0</v>
      </c>
      <c r="DB155" s="134">
        <f>IF(ISNA(VLOOKUP(A155,'Données projet'!$A$139:$I$159,4,0)),0,VLOOKUP(A155,'Données projet'!$A$139:$I$159,4,0))</f>
        <v>0</v>
      </c>
      <c r="DC155" s="135">
        <f>IF(ISNA(VLOOKUP(A155,'Données projet'!$A$139:$I$159,5,0)),0%,VLOOKUP(A155,'Données projet'!$A$139:$I$159,5,0)*VLOOKUP('Données projet'!$B$13,'Paramètres'!$A$1:$I$89,7,0))</f>
        <v>0</v>
      </c>
      <c r="DD155" s="135">
        <f>IF(ISNA(VLOOKUP(A155,'Données projet'!$A$139:$I$159,6,0)),0%,VLOOKUP(A155,'Données projet'!$A$139:$I$159,6,0)*VLOOKUP('Données projet'!$B$13,'Paramètres'!$A$1:$I$89,7,0))</f>
        <v>0</v>
      </c>
      <c r="DE155" s="135">
        <f>IF(ISNA(VLOOKUP(A155,'Données projet'!$A$139:$I$159,7,0)),0%,VLOOKUP(A155,'Données projet'!$A$139:$I$159,7,0))</f>
        <v>0</v>
      </c>
      <c r="DF155" s="142">
        <f>EXP(-LN(2)/35)*DF154+(1-EXP(-LN(2)/35))/(LN(2)/35)*DB155*DC155*VLOOKUP('Données projet'!$B$13,'Paramètres'!$A$1:$I$89,3,0)*0.475*44/12</f>
        <v>107.2422388</v>
      </c>
      <c r="DG155" s="142">
        <f>EXP(-LN(2)/25)*DG154+(1-EXP(-LN(2)/25))/(LN(2)/25)*Calculateur!DB155*Calculateur!DD155*VLOOKUP('Données projet'!$B$13,'Paramètres'!$A$1:$I$89,3,0)*0.475*44/12</f>
        <v>0</v>
      </c>
      <c r="DH155" s="142">
        <f>EXP(-LN(2)/2)*DH154+(1-EXP(-LN(2)/2))/(LN(2)/2)*DB155*DE155*VLOOKUP('Données projet'!$B$13,'Paramètres'!$A$1:$I$89,3,0)*0.475*44/12</f>
        <v>0</v>
      </c>
      <c r="DI155" s="143">
        <f t="shared" si="16"/>
        <v>107.2422388</v>
      </c>
      <c r="DJ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1" t="str">
        <f>VLOOKUP(A155,'Données projet'!$A$165:$I$185,2,0)</f>
        <v>#N/A</v>
      </c>
      <c r="DM155" s="131" t="str">
        <f>VLOOKUP(A155,'Données projet'!$A$165:$I$185,9,0)</f>
        <v>#N/A</v>
      </c>
      <c r="DN155" s="131" t="str">
        <f t="array" ref="DN155">INDEX(DM:DM,MIN(IF(ISNUMBER(DM155:DM351),ROW(DM155:DM351),"")))</f>
        <v/>
      </c>
      <c r="DO155" s="138">
        <f>IF('Données projet'!$A$166&gt;35,DO154+DN155-DW154,IF(A155&lt;'Données projet'!$A$166,$DL$205^A155,IF(A155='Données projet'!$A$166,'Données projet'!$B$166,DO154+DN155-DW154)))</f>
        <v>0</v>
      </c>
      <c r="DP155" s="138">
        <f>DO155*VLOOKUP('Données projet'!$B$14,'Paramètres'!$A$1:$I$89,3,0)*VLOOKUP('Données projet'!$B$14,'Paramètres'!$A$1:$I$89,5,0)</f>
        <v>0</v>
      </c>
      <c r="DQ155" s="130" t="str">
        <f t="shared" si="44"/>
        <v>#NUM!</v>
      </c>
      <c r="DR155" s="141" t="str">
        <f t="shared" si="17"/>
        <v>#NUM!</v>
      </c>
      <c r="DS155" s="133" t="str">
        <f t="shared" si="18"/>
        <v>#NUM!</v>
      </c>
      <c r="DT155" s="133">
        <f>AVERAGE(OFFSET($DS$3,0,0,'Données projet'!$E$14+1,1))-AVERAGE(OFFSET($H$3,0,0,'Données projet'!$E$14+1,1))</f>
        <v>287.9334714</v>
      </c>
      <c r="DU155" s="133">
        <f t="shared" si="45"/>
        <v>156.6796502</v>
      </c>
      <c r="DV155" s="134">
        <f>IF(ISNA(VLOOKUP(A155,'Données projet'!$A$165:$I$185,3,0)),0,VLOOKUP(A155,'Données projet'!$A$165:$I$185,3,0))</f>
        <v>0</v>
      </c>
      <c r="DW155" s="134">
        <f>IF(ISNA(VLOOKUP(A155,'Données projet'!$A$165:$I$185,4,0)),0,VLOOKUP(A155,'Données projet'!$A$165:$I$185,4,0))</f>
        <v>0</v>
      </c>
      <c r="DX155" s="135">
        <f>IF(ISNA(VLOOKUP(A155,'Données projet'!$A$165:$I$185,5,0)),0%,VLOOKUP(A155,'Données projet'!$A$165:$I$185,5,0)*VLOOKUP('Données projet'!$B$14,'Paramètres'!$A$1:$I$89,7,0))</f>
        <v>0</v>
      </c>
      <c r="DY155" s="135">
        <f>IF(ISNA(VLOOKUP(A155,'Données projet'!$A$165:$I$185,6,0)),0%,VLOOKUP(A155,'Données projet'!$A$165:$I$185,6,0)*VLOOKUP('Données projet'!$B$14,'Paramètres'!$A$1:$I$89,7,0))</f>
        <v>0</v>
      </c>
      <c r="DZ155" s="135">
        <f>IF(ISNA(VLOOKUP(A155,'Données projet'!$A$165:$I$185,7,0)),0%,VLOOKUP(A155,'Données projet'!$A$165:$I$185,7,0))</f>
        <v>0</v>
      </c>
      <c r="EA155" s="142">
        <f>EXP(-LN(2)/35)*EA154+(1-EXP(-LN(2)/35))/(LN(2)/35)*DW155*DX155*VLOOKUP('Données projet'!$B$14,'Paramètres'!$A$1:$I$89,3,0)*0.475*44/12</f>
        <v>124.5851357</v>
      </c>
      <c r="EB155" s="142">
        <f>EXP(-LN(2)/25)*EB154+(1-EXP(-LN(2)/25))/(LN(2)/25)*Calculateur!DW155*Calculateur!DY155*VLOOKUP('Données projet'!$B$14,'Paramètres'!$A$1:$I$89,3,0)*0.475*44/12</f>
        <v>0</v>
      </c>
      <c r="EC155" s="142">
        <f>EXP(-LN(2)/2)*EC154+(1-EXP(-LN(2)/2))/(LN(2)/2)*DW155*DZ155*VLOOKUP('Données projet'!$B$14,'Paramètres'!$A$1:$I$89,3,0)*0.475*44/12</f>
        <v>0</v>
      </c>
      <c r="ED155" s="143">
        <f t="shared" si="19"/>
        <v>124.5851357</v>
      </c>
      <c r="EE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1" t="str">
        <f>VLOOKUP(A155,'Données projet'!$A$191:$I$211,2,0)</f>
        <v>#N/A</v>
      </c>
      <c r="EH155" s="131" t="str">
        <f>VLOOKUP(A155,'Données projet'!$A$191:$I$211,9,0)</f>
        <v>#N/A</v>
      </c>
      <c r="EI155" s="131" t="str">
        <f t="array" ref="EI155">INDEX(EH:EH,MIN(IF(ISNUMBER(EH155:EH351),ROW(EH155:EH351),"")))</f>
        <v/>
      </c>
      <c r="EJ155" s="138">
        <f>IF('Données projet'!$A$192&gt;35,EJ154+EI155-ER154,IF(A155&lt;'Données projet'!$A$192,$EG$205^A155,IF(A155='Données projet'!$A$192,'Données projet'!$B$192,EJ154+EI155-ER154)))</f>
        <v>0</v>
      </c>
      <c r="EK155" s="138">
        <f>EJ155*VLOOKUP('Données projet'!$B$15,'Paramètres'!$A$1:$I$89,3,0)*VLOOKUP('Données projet'!$B$15,'Paramètres'!$A$1:$I$89,5,0)</f>
        <v>0</v>
      </c>
      <c r="EL155" s="130" t="str">
        <f t="shared" si="46"/>
        <v>#NUM!</v>
      </c>
      <c r="EM155" s="141" t="str">
        <f t="shared" si="20"/>
        <v>#NUM!</v>
      </c>
      <c r="EN155" s="133" t="str">
        <f t="shared" si="21"/>
        <v>#NUM!</v>
      </c>
      <c r="EO155" s="133">
        <f>AVERAGE(OFFSET($EN$3,0,0,'Données projet'!$E$15+1,1))-AVERAGE(OFFSET($H$3,0,0,'Données projet'!$E$15+1,1))</f>
        <v>130.3193339</v>
      </c>
      <c r="EP155" s="133">
        <f t="shared" si="47"/>
        <v>82.22784365</v>
      </c>
      <c r="EQ155" s="134">
        <f>IF(ISNA(VLOOKUP(A155,'Données projet'!$A$191:$I$211,3,0)),0,VLOOKUP(A155,'Données projet'!$A$191:$I$211,3,0))</f>
        <v>0</v>
      </c>
      <c r="ER155" s="134">
        <f>IF(ISNA(VLOOKUP(A155,'Données projet'!$A$191:$I$211,4,0)),0,VLOOKUP(A155,'Données projet'!$A$191:$I$211,4,0))</f>
        <v>0</v>
      </c>
      <c r="ES155" s="135">
        <f>IF(ISNA(VLOOKUP(A155,'Données projet'!$A$191:$I$211,5,0)),0%,VLOOKUP(A155,'Données projet'!$A$191:$I$211,5,0)*VLOOKUP('Données projet'!$B$15,'Paramètres'!$A$1:$I$89,7,0))</f>
        <v>0</v>
      </c>
      <c r="ET155" s="135">
        <f>IF(ISNA(VLOOKUP(A155,'Données projet'!$A$191:$I$211,6,0)),0%,VLOOKUP(A155,'Données projet'!$A$191:$I$211,6,0)*VLOOKUP('Données projet'!$B$15,'Paramètres'!$A$1:$I$89,7,0))</f>
        <v>0</v>
      </c>
      <c r="EU155" s="135">
        <f>IF(ISNA(VLOOKUP(A155,'Données projet'!$A$191:$I$211,7,0)),0%,VLOOKUP(A155,'Données projet'!$A$191:$I$211,7,0))</f>
        <v>0</v>
      </c>
      <c r="EV155" s="142">
        <f>EXP(-LN(2)/35)*EV154+(1-EXP(-LN(2)/35))/(LN(2)/35)*ER155*ES155*VLOOKUP('Données projet'!$B$15,'Paramètres'!$A$1:$I$89,3,0)*0.475*44/12</f>
        <v>25.53208414</v>
      </c>
      <c r="EW155" s="142">
        <f>EXP(-LN(2)/25)*EW154+(1-EXP(-LN(2)/25))/(LN(2)/25)*Calculateur!ER155*Calculateur!ET155*VLOOKUP('Données projet'!$B$15,'Paramètres'!$A$1:$I$89,3,0)*0.475*44/12</f>
        <v>0</v>
      </c>
      <c r="EX155" s="142">
        <f>EXP(-LN(2)/2)*EX154+(1-EXP(-LN(2)/2))/(LN(2)/2)*ER155*EU155*VLOOKUP('Données projet'!$B$15,'Paramètres'!$A$1:$I$89,3,0)*0.475*44/12</f>
        <v>0</v>
      </c>
      <c r="EY155" s="143">
        <f t="shared" si="22"/>
        <v>25.53208414</v>
      </c>
      <c r="EZ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1" t="str">
        <f>VLOOKUP(A155,'Données projet'!$A$217:$I$237,2,0)</f>
        <v>#N/A</v>
      </c>
      <c r="FC155" s="131" t="str">
        <f>VLOOKUP(A155,'Données projet'!$A$217:$I$237,9,0)</f>
        <v>#N/A</v>
      </c>
      <c r="FD155" s="131" t="str">
        <f t="array" ref="FD155">INDEX(FC:FC,MIN(IF(ISNUMBER(FC155:FC351),ROW(FC155:FC351),"")))</f>
        <v/>
      </c>
      <c r="FE155" s="130">
        <f>IF('Données projet'!$A$218&gt;35,FE154+FD155-FM154,IF(A155&lt;'Données projet'!$A$218,$FB$205^A155,IF(A155='Données projet'!$A$218,'Données projet'!$B$218,FE154+FD155-FM154)))</f>
        <v>0</v>
      </c>
      <c r="FF155" s="138">
        <f>FE155*VLOOKUP('Données projet'!$B$16,'Paramètres'!$A$1:$I$89,3,0)*VLOOKUP('Données projet'!$B$16,'Paramètres'!$A$1:$I$89,5,0)</f>
        <v>0</v>
      </c>
      <c r="FG155" s="130">
        <f t="shared" si="48"/>
        <v>0</v>
      </c>
      <c r="FH155" s="141">
        <f t="shared" si="23"/>
        <v>0</v>
      </c>
      <c r="FI155" s="133">
        <f t="shared" si="24"/>
        <v>293.3333333</v>
      </c>
      <c r="FJ155" s="133">
        <f>AVERAGE(OFFSET($FI$3,0,0,'Données projet'!$E$16+1,1))-AVERAGE(OFFSET($H$3,0,0,'Données projet'!$E$16+1,1))</f>
        <v>305.6252353</v>
      </c>
      <c r="FK155" s="133">
        <f t="shared" si="49"/>
        <v>331.397916</v>
      </c>
      <c r="FL155" s="134">
        <f>IF(ISNA(VLOOKUP(A155,'Données projet'!$A$217:$I$237,3,0)),0,VLOOKUP(A155,'Données projet'!$A$217:$I$237,3,0))</f>
        <v>0</v>
      </c>
      <c r="FM155" s="134">
        <f>IF(ISNA(VLOOKUP(A155,'Données projet'!$A$217:$I$237,4,0)),0,VLOOKUP(A155,'Données projet'!$A$217:$I$237,4,0))</f>
        <v>0</v>
      </c>
      <c r="FN155" s="135">
        <f>IF(ISNA(VLOOKUP(A155,'Données projet'!$A$217:$I$237,5,0)),0%,VLOOKUP(A155,'Données projet'!$A$217:$I$237,5,0)*VLOOKUP('Données projet'!$B$16,'Paramètres'!$A$1:$I$89,7,0))</f>
        <v>0</v>
      </c>
      <c r="FO155" s="135">
        <f>IF(ISNA(VLOOKUP(A155,'Données projet'!$A$217:$I$237,6,0)),0%,VLOOKUP(A155,'Données projet'!$A$217:$I$237,6,0)*VLOOKUP('Données projet'!$B$16,'Paramètres'!$A$1:$I$89,7,0))</f>
        <v>0</v>
      </c>
      <c r="FP155" s="135">
        <f>IF(ISNA(VLOOKUP(A155,'Données projet'!$A$217:$I$237,7,0)),0%,VLOOKUP(A155,'Données projet'!$A$217:$I$237,7,0))</f>
        <v>0</v>
      </c>
      <c r="FQ155" s="142">
        <f>EXP(-LN(2)/35)*FQ154+(1-EXP(-LN(2)/35))/(LN(2)/35)*FM155*FN155*VLOOKUP('Données projet'!$B$16,'Paramètres'!$A$1:$I$89,3,0)*0.475*44/12</f>
        <v>15.89703862</v>
      </c>
      <c r="FR155" s="142">
        <f>EXP(-LN(2)/25)*FR154+(1-EXP(-LN(2)/25))/(LN(2)/25)*Calculateur!FM155*Calculateur!FO155*VLOOKUP('Données projet'!$B$16,'Paramètres'!$A$1:$I$89,3,0)*0.475*44/12</f>
        <v>0</v>
      </c>
      <c r="FS155" s="142">
        <f>EXP(-LN(2)/2)*FS154+(1-EXP(-LN(2)/2))/(LN(2)/2)*FM155*FP155*VLOOKUP('Données projet'!$B$16,'Paramètres'!$A$1:$I$89,3,0)*0.475*44/12</f>
        <v>0</v>
      </c>
      <c r="FT155" s="143">
        <f t="shared" si="25"/>
        <v>15.89703862</v>
      </c>
      <c r="FU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1" t="str">
        <f>VLOOKUP(A155,'Données projet'!$A$243:$I$263,2,0)</f>
        <v>#N/A</v>
      </c>
      <c r="FX155" s="131" t="str">
        <f>VLOOKUP(A155,'Données projet'!$A$243:$I$263,9,0)</f>
        <v>#N/A</v>
      </c>
      <c r="FY155" s="131" t="str">
        <f t="array" ref="FY155">INDEX(FX:FX,MIN(IF(ISNUMBER(FX155:FX351),ROW(FX155:FX351),"")))</f>
        <v/>
      </c>
      <c r="FZ155" s="138">
        <f>IF('Données projet'!$A$244&gt;35,FZ154+FY155-GH154,IF(A155&lt;'Données projet'!$A$244,$FW$205^A155,IF(A155='Données projet'!$A$244,'Données projet'!$B$244,FZ154+FY155-GH154)))</f>
        <v>0</v>
      </c>
      <c r="GA155" s="138">
        <f>FZ155*VLOOKUP('Données projet'!$B$17,'Paramètres'!$A$1:$I$89,3,0)*VLOOKUP('Données projet'!$B$17,'Paramètres'!$A$1:$I$89,5,0)</f>
        <v>0</v>
      </c>
      <c r="GB155" s="130">
        <f t="shared" si="50"/>
        <v>0</v>
      </c>
      <c r="GC155" s="141">
        <f t="shared" si="26"/>
        <v>0</v>
      </c>
      <c r="GD155" s="133">
        <f t="shared" si="27"/>
        <v>293.3333333</v>
      </c>
      <c r="GE155" s="133">
        <f>AVERAGE(OFFSET($GD$3,0,0,'Données projet'!$E$17+1,1))-AVERAGE(OFFSET($H$3,0,0,'Données projet'!$E$17+1,1))</f>
        <v>118.7368745</v>
      </c>
      <c r="GF155" s="133">
        <f t="shared" si="51"/>
        <v>135.1233677</v>
      </c>
      <c r="GG155" s="134">
        <f>IF(ISNA(VLOOKUP(A155,'Données projet'!$A$243:$I$263,3,0)),0,VLOOKUP(A155,'Données projet'!$A$243:$I$263,3,0))</f>
        <v>0</v>
      </c>
      <c r="GH155" s="134">
        <f>IF(ISNA(VLOOKUP(A155,'Données projet'!$A$243:$I$263,4,0)),0,VLOOKUP(A155,'Données projet'!$A$243:$I$263,4,0))</f>
        <v>0</v>
      </c>
      <c r="GI155" s="135">
        <f>IF(ISNA(VLOOKUP(A155,'Données projet'!$A$243:$I$263,5,0)),0%,VLOOKUP(A155,'Données projet'!$A$243:$I$263,5,0)*VLOOKUP('Données projet'!$B$17,'Paramètres'!$A$1:$I$89,7,0))</f>
        <v>0</v>
      </c>
      <c r="GJ155" s="135">
        <f>IF(ISNA(VLOOKUP(A155,'Données projet'!$A$243:$I$263,6,0)),0%,VLOOKUP(A155,'Données projet'!$A$243:$I$263,6,0)*VLOOKUP('Données projet'!$B$17,'Paramètres'!$A$1:$I$89,7,0))</f>
        <v>0</v>
      </c>
      <c r="GK155" s="135">
        <f>IF(ISNA(VLOOKUP(A155,'Données projet'!$A$243:$I$263,7,0)),0%,VLOOKUP(A155,'Données projet'!$A$243:$I$263,7,0))</f>
        <v>0</v>
      </c>
      <c r="GL155" s="142">
        <f>EXP(-LN(2)/35)*GL154+(1-EXP(-LN(2)/35))/(LN(2)/35)*GH155*GI155*VLOOKUP('Données projet'!$B$17,'Paramètres'!$A$1:$I$89,3,0)*0.475*44/12</f>
        <v>16.79517214</v>
      </c>
      <c r="GM155" s="142">
        <f>EXP(-LN(2)/25)*GM154+(1-EXP(-LN(2)/25))/(LN(2)/25)*Calculateur!GH155*Calculateur!GJ155*VLOOKUP('Données projet'!$B$17,'Paramètres'!$A$1:$I$89,3,0)*0.475*44/12</f>
        <v>0</v>
      </c>
      <c r="GN155" s="142">
        <f>EXP(-LN(2)/2)*GN154+(1-EXP(-LN(2)/2))/(LN(2)/2)*GH155*GK155*VLOOKUP('Données projet'!$B$17,'Paramètres'!$A$1:$I$89,3,0)*0.475*44/12</f>
        <v>0</v>
      </c>
      <c r="GO155" s="142">
        <f t="shared" si="28"/>
        <v>16.79517214</v>
      </c>
      <c r="GP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1" t="str">
        <f>VLOOKUP(A155,'Données projet'!$A$269:$I$289,2,0)</f>
        <v>#N/A</v>
      </c>
      <c r="GS155" s="131" t="str">
        <f>VLOOKUP(A155,'Données projet'!$A$269:$I$289,9,0)</f>
        <v>#N/A</v>
      </c>
      <c r="GT155" s="131" t="str">
        <f t="array" ref="GT155">INDEX(GS:GS,MIN(IF(ISNUMBER(GS155:GS351),ROW(GS155:GS351),"")))</f>
        <v/>
      </c>
      <c r="GU155" s="138">
        <f>IF('Données projet'!$A$270&gt;35,GU154+GT155-HC154,IF(A155&lt;'Données projet'!$A$270,$GR$205^A155,IF(A155='Données projet'!$A$270,'Données projet'!$B$270,GU154+GT155-HC154)))</f>
        <v>0</v>
      </c>
      <c r="GV155" s="138">
        <f>GU155*VLOOKUP('Données projet'!$B$18,'Paramètres'!$A$1:$I$89,3,0)*VLOOKUP('Données projet'!$B$18,'Paramètres'!$A$1:$I$89,5,0)</f>
        <v>0</v>
      </c>
      <c r="GW155" s="130" t="str">
        <f t="shared" si="52"/>
        <v>#NUM!</v>
      </c>
      <c r="GX155" s="141" t="str">
        <f t="shared" si="29"/>
        <v>#NUM!</v>
      </c>
      <c r="GY155" s="133" t="str">
        <f t="shared" si="30"/>
        <v>#NUM!</v>
      </c>
      <c r="GZ155" s="133">
        <f>AVERAGE(OFFSET($GY$3,0,0,'Données projet'!$E$18+1,1))-AVERAGE(OFFSET($H$3,0,0,'Données projet'!$E$18+1,1))</f>
        <v>100.5427875</v>
      </c>
      <c r="HA155" s="133">
        <f t="shared" si="53"/>
        <v>92.28663609</v>
      </c>
      <c r="HB155" s="134">
        <f>IF(ISNA(VLOOKUP(A155,'Données projet'!$A$269:$I$289,3,0)),0,VLOOKUP(A155,'Données projet'!$A$269:$I$289,3,0))</f>
        <v>0</v>
      </c>
      <c r="HC155" s="134">
        <f>IF(ISNA(VLOOKUP(A155,'Données projet'!$A$269:$I$289,4,0)),0,VLOOKUP(A155,'Données projet'!$A$269:$I$289,4,0))</f>
        <v>0</v>
      </c>
      <c r="HD155" s="135">
        <f>IF(ISNA(VLOOKUP(A155,'Données projet'!$A$269:$I$289,5,0)),0%,VLOOKUP(A155,'Données projet'!$A$269:$I$289,5,0)*VLOOKUP('Données projet'!$B$18,'Paramètres'!$A$1:$I$89,7,0))</f>
        <v>0</v>
      </c>
      <c r="HE155" s="135">
        <f>IF(ISNA(VLOOKUP(A155,'Données projet'!$A$269:$I$289,6,0)),0%,VLOOKUP(A155,'Données projet'!$A$269:$I$289,6,0)*VLOOKUP('Données projet'!$B$18,'Paramètres'!$A$1:$I$89,7,0))</f>
        <v>0</v>
      </c>
      <c r="HF155" s="135">
        <f>IF(ISNA(VLOOKUP(A155,'Données projet'!$A$269:$I$289,7,0)),0%,VLOOKUP(A155,'Données projet'!$A$269:$I$289,7,0))</f>
        <v>0</v>
      </c>
      <c r="HG155" s="142">
        <f>EXP(-LN(2)/35)*HG154+(1-EXP(-LN(2)/35))/(LN(2)/35)*HC155*HD155*VLOOKUP('Données projet'!$B$18,'Paramètres'!$A$1:$I$89,3,0)*0.475*44/12</f>
        <v>11.43715791</v>
      </c>
      <c r="HH155" s="142">
        <f>EXP(-LN(2)/25)*HH154+(1-EXP(-LN(2)/25))/(LN(2)/25)*Calculateur!HC155*Calculateur!HE155*VLOOKUP('Données projet'!$B$18,'Paramètres'!$A$1:$I$89,3,0)*0.475*44/12</f>
        <v>0</v>
      </c>
      <c r="HI155" s="142">
        <f>EXP(-LN(2)/2)*HI154+(1-EXP(-LN(2)/2))/(LN(2)/2)*HC155*HF155*VLOOKUP('Données projet'!$B$18,'Paramètres'!$A$1:$I$89,3,0)*0.475*44/12</f>
        <v>0</v>
      </c>
      <c r="HJ155" s="143">
        <f t="shared" si="31"/>
        <v>11.43715791</v>
      </c>
    </row>
    <row r="156" ht="15.75" customHeight="1">
      <c r="A156" s="125">
        <f t="shared" si="32"/>
        <v>153</v>
      </c>
      <c r="B156" s="126">
        <f>'Scénario référence'!$B$16*5+'Scénario référence'!$B$17*0+'Scénario référence'!$B$18*5</f>
        <v>0</v>
      </c>
      <c r="C156" s="140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83.538</v>
      </c>
      <c r="D156" s="127">
        <f t="shared" si="33"/>
        <v>23.00005276</v>
      </c>
      <c r="E15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7">
        <f>IF(OR('Scénario référence'!$F$8&gt;0,'Scénario référence'!$F$9&gt;0),('Scénario référence'!$F$8+'Scénario référence'!$F$9)*10,0)</f>
        <v>10</v>
      </c>
      <c r="G156" s="127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822.3990038</v>
      </c>
      <c r="H156" s="128">
        <f t="shared" si="1"/>
        <v>478.8871086</v>
      </c>
      <c r="I156" s="12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1" t="str">
        <f>VLOOKUP(A156,'Données projet'!$A$35:$I$55,2,0)</f>
        <v>#N/A</v>
      </c>
      <c r="L156" s="131" t="str">
        <f>VLOOKUP(A156,'Données projet'!$A$35:$I$55,9,0)</f>
        <v>#N/A</v>
      </c>
      <c r="M156" s="131" t="str">
        <f t="array" ref="M156">INDEX(L:L,MIN(IF(ISNUMBER(L156:L352),ROW(L156:L352),"")))</f>
        <v/>
      </c>
      <c r="N156" s="130">
        <f>IF('Données projet'!$A$36&gt;35,N155+M156-V155,IF(A156&lt;'Données projet'!$A$36,$K$205^A156,IF(A156='Données projet'!$A$36,'Données projet'!$B$36,N155+M156-V155)))</f>
        <v>0</v>
      </c>
      <c r="O156" s="130">
        <f>N156*VLOOKUP('Données projet'!$B$9,'Paramètres'!$A$1:$I$89,3,0)*VLOOKUP('Données projet'!$B$9,'Paramètres'!$A$1:$I$89,5,0)</f>
        <v>0</v>
      </c>
      <c r="P156" s="130">
        <f t="shared" si="34"/>
        <v>0</v>
      </c>
      <c r="Q156" s="141">
        <f t="shared" si="2"/>
        <v>0</v>
      </c>
      <c r="R156" s="133">
        <f t="shared" si="3"/>
        <v>293.3333333</v>
      </c>
      <c r="S156" s="133">
        <f>AVERAGE(OFFSET($R$3,0,0,'Données projet'!$E$9+1,1))-AVERAGE(OFFSET($H$3,0,0,'Données projet'!$E$9+1,1))</f>
        <v>126.9946492</v>
      </c>
      <c r="T156" s="133">
        <f t="shared" si="35"/>
        <v>140.039049</v>
      </c>
      <c r="U156" s="134">
        <f>IF(ISNA(VLOOKUP(A156,'Données projet'!$A$35:$I$55,3,0)),0,VLOOKUP(A156,'Données projet'!$A$35:$I$55,3,0))</f>
        <v>0</v>
      </c>
      <c r="V156" s="134">
        <f>IF(ISNA(VLOOKUP(A156,'Données projet'!$A$35:$I$55,4,0)),0,VLOOKUP(A156,'Données projet'!$A$35:$I$55,4,0))</f>
        <v>0</v>
      </c>
      <c r="W156" s="135">
        <f>IF(ISNA(VLOOKUP(A156,'Données projet'!$A$35:$I$55,5,0)),0%,VLOOKUP(A156,'Données projet'!$A$35:$I$55,5,0)*VLOOKUP('Données projet'!$B$9,'Paramètres'!$A$1:$I$89,7,0))</f>
        <v>0</v>
      </c>
      <c r="X156" s="135">
        <f>IF(ISNA(VLOOKUP(A156,'Données projet'!$A$35:$I$55,6,0)),0%,VLOOKUP(A156,'Données projet'!$A$35:$I$55,6,0)*VLOOKUP('Données projet'!$B$9,'Paramètres'!$A$1:$I$89,7,0))</f>
        <v>0</v>
      </c>
      <c r="Y156" s="135">
        <f>IF(ISNA(VLOOKUP(A156,'Données projet'!$A$35:$I$55,7,0)),0%,VLOOKUP(A156,'Données projet'!$A$35:$I$55,7,0))</f>
        <v>0</v>
      </c>
      <c r="Z156" s="142">
        <f>EXP(-LN(2)/35)*Z155+(1-EXP(-LN(2)/35))/(LN(2)/35)*V156*W156*VLOOKUP('Données projet'!$B$9,'Paramètres'!$A$1:$I$89,3,0)*0.475*44/12</f>
        <v>16.84087778</v>
      </c>
      <c r="AA156" s="142">
        <f>EXP(-LN(2)/25)*AA155+(1-EXP(-LN(2)/25))/(LN(2)/25)*Calculateur!V156*Calculateur!X156*VLOOKUP('Données projet'!$B$9,'Paramètres'!$A$1:$I$89,3,0)*0.475*44/12</f>
        <v>1.763515424</v>
      </c>
      <c r="AB156" s="142">
        <f>EXP(-LN(2)/2)*AB155+(1-EXP(-LN(2)/2))/(LN(2)/2)*V156*Y156*VLOOKUP('Données projet'!$B$9,'Paramètres'!$A$1:$I$89,3,0)*0.475*44/12</f>
        <v>0</v>
      </c>
      <c r="AC156" s="143">
        <f t="shared" si="4"/>
        <v>18.6043932</v>
      </c>
      <c r="AD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1" t="str">
        <f>VLOOKUP(A156,'Données projet'!$A$61:$I$81,2,0)</f>
        <v>#N/A</v>
      </c>
      <c r="AG156" s="131" t="str">
        <f>VLOOKUP(A156,'Données projet'!$A$61:$I$81,9,0)</f>
        <v>#N/A</v>
      </c>
      <c r="AH156" s="131" t="str">
        <f t="array" ref="AH156">INDEX(AG:AG,MIN(IF(ISNUMBER(AG156:AG352),ROW(AG156:AG352),"")))</f>
        <v/>
      </c>
      <c r="AI156" s="130">
        <f>IF('Données projet'!$A$62&gt;35,AI155+AH156-AQ155,IF(A156&lt;'Données projet'!$A$62,$AF$205^A156,IF(A156='Données projet'!$A$62,'Données projet'!$B$62,AI155+AH156-AQ155)))</f>
        <v>0</v>
      </c>
      <c r="AJ156" s="130">
        <f>AI156*VLOOKUP('Données projet'!$B$10,'Paramètres'!$A$1:$I$89,3,0)*VLOOKUP('Données projet'!$B$10,'Paramètres'!$A$1:$I$89,5,0)</f>
        <v>0</v>
      </c>
      <c r="AK156" s="130" t="str">
        <f t="shared" si="36"/>
        <v>#NUM!</v>
      </c>
      <c r="AL156" s="141" t="str">
        <f t="shared" si="5"/>
        <v>#NUM!</v>
      </c>
      <c r="AM156" s="133" t="str">
        <f t="shared" si="6"/>
        <v>#NUM!</v>
      </c>
      <c r="AN156" s="133">
        <f>AVERAGE(OFFSET($AM$3,0,0,'Données projet'!$E$10+1,1))-AVERAGE(OFFSET($H$3,0,0,'Données projet'!$E$10+1,1))</f>
        <v>196.874484</v>
      </c>
      <c r="AO156" s="133">
        <f t="shared" si="37"/>
        <v>217.5750859</v>
      </c>
      <c r="AP156" s="134">
        <f>IF(ISNA(VLOOKUP(A156,'Données projet'!$A$61:$I$81,3,0)),0,VLOOKUP(A156,'Données projet'!$A$61:$I$81,3,0))</f>
        <v>0</v>
      </c>
      <c r="AQ156" s="134">
        <f>IF(ISNA(VLOOKUP(A156,'Données projet'!$A$61:$I$81,4,0)),0,VLOOKUP(A156,'Données projet'!$A$61:$I$81,4,0))</f>
        <v>0</v>
      </c>
      <c r="AR156" s="135">
        <f>IF(ISNA(VLOOKUP(A156,'Données projet'!$A$61:$I$81,5,0)),0%,VLOOKUP(A156,'Données projet'!$A$61:$I$81,5,0)*VLOOKUP('Données projet'!$B$10,'Paramètres'!$A$1:$I$89,7,0))</f>
        <v>0</v>
      </c>
      <c r="AS156" s="135">
        <f>IF(ISNA(VLOOKUP(A156,'Données projet'!$A$61:$I$81,6,0)),0%,VLOOKUP(A156,'Données projet'!$A$61:$I$81,6,0)*VLOOKUP('Données projet'!$B$10,'Paramètres'!$A$1:$I$89,7,0))</f>
        <v>0</v>
      </c>
      <c r="AT156" s="135">
        <f>IF(ISNA(VLOOKUP(A156,'Données projet'!$A$61:$I$81,7,0)),0%,VLOOKUP(A156,'Données projet'!$A$61:$I$81,7,0))</f>
        <v>0</v>
      </c>
      <c r="AU156" s="142">
        <f>EXP(-LN(2)/35)*AU155+(1-EXP(-LN(2)/35))/(LN(2)/35)*AQ156*AR156*VLOOKUP('Données projet'!$B$10,'Paramètres'!$A$1:$I$89,3,0)*0.475*44/12</f>
        <v>23.40834176</v>
      </c>
      <c r="AV156" s="142">
        <f>EXP(-LN(2)/25)*AV155+(1-EXP(-LN(2)/25))/(LN(2)/25)*Calculateur!AQ156*Calculateur!AS156*VLOOKUP('Données projet'!$B$10,'Paramètres'!$A$1:$I$89,3,0)*0.475*44/12</f>
        <v>2.711407321</v>
      </c>
      <c r="AW156" s="142">
        <f>EXP(-LN(2)/2)*AW155+(1-EXP(-LN(2)/2))/(LN(2)/2)*AQ156*AT156*VLOOKUP('Données projet'!$B$10,'Paramètres'!$A$1:$I$89,3,0)*0.475*44/12</f>
        <v>0</v>
      </c>
      <c r="AX156" s="142">
        <f t="shared" si="7"/>
        <v>26.11974908</v>
      </c>
      <c r="AY156" s="13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1" t="str">
        <f>VLOOKUP(A156,'Données projet'!$A$87:$I$107,2,0)</f>
        <v>#N/A</v>
      </c>
      <c r="BB156" s="131" t="str">
        <f>VLOOKUP(A156,'Données projet'!$A$87:$I$107,9,0)</f>
        <v>#N/A</v>
      </c>
      <c r="BC156" s="131" t="str">
        <f t="array" ref="BC156">INDEX(BB:BB,MIN(IF(ISNUMBER(BB156:BB352),ROW(BB156:BB352),"")))</f>
        <v/>
      </c>
      <c r="BD156" s="130">
        <f>IF('Données projet'!$A$88&gt;35,BD155+BC156-BL155,IF(A156&lt;'Données projet'!$A$88,$BA$205^A156,IF(A156='Données projet'!$A$88,'Données projet'!$B$88,BD155+BC156-BL155)))</f>
        <v>0</v>
      </c>
      <c r="BE156" s="130">
        <f>BD156*VLOOKUP('Données projet'!$B$11,'Paramètres'!$A$1:$I$89,3,0)*VLOOKUP('Données projet'!$B$11,'Paramètres'!$A$1:$I$89,5,0)</f>
        <v>0</v>
      </c>
      <c r="BF156" s="130" t="str">
        <f t="shared" si="38"/>
        <v>#NUM!</v>
      </c>
      <c r="BG156" s="141" t="str">
        <f t="shared" si="8"/>
        <v>#NUM!</v>
      </c>
      <c r="BH156" s="133" t="str">
        <f t="shared" si="9"/>
        <v>#NUM!</v>
      </c>
      <c r="BI156" s="133">
        <f>AVERAGE(OFFSET($BH$3,0,0,'Données projet'!$E$11+1,1))-AVERAGE(OFFSET($H$3,0,0,'Données projet'!$E$11+1,1))</f>
        <v>134.0948534</v>
      </c>
      <c r="BJ156" s="133">
        <f t="shared" si="39"/>
        <v>108.4102536</v>
      </c>
      <c r="BK156" s="134">
        <f>IF(ISNA(VLOOKUP(A156,'Données projet'!$A$87:$I$107,3,0)),0,VLOOKUP(A156,'Données projet'!$A$87:$I$107,3,0))</f>
        <v>0</v>
      </c>
      <c r="BL156" s="134">
        <f>IF(ISNA(VLOOKUP(A156,'Données projet'!$A$87:$I$107,4,0)),0,VLOOKUP(A156,'Données projet'!$A$87:$I$107,4,0))</f>
        <v>0</v>
      </c>
      <c r="BM156" s="135">
        <f>IF(ISNA(VLOOKUP(A156,'Données projet'!$A$87:$I$107,5,0)),0%,VLOOKUP(A156,'Données projet'!$A$87:$I$107,5,0)*VLOOKUP('Données projet'!$B$11,'Paramètres'!$A$1:$I$89,7,0))</f>
        <v>0</v>
      </c>
      <c r="BN156" s="135">
        <f>IF(ISNA(VLOOKUP(A156,'Données projet'!$A$87:$I$107,6,0)),0%,VLOOKUP(A156,'Données projet'!$A$87:$I$107,6,0)*VLOOKUP('Données projet'!$B$11,'Paramètres'!$A$1:$I$89,7,0))</f>
        <v>0</v>
      </c>
      <c r="BO156" s="135">
        <f>IF(ISNA(VLOOKUP(A156,'Données projet'!$A$87:$I$107,7,0)),0%,VLOOKUP(A156,'Données projet'!$A$87:$I$107,7,0))</f>
        <v>0</v>
      </c>
      <c r="BP156" s="142">
        <f>EXP(-LN(2)/35)*BP155+(1-EXP(-LN(2)/35))/(LN(2)/35)*BL156*BM156*VLOOKUP('Données projet'!$B$11,'Paramètres'!$A$1:$I$89,3,0)*0.475*44/12</f>
        <v>32.37810836</v>
      </c>
      <c r="BQ156" s="142">
        <f>EXP(-LN(2)/25)*BQ155+(1-EXP(-LN(2)/25))/(LN(2)/25)*Calculateur!BL156*Calculateur!BN156*VLOOKUP('Données projet'!$B$11,'Paramètres'!$A$1:$I$89,3,0)*0.475*44/12</f>
        <v>1.710358066</v>
      </c>
      <c r="BR156" s="142">
        <f>EXP(-LN(2)/2)*BR155+(1-EXP(-LN(2)/2))/(LN(2)/2)*BL156*BO156*VLOOKUP('Données projet'!$B$11,'Paramètres'!$A$1:$I$89,3,0)*0.475*44/12</f>
        <v>0</v>
      </c>
      <c r="BS156" s="143">
        <f t="shared" si="10"/>
        <v>34.08846643</v>
      </c>
      <c r="BT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1" t="str">
        <f>VLOOKUP(A156,'Données projet'!$A$113:$I$133,2,0)</f>
        <v>#N/A</v>
      </c>
      <c r="BW156" s="131" t="str">
        <f>VLOOKUP(A156,'Données projet'!$A$113:$I$133,9,0)</f>
        <v>#N/A</v>
      </c>
      <c r="BX156" s="131" t="str">
        <f t="array" ref="BX156">INDEX(BW:BW,MIN(IF(ISNUMBER(BW156:BW352),ROW(BW156:BW352),"")))</f>
        <v/>
      </c>
      <c r="BY156" s="130">
        <f>IF('Données projet'!$A$114&gt;35,BY155+BX156-CG155,IF(A156&lt;'Données projet'!$A$114,$BV$205^A156,IF(A156='Données projet'!$A$114,'Données projet'!$B$114,BY155+BX156-CG155)))</f>
        <v>0</v>
      </c>
      <c r="BZ156" s="130">
        <f>BY156*VLOOKUP('Données projet'!$B$12,'Paramètres'!$A$1:$I$89,3,0)*VLOOKUP('Données projet'!$B$12,'Paramètres'!$A$1:$I$89,5,0)</f>
        <v>0</v>
      </c>
      <c r="CA156" s="130" t="str">
        <f t="shared" si="40"/>
        <v>#NUM!</v>
      </c>
      <c r="CB156" s="141" t="str">
        <f t="shared" si="11"/>
        <v>#NUM!</v>
      </c>
      <c r="CC156" s="133" t="str">
        <f t="shared" si="12"/>
        <v>#NUM!</v>
      </c>
      <c r="CD156" s="133">
        <f>AVERAGE(OFFSET($CC$3,0,0,'Données projet'!$E$12+1,1))-AVERAGE(OFFSET($H$3,0,0,'Données projet'!$E$12+1,1))</f>
        <v>258.1672054</v>
      </c>
      <c r="CE156" s="133">
        <f t="shared" si="41"/>
        <v>296.0724261</v>
      </c>
      <c r="CF156" s="134">
        <f>IF(ISNA(VLOOKUP(A156,'Données projet'!$A$113:$I$133,3,0)),0,VLOOKUP(A156,'Données projet'!$A$113:$I$133,3,0))</f>
        <v>0</v>
      </c>
      <c r="CG156" s="134">
        <f>IF(ISNA(VLOOKUP(A156,'Données projet'!$A$113:$I$133,4,0)),0,VLOOKUP(A156,'Données projet'!$A$113:$I$133,4,0))</f>
        <v>0</v>
      </c>
      <c r="CH156" s="135">
        <f>IF(ISNA(VLOOKUP(A156,'Données projet'!$A$113:$I$133,5,0)),0%,VLOOKUP(A156,'Données projet'!$A$113:$I$133,5,0)*VLOOKUP('Données projet'!$B$12,'Paramètres'!$A$1:$I$89,7,0))</f>
        <v>0</v>
      </c>
      <c r="CI156" s="135">
        <f>IF(ISNA(VLOOKUP(A156,'Données projet'!$A$113:$I$133,6,0)),0%,VLOOKUP(A156,'Données projet'!$A$113:$I$133,6,0)*VLOOKUP('Données projet'!$B$12,'Paramètres'!$A$1:$I$89,7,0))</f>
        <v>0</v>
      </c>
      <c r="CJ156" s="135">
        <f>IF(ISNA(VLOOKUP(A156,'Données projet'!$A$113:$I$133,7,0)),0%,VLOOKUP(A156,'Données projet'!$A$113:$I$133,7,0))</f>
        <v>0</v>
      </c>
      <c r="CK156" s="142">
        <f>EXP(-LN(2)/35)*CK155+(1-EXP(-LN(2)/35))/(LN(2)/35)*CG156*CH156*VLOOKUP('Données projet'!$B$12,'Paramètres'!$A$1:$I$89,3,0)*0.475*44/12</f>
        <v>40.93583384</v>
      </c>
      <c r="CL156" s="142">
        <f>EXP(-LN(2)/25)*CL155+(1-EXP(-LN(2)/25))/(LN(2)/25)*Calculateur!CG156*Calculateur!CI156*VLOOKUP('Données projet'!$B$12,'Paramètres'!$A$1:$I$89,3,0)*0.475*44/12</f>
        <v>3.00006514</v>
      </c>
      <c r="CM156" s="142">
        <f>EXP(-LN(2)/2)*CM155+(1-EXP(-LN(2)/2))/(LN(2)/2)*CG156*CJ156*VLOOKUP('Données projet'!$B$12,'Paramètres'!$A$1:$I$89,3,0)*0.475*44/12</f>
        <v>0</v>
      </c>
      <c r="CN156" s="143">
        <f t="shared" si="13"/>
        <v>43.93589898</v>
      </c>
      <c r="CO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1" t="str">
        <f>VLOOKUP(A156,'Données projet'!$A$139:$I$159,2,0)</f>
        <v>#N/A</v>
      </c>
      <c r="CR156" s="131" t="str">
        <f>VLOOKUP(A156,'Données projet'!$A$139:$I$159,9,0)</f>
        <v>#N/A</v>
      </c>
      <c r="CS156" s="131" t="str">
        <f t="array" ref="CS156">INDEX(CR:CR,MIN(IF(ISNUMBER(CR156:CR352),ROW(CR156:CR352),"")))</f>
        <v/>
      </c>
      <c r="CT156" s="138">
        <f>IF('Données projet'!$A$140&gt;35,CT155+CS156-DB155,IF(A156&lt;'Données projet'!$A$140,$CQ$205^A156,IF(A156='Données projet'!$A$140,'Données projet'!$B$140,CT155+CS156-DB155)))</f>
        <v>0</v>
      </c>
      <c r="CU156" s="138">
        <f>CT156*VLOOKUP('Données projet'!$B$13,'Paramètres'!$A$1:$I$89,3,0)*VLOOKUP('Données projet'!$B$13,'Paramètres'!$A$1:$I$89,5,0)</f>
        <v>0</v>
      </c>
      <c r="CV156" s="130" t="str">
        <f t="shared" si="42"/>
        <v>#NUM!</v>
      </c>
      <c r="CW156" s="141" t="str">
        <f t="shared" si="14"/>
        <v>#NUM!</v>
      </c>
      <c r="CX156" s="133" t="str">
        <f t="shared" si="15"/>
        <v>#NUM!</v>
      </c>
      <c r="CY156" s="133">
        <f>AVERAGE(OFFSET($CX$3,0,0,'Données projet'!$E$13+1,1))-AVERAGE(OFFSET($H$3,0,0,'Données projet'!$E$13+1,1))</f>
        <v>223.783507</v>
      </c>
      <c r="CZ156" s="133">
        <f t="shared" si="43"/>
        <v>84.92349117</v>
      </c>
      <c r="DA156" s="134">
        <f>IF(ISNA(VLOOKUP(A156,'Données projet'!$A$139:$I$159,3,0)),0,VLOOKUP(A156,'Données projet'!$A$139:$I$159,3,0))</f>
        <v>0</v>
      </c>
      <c r="DB156" s="134">
        <f>IF(ISNA(VLOOKUP(A156,'Données projet'!$A$139:$I$159,4,0)),0,VLOOKUP(A156,'Données projet'!$A$139:$I$159,4,0))</f>
        <v>0</v>
      </c>
      <c r="DC156" s="135">
        <f>IF(ISNA(VLOOKUP(A156,'Données projet'!$A$139:$I$159,5,0)),0%,VLOOKUP(A156,'Données projet'!$A$139:$I$159,5,0)*VLOOKUP('Données projet'!$B$13,'Paramètres'!$A$1:$I$89,7,0))</f>
        <v>0</v>
      </c>
      <c r="DD156" s="135">
        <f>IF(ISNA(VLOOKUP(A156,'Données projet'!$A$139:$I$159,6,0)),0%,VLOOKUP(A156,'Données projet'!$A$139:$I$159,6,0)*VLOOKUP('Données projet'!$B$13,'Paramètres'!$A$1:$I$89,7,0))</f>
        <v>0</v>
      </c>
      <c r="DE156" s="135">
        <f>IF(ISNA(VLOOKUP(A156,'Données projet'!$A$139:$I$159,7,0)),0%,VLOOKUP(A156,'Données projet'!$A$139:$I$159,7,0))</f>
        <v>0</v>
      </c>
      <c r="DF156" s="142">
        <f>EXP(-LN(2)/35)*DF155+(1-EXP(-LN(2)/35))/(LN(2)/35)*DB156*DC156*VLOOKUP('Données projet'!$B$13,'Paramètres'!$A$1:$I$89,3,0)*0.475*44/12</f>
        <v>105.1392839</v>
      </c>
      <c r="DG156" s="142">
        <f>EXP(-LN(2)/25)*DG155+(1-EXP(-LN(2)/25))/(LN(2)/25)*Calculateur!DB156*Calculateur!DD156*VLOOKUP('Données projet'!$B$13,'Paramètres'!$A$1:$I$89,3,0)*0.475*44/12</f>
        <v>0</v>
      </c>
      <c r="DH156" s="142">
        <f>EXP(-LN(2)/2)*DH155+(1-EXP(-LN(2)/2))/(LN(2)/2)*DB156*DE156*VLOOKUP('Données projet'!$B$13,'Paramètres'!$A$1:$I$89,3,0)*0.475*44/12</f>
        <v>0</v>
      </c>
      <c r="DI156" s="143">
        <f t="shared" si="16"/>
        <v>105.1392839</v>
      </c>
      <c r="DJ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1" t="str">
        <f>VLOOKUP(A156,'Données projet'!$A$165:$I$185,2,0)</f>
        <v>#N/A</v>
      </c>
      <c r="DM156" s="131" t="str">
        <f>VLOOKUP(A156,'Données projet'!$A$165:$I$185,9,0)</f>
        <v>#N/A</v>
      </c>
      <c r="DN156" s="131" t="str">
        <f t="array" ref="DN156">INDEX(DM:DM,MIN(IF(ISNUMBER(DM156:DM352),ROW(DM156:DM352),"")))</f>
        <v/>
      </c>
      <c r="DO156" s="138">
        <f>IF('Données projet'!$A$166&gt;35,DO155+DN156-DW155,IF(A156&lt;'Données projet'!$A$166,$DL$205^A156,IF(A156='Données projet'!$A$166,'Données projet'!$B$166,DO155+DN156-DW155)))</f>
        <v>0</v>
      </c>
      <c r="DP156" s="138">
        <f>DO156*VLOOKUP('Données projet'!$B$14,'Paramètres'!$A$1:$I$89,3,0)*VLOOKUP('Données projet'!$B$14,'Paramètres'!$A$1:$I$89,5,0)</f>
        <v>0</v>
      </c>
      <c r="DQ156" s="130" t="str">
        <f t="shared" si="44"/>
        <v>#NUM!</v>
      </c>
      <c r="DR156" s="141" t="str">
        <f t="shared" si="17"/>
        <v>#NUM!</v>
      </c>
      <c r="DS156" s="133" t="str">
        <f t="shared" si="18"/>
        <v>#NUM!</v>
      </c>
      <c r="DT156" s="133">
        <f>AVERAGE(OFFSET($DS$3,0,0,'Données projet'!$E$14+1,1))-AVERAGE(OFFSET($H$3,0,0,'Données projet'!$E$14+1,1))</f>
        <v>287.9334714</v>
      </c>
      <c r="DU156" s="133">
        <f t="shared" si="45"/>
        <v>156.6796502</v>
      </c>
      <c r="DV156" s="134">
        <f>IF(ISNA(VLOOKUP(A156,'Données projet'!$A$165:$I$185,3,0)),0,VLOOKUP(A156,'Données projet'!$A$165:$I$185,3,0))</f>
        <v>0</v>
      </c>
      <c r="DW156" s="134">
        <f>IF(ISNA(VLOOKUP(A156,'Données projet'!$A$165:$I$185,4,0)),0,VLOOKUP(A156,'Données projet'!$A$165:$I$185,4,0))</f>
        <v>0</v>
      </c>
      <c r="DX156" s="135">
        <f>IF(ISNA(VLOOKUP(A156,'Données projet'!$A$165:$I$185,5,0)),0%,VLOOKUP(A156,'Données projet'!$A$165:$I$185,5,0)*VLOOKUP('Données projet'!$B$14,'Paramètres'!$A$1:$I$89,7,0))</f>
        <v>0</v>
      </c>
      <c r="DY156" s="135">
        <f>IF(ISNA(VLOOKUP(A156,'Données projet'!$A$165:$I$185,6,0)),0%,VLOOKUP(A156,'Données projet'!$A$165:$I$185,6,0)*VLOOKUP('Données projet'!$B$14,'Paramètres'!$A$1:$I$89,7,0))</f>
        <v>0</v>
      </c>
      <c r="DZ156" s="135">
        <f>IF(ISNA(VLOOKUP(A156,'Données projet'!$A$165:$I$185,7,0)),0%,VLOOKUP(A156,'Données projet'!$A$165:$I$185,7,0))</f>
        <v>0</v>
      </c>
      <c r="EA156" s="142">
        <f>EXP(-LN(2)/35)*EA155+(1-EXP(-LN(2)/35))/(LN(2)/35)*DW156*DX156*VLOOKUP('Données projet'!$B$14,'Paramètres'!$A$1:$I$89,3,0)*0.475*44/12</f>
        <v>122.1420971</v>
      </c>
      <c r="EB156" s="142">
        <f>EXP(-LN(2)/25)*EB155+(1-EXP(-LN(2)/25))/(LN(2)/25)*Calculateur!DW156*Calculateur!DY156*VLOOKUP('Données projet'!$B$14,'Paramètres'!$A$1:$I$89,3,0)*0.475*44/12</f>
        <v>0</v>
      </c>
      <c r="EC156" s="142">
        <f>EXP(-LN(2)/2)*EC155+(1-EXP(-LN(2)/2))/(LN(2)/2)*DW156*DZ156*VLOOKUP('Données projet'!$B$14,'Paramètres'!$A$1:$I$89,3,0)*0.475*44/12</f>
        <v>0</v>
      </c>
      <c r="ED156" s="143">
        <f t="shared" si="19"/>
        <v>122.1420971</v>
      </c>
      <c r="EE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1" t="str">
        <f>VLOOKUP(A156,'Données projet'!$A$191:$I$211,2,0)</f>
        <v>#N/A</v>
      </c>
      <c r="EH156" s="131" t="str">
        <f>VLOOKUP(A156,'Données projet'!$A$191:$I$211,9,0)</f>
        <v>#N/A</v>
      </c>
      <c r="EI156" s="131" t="str">
        <f t="array" ref="EI156">INDEX(EH:EH,MIN(IF(ISNUMBER(EH156:EH352),ROW(EH156:EH352),"")))</f>
        <v/>
      </c>
      <c r="EJ156" s="138">
        <f>IF('Données projet'!$A$192&gt;35,EJ155+EI156-ER155,IF(A156&lt;'Données projet'!$A$192,$EG$205^A156,IF(A156='Données projet'!$A$192,'Données projet'!$B$192,EJ155+EI156-ER155)))</f>
        <v>0</v>
      </c>
      <c r="EK156" s="138">
        <f>EJ156*VLOOKUP('Données projet'!$B$15,'Paramètres'!$A$1:$I$89,3,0)*VLOOKUP('Données projet'!$B$15,'Paramètres'!$A$1:$I$89,5,0)</f>
        <v>0</v>
      </c>
      <c r="EL156" s="130" t="str">
        <f t="shared" si="46"/>
        <v>#NUM!</v>
      </c>
      <c r="EM156" s="141" t="str">
        <f t="shared" si="20"/>
        <v>#NUM!</v>
      </c>
      <c r="EN156" s="133" t="str">
        <f t="shared" si="21"/>
        <v>#NUM!</v>
      </c>
      <c r="EO156" s="133">
        <f>AVERAGE(OFFSET($EN$3,0,0,'Données projet'!$E$15+1,1))-AVERAGE(OFFSET($H$3,0,0,'Données projet'!$E$15+1,1))</f>
        <v>130.3193339</v>
      </c>
      <c r="EP156" s="133">
        <f t="shared" si="47"/>
        <v>82.22784365</v>
      </c>
      <c r="EQ156" s="134">
        <f>IF(ISNA(VLOOKUP(A156,'Données projet'!$A$191:$I$211,3,0)),0,VLOOKUP(A156,'Données projet'!$A$191:$I$211,3,0))</f>
        <v>0</v>
      </c>
      <c r="ER156" s="134">
        <f>IF(ISNA(VLOOKUP(A156,'Données projet'!$A$191:$I$211,4,0)),0,VLOOKUP(A156,'Données projet'!$A$191:$I$211,4,0))</f>
        <v>0</v>
      </c>
      <c r="ES156" s="135">
        <f>IF(ISNA(VLOOKUP(A156,'Données projet'!$A$191:$I$211,5,0)),0%,VLOOKUP(A156,'Données projet'!$A$191:$I$211,5,0)*VLOOKUP('Données projet'!$B$15,'Paramètres'!$A$1:$I$89,7,0))</f>
        <v>0</v>
      </c>
      <c r="ET156" s="135">
        <f>IF(ISNA(VLOOKUP(A156,'Données projet'!$A$191:$I$211,6,0)),0%,VLOOKUP(A156,'Données projet'!$A$191:$I$211,6,0)*VLOOKUP('Données projet'!$B$15,'Paramètres'!$A$1:$I$89,7,0))</f>
        <v>0</v>
      </c>
      <c r="EU156" s="135">
        <f>IF(ISNA(VLOOKUP(A156,'Données projet'!$A$191:$I$211,7,0)),0%,VLOOKUP(A156,'Données projet'!$A$191:$I$211,7,0))</f>
        <v>0</v>
      </c>
      <c r="EV156" s="142">
        <f>EXP(-LN(2)/35)*EV155+(1-EXP(-LN(2)/35))/(LN(2)/35)*ER156*ES156*VLOOKUP('Données projet'!$B$15,'Paramètres'!$A$1:$I$89,3,0)*0.475*44/12</f>
        <v>25.03141554</v>
      </c>
      <c r="EW156" s="142">
        <f>EXP(-LN(2)/25)*EW155+(1-EXP(-LN(2)/25))/(LN(2)/25)*Calculateur!ER156*Calculateur!ET156*VLOOKUP('Données projet'!$B$15,'Paramètres'!$A$1:$I$89,3,0)*0.475*44/12</f>
        <v>0</v>
      </c>
      <c r="EX156" s="142">
        <f>EXP(-LN(2)/2)*EX155+(1-EXP(-LN(2)/2))/(LN(2)/2)*ER156*EU156*VLOOKUP('Données projet'!$B$15,'Paramètres'!$A$1:$I$89,3,0)*0.475*44/12</f>
        <v>0</v>
      </c>
      <c r="EY156" s="143">
        <f t="shared" si="22"/>
        <v>25.03141554</v>
      </c>
      <c r="EZ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1" t="str">
        <f>VLOOKUP(A156,'Données projet'!$A$217:$I$237,2,0)</f>
        <v>#N/A</v>
      </c>
      <c r="FC156" s="131" t="str">
        <f>VLOOKUP(A156,'Données projet'!$A$217:$I$237,9,0)</f>
        <v>#N/A</v>
      </c>
      <c r="FD156" s="131" t="str">
        <f t="array" ref="FD156">INDEX(FC:FC,MIN(IF(ISNUMBER(FC156:FC352),ROW(FC156:FC352),"")))</f>
        <v/>
      </c>
      <c r="FE156" s="130">
        <f>IF('Données projet'!$A$218&gt;35,FE155+FD156-FM155,IF(A156&lt;'Données projet'!$A$218,$FB$205^A156,IF(A156='Données projet'!$A$218,'Données projet'!$B$218,FE155+FD156-FM155)))</f>
        <v>0</v>
      </c>
      <c r="FF156" s="138">
        <f>FE156*VLOOKUP('Données projet'!$B$16,'Paramètres'!$A$1:$I$89,3,0)*VLOOKUP('Données projet'!$B$16,'Paramètres'!$A$1:$I$89,5,0)</f>
        <v>0</v>
      </c>
      <c r="FG156" s="130">
        <f t="shared" si="48"/>
        <v>0</v>
      </c>
      <c r="FH156" s="141">
        <f t="shared" si="23"/>
        <v>0</v>
      </c>
      <c r="FI156" s="133">
        <f t="shared" si="24"/>
        <v>293.3333333</v>
      </c>
      <c r="FJ156" s="133">
        <f>AVERAGE(OFFSET($FI$3,0,0,'Données projet'!$E$16+1,1))-AVERAGE(OFFSET($H$3,0,0,'Données projet'!$E$16+1,1))</f>
        <v>305.6252353</v>
      </c>
      <c r="FK156" s="133">
        <f t="shared" si="49"/>
        <v>331.397916</v>
      </c>
      <c r="FL156" s="134">
        <f>IF(ISNA(VLOOKUP(A156,'Données projet'!$A$217:$I$237,3,0)),0,VLOOKUP(A156,'Données projet'!$A$217:$I$237,3,0))</f>
        <v>0</v>
      </c>
      <c r="FM156" s="134">
        <f>IF(ISNA(VLOOKUP(A156,'Données projet'!$A$217:$I$237,4,0)),0,VLOOKUP(A156,'Données projet'!$A$217:$I$237,4,0))</f>
        <v>0</v>
      </c>
      <c r="FN156" s="135">
        <f>IF(ISNA(VLOOKUP(A156,'Données projet'!$A$217:$I$237,5,0)),0%,VLOOKUP(A156,'Données projet'!$A$217:$I$237,5,0)*VLOOKUP('Données projet'!$B$16,'Paramètres'!$A$1:$I$89,7,0))</f>
        <v>0</v>
      </c>
      <c r="FO156" s="135">
        <f>IF(ISNA(VLOOKUP(A156,'Données projet'!$A$217:$I$237,6,0)),0%,VLOOKUP(A156,'Données projet'!$A$217:$I$237,6,0)*VLOOKUP('Données projet'!$B$16,'Paramètres'!$A$1:$I$89,7,0))</f>
        <v>0</v>
      </c>
      <c r="FP156" s="135">
        <f>IF(ISNA(VLOOKUP(A156,'Données projet'!$A$217:$I$237,7,0)),0%,VLOOKUP(A156,'Données projet'!$A$217:$I$237,7,0))</f>
        <v>0</v>
      </c>
      <c r="FQ156" s="142">
        <f>EXP(-LN(2)/35)*FQ155+(1-EXP(-LN(2)/35))/(LN(2)/35)*FM156*FN156*VLOOKUP('Données projet'!$B$16,'Paramètres'!$A$1:$I$89,3,0)*0.475*44/12</f>
        <v>15.58530739</v>
      </c>
      <c r="FR156" s="142">
        <f>EXP(-LN(2)/25)*FR155+(1-EXP(-LN(2)/25))/(LN(2)/25)*Calculateur!FM156*Calculateur!FO156*VLOOKUP('Données projet'!$B$16,'Paramètres'!$A$1:$I$89,3,0)*0.475*44/12</f>
        <v>0</v>
      </c>
      <c r="FS156" s="142">
        <f>EXP(-LN(2)/2)*FS155+(1-EXP(-LN(2)/2))/(LN(2)/2)*FM156*FP156*VLOOKUP('Données projet'!$B$16,'Paramètres'!$A$1:$I$89,3,0)*0.475*44/12</f>
        <v>0</v>
      </c>
      <c r="FT156" s="143">
        <f t="shared" si="25"/>
        <v>15.58530739</v>
      </c>
      <c r="FU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1" t="str">
        <f>VLOOKUP(A156,'Données projet'!$A$243:$I$263,2,0)</f>
        <v>#N/A</v>
      </c>
      <c r="FX156" s="131" t="str">
        <f>VLOOKUP(A156,'Données projet'!$A$243:$I$263,9,0)</f>
        <v>#N/A</v>
      </c>
      <c r="FY156" s="131" t="str">
        <f t="array" ref="FY156">INDEX(FX:FX,MIN(IF(ISNUMBER(FX156:FX352),ROW(FX156:FX352),"")))</f>
        <v/>
      </c>
      <c r="FZ156" s="138">
        <f>IF('Données projet'!$A$244&gt;35,FZ155+FY156-GH155,IF(A156&lt;'Données projet'!$A$244,$FW$205^A156,IF(A156='Données projet'!$A$244,'Données projet'!$B$244,FZ155+FY156-GH155)))</f>
        <v>0</v>
      </c>
      <c r="GA156" s="138">
        <f>FZ156*VLOOKUP('Données projet'!$B$17,'Paramètres'!$A$1:$I$89,3,0)*VLOOKUP('Données projet'!$B$17,'Paramètres'!$A$1:$I$89,5,0)</f>
        <v>0</v>
      </c>
      <c r="GB156" s="130">
        <f t="shared" si="50"/>
        <v>0</v>
      </c>
      <c r="GC156" s="141">
        <f t="shared" si="26"/>
        <v>0</v>
      </c>
      <c r="GD156" s="133">
        <f t="shared" si="27"/>
        <v>293.3333333</v>
      </c>
      <c r="GE156" s="133">
        <f>AVERAGE(OFFSET($GD$3,0,0,'Données projet'!$E$17+1,1))-AVERAGE(OFFSET($H$3,0,0,'Données projet'!$E$17+1,1))</f>
        <v>118.7368745</v>
      </c>
      <c r="GF156" s="133">
        <f t="shared" si="51"/>
        <v>135.1233677</v>
      </c>
      <c r="GG156" s="134">
        <f>IF(ISNA(VLOOKUP(A156,'Données projet'!$A$243:$I$263,3,0)),0,VLOOKUP(A156,'Données projet'!$A$243:$I$263,3,0))</f>
        <v>0</v>
      </c>
      <c r="GH156" s="134">
        <f>IF(ISNA(VLOOKUP(A156,'Données projet'!$A$243:$I$263,4,0)),0,VLOOKUP(A156,'Données projet'!$A$243:$I$263,4,0))</f>
        <v>0</v>
      </c>
      <c r="GI156" s="135">
        <f>IF(ISNA(VLOOKUP(A156,'Données projet'!$A$243:$I$263,5,0)),0%,VLOOKUP(A156,'Données projet'!$A$243:$I$263,5,0)*VLOOKUP('Données projet'!$B$17,'Paramètres'!$A$1:$I$89,7,0))</f>
        <v>0</v>
      </c>
      <c r="GJ156" s="135">
        <f>IF(ISNA(VLOOKUP(A156,'Données projet'!$A$243:$I$263,6,0)),0%,VLOOKUP(A156,'Données projet'!$A$243:$I$263,6,0)*VLOOKUP('Données projet'!$B$17,'Paramètres'!$A$1:$I$89,7,0))</f>
        <v>0</v>
      </c>
      <c r="GK156" s="135">
        <f>IF(ISNA(VLOOKUP(A156,'Données projet'!$A$243:$I$263,7,0)),0%,VLOOKUP(A156,'Données projet'!$A$243:$I$263,7,0))</f>
        <v>0</v>
      </c>
      <c r="GL156" s="142">
        <f>EXP(-LN(2)/35)*GL155+(1-EXP(-LN(2)/35))/(LN(2)/35)*GH156*GI156*VLOOKUP('Données projet'!$B$17,'Paramètres'!$A$1:$I$89,3,0)*0.475*44/12</f>
        <v>16.46582906</v>
      </c>
      <c r="GM156" s="142">
        <f>EXP(-LN(2)/25)*GM155+(1-EXP(-LN(2)/25))/(LN(2)/25)*Calculateur!GH156*Calculateur!GJ156*VLOOKUP('Données projet'!$B$17,'Paramètres'!$A$1:$I$89,3,0)*0.475*44/12</f>
        <v>0</v>
      </c>
      <c r="GN156" s="142">
        <f>EXP(-LN(2)/2)*GN155+(1-EXP(-LN(2)/2))/(LN(2)/2)*GH156*GK156*VLOOKUP('Données projet'!$B$17,'Paramètres'!$A$1:$I$89,3,0)*0.475*44/12</f>
        <v>0</v>
      </c>
      <c r="GO156" s="142">
        <f t="shared" si="28"/>
        <v>16.46582906</v>
      </c>
      <c r="GP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1" t="str">
        <f>VLOOKUP(A156,'Données projet'!$A$269:$I$289,2,0)</f>
        <v>#N/A</v>
      </c>
      <c r="GS156" s="131" t="str">
        <f>VLOOKUP(A156,'Données projet'!$A$269:$I$289,9,0)</f>
        <v>#N/A</v>
      </c>
      <c r="GT156" s="131" t="str">
        <f t="array" ref="GT156">INDEX(GS:GS,MIN(IF(ISNUMBER(GS156:GS352),ROW(GS156:GS352),"")))</f>
        <v/>
      </c>
      <c r="GU156" s="138">
        <f>IF('Données projet'!$A$270&gt;35,GU155+GT156-HC155,IF(A156&lt;'Données projet'!$A$270,$GR$205^A156,IF(A156='Données projet'!$A$270,'Données projet'!$B$270,GU155+GT156-HC155)))</f>
        <v>0</v>
      </c>
      <c r="GV156" s="138">
        <f>GU156*VLOOKUP('Données projet'!$B$18,'Paramètres'!$A$1:$I$89,3,0)*VLOOKUP('Données projet'!$B$18,'Paramètres'!$A$1:$I$89,5,0)</f>
        <v>0</v>
      </c>
      <c r="GW156" s="130" t="str">
        <f t="shared" si="52"/>
        <v>#NUM!</v>
      </c>
      <c r="GX156" s="141" t="str">
        <f t="shared" si="29"/>
        <v>#NUM!</v>
      </c>
      <c r="GY156" s="133" t="str">
        <f t="shared" si="30"/>
        <v>#NUM!</v>
      </c>
      <c r="GZ156" s="133">
        <f>AVERAGE(OFFSET($GY$3,0,0,'Données projet'!$E$18+1,1))-AVERAGE(OFFSET($H$3,0,0,'Données projet'!$E$18+1,1))</f>
        <v>100.5427875</v>
      </c>
      <c r="HA156" s="133">
        <f t="shared" si="53"/>
        <v>92.28663609</v>
      </c>
      <c r="HB156" s="134">
        <f>IF(ISNA(VLOOKUP(A156,'Données projet'!$A$269:$I$289,3,0)),0,VLOOKUP(A156,'Données projet'!$A$269:$I$289,3,0))</f>
        <v>0</v>
      </c>
      <c r="HC156" s="134">
        <f>IF(ISNA(VLOOKUP(A156,'Données projet'!$A$269:$I$289,4,0)),0,VLOOKUP(A156,'Données projet'!$A$269:$I$289,4,0))</f>
        <v>0</v>
      </c>
      <c r="HD156" s="135">
        <f>IF(ISNA(VLOOKUP(A156,'Données projet'!$A$269:$I$289,5,0)),0%,VLOOKUP(A156,'Données projet'!$A$269:$I$289,5,0)*VLOOKUP('Données projet'!$B$18,'Paramètres'!$A$1:$I$89,7,0))</f>
        <v>0</v>
      </c>
      <c r="HE156" s="135">
        <f>IF(ISNA(VLOOKUP(A156,'Données projet'!$A$269:$I$289,6,0)),0%,VLOOKUP(A156,'Données projet'!$A$269:$I$289,6,0)*VLOOKUP('Données projet'!$B$18,'Paramètres'!$A$1:$I$89,7,0))</f>
        <v>0</v>
      </c>
      <c r="HF156" s="135">
        <f>IF(ISNA(VLOOKUP(A156,'Données projet'!$A$269:$I$289,7,0)),0%,VLOOKUP(A156,'Données projet'!$A$269:$I$289,7,0))</f>
        <v>0</v>
      </c>
      <c r="HG156" s="142">
        <f>EXP(-LN(2)/35)*HG155+(1-EXP(-LN(2)/35))/(LN(2)/35)*HC156*HD156*VLOOKUP('Données projet'!$B$18,'Paramètres'!$A$1:$I$89,3,0)*0.475*44/12</f>
        <v>11.21288222</v>
      </c>
      <c r="HH156" s="142">
        <f>EXP(-LN(2)/25)*HH155+(1-EXP(-LN(2)/25))/(LN(2)/25)*Calculateur!HC156*Calculateur!HE156*VLOOKUP('Données projet'!$B$18,'Paramètres'!$A$1:$I$89,3,0)*0.475*44/12</f>
        <v>0</v>
      </c>
      <c r="HI156" s="142">
        <f>EXP(-LN(2)/2)*HI155+(1-EXP(-LN(2)/2))/(LN(2)/2)*HC156*HF156*VLOOKUP('Données projet'!$B$18,'Paramètres'!$A$1:$I$89,3,0)*0.475*44/12</f>
        <v>0</v>
      </c>
      <c r="HJ156" s="143">
        <f t="shared" si="31"/>
        <v>11.21288222</v>
      </c>
    </row>
    <row r="157" ht="15.75" customHeight="1">
      <c r="A157" s="125">
        <f t="shared" si="32"/>
        <v>154</v>
      </c>
      <c r="B157" s="126">
        <f>'Scénario référence'!$B$16*5+'Scénario référence'!$B$17*0+'Scénario référence'!$B$18*5</f>
        <v>0</v>
      </c>
      <c r="C157" s="140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84.084</v>
      </c>
      <c r="D157" s="127">
        <f t="shared" si="33"/>
        <v>23.13283142</v>
      </c>
      <c r="E15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7">
        <f>IF(OR('Scénario référence'!$F$8&gt;0,'Scénario référence'!$F$9&gt;0),('Scénario référence'!$F$8+'Scénario référence'!$F$9)*10,0)</f>
        <v>10</v>
      </c>
      <c r="G157" s="127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827.6386987</v>
      </c>
      <c r="H157" s="128">
        <f t="shared" si="1"/>
        <v>480.0693147</v>
      </c>
      <c r="I157" s="12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1" t="str">
        <f>VLOOKUP(A157,'Données projet'!$A$35:$I$55,2,0)</f>
        <v>#N/A</v>
      </c>
      <c r="L157" s="131" t="str">
        <f>VLOOKUP(A157,'Données projet'!$A$35:$I$55,9,0)</f>
        <v>#N/A</v>
      </c>
      <c r="M157" s="131" t="str">
        <f t="array" ref="M157">INDEX(L:L,MIN(IF(ISNUMBER(L157:L353),ROW(L157:L353),"")))</f>
        <v/>
      </c>
      <c r="N157" s="130">
        <f>IF('Données projet'!$A$36&gt;35,N156+M157-V156,IF(A157&lt;'Données projet'!$A$36,$K$205^A157,IF(A157='Données projet'!$A$36,'Données projet'!$B$36,N156+M157-V156)))</f>
        <v>0</v>
      </c>
      <c r="O157" s="130">
        <f>N157*VLOOKUP('Données projet'!$B$9,'Paramètres'!$A$1:$I$89,3,0)*VLOOKUP('Données projet'!$B$9,'Paramètres'!$A$1:$I$89,5,0)</f>
        <v>0</v>
      </c>
      <c r="P157" s="130">
        <f t="shared" si="34"/>
        <v>0</v>
      </c>
      <c r="Q157" s="141">
        <f t="shared" si="2"/>
        <v>0</v>
      </c>
      <c r="R157" s="133">
        <f t="shared" si="3"/>
        <v>293.3333333</v>
      </c>
      <c r="S157" s="133">
        <f>AVERAGE(OFFSET($R$3,0,0,'Données projet'!$E$9+1,1))-AVERAGE(OFFSET($H$3,0,0,'Données projet'!$E$9+1,1))</f>
        <v>126.9946492</v>
      </c>
      <c r="T157" s="133">
        <f t="shared" si="35"/>
        <v>140.039049</v>
      </c>
      <c r="U157" s="134">
        <f>IF(ISNA(VLOOKUP(A157,'Données projet'!$A$35:$I$55,3,0)),0,VLOOKUP(A157,'Données projet'!$A$35:$I$55,3,0))</f>
        <v>0</v>
      </c>
      <c r="V157" s="134">
        <f>IF(ISNA(VLOOKUP(A157,'Données projet'!$A$35:$I$55,4,0)),0,VLOOKUP(A157,'Données projet'!$A$35:$I$55,4,0))</f>
        <v>0</v>
      </c>
      <c r="W157" s="135">
        <f>IF(ISNA(VLOOKUP(A157,'Données projet'!$A$35:$I$55,5,0)),0%,VLOOKUP(A157,'Données projet'!$A$35:$I$55,5,0)*VLOOKUP('Données projet'!$B$9,'Paramètres'!$A$1:$I$89,7,0))</f>
        <v>0</v>
      </c>
      <c r="X157" s="135">
        <f>IF(ISNA(VLOOKUP(A157,'Données projet'!$A$35:$I$55,6,0)),0%,VLOOKUP(A157,'Données projet'!$A$35:$I$55,6,0)*VLOOKUP('Données projet'!$B$9,'Paramètres'!$A$1:$I$89,7,0))</f>
        <v>0</v>
      </c>
      <c r="Y157" s="135">
        <f>IF(ISNA(VLOOKUP(A157,'Données projet'!$A$35:$I$55,7,0)),0%,VLOOKUP(A157,'Données projet'!$A$35:$I$55,7,0))</f>
        <v>0</v>
      </c>
      <c r="Z157" s="142">
        <f>EXP(-LN(2)/35)*Z156+(1-EXP(-LN(2)/35))/(LN(2)/35)*V157*W157*VLOOKUP('Données projet'!$B$9,'Paramètres'!$A$1:$I$89,3,0)*0.475*44/12</f>
        <v>16.51063843</v>
      </c>
      <c r="AA157" s="142">
        <f>EXP(-LN(2)/25)*AA156+(1-EXP(-LN(2)/25))/(LN(2)/25)*Calculateur!V157*Calculateur!X157*VLOOKUP('Données projet'!$B$9,'Paramètres'!$A$1:$I$89,3,0)*0.475*44/12</f>
        <v>1.715292002</v>
      </c>
      <c r="AB157" s="142">
        <f>EXP(-LN(2)/2)*AB156+(1-EXP(-LN(2)/2))/(LN(2)/2)*V157*Y157*VLOOKUP('Données projet'!$B$9,'Paramètres'!$A$1:$I$89,3,0)*0.475*44/12</f>
        <v>0</v>
      </c>
      <c r="AC157" s="143">
        <f t="shared" si="4"/>
        <v>18.22593044</v>
      </c>
      <c r="AD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1" t="str">
        <f>VLOOKUP(A157,'Données projet'!$A$61:$I$81,2,0)</f>
        <v>#N/A</v>
      </c>
      <c r="AG157" s="131" t="str">
        <f>VLOOKUP(A157,'Données projet'!$A$61:$I$81,9,0)</f>
        <v>#N/A</v>
      </c>
      <c r="AH157" s="131" t="str">
        <f t="array" ref="AH157">INDEX(AG:AG,MIN(IF(ISNUMBER(AG157:AG353),ROW(AG157:AG353),"")))</f>
        <v/>
      </c>
      <c r="AI157" s="130">
        <f>IF('Données projet'!$A$62&gt;35,AI156+AH157-AQ156,IF(A157&lt;'Données projet'!$A$62,$AF$205^A157,IF(A157='Données projet'!$A$62,'Données projet'!$B$62,AI156+AH157-AQ156)))</f>
        <v>0</v>
      </c>
      <c r="AJ157" s="130">
        <f>AI157*VLOOKUP('Données projet'!$B$10,'Paramètres'!$A$1:$I$89,3,0)*VLOOKUP('Données projet'!$B$10,'Paramètres'!$A$1:$I$89,5,0)</f>
        <v>0</v>
      </c>
      <c r="AK157" s="130" t="str">
        <f t="shared" si="36"/>
        <v>#NUM!</v>
      </c>
      <c r="AL157" s="141" t="str">
        <f t="shared" si="5"/>
        <v>#NUM!</v>
      </c>
      <c r="AM157" s="133" t="str">
        <f t="shared" si="6"/>
        <v>#NUM!</v>
      </c>
      <c r="AN157" s="133">
        <f>AVERAGE(OFFSET($AM$3,0,0,'Données projet'!$E$10+1,1))-AVERAGE(OFFSET($H$3,0,0,'Données projet'!$E$10+1,1))</f>
        <v>196.874484</v>
      </c>
      <c r="AO157" s="133">
        <f t="shared" si="37"/>
        <v>217.5750859</v>
      </c>
      <c r="AP157" s="134">
        <f>IF(ISNA(VLOOKUP(A157,'Données projet'!$A$61:$I$81,3,0)),0,VLOOKUP(A157,'Données projet'!$A$61:$I$81,3,0))</f>
        <v>0</v>
      </c>
      <c r="AQ157" s="134">
        <f>IF(ISNA(VLOOKUP(A157,'Données projet'!$A$61:$I$81,4,0)),0,VLOOKUP(A157,'Données projet'!$A$61:$I$81,4,0))</f>
        <v>0</v>
      </c>
      <c r="AR157" s="135">
        <f>IF(ISNA(VLOOKUP(A157,'Données projet'!$A$61:$I$81,5,0)),0%,VLOOKUP(A157,'Données projet'!$A$61:$I$81,5,0)*VLOOKUP('Données projet'!$B$10,'Paramètres'!$A$1:$I$89,7,0))</f>
        <v>0</v>
      </c>
      <c r="AS157" s="135">
        <f>IF(ISNA(VLOOKUP(A157,'Données projet'!$A$61:$I$81,6,0)),0%,VLOOKUP(A157,'Données projet'!$A$61:$I$81,6,0)*VLOOKUP('Données projet'!$B$10,'Paramètres'!$A$1:$I$89,7,0))</f>
        <v>0</v>
      </c>
      <c r="AT157" s="135">
        <f>IF(ISNA(VLOOKUP(A157,'Données projet'!$A$61:$I$81,7,0)),0%,VLOOKUP(A157,'Données projet'!$A$61:$I$81,7,0))</f>
        <v>0</v>
      </c>
      <c r="AU157" s="142">
        <f>EXP(-LN(2)/35)*AU156+(1-EXP(-LN(2)/35))/(LN(2)/35)*AQ157*AR157*VLOOKUP('Données projet'!$B$10,'Paramètres'!$A$1:$I$89,3,0)*0.475*44/12</f>
        <v>22.94931846</v>
      </c>
      <c r="AV157" s="142">
        <f>EXP(-LN(2)/25)*AV156+(1-EXP(-LN(2)/25))/(LN(2)/25)*Calculateur!AQ157*Calculateur!AS157*VLOOKUP('Données projet'!$B$10,'Paramètres'!$A$1:$I$89,3,0)*0.475*44/12</f>
        <v>2.637263745</v>
      </c>
      <c r="AW157" s="142">
        <f>EXP(-LN(2)/2)*AW156+(1-EXP(-LN(2)/2))/(LN(2)/2)*AQ157*AT157*VLOOKUP('Données projet'!$B$10,'Paramètres'!$A$1:$I$89,3,0)*0.475*44/12</f>
        <v>0</v>
      </c>
      <c r="AX157" s="142">
        <f t="shared" si="7"/>
        <v>25.5865822</v>
      </c>
      <c r="AY157" s="13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1" t="str">
        <f>VLOOKUP(A157,'Données projet'!$A$87:$I$107,2,0)</f>
        <v>#N/A</v>
      </c>
      <c r="BB157" s="131" t="str">
        <f>VLOOKUP(A157,'Données projet'!$A$87:$I$107,9,0)</f>
        <v>#N/A</v>
      </c>
      <c r="BC157" s="131" t="str">
        <f t="array" ref="BC157">INDEX(BB:BB,MIN(IF(ISNUMBER(BB157:BB353),ROW(BB157:BB353),"")))</f>
        <v/>
      </c>
      <c r="BD157" s="130">
        <f>IF('Données projet'!$A$88&gt;35,BD156+BC157-BL156,IF(A157&lt;'Données projet'!$A$88,$BA$205^A157,IF(A157='Données projet'!$A$88,'Données projet'!$B$88,BD156+BC157-BL156)))</f>
        <v>0</v>
      </c>
      <c r="BE157" s="130">
        <f>BD157*VLOOKUP('Données projet'!$B$11,'Paramètres'!$A$1:$I$89,3,0)*VLOOKUP('Données projet'!$B$11,'Paramètres'!$A$1:$I$89,5,0)</f>
        <v>0</v>
      </c>
      <c r="BF157" s="130" t="str">
        <f t="shared" si="38"/>
        <v>#NUM!</v>
      </c>
      <c r="BG157" s="141" t="str">
        <f t="shared" si="8"/>
        <v>#NUM!</v>
      </c>
      <c r="BH157" s="133" t="str">
        <f t="shared" si="9"/>
        <v>#NUM!</v>
      </c>
      <c r="BI157" s="133">
        <f>AVERAGE(OFFSET($BH$3,0,0,'Données projet'!$E$11+1,1))-AVERAGE(OFFSET($H$3,0,0,'Données projet'!$E$11+1,1))</f>
        <v>134.0948534</v>
      </c>
      <c r="BJ157" s="133">
        <f t="shared" si="39"/>
        <v>108.4102536</v>
      </c>
      <c r="BK157" s="134">
        <f>IF(ISNA(VLOOKUP(A157,'Données projet'!$A$87:$I$107,3,0)),0,VLOOKUP(A157,'Données projet'!$A$87:$I$107,3,0))</f>
        <v>0</v>
      </c>
      <c r="BL157" s="134">
        <f>IF(ISNA(VLOOKUP(A157,'Données projet'!$A$87:$I$107,4,0)),0,VLOOKUP(A157,'Données projet'!$A$87:$I$107,4,0))</f>
        <v>0</v>
      </c>
      <c r="BM157" s="135">
        <f>IF(ISNA(VLOOKUP(A157,'Données projet'!$A$87:$I$107,5,0)),0%,VLOOKUP(A157,'Données projet'!$A$87:$I$107,5,0)*VLOOKUP('Données projet'!$B$11,'Paramètres'!$A$1:$I$89,7,0))</f>
        <v>0</v>
      </c>
      <c r="BN157" s="135">
        <f>IF(ISNA(VLOOKUP(A157,'Données projet'!$A$87:$I$107,6,0)),0%,VLOOKUP(A157,'Données projet'!$A$87:$I$107,6,0)*VLOOKUP('Données projet'!$B$11,'Paramètres'!$A$1:$I$89,7,0))</f>
        <v>0</v>
      </c>
      <c r="BO157" s="135">
        <f>IF(ISNA(VLOOKUP(A157,'Données projet'!$A$87:$I$107,7,0)),0%,VLOOKUP(A157,'Données projet'!$A$87:$I$107,7,0))</f>
        <v>0</v>
      </c>
      <c r="BP157" s="142">
        <f>EXP(-LN(2)/35)*BP156+(1-EXP(-LN(2)/35))/(LN(2)/35)*BL157*BM157*VLOOKUP('Données projet'!$B$11,'Paramètres'!$A$1:$I$89,3,0)*0.475*44/12</f>
        <v>31.74319341</v>
      </c>
      <c r="BQ157" s="142">
        <f>EXP(-LN(2)/25)*BQ156+(1-EXP(-LN(2)/25))/(LN(2)/25)*Calculateur!BL157*Calculateur!BN157*VLOOKUP('Données projet'!$B$11,'Paramètres'!$A$1:$I$89,3,0)*0.475*44/12</f>
        <v>1.663588234</v>
      </c>
      <c r="BR157" s="142">
        <f>EXP(-LN(2)/2)*BR156+(1-EXP(-LN(2)/2))/(LN(2)/2)*BL157*BO157*VLOOKUP('Données projet'!$B$11,'Paramètres'!$A$1:$I$89,3,0)*0.475*44/12</f>
        <v>0</v>
      </c>
      <c r="BS157" s="143">
        <f t="shared" si="10"/>
        <v>33.40678164</v>
      </c>
      <c r="BT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1" t="str">
        <f>VLOOKUP(A157,'Données projet'!$A$113:$I$133,2,0)</f>
        <v>#N/A</v>
      </c>
      <c r="BW157" s="131" t="str">
        <f>VLOOKUP(A157,'Données projet'!$A$113:$I$133,9,0)</f>
        <v>#N/A</v>
      </c>
      <c r="BX157" s="131" t="str">
        <f t="array" ref="BX157">INDEX(BW:BW,MIN(IF(ISNUMBER(BW157:BW353),ROW(BW157:BW353),"")))</f>
        <v/>
      </c>
      <c r="BY157" s="130">
        <f>IF('Données projet'!$A$114&gt;35,BY156+BX157-CG156,IF(A157&lt;'Données projet'!$A$114,$BV$205^A157,IF(A157='Données projet'!$A$114,'Données projet'!$B$114,BY156+BX157-CG156)))</f>
        <v>0</v>
      </c>
      <c r="BZ157" s="130">
        <f>BY157*VLOOKUP('Données projet'!$B$12,'Paramètres'!$A$1:$I$89,3,0)*VLOOKUP('Données projet'!$B$12,'Paramètres'!$A$1:$I$89,5,0)</f>
        <v>0</v>
      </c>
      <c r="CA157" s="130" t="str">
        <f t="shared" si="40"/>
        <v>#NUM!</v>
      </c>
      <c r="CB157" s="141" t="str">
        <f t="shared" si="11"/>
        <v>#NUM!</v>
      </c>
      <c r="CC157" s="133" t="str">
        <f t="shared" si="12"/>
        <v>#NUM!</v>
      </c>
      <c r="CD157" s="133">
        <f>AVERAGE(OFFSET($CC$3,0,0,'Données projet'!$E$12+1,1))-AVERAGE(OFFSET($H$3,0,0,'Données projet'!$E$12+1,1))</f>
        <v>258.1672054</v>
      </c>
      <c r="CE157" s="133">
        <f t="shared" si="41"/>
        <v>296.0724261</v>
      </c>
      <c r="CF157" s="134">
        <f>IF(ISNA(VLOOKUP(A157,'Données projet'!$A$113:$I$133,3,0)),0,VLOOKUP(A157,'Données projet'!$A$113:$I$133,3,0))</f>
        <v>0</v>
      </c>
      <c r="CG157" s="134">
        <f>IF(ISNA(VLOOKUP(A157,'Données projet'!$A$113:$I$133,4,0)),0,VLOOKUP(A157,'Données projet'!$A$113:$I$133,4,0))</f>
        <v>0</v>
      </c>
      <c r="CH157" s="135">
        <f>IF(ISNA(VLOOKUP(A157,'Données projet'!$A$113:$I$133,5,0)),0%,VLOOKUP(A157,'Données projet'!$A$113:$I$133,5,0)*VLOOKUP('Données projet'!$B$12,'Paramètres'!$A$1:$I$89,7,0))</f>
        <v>0</v>
      </c>
      <c r="CI157" s="135">
        <f>IF(ISNA(VLOOKUP(A157,'Données projet'!$A$113:$I$133,6,0)),0%,VLOOKUP(A157,'Données projet'!$A$113:$I$133,6,0)*VLOOKUP('Données projet'!$B$12,'Paramètres'!$A$1:$I$89,7,0))</f>
        <v>0</v>
      </c>
      <c r="CJ157" s="135">
        <f>IF(ISNA(VLOOKUP(A157,'Données projet'!$A$113:$I$133,7,0)),0%,VLOOKUP(A157,'Données projet'!$A$113:$I$133,7,0))</f>
        <v>0</v>
      </c>
      <c r="CK157" s="142">
        <f>EXP(-LN(2)/35)*CK156+(1-EXP(-LN(2)/35))/(LN(2)/35)*CG157*CH157*VLOOKUP('Données projet'!$B$12,'Paramètres'!$A$1:$I$89,3,0)*0.475*44/12</f>
        <v>40.13310711</v>
      </c>
      <c r="CL157" s="142">
        <f>EXP(-LN(2)/25)*CL156+(1-EXP(-LN(2)/25))/(LN(2)/25)*Calculateur!CG157*Calculateur!CI157*VLOOKUP('Données projet'!$B$12,'Paramètres'!$A$1:$I$89,3,0)*0.475*44/12</f>
        <v>2.918028201</v>
      </c>
      <c r="CM157" s="142">
        <f>EXP(-LN(2)/2)*CM156+(1-EXP(-LN(2)/2))/(LN(2)/2)*CG157*CJ157*VLOOKUP('Données projet'!$B$12,'Paramètres'!$A$1:$I$89,3,0)*0.475*44/12</f>
        <v>0</v>
      </c>
      <c r="CN157" s="143">
        <f t="shared" si="13"/>
        <v>43.05113531</v>
      </c>
      <c r="CO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1" t="str">
        <f>VLOOKUP(A157,'Données projet'!$A$139:$I$159,2,0)</f>
        <v>#N/A</v>
      </c>
      <c r="CR157" s="131" t="str">
        <f>VLOOKUP(A157,'Données projet'!$A$139:$I$159,9,0)</f>
        <v>#N/A</v>
      </c>
      <c r="CS157" s="131" t="str">
        <f t="array" ref="CS157">INDEX(CR:CR,MIN(IF(ISNUMBER(CR157:CR353),ROW(CR157:CR353),"")))</f>
        <v/>
      </c>
      <c r="CT157" s="138">
        <f>IF('Données projet'!$A$140&gt;35,CT156+CS157-DB156,IF(A157&lt;'Données projet'!$A$140,$CQ$205^A157,IF(A157='Données projet'!$A$140,'Données projet'!$B$140,CT156+CS157-DB156)))</f>
        <v>0</v>
      </c>
      <c r="CU157" s="138">
        <f>CT157*VLOOKUP('Données projet'!$B$13,'Paramètres'!$A$1:$I$89,3,0)*VLOOKUP('Données projet'!$B$13,'Paramètres'!$A$1:$I$89,5,0)</f>
        <v>0</v>
      </c>
      <c r="CV157" s="130" t="str">
        <f t="shared" si="42"/>
        <v>#NUM!</v>
      </c>
      <c r="CW157" s="141" t="str">
        <f t="shared" si="14"/>
        <v>#NUM!</v>
      </c>
      <c r="CX157" s="133" t="str">
        <f t="shared" si="15"/>
        <v>#NUM!</v>
      </c>
      <c r="CY157" s="133">
        <f>AVERAGE(OFFSET($CX$3,0,0,'Données projet'!$E$13+1,1))-AVERAGE(OFFSET($H$3,0,0,'Données projet'!$E$13+1,1))</f>
        <v>223.783507</v>
      </c>
      <c r="CZ157" s="133">
        <f t="shared" si="43"/>
        <v>84.92349117</v>
      </c>
      <c r="DA157" s="134">
        <f>IF(ISNA(VLOOKUP(A157,'Données projet'!$A$139:$I$159,3,0)),0,VLOOKUP(A157,'Données projet'!$A$139:$I$159,3,0))</f>
        <v>0</v>
      </c>
      <c r="DB157" s="134">
        <f>IF(ISNA(VLOOKUP(A157,'Données projet'!$A$139:$I$159,4,0)),0,VLOOKUP(A157,'Données projet'!$A$139:$I$159,4,0))</f>
        <v>0</v>
      </c>
      <c r="DC157" s="135">
        <f>IF(ISNA(VLOOKUP(A157,'Données projet'!$A$139:$I$159,5,0)),0%,VLOOKUP(A157,'Données projet'!$A$139:$I$159,5,0)*VLOOKUP('Données projet'!$B$13,'Paramètres'!$A$1:$I$89,7,0))</f>
        <v>0</v>
      </c>
      <c r="DD157" s="135">
        <f>IF(ISNA(VLOOKUP(A157,'Données projet'!$A$139:$I$159,6,0)),0%,VLOOKUP(A157,'Données projet'!$A$139:$I$159,6,0)*VLOOKUP('Données projet'!$B$13,'Paramètres'!$A$1:$I$89,7,0))</f>
        <v>0</v>
      </c>
      <c r="DE157" s="135">
        <f>IF(ISNA(VLOOKUP(A157,'Données projet'!$A$139:$I$159,7,0)),0%,VLOOKUP(A157,'Données projet'!$A$139:$I$159,7,0))</f>
        <v>0</v>
      </c>
      <c r="DF157" s="142">
        <f>EXP(-LN(2)/35)*DF156+(1-EXP(-LN(2)/35))/(LN(2)/35)*DB157*DC157*VLOOKUP('Données projet'!$B$13,'Paramètres'!$A$1:$I$89,3,0)*0.475*44/12</f>
        <v>103.0775667</v>
      </c>
      <c r="DG157" s="142">
        <f>EXP(-LN(2)/25)*DG156+(1-EXP(-LN(2)/25))/(LN(2)/25)*Calculateur!DB157*Calculateur!DD157*VLOOKUP('Données projet'!$B$13,'Paramètres'!$A$1:$I$89,3,0)*0.475*44/12</f>
        <v>0</v>
      </c>
      <c r="DH157" s="142">
        <f>EXP(-LN(2)/2)*DH156+(1-EXP(-LN(2)/2))/(LN(2)/2)*DB157*DE157*VLOOKUP('Données projet'!$B$13,'Paramètres'!$A$1:$I$89,3,0)*0.475*44/12</f>
        <v>0</v>
      </c>
      <c r="DI157" s="143">
        <f t="shared" si="16"/>
        <v>103.0775667</v>
      </c>
      <c r="DJ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1" t="str">
        <f>VLOOKUP(A157,'Données projet'!$A$165:$I$185,2,0)</f>
        <v>#N/A</v>
      </c>
      <c r="DM157" s="131" t="str">
        <f>VLOOKUP(A157,'Données projet'!$A$165:$I$185,9,0)</f>
        <v>#N/A</v>
      </c>
      <c r="DN157" s="131" t="str">
        <f t="array" ref="DN157">INDEX(DM:DM,MIN(IF(ISNUMBER(DM157:DM353),ROW(DM157:DM353),"")))</f>
        <v/>
      </c>
      <c r="DO157" s="138">
        <f>IF('Données projet'!$A$166&gt;35,DO156+DN157-DW156,IF(A157&lt;'Données projet'!$A$166,$DL$205^A157,IF(A157='Données projet'!$A$166,'Données projet'!$B$166,DO156+DN157-DW156)))</f>
        <v>0</v>
      </c>
      <c r="DP157" s="138">
        <f>DO157*VLOOKUP('Données projet'!$B$14,'Paramètres'!$A$1:$I$89,3,0)*VLOOKUP('Données projet'!$B$14,'Paramètres'!$A$1:$I$89,5,0)</f>
        <v>0</v>
      </c>
      <c r="DQ157" s="130" t="str">
        <f t="shared" si="44"/>
        <v>#NUM!</v>
      </c>
      <c r="DR157" s="141" t="str">
        <f t="shared" si="17"/>
        <v>#NUM!</v>
      </c>
      <c r="DS157" s="133" t="str">
        <f t="shared" si="18"/>
        <v>#NUM!</v>
      </c>
      <c r="DT157" s="133">
        <f>AVERAGE(OFFSET($DS$3,0,0,'Données projet'!$E$14+1,1))-AVERAGE(OFFSET($H$3,0,0,'Données projet'!$E$14+1,1))</f>
        <v>287.9334714</v>
      </c>
      <c r="DU157" s="133">
        <f t="shared" si="45"/>
        <v>156.6796502</v>
      </c>
      <c r="DV157" s="134">
        <f>IF(ISNA(VLOOKUP(A157,'Données projet'!$A$165:$I$185,3,0)),0,VLOOKUP(A157,'Données projet'!$A$165:$I$185,3,0))</f>
        <v>0</v>
      </c>
      <c r="DW157" s="134">
        <f>IF(ISNA(VLOOKUP(A157,'Données projet'!$A$165:$I$185,4,0)),0,VLOOKUP(A157,'Données projet'!$A$165:$I$185,4,0))</f>
        <v>0</v>
      </c>
      <c r="DX157" s="135">
        <f>IF(ISNA(VLOOKUP(A157,'Données projet'!$A$165:$I$185,5,0)),0%,VLOOKUP(A157,'Données projet'!$A$165:$I$185,5,0)*VLOOKUP('Données projet'!$B$14,'Paramètres'!$A$1:$I$89,7,0))</f>
        <v>0</v>
      </c>
      <c r="DY157" s="135">
        <f>IF(ISNA(VLOOKUP(A157,'Données projet'!$A$165:$I$185,6,0)),0%,VLOOKUP(A157,'Données projet'!$A$165:$I$185,6,0)*VLOOKUP('Données projet'!$B$14,'Paramètres'!$A$1:$I$89,7,0))</f>
        <v>0</v>
      </c>
      <c r="DZ157" s="135">
        <f>IF(ISNA(VLOOKUP(A157,'Données projet'!$A$165:$I$185,7,0)),0%,VLOOKUP(A157,'Données projet'!$A$165:$I$185,7,0))</f>
        <v>0</v>
      </c>
      <c r="EA157" s="142">
        <f>EXP(-LN(2)/35)*EA156+(1-EXP(-LN(2)/35))/(LN(2)/35)*DW157*DX157*VLOOKUP('Données projet'!$B$14,'Paramètres'!$A$1:$I$89,3,0)*0.475*44/12</f>
        <v>119.7469651</v>
      </c>
      <c r="EB157" s="142">
        <f>EXP(-LN(2)/25)*EB156+(1-EXP(-LN(2)/25))/(LN(2)/25)*Calculateur!DW157*Calculateur!DY157*VLOOKUP('Données projet'!$B$14,'Paramètres'!$A$1:$I$89,3,0)*0.475*44/12</f>
        <v>0</v>
      </c>
      <c r="EC157" s="142">
        <f>EXP(-LN(2)/2)*EC156+(1-EXP(-LN(2)/2))/(LN(2)/2)*DW157*DZ157*VLOOKUP('Données projet'!$B$14,'Paramètres'!$A$1:$I$89,3,0)*0.475*44/12</f>
        <v>0</v>
      </c>
      <c r="ED157" s="143">
        <f t="shared" si="19"/>
        <v>119.7469651</v>
      </c>
      <c r="EE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1" t="str">
        <f>VLOOKUP(A157,'Données projet'!$A$191:$I$211,2,0)</f>
        <v>#N/A</v>
      </c>
      <c r="EH157" s="131" t="str">
        <f>VLOOKUP(A157,'Données projet'!$A$191:$I$211,9,0)</f>
        <v>#N/A</v>
      </c>
      <c r="EI157" s="131" t="str">
        <f t="array" ref="EI157">INDEX(EH:EH,MIN(IF(ISNUMBER(EH157:EH353),ROW(EH157:EH353),"")))</f>
        <v/>
      </c>
      <c r="EJ157" s="138">
        <f>IF('Données projet'!$A$192&gt;35,EJ156+EI157-ER156,IF(A157&lt;'Données projet'!$A$192,$EG$205^A157,IF(A157='Données projet'!$A$192,'Données projet'!$B$192,EJ156+EI157-ER156)))</f>
        <v>0</v>
      </c>
      <c r="EK157" s="138">
        <f>EJ157*VLOOKUP('Données projet'!$B$15,'Paramètres'!$A$1:$I$89,3,0)*VLOOKUP('Données projet'!$B$15,'Paramètres'!$A$1:$I$89,5,0)</f>
        <v>0</v>
      </c>
      <c r="EL157" s="130" t="str">
        <f t="shared" si="46"/>
        <v>#NUM!</v>
      </c>
      <c r="EM157" s="141" t="str">
        <f t="shared" si="20"/>
        <v>#NUM!</v>
      </c>
      <c r="EN157" s="133" t="str">
        <f t="shared" si="21"/>
        <v>#NUM!</v>
      </c>
      <c r="EO157" s="133">
        <f>AVERAGE(OFFSET($EN$3,0,0,'Données projet'!$E$15+1,1))-AVERAGE(OFFSET($H$3,0,0,'Données projet'!$E$15+1,1))</f>
        <v>130.3193339</v>
      </c>
      <c r="EP157" s="133">
        <f t="shared" si="47"/>
        <v>82.22784365</v>
      </c>
      <c r="EQ157" s="134">
        <f>IF(ISNA(VLOOKUP(A157,'Données projet'!$A$191:$I$211,3,0)),0,VLOOKUP(A157,'Données projet'!$A$191:$I$211,3,0))</f>
        <v>0</v>
      </c>
      <c r="ER157" s="134">
        <f>IF(ISNA(VLOOKUP(A157,'Données projet'!$A$191:$I$211,4,0)),0,VLOOKUP(A157,'Données projet'!$A$191:$I$211,4,0))</f>
        <v>0</v>
      </c>
      <c r="ES157" s="135">
        <f>IF(ISNA(VLOOKUP(A157,'Données projet'!$A$191:$I$211,5,0)),0%,VLOOKUP(A157,'Données projet'!$A$191:$I$211,5,0)*VLOOKUP('Données projet'!$B$15,'Paramètres'!$A$1:$I$89,7,0))</f>
        <v>0</v>
      </c>
      <c r="ET157" s="135">
        <f>IF(ISNA(VLOOKUP(A157,'Données projet'!$A$191:$I$211,6,0)),0%,VLOOKUP(A157,'Données projet'!$A$191:$I$211,6,0)*VLOOKUP('Données projet'!$B$15,'Paramètres'!$A$1:$I$89,7,0))</f>
        <v>0</v>
      </c>
      <c r="EU157" s="135">
        <f>IF(ISNA(VLOOKUP(A157,'Données projet'!$A$191:$I$211,7,0)),0%,VLOOKUP(A157,'Données projet'!$A$191:$I$211,7,0))</f>
        <v>0</v>
      </c>
      <c r="EV157" s="142">
        <f>EXP(-LN(2)/35)*EV156+(1-EXP(-LN(2)/35))/(LN(2)/35)*ER157*ES157*VLOOKUP('Données projet'!$B$15,'Paramètres'!$A$1:$I$89,3,0)*0.475*44/12</f>
        <v>24.54056475</v>
      </c>
      <c r="EW157" s="142">
        <f>EXP(-LN(2)/25)*EW156+(1-EXP(-LN(2)/25))/(LN(2)/25)*Calculateur!ER157*Calculateur!ET157*VLOOKUP('Données projet'!$B$15,'Paramètres'!$A$1:$I$89,3,0)*0.475*44/12</f>
        <v>0</v>
      </c>
      <c r="EX157" s="142">
        <f>EXP(-LN(2)/2)*EX156+(1-EXP(-LN(2)/2))/(LN(2)/2)*ER157*EU157*VLOOKUP('Données projet'!$B$15,'Paramètres'!$A$1:$I$89,3,0)*0.475*44/12</f>
        <v>0</v>
      </c>
      <c r="EY157" s="143">
        <f t="shared" si="22"/>
        <v>24.54056475</v>
      </c>
      <c r="EZ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1" t="str">
        <f>VLOOKUP(A157,'Données projet'!$A$217:$I$237,2,0)</f>
        <v>#N/A</v>
      </c>
      <c r="FC157" s="131" t="str">
        <f>VLOOKUP(A157,'Données projet'!$A$217:$I$237,9,0)</f>
        <v>#N/A</v>
      </c>
      <c r="FD157" s="131" t="str">
        <f t="array" ref="FD157">INDEX(FC:FC,MIN(IF(ISNUMBER(FC157:FC353),ROW(FC157:FC353),"")))</f>
        <v/>
      </c>
      <c r="FE157" s="130">
        <f>IF('Données projet'!$A$218&gt;35,FE156+FD157-FM156,IF(A157&lt;'Données projet'!$A$218,$FB$205^A157,IF(A157='Données projet'!$A$218,'Données projet'!$B$218,FE156+FD157-FM156)))</f>
        <v>0</v>
      </c>
      <c r="FF157" s="138">
        <f>FE157*VLOOKUP('Données projet'!$B$16,'Paramètres'!$A$1:$I$89,3,0)*VLOOKUP('Données projet'!$B$16,'Paramètres'!$A$1:$I$89,5,0)</f>
        <v>0</v>
      </c>
      <c r="FG157" s="130">
        <f t="shared" si="48"/>
        <v>0</v>
      </c>
      <c r="FH157" s="141">
        <f t="shared" si="23"/>
        <v>0</v>
      </c>
      <c r="FI157" s="133">
        <f t="shared" si="24"/>
        <v>293.3333333</v>
      </c>
      <c r="FJ157" s="133">
        <f>AVERAGE(OFFSET($FI$3,0,0,'Données projet'!$E$16+1,1))-AVERAGE(OFFSET($H$3,0,0,'Données projet'!$E$16+1,1))</f>
        <v>305.6252353</v>
      </c>
      <c r="FK157" s="133">
        <f t="shared" si="49"/>
        <v>331.397916</v>
      </c>
      <c r="FL157" s="134">
        <f>IF(ISNA(VLOOKUP(A157,'Données projet'!$A$217:$I$237,3,0)),0,VLOOKUP(A157,'Données projet'!$A$217:$I$237,3,0))</f>
        <v>0</v>
      </c>
      <c r="FM157" s="134">
        <f>IF(ISNA(VLOOKUP(A157,'Données projet'!$A$217:$I$237,4,0)),0,VLOOKUP(A157,'Données projet'!$A$217:$I$237,4,0))</f>
        <v>0</v>
      </c>
      <c r="FN157" s="135">
        <f>IF(ISNA(VLOOKUP(A157,'Données projet'!$A$217:$I$237,5,0)),0%,VLOOKUP(A157,'Données projet'!$A$217:$I$237,5,0)*VLOOKUP('Données projet'!$B$16,'Paramètres'!$A$1:$I$89,7,0))</f>
        <v>0</v>
      </c>
      <c r="FO157" s="135">
        <f>IF(ISNA(VLOOKUP(A157,'Données projet'!$A$217:$I$237,6,0)),0%,VLOOKUP(A157,'Données projet'!$A$217:$I$237,6,0)*VLOOKUP('Données projet'!$B$16,'Paramètres'!$A$1:$I$89,7,0))</f>
        <v>0</v>
      </c>
      <c r="FP157" s="135">
        <f>IF(ISNA(VLOOKUP(A157,'Données projet'!$A$217:$I$237,7,0)),0%,VLOOKUP(A157,'Données projet'!$A$217:$I$237,7,0))</f>
        <v>0</v>
      </c>
      <c r="FQ157" s="142">
        <f>EXP(-LN(2)/35)*FQ156+(1-EXP(-LN(2)/35))/(LN(2)/35)*FM157*FN157*VLOOKUP('Données projet'!$B$16,'Paramètres'!$A$1:$I$89,3,0)*0.475*44/12</f>
        <v>15.27968902</v>
      </c>
      <c r="FR157" s="142">
        <f>EXP(-LN(2)/25)*FR156+(1-EXP(-LN(2)/25))/(LN(2)/25)*Calculateur!FM157*Calculateur!FO157*VLOOKUP('Données projet'!$B$16,'Paramètres'!$A$1:$I$89,3,0)*0.475*44/12</f>
        <v>0</v>
      </c>
      <c r="FS157" s="142">
        <f>EXP(-LN(2)/2)*FS156+(1-EXP(-LN(2)/2))/(LN(2)/2)*FM157*FP157*VLOOKUP('Données projet'!$B$16,'Paramètres'!$A$1:$I$89,3,0)*0.475*44/12</f>
        <v>0</v>
      </c>
      <c r="FT157" s="143">
        <f t="shared" si="25"/>
        <v>15.27968902</v>
      </c>
      <c r="FU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1" t="str">
        <f>VLOOKUP(A157,'Données projet'!$A$243:$I$263,2,0)</f>
        <v>#N/A</v>
      </c>
      <c r="FX157" s="131" t="str">
        <f>VLOOKUP(A157,'Données projet'!$A$243:$I$263,9,0)</f>
        <v>#N/A</v>
      </c>
      <c r="FY157" s="131" t="str">
        <f t="array" ref="FY157">INDEX(FX:FX,MIN(IF(ISNUMBER(FX157:FX353),ROW(FX157:FX353),"")))</f>
        <v/>
      </c>
      <c r="FZ157" s="138">
        <f>IF('Données projet'!$A$244&gt;35,FZ156+FY157-GH156,IF(A157&lt;'Données projet'!$A$244,$FW$205^A157,IF(A157='Données projet'!$A$244,'Données projet'!$B$244,FZ156+FY157-GH156)))</f>
        <v>0</v>
      </c>
      <c r="GA157" s="138">
        <f>FZ157*VLOOKUP('Données projet'!$B$17,'Paramètres'!$A$1:$I$89,3,0)*VLOOKUP('Données projet'!$B$17,'Paramètres'!$A$1:$I$89,5,0)</f>
        <v>0</v>
      </c>
      <c r="GB157" s="130">
        <f t="shared" si="50"/>
        <v>0</v>
      </c>
      <c r="GC157" s="141">
        <f t="shared" si="26"/>
        <v>0</v>
      </c>
      <c r="GD157" s="133">
        <f t="shared" si="27"/>
        <v>293.3333333</v>
      </c>
      <c r="GE157" s="133">
        <f>AVERAGE(OFFSET($GD$3,0,0,'Données projet'!$E$17+1,1))-AVERAGE(OFFSET($H$3,0,0,'Données projet'!$E$17+1,1))</f>
        <v>118.7368745</v>
      </c>
      <c r="GF157" s="133">
        <f t="shared" si="51"/>
        <v>135.1233677</v>
      </c>
      <c r="GG157" s="134">
        <f>IF(ISNA(VLOOKUP(A157,'Données projet'!$A$243:$I$263,3,0)),0,VLOOKUP(A157,'Données projet'!$A$243:$I$263,3,0))</f>
        <v>0</v>
      </c>
      <c r="GH157" s="134">
        <f>IF(ISNA(VLOOKUP(A157,'Données projet'!$A$243:$I$263,4,0)),0,VLOOKUP(A157,'Données projet'!$A$243:$I$263,4,0))</f>
        <v>0</v>
      </c>
      <c r="GI157" s="135">
        <f>IF(ISNA(VLOOKUP(A157,'Données projet'!$A$243:$I$263,5,0)),0%,VLOOKUP(A157,'Données projet'!$A$243:$I$263,5,0)*VLOOKUP('Données projet'!$B$17,'Paramètres'!$A$1:$I$89,7,0))</f>
        <v>0</v>
      </c>
      <c r="GJ157" s="135">
        <f>IF(ISNA(VLOOKUP(A157,'Données projet'!$A$243:$I$263,6,0)),0%,VLOOKUP(A157,'Données projet'!$A$243:$I$263,6,0)*VLOOKUP('Données projet'!$B$17,'Paramètres'!$A$1:$I$89,7,0))</f>
        <v>0</v>
      </c>
      <c r="GK157" s="135">
        <f>IF(ISNA(VLOOKUP(A157,'Données projet'!$A$243:$I$263,7,0)),0%,VLOOKUP(A157,'Données projet'!$A$243:$I$263,7,0))</f>
        <v>0</v>
      </c>
      <c r="GL157" s="142">
        <f>EXP(-LN(2)/35)*GL156+(1-EXP(-LN(2)/35))/(LN(2)/35)*GH157*GI157*VLOOKUP('Données projet'!$B$17,'Paramètres'!$A$1:$I$89,3,0)*0.475*44/12</f>
        <v>16.14294419</v>
      </c>
      <c r="GM157" s="142">
        <f>EXP(-LN(2)/25)*GM156+(1-EXP(-LN(2)/25))/(LN(2)/25)*Calculateur!GH157*Calculateur!GJ157*VLOOKUP('Données projet'!$B$17,'Paramètres'!$A$1:$I$89,3,0)*0.475*44/12</f>
        <v>0</v>
      </c>
      <c r="GN157" s="142">
        <f>EXP(-LN(2)/2)*GN156+(1-EXP(-LN(2)/2))/(LN(2)/2)*GH157*GK157*VLOOKUP('Données projet'!$B$17,'Paramètres'!$A$1:$I$89,3,0)*0.475*44/12</f>
        <v>0</v>
      </c>
      <c r="GO157" s="142">
        <f t="shared" si="28"/>
        <v>16.14294419</v>
      </c>
      <c r="GP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1" t="str">
        <f>VLOOKUP(A157,'Données projet'!$A$269:$I$289,2,0)</f>
        <v>#N/A</v>
      </c>
      <c r="GS157" s="131" t="str">
        <f>VLOOKUP(A157,'Données projet'!$A$269:$I$289,9,0)</f>
        <v>#N/A</v>
      </c>
      <c r="GT157" s="131" t="str">
        <f t="array" ref="GT157">INDEX(GS:GS,MIN(IF(ISNUMBER(GS157:GS353),ROW(GS157:GS353),"")))</f>
        <v/>
      </c>
      <c r="GU157" s="138">
        <f>IF('Données projet'!$A$270&gt;35,GU156+GT157-HC156,IF(A157&lt;'Données projet'!$A$270,$GR$205^A157,IF(A157='Données projet'!$A$270,'Données projet'!$B$270,GU156+GT157-HC156)))</f>
        <v>0</v>
      </c>
      <c r="GV157" s="138">
        <f>GU157*VLOOKUP('Données projet'!$B$18,'Paramètres'!$A$1:$I$89,3,0)*VLOOKUP('Données projet'!$B$18,'Paramètres'!$A$1:$I$89,5,0)</f>
        <v>0</v>
      </c>
      <c r="GW157" s="130" t="str">
        <f t="shared" si="52"/>
        <v>#NUM!</v>
      </c>
      <c r="GX157" s="141" t="str">
        <f t="shared" si="29"/>
        <v>#NUM!</v>
      </c>
      <c r="GY157" s="133" t="str">
        <f t="shared" si="30"/>
        <v>#NUM!</v>
      </c>
      <c r="GZ157" s="133">
        <f>AVERAGE(OFFSET($GY$3,0,0,'Données projet'!$E$18+1,1))-AVERAGE(OFFSET($H$3,0,0,'Données projet'!$E$18+1,1))</f>
        <v>100.5427875</v>
      </c>
      <c r="HA157" s="133">
        <f t="shared" si="53"/>
        <v>92.28663609</v>
      </c>
      <c r="HB157" s="134">
        <f>IF(ISNA(VLOOKUP(A157,'Données projet'!$A$269:$I$289,3,0)),0,VLOOKUP(A157,'Données projet'!$A$269:$I$289,3,0))</f>
        <v>0</v>
      </c>
      <c r="HC157" s="134">
        <f>IF(ISNA(VLOOKUP(A157,'Données projet'!$A$269:$I$289,4,0)),0,VLOOKUP(A157,'Données projet'!$A$269:$I$289,4,0))</f>
        <v>0</v>
      </c>
      <c r="HD157" s="135">
        <f>IF(ISNA(VLOOKUP(A157,'Données projet'!$A$269:$I$289,5,0)),0%,VLOOKUP(A157,'Données projet'!$A$269:$I$289,5,0)*VLOOKUP('Données projet'!$B$18,'Paramètres'!$A$1:$I$89,7,0))</f>
        <v>0</v>
      </c>
      <c r="HE157" s="135">
        <f>IF(ISNA(VLOOKUP(A157,'Données projet'!$A$269:$I$289,6,0)),0%,VLOOKUP(A157,'Données projet'!$A$269:$I$289,6,0)*VLOOKUP('Données projet'!$B$18,'Paramètres'!$A$1:$I$89,7,0))</f>
        <v>0</v>
      </c>
      <c r="HF157" s="135">
        <f>IF(ISNA(VLOOKUP(A157,'Données projet'!$A$269:$I$289,7,0)),0%,VLOOKUP(A157,'Données projet'!$A$269:$I$289,7,0))</f>
        <v>0</v>
      </c>
      <c r="HG157" s="142">
        <f>EXP(-LN(2)/35)*HG156+(1-EXP(-LN(2)/35))/(LN(2)/35)*HC157*HD157*VLOOKUP('Données projet'!$B$18,'Paramètres'!$A$1:$I$89,3,0)*0.475*44/12</f>
        <v>10.99300444</v>
      </c>
      <c r="HH157" s="142">
        <f>EXP(-LN(2)/25)*HH156+(1-EXP(-LN(2)/25))/(LN(2)/25)*Calculateur!HC157*Calculateur!HE157*VLOOKUP('Données projet'!$B$18,'Paramètres'!$A$1:$I$89,3,0)*0.475*44/12</f>
        <v>0</v>
      </c>
      <c r="HI157" s="142">
        <f>EXP(-LN(2)/2)*HI156+(1-EXP(-LN(2)/2))/(LN(2)/2)*HC157*HF157*VLOOKUP('Données projet'!$B$18,'Paramètres'!$A$1:$I$89,3,0)*0.475*44/12</f>
        <v>0</v>
      </c>
      <c r="HJ157" s="143">
        <f t="shared" si="31"/>
        <v>10.99300444</v>
      </c>
    </row>
    <row r="158" ht="15.75" customHeight="1">
      <c r="A158" s="125">
        <f t="shared" si="32"/>
        <v>155</v>
      </c>
      <c r="B158" s="126">
        <f>'Scénario référence'!$B$16*5+'Scénario référence'!$B$17*0+'Scénario référence'!$B$18*5</f>
        <v>0</v>
      </c>
      <c r="C158" s="140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84.63</v>
      </c>
      <c r="D158" s="127">
        <f t="shared" si="33"/>
        <v>23.26550975</v>
      </c>
      <c r="E15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7">
        <f>IF(OR('Scénario référence'!$F$8&gt;0,'Scénario référence'!$F$9&gt;0),('Scénario référence'!$F$8+'Scénario référence'!$F$9)*10,0)</f>
        <v>10</v>
      </c>
      <c r="G158" s="127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</v>
      </c>
      <c r="H158" s="128">
        <f t="shared" si="1"/>
        <v>481.2513462</v>
      </c>
      <c r="I158" s="12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1" t="str">
        <f>VLOOKUP(A158,'Données projet'!$A$35:$I$55,2,0)</f>
        <v>#N/A</v>
      </c>
      <c r="L158" s="131" t="str">
        <f>VLOOKUP(A158,'Données projet'!$A$35:$I$55,9,0)</f>
        <v>#N/A</v>
      </c>
      <c r="M158" s="131" t="str">
        <f t="array" ref="M158">INDEX(L:L,MIN(IF(ISNUMBER(L158:L354),ROW(L158:L354),"")))</f>
        <v/>
      </c>
      <c r="N158" s="130">
        <f>IF('Données projet'!$A$36&gt;35,N157+M158-V157,IF(A158&lt;'Données projet'!$A$36,$K$205^A158,IF(A158='Données projet'!$A$36,'Données projet'!$B$36,N157+M158-V157)))</f>
        <v>0</v>
      </c>
      <c r="O158" s="130">
        <f>N158*VLOOKUP('Données projet'!$B$9,'Paramètres'!$A$1:$I$89,3,0)*VLOOKUP('Données projet'!$B$9,'Paramètres'!$A$1:$I$89,5,0)</f>
        <v>0</v>
      </c>
      <c r="P158" s="130">
        <f t="shared" si="34"/>
        <v>0</v>
      </c>
      <c r="Q158" s="141">
        <f t="shared" si="2"/>
        <v>0</v>
      </c>
      <c r="R158" s="133">
        <f t="shared" si="3"/>
        <v>293.3333333</v>
      </c>
      <c r="S158" s="133">
        <f>AVERAGE(OFFSET($R$3,0,0,'Données projet'!$E$9+1,1))-AVERAGE(OFFSET($H$3,0,0,'Données projet'!$E$9+1,1))</f>
        <v>126.9946492</v>
      </c>
      <c r="T158" s="133">
        <f t="shared" si="35"/>
        <v>140.039049</v>
      </c>
      <c r="U158" s="134">
        <f>IF(ISNA(VLOOKUP(A158,'Données projet'!$A$35:$I$55,3,0)),0,VLOOKUP(A158,'Données projet'!$A$35:$I$55,3,0))</f>
        <v>0</v>
      </c>
      <c r="V158" s="134">
        <f>IF(ISNA(VLOOKUP(A158,'Données projet'!$A$35:$I$55,4,0)),0,VLOOKUP(A158,'Données projet'!$A$35:$I$55,4,0))</f>
        <v>0</v>
      </c>
      <c r="W158" s="135">
        <f>IF(ISNA(VLOOKUP(A158,'Données projet'!$A$35:$I$55,5,0)),0%,VLOOKUP(A158,'Données projet'!$A$35:$I$55,5,0)*VLOOKUP('Données projet'!$B$9,'Paramètres'!$A$1:$I$89,7,0))</f>
        <v>0</v>
      </c>
      <c r="X158" s="135">
        <f>IF(ISNA(VLOOKUP(A158,'Données projet'!$A$35:$I$55,6,0)),0%,VLOOKUP(A158,'Données projet'!$A$35:$I$55,6,0)*VLOOKUP('Données projet'!$B$9,'Paramètres'!$A$1:$I$89,7,0))</f>
        <v>0</v>
      </c>
      <c r="Y158" s="135">
        <f>IF(ISNA(VLOOKUP(A158,'Données projet'!$A$35:$I$55,7,0)),0%,VLOOKUP(A158,'Données projet'!$A$35:$I$55,7,0))</f>
        <v>0</v>
      </c>
      <c r="Z158" s="142">
        <f>EXP(-LN(2)/35)*Z157+(1-EXP(-LN(2)/35))/(LN(2)/35)*V158*W158*VLOOKUP('Données projet'!$B$9,'Paramètres'!$A$1:$I$89,3,0)*0.475*44/12</f>
        <v>16.18687488</v>
      </c>
      <c r="AA158" s="142">
        <f>EXP(-LN(2)/25)*AA157+(1-EXP(-LN(2)/25))/(LN(2)/25)*Calculateur!V158*Calculateur!X158*VLOOKUP('Données projet'!$B$9,'Paramètres'!$A$1:$I$89,3,0)*0.475*44/12</f>
        <v>1.668387252</v>
      </c>
      <c r="AB158" s="142">
        <f>EXP(-LN(2)/2)*AB157+(1-EXP(-LN(2)/2))/(LN(2)/2)*V158*Y158*VLOOKUP('Données projet'!$B$9,'Paramètres'!$A$1:$I$89,3,0)*0.475*44/12</f>
        <v>0</v>
      </c>
      <c r="AC158" s="143">
        <f t="shared" si="4"/>
        <v>17.85526214</v>
      </c>
      <c r="AD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1" t="str">
        <f>VLOOKUP(A158,'Données projet'!$A$61:$I$81,2,0)</f>
        <v>#N/A</v>
      </c>
      <c r="AG158" s="131" t="str">
        <f>VLOOKUP(A158,'Données projet'!$A$61:$I$81,9,0)</f>
        <v>#N/A</v>
      </c>
      <c r="AH158" s="131" t="str">
        <f t="array" ref="AH158">INDEX(AG:AG,MIN(IF(ISNUMBER(AG158:AG354),ROW(AG158:AG354),"")))</f>
        <v/>
      </c>
      <c r="AI158" s="130">
        <f>IF('Données projet'!$A$62&gt;35,AI157+AH158-AQ157,IF(A158&lt;'Données projet'!$A$62,$AF$205^A158,IF(A158='Données projet'!$A$62,'Données projet'!$B$62,AI157+AH158-AQ157)))</f>
        <v>0</v>
      </c>
      <c r="AJ158" s="130">
        <f>AI158*VLOOKUP('Données projet'!$B$10,'Paramètres'!$A$1:$I$89,3,0)*VLOOKUP('Données projet'!$B$10,'Paramètres'!$A$1:$I$89,5,0)</f>
        <v>0</v>
      </c>
      <c r="AK158" s="130" t="str">
        <f t="shared" si="36"/>
        <v>#NUM!</v>
      </c>
      <c r="AL158" s="141" t="str">
        <f t="shared" si="5"/>
        <v>#NUM!</v>
      </c>
      <c r="AM158" s="133" t="str">
        <f t="shared" si="6"/>
        <v>#NUM!</v>
      </c>
      <c r="AN158" s="133">
        <f>AVERAGE(OFFSET($AM$3,0,0,'Données projet'!$E$10+1,1))-AVERAGE(OFFSET($H$3,0,0,'Données projet'!$E$10+1,1))</f>
        <v>196.874484</v>
      </c>
      <c r="AO158" s="133">
        <f t="shared" si="37"/>
        <v>217.5750859</v>
      </c>
      <c r="AP158" s="134">
        <f>IF(ISNA(VLOOKUP(A158,'Données projet'!$A$61:$I$81,3,0)),0,VLOOKUP(A158,'Données projet'!$A$61:$I$81,3,0))</f>
        <v>0</v>
      </c>
      <c r="AQ158" s="134">
        <f>IF(ISNA(VLOOKUP(A158,'Données projet'!$A$61:$I$81,4,0)),0,VLOOKUP(A158,'Données projet'!$A$61:$I$81,4,0))</f>
        <v>0</v>
      </c>
      <c r="AR158" s="135">
        <f>IF(ISNA(VLOOKUP(A158,'Données projet'!$A$61:$I$81,5,0)),0%,VLOOKUP(A158,'Données projet'!$A$61:$I$81,5,0)*VLOOKUP('Données projet'!$B$10,'Paramètres'!$A$1:$I$89,7,0))</f>
        <v>0</v>
      </c>
      <c r="AS158" s="135">
        <f>IF(ISNA(VLOOKUP(A158,'Données projet'!$A$61:$I$81,6,0)),0%,VLOOKUP(A158,'Données projet'!$A$61:$I$81,6,0)*VLOOKUP('Données projet'!$B$10,'Paramètres'!$A$1:$I$89,7,0))</f>
        <v>0</v>
      </c>
      <c r="AT158" s="135">
        <f>IF(ISNA(VLOOKUP(A158,'Données projet'!$A$61:$I$81,7,0)),0%,VLOOKUP(A158,'Données projet'!$A$61:$I$81,7,0))</f>
        <v>0</v>
      </c>
      <c r="AU158" s="142">
        <f>EXP(-LN(2)/35)*AU157+(1-EXP(-LN(2)/35))/(LN(2)/35)*AQ158*AR158*VLOOKUP('Données projet'!$B$10,'Paramètres'!$A$1:$I$89,3,0)*0.475*44/12</f>
        <v>22.49929632</v>
      </c>
      <c r="AV158" s="142">
        <f>EXP(-LN(2)/25)*AV157+(1-EXP(-LN(2)/25))/(LN(2)/25)*Calculateur!AQ158*Calculateur!AS158*VLOOKUP('Données projet'!$B$10,'Paramètres'!$A$1:$I$89,3,0)*0.475*44/12</f>
        <v>2.565147629</v>
      </c>
      <c r="AW158" s="142">
        <f>EXP(-LN(2)/2)*AW157+(1-EXP(-LN(2)/2))/(LN(2)/2)*AQ158*AT158*VLOOKUP('Données projet'!$B$10,'Paramètres'!$A$1:$I$89,3,0)*0.475*44/12</f>
        <v>0</v>
      </c>
      <c r="AX158" s="142">
        <f t="shared" si="7"/>
        <v>25.06444395</v>
      </c>
      <c r="AY158" s="13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1" t="str">
        <f>VLOOKUP(A158,'Données projet'!$A$87:$I$107,2,0)</f>
        <v>#N/A</v>
      </c>
      <c r="BB158" s="131" t="str">
        <f>VLOOKUP(A158,'Données projet'!$A$87:$I$107,9,0)</f>
        <v>#N/A</v>
      </c>
      <c r="BC158" s="131" t="str">
        <f t="array" ref="BC158">INDEX(BB:BB,MIN(IF(ISNUMBER(BB158:BB354),ROW(BB158:BB354),"")))</f>
        <v/>
      </c>
      <c r="BD158" s="130">
        <f>IF('Données projet'!$A$88&gt;35,BD157+BC158-BL157,IF(A158&lt;'Données projet'!$A$88,$BA$205^A158,IF(A158='Données projet'!$A$88,'Données projet'!$B$88,BD157+BC158-BL157)))</f>
        <v>0</v>
      </c>
      <c r="BE158" s="130">
        <f>BD158*VLOOKUP('Données projet'!$B$11,'Paramètres'!$A$1:$I$89,3,0)*VLOOKUP('Données projet'!$B$11,'Paramètres'!$A$1:$I$89,5,0)</f>
        <v>0</v>
      </c>
      <c r="BF158" s="130" t="str">
        <f t="shared" si="38"/>
        <v>#NUM!</v>
      </c>
      <c r="BG158" s="141" t="str">
        <f t="shared" si="8"/>
        <v>#NUM!</v>
      </c>
      <c r="BH158" s="133" t="str">
        <f t="shared" si="9"/>
        <v>#NUM!</v>
      </c>
      <c r="BI158" s="133">
        <f>AVERAGE(OFFSET($BH$3,0,0,'Données projet'!$E$11+1,1))-AVERAGE(OFFSET($H$3,0,0,'Données projet'!$E$11+1,1))</f>
        <v>134.0948534</v>
      </c>
      <c r="BJ158" s="133">
        <f t="shared" si="39"/>
        <v>108.4102536</v>
      </c>
      <c r="BK158" s="134">
        <f>IF(ISNA(VLOOKUP(A158,'Données projet'!$A$87:$I$107,3,0)),0,VLOOKUP(A158,'Données projet'!$A$87:$I$107,3,0))</f>
        <v>0</v>
      </c>
      <c r="BL158" s="134">
        <f>IF(ISNA(VLOOKUP(A158,'Données projet'!$A$87:$I$107,4,0)),0,VLOOKUP(A158,'Données projet'!$A$87:$I$107,4,0))</f>
        <v>0</v>
      </c>
      <c r="BM158" s="135">
        <f>IF(ISNA(VLOOKUP(A158,'Données projet'!$A$87:$I$107,5,0)),0%,VLOOKUP(A158,'Données projet'!$A$87:$I$107,5,0)*VLOOKUP('Données projet'!$B$11,'Paramètres'!$A$1:$I$89,7,0))</f>
        <v>0</v>
      </c>
      <c r="BN158" s="135">
        <f>IF(ISNA(VLOOKUP(A158,'Données projet'!$A$87:$I$107,6,0)),0%,VLOOKUP(A158,'Données projet'!$A$87:$I$107,6,0)*VLOOKUP('Données projet'!$B$11,'Paramètres'!$A$1:$I$89,7,0))</f>
        <v>0</v>
      </c>
      <c r="BO158" s="135">
        <f>IF(ISNA(VLOOKUP(A158,'Données projet'!$A$87:$I$107,7,0)),0%,VLOOKUP(A158,'Données projet'!$A$87:$I$107,7,0))</f>
        <v>0</v>
      </c>
      <c r="BP158" s="142">
        <f>EXP(-LN(2)/35)*BP157+(1-EXP(-LN(2)/35))/(LN(2)/35)*BL158*BM158*VLOOKUP('Données projet'!$B$11,'Paramètres'!$A$1:$I$89,3,0)*0.475*44/12</f>
        <v>31.12072875</v>
      </c>
      <c r="BQ158" s="142">
        <f>EXP(-LN(2)/25)*BQ157+(1-EXP(-LN(2)/25))/(LN(2)/25)*Calculateur!BL158*Calculateur!BN158*VLOOKUP('Données projet'!$B$11,'Paramètres'!$A$1:$I$89,3,0)*0.475*44/12</f>
        <v>1.618097327</v>
      </c>
      <c r="BR158" s="142">
        <f>EXP(-LN(2)/2)*BR157+(1-EXP(-LN(2)/2))/(LN(2)/2)*BL158*BO158*VLOOKUP('Données projet'!$B$11,'Paramètres'!$A$1:$I$89,3,0)*0.475*44/12</f>
        <v>0</v>
      </c>
      <c r="BS158" s="143">
        <f t="shared" si="10"/>
        <v>32.73882607</v>
      </c>
      <c r="BT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1" t="str">
        <f>VLOOKUP(A158,'Données projet'!$A$113:$I$133,2,0)</f>
        <v>#N/A</v>
      </c>
      <c r="BW158" s="131" t="str">
        <f>VLOOKUP(A158,'Données projet'!$A$113:$I$133,9,0)</f>
        <v>#N/A</v>
      </c>
      <c r="BX158" s="131" t="str">
        <f t="array" ref="BX158">INDEX(BW:BW,MIN(IF(ISNUMBER(BW158:BW354),ROW(BW158:BW354),"")))</f>
        <v/>
      </c>
      <c r="BY158" s="130">
        <f>IF('Données projet'!$A$114&gt;35,BY157+BX158-CG157,IF(A158&lt;'Données projet'!$A$114,$BV$205^A158,IF(A158='Données projet'!$A$114,'Données projet'!$B$114,BY157+BX158-CG157)))</f>
        <v>0</v>
      </c>
      <c r="BZ158" s="130">
        <f>BY158*VLOOKUP('Données projet'!$B$12,'Paramètres'!$A$1:$I$89,3,0)*VLOOKUP('Données projet'!$B$12,'Paramètres'!$A$1:$I$89,5,0)</f>
        <v>0</v>
      </c>
      <c r="CA158" s="130" t="str">
        <f t="shared" si="40"/>
        <v>#NUM!</v>
      </c>
      <c r="CB158" s="141" t="str">
        <f t="shared" si="11"/>
        <v>#NUM!</v>
      </c>
      <c r="CC158" s="133" t="str">
        <f t="shared" si="12"/>
        <v>#NUM!</v>
      </c>
      <c r="CD158" s="133">
        <f>AVERAGE(OFFSET($CC$3,0,0,'Données projet'!$E$12+1,1))-AVERAGE(OFFSET($H$3,0,0,'Données projet'!$E$12+1,1))</f>
        <v>258.1672054</v>
      </c>
      <c r="CE158" s="133">
        <f t="shared" si="41"/>
        <v>296.0724261</v>
      </c>
      <c r="CF158" s="134">
        <f>IF(ISNA(VLOOKUP(A158,'Données projet'!$A$113:$I$133,3,0)),0,VLOOKUP(A158,'Données projet'!$A$113:$I$133,3,0))</f>
        <v>0</v>
      </c>
      <c r="CG158" s="134">
        <f>IF(ISNA(VLOOKUP(A158,'Données projet'!$A$113:$I$133,4,0)),0,VLOOKUP(A158,'Données projet'!$A$113:$I$133,4,0))</f>
        <v>0</v>
      </c>
      <c r="CH158" s="135">
        <f>IF(ISNA(VLOOKUP(A158,'Données projet'!$A$113:$I$133,5,0)),0%,VLOOKUP(A158,'Données projet'!$A$113:$I$133,5,0)*VLOOKUP('Données projet'!$B$12,'Paramètres'!$A$1:$I$89,7,0))</f>
        <v>0</v>
      </c>
      <c r="CI158" s="135">
        <f>IF(ISNA(VLOOKUP(A158,'Données projet'!$A$113:$I$133,6,0)),0%,VLOOKUP(A158,'Données projet'!$A$113:$I$133,6,0)*VLOOKUP('Données projet'!$B$12,'Paramètres'!$A$1:$I$89,7,0))</f>
        <v>0</v>
      </c>
      <c r="CJ158" s="135">
        <f>IF(ISNA(VLOOKUP(A158,'Données projet'!$A$113:$I$133,7,0)),0%,VLOOKUP(A158,'Données projet'!$A$113:$I$133,7,0))</f>
        <v>0</v>
      </c>
      <c r="CK158" s="142">
        <f>EXP(-LN(2)/35)*CK157+(1-EXP(-LN(2)/35))/(LN(2)/35)*CG158*CH158*VLOOKUP('Données projet'!$B$12,'Paramètres'!$A$1:$I$89,3,0)*0.475*44/12</f>
        <v>39.34612136</v>
      </c>
      <c r="CL158" s="142">
        <f>EXP(-LN(2)/25)*CL157+(1-EXP(-LN(2)/25))/(LN(2)/25)*Calculateur!CG158*Calculateur!CI158*VLOOKUP('Données projet'!$B$12,'Paramètres'!$A$1:$I$89,3,0)*0.475*44/12</f>
        <v>2.838234566</v>
      </c>
      <c r="CM158" s="142">
        <f>EXP(-LN(2)/2)*CM157+(1-EXP(-LN(2)/2))/(LN(2)/2)*CG158*CJ158*VLOOKUP('Données projet'!$B$12,'Paramètres'!$A$1:$I$89,3,0)*0.475*44/12</f>
        <v>0</v>
      </c>
      <c r="CN158" s="143">
        <f t="shared" si="13"/>
        <v>42.18435592</v>
      </c>
      <c r="CO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1" t="str">
        <f>VLOOKUP(A158,'Données projet'!$A$139:$I$159,2,0)</f>
        <v>#N/A</v>
      </c>
      <c r="CR158" s="131" t="str">
        <f>VLOOKUP(A158,'Données projet'!$A$139:$I$159,9,0)</f>
        <v>#N/A</v>
      </c>
      <c r="CS158" s="131" t="str">
        <f t="array" ref="CS158">INDEX(CR:CR,MIN(IF(ISNUMBER(CR158:CR354),ROW(CR158:CR354),"")))</f>
        <v/>
      </c>
      <c r="CT158" s="138">
        <f>IF('Données projet'!$A$140&gt;35,CT157+CS158-DB157,IF(A158&lt;'Données projet'!$A$140,$CQ$205^A158,IF(A158='Données projet'!$A$140,'Données projet'!$B$140,CT157+CS158-DB157)))</f>
        <v>0</v>
      </c>
      <c r="CU158" s="138">
        <f>CT158*VLOOKUP('Données projet'!$B$13,'Paramètres'!$A$1:$I$89,3,0)*VLOOKUP('Données projet'!$B$13,'Paramètres'!$A$1:$I$89,5,0)</f>
        <v>0</v>
      </c>
      <c r="CV158" s="130" t="str">
        <f t="shared" si="42"/>
        <v>#NUM!</v>
      </c>
      <c r="CW158" s="141" t="str">
        <f t="shared" si="14"/>
        <v>#NUM!</v>
      </c>
      <c r="CX158" s="133" t="str">
        <f t="shared" si="15"/>
        <v>#NUM!</v>
      </c>
      <c r="CY158" s="133">
        <f>AVERAGE(OFFSET($CX$3,0,0,'Données projet'!$E$13+1,1))-AVERAGE(OFFSET($H$3,0,0,'Données projet'!$E$13+1,1))</f>
        <v>223.783507</v>
      </c>
      <c r="CZ158" s="133">
        <f t="shared" si="43"/>
        <v>84.92349117</v>
      </c>
      <c r="DA158" s="134">
        <f>IF(ISNA(VLOOKUP(A158,'Données projet'!$A$139:$I$159,3,0)),0,VLOOKUP(A158,'Données projet'!$A$139:$I$159,3,0))</f>
        <v>0</v>
      </c>
      <c r="DB158" s="134">
        <f>IF(ISNA(VLOOKUP(A158,'Données projet'!$A$139:$I$159,4,0)),0,VLOOKUP(A158,'Données projet'!$A$139:$I$159,4,0))</f>
        <v>0</v>
      </c>
      <c r="DC158" s="135">
        <f>IF(ISNA(VLOOKUP(A158,'Données projet'!$A$139:$I$159,5,0)),0%,VLOOKUP(A158,'Données projet'!$A$139:$I$159,5,0)*VLOOKUP('Données projet'!$B$13,'Paramètres'!$A$1:$I$89,7,0))</f>
        <v>0</v>
      </c>
      <c r="DD158" s="135">
        <f>IF(ISNA(VLOOKUP(A158,'Données projet'!$A$139:$I$159,6,0)),0%,VLOOKUP(A158,'Données projet'!$A$139:$I$159,6,0)*VLOOKUP('Données projet'!$B$13,'Paramètres'!$A$1:$I$89,7,0))</f>
        <v>0</v>
      </c>
      <c r="DE158" s="135">
        <f>IF(ISNA(VLOOKUP(A158,'Données projet'!$A$139:$I$159,7,0)),0%,VLOOKUP(A158,'Données projet'!$A$139:$I$159,7,0))</f>
        <v>0</v>
      </c>
      <c r="DF158" s="142">
        <f>EXP(-LN(2)/35)*DF157+(1-EXP(-LN(2)/35))/(LN(2)/35)*DB158*DC158*VLOOKUP('Données projet'!$B$13,'Paramètres'!$A$1:$I$89,3,0)*0.475*44/12</f>
        <v>101.0562785</v>
      </c>
      <c r="DG158" s="142">
        <f>EXP(-LN(2)/25)*DG157+(1-EXP(-LN(2)/25))/(LN(2)/25)*Calculateur!DB158*Calculateur!DD158*VLOOKUP('Données projet'!$B$13,'Paramètres'!$A$1:$I$89,3,0)*0.475*44/12</f>
        <v>0</v>
      </c>
      <c r="DH158" s="142">
        <f>EXP(-LN(2)/2)*DH157+(1-EXP(-LN(2)/2))/(LN(2)/2)*DB158*DE158*VLOOKUP('Données projet'!$B$13,'Paramètres'!$A$1:$I$89,3,0)*0.475*44/12</f>
        <v>0</v>
      </c>
      <c r="DI158" s="143">
        <f t="shared" si="16"/>
        <v>101.0562785</v>
      </c>
      <c r="DJ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1" t="str">
        <f>VLOOKUP(A158,'Données projet'!$A$165:$I$185,2,0)</f>
        <v>#N/A</v>
      </c>
      <c r="DM158" s="131" t="str">
        <f>VLOOKUP(A158,'Données projet'!$A$165:$I$185,9,0)</f>
        <v>#N/A</v>
      </c>
      <c r="DN158" s="131" t="str">
        <f t="array" ref="DN158">INDEX(DM:DM,MIN(IF(ISNUMBER(DM158:DM354),ROW(DM158:DM354),"")))</f>
        <v/>
      </c>
      <c r="DO158" s="138">
        <f>IF('Données projet'!$A$166&gt;35,DO157+DN158-DW157,IF(A158&lt;'Données projet'!$A$166,$DL$205^A158,IF(A158='Données projet'!$A$166,'Données projet'!$B$166,DO157+DN158-DW157)))</f>
        <v>0</v>
      </c>
      <c r="DP158" s="138">
        <f>DO158*VLOOKUP('Données projet'!$B$14,'Paramètres'!$A$1:$I$89,3,0)*VLOOKUP('Données projet'!$B$14,'Paramètres'!$A$1:$I$89,5,0)</f>
        <v>0</v>
      </c>
      <c r="DQ158" s="130" t="str">
        <f t="shared" si="44"/>
        <v>#NUM!</v>
      </c>
      <c r="DR158" s="141" t="str">
        <f t="shared" si="17"/>
        <v>#NUM!</v>
      </c>
      <c r="DS158" s="133" t="str">
        <f t="shared" si="18"/>
        <v>#NUM!</v>
      </c>
      <c r="DT158" s="133">
        <f>AVERAGE(OFFSET($DS$3,0,0,'Données projet'!$E$14+1,1))-AVERAGE(OFFSET($H$3,0,0,'Données projet'!$E$14+1,1))</f>
        <v>287.9334714</v>
      </c>
      <c r="DU158" s="133">
        <f t="shared" si="45"/>
        <v>156.6796502</v>
      </c>
      <c r="DV158" s="134">
        <f>IF(ISNA(VLOOKUP(A158,'Données projet'!$A$165:$I$185,3,0)),0,VLOOKUP(A158,'Données projet'!$A$165:$I$185,3,0))</f>
        <v>0</v>
      </c>
      <c r="DW158" s="134">
        <f>IF(ISNA(VLOOKUP(A158,'Données projet'!$A$165:$I$185,4,0)),0,VLOOKUP(A158,'Données projet'!$A$165:$I$185,4,0))</f>
        <v>0</v>
      </c>
      <c r="DX158" s="135">
        <f>IF(ISNA(VLOOKUP(A158,'Données projet'!$A$165:$I$185,5,0)),0%,VLOOKUP(A158,'Données projet'!$A$165:$I$185,5,0)*VLOOKUP('Données projet'!$B$14,'Paramètres'!$A$1:$I$89,7,0))</f>
        <v>0</v>
      </c>
      <c r="DY158" s="135">
        <f>IF(ISNA(VLOOKUP(A158,'Données projet'!$A$165:$I$185,6,0)),0%,VLOOKUP(A158,'Données projet'!$A$165:$I$185,6,0)*VLOOKUP('Données projet'!$B$14,'Paramètres'!$A$1:$I$89,7,0))</f>
        <v>0</v>
      </c>
      <c r="DZ158" s="135">
        <f>IF(ISNA(VLOOKUP(A158,'Données projet'!$A$165:$I$185,7,0)),0%,VLOOKUP(A158,'Données projet'!$A$165:$I$185,7,0))</f>
        <v>0</v>
      </c>
      <c r="EA158" s="142">
        <f>EXP(-LN(2)/35)*EA157+(1-EXP(-LN(2)/35))/(LN(2)/35)*DW158*DX158*VLOOKUP('Données projet'!$B$14,'Paramètres'!$A$1:$I$89,3,0)*0.475*44/12</f>
        <v>117.3988002</v>
      </c>
      <c r="EB158" s="142">
        <f>EXP(-LN(2)/25)*EB157+(1-EXP(-LN(2)/25))/(LN(2)/25)*Calculateur!DW158*Calculateur!DY158*VLOOKUP('Données projet'!$B$14,'Paramètres'!$A$1:$I$89,3,0)*0.475*44/12</f>
        <v>0</v>
      </c>
      <c r="EC158" s="142">
        <f>EXP(-LN(2)/2)*EC157+(1-EXP(-LN(2)/2))/(LN(2)/2)*DW158*DZ158*VLOOKUP('Données projet'!$B$14,'Paramètres'!$A$1:$I$89,3,0)*0.475*44/12</f>
        <v>0</v>
      </c>
      <c r="ED158" s="143">
        <f t="shared" si="19"/>
        <v>117.3988002</v>
      </c>
      <c r="EE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1" t="str">
        <f>VLOOKUP(A158,'Données projet'!$A$191:$I$211,2,0)</f>
        <v>#N/A</v>
      </c>
      <c r="EH158" s="131" t="str">
        <f>VLOOKUP(A158,'Données projet'!$A$191:$I$211,9,0)</f>
        <v>#N/A</v>
      </c>
      <c r="EI158" s="131" t="str">
        <f t="array" ref="EI158">INDEX(EH:EH,MIN(IF(ISNUMBER(EH158:EH354),ROW(EH158:EH354),"")))</f>
        <v/>
      </c>
      <c r="EJ158" s="138">
        <f>IF('Données projet'!$A$192&gt;35,EJ157+EI158-ER157,IF(A158&lt;'Données projet'!$A$192,$EG$205^A158,IF(A158='Données projet'!$A$192,'Données projet'!$B$192,EJ157+EI158-ER157)))</f>
        <v>0</v>
      </c>
      <c r="EK158" s="138">
        <f>EJ158*VLOOKUP('Données projet'!$B$15,'Paramètres'!$A$1:$I$89,3,0)*VLOOKUP('Données projet'!$B$15,'Paramètres'!$A$1:$I$89,5,0)</f>
        <v>0</v>
      </c>
      <c r="EL158" s="130" t="str">
        <f t="shared" si="46"/>
        <v>#NUM!</v>
      </c>
      <c r="EM158" s="141" t="str">
        <f t="shared" si="20"/>
        <v>#NUM!</v>
      </c>
      <c r="EN158" s="133" t="str">
        <f t="shared" si="21"/>
        <v>#NUM!</v>
      </c>
      <c r="EO158" s="133">
        <f>AVERAGE(OFFSET($EN$3,0,0,'Données projet'!$E$15+1,1))-AVERAGE(OFFSET($H$3,0,0,'Données projet'!$E$15+1,1))</f>
        <v>130.3193339</v>
      </c>
      <c r="EP158" s="133">
        <f t="shared" si="47"/>
        <v>82.22784365</v>
      </c>
      <c r="EQ158" s="134">
        <f>IF(ISNA(VLOOKUP(A158,'Données projet'!$A$191:$I$211,3,0)),0,VLOOKUP(A158,'Données projet'!$A$191:$I$211,3,0))</f>
        <v>0</v>
      </c>
      <c r="ER158" s="134">
        <f>IF(ISNA(VLOOKUP(A158,'Données projet'!$A$191:$I$211,4,0)),0,VLOOKUP(A158,'Données projet'!$A$191:$I$211,4,0))</f>
        <v>0</v>
      </c>
      <c r="ES158" s="135">
        <f>IF(ISNA(VLOOKUP(A158,'Données projet'!$A$191:$I$211,5,0)),0%,VLOOKUP(A158,'Données projet'!$A$191:$I$211,5,0)*VLOOKUP('Données projet'!$B$15,'Paramètres'!$A$1:$I$89,7,0))</f>
        <v>0</v>
      </c>
      <c r="ET158" s="135">
        <f>IF(ISNA(VLOOKUP(A158,'Données projet'!$A$191:$I$211,6,0)),0%,VLOOKUP(A158,'Données projet'!$A$191:$I$211,6,0)*VLOOKUP('Données projet'!$B$15,'Paramètres'!$A$1:$I$89,7,0))</f>
        <v>0</v>
      </c>
      <c r="EU158" s="135">
        <f>IF(ISNA(VLOOKUP(A158,'Données projet'!$A$191:$I$211,7,0)),0%,VLOOKUP(A158,'Données projet'!$A$191:$I$211,7,0))</f>
        <v>0</v>
      </c>
      <c r="EV158" s="142">
        <f>EXP(-LN(2)/35)*EV157+(1-EXP(-LN(2)/35))/(LN(2)/35)*ER158*ES158*VLOOKUP('Données projet'!$B$15,'Paramètres'!$A$1:$I$89,3,0)*0.475*44/12</f>
        <v>24.05933925</v>
      </c>
      <c r="EW158" s="142">
        <f>EXP(-LN(2)/25)*EW157+(1-EXP(-LN(2)/25))/(LN(2)/25)*Calculateur!ER158*Calculateur!ET158*VLOOKUP('Données projet'!$B$15,'Paramètres'!$A$1:$I$89,3,0)*0.475*44/12</f>
        <v>0</v>
      </c>
      <c r="EX158" s="142">
        <f>EXP(-LN(2)/2)*EX157+(1-EXP(-LN(2)/2))/(LN(2)/2)*ER158*EU158*VLOOKUP('Données projet'!$B$15,'Paramètres'!$A$1:$I$89,3,0)*0.475*44/12</f>
        <v>0</v>
      </c>
      <c r="EY158" s="143">
        <f t="shared" si="22"/>
        <v>24.05933925</v>
      </c>
      <c r="EZ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1" t="str">
        <f>VLOOKUP(A158,'Données projet'!$A$217:$I$237,2,0)</f>
        <v>#N/A</v>
      </c>
      <c r="FC158" s="131" t="str">
        <f>VLOOKUP(A158,'Données projet'!$A$217:$I$237,9,0)</f>
        <v>#N/A</v>
      </c>
      <c r="FD158" s="131" t="str">
        <f t="array" ref="FD158">INDEX(FC:FC,MIN(IF(ISNUMBER(FC158:FC354),ROW(FC158:FC354),"")))</f>
        <v/>
      </c>
      <c r="FE158" s="130">
        <f>IF('Données projet'!$A$218&gt;35,FE157+FD158-FM157,IF(A158&lt;'Données projet'!$A$218,$FB$205^A158,IF(A158='Données projet'!$A$218,'Données projet'!$B$218,FE157+FD158-FM157)))</f>
        <v>0</v>
      </c>
      <c r="FF158" s="138">
        <f>FE158*VLOOKUP('Données projet'!$B$16,'Paramètres'!$A$1:$I$89,3,0)*VLOOKUP('Données projet'!$B$16,'Paramètres'!$A$1:$I$89,5,0)</f>
        <v>0</v>
      </c>
      <c r="FG158" s="130">
        <f t="shared" si="48"/>
        <v>0</v>
      </c>
      <c r="FH158" s="141">
        <f t="shared" si="23"/>
        <v>0</v>
      </c>
      <c r="FI158" s="133">
        <f t="shared" si="24"/>
        <v>293.3333333</v>
      </c>
      <c r="FJ158" s="133">
        <f>AVERAGE(OFFSET($FI$3,0,0,'Données projet'!$E$16+1,1))-AVERAGE(OFFSET($H$3,0,0,'Données projet'!$E$16+1,1))</f>
        <v>305.6252353</v>
      </c>
      <c r="FK158" s="133">
        <f t="shared" si="49"/>
        <v>331.397916</v>
      </c>
      <c r="FL158" s="134">
        <f>IF(ISNA(VLOOKUP(A158,'Données projet'!$A$217:$I$237,3,0)),0,VLOOKUP(A158,'Données projet'!$A$217:$I$237,3,0))</f>
        <v>0</v>
      </c>
      <c r="FM158" s="134">
        <f>IF(ISNA(VLOOKUP(A158,'Données projet'!$A$217:$I$237,4,0)),0,VLOOKUP(A158,'Données projet'!$A$217:$I$237,4,0))</f>
        <v>0</v>
      </c>
      <c r="FN158" s="135">
        <f>IF(ISNA(VLOOKUP(A158,'Données projet'!$A$217:$I$237,5,0)),0%,VLOOKUP(A158,'Données projet'!$A$217:$I$237,5,0)*VLOOKUP('Données projet'!$B$16,'Paramètres'!$A$1:$I$89,7,0))</f>
        <v>0</v>
      </c>
      <c r="FO158" s="135">
        <f>IF(ISNA(VLOOKUP(A158,'Données projet'!$A$217:$I$237,6,0)),0%,VLOOKUP(A158,'Données projet'!$A$217:$I$237,6,0)*VLOOKUP('Données projet'!$B$16,'Paramètres'!$A$1:$I$89,7,0))</f>
        <v>0</v>
      </c>
      <c r="FP158" s="135">
        <f>IF(ISNA(VLOOKUP(A158,'Données projet'!$A$217:$I$237,7,0)),0%,VLOOKUP(A158,'Données projet'!$A$217:$I$237,7,0))</f>
        <v>0</v>
      </c>
      <c r="FQ158" s="142">
        <f>EXP(-LN(2)/35)*FQ157+(1-EXP(-LN(2)/35))/(LN(2)/35)*FM158*FN158*VLOOKUP('Données projet'!$B$16,'Paramètres'!$A$1:$I$89,3,0)*0.475*44/12</f>
        <v>14.98006363</v>
      </c>
      <c r="FR158" s="142">
        <f>EXP(-LN(2)/25)*FR157+(1-EXP(-LN(2)/25))/(LN(2)/25)*Calculateur!FM158*Calculateur!FO158*VLOOKUP('Données projet'!$B$16,'Paramètres'!$A$1:$I$89,3,0)*0.475*44/12</f>
        <v>0</v>
      </c>
      <c r="FS158" s="142">
        <f>EXP(-LN(2)/2)*FS157+(1-EXP(-LN(2)/2))/(LN(2)/2)*FM158*FP158*VLOOKUP('Données projet'!$B$16,'Paramètres'!$A$1:$I$89,3,0)*0.475*44/12</f>
        <v>0</v>
      </c>
      <c r="FT158" s="143">
        <f t="shared" si="25"/>
        <v>14.98006363</v>
      </c>
      <c r="FU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1" t="str">
        <f>VLOOKUP(A158,'Données projet'!$A$243:$I$263,2,0)</f>
        <v>#N/A</v>
      </c>
      <c r="FX158" s="131" t="str">
        <f>VLOOKUP(A158,'Données projet'!$A$243:$I$263,9,0)</f>
        <v>#N/A</v>
      </c>
      <c r="FY158" s="131" t="str">
        <f t="array" ref="FY158">INDEX(FX:FX,MIN(IF(ISNUMBER(FX158:FX354),ROW(FX158:FX354),"")))</f>
        <v/>
      </c>
      <c r="FZ158" s="138">
        <f>IF('Données projet'!$A$244&gt;35,FZ157+FY158-GH157,IF(A158&lt;'Données projet'!$A$244,$FW$205^A158,IF(A158='Données projet'!$A$244,'Données projet'!$B$244,FZ157+FY158-GH157)))</f>
        <v>0</v>
      </c>
      <c r="GA158" s="138">
        <f>FZ158*VLOOKUP('Données projet'!$B$17,'Paramètres'!$A$1:$I$89,3,0)*VLOOKUP('Données projet'!$B$17,'Paramètres'!$A$1:$I$89,5,0)</f>
        <v>0</v>
      </c>
      <c r="GB158" s="130">
        <f t="shared" si="50"/>
        <v>0</v>
      </c>
      <c r="GC158" s="141">
        <f t="shared" si="26"/>
        <v>0</v>
      </c>
      <c r="GD158" s="133">
        <f t="shared" si="27"/>
        <v>293.3333333</v>
      </c>
      <c r="GE158" s="133">
        <f>AVERAGE(OFFSET($GD$3,0,0,'Données projet'!$E$17+1,1))-AVERAGE(OFFSET($H$3,0,0,'Données projet'!$E$17+1,1))</f>
        <v>118.7368745</v>
      </c>
      <c r="GF158" s="133">
        <f t="shared" si="51"/>
        <v>135.1233677</v>
      </c>
      <c r="GG158" s="134">
        <f>IF(ISNA(VLOOKUP(A158,'Données projet'!$A$243:$I$263,3,0)),0,VLOOKUP(A158,'Données projet'!$A$243:$I$263,3,0))</f>
        <v>0</v>
      </c>
      <c r="GH158" s="134">
        <f>IF(ISNA(VLOOKUP(A158,'Données projet'!$A$243:$I$263,4,0)),0,VLOOKUP(A158,'Données projet'!$A$243:$I$263,4,0))</f>
        <v>0</v>
      </c>
      <c r="GI158" s="135">
        <f>IF(ISNA(VLOOKUP(A158,'Données projet'!$A$243:$I$263,5,0)),0%,VLOOKUP(A158,'Données projet'!$A$243:$I$263,5,0)*VLOOKUP('Données projet'!$B$17,'Paramètres'!$A$1:$I$89,7,0))</f>
        <v>0</v>
      </c>
      <c r="GJ158" s="135">
        <f>IF(ISNA(VLOOKUP(A158,'Données projet'!$A$243:$I$263,6,0)),0%,VLOOKUP(A158,'Données projet'!$A$243:$I$263,6,0)*VLOOKUP('Données projet'!$B$17,'Paramètres'!$A$1:$I$89,7,0))</f>
        <v>0</v>
      </c>
      <c r="GK158" s="135">
        <f>IF(ISNA(VLOOKUP(A158,'Données projet'!$A$243:$I$263,7,0)),0%,VLOOKUP(A158,'Données projet'!$A$243:$I$263,7,0))</f>
        <v>0</v>
      </c>
      <c r="GL158" s="142">
        <f>EXP(-LN(2)/35)*GL157+(1-EXP(-LN(2)/35))/(LN(2)/35)*GH158*GI158*VLOOKUP('Données projet'!$B$17,'Paramètres'!$A$1:$I$89,3,0)*0.475*44/12</f>
        <v>15.8263909</v>
      </c>
      <c r="GM158" s="142">
        <f>EXP(-LN(2)/25)*GM157+(1-EXP(-LN(2)/25))/(LN(2)/25)*Calculateur!GH158*Calculateur!GJ158*VLOOKUP('Données projet'!$B$17,'Paramètres'!$A$1:$I$89,3,0)*0.475*44/12</f>
        <v>0</v>
      </c>
      <c r="GN158" s="142">
        <f>EXP(-LN(2)/2)*GN157+(1-EXP(-LN(2)/2))/(LN(2)/2)*GH158*GK158*VLOOKUP('Données projet'!$B$17,'Paramètres'!$A$1:$I$89,3,0)*0.475*44/12</f>
        <v>0</v>
      </c>
      <c r="GO158" s="142">
        <f t="shared" si="28"/>
        <v>15.8263909</v>
      </c>
      <c r="GP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1" t="str">
        <f>VLOOKUP(A158,'Données projet'!$A$269:$I$289,2,0)</f>
        <v>#N/A</v>
      </c>
      <c r="GS158" s="131" t="str">
        <f>VLOOKUP(A158,'Données projet'!$A$269:$I$289,9,0)</f>
        <v>#N/A</v>
      </c>
      <c r="GT158" s="131" t="str">
        <f t="array" ref="GT158">INDEX(GS:GS,MIN(IF(ISNUMBER(GS158:GS354),ROW(GS158:GS354),"")))</f>
        <v/>
      </c>
      <c r="GU158" s="138">
        <f>IF('Données projet'!$A$270&gt;35,GU157+GT158-HC157,IF(A158&lt;'Données projet'!$A$270,$GR$205^A158,IF(A158='Données projet'!$A$270,'Données projet'!$B$270,GU157+GT158-HC157)))</f>
        <v>0</v>
      </c>
      <c r="GV158" s="138">
        <f>GU158*VLOOKUP('Données projet'!$B$18,'Paramètres'!$A$1:$I$89,3,0)*VLOOKUP('Données projet'!$B$18,'Paramètres'!$A$1:$I$89,5,0)</f>
        <v>0</v>
      </c>
      <c r="GW158" s="130" t="str">
        <f t="shared" si="52"/>
        <v>#NUM!</v>
      </c>
      <c r="GX158" s="141" t="str">
        <f t="shared" si="29"/>
        <v>#NUM!</v>
      </c>
      <c r="GY158" s="133" t="str">
        <f t="shared" si="30"/>
        <v>#NUM!</v>
      </c>
      <c r="GZ158" s="133">
        <f>AVERAGE(OFFSET($GY$3,0,0,'Données projet'!$E$18+1,1))-AVERAGE(OFFSET($H$3,0,0,'Données projet'!$E$18+1,1))</f>
        <v>100.5427875</v>
      </c>
      <c r="HA158" s="133">
        <f t="shared" si="53"/>
        <v>92.28663609</v>
      </c>
      <c r="HB158" s="134">
        <f>IF(ISNA(VLOOKUP(A158,'Données projet'!$A$269:$I$289,3,0)),0,VLOOKUP(A158,'Données projet'!$A$269:$I$289,3,0))</f>
        <v>0</v>
      </c>
      <c r="HC158" s="134">
        <f>IF(ISNA(VLOOKUP(A158,'Données projet'!$A$269:$I$289,4,0)),0,VLOOKUP(A158,'Données projet'!$A$269:$I$289,4,0))</f>
        <v>0</v>
      </c>
      <c r="HD158" s="135">
        <f>IF(ISNA(VLOOKUP(A158,'Données projet'!$A$269:$I$289,5,0)),0%,VLOOKUP(A158,'Données projet'!$A$269:$I$289,5,0)*VLOOKUP('Données projet'!$B$18,'Paramètres'!$A$1:$I$89,7,0))</f>
        <v>0</v>
      </c>
      <c r="HE158" s="135">
        <f>IF(ISNA(VLOOKUP(A158,'Données projet'!$A$269:$I$289,6,0)),0%,VLOOKUP(A158,'Données projet'!$A$269:$I$289,6,0)*VLOOKUP('Données projet'!$B$18,'Paramètres'!$A$1:$I$89,7,0))</f>
        <v>0</v>
      </c>
      <c r="HF158" s="135">
        <f>IF(ISNA(VLOOKUP(A158,'Données projet'!$A$269:$I$289,7,0)),0%,VLOOKUP(A158,'Données projet'!$A$269:$I$289,7,0))</f>
        <v>0</v>
      </c>
      <c r="HG158" s="142">
        <f>EXP(-LN(2)/35)*HG157+(1-EXP(-LN(2)/35))/(LN(2)/35)*HC158*HD158*VLOOKUP('Données projet'!$B$18,'Paramètres'!$A$1:$I$89,3,0)*0.475*44/12</f>
        <v>10.77743833</v>
      </c>
      <c r="HH158" s="142">
        <f>EXP(-LN(2)/25)*HH157+(1-EXP(-LN(2)/25))/(LN(2)/25)*Calculateur!HC158*Calculateur!HE158*VLOOKUP('Données projet'!$B$18,'Paramètres'!$A$1:$I$89,3,0)*0.475*44/12</f>
        <v>0</v>
      </c>
      <c r="HI158" s="142">
        <f>EXP(-LN(2)/2)*HI157+(1-EXP(-LN(2)/2))/(LN(2)/2)*HC158*HF158*VLOOKUP('Données projet'!$B$18,'Paramètres'!$A$1:$I$89,3,0)*0.475*44/12</f>
        <v>0</v>
      </c>
      <c r="HJ158" s="143">
        <f t="shared" si="31"/>
        <v>10.77743833</v>
      </c>
    </row>
    <row r="159" ht="15.75" customHeight="1">
      <c r="A159" s="125">
        <f t="shared" si="32"/>
        <v>156</v>
      </c>
      <c r="B159" s="126">
        <f>'Scénario référence'!$B$16*5+'Scénario référence'!$B$17*0+'Scénario référence'!$B$18*5</f>
        <v>0</v>
      </c>
      <c r="C159" s="140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85.176</v>
      </c>
      <c r="D159" s="127">
        <f t="shared" si="33"/>
        <v>23.39808849</v>
      </c>
      <c r="E15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7">
        <f>IF(OR('Scénario référence'!$F$8&gt;0,'Scénario référence'!$F$9&gt;0),('Scénario référence'!$F$8+'Scénario référence'!$F$9)*10,0)</f>
        <v>10</v>
      </c>
      <c r="G159" s="127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838.1157708</v>
      </c>
      <c r="H159" s="128">
        <f t="shared" si="1"/>
        <v>482.4332041</v>
      </c>
      <c r="I159" s="12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1" t="str">
        <f>VLOOKUP(A159,'Données projet'!$A$35:$I$55,2,0)</f>
        <v>#N/A</v>
      </c>
      <c r="L159" s="131" t="str">
        <f>VLOOKUP(A159,'Données projet'!$A$35:$I$55,9,0)</f>
        <v>#N/A</v>
      </c>
      <c r="M159" s="131" t="str">
        <f t="array" ref="M159">INDEX(L:L,MIN(IF(ISNUMBER(L159:L355),ROW(L159:L355),"")))</f>
        <v/>
      </c>
      <c r="N159" s="130">
        <f>IF('Données projet'!$A$36&gt;35,N158+M159-V158,IF(A159&lt;'Données projet'!$A$36,$K$205^A159,IF(A159='Données projet'!$A$36,'Données projet'!$B$36,N158+M159-V158)))</f>
        <v>0</v>
      </c>
      <c r="O159" s="130">
        <f>N159*VLOOKUP('Données projet'!$B$9,'Paramètres'!$A$1:$I$89,3,0)*VLOOKUP('Données projet'!$B$9,'Paramètres'!$A$1:$I$89,5,0)</f>
        <v>0</v>
      </c>
      <c r="P159" s="130">
        <f t="shared" si="34"/>
        <v>0</v>
      </c>
      <c r="Q159" s="141">
        <f t="shared" si="2"/>
        <v>0</v>
      </c>
      <c r="R159" s="133">
        <f t="shared" si="3"/>
        <v>293.3333333</v>
      </c>
      <c r="S159" s="133">
        <f>AVERAGE(OFFSET($R$3,0,0,'Données projet'!$E$9+1,1))-AVERAGE(OFFSET($H$3,0,0,'Données projet'!$E$9+1,1))</f>
        <v>126.9946492</v>
      </c>
      <c r="T159" s="133">
        <f t="shared" si="35"/>
        <v>140.039049</v>
      </c>
      <c r="U159" s="134">
        <f>IF(ISNA(VLOOKUP(A159,'Données projet'!$A$35:$I$55,3,0)),0,VLOOKUP(A159,'Données projet'!$A$35:$I$55,3,0))</f>
        <v>0</v>
      </c>
      <c r="V159" s="134">
        <f>IF(ISNA(VLOOKUP(A159,'Données projet'!$A$35:$I$55,4,0)),0,VLOOKUP(A159,'Données projet'!$A$35:$I$55,4,0))</f>
        <v>0</v>
      </c>
      <c r="W159" s="135">
        <f>IF(ISNA(VLOOKUP(A159,'Données projet'!$A$35:$I$55,5,0)),0%,VLOOKUP(A159,'Données projet'!$A$35:$I$55,5,0)*VLOOKUP('Données projet'!$B$9,'Paramètres'!$A$1:$I$89,7,0))</f>
        <v>0</v>
      </c>
      <c r="X159" s="135">
        <f>IF(ISNA(VLOOKUP(A159,'Données projet'!$A$35:$I$55,6,0)),0%,VLOOKUP(A159,'Données projet'!$A$35:$I$55,6,0)*VLOOKUP('Données projet'!$B$9,'Paramètres'!$A$1:$I$89,7,0))</f>
        <v>0</v>
      </c>
      <c r="Y159" s="135">
        <f>IF(ISNA(VLOOKUP(A159,'Données projet'!$A$35:$I$55,7,0)),0%,VLOOKUP(A159,'Données projet'!$A$35:$I$55,7,0))</f>
        <v>0</v>
      </c>
      <c r="Z159" s="142">
        <f>EXP(-LN(2)/35)*Z158+(1-EXP(-LN(2)/35))/(LN(2)/35)*V159*W159*VLOOKUP('Données projet'!$B$9,'Paramètres'!$A$1:$I$89,3,0)*0.475*44/12</f>
        <v>15.86946014</v>
      </c>
      <c r="AA159" s="142">
        <f>EXP(-LN(2)/25)*AA158+(1-EXP(-LN(2)/25))/(LN(2)/25)*Calculateur!V159*Calculateur!X159*VLOOKUP('Données projet'!$B$9,'Paramètres'!$A$1:$I$89,3,0)*0.475*44/12</f>
        <v>1.622765115</v>
      </c>
      <c r="AB159" s="142">
        <f>EXP(-LN(2)/2)*AB158+(1-EXP(-LN(2)/2))/(LN(2)/2)*V159*Y159*VLOOKUP('Données projet'!$B$9,'Paramètres'!$A$1:$I$89,3,0)*0.475*44/12</f>
        <v>0</v>
      </c>
      <c r="AC159" s="143">
        <f t="shared" si="4"/>
        <v>17.49222526</v>
      </c>
      <c r="AD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1" t="str">
        <f>VLOOKUP(A159,'Données projet'!$A$61:$I$81,2,0)</f>
        <v>#N/A</v>
      </c>
      <c r="AG159" s="131" t="str">
        <f>VLOOKUP(A159,'Données projet'!$A$61:$I$81,9,0)</f>
        <v>#N/A</v>
      </c>
      <c r="AH159" s="131" t="str">
        <f t="array" ref="AH159">INDEX(AG:AG,MIN(IF(ISNUMBER(AG159:AG355),ROW(AG159:AG355),"")))</f>
        <v/>
      </c>
      <c r="AI159" s="130">
        <f>IF('Données projet'!$A$62&gt;35,AI158+AH159-AQ158,IF(A159&lt;'Données projet'!$A$62,$AF$205^A159,IF(A159='Données projet'!$A$62,'Données projet'!$B$62,AI158+AH159-AQ158)))</f>
        <v>0</v>
      </c>
      <c r="AJ159" s="130">
        <f>AI159*VLOOKUP('Données projet'!$B$10,'Paramètres'!$A$1:$I$89,3,0)*VLOOKUP('Données projet'!$B$10,'Paramètres'!$A$1:$I$89,5,0)</f>
        <v>0</v>
      </c>
      <c r="AK159" s="130" t="str">
        <f t="shared" si="36"/>
        <v>#NUM!</v>
      </c>
      <c r="AL159" s="141" t="str">
        <f t="shared" si="5"/>
        <v>#NUM!</v>
      </c>
      <c r="AM159" s="133" t="str">
        <f t="shared" si="6"/>
        <v>#NUM!</v>
      </c>
      <c r="AN159" s="133">
        <f>AVERAGE(OFFSET($AM$3,0,0,'Données projet'!$E$10+1,1))-AVERAGE(OFFSET($H$3,0,0,'Données projet'!$E$10+1,1))</f>
        <v>196.874484</v>
      </c>
      <c r="AO159" s="133">
        <f t="shared" si="37"/>
        <v>217.5750859</v>
      </c>
      <c r="AP159" s="134">
        <f>IF(ISNA(VLOOKUP(A159,'Données projet'!$A$61:$I$81,3,0)),0,VLOOKUP(A159,'Données projet'!$A$61:$I$81,3,0))</f>
        <v>0</v>
      </c>
      <c r="AQ159" s="134">
        <f>IF(ISNA(VLOOKUP(A159,'Données projet'!$A$61:$I$81,4,0)),0,VLOOKUP(A159,'Données projet'!$A$61:$I$81,4,0))</f>
        <v>0</v>
      </c>
      <c r="AR159" s="135">
        <f>IF(ISNA(VLOOKUP(A159,'Données projet'!$A$61:$I$81,5,0)),0%,VLOOKUP(A159,'Données projet'!$A$61:$I$81,5,0)*VLOOKUP('Données projet'!$B$10,'Paramètres'!$A$1:$I$89,7,0))</f>
        <v>0</v>
      </c>
      <c r="AS159" s="135">
        <f>IF(ISNA(VLOOKUP(A159,'Données projet'!$A$61:$I$81,6,0)),0%,VLOOKUP(A159,'Données projet'!$A$61:$I$81,6,0)*VLOOKUP('Données projet'!$B$10,'Paramètres'!$A$1:$I$89,7,0))</f>
        <v>0</v>
      </c>
      <c r="AT159" s="135">
        <f>IF(ISNA(VLOOKUP(A159,'Données projet'!$A$61:$I$81,7,0)),0%,VLOOKUP(A159,'Données projet'!$A$61:$I$81,7,0))</f>
        <v>0</v>
      </c>
      <c r="AU159" s="142">
        <f>EXP(-LN(2)/35)*AU158+(1-EXP(-LN(2)/35))/(LN(2)/35)*AQ159*AR159*VLOOKUP('Données projet'!$B$10,'Paramètres'!$A$1:$I$89,3,0)*0.475*44/12</f>
        <v>22.05809884</v>
      </c>
      <c r="AV159" s="142">
        <f>EXP(-LN(2)/25)*AV158+(1-EXP(-LN(2)/25))/(LN(2)/25)*Calculateur!AQ159*Calculateur!AS159*VLOOKUP('Données projet'!$B$10,'Paramètres'!$A$1:$I$89,3,0)*0.475*44/12</f>
        <v>2.495003532</v>
      </c>
      <c r="AW159" s="142">
        <f>EXP(-LN(2)/2)*AW158+(1-EXP(-LN(2)/2))/(LN(2)/2)*AQ159*AT159*VLOOKUP('Données projet'!$B$10,'Paramètres'!$A$1:$I$89,3,0)*0.475*44/12</f>
        <v>0</v>
      </c>
      <c r="AX159" s="142">
        <f t="shared" si="7"/>
        <v>24.55310238</v>
      </c>
      <c r="AY159" s="13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1" t="str">
        <f>VLOOKUP(A159,'Données projet'!$A$87:$I$107,2,0)</f>
        <v>#N/A</v>
      </c>
      <c r="BB159" s="131" t="str">
        <f>VLOOKUP(A159,'Données projet'!$A$87:$I$107,9,0)</f>
        <v>#N/A</v>
      </c>
      <c r="BC159" s="131" t="str">
        <f t="array" ref="BC159">INDEX(BB:BB,MIN(IF(ISNUMBER(BB159:BB355),ROW(BB159:BB355),"")))</f>
        <v/>
      </c>
      <c r="BD159" s="130">
        <f>IF('Données projet'!$A$88&gt;35,BD158+BC159-BL158,IF(A159&lt;'Données projet'!$A$88,$BA$205^A159,IF(A159='Données projet'!$A$88,'Données projet'!$B$88,BD158+BC159-BL158)))</f>
        <v>0</v>
      </c>
      <c r="BE159" s="130">
        <f>BD159*VLOOKUP('Données projet'!$B$11,'Paramètres'!$A$1:$I$89,3,0)*VLOOKUP('Données projet'!$B$11,'Paramètres'!$A$1:$I$89,5,0)</f>
        <v>0</v>
      </c>
      <c r="BF159" s="130" t="str">
        <f t="shared" si="38"/>
        <v>#NUM!</v>
      </c>
      <c r="BG159" s="141" t="str">
        <f t="shared" si="8"/>
        <v>#NUM!</v>
      </c>
      <c r="BH159" s="133" t="str">
        <f t="shared" si="9"/>
        <v>#NUM!</v>
      </c>
      <c r="BI159" s="133">
        <f>AVERAGE(OFFSET($BH$3,0,0,'Données projet'!$E$11+1,1))-AVERAGE(OFFSET($H$3,0,0,'Données projet'!$E$11+1,1))</f>
        <v>134.0948534</v>
      </c>
      <c r="BJ159" s="133">
        <f t="shared" si="39"/>
        <v>108.4102536</v>
      </c>
      <c r="BK159" s="134">
        <f>IF(ISNA(VLOOKUP(A159,'Données projet'!$A$87:$I$107,3,0)),0,VLOOKUP(A159,'Données projet'!$A$87:$I$107,3,0))</f>
        <v>0</v>
      </c>
      <c r="BL159" s="134">
        <f>IF(ISNA(VLOOKUP(A159,'Données projet'!$A$87:$I$107,4,0)),0,VLOOKUP(A159,'Données projet'!$A$87:$I$107,4,0))</f>
        <v>0</v>
      </c>
      <c r="BM159" s="135">
        <f>IF(ISNA(VLOOKUP(A159,'Données projet'!$A$87:$I$107,5,0)),0%,VLOOKUP(A159,'Données projet'!$A$87:$I$107,5,0)*VLOOKUP('Données projet'!$B$11,'Paramètres'!$A$1:$I$89,7,0))</f>
        <v>0</v>
      </c>
      <c r="BN159" s="135">
        <f>IF(ISNA(VLOOKUP(A159,'Données projet'!$A$87:$I$107,6,0)),0%,VLOOKUP(A159,'Données projet'!$A$87:$I$107,6,0)*VLOOKUP('Données projet'!$B$11,'Paramètres'!$A$1:$I$89,7,0))</f>
        <v>0</v>
      </c>
      <c r="BO159" s="135">
        <f>IF(ISNA(VLOOKUP(A159,'Données projet'!$A$87:$I$107,7,0)),0%,VLOOKUP(A159,'Données projet'!$A$87:$I$107,7,0))</f>
        <v>0</v>
      </c>
      <c r="BP159" s="142">
        <f>EXP(-LN(2)/35)*BP158+(1-EXP(-LN(2)/35))/(LN(2)/35)*BL159*BM159*VLOOKUP('Données projet'!$B$11,'Paramètres'!$A$1:$I$89,3,0)*0.475*44/12</f>
        <v>30.51047024</v>
      </c>
      <c r="BQ159" s="142">
        <f>EXP(-LN(2)/25)*BQ158+(1-EXP(-LN(2)/25))/(LN(2)/25)*Calculateur!BL159*Calculateur!BN159*VLOOKUP('Données projet'!$B$11,'Paramètres'!$A$1:$I$89,3,0)*0.475*44/12</f>
        <v>1.57385037</v>
      </c>
      <c r="BR159" s="142">
        <f>EXP(-LN(2)/2)*BR158+(1-EXP(-LN(2)/2))/(LN(2)/2)*BL159*BO159*VLOOKUP('Données projet'!$B$11,'Paramètres'!$A$1:$I$89,3,0)*0.475*44/12</f>
        <v>0</v>
      </c>
      <c r="BS159" s="143">
        <f t="shared" si="10"/>
        <v>32.08432061</v>
      </c>
      <c r="BT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1" t="str">
        <f>VLOOKUP(A159,'Données projet'!$A$113:$I$133,2,0)</f>
        <v>#N/A</v>
      </c>
      <c r="BW159" s="131" t="str">
        <f>VLOOKUP(A159,'Données projet'!$A$113:$I$133,9,0)</f>
        <v>#N/A</v>
      </c>
      <c r="BX159" s="131" t="str">
        <f t="array" ref="BX159">INDEX(BW:BW,MIN(IF(ISNUMBER(BW159:BW355),ROW(BW159:BW355),"")))</f>
        <v/>
      </c>
      <c r="BY159" s="130">
        <f>IF('Données projet'!$A$114&gt;35,BY158+BX159-CG158,IF(A159&lt;'Données projet'!$A$114,$BV$205^A159,IF(A159='Données projet'!$A$114,'Données projet'!$B$114,BY158+BX159-CG158)))</f>
        <v>0</v>
      </c>
      <c r="BZ159" s="130">
        <f>BY159*VLOOKUP('Données projet'!$B$12,'Paramètres'!$A$1:$I$89,3,0)*VLOOKUP('Données projet'!$B$12,'Paramètres'!$A$1:$I$89,5,0)</f>
        <v>0</v>
      </c>
      <c r="CA159" s="130" t="str">
        <f t="shared" si="40"/>
        <v>#NUM!</v>
      </c>
      <c r="CB159" s="141" t="str">
        <f t="shared" si="11"/>
        <v>#NUM!</v>
      </c>
      <c r="CC159" s="133" t="str">
        <f t="shared" si="12"/>
        <v>#NUM!</v>
      </c>
      <c r="CD159" s="133">
        <f>AVERAGE(OFFSET($CC$3,0,0,'Données projet'!$E$12+1,1))-AVERAGE(OFFSET($H$3,0,0,'Données projet'!$E$12+1,1))</f>
        <v>258.1672054</v>
      </c>
      <c r="CE159" s="133">
        <f t="shared" si="41"/>
        <v>296.0724261</v>
      </c>
      <c r="CF159" s="134">
        <f>IF(ISNA(VLOOKUP(A159,'Données projet'!$A$113:$I$133,3,0)),0,VLOOKUP(A159,'Données projet'!$A$113:$I$133,3,0))</f>
        <v>0</v>
      </c>
      <c r="CG159" s="134">
        <f>IF(ISNA(VLOOKUP(A159,'Données projet'!$A$113:$I$133,4,0)),0,VLOOKUP(A159,'Données projet'!$A$113:$I$133,4,0))</f>
        <v>0</v>
      </c>
      <c r="CH159" s="135">
        <f>IF(ISNA(VLOOKUP(A159,'Données projet'!$A$113:$I$133,5,0)),0%,VLOOKUP(A159,'Données projet'!$A$113:$I$133,5,0)*VLOOKUP('Données projet'!$B$12,'Paramètres'!$A$1:$I$89,7,0))</f>
        <v>0</v>
      </c>
      <c r="CI159" s="135">
        <f>IF(ISNA(VLOOKUP(A159,'Données projet'!$A$113:$I$133,6,0)),0%,VLOOKUP(A159,'Données projet'!$A$113:$I$133,6,0)*VLOOKUP('Données projet'!$B$12,'Paramètres'!$A$1:$I$89,7,0))</f>
        <v>0</v>
      </c>
      <c r="CJ159" s="135">
        <f>IF(ISNA(VLOOKUP(A159,'Données projet'!$A$113:$I$133,7,0)),0%,VLOOKUP(A159,'Données projet'!$A$113:$I$133,7,0))</f>
        <v>0</v>
      </c>
      <c r="CK159" s="142">
        <f>EXP(-LN(2)/35)*CK158+(1-EXP(-LN(2)/35))/(LN(2)/35)*CG159*CH159*VLOOKUP('Données projet'!$B$12,'Paramètres'!$A$1:$I$89,3,0)*0.475*44/12</f>
        <v>38.57456791</v>
      </c>
      <c r="CL159" s="142">
        <f>EXP(-LN(2)/25)*CL158+(1-EXP(-LN(2)/25))/(LN(2)/25)*Calculateur!CG159*Calculateur!CI159*VLOOKUP('Données projet'!$B$12,'Paramètres'!$A$1:$I$89,3,0)*0.475*44/12</f>
        <v>2.760622893</v>
      </c>
      <c r="CM159" s="142">
        <f>EXP(-LN(2)/2)*CM158+(1-EXP(-LN(2)/2))/(LN(2)/2)*CG159*CJ159*VLOOKUP('Données projet'!$B$12,'Paramètres'!$A$1:$I$89,3,0)*0.475*44/12</f>
        <v>0</v>
      </c>
      <c r="CN159" s="143">
        <f t="shared" si="13"/>
        <v>41.33519081</v>
      </c>
      <c r="CO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1" t="str">
        <f>VLOOKUP(A159,'Données projet'!$A$139:$I$159,2,0)</f>
        <v>#N/A</v>
      </c>
      <c r="CR159" s="131" t="str">
        <f>VLOOKUP(A159,'Données projet'!$A$139:$I$159,9,0)</f>
        <v>#N/A</v>
      </c>
      <c r="CS159" s="131" t="str">
        <f t="array" ref="CS159">INDEX(CR:CR,MIN(IF(ISNUMBER(CR159:CR355),ROW(CR159:CR355),"")))</f>
        <v/>
      </c>
      <c r="CT159" s="138">
        <f>IF('Données projet'!$A$140&gt;35,CT158+CS159-DB158,IF(A159&lt;'Données projet'!$A$140,$CQ$205^A159,IF(A159='Données projet'!$A$140,'Données projet'!$B$140,CT158+CS159-DB158)))</f>
        <v>0</v>
      </c>
      <c r="CU159" s="138">
        <f>CT159*VLOOKUP('Données projet'!$B$13,'Paramètres'!$A$1:$I$89,3,0)*VLOOKUP('Données projet'!$B$13,'Paramètres'!$A$1:$I$89,5,0)</f>
        <v>0</v>
      </c>
      <c r="CV159" s="130" t="str">
        <f t="shared" si="42"/>
        <v>#NUM!</v>
      </c>
      <c r="CW159" s="141" t="str">
        <f t="shared" si="14"/>
        <v>#NUM!</v>
      </c>
      <c r="CX159" s="133" t="str">
        <f t="shared" si="15"/>
        <v>#NUM!</v>
      </c>
      <c r="CY159" s="133">
        <f>AVERAGE(OFFSET($CX$3,0,0,'Données projet'!$E$13+1,1))-AVERAGE(OFFSET($H$3,0,0,'Données projet'!$E$13+1,1))</f>
        <v>223.783507</v>
      </c>
      <c r="CZ159" s="133">
        <f t="shared" si="43"/>
        <v>84.92349117</v>
      </c>
      <c r="DA159" s="134">
        <f>IF(ISNA(VLOOKUP(A159,'Données projet'!$A$139:$I$159,3,0)),0,VLOOKUP(A159,'Données projet'!$A$139:$I$159,3,0))</f>
        <v>0</v>
      </c>
      <c r="DB159" s="134">
        <f>IF(ISNA(VLOOKUP(A159,'Données projet'!$A$139:$I$159,4,0)),0,VLOOKUP(A159,'Données projet'!$A$139:$I$159,4,0))</f>
        <v>0</v>
      </c>
      <c r="DC159" s="135">
        <f>IF(ISNA(VLOOKUP(A159,'Données projet'!$A$139:$I$159,5,0)),0%,VLOOKUP(A159,'Données projet'!$A$139:$I$159,5,0)*VLOOKUP('Données projet'!$B$13,'Paramètres'!$A$1:$I$89,7,0))</f>
        <v>0</v>
      </c>
      <c r="DD159" s="135">
        <f>IF(ISNA(VLOOKUP(A159,'Données projet'!$A$139:$I$159,6,0)),0%,VLOOKUP(A159,'Données projet'!$A$139:$I$159,6,0)*VLOOKUP('Données projet'!$B$13,'Paramètres'!$A$1:$I$89,7,0))</f>
        <v>0</v>
      </c>
      <c r="DE159" s="135">
        <f>IF(ISNA(VLOOKUP(A159,'Données projet'!$A$139:$I$159,7,0)),0%,VLOOKUP(A159,'Données projet'!$A$139:$I$159,7,0))</f>
        <v>0</v>
      </c>
      <c r="DF159" s="142">
        <f>EXP(-LN(2)/35)*DF158+(1-EXP(-LN(2)/35))/(LN(2)/35)*DB159*DC159*VLOOKUP('Données projet'!$B$13,'Paramètres'!$A$1:$I$89,3,0)*0.475*44/12</f>
        <v>99.07462647</v>
      </c>
      <c r="DG159" s="142">
        <f>EXP(-LN(2)/25)*DG158+(1-EXP(-LN(2)/25))/(LN(2)/25)*Calculateur!DB159*Calculateur!DD159*VLOOKUP('Données projet'!$B$13,'Paramètres'!$A$1:$I$89,3,0)*0.475*44/12</f>
        <v>0</v>
      </c>
      <c r="DH159" s="142">
        <f>EXP(-LN(2)/2)*DH158+(1-EXP(-LN(2)/2))/(LN(2)/2)*DB159*DE159*VLOOKUP('Données projet'!$B$13,'Paramètres'!$A$1:$I$89,3,0)*0.475*44/12</f>
        <v>0</v>
      </c>
      <c r="DI159" s="143">
        <f t="shared" si="16"/>
        <v>99.07462647</v>
      </c>
      <c r="DJ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1" t="str">
        <f>VLOOKUP(A159,'Données projet'!$A$165:$I$185,2,0)</f>
        <v>#N/A</v>
      </c>
      <c r="DM159" s="131" t="str">
        <f>VLOOKUP(A159,'Données projet'!$A$165:$I$185,9,0)</f>
        <v>#N/A</v>
      </c>
      <c r="DN159" s="131" t="str">
        <f t="array" ref="DN159">INDEX(DM:DM,MIN(IF(ISNUMBER(DM159:DM355),ROW(DM159:DM355),"")))</f>
        <v/>
      </c>
      <c r="DO159" s="138">
        <f>IF('Données projet'!$A$166&gt;35,DO158+DN159-DW158,IF(A159&lt;'Données projet'!$A$166,$DL$205^A159,IF(A159='Données projet'!$A$166,'Données projet'!$B$166,DO158+DN159-DW158)))</f>
        <v>0</v>
      </c>
      <c r="DP159" s="138">
        <f>DO159*VLOOKUP('Données projet'!$B$14,'Paramètres'!$A$1:$I$89,3,0)*VLOOKUP('Données projet'!$B$14,'Paramètres'!$A$1:$I$89,5,0)</f>
        <v>0</v>
      </c>
      <c r="DQ159" s="130" t="str">
        <f t="shared" si="44"/>
        <v>#NUM!</v>
      </c>
      <c r="DR159" s="141" t="str">
        <f t="shared" si="17"/>
        <v>#NUM!</v>
      </c>
      <c r="DS159" s="133" t="str">
        <f t="shared" si="18"/>
        <v>#NUM!</v>
      </c>
      <c r="DT159" s="133">
        <f>AVERAGE(OFFSET($DS$3,0,0,'Données projet'!$E$14+1,1))-AVERAGE(OFFSET($H$3,0,0,'Données projet'!$E$14+1,1))</f>
        <v>287.9334714</v>
      </c>
      <c r="DU159" s="133">
        <f t="shared" si="45"/>
        <v>156.6796502</v>
      </c>
      <c r="DV159" s="134">
        <f>IF(ISNA(VLOOKUP(A159,'Données projet'!$A$165:$I$185,3,0)),0,VLOOKUP(A159,'Données projet'!$A$165:$I$185,3,0))</f>
        <v>0</v>
      </c>
      <c r="DW159" s="134">
        <f>IF(ISNA(VLOOKUP(A159,'Données projet'!$A$165:$I$185,4,0)),0,VLOOKUP(A159,'Données projet'!$A$165:$I$185,4,0))</f>
        <v>0</v>
      </c>
      <c r="DX159" s="135">
        <f>IF(ISNA(VLOOKUP(A159,'Données projet'!$A$165:$I$185,5,0)),0%,VLOOKUP(A159,'Données projet'!$A$165:$I$185,5,0)*VLOOKUP('Données projet'!$B$14,'Paramètres'!$A$1:$I$89,7,0))</f>
        <v>0</v>
      </c>
      <c r="DY159" s="135">
        <f>IF(ISNA(VLOOKUP(A159,'Données projet'!$A$165:$I$185,6,0)),0%,VLOOKUP(A159,'Données projet'!$A$165:$I$185,6,0)*VLOOKUP('Données projet'!$B$14,'Paramètres'!$A$1:$I$89,7,0))</f>
        <v>0</v>
      </c>
      <c r="DZ159" s="135">
        <f>IF(ISNA(VLOOKUP(A159,'Données projet'!$A$165:$I$185,7,0)),0%,VLOOKUP(A159,'Données projet'!$A$165:$I$185,7,0))</f>
        <v>0</v>
      </c>
      <c r="EA159" s="142">
        <f>EXP(-LN(2)/35)*EA158+(1-EXP(-LN(2)/35))/(LN(2)/35)*DW159*DX159*VLOOKUP('Données projet'!$B$14,'Paramètres'!$A$1:$I$89,3,0)*0.475*44/12</f>
        <v>115.0966813</v>
      </c>
      <c r="EB159" s="142">
        <f>EXP(-LN(2)/25)*EB158+(1-EXP(-LN(2)/25))/(LN(2)/25)*Calculateur!DW159*Calculateur!DY159*VLOOKUP('Données projet'!$B$14,'Paramètres'!$A$1:$I$89,3,0)*0.475*44/12</f>
        <v>0</v>
      </c>
      <c r="EC159" s="142">
        <f>EXP(-LN(2)/2)*EC158+(1-EXP(-LN(2)/2))/(LN(2)/2)*DW159*DZ159*VLOOKUP('Données projet'!$B$14,'Paramètres'!$A$1:$I$89,3,0)*0.475*44/12</f>
        <v>0</v>
      </c>
      <c r="ED159" s="143">
        <f t="shared" si="19"/>
        <v>115.0966813</v>
      </c>
      <c r="EE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1" t="str">
        <f>VLOOKUP(A159,'Données projet'!$A$191:$I$211,2,0)</f>
        <v>#N/A</v>
      </c>
      <c r="EH159" s="131" t="str">
        <f>VLOOKUP(A159,'Données projet'!$A$191:$I$211,9,0)</f>
        <v>#N/A</v>
      </c>
      <c r="EI159" s="131" t="str">
        <f t="array" ref="EI159">INDEX(EH:EH,MIN(IF(ISNUMBER(EH159:EH355),ROW(EH159:EH355),"")))</f>
        <v/>
      </c>
      <c r="EJ159" s="138">
        <f>IF('Données projet'!$A$192&gt;35,EJ158+EI159-ER158,IF(A159&lt;'Données projet'!$A$192,$EG$205^A159,IF(A159='Données projet'!$A$192,'Données projet'!$B$192,EJ158+EI159-ER158)))</f>
        <v>0</v>
      </c>
      <c r="EK159" s="138">
        <f>EJ159*VLOOKUP('Données projet'!$B$15,'Paramètres'!$A$1:$I$89,3,0)*VLOOKUP('Données projet'!$B$15,'Paramètres'!$A$1:$I$89,5,0)</f>
        <v>0</v>
      </c>
      <c r="EL159" s="130" t="str">
        <f t="shared" si="46"/>
        <v>#NUM!</v>
      </c>
      <c r="EM159" s="141" t="str">
        <f t="shared" si="20"/>
        <v>#NUM!</v>
      </c>
      <c r="EN159" s="133" t="str">
        <f t="shared" si="21"/>
        <v>#NUM!</v>
      </c>
      <c r="EO159" s="133">
        <f>AVERAGE(OFFSET($EN$3,0,0,'Données projet'!$E$15+1,1))-AVERAGE(OFFSET($H$3,0,0,'Données projet'!$E$15+1,1))</f>
        <v>130.3193339</v>
      </c>
      <c r="EP159" s="133">
        <f t="shared" si="47"/>
        <v>82.22784365</v>
      </c>
      <c r="EQ159" s="134">
        <f>IF(ISNA(VLOOKUP(A159,'Données projet'!$A$191:$I$211,3,0)),0,VLOOKUP(A159,'Données projet'!$A$191:$I$211,3,0))</f>
        <v>0</v>
      </c>
      <c r="ER159" s="134">
        <f>IF(ISNA(VLOOKUP(A159,'Données projet'!$A$191:$I$211,4,0)),0,VLOOKUP(A159,'Données projet'!$A$191:$I$211,4,0))</f>
        <v>0</v>
      </c>
      <c r="ES159" s="135">
        <f>IF(ISNA(VLOOKUP(A159,'Données projet'!$A$191:$I$211,5,0)),0%,VLOOKUP(A159,'Données projet'!$A$191:$I$211,5,0)*VLOOKUP('Données projet'!$B$15,'Paramètres'!$A$1:$I$89,7,0))</f>
        <v>0</v>
      </c>
      <c r="ET159" s="135">
        <f>IF(ISNA(VLOOKUP(A159,'Données projet'!$A$191:$I$211,6,0)),0%,VLOOKUP(A159,'Données projet'!$A$191:$I$211,6,0)*VLOOKUP('Données projet'!$B$15,'Paramètres'!$A$1:$I$89,7,0))</f>
        <v>0</v>
      </c>
      <c r="EU159" s="135">
        <f>IF(ISNA(VLOOKUP(A159,'Données projet'!$A$191:$I$211,7,0)),0%,VLOOKUP(A159,'Données projet'!$A$191:$I$211,7,0))</f>
        <v>0</v>
      </c>
      <c r="EV159" s="142">
        <f>EXP(-LN(2)/35)*EV158+(1-EXP(-LN(2)/35))/(LN(2)/35)*ER159*ES159*VLOOKUP('Données projet'!$B$15,'Paramètres'!$A$1:$I$89,3,0)*0.475*44/12</f>
        <v>23.58755028</v>
      </c>
      <c r="EW159" s="142">
        <f>EXP(-LN(2)/25)*EW158+(1-EXP(-LN(2)/25))/(LN(2)/25)*Calculateur!ER159*Calculateur!ET159*VLOOKUP('Données projet'!$B$15,'Paramètres'!$A$1:$I$89,3,0)*0.475*44/12</f>
        <v>0</v>
      </c>
      <c r="EX159" s="142">
        <f>EXP(-LN(2)/2)*EX158+(1-EXP(-LN(2)/2))/(LN(2)/2)*ER159*EU159*VLOOKUP('Données projet'!$B$15,'Paramètres'!$A$1:$I$89,3,0)*0.475*44/12</f>
        <v>0</v>
      </c>
      <c r="EY159" s="143">
        <f t="shared" si="22"/>
        <v>23.58755028</v>
      </c>
      <c r="EZ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1" t="str">
        <f>VLOOKUP(A159,'Données projet'!$A$217:$I$237,2,0)</f>
        <v>#N/A</v>
      </c>
      <c r="FC159" s="131" t="str">
        <f>VLOOKUP(A159,'Données projet'!$A$217:$I$237,9,0)</f>
        <v>#N/A</v>
      </c>
      <c r="FD159" s="131" t="str">
        <f t="array" ref="FD159">INDEX(FC:FC,MIN(IF(ISNUMBER(FC159:FC355),ROW(FC159:FC355),"")))</f>
        <v/>
      </c>
      <c r="FE159" s="130">
        <f>IF('Données projet'!$A$218&gt;35,FE158+FD159-FM158,IF(A159&lt;'Données projet'!$A$218,$FB$205^A159,IF(A159='Données projet'!$A$218,'Données projet'!$B$218,FE158+FD159-FM158)))</f>
        <v>0</v>
      </c>
      <c r="FF159" s="138">
        <f>FE159*VLOOKUP('Données projet'!$B$16,'Paramètres'!$A$1:$I$89,3,0)*VLOOKUP('Données projet'!$B$16,'Paramètres'!$A$1:$I$89,5,0)</f>
        <v>0</v>
      </c>
      <c r="FG159" s="130">
        <f t="shared" si="48"/>
        <v>0</v>
      </c>
      <c r="FH159" s="141">
        <f t="shared" si="23"/>
        <v>0</v>
      </c>
      <c r="FI159" s="133">
        <f t="shared" si="24"/>
        <v>293.3333333</v>
      </c>
      <c r="FJ159" s="133">
        <f>AVERAGE(OFFSET($FI$3,0,0,'Données projet'!$E$16+1,1))-AVERAGE(OFFSET($H$3,0,0,'Données projet'!$E$16+1,1))</f>
        <v>305.6252353</v>
      </c>
      <c r="FK159" s="133">
        <f t="shared" si="49"/>
        <v>331.397916</v>
      </c>
      <c r="FL159" s="134">
        <f>IF(ISNA(VLOOKUP(A159,'Données projet'!$A$217:$I$237,3,0)),0,VLOOKUP(A159,'Données projet'!$A$217:$I$237,3,0))</f>
        <v>0</v>
      </c>
      <c r="FM159" s="134">
        <f>IF(ISNA(VLOOKUP(A159,'Données projet'!$A$217:$I$237,4,0)),0,VLOOKUP(A159,'Données projet'!$A$217:$I$237,4,0))</f>
        <v>0</v>
      </c>
      <c r="FN159" s="135">
        <f>IF(ISNA(VLOOKUP(A159,'Données projet'!$A$217:$I$237,5,0)),0%,VLOOKUP(A159,'Données projet'!$A$217:$I$237,5,0)*VLOOKUP('Données projet'!$B$16,'Paramètres'!$A$1:$I$89,7,0))</f>
        <v>0</v>
      </c>
      <c r="FO159" s="135">
        <f>IF(ISNA(VLOOKUP(A159,'Données projet'!$A$217:$I$237,6,0)),0%,VLOOKUP(A159,'Données projet'!$A$217:$I$237,6,0)*VLOOKUP('Données projet'!$B$16,'Paramètres'!$A$1:$I$89,7,0))</f>
        <v>0</v>
      </c>
      <c r="FP159" s="135">
        <f>IF(ISNA(VLOOKUP(A159,'Données projet'!$A$217:$I$237,7,0)),0%,VLOOKUP(A159,'Données projet'!$A$217:$I$237,7,0))</f>
        <v>0</v>
      </c>
      <c r="FQ159" s="142">
        <f>EXP(-LN(2)/35)*FQ158+(1-EXP(-LN(2)/35))/(LN(2)/35)*FM159*FN159*VLOOKUP('Données projet'!$B$16,'Paramètres'!$A$1:$I$89,3,0)*0.475*44/12</f>
        <v>14.68631372</v>
      </c>
      <c r="FR159" s="142">
        <f>EXP(-LN(2)/25)*FR158+(1-EXP(-LN(2)/25))/(LN(2)/25)*Calculateur!FM159*Calculateur!FO159*VLOOKUP('Données projet'!$B$16,'Paramètres'!$A$1:$I$89,3,0)*0.475*44/12</f>
        <v>0</v>
      </c>
      <c r="FS159" s="142">
        <f>EXP(-LN(2)/2)*FS158+(1-EXP(-LN(2)/2))/(LN(2)/2)*FM159*FP159*VLOOKUP('Données projet'!$B$16,'Paramètres'!$A$1:$I$89,3,0)*0.475*44/12</f>
        <v>0</v>
      </c>
      <c r="FT159" s="143">
        <f t="shared" si="25"/>
        <v>14.68631372</v>
      </c>
      <c r="FU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1" t="str">
        <f>VLOOKUP(A159,'Données projet'!$A$243:$I$263,2,0)</f>
        <v>#N/A</v>
      </c>
      <c r="FX159" s="131" t="str">
        <f>VLOOKUP(A159,'Données projet'!$A$243:$I$263,9,0)</f>
        <v>#N/A</v>
      </c>
      <c r="FY159" s="131" t="str">
        <f t="array" ref="FY159">INDEX(FX:FX,MIN(IF(ISNUMBER(FX159:FX355),ROW(FX159:FX355),"")))</f>
        <v/>
      </c>
      <c r="FZ159" s="138">
        <f>IF('Données projet'!$A$244&gt;35,FZ158+FY159-GH158,IF(A159&lt;'Données projet'!$A$244,$FW$205^A159,IF(A159='Données projet'!$A$244,'Données projet'!$B$244,FZ158+FY159-GH158)))</f>
        <v>0</v>
      </c>
      <c r="GA159" s="138">
        <f>FZ159*VLOOKUP('Données projet'!$B$17,'Paramètres'!$A$1:$I$89,3,0)*VLOOKUP('Données projet'!$B$17,'Paramètres'!$A$1:$I$89,5,0)</f>
        <v>0</v>
      </c>
      <c r="GB159" s="130">
        <f t="shared" si="50"/>
        <v>0</v>
      </c>
      <c r="GC159" s="141">
        <f t="shared" si="26"/>
        <v>0</v>
      </c>
      <c r="GD159" s="133">
        <f t="shared" si="27"/>
        <v>293.3333333</v>
      </c>
      <c r="GE159" s="133">
        <f>AVERAGE(OFFSET($GD$3,0,0,'Données projet'!$E$17+1,1))-AVERAGE(OFFSET($H$3,0,0,'Données projet'!$E$17+1,1))</f>
        <v>118.7368745</v>
      </c>
      <c r="GF159" s="133">
        <f t="shared" si="51"/>
        <v>135.1233677</v>
      </c>
      <c r="GG159" s="134">
        <f>IF(ISNA(VLOOKUP(A159,'Données projet'!$A$243:$I$263,3,0)),0,VLOOKUP(A159,'Données projet'!$A$243:$I$263,3,0))</f>
        <v>0</v>
      </c>
      <c r="GH159" s="134">
        <f>IF(ISNA(VLOOKUP(A159,'Données projet'!$A$243:$I$263,4,0)),0,VLOOKUP(A159,'Données projet'!$A$243:$I$263,4,0))</f>
        <v>0</v>
      </c>
      <c r="GI159" s="135">
        <f>IF(ISNA(VLOOKUP(A159,'Données projet'!$A$243:$I$263,5,0)),0%,VLOOKUP(A159,'Données projet'!$A$243:$I$263,5,0)*VLOOKUP('Données projet'!$B$17,'Paramètres'!$A$1:$I$89,7,0))</f>
        <v>0</v>
      </c>
      <c r="GJ159" s="135">
        <f>IF(ISNA(VLOOKUP(A159,'Données projet'!$A$243:$I$263,6,0)),0%,VLOOKUP(A159,'Données projet'!$A$243:$I$263,6,0)*VLOOKUP('Données projet'!$B$17,'Paramètres'!$A$1:$I$89,7,0))</f>
        <v>0</v>
      </c>
      <c r="GK159" s="135">
        <f>IF(ISNA(VLOOKUP(A159,'Données projet'!$A$243:$I$263,7,0)),0%,VLOOKUP(A159,'Données projet'!$A$243:$I$263,7,0))</f>
        <v>0</v>
      </c>
      <c r="GL159" s="142">
        <f>EXP(-LN(2)/35)*GL158+(1-EXP(-LN(2)/35))/(LN(2)/35)*GH159*GI159*VLOOKUP('Données projet'!$B$17,'Paramètres'!$A$1:$I$89,3,0)*0.475*44/12</f>
        <v>15.51604503</v>
      </c>
      <c r="GM159" s="142">
        <f>EXP(-LN(2)/25)*GM158+(1-EXP(-LN(2)/25))/(LN(2)/25)*Calculateur!GH159*Calculateur!GJ159*VLOOKUP('Données projet'!$B$17,'Paramètres'!$A$1:$I$89,3,0)*0.475*44/12</f>
        <v>0</v>
      </c>
      <c r="GN159" s="142">
        <f>EXP(-LN(2)/2)*GN158+(1-EXP(-LN(2)/2))/(LN(2)/2)*GH159*GK159*VLOOKUP('Données projet'!$B$17,'Paramètres'!$A$1:$I$89,3,0)*0.475*44/12</f>
        <v>0</v>
      </c>
      <c r="GO159" s="142">
        <f t="shared" si="28"/>
        <v>15.51604503</v>
      </c>
      <c r="GP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1" t="str">
        <f>VLOOKUP(A159,'Données projet'!$A$269:$I$289,2,0)</f>
        <v>#N/A</v>
      </c>
      <c r="GS159" s="131" t="str">
        <f>VLOOKUP(A159,'Données projet'!$A$269:$I$289,9,0)</f>
        <v>#N/A</v>
      </c>
      <c r="GT159" s="131" t="str">
        <f t="array" ref="GT159">INDEX(GS:GS,MIN(IF(ISNUMBER(GS159:GS355),ROW(GS159:GS355),"")))</f>
        <v/>
      </c>
      <c r="GU159" s="138">
        <f>IF('Données projet'!$A$270&gt;35,GU158+GT159-HC158,IF(A159&lt;'Données projet'!$A$270,$GR$205^A159,IF(A159='Données projet'!$A$270,'Données projet'!$B$270,GU158+GT159-HC158)))</f>
        <v>0</v>
      </c>
      <c r="GV159" s="138">
        <f>GU159*VLOOKUP('Données projet'!$B$18,'Paramètres'!$A$1:$I$89,3,0)*VLOOKUP('Données projet'!$B$18,'Paramètres'!$A$1:$I$89,5,0)</f>
        <v>0</v>
      </c>
      <c r="GW159" s="130" t="str">
        <f t="shared" si="52"/>
        <v>#NUM!</v>
      </c>
      <c r="GX159" s="141" t="str">
        <f t="shared" si="29"/>
        <v>#NUM!</v>
      </c>
      <c r="GY159" s="133" t="str">
        <f t="shared" si="30"/>
        <v>#NUM!</v>
      </c>
      <c r="GZ159" s="133">
        <f>AVERAGE(OFFSET($GY$3,0,0,'Données projet'!$E$18+1,1))-AVERAGE(OFFSET($H$3,0,0,'Données projet'!$E$18+1,1))</f>
        <v>100.5427875</v>
      </c>
      <c r="HA159" s="133">
        <f t="shared" si="53"/>
        <v>92.28663609</v>
      </c>
      <c r="HB159" s="134">
        <f>IF(ISNA(VLOOKUP(A159,'Données projet'!$A$269:$I$289,3,0)),0,VLOOKUP(A159,'Données projet'!$A$269:$I$289,3,0))</f>
        <v>0</v>
      </c>
      <c r="HC159" s="134">
        <f>IF(ISNA(VLOOKUP(A159,'Données projet'!$A$269:$I$289,4,0)),0,VLOOKUP(A159,'Données projet'!$A$269:$I$289,4,0))</f>
        <v>0</v>
      </c>
      <c r="HD159" s="135">
        <f>IF(ISNA(VLOOKUP(A159,'Données projet'!$A$269:$I$289,5,0)),0%,VLOOKUP(A159,'Données projet'!$A$269:$I$289,5,0)*VLOOKUP('Données projet'!$B$18,'Paramètres'!$A$1:$I$89,7,0))</f>
        <v>0</v>
      </c>
      <c r="HE159" s="135">
        <f>IF(ISNA(VLOOKUP(A159,'Données projet'!$A$269:$I$289,6,0)),0%,VLOOKUP(A159,'Données projet'!$A$269:$I$289,6,0)*VLOOKUP('Données projet'!$B$18,'Paramètres'!$A$1:$I$89,7,0))</f>
        <v>0</v>
      </c>
      <c r="HF159" s="135">
        <f>IF(ISNA(VLOOKUP(A159,'Données projet'!$A$269:$I$289,7,0)),0%,VLOOKUP(A159,'Données projet'!$A$269:$I$289,7,0))</f>
        <v>0</v>
      </c>
      <c r="HG159" s="142">
        <f>EXP(-LN(2)/35)*HG158+(1-EXP(-LN(2)/35))/(LN(2)/35)*HC159*HD159*VLOOKUP('Données projet'!$B$18,'Paramètres'!$A$1:$I$89,3,0)*0.475*44/12</f>
        <v>10.56609934</v>
      </c>
      <c r="HH159" s="142">
        <f>EXP(-LN(2)/25)*HH158+(1-EXP(-LN(2)/25))/(LN(2)/25)*Calculateur!HC159*Calculateur!HE159*VLOOKUP('Données projet'!$B$18,'Paramètres'!$A$1:$I$89,3,0)*0.475*44/12</f>
        <v>0</v>
      </c>
      <c r="HI159" s="142">
        <f>EXP(-LN(2)/2)*HI158+(1-EXP(-LN(2)/2))/(LN(2)/2)*HC159*HF159*VLOOKUP('Données projet'!$B$18,'Paramètres'!$A$1:$I$89,3,0)*0.475*44/12</f>
        <v>0</v>
      </c>
      <c r="HJ159" s="143">
        <f t="shared" si="31"/>
        <v>10.56609934</v>
      </c>
    </row>
    <row r="160" ht="15.75" customHeight="1">
      <c r="A160" s="125">
        <f t="shared" si="32"/>
        <v>157</v>
      </c>
      <c r="B160" s="126">
        <f>'Scénario référence'!$B$16*5+'Scénario référence'!$B$17*0+'Scénario référence'!$B$18*5</f>
        <v>0</v>
      </c>
      <c r="C160" s="140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85.722</v>
      </c>
      <c r="D160" s="127">
        <f t="shared" si="33"/>
        <v>23.53056833</v>
      </c>
      <c r="E16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7">
        <f>IF(OR('Scénario référence'!$F$8&gt;0,'Scénario référence'!$F$9&gt;0),('Scénario référence'!$F$8+'Scénario référence'!$F$9)*10,0)</f>
        <v>10</v>
      </c>
      <c r="G160" s="127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843.3531591</v>
      </c>
      <c r="H160" s="128">
        <f t="shared" si="1"/>
        <v>483.6148898</v>
      </c>
      <c r="I160" s="12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1" t="str">
        <f>VLOOKUP(A160,'Données projet'!$A$35:$I$55,2,0)</f>
        <v>#N/A</v>
      </c>
      <c r="L160" s="131" t="str">
        <f>VLOOKUP(A160,'Données projet'!$A$35:$I$55,9,0)</f>
        <v>#N/A</v>
      </c>
      <c r="M160" s="131" t="str">
        <f t="array" ref="M160">INDEX(L:L,MIN(IF(ISNUMBER(L160:L356),ROW(L160:L356),"")))</f>
        <v/>
      </c>
      <c r="N160" s="130">
        <f>IF('Données projet'!$A$36&gt;35,N159+M160-V159,IF(A160&lt;'Données projet'!$A$36,$K$205^A160,IF(A160='Données projet'!$A$36,'Données projet'!$B$36,N159+M160-V159)))</f>
        <v>0</v>
      </c>
      <c r="O160" s="130">
        <f>N160*VLOOKUP('Données projet'!$B$9,'Paramètres'!$A$1:$I$89,3,0)*VLOOKUP('Données projet'!$B$9,'Paramètres'!$A$1:$I$89,5,0)</f>
        <v>0</v>
      </c>
      <c r="P160" s="130">
        <f t="shared" si="34"/>
        <v>0</v>
      </c>
      <c r="Q160" s="141">
        <f t="shared" si="2"/>
        <v>0</v>
      </c>
      <c r="R160" s="133">
        <f t="shared" si="3"/>
        <v>293.3333333</v>
      </c>
      <c r="S160" s="133">
        <f>AVERAGE(OFFSET($R$3,0,0,'Données projet'!$E$9+1,1))-AVERAGE(OFFSET($H$3,0,0,'Données projet'!$E$9+1,1))</f>
        <v>126.9946492</v>
      </c>
      <c r="T160" s="133">
        <f t="shared" si="35"/>
        <v>140.039049</v>
      </c>
      <c r="U160" s="134">
        <f>IF(ISNA(VLOOKUP(A160,'Données projet'!$A$35:$I$55,3,0)),0,VLOOKUP(A160,'Données projet'!$A$35:$I$55,3,0))</f>
        <v>0</v>
      </c>
      <c r="V160" s="134">
        <f>IF(ISNA(VLOOKUP(A160,'Données projet'!$A$35:$I$55,4,0)),0,VLOOKUP(A160,'Données projet'!$A$35:$I$55,4,0))</f>
        <v>0</v>
      </c>
      <c r="W160" s="135">
        <f>IF(ISNA(VLOOKUP(A160,'Données projet'!$A$35:$I$55,5,0)),0%,VLOOKUP(A160,'Données projet'!$A$35:$I$55,5,0)*VLOOKUP('Données projet'!$B$9,'Paramètres'!$A$1:$I$89,7,0))</f>
        <v>0</v>
      </c>
      <c r="X160" s="135">
        <f>IF(ISNA(VLOOKUP(A160,'Données projet'!$A$35:$I$55,6,0)),0%,VLOOKUP(A160,'Données projet'!$A$35:$I$55,6,0)*VLOOKUP('Données projet'!$B$9,'Paramètres'!$A$1:$I$89,7,0))</f>
        <v>0</v>
      </c>
      <c r="Y160" s="135">
        <f>IF(ISNA(VLOOKUP(A160,'Données projet'!$A$35:$I$55,7,0)),0%,VLOOKUP(A160,'Données projet'!$A$35:$I$55,7,0))</f>
        <v>0</v>
      </c>
      <c r="Z160" s="142">
        <f>EXP(-LN(2)/35)*Z159+(1-EXP(-LN(2)/35))/(LN(2)/35)*V160*W160*VLOOKUP('Données projet'!$B$9,'Paramètres'!$A$1:$I$89,3,0)*0.475*44/12</f>
        <v>15.55826971</v>
      </c>
      <c r="AA160" s="142">
        <f>EXP(-LN(2)/25)*AA159+(1-EXP(-LN(2)/25))/(LN(2)/25)*Calculateur!V160*Calculateur!X160*VLOOKUP('Données projet'!$B$9,'Paramètres'!$A$1:$I$89,3,0)*0.475*44/12</f>
        <v>1.578390517</v>
      </c>
      <c r="AB160" s="142">
        <f>EXP(-LN(2)/2)*AB159+(1-EXP(-LN(2)/2))/(LN(2)/2)*V160*Y160*VLOOKUP('Données projet'!$B$9,'Paramètres'!$A$1:$I$89,3,0)*0.475*44/12</f>
        <v>0</v>
      </c>
      <c r="AC160" s="143">
        <f t="shared" si="4"/>
        <v>17.13666022</v>
      </c>
      <c r="AD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1" t="str">
        <f>VLOOKUP(A160,'Données projet'!$A$61:$I$81,2,0)</f>
        <v>#N/A</v>
      </c>
      <c r="AG160" s="131" t="str">
        <f>VLOOKUP(A160,'Données projet'!$A$61:$I$81,9,0)</f>
        <v>#N/A</v>
      </c>
      <c r="AH160" s="131" t="str">
        <f t="array" ref="AH160">INDEX(AG:AG,MIN(IF(ISNUMBER(AG160:AG356),ROW(AG160:AG356),"")))</f>
        <v/>
      </c>
      <c r="AI160" s="130">
        <f>IF('Données projet'!$A$62&gt;35,AI159+AH160-AQ159,IF(A160&lt;'Données projet'!$A$62,$AF$205^A160,IF(A160='Données projet'!$A$62,'Données projet'!$B$62,AI159+AH160-AQ159)))</f>
        <v>0</v>
      </c>
      <c r="AJ160" s="130">
        <f>AI160*VLOOKUP('Données projet'!$B$10,'Paramètres'!$A$1:$I$89,3,0)*VLOOKUP('Données projet'!$B$10,'Paramètres'!$A$1:$I$89,5,0)</f>
        <v>0</v>
      </c>
      <c r="AK160" s="130" t="str">
        <f t="shared" si="36"/>
        <v>#NUM!</v>
      </c>
      <c r="AL160" s="141" t="str">
        <f t="shared" si="5"/>
        <v>#NUM!</v>
      </c>
      <c r="AM160" s="133" t="str">
        <f t="shared" si="6"/>
        <v>#NUM!</v>
      </c>
      <c r="AN160" s="133">
        <f>AVERAGE(OFFSET($AM$3,0,0,'Données projet'!$E$10+1,1))-AVERAGE(OFFSET($H$3,0,0,'Données projet'!$E$10+1,1))</f>
        <v>196.874484</v>
      </c>
      <c r="AO160" s="133">
        <f t="shared" si="37"/>
        <v>217.5750859</v>
      </c>
      <c r="AP160" s="134">
        <f>IF(ISNA(VLOOKUP(A160,'Données projet'!$A$61:$I$81,3,0)),0,VLOOKUP(A160,'Données projet'!$A$61:$I$81,3,0))</f>
        <v>0</v>
      </c>
      <c r="AQ160" s="134">
        <f>IF(ISNA(VLOOKUP(A160,'Données projet'!$A$61:$I$81,4,0)),0,VLOOKUP(A160,'Données projet'!$A$61:$I$81,4,0))</f>
        <v>0</v>
      </c>
      <c r="AR160" s="135">
        <f>IF(ISNA(VLOOKUP(A160,'Données projet'!$A$61:$I$81,5,0)),0%,VLOOKUP(A160,'Données projet'!$A$61:$I$81,5,0)*VLOOKUP('Données projet'!$B$10,'Paramètres'!$A$1:$I$89,7,0))</f>
        <v>0</v>
      </c>
      <c r="AS160" s="135">
        <f>IF(ISNA(VLOOKUP(A160,'Données projet'!$A$61:$I$81,6,0)),0%,VLOOKUP(A160,'Données projet'!$A$61:$I$81,6,0)*VLOOKUP('Données projet'!$B$10,'Paramètres'!$A$1:$I$89,7,0))</f>
        <v>0</v>
      </c>
      <c r="AT160" s="135">
        <f>IF(ISNA(VLOOKUP(A160,'Données projet'!$A$61:$I$81,7,0)),0%,VLOOKUP(A160,'Données projet'!$A$61:$I$81,7,0))</f>
        <v>0</v>
      </c>
      <c r="AU160" s="142">
        <f>EXP(-LN(2)/35)*AU159+(1-EXP(-LN(2)/35))/(LN(2)/35)*AQ160*AR160*VLOOKUP('Données projet'!$B$10,'Paramètres'!$A$1:$I$89,3,0)*0.475*44/12</f>
        <v>21.62555298</v>
      </c>
      <c r="AV160" s="142">
        <f>EXP(-LN(2)/25)*AV159+(1-EXP(-LN(2)/25))/(LN(2)/25)*Calculateur!AQ160*Calculateur!AS160*VLOOKUP('Données projet'!$B$10,'Paramètres'!$A$1:$I$89,3,0)*0.475*44/12</f>
        <v>2.426777529</v>
      </c>
      <c r="AW160" s="142">
        <f>EXP(-LN(2)/2)*AW159+(1-EXP(-LN(2)/2))/(LN(2)/2)*AQ160*AT160*VLOOKUP('Données projet'!$B$10,'Paramètres'!$A$1:$I$89,3,0)*0.475*44/12</f>
        <v>0</v>
      </c>
      <c r="AX160" s="142">
        <f t="shared" si="7"/>
        <v>24.05233051</v>
      </c>
      <c r="AY160" s="13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1" t="str">
        <f>VLOOKUP(A160,'Données projet'!$A$87:$I$107,2,0)</f>
        <v>#N/A</v>
      </c>
      <c r="BB160" s="131" t="str">
        <f>VLOOKUP(A160,'Données projet'!$A$87:$I$107,9,0)</f>
        <v>#N/A</v>
      </c>
      <c r="BC160" s="131" t="str">
        <f t="array" ref="BC160">INDEX(BB:BB,MIN(IF(ISNUMBER(BB160:BB356),ROW(BB160:BB356),"")))</f>
        <v/>
      </c>
      <c r="BD160" s="130">
        <f>IF('Données projet'!$A$88&gt;35,BD159+BC160-BL159,IF(A160&lt;'Données projet'!$A$88,$BA$205^A160,IF(A160='Données projet'!$A$88,'Données projet'!$B$88,BD159+BC160-BL159)))</f>
        <v>0</v>
      </c>
      <c r="BE160" s="130">
        <f>BD160*VLOOKUP('Données projet'!$B$11,'Paramètres'!$A$1:$I$89,3,0)*VLOOKUP('Données projet'!$B$11,'Paramètres'!$A$1:$I$89,5,0)</f>
        <v>0</v>
      </c>
      <c r="BF160" s="130" t="str">
        <f t="shared" si="38"/>
        <v>#NUM!</v>
      </c>
      <c r="BG160" s="141" t="str">
        <f t="shared" si="8"/>
        <v>#NUM!</v>
      </c>
      <c r="BH160" s="133" t="str">
        <f t="shared" si="9"/>
        <v>#NUM!</v>
      </c>
      <c r="BI160" s="133">
        <f>AVERAGE(OFFSET($BH$3,0,0,'Données projet'!$E$11+1,1))-AVERAGE(OFFSET($H$3,0,0,'Données projet'!$E$11+1,1))</f>
        <v>134.0948534</v>
      </c>
      <c r="BJ160" s="133">
        <f t="shared" si="39"/>
        <v>108.4102536</v>
      </c>
      <c r="BK160" s="134">
        <f>IF(ISNA(VLOOKUP(A160,'Données projet'!$A$87:$I$107,3,0)),0,VLOOKUP(A160,'Données projet'!$A$87:$I$107,3,0))</f>
        <v>0</v>
      </c>
      <c r="BL160" s="134">
        <f>IF(ISNA(VLOOKUP(A160,'Données projet'!$A$87:$I$107,4,0)),0,VLOOKUP(A160,'Données projet'!$A$87:$I$107,4,0))</f>
        <v>0</v>
      </c>
      <c r="BM160" s="135">
        <f>IF(ISNA(VLOOKUP(A160,'Données projet'!$A$87:$I$107,5,0)),0%,VLOOKUP(A160,'Données projet'!$A$87:$I$107,5,0)*VLOOKUP('Données projet'!$B$11,'Paramètres'!$A$1:$I$89,7,0))</f>
        <v>0</v>
      </c>
      <c r="BN160" s="135">
        <f>IF(ISNA(VLOOKUP(A160,'Données projet'!$A$87:$I$107,6,0)),0%,VLOOKUP(A160,'Données projet'!$A$87:$I$107,6,0)*VLOOKUP('Données projet'!$B$11,'Paramètres'!$A$1:$I$89,7,0))</f>
        <v>0</v>
      </c>
      <c r="BO160" s="135">
        <f>IF(ISNA(VLOOKUP(A160,'Données projet'!$A$87:$I$107,7,0)),0%,VLOOKUP(A160,'Données projet'!$A$87:$I$107,7,0))</f>
        <v>0</v>
      </c>
      <c r="BP160" s="142">
        <f>EXP(-LN(2)/35)*BP159+(1-EXP(-LN(2)/35))/(LN(2)/35)*BL160*BM160*VLOOKUP('Données projet'!$B$11,'Paramètres'!$A$1:$I$89,3,0)*0.475*44/12</f>
        <v>29.91217853</v>
      </c>
      <c r="BQ160" s="142">
        <f>EXP(-LN(2)/25)*BQ159+(1-EXP(-LN(2)/25))/(LN(2)/25)*Calculateur!BL160*Calculateur!BN160*VLOOKUP('Données projet'!$B$11,'Paramètres'!$A$1:$I$89,3,0)*0.475*44/12</f>
        <v>1.530813349</v>
      </c>
      <c r="BR160" s="142">
        <f>EXP(-LN(2)/2)*BR159+(1-EXP(-LN(2)/2))/(LN(2)/2)*BL160*BO160*VLOOKUP('Données projet'!$B$11,'Paramètres'!$A$1:$I$89,3,0)*0.475*44/12</f>
        <v>0</v>
      </c>
      <c r="BS160" s="143">
        <f t="shared" si="10"/>
        <v>31.44299187</v>
      </c>
      <c r="BT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1" t="str">
        <f>VLOOKUP(A160,'Données projet'!$A$113:$I$133,2,0)</f>
        <v>#N/A</v>
      </c>
      <c r="BW160" s="131" t="str">
        <f>VLOOKUP(A160,'Données projet'!$A$113:$I$133,9,0)</f>
        <v>#N/A</v>
      </c>
      <c r="BX160" s="131" t="str">
        <f t="array" ref="BX160">INDEX(BW:BW,MIN(IF(ISNUMBER(BW160:BW356),ROW(BW160:BW356),"")))</f>
        <v/>
      </c>
      <c r="BY160" s="130">
        <f>IF('Données projet'!$A$114&gt;35,BY159+BX160-CG159,IF(A160&lt;'Données projet'!$A$114,$BV$205^A160,IF(A160='Données projet'!$A$114,'Données projet'!$B$114,BY159+BX160-CG159)))</f>
        <v>0</v>
      </c>
      <c r="BZ160" s="130">
        <f>BY160*VLOOKUP('Données projet'!$B$12,'Paramètres'!$A$1:$I$89,3,0)*VLOOKUP('Données projet'!$B$12,'Paramètres'!$A$1:$I$89,5,0)</f>
        <v>0</v>
      </c>
      <c r="CA160" s="130" t="str">
        <f t="shared" si="40"/>
        <v>#NUM!</v>
      </c>
      <c r="CB160" s="141" t="str">
        <f t="shared" si="11"/>
        <v>#NUM!</v>
      </c>
      <c r="CC160" s="133" t="str">
        <f t="shared" si="12"/>
        <v>#NUM!</v>
      </c>
      <c r="CD160" s="133">
        <f>AVERAGE(OFFSET($CC$3,0,0,'Données projet'!$E$12+1,1))-AVERAGE(OFFSET($H$3,0,0,'Données projet'!$E$12+1,1))</f>
        <v>258.1672054</v>
      </c>
      <c r="CE160" s="133">
        <f t="shared" si="41"/>
        <v>296.0724261</v>
      </c>
      <c r="CF160" s="134">
        <f>IF(ISNA(VLOOKUP(A160,'Données projet'!$A$113:$I$133,3,0)),0,VLOOKUP(A160,'Données projet'!$A$113:$I$133,3,0))</f>
        <v>0</v>
      </c>
      <c r="CG160" s="134">
        <f>IF(ISNA(VLOOKUP(A160,'Données projet'!$A$113:$I$133,4,0)),0,VLOOKUP(A160,'Données projet'!$A$113:$I$133,4,0))</f>
        <v>0</v>
      </c>
      <c r="CH160" s="135">
        <f>IF(ISNA(VLOOKUP(A160,'Données projet'!$A$113:$I$133,5,0)),0%,VLOOKUP(A160,'Données projet'!$A$113:$I$133,5,0)*VLOOKUP('Données projet'!$B$12,'Paramètres'!$A$1:$I$89,7,0))</f>
        <v>0</v>
      </c>
      <c r="CI160" s="135">
        <f>IF(ISNA(VLOOKUP(A160,'Données projet'!$A$113:$I$133,6,0)),0%,VLOOKUP(A160,'Données projet'!$A$113:$I$133,6,0)*VLOOKUP('Données projet'!$B$12,'Paramètres'!$A$1:$I$89,7,0))</f>
        <v>0</v>
      </c>
      <c r="CJ160" s="135">
        <f>IF(ISNA(VLOOKUP(A160,'Données projet'!$A$113:$I$133,7,0)),0%,VLOOKUP(A160,'Données projet'!$A$113:$I$133,7,0))</f>
        <v>0</v>
      </c>
      <c r="CK160" s="142">
        <f>EXP(-LN(2)/35)*CK159+(1-EXP(-LN(2)/35))/(LN(2)/35)*CG160*CH160*VLOOKUP('Données projet'!$B$12,'Paramètres'!$A$1:$I$89,3,0)*0.475*44/12</f>
        <v>37.81814417</v>
      </c>
      <c r="CL160" s="142">
        <f>EXP(-LN(2)/25)*CL159+(1-EXP(-LN(2)/25))/(LN(2)/25)*Calculateur!CG160*Calculateur!CI160*VLOOKUP('Données projet'!$B$12,'Paramètres'!$A$1:$I$89,3,0)*0.475*44/12</f>
        <v>2.685133514</v>
      </c>
      <c r="CM160" s="142">
        <f>EXP(-LN(2)/2)*CM159+(1-EXP(-LN(2)/2))/(LN(2)/2)*CG160*CJ160*VLOOKUP('Données projet'!$B$12,'Paramètres'!$A$1:$I$89,3,0)*0.475*44/12</f>
        <v>0</v>
      </c>
      <c r="CN160" s="143">
        <f t="shared" si="13"/>
        <v>40.50327768</v>
      </c>
      <c r="CO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1" t="str">
        <f>VLOOKUP(A160,'Données projet'!$A$139:$I$159,2,0)</f>
        <v>#N/A</v>
      </c>
      <c r="CR160" s="131" t="str">
        <f>VLOOKUP(A160,'Données projet'!$A$139:$I$159,9,0)</f>
        <v>#N/A</v>
      </c>
      <c r="CS160" s="131" t="str">
        <f t="array" ref="CS160">INDEX(CR:CR,MIN(IF(ISNUMBER(CR160:CR356),ROW(CR160:CR356),"")))</f>
        <v/>
      </c>
      <c r="CT160" s="138">
        <f>IF('Données projet'!$A$140&gt;35,CT159+CS160-DB159,IF(A160&lt;'Données projet'!$A$140,$CQ$205^A160,IF(A160='Données projet'!$A$140,'Données projet'!$B$140,CT159+CS160-DB159)))</f>
        <v>0</v>
      </c>
      <c r="CU160" s="138">
        <f>CT160*VLOOKUP('Données projet'!$B$13,'Paramètres'!$A$1:$I$89,3,0)*VLOOKUP('Données projet'!$B$13,'Paramètres'!$A$1:$I$89,5,0)</f>
        <v>0</v>
      </c>
      <c r="CV160" s="130" t="str">
        <f t="shared" si="42"/>
        <v>#NUM!</v>
      </c>
      <c r="CW160" s="141" t="str">
        <f t="shared" si="14"/>
        <v>#NUM!</v>
      </c>
      <c r="CX160" s="133" t="str">
        <f t="shared" si="15"/>
        <v>#NUM!</v>
      </c>
      <c r="CY160" s="133">
        <f>AVERAGE(OFFSET($CX$3,0,0,'Données projet'!$E$13+1,1))-AVERAGE(OFFSET($H$3,0,0,'Données projet'!$E$13+1,1))</f>
        <v>223.783507</v>
      </c>
      <c r="CZ160" s="133">
        <f t="shared" si="43"/>
        <v>84.92349117</v>
      </c>
      <c r="DA160" s="134">
        <f>IF(ISNA(VLOOKUP(A160,'Données projet'!$A$139:$I$159,3,0)),0,VLOOKUP(A160,'Données projet'!$A$139:$I$159,3,0))</f>
        <v>0</v>
      </c>
      <c r="DB160" s="134">
        <f>IF(ISNA(VLOOKUP(A160,'Données projet'!$A$139:$I$159,4,0)),0,VLOOKUP(A160,'Données projet'!$A$139:$I$159,4,0))</f>
        <v>0</v>
      </c>
      <c r="DC160" s="135">
        <f>IF(ISNA(VLOOKUP(A160,'Données projet'!$A$139:$I$159,5,0)),0%,VLOOKUP(A160,'Données projet'!$A$139:$I$159,5,0)*VLOOKUP('Données projet'!$B$13,'Paramètres'!$A$1:$I$89,7,0))</f>
        <v>0</v>
      </c>
      <c r="DD160" s="135">
        <f>IF(ISNA(VLOOKUP(A160,'Données projet'!$A$139:$I$159,6,0)),0%,VLOOKUP(A160,'Données projet'!$A$139:$I$159,6,0)*VLOOKUP('Données projet'!$B$13,'Paramètres'!$A$1:$I$89,7,0))</f>
        <v>0</v>
      </c>
      <c r="DE160" s="135">
        <f>IF(ISNA(VLOOKUP(A160,'Données projet'!$A$139:$I$159,7,0)),0%,VLOOKUP(A160,'Données projet'!$A$139:$I$159,7,0))</f>
        <v>0</v>
      </c>
      <c r="DF160" s="142">
        <f>EXP(-LN(2)/35)*DF159+(1-EXP(-LN(2)/35))/(LN(2)/35)*DB160*DC160*VLOOKUP('Données projet'!$B$13,'Paramètres'!$A$1:$I$89,3,0)*0.475*44/12</f>
        <v>97.13183348</v>
      </c>
      <c r="DG160" s="142">
        <f>EXP(-LN(2)/25)*DG159+(1-EXP(-LN(2)/25))/(LN(2)/25)*Calculateur!DB160*Calculateur!DD160*VLOOKUP('Données projet'!$B$13,'Paramètres'!$A$1:$I$89,3,0)*0.475*44/12</f>
        <v>0</v>
      </c>
      <c r="DH160" s="142">
        <f>EXP(-LN(2)/2)*DH159+(1-EXP(-LN(2)/2))/(LN(2)/2)*DB160*DE160*VLOOKUP('Données projet'!$B$13,'Paramètres'!$A$1:$I$89,3,0)*0.475*44/12</f>
        <v>0</v>
      </c>
      <c r="DI160" s="143">
        <f t="shared" si="16"/>
        <v>97.13183348</v>
      </c>
      <c r="DJ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1" t="str">
        <f>VLOOKUP(A160,'Données projet'!$A$165:$I$185,2,0)</f>
        <v>#N/A</v>
      </c>
      <c r="DM160" s="131" t="str">
        <f>VLOOKUP(A160,'Données projet'!$A$165:$I$185,9,0)</f>
        <v>#N/A</v>
      </c>
      <c r="DN160" s="131" t="str">
        <f t="array" ref="DN160">INDEX(DM:DM,MIN(IF(ISNUMBER(DM160:DM356),ROW(DM160:DM356),"")))</f>
        <v/>
      </c>
      <c r="DO160" s="138">
        <f>IF('Données projet'!$A$166&gt;35,DO159+DN160-DW159,IF(A160&lt;'Données projet'!$A$166,$DL$205^A160,IF(A160='Données projet'!$A$166,'Données projet'!$B$166,DO159+DN160-DW159)))</f>
        <v>0</v>
      </c>
      <c r="DP160" s="138">
        <f>DO160*VLOOKUP('Données projet'!$B$14,'Paramètres'!$A$1:$I$89,3,0)*VLOOKUP('Données projet'!$B$14,'Paramètres'!$A$1:$I$89,5,0)</f>
        <v>0</v>
      </c>
      <c r="DQ160" s="130" t="str">
        <f t="shared" si="44"/>
        <v>#NUM!</v>
      </c>
      <c r="DR160" s="141" t="str">
        <f t="shared" si="17"/>
        <v>#NUM!</v>
      </c>
      <c r="DS160" s="133" t="str">
        <f t="shared" si="18"/>
        <v>#NUM!</v>
      </c>
      <c r="DT160" s="133">
        <f>AVERAGE(OFFSET($DS$3,0,0,'Données projet'!$E$14+1,1))-AVERAGE(OFFSET($H$3,0,0,'Données projet'!$E$14+1,1))</f>
        <v>287.9334714</v>
      </c>
      <c r="DU160" s="133">
        <f t="shared" si="45"/>
        <v>156.6796502</v>
      </c>
      <c r="DV160" s="134">
        <f>IF(ISNA(VLOOKUP(A160,'Données projet'!$A$165:$I$185,3,0)),0,VLOOKUP(A160,'Données projet'!$A$165:$I$185,3,0))</f>
        <v>0</v>
      </c>
      <c r="DW160" s="134">
        <f>IF(ISNA(VLOOKUP(A160,'Données projet'!$A$165:$I$185,4,0)),0,VLOOKUP(A160,'Données projet'!$A$165:$I$185,4,0))</f>
        <v>0</v>
      </c>
      <c r="DX160" s="135">
        <f>IF(ISNA(VLOOKUP(A160,'Données projet'!$A$165:$I$185,5,0)),0%,VLOOKUP(A160,'Données projet'!$A$165:$I$185,5,0)*VLOOKUP('Données projet'!$B$14,'Paramètres'!$A$1:$I$89,7,0))</f>
        <v>0</v>
      </c>
      <c r="DY160" s="135">
        <f>IF(ISNA(VLOOKUP(A160,'Données projet'!$A$165:$I$185,6,0)),0%,VLOOKUP(A160,'Données projet'!$A$165:$I$185,6,0)*VLOOKUP('Données projet'!$B$14,'Paramètres'!$A$1:$I$89,7,0))</f>
        <v>0</v>
      </c>
      <c r="DZ160" s="135">
        <f>IF(ISNA(VLOOKUP(A160,'Données projet'!$A$165:$I$185,7,0)),0%,VLOOKUP(A160,'Données projet'!$A$165:$I$185,7,0))</f>
        <v>0</v>
      </c>
      <c r="EA160" s="142">
        <f>EXP(-LN(2)/35)*EA159+(1-EXP(-LN(2)/35))/(LN(2)/35)*DW160*DX160*VLOOKUP('Données projet'!$B$14,'Paramètres'!$A$1:$I$89,3,0)*0.475*44/12</f>
        <v>112.8397056</v>
      </c>
      <c r="EB160" s="142">
        <f>EXP(-LN(2)/25)*EB159+(1-EXP(-LN(2)/25))/(LN(2)/25)*Calculateur!DW160*Calculateur!DY160*VLOOKUP('Données projet'!$B$14,'Paramètres'!$A$1:$I$89,3,0)*0.475*44/12</f>
        <v>0</v>
      </c>
      <c r="EC160" s="142">
        <f>EXP(-LN(2)/2)*EC159+(1-EXP(-LN(2)/2))/(LN(2)/2)*DW160*DZ160*VLOOKUP('Données projet'!$B$14,'Paramètres'!$A$1:$I$89,3,0)*0.475*44/12</f>
        <v>0</v>
      </c>
      <c r="ED160" s="143">
        <f t="shared" si="19"/>
        <v>112.8397056</v>
      </c>
      <c r="EE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1" t="str">
        <f>VLOOKUP(A160,'Données projet'!$A$191:$I$211,2,0)</f>
        <v>#N/A</v>
      </c>
      <c r="EH160" s="131" t="str">
        <f>VLOOKUP(A160,'Données projet'!$A$191:$I$211,9,0)</f>
        <v>#N/A</v>
      </c>
      <c r="EI160" s="131" t="str">
        <f t="array" ref="EI160">INDEX(EH:EH,MIN(IF(ISNUMBER(EH160:EH356),ROW(EH160:EH356),"")))</f>
        <v/>
      </c>
      <c r="EJ160" s="138">
        <f>IF('Données projet'!$A$192&gt;35,EJ159+EI160-ER159,IF(A160&lt;'Données projet'!$A$192,$EG$205^A160,IF(A160='Données projet'!$A$192,'Données projet'!$B$192,EJ159+EI160-ER159)))</f>
        <v>0</v>
      </c>
      <c r="EK160" s="138">
        <f>EJ160*VLOOKUP('Données projet'!$B$15,'Paramètres'!$A$1:$I$89,3,0)*VLOOKUP('Données projet'!$B$15,'Paramètres'!$A$1:$I$89,5,0)</f>
        <v>0</v>
      </c>
      <c r="EL160" s="130" t="str">
        <f t="shared" si="46"/>
        <v>#NUM!</v>
      </c>
      <c r="EM160" s="141" t="str">
        <f t="shared" si="20"/>
        <v>#NUM!</v>
      </c>
      <c r="EN160" s="133" t="str">
        <f t="shared" si="21"/>
        <v>#NUM!</v>
      </c>
      <c r="EO160" s="133">
        <f>AVERAGE(OFFSET($EN$3,0,0,'Données projet'!$E$15+1,1))-AVERAGE(OFFSET($H$3,0,0,'Données projet'!$E$15+1,1))</f>
        <v>130.3193339</v>
      </c>
      <c r="EP160" s="133">
        <f t="shared" si="47"/>
        <v>82.22784365</v>
      </c>
      <c r="EQ160" s="134">
        <f>IF(ISNA(VLOOKUP(A160,'Données projet'!$A$191:$I$211,3,0)),0,VLOOKUP(A160,'Données projet'!$A$191:$I$211,3,0))</f>
        <v>0</v>
      </c>
      <c r="ER160" s="134">
        <f>IF(ISNA(VLOOKUP(A160,'Données projet'!$A$191:$I$211,4,0)),0,VLOOKUP(A160,'Données projet'!$A$191:$I$211,4,0))</f>
        <v>0</v>
      </c>
      <c r="ES160" s="135">
        <f>IF(ISNA(VLOOKUP(A160,'Données projet'!$A$191:$I$211,5,0)),0%,VLOOKUP(A160,'Données projet'!$A$191:$I$211,5,0)*VLOOKUP('Données projet'!$B$15,'Paramètres'!$A$1:$I$89,7,0))</f>
        <v>0</v>
      </c>
      <c r="ET160" s="135">
        <f>IF(ISNA(VLOOKUP(A160,'Données projet'!$A$191:$I$211,6,0)),0%,VLOOKUP(A160,'Données projet'!$A$191:$I$211,6,0)*VLOOKUP('Données projet'!$B$15,'Paramètres'!$A$1:$I$89,7,0))</f>
        <v>0</v>
      </c>
      <c r="EU160" s="135">
        <f>IF(ISNA(VLOOKUP(A160,'Données projet'!$A$191:$I$211,7,0)),0%,VLOOKUP(A160,'Données projet'!$A$191:$I$211,7,0))</f>
        <v>0</v>
      </c>
      <c r="EV160" s="142">
        <f>EXP(-LN(2)/35)*EV159+(1-EXP(-LN(2)/35))/(LN(2)/35)*ER160*ES160*VLOOKUP('Données projet'!$B$15,'Paramètres'!$A$1:$I$89,3,0)*0.475*44/12</f>
        <v>23.1250128</v>
      </c>
      <c r="EW160" s="142">
        <f>EXP(-LN(2)/25)*EW159+(1-EXP(-LN(2)/25))/(LN(2)/25)*Calculateur!ER160*Calculateur!ET160*VLOOKUP('Données projet'!$B$15,'Paramètres'!$A$1:$I$89,3,0)*0.475*44/12</f>
        <v>0</v>
      </c>
      <c r="EX160" s="142">
        <f>EXP(-LN(2)/2)*EX159+(1-EXP(-LN(2)/2))/(LN(2)/2)*ER160*EU160*VLOOKUP('Données projet'!$B$15,'Paramètres'!$A$1:$I$89,3,0)*0.475*44/12</f>
        <v>0</v>
      </c>
      <c r="EY160" s="143">
        <f t="shared" si="22"/>
        <v>23.1250128</v>
      </c>
      <c r="EZ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1" t="str">
        <f>VLOOKUP(A160,'Données projet'!$A$217:$I$237,2,0)</f>
        <v>#N/A</v>
      </c>
      <c r="FC160" s="131" t="str">
        <f>VLOOKUP(A160,'Données projet'!$A$217:$I$237,9,0)</f>
        <v>#N/A</v>
      </c>
      <c r="FD160" s="131" t="str">
        <f t="array" ref="FD160">INDEX(FC:FC,MIN(IF(ISNUMBER(FC160:FC356),ROW(FC160:FC356),"")))</f>
        <v/>
      </c>
      <c r="FE160" s="130">
        <f>IF('Données projet'!$A$218&gt;35,FE159+FD160-FM159,IF(A160&lt;'Données projet'!$A$218,$FB$205^A160,IF(A160='Données projet'!$A$218,'Données projet'!$B$218,FE159+FD160-FM159)))</f>
        <v>0</v>
      </c>
      <c r="FF160" s="138">
        <f>FE160*VLOOKUP('Données projet'!$B$16,'Paramètres'!$A$1:$I$89,3,0)*VLOOKUP('Données projet'!$B$16,'Paramètres'!$A$1:$I$89,5,0)</f>
        <v>0</v>
      </c>
      <c r="FG160" s="130">
        <f t="shared" si="48"/>
        <v>0</v>
      </c>
      <c r="FH160" s="141">
        <f t="shared" si="23"/>
        <v>0</v>
      </c>
      <c r="FI160" s="133">
        <f t="shared" si="24"/>
        <v>293.3333333</v>
      </c>
      <c r="FJ160" s="133">
        <f>AVERAGE(OFFSET($FI$3,0,0,'Données projet'!$E$16+1,1))-AVERAGE(OFFSET($H$3,0,0,'Données projet'!$E$16+1,1))</f>
        <v>305.6252353</v>
      </c>
      <c r="FK160" s="133">
        <f t="shared" si="49"/>
        <v>331.397916</v>
      </c>
      <c r="FL160" s="134">
        <f>IF(ISNA(VLOOKUP(A160,'Données projet'!$A$217:$I$237,3,0)),0,VLOOKUP(A160,'Données projet'!$A$217:$I$237,3,0))</f>
        <v>0</v>
      </c>
      <c r="FM160" s="134">
        <f>IF(ISNA(VLOOKUP(A160,'Données projet'!$A$217:$I$237,4,0)),0,VLOOKUP(A160,'Données projet'!$A$217:$I$237,4,0))</f>
        <v>0</v>
      </c>
      <c r="FN160" s="135">
        <f>IF(ISNA(VLOOKUP(A160,'Données projet'!$A$217:$I$237,5,0)),0%,VLOOKUP(A160,'Données projet'!$A$217:$I$237,5,0)*VLOOKUP('Données projet'!$B$16,'Paramètres'!$A$1:$I$89,7,0))</f>
        <v>0</v>
      </c>
      <c r="FO160" s="135">
        <f>IF(ISNA(VLOOKUP(A160,'Données projet'!$A$217:$I$237,6,0)),0%,VLOOKUP(A160,'Données projet'!$A$217:$I$237,6,0)*VLOOKUP('Données projet'!$B$16,'Paramètres'!$A$1:$I$89,7,0))</f>
        <v>0</v>
      </c>
      <c r="FP160" s="135">
        <f>IF(ISNA(VLOOKUP(A160,'Données projet'!$A$217:$I$237,7,0)),0%,VLOOKUP(A160,'Données projet'!$A$217:$I$237,7,0))</f>
        <v>0</v>
      </c>
      <c r="FQ160" s="142">
        <f>EXP(-LN(2)/35)*FQ159+(1-EXP(-LN(2)/35))/(LN(2)/35)*FM160*FN160*VLOOKUP('Données projet'!$B$16,'Paramètres'!$A$1:$I$89,3,0)*0.475*44/12</f>
        <v>14.39832407</v>
      </c>
      <c r="FR160" s="142">
        <f>EXP(-LN(2)/25)*FR159+(1-EXP(-LN(2)/25))/(LN(2)/25)*Calculateur!FM160*Calculateur!FO160*VLOOKUP('Données projet'!$B$16,'Paramètres'!$A$1:$I$89,3,0)*0.475*44/12</f>
        <v>0</v>
      </c>
      <c r="FS160" s="142">
        <f>EXP(-LN(2)/2)*FS159+(1-EXP(-LN(2)/2))/(LN(2)/2)*FM160*FP160*VLOOKUP('Données projet'!$B$16,'Paramètres'!$A$1:$I$89,3,0)*0.475*44/12</f>
        <v>0</v>
      </c>
      <c r="FT160" s="143">
        <f t="shared" si="25"/>
        <v>14.39832407</v>
      </c>
      <c r="FU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1" t="str">
        <f>VLOOKUP(A160,'Données projet'!$A$243:$I$263,2,0)</f>
        <v>#N/A</v>
      </c>
      <c r="FX160" s="131" t="str">
        <f>VLOOKUP(A160,'Données projet'!$A$243:$I$263,9,0)</f>
        <v>#N/A</v>
      </c>
      <c r="FY160" s="131" t="str">
        <f t="array" ref="FY160">INDEX(FX:FX,MIN(IF(ISNUMBER(FX160:FX356),ROW(FX160:FX356),"")))</f>
        <v/>
      </c>
      <c r="FZ160" s="138">
        <f>IF('Données projet'!$A$244&gt;35,FZ159+FY160-GH159,IF(A160&lt;'Données projet'!$A$244,$FW$205^A160,IF(A160='Données projet'!$A$244,'Données projet'!$B$244,FZ159+FY160-GH159)))</f>
        <v>0</v>
      </c>
      <c r="GA160" s="138">
        <f>FZ160*VLOOKUP('Données projet'!$B$17,'Paramètres'!$A$1:$I$89,3,0)*VLOOKUP('Données projet'!$B$17,'Paramètres'!$A$1:$I$89,5,0)</f>
        <v>0</v>
      </c>
      <c r="GB160" s="130">
        <f t="shared" si="50"/>
        <v>0</v>
      </c>
      <c r="GC160" s="141">
        <f t="shared" si="26"/>
        <v>0</v>
      </c>
      <c r="GD160" s="133">
        <f t="shared" si="27"/>
        <v>293.3333333</v>
      </c>
      <c r="GE160" s="133">
        <f>AVERAGE(OFFSET($GD$3,0,0,'Données projet'!$E$17+1,1))-AVERAGE(OFFSET($H$3,0,0,'Données projet'!$E$17+1,1))</f>
        <v>118.7368745</v>
      </c>
      <c r="GF160" s="133">
        <f t="shared" si="51"/>
        <v>135.1233677</v>
      </c>
      <c r="GG160" s="134">
        <f>IF(ISNA(VLOOKUP(A160,'Données projet'!$A$243:$I$263,3,0)),0,VLOOKUP(A160,'Données projet'!$A$243:$I$263,3,0))</f>
        <v>0</v>
      </c>
      <c r="GH160" s="134">
        <f>IF(ISNA(VLOOKUP(A160,'Données projet'!$A$243:$I$263,4,0)),0,VLOOKUP(A160,'Données projet'!$A$243:$I$263,4,0))</f>
        <v>0</v>
      </c>
      <c r="GI160" s="135">
        <f>IF(ISNA(VLOOKUP(A160,'Données projet'!$A$243:$I$263,5,0)),0%,VLOOKUP(A160,'Données projet'!$A$243:$I$263,5,0)*VLOOKUP('Données projet'!$B$17,'Paramètres'!$A$1:$I$89,7,0))</f>
        <v>0</v>
      </c>
      <c r="GJ160" s="135">
        <f>IF(ISNA(VLOOKUP(A160,'Données projet'!$A$243:$I$263,6,0)),0%,VLOOKUP(A160,'Données projet'!$A$243:$I$263,6,0)*VLOOKUP('Données projet'!$B$17,'Paramètres'!$A$1:$I$89,7,0))</f>
        <v>0</v>
      </c>
      <c r="GK160" s="135">
        <f>IF(ISNA(VLOOKUP(A160,'Données projet'!$A$243:$I$263,7,0)),0%,VLOOKUP(A160,'Données projet'!$A$243:$I$263,7,0))</f>
        <v>0</v>
      </c>
      <c r="GL160" s="142">
        <f>EXP(-LN(2)/35)*GL159+(1-EXP(-LN(2)/35))/(LN(2)/35)*GH160*GI160*VLOOKUP('Données projet'!$B$17,'Paramètres'!$A$1:$I$89,3,0)*0.475*44/12</f>
        <v>15.21178485</v>
      </c>
      <c r="GM160" s="142">
        <f>EXP(-LN(2)/25)*GM159+(1-EXP(-LN(2)/25))/(LN(2)/25)*Calculateur!GH160*Calculateur!GJ160*VLOOKUP('Données projet'!$B$17,'Paramètres'!$A$1:$I$89,3,0)*0.475*44/12</f>
        <v>0</v>
      </c>
      <c r="GN160" s="142">
        <f>EXP(-LN(2)/2)*GN159+(1-EXP(-LN(2)/2))/(LN(2)/2)*GH160*GK160*VLOOKUP('Données projet'!$B$17,'Paramètres'!$A$1:$I$89,3,0)*0.475*44/12</f>
        <v>0</v>
      </c>
      <c r="GO160" s="142">
        <f t="shared" si="28"/>
        <v>15.21178485</v>
      </c>
      <c r="GP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1" t="str">
        <f>VLOOKUP(A160,'Données projet'!$A$269:$I$289,2,0)</f>
        <v>#N/A</v>
      </c>
      <c r="GS160" s="131" t="str">
        <f>VLOOKUP(A160,'Données projet'!$A$269:$I$289,9,0)</f>
        <v>#N/A</v>
      </c>
      <c r="GT160" s="131" t="str">
        <f t="array" ref="GT160">INDEX(GS:GS,MIN(IF(ISNUMBER(GS160:GS356),ROW(GS160:GS356),"")))</f>
        <v/>
      </c>
      <c r="GU160" s="138">
        <f>IF('Données projet'!$A$270&gt;35,GU159+GT160-HC159,IF(A160&lt;'Données projet'!$A$270,$GR$205^A160,IF(A160='Données projet'!$A$270,'Données projet'!$B$270,GU159+GT160-HC159)))</f>
        <v>0</v>
      </c>
      <c r="GV160" s="138">
        <f>GU160*VLOOKUP('Données projet'!$B$18,'Paramètres'!$A$1:$I$89,3,0)*VLOOKUP('Données projet'!$B$18,'Paramètres'!$A$1:$I$89,5,0)</f>
        <v>0</v>
      </c>
      <c r="GW160" s="130" t="str">
        <f t="shared" si="52"/>
        <v>#NUM!</v>
      </c>
      <c r="GX160" s="141" t="str">
        <f t="shared" si="29"/>
        <v>#NUM!</v>
      </c>
      <c r="GY160" s="133" t="str">
        <f t="shared" si="30"/>
        <v>#NUM!</v>
      </c>
      <c r="GZ160" s="133">
        <f>AVERAGE(OFFSET($GY$3,0,0,'Données projet'!$E$18+1,1))-AVERAGE(OFFSET($H$3,0,0,'Données projet'!$E$18+1,1))</f>
        <v>100.5427875</v>
      </c>
      <c r="HA160" s="133">
        <f t="shared" si="53"/>
        <v>92.28663609</v>
      </c>
      <c r="HB160" s="134">
        <f>IF(ISNA(VLOOKUP(A160,'Données projet'!$A$269:$I$289,3,0)),0,VLOOKUP(A160,'Données projet'!$A$269:$I$289,3,0))</f>
        <v>0</v>
      </c>
      <c r="HC160" s="134">
        <f>IF(ISNA(VLOOKUP(A160,'Données projet'!$A$269:$I$289,4,0)),0,VLOOKUP(A160,'Données projet'!$A$269:$I$289,4,0))</f>
        <v>0</v>
      </c>
      <c r="HD160" s="135">
        <f>IF(ISNA(VLOOKUP(A160,'Données projet'!$A$269:$I$289,5,0)),0%,VLOOKUP(A160,'Données projet'!$A$269:$I$289,5,0)*VLOOKUP('Données projet'!$B$18,'Paramètres'!$A$1:$I$89,7,0))</f>
        <v>0</v>
      </c>
      <c r="HE160" s="135">
        <f>IF(ISNA(VLOOKUP(A160,'Données projet'!$A$269:$I$289,6,0)),0%,VLOOKUP(A160,'Données projet'!$A$269:$I$289,6,0)*VLOOKUP('Données projet'!$B$18,'Paramètres'!$A$1:$I$89,7,0))</f>
        <v>0</v>
      </c>
      <c r="HF160" s="135">
        <f>IF(ISNA(VLOOKUP(A160,'Données projet'!$A$269:$I$289,7,0)),0%,VLOOKUP(A160,'Données projet'!$A$269:$I$289,7,0))</f>
        <v>0</v>
      </c>
      <c r="HG160" s="142">
        <f>EXP(-LN(2)/35)*HG159+(1-EXP(-LN(2)/35))/(LN(2)/35)*HC160*HD160*VLOOKUP('Données projet'!$B$18,'Paramètres'!$A$1:$I$89,3,0)*0.475*44/12</f>
        <v>10.35890457</v>
      </c>
      <c r="HH160" s="142">
        <f>EXP(-LN(2)/25)*HH159+(1-EXP(-LN(2)/25))/(LN(2)/25)*Calculateur!HC160*Calculateur!HE160*VLOOKUP('Données projet'!$B$18,'Paramètres'!$A$1:$I$89,3,0)*0.475*44/12</f>
        <v>0</v>
      </c>
      <c r="HI160" s="142">
        <f>EXP(-LN(2)/2)*HI159+(1-EXP(-LN(2)/2))/(LN(2)/2)*HC160*HF160*VLOOKUP('Données projet'!$B$18,'Paramètres'!$A$1:$I$89,3,0)*0.475*44/12</f>
        <v>0</v>
      </c>
      <c r="HJ160" s="143">
        <f t="shared" si="31"/>
        <v>10.35890457</v>
      </c>
    </row>
    <row r="161" ht="15.75" customHeight="1">
      <c r="A161" s="125">
        <f t="shared" si="32"/>
        <v>158</v>
      </c>
      <c r="B161" s="126">
        <f>'Scénario référence'!$B$16*5+'Scénario référence'!$B$17*0+'Scénario référence'!$B$18*5</f>
        <v>0</v>
      </c>
      <c r="C161" s="140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86.268</v>
      </c>
      <c r="D161" s="127">
        <f t="shared" si="33"/>
        <v>23.66295</v>
      </c>
      <c r="E16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7">
        <f>IF(OR('Scénario référence'!$F$8&gt;0,'Scénario référence'!$F$9&gt;0),('Scénario référence'!$F$8+'Scénario référence'!$F$9)*10,0)</f>
        <v>10</v>
      </c>
      <c r="G161" s="127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</v>
      </c>
      <c r="H161" s="128">
        <f t="shared" si="1"/>
        <v>484.7964046</v>
      </c>
      <c r="I161" s="12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1" t="str">
        <f>VLOOKUP(A161,'Données projet'!$A$35:$I$55,2,0)</f>
        <v>#N/A</v>
      </c>
      <c r="L161" s="131" t="str">
        <f>VLOOKUP(A161,'Données projet'!$A$35:$I$55,9,0)</f>
        <v>#N/A</v>
      </c>
      <c r="M161" s="131" t="str">
        <f t="array" ref="M161">INDEX(L:L,MIN(IF(ISNUMBER(L161:L357),ROW(L161:L357),"")))</f>
        <v/>
      </c>
      <c r="N161" s="130">
        <f>IF('Données projet'!$A$36&gt;35,N160+M161-V160,IF(A161&lt;'Données projet'!$A$36,$K$205^A161,IF(A161='Données projet'!$A$36,'Données projet'!$B$36,N160+M161-V160)))</f>
        <v>0</v>
      </c>
      <c r="O161" s="130">
        <f>N161*VLOOKUP('Données projet'!$B$9,'Paramètres'!$A$1:$I$89,3,0)*VLOOKUP('Données projet'!$B$9,'Paramètres'!$A$1:$I$89,5,0)</f>
        <v>0</v>
      </c>
      <c r="P161" s="130">
        <f t="shared" si="34"/>
        <v>0</v>
      </c>
      <c r="Q161" s="141">
        <f t="shared" si="2"/>
        <v>0</v>
      </c>
      <c r="R161" s="133">
        <f t="shared" si="3"/>
        <v>293.3333333</v>
      </c>
      <c r="S161" s="133">
        <f>AVERAGE(OFFSET($R$3,0,0,'Données projet'!$E$9+1,1))-AVERAGE(OFFSET($H$3,0,0,'Données projet'!$E$9+1,1))</f>
        <v>126.9946492</v>
      </c>
      <c r="T161" s="133">
        <f t="shared" si="35"/>
        <v>140.039049</v>
      </c>
      <c r="U161" s="134">
        <f>IF(ISNA(VLOOKUP(A161,'Données projet'!$A$35:$I$55,3,0)),0,VLOOKUP(A161,'Données projet'!$A$35:$I$55,3,0))</f>
        <v>0</v>
      </c>
      <c r="V161" s="134">
        <f>IF(ISNA(VLOOKUP(A161,'Données projet'!$A$35:$I$55,4,0)),0,VLOOKUP(A161,'Données projet'!$A$35:$I$55,4,0))</f>
        <v>0</v>
      </c>
      <c r="W161" s="135">
        <f>IF(ISNA(VLOOKUP(A161,'Données projet'!$A$35:$I$55,5,0)),0%,VLOOKUP(A161,'Données projet'!$A$35:$I$55,5,0)*VLOOKUP('Données projet'!$B$9,'Paramètres'!$A$1:$I$89,7,0))</f>
        <v>0</v>
      </c>
      <c r="X161" s="135">
        <f>IF(ISNA(VLOOKUP(A161,'Données projet'!$A$35:$I$55,6,0)),0%,VLOOKUP(A161,'Données projet'!$A$35:$I$55,6,0)*VLOOKUP('Données projet'!$B$9,'Paramètres'!$A$1:$I$89,7,0))</f>
        <v>0</v>
      </c>
      <c r="Y161" s="135">
        <f>IF(ISNA(VLOOKUP(A161,'Données projet'!$A$35:$I$55,7,0)),0%,VLOOKUP(A161,'Données projet'!$A$35:$I$55,7,0))</f>
        <v>0</v>
      </c>
      <c r="Z161" s="142">
        <f>EXP(-LN(2)/35)*Z160+(1-EXP(-LN(2)/35))/(LN(2)/35)*V161*W161*VLOOKUP('Données projet'!$B$9,'Paramètres'!$A$1:$I$89,3,0)*0.475*44/12</f>
        <v>15.25318153</v>
      </c>
      <c r="AA161" s="142">
        <f>EXP(-LN(2)/25)*AA160+(1-EXP(-LN(2)/25))/(LN(2)/25)*Calculateur!V161*Calculateur!X161*VLOOKUP('Données projet'!$B$9,'Paramètres'!$A$1:$I$89,3,0)*0.475*44/12</f>
        <v>1.535229346</v>
      </c>
      <c r="AB161" s="142">
        <f>EXP(-LN(2)/2)*AB160+(1-EXP(-LN(2)/2))/(LN(2)/2)*V161*Y161*VLOOKUP('Données projet'!$B$9,'Paramètres'!$A$1:$I$89,3,0)*0.475*44/12</f>
        <v>0</v>
      </c>
      <c r="AC161" s="143">
        <f t="shared" si="4"/>
        <v>16.78841087</v>
      </c>
      <c r="AD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1" t="str">
        <f>VLOOKUP(A161,'Données projet'!$A$61:$I$81,2,0)</f>
        <v>#N/A</v>
      </c>
      <c r="AG161" s="131" t="str">
        <f>VLOOKUP(A161,'Données projet'!$A$61:$I$81,9,0)</f>
        <v>#N/A</v>
      </c>
      <c r="AH161" s="131" t="str">
        <f t="array" ref="AH161">INDEX(AG:AG,MIN(IF(ISNUMBER(AG161:AG357),ROW(AG161:AG357),"")))</f>
        <v/>
      </c>
      <c r="AI161" s="130">
        <f>IF('Données projet'!$A$62&gt;35,AI160+AH161-AQ160,IF(A161&lt;'Données projet'!$A$62,$AF$205^A161,IF(A161='Données projet'!$A$62,'Données projet'!$B$62,AI160+AH161-AQ160)))</f>
        <v>0</v>
      </c>
      <c r="AJ161" s="130">
        <f>AI161*VLOOKUP('Données projet'!$B$10,'Paramètres'!$A$1:$I$89,3,0)*VLOOKUP('Données projet'!$B$10,'Paramètres'!$A$1:$I$89,5,0)</f>
        <v>0</v>
      </c>
      <c r="AK161" s="130" t="str">
        <f t="shared" si="36"/>
        <v>#NUM!</v>
      </c>
      <c r="AL161" s="141" t="str">
        <f t="shared" si="5"/>
        <v>#NUM!</v>
      </c>
      <c r="AM161" s="133" t="str">
        <f t="shared" si="6"/>
        <v>#NUM!</v>
      </c>
      <c r="AN161" s="133">
        <f>AVERAGE(OFFSET($AM$3,0,0,'Données projet'!$E$10+1,1))-AVERAGE(OFFSET($H$3,0,0,'Données projet'!$E$10+1,1))</f>
        <v>196.874484</v>
      </c>
      <c r="AO161" s="133">
        <f t="shared" si="37"/>
        <v>217.5750859</v>
      </c>
      <c r="AP161" s="134">
        <f>IF(ISNA(VLOOKUP(A161,'Données projet'!$A$61:$I$81,3,0)),0,VLOOKUP(A161,'Données projet'!$A$61:$I$81,3,0))</f>
        <v>0</v>
      </c>
      <c r="AQ161" s="134">
        <f>IF(ISNA(VLOOKUP(A161,'Données projet'!$A$61:$I$81,4,0)),0,VLOOKUP(A161,'Données projet'!$A$61:$I$81,4,0))</f>
        <v>0</v>
      </c>
      <c r="AR161" s="135">
        <f>IF(ISNA(VLOOKUP(A161,'Données projet'!$A$61:$I$81,5,0)),0%,VLOOKUP(A161,'Données projet'!$A$61:$I$81,5,0)*VLOOKUP('Données projet'!$B$10,'Paramètres'!$A$1:$I$89,7,0))</f>
        <v>0</v>
      </c>
      <c r="AS161" s="135">
        <f>IF(ISNA(VLOOKUP(A161,'Données projet'!$A$61:$I$81,6,0)),0%,VLOOKUP(A161,'Données projet'!$A$61:$I$81,6,0)*VLOOKUP('Données projet'!$B$10,'Paramètres'!$A$1:$I$89,7,0))</f>
        <v>0</v>
      </c>
      <c r="AT161" s="135">
        <f>IF(ISNA(VLOOKUP(A161,'Données projet'!$A$61:$I$81,7,0)),0%,VLOOKUP(A161,'Données projet'!$A$61:$I$81,7,0))</f>
        <v>0</v>
      </c>
      <c r="AU161" s="142">
        <f>EXP(-LN(2)/35)*AU160+(1-EXP(-LN(2)/35))/(LN(2)/35)*AQ161*AR161*VLOOKUP('Données projet'!$B$10,'Paramètres'!$A$1:$I$89,3,0)*0.475*44/12</f>
        <v>21.20148908</v>
      </c>
      <c r="AV161" s="142">
        <f>EXP(-LN(2)/25)*AV160+(1-EXP(-LN(2)/25))/(LN(2)/25)*Calculateur!AQ161*Calculateur!AS161*VLOOKUP('Données projet'!$B$10,'Paramètres'!$A$1:$I$89,3,0)*0.475*44/12</f>
        <v>2.36041717</v>
      </c>
      <c r="AW161" s="142">
        <f>EXP(-LN(2)/2)*AW160+(1-EXP(-LN(2)/2))/(LN(2)/2)*AQ161*AT161*VLOOKUP('Données projet'!$B$10,'Paramètres'!$A$1:$I$89,3,0)*0.475*44/12</f>
        <v>0</v>
      </c>
      <c r="AX161" s="142">
        <f t="shared" si="7"/>
        <v>23.56190625</v>
      </c>
      <c r="AY161" s="13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1" t="str">
        <f>VLOOKUP(A161,'Données projet'!$A$87:$I$107,2,0)</f>
        <v>#N/A</v>
      </c>
      <c r="BB161" s="131" t="str">
        <f>VLOOKUP(A161,'Données projet'!$A$87:$I$107,9,0)</f>
        <v>#N/A</v>
      </c>
      <c r="BC161" s="131" t="str">
        <f t="array" ref="BC161">INDEX(BB:BB,MIN(IF(ISNUMBER(BB161:BB357),ROW(BB161:BB357),"")))</f>
        <v/>
      </c>
      <c r="BD161" s="130">
        <f>IF('Données projet'!$A$88&gt;35,BD160+BC161-BL160,IF(A161&lt;'Données projet'!$A$88,$BA$205^A161,IF(A161='Données projet'!$A$88,'Données projet'!$B$88,BD160+BC161-BL160)))</f>
        <v>0</v>
      </c>
      <c r="BE161" s="130">
        <f>BD161*VLOOKUP('Données projet'!$B$11,'Paramètres'!$A$1:$I$89,3,0)*VLOOKUP('Données projet'!$B$11,'Paramètres'!$A$1:$I$89,5,0)</f>
        <v>0</v>
      </c>
      <c r="BF161" s="130" t="str">
        <f t="shared" si="38"/>
        <v>#NUM!</v>
      </c>
      <c r="BG161" s="141" t="str">
        <f t="shared" si="8"/>
        <v>#NUM!</v>
      </c>
      <c r="BH161" s="133" t="str">
        <f t="shared" si="9"/>
        <v>#NUM!</v>
      </c>
      <c r="BI161" s="133">
        <f>AVERAGE(OFFSET($BH$3,0,0,'Données projet'!$E$11+1,1))-AVERAGE(OFFSET($H$3,0,0,'Données projet'!$E$11+1,1))</f>
        <v>134.0948534</v>
      </c>
      <c r="BJ161" s="133">
        <f t="shared" si="39"/>
        <v>108.4102536</v>
      </c>
      <c r="BK161" s="134">
        <f>IF(ISNA(VLOOKUP(A161,'Données projet'!$A$87:$I$107,3,0)),0,VLOOKUP(A161,'Données projet'!$A$87:$I$107,3,0))</f>
        <v>0</v>
      </c>
      <c r="BL161" s="134">
        <f>IF(ISNA(VLOOKUP(A161,'Données projet'!$A$87:$I$107,4,0)),0,VLOOKUP(A161,'Données projet'!$A$87:$I$107,4,0))</f>
        <v>0</v>
      </c>
      <c r="BM161" s="135">
        <f>IF(ISNA(VLOOKUP(A161,'Données projet'!$A$87:$I$107,5,0)),0%,VLOOKUP(A161,'Données projet'!$A$87:$I$107,5,0)*VLOOKUP('Données projet'!$B$11,'Paramètres'!$A$1:$I$89,7,0))</f>
        <v>0</v>
      </c>
      <c r="BN161" s="135">
        <f>IF(ISNA(VLOOKUP(A161,'Données projet'!$A$87:$I$107,6,0)),0%,VLOOKUP(A161,'Données projet'!$A$87:$I$107,6,0)*VLOOKUP('Données projet'!$B$11,'Paramètres'!$A$1:$I$89,7,0))</f>
        <v>0</v>
      </c>
      <c r="BO161" s="135">
        <f>IF(ISNA(VLOOKUP(A161,'Données projet'!$A$87:$I$107,7,0)),0%,VLOOKUP(A161,'Données projet'!$A$87:$I$107,7,0))</f>
        <v>0</v>
      </c>
      <c r="BP161" s="142">
        <f>EXP(-LN(2)/35)*BP160+(1-EXP(-LN(2)/35))/(LN(2)/35)*BL161*BM161*VLOOKUP('Données projet'!$B$11,'Paramètres'!$A$1:$I$89,3,0)*0.475*44/12</f>
        <v>29.32561895</v>
      </c>
      <c r="BQ161" s="142">
        <f>EXP(-LN(2)/25)*BQ160+(1-EXP(-LN(2)/25))/(LN(2)/25)*Calculateur!BL161*Calculateur!BN161*VLOOKUP('Données projet'!$B$11,'Paramètres'!$A$1:$I$89,3,0)*0.475*44/12</f>
        <v>1.488953178</v>
      </c>
      <c r="BR161" s="142">
        <f>EXP(-LN(2)/2)*BR160+(1-EXP(-LN(2)/2))/(LN(2)/2)*BL161*BO161*VLOOKUP('Données projet'!$B$11,'Paramètres'!$A$1:$I$89,3,0)*0.475*44/12</f>
        <v>0</v>
      </c>
      <c r="BS161" s="143">
        <f t="shared" si="10"/>
        <v>30.81457213</v>
      </c>
      <c r="BT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1" t="str">
        <f>VLOOKUP(A161,'Données projet'!$A$113:$I$133,2,0)</f>
        <v>#N/A</v>
      </c>
      <c r="BW161" s="131" t="str">
        <f>VLOOKUP(A161,'Données projet'!$A$113:$I$133,9,0)</f>
        <v>#N/A</v>
      </c>
      <c r="BX161" s="131" t="str">
        <f t="array" ref="BX161">INDEX(BW:BW,MIN(IF(ISNUMBER(BW161:BW357),ROW(BW161:BW357),"")))</f>
        <v/>
      </c>
      <c r="BY161" s="130">
        <f>IF('Données projet'!$A$114&gt;35,BY160+BX161-CG160,IF(A161&lt;'Données projet'!$A$114,$BV$205^A161,IF(A161='Données projet'!$A$114,'Données projet'!$B$114,BY160+BX161-CG160)))</f>
        <v>0</v>
      </c>
      <c r="BZ161" s="130">
        <f>BY161*VLOOKUP('Données projet'!$B$12,'Paramètres'!$A$1:$I$89,3,0)*VLOOKUP('Données projet'!$B$12,'Paramètres'!$A$1:$I$89,5,0)</f>
        <v>0</v>
      </c>
      <c r="CA161" s="130" t="str">
        <f t="shared" si="40"/>
        <v>#NUM!</v>
      </c>
      <c r="CB161" s="141" t="str">
        <f t="shared" si="11"/>
        <v>#NUM!</v>
      </c>
      <c r="CC161" s="133" t="str">
        <f t="shared" si="12"/>
        <v>#NUM!</v>
      </c>
      <c r="CD161" s="133">
        <f>AVERAGE(OFFSET($CC$3,0,0,'Données projet'!$E$12+1,1))-AVERAGE(OFFSET($H$3,0,0,'Données projet'!$E$12+1,1))</f>
        <v>258.1672054</v>
      </c>
      <c r="CE161" s="133">
        <f t="shared" si="41"/>
        <v>296.0724261</v>
      </c>
      <c r="CF161" s="134">
        <f>IF(ISNA(VLOOKUP(A161,'Données projet'!$A$113:$I$133,3,0)),0,VLOOKUP(A161,'Données projet'!$A$113:$I$133,3,0))</f>
        <v>0</v>
      </c>
      <c r="CG161" s="134">
        <f>IF(ISNA(VLOOKUP(A161,'Données projet'!$A$113:$I$133,4,0)),0,VLOOKUP(A161,'Données projet'!$A$113:$I$133,4,0))</f>
        <v>0</v>
      </c>
      <c r="CH161" s="135">
        <f>IF(ISNA(VLOOKUP(A161,'Données projet'!$A$113:$I$133,5,0)),0%,VLOOKUP(A161,'Données projet'!$A$113:$I$133,5,0)*VLOOKUP('Données projet'!$B$12,'Paramètres'!$A$1:$I$89,7,0))</f>
        <v>0</v>
      </c>
      <c r="CI161" s="135">
        <f>IF(ISNA(VLOOKUP(A161,'Données projet'!$A$113:$I$133,6,0)),0%,VLOOKUP(A161,'Données projet'!$A$113:$I$133,6,0)*VLOOKUP('Données projet'!$B$12,'Paramètres'!$A$1:$I$89,7,0))</f>
        <v>0</v>
      </c>
      <c r="CJ161" s="135">
        <f>IF(ISNA(VLOOKUP(A161,'Données projet'!$A$113:$I$133,7,0)),0%,VLOOKUP(A161,'Données projet'!$A$113:$I$133,7,0))</f>
        <v>0</v>
      </c>
      <c r="CK161" s="142">
        <f>EXP(-LN(2)/35)*CK160+(1-EXP(-LN(2)/35))/(LN(2)/35)*CG161*CH161*VLOOKUP('Données projet'!$B$12,'Paramètres'!$A$1:$I$89,3,0)*0.475*44/12</f>
        <v>37.07655343</v>
      </c>
      <c r="CL161" s="142">
        <f>EXP(-LN(2)/25)*CL160+(1-EXP(-LN(2)/25))/(LN(2)/25)*Calculateur!CG161*Calculateur!CI161*VLOOKUP('Données projet'!$B$12,'Paramètres'!$A$1:$I$89,3,0)*0.475*44/12</f>
        <v>2.611708397</v>
      </c>
      <c r="CM161" s="142">
        <f>EXP(-LN(2)/2)*CM160+(1-EXP(-LN(2)/2))/(LN(2)/2)*CG161*CJ161*VLOOKUP('Données projet'!$B$12,'Paramètres'!$A$1:$I$89,3,0)*0.475*44/12</f>
        <v>0</v>
      </c>
      <c r="CN161" s="143">
        <f t="shared" si="13"/>
        <v>39.68826182</v>
      </c>
      <c r="CO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1" t="str">
        <f>VLOOKUP(A161,'Données projet'!$A$139:$I$159,2,0)</f>
        <v>#N/A</v>
      </c>
      <c r="CR161" s="131" t="str">
        <f>VLOOKUP(A161,'Données projet'!$A$139:$I$159,9,0)</f>
        <v>#N/A</v>
      </c>
      <c r="CS161" s="131" t="str">
        <f t="array" ref="CS161">INDEX(CR:CR,MIN(IF(ISNUMBER(CR161:CR357),ROW(CR161:CR357),"")))</f>
        <v/>
      </c>
      <c r="CT161" s="138">
        <f>IF('Données projet'!$A$140&gt;35,CT160+CS161-DB160,IF(A161&lt;'Données projet'!$A$140,$CQ$205^A161,IF(A161='Données projet'!$A$140,'Données projet'!$B$140,CT160+CS161-DB160)))</f>
        <v>0</v>
      </c>
      <c r="CU161" s="138">
        <f>CT161*VLOOKUP('Données projet'!$B$13,'Paramètres'!$A$1:$I$89,3,0)*VLOOKUP('Données projet'!$B$13,'Paramètres'!$A$1:$I$89,5,0)</f>
        <v>0</v>
      </c>
      <c r="CV161" s="130" t="str">
        <f t="shared" si="42"/>
        <v>#NUM!</v>
      </c>
      <c r="CW161" s="141" t="str">
        <f t="shared" si="14"/>
        <v>#NUM!</v>
      </c>
      <c r="CX161" s="133" t="str">
        <f t="shared" si="15"/>
        <v>#NUM!</v>
      </c>
      <c r="CY161" s="133">
        <f>AVERAGE(OFFSET($CX$3,0,0,'Données projet'!$E$13+1,1))-AVERAGE(OFFSET($H$3,0,0,'Données projet'!$E$13+1,1))</f>
        <v>223.783507</v>
      </c>
      <c r="CZ161" s="133">
        <f t="shared" si="43"/>
        <v>84.92349117</v>
      </c>
      <c r="DA161" s="134">
        <f>IF(ISNA(VLOOKUP(A161,'Données projet'!$A$139:$I$159,3,0)),0,VLOOKUP(A161,'Données projet'!$A$139:$I$159,3,0))</f>
        <v>0</v>
      </c>
      <c r="DB161" s="134">
        <f>IF(ISNA(VLOOKUP(A161,'Données projet'!$A$139:$I$159,4,0)),0,VLOOKUP(A161,'Données projet'!$A$139:$I$159,4,0))</f>
        <v>0</v>
      </c>
      <c r="DC161" s="135">
        <f>IF(ISNA(VLOOKUP(A161,'Données projet'!$A$139:$I$159,5,0)),0%,VLOOKUP(A161,'Données projet'!$A$139:$I$159,5,0)*VLOOKUP('Données projet'!$B$13,'Paramètres'!$A$1:$I$89,7,0))</f>
        <v>0</v>
      </c>
      <c r="DD161" s="135">
        <f>IF(ISNA(VLOOKUP(A161,'Données projet'!$A$139:$I$159,6,0)),0%,VLOOKUP(A161,'Données projet'!$A$139:$I$159,6,0)*VLOOKUP('Données projet'!$B$13,'Paramètres'!$A$1:$I$89,7,0))</f>
        <v>0</v>
      </c>
      <c r="DE161" s="135">
        <f>IF(ISNA(VLOOKUP(A161,'Données projet'!$A$139:$I$159,7,0)),0%,VLOOKUP(A161,'Données projet'!$A$139:$I$159,7,0))</f>
        <v>0</v>
      </c>
      <c r="DF161" s="142">
        <f>EXP(-LN(2)/35)*DF160+(1-EXP(-LN(2)/35))/(LN(2)/35)*DB161*DC161*VLOOKUP('Données projet'!$B$13,'Paramètres'!$A$1:$I$89,3,0)*0.475*44/12</f>
        <v>95.22713747</v>
      </c>
      <c r="DG161" s="142">
        <f>EXP(-LN(2)/25)*DG160+(1-EXP(-LN(2)/25))/(LN(2)/25)*Calculateur!DB161*Calculateur!DD161*VLOOKUP('Données projet'!$B$13,'Paramètres'!$A$1:$I$89,3,0)*0.475*44/12</f>
        <v>0</v>
      </c>
      <c r="DH161" s="142">
        <f>EXP(-LN(2)/2)*DH160+(1-EXP(-LN(2)/2))/(LN(2)/2)*DB161*DE161*VLOOKUP('Données projet'!$B$13,'Paramètres'!$A$1:$I$89,3,0)*0.475*44/12</f>
        <v>0</v>
      </c>
      <c r="DI161" s="143">
        <f t="shared" si="16"/>
        <v>95.22713747</v>
      </c>
      <c r="DJ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1" t="str">
        <f>VLOOKUP(A161,'Données projet'!$A$165:$I$185,2,0)</f>
        <v>#N/A</v>
      </c>
      <c r="DM161" s="131" t="str">
        <f>VLOOKUP(A161,'Données projet'!$A$165:$I$185,9,0)</f>
        <v>#N/A</v>
      </c>
      <c r="DN161" s="131" t="str">
        <f t="array" ref="DN161">INDEX(DM:DM,MIN(IF(ISNUMBER(DM161:DM357),ROW(DM161:DM357),"")))</f>
        <v/>
      </c>
      <c r="DO161" s="138">
        <f>IF('Données projet'!$A$166&gt;35,DO160+DN161-DW160,IF(A161&lt;'Données projet'!$A$166,$DL$205^A161,IF(A161='Données projet'!$A$166,'Données projet'!$B$166,DO160+DN161-DW160)))</f>
        <v>0</v>
      </c>
      <c r="DP161" s="138">
        <f>DO161*VLOOKUP('Données projet'!$B$14,'Paramètres'!$A$1:$I$89,3,0)*VLOOKUP('Données projet'!$B$14,'Paramètres'!$A$1:$I$89,5,0)</f>
        <v>0</v>
      </c>
      <c r="DQ161" s="130" t="str">
        <f t="shared" si="44"/>
        <v>#NUM!</v>
      </c>
      <c r="DR161" s="141" t="str">
        <f t="shared" si="17"/>
        <v>#NUM!</v>
      </c>
      <c r="DS161" s="133" t="str">
        <f t="shared" si="18"/>
        <v>#NUM!</v>
      </c>
      <c r="DT161" s="133">
        <f>AVERAGE(OFFSET($DS$3,0,0,'Données projet'!$E$14+1,1))-AVERAGE(OFFSET($H$3,0,0,'Données projet'!$E$14+1,1))</f>
        <v>287.9334714</v>
      </c>
      <c r="DU161" s="133">
        <f t="shared" si="45"/>
        <v>156.6796502</v>
      </c>
      <c r="DV161" s="134">
        <f>IF(ISNA(VLOOKUP(A161,'Données projet'!$A$165:$I$185,3,0)),0,VLOOKUP(A161,'Données projet'!$A$165:$I$185,3,0))</f>
        <v>0</v>
      </c>
      <c r="DW161" s="134">
        <f>IF(ISNA(VLOOKUP(A161,'Données projet'!$A$165:$I$185,4,0)),0,VLOOKUP(A161,'Données projet'!$A$165:$I$185,4,0))</f>
        <v>0</v>
      </c>
      <c r="DX161" s="135">
        <f>IF(ISNA(VLOOKUP(A161,'Données projet'!$A$165:$I$185,5,0)),0%,VLOOKUP(A161,'Données projet'!$A$165:$I$185,5,0)*VLOOKUP('Données projet'!$B$14,'Paramètres'!$A$1:$I$89,7,0))</f>
        <v>0</v>
      </c>
      <c r="DY161" s="135">
        <f>IF(ISNA(VLOOKUP(A161,'Données projet'!$A$165:$I$185,6,0)),0%,VLOOKUP(A161,'Données projet'!$A$165:$I$185,6,0)*VLOOKUP('Données projet'!$B$14,'Paramètres'!$A$1:$I$89,7,0))</f>
        <v>0</v>
      </c>
      <c r="DZ161" s="135">
        <f>IF(ISNA(VLOOKUP(A161,'Données projet'!$A$165:$I$185,7,0)),0%,VLOOKUP(A161,'Données projet'!$A$165:$I$185,7,0))</f>
        <v>0</v>
      </c>
      <c r="EA161" s="142">
        <f>EXP(-LN(2)/35)*EA160+(1-EXP(-LN(2)/35))/(LN(2)/35)*DW161*DX161*VLOOKUP('Données projet'!$B$14,'Paramètres'!$A$1:$I$89,3,0)*0.475*44/12</f>
        <v>110.6269878</v>
      </c>
      <c r="EB161" s="142">
        <f>EXP(-LN(2)/25)*EB160+(1-EXP(-LN(2)/25))/(LN(2)/25)*Calculateur!DW161*Calculateur!DY161*VLOOKUP('Données projet'!$B$14,'Paramètres'!$A$1:$I$89,3,0)*0.475*44/12</f>
        <v>0</v>
      </c>
      <c r="EC161" s="142">
        <f>EXP(-LN(2)/2)*EC160+(1-EXP(-LN(2)/2))/(LN(2)/2)*DW161*DZ161*VLOOKUP('Données projet'!$B$14,'Paramètres'!$A$1:$I$89,3,0)*0.475*44/12</f>
        <v>0</v>
      </c>
      <c r="ED161" s="143">
        <f t="shared" si="19"/>
        <v>110.6269878</v>
      </c>
      <c r="EE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1" t="str">
        <f>VLOOKUP(A161,'Données projet'!$A$191:$I$211,2,0)</f>
        <v>#N/A</v>
      </c>
      <c r="EH161" s="131" t="str">
        <f>VLOOKUP(A161,'Données projet'!$A$191:$I$211,9,0)</f>
        <v>#N/A</v>
      </c>
      <c r="EI161" s="131" t="str">
        <f t="array" ref="EI161">INDEX(EH:EH,MIN(IF(ISNUMBER(EH161:EH357),ROW(EH161:EH357),"")))</f>
        <v/>
      </c>
      <c r="EJ161" s="138">
        <f>IF('Données projet'!$A$192&gt;35,EJ160+EI161-ER160,IF(A161&lt;'Données projet'!$A$192,$EG$205^A161,IF(A161='Données projet'!$A$192,'Données projet'!$B$192,EJ160+EI161-ER160)))</f>
        <v>0</v>
      </c>
      <c r="EK161" s="138">
        <f>EJ161*VLOOKUP('Données projet'!$B$15,'Paramètres'!$A$1:$I$89,3,0)*VLOOKUP('Données projet'!$B$15,'Paramètres'!$A$1:$I$89,5,0)</f>
        <v>0</v>
      </c>
      <c r="EL161" s="130" t="str">
        <f t="shared" si="46"/>
        <v>#NUM!</v>
      </c>
      <c r="EM161" s="141" t="str">
        <f t="shared" si="20"/>
        <v>#NUM!</v>
      </c>
      <c r="EN161" s="133" t="str">
        <f t="shared" si="21"/>
        <v>#NUM!</v>
      </c>
      <c r="EO161" s="133">
        <f>AVERAGE(OFFSET($EN$3,0,0,'Données projet'!$E$15+1,1))-AVERAGE(OFFSET($H$3,0,0,'Données projet'!$E$15+1,1))</f>
        <v>130.3193339</v>
      </c>
      <c r="EP161" s="133">
        <f t="shared" si="47"/>
        <v>82.22784365</v>
      </c>
      <c r="EQ161" s="134">
        <f>IF(ISNA(VLOOKUP(A161,'Données projet'!$A$191:$I$211,3,0)),0,VLOOKUP(A161,'Données projet'!$A$191:$I$211,3,0))</f>
        <v>0</v>
      </c>
      <c r="ER161" s="134">
        <f>IF(ISNA(VLOOKUP(A161,'Données projet'!$A$191:$I$211,4,0)),0,VLOOKUP(A161,'Données projet'!$A$191:$I$211,4,0))</f>
        <v>0</v>
      </c>
      <c r="ES161" s="135">
        <f>IF(ISNA(VLOOKUP(A161,'Données projet'!$A$191:$I$211,5,0)),0%,VLOOKUP(A161,'Données projet'!$A$191:$I$211,5,0)*VLOOKUP('Données projet'!$B$15,'Paramètres'!$A$1:$I$89,7,0))</f>
        <v>0</v>
      </c>
      <c r="ET161" s="135">
        <f>IF(ISNA(VLOOKUP(A161,'Données projet'!$A$191:$I$211,6,0)),0%,VLOOKUP(A161,'Données projet'!$A$191:$I$211,6,0)*VLOOKUP('Données projet'!$B$15,'Paramètres'!$A$1:$I$89,7,0))</f>
        <v>0</v>
      </c>
      <c r="EU161" s="135">
        <f>IF(ISNA(VLOOKUP(A161,'Données projet'!$A$191:$I$211,7,0)),0%,VLOOKUP(A161,'Données projet'!$A$191:$I$211,7,0))</f>
        <v>0</v>
      </c>
      <c r="EV161" s="142">
        <f>EXP(-LN(2)/35)*EV160+(1-EXP(-LN(2)/35))/(LN(2)/35)*ER161*ES161*VLOOKUP('Données projet'!$B$15,'Paramètres'!$A$1:$I$89,3,0)*0.475*44/12</f>
        <v>22.67154541</v>
      </c>
      <c r="EW161" s="142">
        <f>EXP(-LN(2)/25)*EW160+(1-EXP(-LN(2)/25))/(LN(2)/25)*Calculateur!ER161*Calculateur!ET161*VLOOKUP('Données projet'!$B$15,'Paramètres'!$A$1:$I$89,3,0)*0.475*44/12</f>
        <v>0</v>
      </c>
      <c r="EX161" s="142">
        <f>EXP(-LN(2)/2)*EX160+(1-EXP(-LN(2)/2))/(LN(2)/2)*ER161*EU161*VLOOKUP('Données projet'!$B$15,'Paramètres'!$A$1:$I$89,3,0)*0.475*44/12</f>
        <v>0</v>
      </c>
      <c r="EY161" s="143">
        <f t="shared" si="22"/>
        <v>22.67154541</v>
      </c>
      <c r="EZ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1" t="str">
        <f>VLOOKUP(A161,'Données projet'!$A$217:$I$237,2,0)</f>
        <v>#N/A</v>
      </c>
      <c r="FC161" s="131" t="str">
        <f>VLOOKUP(A161,'Données projet'!$A$217:$I$237,9,0)</f>
        <v>#N/A</v>
      </c>
      <c r="FD161" s="131" t="str">
        <f t="array" ref="FD161">INDEX(FC:FC,MIN(IF(ISNUMBER(FC161:FC357),ROW(FC161:FC357),"")))</f>
        <v/>
      </c>
      <c r="FE161" s="130">
        <f>IF('Données projet'!$A$218&gt;35,FE160+FD161-FM160,IF(A161&lt;'Données projet'!$A$218,$FB$205^A161,IF(A161='Données projet'!$A$218,'Données projet'!$B$218,FE160+FD161-FM160)))</f>
        <v>0</v>
      </c>
      <c r="FF161" s="138">
        <f>FE161*VLOOKUP('Données projet'!$B$16,'Paramètres'!$A$1:$I$89,3,0)*VLOOKUP('Données projet'!$B$16,'Paramètres'!$A$1:$I$89,5,0)</f>
        <v>0</v>
      </c>
      <c r="FG161" s="130">
        <f t="shared" si="48"/>
        <v>0</v>
      </c>
      <c r="FH161" s="141">
        <f t="shared" si="23"/>
        <v>0</v>
      </c>
      <c r="FI161" s="133">
        <f t="shared" si="24"/>
        <v>293.3333333</v>
      </c>
      <c r="FJ161" s="133">
        <f>AVERAGE(OFFSET($FI$3,0,0,'Données projet'!$E$16+1,1))-AVERAGE(OFFSET($H$3,0,0,'Données projet'!$E$16+1,1))</f>
        <v>305.6252353</v>
      </c>
      <c r="FK161" s="133">
        <f t="shared" si="49"/>
        <v>331.397916</v>
      </c>
      <c r="FL161" s="134">
        <f>IF(ISNA(VLOOKUP(A161,'Données projet'!$A$217:$I$237,3,0)),0,VLOOKUP(A161,'Données projet'!$A$217:$I$237,3,0))</f>
        <v>0</v>
      </c>
      <c r="FM161" s="134">
        <f>IF(ISNA(VLOOKUP(A161,'Données projet'!$A$217:$I$237,4,0)),0,VLOOKUP(A161,'Données projet'!$A$217:$I$237,4,0))</f>
        <v>0</v>
      </c>
      <c r="FN161" s="135">
        <f>IF(ISNA(VLOOKUP(A161,'Données projet'!$A$217:$I$237,5,0)),0%,VLOOKUP(A161,'Données projet'!$A$217:$I$237,5,0)*VLOOKUP('Données projet'!$B$16,'Paramètres'!$A$1:$I$89,7,0))</f>
        <v>0</v>
      </c>
      <c r="FO161" s="135">
        <f>IF(ISNA(VLOOKUP(A161,'Données projet'!$A$217:$I$237,6,0)),0%,VLOOKUP(A161,'Données projet'!$A$217:$I$237,6,0)*VLOOKUP('Données projet'!$B$16,'Paramètres'!$A$1:$I$89,7,0))</f>
        <v>0</v>
      </c>
      <c r="FP161" s="135">
        <f>IF(ISNA(VLOOKUP(A161,'Données projet'!$A$217:$I$237,7,0)),0%,VLOOKUP(A161,'Données projet'!$A$217:$I$237,7,0))</f>
        <v>0</v>
      </c>
      <c r="FQ161" s="142">
        <f>EXP(-LN(2)/35)*FQ160+(1-EXP(-LN(2)/35))/(LN(2)/35)*FM161*FN161*VLOOKUP('Données projet'!$B$16,'Paramètres'!$A$1:$I$89,3,0)*0.475*44/12</f>
        <v>14.11598172</v>
      </c>
      <c r="FR161" s="142">
        <f>EXP(-LN(2)/25)*FR160+(1-EXP(-LN(2)/25))/(LN(2)/25)*Calculateur!FM161*Calculateur!FO161*VLOOKUP('Données projet'!$B$16,'Paramètres'!$A$1:$I$89,3,0)*0.475*44/12</f>
        <v>0</v>
      </c>
      <c r="FS161" s="142">
        <f>EXP(-LN(2)/2)*FS160+(1-EXP(-LN(2)/2))/(LN(2)/2)*FM161*FP161*VLOOKUP('Données projet'!$B$16,'Paramètres'!$A$1:$I$89,3,0)*0.475*44/12</f>
        <v>0</v>
      </c>
      <c r="FT161" s="143">
        <f t="shared" si="25"/>
        <v>14.11598172</v>
      </c>
      <c r="FU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1" t="str">
        <f>VLOOKUP(A161,'Données projet'!$A$243:$I$263,2,0)</f>
        <v>#N/A</v>
      </c>
      <c r="FX161" s="131" t="str">
        <f>VLOOKUP(A161,'Données projet'!$A$243:$I$263,9,0)</f>
        <v>#N/A</v>
      </c>
      <c r="FY161" s="131" t="str">
        <f t="array" ref="FY161">INDEX(FX:FX,MIN(IF(ISNUMBER(FX161:FX357),ROW(FX161:FX357),"")))</f>
        <v/>
      </c>
      <c r="FZ161" s="138">
        <f>IF('Données projet'!$A$244&gt;35,FZ160+FY161-GH160,IF(A161&lt;'Données projet'!$A$244,$FW$205^A161,IF(A161='Données projet'!$A$244,'Données projet'!$B$244,FZ160+FY161-GH160)))</f>
        <v>0</v>
      </c>
      <c r="GA161" s="138">
        <f>FZ161*VLOOKUP('Données projet'!$B$17,'Paramètres'!$A$1:$I$89,3,0)*VLOOKUP('Données projet'!$B$17,'Paramètres'!$A$1:$I$89,5,0)</f>
        <v>0</v>
      </c>
      <c r="GB161" s="130">
        <f t="shared" si="50"/>
        <v>0</v>
      </c>
      <c r="GC161" s="141">
        <f t="shared" si="26"/>
        <v>0</v>
      </c>
      <c r="GD161" s="133">
        <f t="shared" si="27"/>
        <v>293.3333333</v>
      </c>
      <c r="GE161" s="133">
        <f>AVERAGE(OFFSET($GD$3,0,0,'Données projet'!$E$17+1,1))-AVERAGE(OFFSET($H$3,0,0,'Données projet'!$E$17+1,1))</f>
        <v>118.7368745</v>
      </c>
      <c r="GF161" s="133">
        <f t="shared" si="51"/>
        <v>135.1233677</v>
      </c>
      <c r="GG161" s="134">
        <f>IF(ISNA(VLOOKUP(A161,'Données projet'!$A$243:$I$263,3,0)),0,VLOOKUP(A161,'Données projet'!$A$243:$I$263,3,0))</f>
        <v>0</v>
      </c>
      <c r="GH161" s="134">
        <f>IF(ISNA(VLOOKUP(A161,'Données projet'!$A$243:$I$263,4,0)),0,VLOOKUP(A161,'Données projet'!$A$243:$I$263,4,0))</f>
        <v>0</v>
      </c>
      <c r="GI161" s="135">
        <f>IF(ISNA(VLOOKUP(A161,'Données projet'!$A$243:$I$263,5,0)),0%,VLOOKUP(A161,'Données projet'!$A$243:$I$263,5,0)*VLOOKUP('Données projet'!$B$17,'Paramètres'!$A$1:$I$89,7,0))</f>
        <v>0</v>
      </c>
      <c r="GJ161" s="135">
        <f>IF(ISNA(VLOOKUP(A161,'Données projet'!$A$243:$I$263,6,0)),0%,VLOOKUP(A161,'Données projet'!$A$243:$I$263,6,0)*VLOOKUP('Données projet'!$B$17,'Paramètres'!$A$1:$I$89,7,0))</f>
        <v>0</v>
      </c>
      <c r="GK161" s="135">
        <f>IF(ISNA(VLOOKUP(A161,'Données projet'!$A$243:$I$263,7,0)),0%,VLOOKUP(A161,'Données projet'!$A$243:$I$263,7,0))</f>
        <v>0</v>
      </c>
      <c r="GL161" s="142">
        <f>EXP(-LN(2)/35)*GL160+(1-EXP(-LN(2)/35))/(LN(2)/35)*GH161*GI161*VLOOKUP('Données projet'!$B$17,'Paramètres'!$A$1:$I$89,3,0)*0.475*44/12</f>
        <v>14.91349103</v>
      </c>
      <c r="GM161" s="142">
        <f>EXP(-LN(2)/25)*GM160+(1-EXP(-LN(2)/25))/(LN(2)/25)*Calculateur!GH161*Calculateur!GJ161*VLOOKUP('Données projet'!$B$17,'Paramètres'!$A$1:$I$89,3,0)*0.475*44/12</f>
        <v>0</v>
      </c>
      <c r="GN161" s="142">
        <f>EXP(-LN(2)/2)*GN160+(1-EXP(-LN(2)/2))/(LN(2)/2)*GH161*GK161*VLOOKUP('Données projet'!$B$17,'Paramètres'!$A$1:$I$89,3,0)*0.475*44/12</f>
        <v>0</v>
      </c>
      <c r="GO161" s="142">
        <f t="shared" si="28"/>
        <v>14.91349103</v>
      </c>
      <c r="GP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1" t="str">
        <f>VLOOKUP(A161,'Données projet'!$A$269:$I$289,2,0)</f>
        <v>#N/A</v>
      </c>
      <c r="GS161" s="131" t="str">
        <f>VLOOKUP(A161,'Données projet'!$A$269:$I$289,9,0)</f>
        <v>#N/A</v>
      </c>
      <c r="GT161" s="131" t="str">
        <f t="array" ref="GT161">INDEX(GS:GS,MIN(IF(ISNUMBER(GS161:GS357),ROW(GS161:GS357),"")))</f>
        <v/>
      </c>
      <c r="GU161" s="138">
        <f>IF('Données projet'!$A$270&gt;35,GU160+GT161-HC160,IF(A161&lt;'Données projet'!$A$270,$GR$205^A161,IF(A161='Données projet'!$A$270,'Données projet'!$B$270,GU160+GT161-HC160)))</f>
        <v>0</v>
      </c>
      <c r="GV161" s="138">
        <f>GU161*VLOOKUP('Données projet'!$B$18,'Paramètres'!$A$1:$I$89,3,0)*VLOOKUP('Données projet'!$B$18,'Paramètres'!$A$1:$I$89,5,0)</f>
        <v>0</v>
      </c>
      <c r="GW161" s="130" t="str">
        <f t="shared" si="52"/>
        <v>#NUM!</v>
      </c>
      <c r="GX161" s="141" t="str">
        <f t="shared" si="29"/>
        <v>#NUM!</v>
      </c>
      <c r="GY161" s="133" t="str">
        <f t="shared" si="30"/>
        <v>#NUM!</v>
      </c>
      <c r="GZ161" s="133">
        <f>AVERAGE(OFFSET($GY$3,0,0,'Données projet'!$E$18+1,1))-AVERAGE(OFFSET($H$3,0,0,'Données projet'!$E$18+1,1))</f>
        <v>100.5427875</v>
      </c>
      <c r="HA161" s="133">
        <f t="shared" si="53"/>
        <v>92.28663609</v>
      </c>
      <c r="HB161" s="134">
        <f>IF(ISNA(VLOOKUP(A161,'Données projet'!$A$269:$I$289,3,0)),0,VLOOKUP(A161,'Données projet'!$A$269:$I$289,3,0))</f>
        <v>0</v>
      </c>
      <c r="HC161" s="134">
        <f>IF(ISNA(VLOOKUP(A161,'Données projet'!$A$269:$I$289,4,0)),0,VLOOKUP(A161,'Données projet'!$A$269:$I$289,4,0))</f>
        <v>0</v>
      </c>
      <c r="HD161" s="135">
        <f>IF(ISNA(VLOOKUP(A161,'Données projet'!$A$269:$I$289,5,0)),0%,VLOOKUP(A161,'Données projet'!$A$269:$I$289,5,0)*VLOOKUP('Données projet'!$B$18,'Paramètres'!$A$1:$I$89,7,0))</f>
        <v>0</v>
      </c>
      <c r="HE161" s="135">
        <f>IF(ISNA(VLOOKUP(A161,'Données projet'!$A$269:$I$289,6,0)),0%,VLOOKUP(A161,'Données projet'!$A$269:$I$289,6,0)*VLOOKUP('Données projet'!$B$18,'Paramètres'!$A$1:$I$89,7,0))</f>
        <v>0</v>
      </c>
      <c r="HF161" s="135">
        <f>IF(ISNA(VLOOKUP(A161,'Données projet'!$A$269:$I$289,7,0)),0%,VLOOKUP(A161,'Données projet'!$A$269:$I$289,7,0))</f>
        <v>0</v>
      </c>
      <c r="HG161" s="142">
        <f>EXP(-LN(2)/35)*HG160+(1-EXP(-LN(2)/35))/(LN(2)/35)*HC161*HD161*VLOOKUP('Données projet'!$B$18,'Paramètres'!$A$1:$I$89,3,0)*0.475*44/12</f>
        <v>10.15577277</v>
      </c>
      <c r="HH161" s="142">
        <f>EXP(-LN(2)/25)*HH160+(1-EXP(-LN(2)/25))/(LN(2)/25)*Calculateur!HC161*Calculateur!HE161*VLOOKUP('Données projet'!$B$18,'Paramètres'!$A$1:$I$89,3,0)*0.475*44/12</f>
        <v>0</v>
      </c>
      <c r="HI161" s="142">
        <f>EXP(-LN(2)/2)*HI160+(1-EXP(-LN(2)/2))/(LN(2)/2)*HC161*HF161*VLOOKUP('Données projet'!$B$18,'Paramètres'!$A$1:$I$89,3,0)*0.475*44/12</f>
        <v>0</v>
      </c>
      <c r="HJ161" s="143">
        <f t="shared" si="31"/>
        <v>10.15577277</v>
      </c>
    </row>
    <row r="162" ht="15.75" customHeight="1">
      <c r="A162" s="125">
        <f t="shared" si="32"/>
        <v>159</v>
      </c>
      <c r="B162" s="126">
        <f>'Scénario référence'!$B$16*5+'Scénario référence'!$B$17*0+'Scénario référence'!$B$18*5</f>
        <v>0</v>
      </c>
      <c r="C162" s="140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86.814</v>
      </c>
      <c r="D162" s="127">
        <f t="shared" si="33"/>
        <v>23.79523417</v>
      </c>
      <c r="E16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7">
        <f>IF(OR('Scénario référence'!$F$8&gt;0,'Scénario référence'!$F$9&gt;0),('Scénario référence'!$F$8+'Scénario référence'!$F$9)*10,0)</f>
        <v>10</v>
      </c>
      <c r="G162" s="127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853.8256673</v>
      </c>
      <c r="H162" s="128">
        <f t="shared" si="1"/>
        <v>485.9777495</v>
      </c>
      <c r="I162" s="12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1" t="str">
        <f>VLOOKUP(A162,'Données projet'!$A$35:$I$55,2,0)</f>
        <v>#N/A</v>
      </c>
      <c r="L162" s="131" t="str">
        <f>VLOOKUP(A162,'Données projet'!$A$35:$I$55,9,0)</f>
        <v>#N/A</v>
      </c>
      <c r="M162" s="131" t="str">
        <f t="array" ref="M162">INDEX(L:L,MIN(IF(ISNUMBER(L162:L358),ROW(L162:L358),"")))</f>
        <v/>
      </c>
      <c r="N162" s="130">
        <f>IF('Données projet'!$A$36&gt;35,N161+M162-V161,IF(A162&lt;'Données projet'!$A$36,$K$205^A162,IF(A162='Données projet'!$A$36,'Données projet'!$B$36,N161+M162-V161)))</f>
        <v>0</v>
      </c>
      <c r="O162" s="130">
        <f>N162*VLOOKUP('Données projet'!$B$9,'Paramètres'!$A$1:$I$89,3,0)*VLOOKUP('Données projet'!$B$9,'Paramètres'!$A$1:$I$89,5,0)</f>
        <v>0</v>
      </c>
      <c r="P162" s="130">
        <f t="shared" si="34"/>
        <v>0</v>
      </c>
      <c r="Q162" s="141">
        <f t="shared" si="2"/>
        <v>0</v>
      </c>
      <c r="R162" s="133">
        <f t="shared" si="3"/>
        <v>293.3333333</v>
      </c>
      <c r="S162" s="133">
        <f>AVERAGE(OFFSET($R$3,0,0,'Données projet'!$E$9+1,1))-AVERAGE(OFFSET($H$3,0,0,'Données projet'!$E$9+1,1))</f>
        <v>126.9946492</v>
      </c>
      <c r="T162" s="133">
        <f t="shared" si="35"/>
        <v>140.039049</v>
      </c>
      <c r="U162" s="134">
        <f>IF(ISNA(VLOOKUP(A162,'Données projet'!$A$35:$I$55,3,0)),0,VLOOKUP(A162,'Données projet'!$A$35:$I$55,3,0))</f>
        <v>0</v>
      </c>
      <c r="V162" s="134">
        <f>IF(ISNA(VLOOKUP(A162,'Données projet'!$A$35:$I$55,4,0)),0,VLOOKUP(A162,'Données projet'!$A$35:$I$55,4,0))</f>
        <v>0</v>
      </c>
      <c r="W162" s="135">
        <f>IF(ISNA(VLOOKUP(A162,'Données projet'!$A$35:$I$55,5,0)),0%,VLOOKUP(A162,'Données projet'!$A$35:$I$55,5,0)*VLOOKUP('Données projet'!$B$9,'Paramètres'!$A$1:$I$89,7,0))</f>
        <v>0</v>
      </c>
      <c r="X162" s="135">
        <f>IF(ISNA(VLOOKUP(A162,'Données projet'!$A$35:$I$55,6,0)),0%,VLOOKUP(A162,'Données projet'!$A$35:$I$55,6,0)*VLOOKUP('Données projet'!$B$9,'Paramètres'!$A$1:$I$89,7,0))</f>
        <v>0</v>
      </c>
      <c r="Y162" s="135">
        <f>IF(ISNA(VLOOKUP(A162,'Données projet'!$A$35:$I$55,7,0)),0%,VLOOKUP(A162,'Données projet'!$A$35:$I$55,7,0))</f>
        <v>0</v>
      </c>
      <c r="Z162" s="142">
        <f>EXP(-LN(2)/35)*Z161+(1-EXP(-LN(2)/35))/(LN(2)/35)*V162*W162*VLOOKUP('Données projet'!$B$9,'Paramètres'!$A$1:$I$89,3,0)*0.475*44/12</f>
        <v>14.95407594</v>
      </c>
      <c r="AA162" s="142">
        <f>EXP(-LN(2)/25)*AA161+(1-EXP(-LN(2)/25))/(LN(2)/25)*Calculateur!V162*Calculateur!X162*VLOOKUP('Données projet'!$B$9,'Paramètres'!$A$1:$I$89,3,0)*0.475*44/12</f>
        <v>1.493248419</v>
      </c>
      <c r="AB162" s="142">
        <f>EXP(-LN(2)/2)*AB161+(1-EXP(-LN(2)/2))/(LN(2)/2)*V162*Y162*VLOOKUP('Données projet'!$B$9,'Paramètres'!$A$1:$I$89,3,0)*0.475*44/12</f>
        <v>0</v>
      </c>
      <c r="AC162" s="143">
        <f t="shared" si="4"/>
        <v>16.44732436</v>
      </c>
      <c r="AD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1" t="str">
        <f>VLOOKUP(A162,'Données projet'!$A$61:$I$81,2,0)</f>
        <v>#N/A</v>
      </c>
      <c r="AG162" s="131" t="str">
        <f>VLOOKUP(A162,'Données projet'!$A$61:$I$81,9,0)</f>
        <v>#N/A</v>
      </c>
      <c r="AH162" s="131" t="str">
        <f t="array" ref="AH162">INDEX(AG:AG,MIN(IF(ISNUMBER(AG162:AG358),ROW(AG162:AG358),"")))</f>
        <v/>
      </c>
      <c r="AI162" s="130">
        <f>IF('Données projet'!$A$62&gt;35,AI161+AH162-AQ161,IF(A162&lt;'Données projet'!$A$62,$AF$205^A162,IF(A162='Données projet'!$A$62,'Données projet'!$B$62,AI161+AH162-AQ161)))</f>
        <v>0</v>
      </c>
      <c r="AJ162" s="130">
        <f>AI162*VLOOKUP('Données projet'!$B$10,'Paramètres'!$A$1:$I$89,3,0)*VLOOKUP('Données projet'!$B$10,'Paramètres'!$A$1:$I$89,5,0)</f>
        <v>0</v>
      </c>
      <c r="AK162" s="130" t="str">
        <f t="shared" si="36"/>
        <v>#NUM!</v>
      </c>
      <c r="AL162" s="141" t="str">
        <f t="shared" si="5"/>
        <v>#NUM!</v>
      </c>
      <c r="AM162" s="133" t="str">
        <f t="shared" si="6"/>
        <v>#NUM!</v>
      </c>
      <c r="AN162" s="133">
        <f>AVERAGE(OFFSET($AM$3,0,0,'Données projet'!$E$10+1,1))-AVERAGE(OFFSET($H$3,0,0,'Données projet'!$E$10+1,1))</f>
        <v>196.874484</v>
      </c>
      <c r="AO162" s="133">
        <f t="shared" si="37"/>
        <v>217.5750859</v>
      </c>
      <c r="AP162" s="134">
        <f>IF(ISNA(VLOOKUP(A162,'Données projet'!$A$61:$I$81,3,0)),0,VLOOKUP(A162,'Données projet'!$A$61:$I$81,3,0))</f>
        <v>0</v>
      </c>
      <c r="AQ162" s="134">
        <f>IF(ISNA(VLOOKUP(A162,'Données projet'!$A$61:$I$81,4,0)),0,VLOOKUP(A162,'Données projet'!$A$61:$I$81,4,0))</f>
        <v>0</v>
      </c>
      <c r="AR162" s="135">
        <f>IF(ISNA(VLOOKUP(A162,'Données projet'!$A$61:$I$81,5,0)),0%,VLOOKUP(A162,'Données projet'!$A$61:$I$81,5,0)*VLOOKUP('Données projet'!$B$10,'Paramètres'!$A$1:$I$89,7,0))</f>
        <v>0</v>
      </c>
      <c r="AS162" s="135">
        <f>IF(ISNA(VLOOKUP(A162,'Données projet'!$A$61:$I$81,6,0)),0%,VLOOKUP(A162,'Données projet'!$A$61:$I$81,6,0)*VLOOKUP('Données projet'!$B$10,'Paramètres'!$A$1:$I$89,7,0))</f>
        <v>0</v>
      </c>
      <c r="AT162" s="135">
        <f>IF(ISNA(VLOOKUP(A162,'Données projet'!$A$61:$I$81,7,0)),0%,VLOOKUP(A162,'Données projet'!$A$61:$I$81,7,0))</f>
        <v>0</v>
      </c>
      <c r="AU162" s="142">
        <f>EXP(-LN(2)/35)*AU161+(1-EXP(-LN(2)/35))/(LN(2)/35)*AQ162*AR162*VLOOKUP('Données projet'!$B$10,'Paramètres'!$A$1:$I$89,3,0)*0.475*44/12</f>
        <v>20.78574081</v>
      </c>
      <c r="AV162" s="142">
        <f>EXP(-LN(2)/25)*AV161+(1-EXP(-LN(2)/25))/(LN(2)/25)*Calculateur!AQ162*Calculateur!AS162*VLOOKUP('Données projet'!$B$10,'Paramètres'!$A$1:$I$89,3,0)*0.475*44/12</f>
        <v>2.295871439</v>
      </c>
      <c r="AW162" s="142">
        <f>EXP(-LN(2)/2)*AW161+(1-EXP(-LN(2)/2))/(LN(2)/2)*AQ162*AT162*VLOOKUP('Données projet'!$B$10,'Paramètres'!$A$1:$I$89,3,0)*0.475*44/12</f>
        <v>0</v>
      </c>
      <c r="AX162" s="142">
        <f t="shared" si="7"/>
        <v>23.08161224</v>
      </c>
      <c r="AY162" s="13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1" t="str">
        <f>VLOOKUP(A162,'Données projet'!$A$87:$I$107,2,0)</f>
        <v>#N/A</v>
      </c>
      <c r="BB162" s="131" t="str">
        <f>VLOOKUP(A162,'Données projet'!$A$87:$I$107,9,0)</f>
        <v>#N/A</v>
      </c>
      <c r="BC162" s="131" t="str">
        <f t="array" ref="BC162">INDEX(BB:BB,MIN(IF(ISNUMBER(BB162:BB358),ROW(BB162:BB358),"")))</f>
        <v/>
      </c>
      <c r="BD162" s="130">
        <f>IF('Données projet'!$A$88&gt;35,BD161+BC162-BL161,IF(A162&lt;'Données projet'!$A$88,$BA$205^A162,IF(A162='Données projet'!$A$88,'Données projet'!$B$88,BD161+BC162-BL161)))</f>
        <v>0</v>
      </c>
      <c r="BE162" s="130">
        <f>BD162*VLOOKUP('Données projet'!$B$11,'Paramètres'!$A$1:$I$89,3,0)*VLOOKUP('Données projet'!$B$11,'Paramètres'!$A$1:$I$89,5,0)</f>
        <v>0</v>
      </c>
      <c r="BF162" s="130" t="str">
        <f t="shared" si="38"/>
        <v>#NUM!</v>
      </c>
      <c r="BG162" s="141" t="str">
        <f t="shared" si="8"/>
        <v>#NUM!</v>
      </c>
      <c r="BH162" s="133" t="str">
        <f t="shared" si="9"/>
        <v>#NUM!</v>
      </c>
      <c r="BI162" s="133">
        <f>AVERAGE(OFFSET($BH$3,0,0,'Données projet'!$E$11+1,1))-AVERAGE(OFFSET($H$3,0,0,'Données projet'!$E$11+1,1))</f>
        <v>134.0948534</v>
      </c>
      <c r="BJ162" s="133">
        <f t="shared" si="39"/>
        <v>108.4102536</v>
      </c>
      <c r="BK162" s="134">
        <f>IF(ISNA(VLOOKUP(A162,'Données projet'!$A$87:$I$107,3,0)),0,VLOOKUP(A162,'Données projet'!$A$87:$I$107,3,0))</f>
        <v>0</v>
      </c>
      <c r="BL162" s="134">
        <f>IF(ISNA(VLOOKUP(A162,'Données projet'!$A$87:$I$107,4,0)),0,VLOOKUP(A162,'Données projet'!$A$87:$I$107,4,0))</f>
        <v>0</v>
      </c>
      <c r="BM162" s="135">
        <f>IF(ISNA(VLOOKUP(A162,'Données projet'!$A$87:$I$107,5,0)),0%,VLOOKUP(A162,'Données projet'!$A$87:$I$107,5,0)*VLOOKUP('Données projet'!$B$11,'Paramètres'!$A$1:$I$89,7,0))</f>
        <v>0</v>
      </c>
      <c r="BN162" s="135">
        <f>IF(ISNA(VLOOKUP(A162,'Données projet'!$A$87:$I$107,6,0)),0%,VLOOKUP(A162,'Données projet'!$A$87:$I$107,6,0)*VLOOKUP('Données projet'!$B$11,'Paramètres'!$A$1:$I$89,7,0))</f>
        <v>0</v>
      </c>
      <c r="BO162" s="135">
        <f>IF(ISNA(VLOOKUP(A162,'Données projet'!$A$87:$I$107,7,0)),0%,VLOOKUP(A162,'Données projet'!$A$87:$I$107,7,0))</f>
        <v>0</v>
      </c>
      <c r="BP162" s="142">
        <f>EXP(-LN(2)/35)*BP161+(1-EXP(-LN(2)/35))/(LN(2)/35)*BL162*BM162*VLOOKUP('Données projet'!$B$11,'Paramètres'!$A$1:$I$89,3,0)*0.475*44/12</f>
        <v>28.75056145</v>
      </c>
      <c r="BQ162" s="142">
        <f>EXP(-LN(2)/25)*BQ161+(1-EXP(-LN(2)/25))/(LN(2)/25)*Calculateur!BL162*Calculateur!BN162*VLOOKUP('Données projet'!$B$11,'Paramètres'!$A$1:$I$89,3,0)*0.475*44/12</f>
        <v>1.448237675</v>
      </c>
      <c r="BR162" s="142">
        <f>EXP(-LN(2)/2)*BR161+(1-EXP(-LN(2)/2))/(LN(2)/2)*BL162*BO162*VLOOKUP('Données projet'!$B$11,'Paramètres'!$A$1:$I$89,3,0)*0.475*44/12</f>
        <v>0</v>
      </c>
      <c r="BS162" s="143">
        <f t="shared" si="10"/>
        <v>30.19879912</v>
      </c>
      <c r="BT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1" t="str">
        <f>VLOOKUP(A162,'Données projet'!$A$113:$I$133,2,0)</f>
        <v>#N/A</v>
      </c>
      <c r="BW162" s="131" t="str">
        <f>VLOOKUP(A162,'Données projet'!$A$113:$I$133,9,0)</f>
        <v>#N/A</v>
      </c>
      <c r="BX162" s="131" t="str">
        <f t="array" ref="BX162">INDEX(BW:BW,MIN(IF(ISNUMBER(BW162:BW358),ROW(BW162:BW358),"")))</f>
        <v/>
      </c>
      <c r="BY162" s="130">
        <f>IF('Données projet'!$A$114&gt;35,BY161+BX162-CG161,IF(A162&lt;'Données projet'!$A$114,$BV$205^A162,IF(A162='Données projet'!$A$114,'Données projet'!$B$114,BY161+BX162-CG161)))</f>
        <v>0</v>
      </c>
      <c r="BZ162" s="130">
        <f>BY162*VLOOKUP('Données projet'!$B$12,'Paramètres'!$A$1:$I$89,3,0)*VLOOKUP('Données projet'!$B$12,'Paramètres'!$A$1:$I$89,5,0)</f>
        <v>0</v>
      </c>
      <c r="CA162" s="130" t="str">
        <f t="shared" si="40"/>
        <v>#NUM!</v>
      </c>
      <c r="CB162" s="141" t="str">
        <f t="shared" si="11"/>
        <v>#NUM!</v>
      </c>
      <c r="CC162" s="133" t="str">
        <f t="shared" si="12"/>
        <v>#NUM!</v>
      </c>
      <c r="CD162" s="133">
        <f>AVERAGE(OFFSET($CC$3,0,0,'Données projet'!$E$12+1,1))-AVERAGE(OFFSET($H$3,0,0,'Données projet'!$E$12+1,1))</f>
        <v>258.1672054</v>
      </c>
      <c r="CE162" s="133">
        <f t="shared" si="41"/>
        <v>296.0724261</v>
      </c>
      <c r="CF162" s="134">
        <f>IF(ISNA(VLOOKUP(A162,'Données projet'!$A$113:$I$133,3,0)),0,VLOOKUP(A162,'Données projet'!$A$113:$I$133,3,0))</f>
        <v>0</v>
      </c>
      <c r="CG162" s="134">
        <f>IF(ISNA(VLOOKUP(A162,'Données projet'!$A$113:$I$133,4,0)),0,VLOOKUP(A162,'Données projet'!$A$113:$I$133,4,0))</f>
        <v>0</v>
      </c>
      <c r="CH162" s="135">
        <f>IF(ISNA(VLOOKUP(A162,'Données projet'!$A$113:$I$133,5,0)),0%,VLOOKUP(A162,'Données projet'!$A$113:$I$133,5,0)*VLOOKUP('Données projet'!$B$12,'Paramètres'!$A$1:$I$89,7,0))</f>
        <v>0</v>
      </c>
      <c r="CI162" s="135">
        <f>IF(ISNA(VLOOKUP(A162,'Données projet'!$A$113:$I$133,6,0)),0%,VLOOKUP(A162,'Données projet'!$A$113:$I$133,6,0)*VLOOKUP('Données projet'!$B$12,'Paramètres'!$A$1:$I$89,7,0))</f>
        <v>0</v>
      </c>
      <c r="CJ162" s="135">
        <f>IF(ISNA(VLOOKUP(A162,'Données projet'!$A$113:$I$133,7,0)),0%,VLOOKUP(A162,'Données projet'!$A$113:$I$133,7,0))</f>
        <v>0</v>
      </c>
      <c r="CK162" s="142">
        <f>EXP(-LN(2)/35)*CK161+(1-EXP(-LN(2)/35))/(LN(2)/35)*CG162*CH162*VLOOKUP('Données projet'!$B$12,'Paramètres'!$A$1:$I$89,3,0)*0.475*44/12</f>
        <v>36.34950483</v>
      </c>
      <c r="CL162" s="142">
        <f>EXP(-LN(2)/25)*CL161+(1-EXP(-LN(2)/25))/(LN(2)/25)*Calculateur!CG162*Calculateur!CI162*VLOOKUP('Données projet'!$B$12,'Paramètres'!$A$1:$I$89,3,0)*0.475*44/12</f>
        <v>2.540291094</v>
      </c>
      <c r="CM162" s="142">
        <f>EXP(-LN(2)/2)*CM161+(1-EXP(-LN(2)/2))/(LN(2)/2)*CG162*CJ162*VLOOKUP('Données projet'!$B$12,'Paramètres'!$A$1:$I$89,3,0)*0.475*44/12</f>
        <v>0</v>
      </c>
      <c r="CN162" s="143">
        <f t="shared" si="13"/>
        <v>38.88979592</v>
      </c>
      <c r="CO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1" t="str">
        <f>VLOOKUP(A162,'Données projet'!$A$139:$I$159,2,0)</f>
        <v>#N/A</v>
      </c>
      <c r="CR162" s="131" t="str">
        <f>VLOOKUP(A162,'Données projet'!$A$139:$I$159,9,0)</f>
        <v>#N/A</v>
      </c>
      <c r="CS162" s="131" t="str">
        <f t="array" ref="CS162">INDEX(CR:CR,MIN(IF(ISNUMBER(CR162:CR358),ROW(CR162:CR358),"")))</f>
        <v/>
      </c>
      <c r="CT162" s="138">
        <f>IF('Données projet'!$A$140&gt;35,CT161+CS162-DB161,IF(A162&lt;'Données projet'!$A$140,$CQ$205^A162,IF(A162='Données projet'!$A$140,'Données projet'!$B$140,CT161+CS162-DB161)))</f>
        <v>0</v>
      </c>
      <c r="CU162" s="138">
        <f>CT162*VLOOKUP('Données projet'!$B$13,'Paramètres'!$A$1:$I$89,3,0)*VLOOKUP('Données projet'!$B$13,'Paramètres'!$A$1:$I$89,5,0)</f>
        <v>0</v>
      </c>
      <c r="CV162" s="130" t="str">
        <f t="shared" si="42"/>
        <v>#NUM!</v>
      </c>
      <c r="CW162" s="141" t="str">
        <f t="shared" si="14"/>
        <v>#NUM!</v>
      </c>
      <c r="CX162" s="133" t="str">
        <f t="shared" si="15"/>
        <v>#NUM!</v>
      </c>
      <c r="CY162" s="133">
        <f>AVERAGE(OFFSET($CX$3,0,0,'Données projet'!$E$13+1,1))-AVERAGE(OFFSET($H$3,0,0,'Données projet'!$E$13+1,1))</f>
        <v>223.783507</v>
      </c>
      <c r="CZ162" s="133">
        <f t="shared" si="43"/>
        <v>84.92349117</v>
      </c>
      <c r="DA162" s="134">
        <f>IF(ISNA(VLOOKUP(A162,'Données projet'!$A$139:$I$159,3,0)),0,VLOOKUP(A162,'Données projet'!$A$139:$I$159,3,0))</f>
        <v>0</v>
      </c>
      <c r="DB162" s="134">
        <f>IF(ISNA(VLOOKUP(A162,'Données projet'!$A$139:$I$159,4,0)),0,VLOOKUP(A162,'Données projet'!$A$139:$I$159,4,0))</f>
        <v>0</v>
      </c>
      <c r="DC162" s="135">
        <f>IF(ISNA(VLOOKUP(A162,'Données projet'!$A$139:$I$159,5,0)),0%,VLOOKUP(A162,'Données projet'!$A$139:$I$159,5,0)*VLOOKUP('Données projet'!$B$13,'Paramètres'!$A$1:$I$89,7,0))</f>
        <v>0</v>
      </c>
      <c r="DD162" s="135">
        <f>IF(ISNA(VLOOKUP(A162,'Données projet'!$A$139:$I$159,6,0)),0%,VLOOKUP(A162,'Données projet'!$A$139:$I$159,6,0)*VLOOKUP('Données projet'!$B$13,'Paramètres'!$A$1:$I$89,7,0))</f>
        <v>0</v>
      </c>
      <c r="DE162" s="135">
        <f>IF(ISNA(VLOOKUP(A162,'Données projet'!$A$139:$I$159,7,0)),0%,VLOOKUP(A162,'Données projet'!$A$139:$I$159,7,0))</f>
        <v>0</v>
      </c>
      <c r="DF162" s="142">
        <f>EXP(-LN(2)/35)*DF161+(1-EXP(-LN(2)/35))/(LN(2)/35)*DB162*DC162*VLOOKUP('Données projet'!$B$13,'Paramètres'!$A$1:$I$89,3,0)*0.475*44/12</f>
        <v>93.35979138</v>
      </c>
      <c r="DG162" s="142">
        <f>EXP(-LN(2)/25)*DG161+(1-EXP(-LN(2)/25))/(LN(2)/25)*Calculateur!DB162*Calculateur!DD162*VLOOKUP('Données projet'!$B$13,'Paramètres'!$A$1:$I$89,3,0)*0.475*44/12</f>
        <v>0</v>
      </c>
      <c r="DH162" s="142">
        <f>EXP(-LN(2)/2)*DH161+(1-EXP(-LN(2)/2))/(LN(2)/2)*DB162*DE162*VLOOKUP('Données projet'!$B$13,'Paramètres'!$A$1:$I$89,3,0)*0.475*44/12</f>
        <v>0</v>
      </c>
      <c r="DI162" s="143">
        <f t="shared" si="16"/>
        <v>93.35979138</v>
      </c>
      <c r="DJ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1" t="str">
        <f>VLOOKUP(A162,'Données projet'!$A$165:$I$185,2,0)</f>
        <v>#N/A</v>
      </c>
      <c r="DM162" s="131" t="str">
        <f>VLOOKUP(A162,'Données projet'!$A$165:$I$185,9,0)</f>
        <v>#N/A</v>
      </c>
      <c r="DN162" s="131" t="str">
        <f t="array" ref="DN162">INDEX(DM:DM,MIN(IF(ISNUMBER(DM162:DM358),ROW(DM162:DM358),"")))</f>
        <v/>
      </c>
      <c r="DO162" s="138">
        <f>IF('Données projet'!$A$166&gt;35,DO161+DN162-DW161,IF(A162&lt;'Données projet'!$A$166,$DL$205^A162,IF(A162='Données projet'!$A$166,'Données projet'!$B$166,DO161+DN162-DW161)))</f>
        <v>0</v>
      </c>
      <c r="DP162" s="138">
        <f>DO162*VLOOKUP('Données projet'!$B$14,'Paramètres'!$A$1:$I$89,3,0)*VLOOKUP('Données projet'!$B$14,'Paramètres'!$A$1:$I$89,5,0)</f>
        <v>0</v>
      </c>
      <c r="DQ162" s="130" t="str">
        <f t="shared" si="44"/>
        <v>#NUM!</v>
      </c>
      <c r="DR162" s="141" t="str">
        <f t="shared" si="17"/>
        <v>#NUM!</v>
      </c>
      <c r="DS162" s="133" t="str">
        <f t="shared" si="18"/>
        <v>#NUM!</v>
      </c>
      <c r="DT162" s="133">
        <f>AVERAGE(OFFSET($DS$3,0,0,'Données projet'!$E$14+1,1))-AVERAGE(OFFSET($H$3,0,0,'Données projet'!$E$14+1,1))</f>
        <v>287.9334714</v>
      </c>
      <c r="DU162" s="133">
        <f t="shared" si="45"/>
        <v>156.6796502</v>
      </c>
      <c r="DV162" s="134">
        <f>IF(ISNA(VLOOKUP(A162,'Données projet'!$A$165:$I$185,3,0)),0,VLOOKUP(A162,'Données projet'!$A$165:$I$185,3,0))</f>
        <v>0</v>
      </c>
      <c r="DW162" s="134">
        <f>IF(ISNA(VLOOKUP(A162,'Données projet'!$A$165:$I$185,4,0)),0,VLOOKUP(A162,'Données projet'!$A$165:$I$185,4,0))</f>
        <v>0</v>
      </c>
      <c r="DX162" s="135">
        <f>IF(ISNA(VLOOKUP(A162,'Données projet'!$A$165:$I$185,5,0)),0%,VLOOKUP(A162,'Données projet'!$A$165:$I$185,5,0)*VLOOKUP('Données projet'!$B$14,'Paramètres'!$A$1:$I$89,7,0))</f>
        <v>0</v>
      </c>
      <c r="DY162" s="135">
        <f>IF(ISNA(VLOOKUP(A162,'Données projet'!$A$165:$I$185,6,0)),0%,VLOOKUP(A162,'Données projet'!$A$165:$I$185,6,0)*VLOOKUP('Données projet'!$B$14,'Paramètres'!$A$1:$I$89,7,0))</f>
        <v>0</v>
      </c>
      <c r="DZ162" s="135">
        <f>IF(ISNA(VLOOKUP(A162,'Données projet'!$A$165:$I$185,7,0)),0%,VLOOKUP(A162,'Données projet'!$A$165:$I$185,7,0))</f>
        <v>0</v>
      </c>
      <c r="EA162" s="142">
        <f>EXP(-LN(2)/35)*EA161+(1-EXP(-LN(2)/35))/(LN(2)/35)*DW162*DX162*VLOOKUP('Données projet'!$B$14,'Paramètres'!$A$1:$I$89,3,0)*0.475*44/12</f>
        <v>108.45766</v>
      </c>
      <c r="EB162" s="142">
        <f>EXP(-LN(2)/25)*EB161+(1-EXP(-LN(2)/25))/(LN(2)/25)*Calculateur!DW162*Calculateur!DY162*VLOOKUP('Données projet'!$B$14,'Paramètres'!$A$1:$I$89,3,0)*0.475*44/12</f>
        <v>0</v>
      </c>
      <c r="EC162" s="142">
        <f>EXP(-LN(2)/2)*EC161+(1-EXP(-LN(2)/2))/(LN(2)/2)*DW162*DZ162*VLOOKUP('Données projet'!$B$14,'Paramètres'!$A$1:$I$89,3,0)*0.475*44/12</f>
        <v>0</v>
      </c>
      <c r="ED162" s="143">
        <f t="shared" si="19"/>
        <v>108.45766</v>
      </c>
      <c r="EE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1" t="str">
        <f>VLOOKUP(A162,'Données projet'!$A$191:$I$211,2,0)</f>
        <v>#N/A</v>
      </c>
      <c r="EH162" s="131" t="str">
        <f>VLOOKUP(A162,'Données projet'!$A$191:$I$211,9,0)</f>
        <v>#N/A</v>
      </c>
      <c r="EI162" s="131" t="str">
        <f t="array" ref="EI162">INDEX(EH:EH,MIN(IF(ISNUMBER(EH162:EH358),ROW(EH162:EH358),"")))</f>
        <v/>
      </c>
      <c r="EJ162" s="138">
        <f>IF('Données projet'!$A$192&gt;35,EJ161+EI162-ER161,IF(A162&lt;'Données projet'!$A$192,$EG$205^A162,IF(A162='Données projet'!$A$192,'Données projet'!$B$192,EJ161+EI162-ER161)))</f>
        <v>0</v>
      </c>
      <c r="EK162" s="138">
        <f>EJ162*VLOOKUP('Données projet'!$B$15,'Paramètres'!$A$1:$I$89,3,0)*VLOOKUP('Données projet'!$B$15,'Paramètres'!$A$1:$I$89,5,0)</f>
        <v>0</v>
      </c>
      <c r="EL162" s="130" t="str">
        <f t="shared" si="46"/>
        <v>#NUM!</v>
      </c>
      <c r="EM162" s="141" t="str">
        <f t="shared" si="20"/>
        <v>#NUM!</v>
      </c>
      <c r="EN162" s="133" t="str">
        <f t="shared" si="21"/>
        <v>#NUM!</v>
      </c>
      <c r="EO162" s="133">
        <f>AVERAGE(OFFSET($EN$3,0,0,'Données projet'!$E$15+1,1))-AVERAGE(OFFSET($H$3,0,0,'Données projet'!$E$15+1,1))</f>
        <v>130.3193339</v>
      </c>
      <c r="EP162" s="133">
        <f t="shared" si="47"/>
        <v>82.22784365</v>
      </c>
      <c r="EQ162" s="134">
        <f>IF(ISNA(VLOOKUP(A162,'Données projet'!$A$191:$I$211,3,0)),0,VLOOKUP(A162,'Données projet'!$A$191:$I$211,3,0))</f>
        <v>0</v>
      </c>
      <c r="ER162" s="134">
        <f>IF(ISNA(VLOOKUP(A162,'Données projet'!$A$191:$I$211,4,0)),0,VLOOKUP(A162,'Données projet'!$A$191:$I$211,4,0))</f>
        <v>0</v>
      </c>
      <c r="ES162" s="135">
        <f>IF(ISNA(VLOOKUP(A162,'Données projet'!$A$191:$I$211,5,0)),0%,VLOOKUP(A162,'Données projet'!$A$191:$I$211,5,0)*VLOOKUP('Données projet'!$B$15,'Paramètres'!$A$1:$I$89,7,0))</f>
        <v>0</v>
      </c>
      <c r="ET162" s="135">
        <f>IF(ISNA(VLOOKUP(A162,'Données projet'!$A$191:$I$211,6,0)),0%,VLOOKUP(A162,'Données projet'!$A$191:$I$211,6,0)*VLOOKUP('Données projet'!$B$15,'Paramètres'!$A$1:$I$89,7,0))</f>
        <v>0</v>
      </c>
      <c r="EU162" s="135">
        <f>IF(ISNA(VLOOKUP(A162,'Données projet'!$A$191:$I$211,7,0)),0%,VLOOKUP(A162,'Données projet'!$A$191:$I$211,7,0))</f>
        <v>0</v>
      </c>
      <c r="EV162" s="142">
        <f>EXP(-LN(2)/35)*EV161+(1-EXP(-LN(2)/35))/(LN(2)/35)*ER162*ES162*VLOOKUP('Données projet'!$B$15,'Paramètres'!$A$1:$I$89,3,0)*0.475*44/12</f>
        <v>22.22697023</v>
      </c>
      <c r="EW162" s="142">
        <f>EXP(-LN(2)/25)*EW161+(1-EXP(-LN(2)/25))/(LN(2)/25)*Calculateur!ER162*Calculateur!ET162*VLOOKUP('Données projet'!$B$15,'Paramètres'!$A$1:$I$89,3,0)*0.475*44/12</f>
        <v>0</v>
      </c>
      <c r="EX162" s="142">
        <f>EXP(-LN(2)/2)*EX161+(1-EXP(-LN(2)/2))/(LN(2)/2)*ER162*EU162*VLOOKUP('Données projet'!$B$15,'Paramètres'!$A$1:$I$89,3,0)*0.475*44/12</f>
        <v>0</v>
      </c>
      <c r="EY162" s="143">
        <f t="shared" si="22"/>
        <v>22.22697023</v>
      </c>
      <c r="EZ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1" t="str">
        <f>VLOOKUP(A162,'Données projet'!$A$217:$I$237,2,0)</f>
        <v>#N/A</v>
      </c>
      <c r="FC162" s="131" t="str">
        <f>VLOOKUP(A162,'Données projet'!$A$217:$I$237,9,0)</f>
        <v>#N/A</v>
      </c>
      <c r="FD162" s="131" t="str">
        <f t="array" ref="FD162">INDEX(FC:FC,MIN(IF(ISNUMBER(FC162:FC358),ROW(FC162:FC358),"")))</f>
        <v/>
      </c>
      <c r="FE162" s="130">
        <f>IF('Données projet'!$A$218&gt;35,FE161+FD162-FM161,IF(A162&lt;'Données projet'!$A$218,$FB$205^A162,IF(A162='Données projet'!$A$218,'Données projet'!$B$218,FE161+FD162-FM161)))</f>
        <v>0</v>
      </c>
      <c r="FF162" s="138">
        <f>FE162*VLOOKUP('Données projet'!$B$16,'Paramètres'!$A$1:$I$89,3,0)*VLOOKUP('Données projet'!$B$16,'Paramètres'!$A$1:$I$89,5,0)</f>
        <v>0</v>
      </c>
      <c r="FG162" s="130">
        <f t="shared" si="48"/>
        <v>0</v>
      </c>
      <c r="FH162" s="141">
        <f t="shared" si="23"/>
        <v>0</v>
      </c>
      <c r="FI162" s="133">
        <f t="shared" si="24"/>
        <v>293.3333333</v>
      </c>
      <c r="FJ162" s="133">
        <f>AVERAGE(OFFSET($FI$3,0,0,'Données projet'!$E$16+1,1))-AVERAGE(OFFSET($H$3,0,0,'Données projet'!$E$16+1,1))</f>
        <v>305.6252353</v>
      </c>
      <c r="FK162" s="133">
        <f t="shared" si="49"/>
        <v>331.397916</v>
      </c>
      <c r="FL162" s="134">
        <f>IF(ISNA(VLOOKUP(A162,'Données projet'!$A$217:$I$237,3,0)),0,VLOOKUP(A162,'Données projet'!$A$217:$I$237,3,0))</f>
        <v>0</v>
      </c>
      <c r="FM162" s="134">
        <f>IF(ISNA(VLOOKUP(A162,'Données projet'!$A$217:$I$237,4,0)),0,VLOOKUP(A162,'Données projet'!$A$217:$I$237,4,0))</f>
        <v>0</v>
      </c>
      <c r="FN162" s="135">
        <f>IF(ISNA(VLOOKUP(A162,'Données projet'!$A$217:$I$237,5,0)),0%,VLOOKUP(A162,'Données projet'!$A$217:$I$237,5,0)*VLOOKUP('Données projet'!$B$16,'Paramètres'!$A$1:$I$89,7,0))</f>
        <v>0</v>
      </c>
      <c r="FO162" s="135">
        <f>IF(ISNA(VLOOKUP(A162,'Données projet'!$A$217:$I$237,6,0)),0%,VLOOKUP(A162,'Données projet'!$A$217:$I$237,6,0)*VLOOKUP('Données projet'!$B$16,'Paramètres'!$A$1:$I$89,7,0))</f>
        <v>0</v>
      </c>
      <c r="FP162" s="135">
        <f>IF(ISNA(VLOOKUP(A162,'Données projet'!$A$217:$I$237,7,0)),0%,VLOOKUP(A162,'Données projet'!$A$217:$I$237,7,0))</f>
        <v>0</v>
      </c>
      <c r="FQ162" s="142">
        <f>EXP(-LN(2)/35)*FQ161+(1-EXP(-LN(2)/35))/(LN(2)/35)*FM162*FN162*VLOOKUP('Données projet'!$B$16,'Paramètres'!$A$1:$I$89,3,0)*0.475*44/12</f>
        <v>13.83917592</v>
      </c>
      <c r="FR162" s="142">
        <f>EXP(-LN(2)/25)*FR161+(1-EXP(-LN(2)/25))/(LN(2)/25)*Calculateur!FM162*Calculateur!FO162*VLOOKUP('Données projet'!$B$16,'Paramètres'!$A$1:$I$89,3,0)*0.475*44/12</f>
        <v>0</v>
      </c>
      <c r="FS162" s="142">
        <f>EXP(-LN(2)/2)*FS161+(1-EXP(-LN(2)/2))/(LN(2)/2)*FM162*FP162*VLOOKUP('Données projet'!$B$16,'Paramètres'!$A$1:$I$89,3,0)*0.475*44/12</f>
        <v>0</v>
      </c>
      <c r="FT162" s="143">
        <f t="shared" si="25"/>
        <v>13.83917592</v>
      </c>
      <c r="FU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1" t="str">
        <f>VLOOKUP(A162,'Données projet'!$A$243:$I$263,2,0)</f>
        <v>#N/A</v>
      </c>
      <c r="FX162" s="131" t="str">
        <f>VLOOKUP(A162,'Données projet'!$A$243:$I$263,9,0)</f>
        <v>#N/A</v>
      </c>
      <c r="FY162" s="131" t="str">
        <f t="array" ref="FY162">INDEX(FX:FX,MIN(IF(ISNUMBER(FX162:FX358),ROW(FX162:FX358),"")))</f>
        <v/>
      </c>
      <c r="FZ162" s="138">
        <f>IF('Données projet'!$A$244&gt;35,FZ161+FY162-GH161,IF(A162&lt;'Données projet'!$A$244,$FW$205^A162,IF(A162='Données projet'!$A$244,'Données projet'!$B$244,FZ161+FY162-GH161)))</f>
        <v>0</v>
      </c>
      <c r="GA162" s="138">
        <f>FZ162*VLOOKUP('Données projet'!$B$17,'Paramètres'!$A$1:$I$89,3,0)*VLOOKUP('Données projet'!$B$17,'Paramètres'!$A$1:$I$89,5,0)</f>
        <v>0</v>
      </c>
      <c r="GB162" s="130">
        <f t="shared" si="50"/>
        <v>0</v>
      </c>
      <c r="GC162" s="141">
        <f t="shared" si="26"/>
        <v>0</v>
      </c>
      <c r="GD162" s="133">
        <f t="shared" si="27"/>
        <v>293.3333333</v>
      </c>
      <c r="GE162" s="133">
        <f>AVERAGE(OFFSET($GD$3,0,0,'Données projet'!$E$17+1,1))-AVERAGE(OFFSET($H$3,0,0,'Données projet'!$E$17+1,1))</f>
        <v>118.7368745</v>
      </c>
      <c r="GF162" s="133">
        <f t="shared" si="51"/>
        <v>135.1233677</v>
      </c>
      <c r="GG162" s="134">
        <f>IF(ISNA(VLOOKUP(A162,'Données projet'!$A$243:$I$263,3,0)),0,VLOOKUP(A162,'Données projet'!$A$243:$I$263,3,0))</f>
        <v>0</v>
      </c>
      <c r="GH162" s="134">
        <f>IF(ISNA(VLOOKUP(A162,'Données projet'!$A$243:$I$263,4,0)),0,VLOOKUP(A162,'Données projet'!$A$243:$I$263,4,0))</f>
        <v>0</v>
      </c>
      <c r="GI162" s="135">
        <f>IF(ISNA(VLOOKUP(A162,'Données projet'!$A$243:$I$263,5,0)),0%,VLOOKUP(A162,'Données projet'!$A$243:$I$263,5,0)*VLOOKUP('Données projet'!$B$17,'Paramètres'!$A$1:$I$89,7,0))</f>
        <v>0</v>
      </c>
      <c r="GJ162" s="135">
        <f>IF(ISNA(VLOOKUP(A162,'Données projet'!$A$243:$I$263,6,0)),0%,VLOOKUP(A162,'Données projet'!$A$243:$I$263,6,0)*VLOOKUP('Données projet'!$B$17,'Paramètres'!$A$1:$I$89,7,0))</f>
        <v>0</v>
      </c>
      <c r="GK162" s="135">
        <f>IF(ISNA(VLOOKUP(A162,'Données projet'!$A$243:$I$263,7,0)),0%,VLOOKUP(A162,'Données projet'!$A$243:$I$263,7,0))</f>
        <v>0</v>
      </c>
      <c r="GL162" s="142">
        <f>EXP(-LN(2)/35)*GL161+(1-EXP(-LN(2)/35))/(LN(2)/35)*GH162*GI162*VLOOKUP('Données projet'!$B$17,'Paramètres'!$A$1:$I$89,3,0)*0.475*44/12</f>
        <v>14.62104657</v>
      </c>
      <c r="GM162" s="142">
        <f>EXP(-LN(2)/25)*GM161+(1-EXP(-LN(2)/25))/(LN(2)/25)*Calculateur!GH162*Calculateur!GJ162*VLOOKUP('Données projet'!$B$17,'Paramètres'!$A$1:$I$89,3,0)*0.475*44/12</f>
        <v>0</v>
      </c>
      <c r="GN162" s="142">
        <f>EXP(-LN(2)/2)*GN161+(1-EXP(-LN(2)/2))/(LN(2)/2)*GH162*GK162*VLOOKUP('Données projet'!$B$17,'Paramètres'!$A$1:$I$89,3,0)*0.475*44/12</f>
        <v>0</v>
      </c>
      <c r="GO162" s="142">
        <f t="shared" si="28"/>
        <v>14.62104657</v>
      </c>
      <c r="GP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1" t="str">
        <f>VLOOKUP(A162,'Données projet'!$A$269:$I$289,2,0)</f>
        <v>#N/A</v>
      </c>
      <c r="GS162" s="131" t="str">
        <f>VLOOKUP(A162,'Données projet'!$A$269:$I$289,9,0)</f>
        <v>#N/A</v>
      </c>
      <c r="GT162" s="131" t="str">
        <f t="array" ref="GT162">INDEX(GS:GS,MIN(IF(ISNUMBER(GS162:GS358),ROW(GS162:GS358),"")))</f>
        <v/>
      </c>
      <c r="GU162" s="138">
        <f>IF('Données projet'!$A$270&gt;35,GU161+GT162-HC161,IF(A162&lt;'Données projet'!$A$270,$GR$205^A162,IF(A162='Données projet'!$A$270,'Données projet'!$B$270,GU161+GT162-HC161)))</f>
        <v>0</v>
      </c>
      <c r="GV162" s="138">
        <f>GU162*VLOOKUP('Données projet'!$B$18,'Paramètres'!$A$1:$I$89,3,0)*VLOOKUP('Données projet'!$B$18,'Paramètres'!$A$1:$I$89,5,0)</f>
        <v>0</v>
      </c>
      <c r="GW162" s="130" t="str">
        <f t="shared" si="52"/>
        <v>#NUM!</v>
      </c>
      <c r="GX162" s="141" t="str">
        <f t="shared" si="29"/>
        <v>#NUM!</v>
      </c>
      <c r="GY162" s="133" t="str">
        <f t="shared" si="30"/>
        <v>#NUM!</v>
      </c>
      <c r="GZ162" s="133">
        <f>AVERAGE(OFFSET($GY$3,0,0,'Données projet'!$E$18+1,1))-AVERAGE(OFFSET($H$3,0,0,'Données projet'!$E$18+1,1))</f>
        <v>100.5427875</v>
      </c>
      <c r="HA162" s="133">
        <f t="shared" si="53"/>
        <v>92.28663609</v>
      </c>
      <c r="HB162" s="134">
        <f>IF(ISNA(VLOOKUP(A162,'Données projet'!$A$269:$I$289,3,0)),0,VLOOKUP(A162,'Données projet'!$A$269:$I$289,3,0))</f>
        <v>0</v>
      </c>
      <c r="HC162" s="134">
        <f>IF(ISNA(VLOOKUP(A162,'Données projet'!$A$269:$I$289,4,0)),0,VLOOKUP(A162,'Données projet'!$A$269:$I$289,4,0))</f>
        <v>0</v>
      </c>
      <c r="HD162" s="135">
        <f>IF(ISNA(VLOOKUP(A162,'Données projet'!$A$269:$I$289,5,0)),0%,VLOOKUP(A162,'Données projet'!$A$269:$I$289,5,0)*VLOOKUP('Données projet'!$B$18,'Paramètres'!$A$1:$I$89,7,0))</f>
        <v>0</v>
      </c>
      <c r="HE162" s="135">
        <f>IF(ISNA(VLOOKUP(A162,'Données projet'!$A$269:$I$289,6,0)),0%,VLOOKUP(A162,'Données projet'!$A$269:$I$289,6,0)*VLOOKUP('Données projet'!$B$18,'Paramètres'!$A$1:$I$89,7,0))</f>
        <v>0</v>
      </c>
      <c r="HF162" s="135">
        <f>IF(ISNA(VLOOKUP(A162,'Données projet'!$A$269:$I$289,7,0)),0%,VLOOKUP(A162,'Données projet'!$A$269:$I$289,7,0))</f>
        <v>0</v>
      </c>
      <c r="HG162" s="142">
        <f>EXP(-LN(2)/35)*HG161+(1-EXP(-LN(2)/35))/(LN(2)/35)*HC162*HD162*VLOOKUP('Données projet'!$B$18,'Paramètres'!$A$1:$I$89,3,0)*0.475*44/12</f>
        <v>9.956624264</v>
      </c>
      <c r="HH162" s="142">
        <f>EXP(-LN(2)/25)*HH161+(1-EXP(-LN(2)/25))/(LN(2)/25)*Calculateur!HC162*Calculateur!HE162*VLOOKUP('Données projet'!$B$18,'Paramètres'!$A$1:$I$89,3,0)*0.475*44/12</f>
        <v>0</v>
      </c>
      <c r="HI162" s="142">
        <f>EXP(-LN(2)/2)*HI161+(1-EXP(-LN(2)/2))/(LN(2)/2)*HC162*HF162*VLOOKUP('Données projet'!$B$18,'Paramètres'!$A$1:$I$89,3,0)*0.475*44/12</f>
        <v>0</v>
      </c>
      <c r="HJ162" s="143">
        <f t="shared" si="31"/>
        <v>9.956624264</v>
      </c>
    </row>
    <row r="163" ht="15.75" customHeight="1">
      <c r="A163" s="125">
        <f t="shared" si="32"/>
        <v>160</v>
      </c>
      <c r="B163" s="126">
        <f>'Scénario référence'!$B$16*5+'Scénario référence'!$B$17*0+'Scénario référence'!$B$18*5</f>
        <v>0</v>
      </c>
      <c r="C163" s="140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87.36</v>
      </c>
      <c r="D163" s="127">
        <f t="shared" si="33"/>
        <v>23.92742153</v>
      </c>
      <c r="E16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7">
        <f>IF(OR('Scénario référence'!$F$8&gt;0,'Scénario référence'!$F$9&gt;0),('Scénario référence'!$F$8+'Scénario référence'!$F$9)*10,0)</f>
        <v>10</v>
      </c>
      <c r="G163" s="127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859.0607978</v>
      </c>
      <c r="H163" s="128">
        <f t="shared" si="1"/>
        <v>487.1589258</v>
      </c>
      <c r="I163" s="12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1" t="str">
        <f>VLOOKUP(A163,'Données projet'!$A$35:$I$55,2,0)</f>
        <v>#N/A</v>
      </c>
      <c r="L163" s="131" t="str">
        <f>VLOOKUP(A163,'Données projet'!$A$35:$I$55,9,0)</f>
        <v>#N/A</v>
      </c>
      <c r="M163" s="131" t="str">
        <f t="array" ref="M163">INDEX(L:L,MIN(IF(ISNUMBER(L163:L359),ROW(L163:L359),"")))</f>
        <v/>
      </c>
      <c r="N163" s="130">
        <f>IF('Données projet'!$A$36&gt;35,N162+M163-V162,IF(A163&lt;'Données projet'!$A$36,$K$205^A163,IF(A163='Données projet'!$A$36,'Données projet'!$B$36,N162+M163-V162)))</f>
        <v>0</v>
      </c>
      <c r="O163" s="130">
        <f>N163*VLOOKUP('Données projet'!$B$9,'Paramètres'!$A$1:$I$89,3,0)*VLOOKUP('Données projet'!$B$9,'Paramètres'!$A$1:$I$89,5,0)</f>
        <v>0</v>
      </c>
      <c r="P163" s="130">
        <f t="shared" si="34"/>
        <v>0</v>
      </c>
      <c r="Q163" s="141">
        <f t="shared" si="2"/>
        <v>0</v>
      </c>
      <c r="R163" s="133">
        <f t="shared" si="3"/>
        <v>293.3333333</v>
      </c>
      <c r="S163" s="133">
        <f>AVERAGE(OFFSET($R$3,0,0,'Données projet'!$E$9+1,1))-AVERAGE(OFFSET($H$3,0,0,'Données projet'!$E$9+1,1))</f>
        <v>126.9946492</v>
      </c>
      <c r="T163" s="133">
        <f t="shared" si="35"/>
        <v>140.039049</v>
      </c>
      <c r="U163" s="134">
        <f>IF(ISNA(VLOOKUP(A163,'Données projet'!$A$35:$I$55,3,0)),0,VLOOKUP(A163,'Données projet'!$A$35:$I$55,3,0))</f>
        <v>0</v>
      </c>
      <c r="V163" s="134">
        <f>IF(ISNA(VLOOKUP(A163,'Données projet'!$A$35:$I$55,4,0)),0,VLOOKUP(A163,'Données projet'!$A$35:$I$55,4,0))</f>
        <v>0</v>
      </c>
      <c r="W163" s="135">
        <f>IF(ISNA(VLOOKUP(A163,'Données projet'!$A$35:$I$55,5,0)),0%,VLOOKUP(A163,'Données projet'!$A$35:$I$55,5,0)*VLOOKUP('Données projet'!$B$9,'Paramètres'!$A$1:$I$89,7,0))</f>
        <v>0</v>
      </c>
      <c r="X163" s="135">
        <f>IF(ISNA(VLOOKUP(A163,'Données projet'!$A$35:$I$55,6,0)),0%,VLOOKUP(A163,'Données projet'!$A$35:$I$55,6,0)*VLOOKUP('Données projet'!$B$9,'Paramètres'!$A$1:$I$89,7,0))</f>
        <v>0</v>
      </c>
      <c r="Y163" s="135">
        <f>IF(ISNA(VLOOKUP(A163,'Données projet'!$A$35:$I$55,7,0)),0%,VLOOKUP(A163,'Données projet'!$A$35:$I$55,7,0))</f>
        <v>0</v>
      </c>
      <c r="Z163" s="142">
        <f>EXP(-LN(2)/35)*Z162+(1-EXP(-LN(2)/35))/(LN(2)/35)*V163*W163*VLOOKUP('Données projet'!$B$9,'Paramètres'!$A$1:$I$89,3,0)*0.475*44/12</f>
        <v>14.66083563</v>
      </c>
      <c r="AA163" s="142">
        <f>EXP(-LN(2)/25)*AA162+(1-EXP(-LN(2)/25))/(LN(2)/25)*Calculateur!V163*Calculateur!X163*VLOOKUP('Données projet'!$B$9,'Paramètres'!$A$1:$I$89,3,0)*0.475*44/12</f>
        <v>1.452415462</v>
      </c>
      <c r="AB163" s="142">
        <f>EXP(-LN(2)/2)*AB162+(1-EXP(-LN(2)/2))/(LN(2)/2)*V163*Y163*VLOOKUP('Données projet'!$B$9,'Paramètres'!$A$1:$I$89,3,0)*0.475*44/12</f>
        <v>0</v>
      </c>
      <c r="AC163" s="143">
        <f t="shared" si="4"/>
        <v>16.1132511</v>
      </c>
      <c r="AD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1" t="str">
        <f>VLOOKUP(A163,'Données projet'!$A$61:$I$81,2,0)</f>
        <v>#N/A</v>
      </c>
      <c r="AG163" s="131" t="str">
        <f>VLOOKUP(A163,'Données projet'!$A$61:$I$81,9,0)</f>
        <v>#N/A</v>
      </c>
      <c r="AH163" s="131" t="str">
        <f t="array" ref="AH163">INDEX(AG:AG,MIN(IF(ISNUMBER(AG163:AG359),ROW(AG163:AG359),"")))</f>
        <v/>
      </c>
      <c r="AI163" s="130">
        <f>IF('Données projet'!$A$62&gt;35,AI162+AH163-AQ162,IF(A163&lt;'Données projet'!$A$62,$AF$205^A163,IF(A163='Données projet'!$A$62,'Données projet'!$B$62,AI162+AH163-AQ162)))</f>
        <v>0</v>
      </c>
      <c r="AJ163" s="130">
        <f>AI163*VLOOKUP('Données projet'!$B$10,'Paramètres'!$A$1:$I$89,3,0)*VLOOKUP('Données projet'!$B$10,'Paramètres'!$A$1:$I$89,5,0)</f>
        <v>0</v>
      </c>
      <c r="AK163" s="130" t="str">
        <f t="shared" si="36"/>
        <v>#NUM!</v>
      </c>
      <c r="AL163" s="141" t="str">
        <f t="shared" si="5"/>
        <v>#NUM!</v>
      </c>
      <c r="AM163" s="133" t="str">
        <f t="shared" si="6"/>
        <v>#NUM!</v>
      </c>
      <c r="AN163" s="133">
        <f>AVERAGE(OFFSET($AM$3,0,0,'Données projet'!$E$10+1,1))-AVERAGE(OFFSET($H$3,0,0,'Données projet'!$E$10+1,1))</f>
        <v>196.874484</v>
      </c>
      <c r="AO163" s="133">
        <f t="shared" si="37"/>
        <v>217.5750859</v>
      </c>
      <c r="AP163" s="134">
        <f>IF(ISNA(VLOOKUP(A163,'Données projet'!$A$61:$I$81,3,0)),0,VLOOKUP(A163,'Données projet'!$A$61:$I$81,3,0))</f>
        <v>0</v>
      </c>
      <c r="AQ163" s="134">
        <f>IF(ISNA(VLOOKUP(A163,'Données projet'!$A$61:$I$81,4,0)),0,VLOOKUP(A163,'Données projet'!$A$61:$I$81,4,0))</f>
        <v>0</v>
      </c>
      <c r="AR163" s="135">
        <f>IF(ISNA(VLOOKUP(A163,'Données projet'!$A$61:$I$81,5,0)),0%,VLOOKUP(A163,'Données projet'!$A$61:$I$81,5,0)*VLOOKUP('Données projet'!$B$10,'Paramètres'!$A$1:$I$89,7,0))</f>
        <v>0</v>
      </c>
      <c r="AS163" s="135">
        <f>IF(ISNA(VLOOKUP(A163,'Données projet'!$A$61:$I$81,6,0)),0%,VLOOKUP(A163,'Données projet'!$A$61:$I$81,6,0)*VLOOKUP('Données projet'!$B$10,'Paramètres'!$A$1:$I$89,7,0))</f>
        <v>0</v>
      </c>
      <c r="AT163" s="135">
        <f>IF(ISNA(VLOOKUP(A163,'Données projet'!$A$61:$I$81,7,0)),0%,VLOOKUP(A163,'Données projet'!$A$61:$I$81,7,0))</f>
        <v>0</v>
      </c>
      <c r="AU163" s="142">
        <f>EXP(-LN(2)/35)*AU162+(1-EXP(-LN(2)/35))/(LN(2)/35)*AQ163*AR163*VLOOKUP('Données projet'!$B$10,'Paramètres'!$A$1:$I$89,3,0)*0.475*44/12</f>
        <v>20.37814511</v>
      </c>
      <c r="AV163" s="142">
        <f>EXP(-LN(2)/25)*AV162+(1-EXP(-LN(2)/25))/(LN(2)/25)*Calculateur!AQ163*Calculateur!AS163*VLOOKUP('Données projet'!$B$10,'Paramètres'!$A$1:$I$89,3,0)*0.475*44/12</f>
        <v>2.233090713</v>
      </c>
      <c r="AW163" s="142">
        <f>EXP(-LN(2)/2)*AW162+(1-EXP(-LN(2)/2))/(LN(2)/2)*AQ163*AT163*VLOOKUP('Données projet'!$B$10,'Paramètres'!$A$1:$I$89,3,0)*0.475*44/12</f>
        <v>0</v>
      </c>
      <c r="AX163" s="142">
        <f t="shared" si="7"/>
        <v>22.61123582</v>
      </c>
      <c r="AY163" s="13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1" t="str">
        <f>VLOOKUP(A163,'Données projet'!$A$87:$I$107,2,0)</f>
        <v>#N/A</v>
      </c>
      <c r="BB163" s="131" t="str">
        <f>VLOOKUP(A163,'Données projet'!$A$87:$I$107,9,0)</f>
        <v>#N/A</v>
      </c>
      <c r="BC163" s="131" t="str">
        <f t="array" ref="BC163">INDEX(BB:BB,MIN(IF(ISNUMBER(BB163:BB359),ROW(BB163:BB359),"")))</f>
        <v/>
      </c>
      <c r="BD163" s="130">
        <f>IF('Données projet'!$A$88&gt;35,BD162+BC163-BL162,IF(A163&lt;'Données projet'!$A$88,$BA$205^A163,IF(A163='Données projet'!$A$88,'Données projet'!$B$88,BD162+BC163-BL162)))</f>
        <v>0</v>
      </c>
      <c r="BE163" s="130">
        <f>BD163*VLOOKUP('Données projet'!$B$11,'Paramètres'!$A$1:$I$89,3,0)*VLOOKUP('Données projet'!$B$11,'Paramètres'!$A$1:$I$89,5,0)</f>
        <v>0</v>
      </c>
      <c r="BF163" s="130" t="str">
        <f t="shared" si="38"/>
        <v>#NUM!</v>
      </c>
      <c r="BG163" s="141" t="str">
        <f t="shared" si="8"/>
        <v>#NUM!</v>
      </c>
      <c r="BH163" s="133" t="str">
        <f t="shared" si="9"/>
        <v>#NUM!</v>
      </c>
      <c r="BI163" s="133">
        <f>AVERAGE(OFFSET($BH$3,0,0,'Données projet'!$E$11+1,1))-AVERAGE(OFFSET($H$3,0,0,'Données projet'!$E$11+1,1))</f>
        <v>134.0948534</v>
      </c>
      <c r="BJ163" s="133">
        <f t="shared" si="39"/>
        <v>108.4102536</v>
      </c>
      <c r="BK163" s="134">
        <f>IF(ISNA(VLOOKUP(A163,'Données projet'!$A$87:$I$107,3,0)),0,VLOOKUP(A163,'Données projet'!$A$87:$I$107,3,0))</f>
        <v>0</v>
      </c>
      <c r="BL163" s="134">
        <f>IF(ISNA(VLOOKUP(A163,'Données projet'!$A$87:$I$107,4,0)),0,VLOOKUP(A163,'Données projet'!$A$87:$I$107,4,0))</f>
        <v>0</v>
      </c>
      <c r="BM163" s="135">
        <f>IF(ISNA(VLOOKUP(A163,'Données projet'!$A$87:$I$107,5,0)),0%,VLOOKUP(A163,'Données projet'!$A$87:$I$107,5,0)*VLOOKUP('Données projet'!$B$11,'Paramètres'!$A$1:$I$89,7,0))</f>
        <v>0</v>
      </c>
      <c r="BN163" s="135">
        <f>IF(ISNA(VLOOKUP(A163,'Données projet'!$A$87:$I$107,6,0)),0%,VLOOKUP(A163,'Données projet'!$A$87:$I$107,6,0)*VLOOKUP('Données projet'!$B$11,'Paramètres'!$A$1:$I$89,7,0))</f>
        <v>0</v>
      </c>
      <c r="BO163" s="135">
        <f>IF(ISNA(VLOOKUP(A163,'Données projet'!$A$87:$I$107,7,0)),0%,VLOOKUP(A163,'Données projet'!$A$87:$I$107,7,0))</f>
        <v>0</v>
      </c>
      <c r="BP163" s="142">
        <f>EXP(-LN(2)/35)*BP162+(1-EXP(-LN(2)/35))/(LN(2)/35)*BL163*BM163*VLOOKUP('Données projet'!$B$11,'Paramètres'!$A$1:$I$89,3,0)*0.475*44/12</f>
        <v>28.18678047</v>
      </c>
      <c r="BQ163" s="142">
        <f>EXP(-LN(2)/25)*BQ162+(1-EXP(-LN(2)/25))/(LN(2)/25)*Calculateur!BL163*Calculateur!BN163*VLOOKUP('Données projet'!$B$11,'Paramètres'!$A$1:$I$89,3,0)*0.475*44/12</f>
        <v>1.408635539</v>
      </c>
      <c r="BR163" s="142">
        <f>EXP(-LN(2)/2)*BR162+(1-EXP(-LN(2)/2))/(LN(2)/2)*BL163*BO163*VLOOKUP('Données projet'!$B$11,'Paramètres'!$A$1:$I$89,3,0)*0.475*44/12</f>
        <v>0</v>
      </c>
      <c r="BS163" s="143">
        <f t="shared" si="10"/>
        <v>29.59541601</v>
      </c>
      <c r="BT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1" t="str">
        <f>VLOOKUP(A163,'Données projet'!$A$113:$I$133,2,0)</f>
        <v>#N/A</v>
      </c>
      <c r="BW163" s="131" t="str">
        <f>VLOOKUP(A163,'Données projet'!$A$113:$I$133,9,0)</f>
        <v>#N/A</v>
      </c>
      <c r="BX163" s="131" t="str">
        <f t="array" ref="BX163">INDEX(BW:BW,MIN(IF(ISNUMBER(BW163:BW359),ROW(BW163:BW359),"")))</f>
        <v/>
      </c>
      <c r="BY163" s="130">
        <f>IF('Données projet'!$A$114&gt;35,BY162+BX163-CG162,IF(A163&lt;'Données projet'!$A$114,$BV$205^A163,IF(A163='Données projet'!$A$114,'Données projet'!$B$114,BY162+BX163-CG162)))</f>
        <v>0</v>
      </c>
      <c r="BZ163" s="130">
        <f>BY163*VLOOKUP('Données projet'!$B$12,'Paramètres'!$A$1:$I$89,3,0)*VLOOKUP('Données projet'!$B$12,'Paramètres'!$A$1:$I$89,5,0)</f>
        <v>0</v>
      </c>
      <c r="CA163" s="130" t="str">
        <f t="shared" si="40"/>
        <v>#NUM!</v>
      </c>
      <c r="CB163" s="141" t="str">
        <f t="shared" si="11"/>
        <v>#NUM!</v>
      </c>
      <c r="CC163" s="133" t="str">
        <f t="shared" si="12"/>
        <v>#NUM!</v>
      </c>
      <c r="CD163" s="133">
        <f>AVERAGE(OFFSET($CC$3,0,0,'Données projet'!$E$12+1,1))-AVERAGE(OFFSET($H$3,0,0,'Données projet'!$E$12+1,1))</f>
        <v>258.1672054</v>
      </c>
      <c r="CE163" s="133">
        <f t="shared" si="41"/>
        <v>296.0724261</v>
      </c>
      <c r="CF163" s="134">
        <f>IF(ISNA(VLOOKUP(A163,'Données projet'!$A$113:$I$133,3,0)),0,VLOOKUP(A163,'Données projet'!$A$113:$I$133,3,0))</f>
        <v>0</v>
      </c>
      <c r="CG163" s="134">
        <f>IF(ISNA(VLOOKUP(A163,'Données projet'!$A$113:$I$133,4,0)),0,VLOOKUP(A163,'Données projet'!$A$113:$I$133,4,0))</f>
        <v>0</v>
      </c>
      <c r="CH163" s="135">
        <f>IF(ISNA(VLOOKUP(A163,'Données projet'!$A$113:$I$133,5,0)),0%,VLOOKUP(A163,'Données projet'!$A$113:$I$133,5,0)*VLOOKUP('Données projet'!$B$12,'Paramètres'!$A$1:$I$89,7,0))</f>
        <v>0</v>
      </c>
      <c r="CI163" s="135">
        <f>IF(ISNA(VLOOKUP(A163,'Données projet'!$A$113:$I$133,6,0)),0%,VLOOKUP(A163,'Données projet'!$A$113:$I$133,6,0)*VLOOKUP('Données projet'!$B$12,'Paramètres'!$A$1:$I$89,7,0))</f>
        <v>0</v>
      </c>
      <c r="CJ163" s="135">
        <f>IF(ISNA(VLOOKUP(A163,'Données projet'!$A$113:$I$133,7,0)),0%,VLOOKUP(A163,'Données projet'!$A$113:$I$133,7,0))</f>
        <v>0</v>
      </c>
      <c r="CK163" s="142">
        <f>EXP(-LN(2)/35)*CK162+(1-EXP(-LN(2)/35))/(LN(2)/35)*CG163*CH163*VLOOKUP('Données projet'!$B$12,'Paramètres'!$A$1:$I$89,3,0)*0.475*44/12</f>
        <v>35.63671321</v>
      </c>
      <c r="CL163" s="142">
        <f>EXP(-LN(2)/25)*CL162+(1-EXP(-LN(2)/25))/(LN(2)/25)*Calculateur!CG163*Calculateur!CI163*VLOOKUP('Données projet'!$B$12,'Paramètres'!$A$1:$I$89,3,0)*0.475*44/12</f>
        <v>2.4708267</v>
      </c>
      <c r="CM163" s="142">
        <f>EXP(-LN(2)/2)*CM162+(1-EXP(-LN(2)/2))/(LN(2)/2)*CG163*CJ163*VLOOKUP('Données projet'!$B$12,'Paramètres'!$A$1:$I$89,3,0)*0.475*44/12</f>
        <v>0</v>
      </c>
      <c r="CN163" s="143">
        <f t="shared" si="13"/>
        <v>38.10753991</v>
      </c>
      <c r="CO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1" t="str">
        <f>VLOOKUP(A163,'Données projet'!$A$139:$I$159,2,0)</f>
        <v>#N/A</v>
      </c>
      <c r="CR163" s="131" t="str">
        <f>VLOOKUP(A163,'Données projet'!$A$139:$I$159,9,0)</f>
        <v>#N/A</v>
      </c>
      <c r="CS163" s="131" t="str">
        <f t="array" ref="CS163">INDEX(CR:CR,MIN(IF(ISNUMBER(CR163:CR359),ROW(CR163:CR359),"")))</f>
        <v/>
      </c>
      <c r="CT163" s="138">
        <f>IF('Données projet'!$A$140&gt;35,CT162+CS163-DB162,IF(A163&lt;'Données projet'!$A$140,$CQ$205^A163,IF(A163='Données projet'!$A$140,'Données projet'!$B$140,CT162+CS163-DB162)))</f>
        <v>0</v>
      </c>
      <c r="CU163" s="138">
        <f>CT163*VLOOKUP('Données projet'!$B$13,'Paramètres'!$A$1:$I$89,3,0)*VLOOKUP('Données projet'!$B$13,'Paramètres'!$A$1:$I$89,5,0)</f>
        <v>0</v>
      </c>
      <c r="CV163" s="130" t="str">
        <f t="shared" si="42"/>
        <v>#NUM!</v>
      </c>
      <c r="CW163" s="141" t="str">
        <f t="shared" si="14"/>
        <v>#NUM!</v>
      </c>
      <c r="CX163" s="133" t="str">
        <f t="shared" si="15"/>
        <v>#NUM!</v>
      </c>
      <c r="CY163" s="133">
        <f>AVERAGE(OFFSET($CX$3,0,0,'Données projet'!$E$13+1,1))-AVERAGE(OFFSET($H$3,0,0,'Données projet'!$E$13+1,1))</f>
        <v>223.783507</v>
      </c>
      <c r="CZ163" s="133">
        <f t="shared" si="43"/>
        <v>84.92349117</v>
      </c>
      <c r="DA163" s="134">
        <f>IF(ISNA(VLOOKUP(A163,'Données projet'!$A$139:$I$159,3,0)),0,VLOOKUP(A163,'Données projet'!$A$139:$I$159,3,0))</f>
        <v>0</v>
      </c>
      <c r="DB163" s="134">
        <f>IF(ISNA(VLOOKUP(A163,'Données projet'!$A$139:$I$159,4,0)),0,VLOOKUP(A163,'Données projet'!$A$139:$I$159,4,0))</f>
        <v>0</v>
      </c>
      <c r="DC163" s="135">
        <f>IF(ISNA(VLOOKUP(A163,'Données projet'!$A$139:$I$159,5,0)),0%,VLOOKUP(A163,'Données projet'!$A$139:$I$159,5,0)*VLOOKUP('Données projet'!$B$13,'Paramètres'!$A$1:$I$89,7,0))</f>
        <v>0</v>
      </c>
      <c r="DD163" s="135">
        <f>IF(ISNA(VLOOKUP(A163,'Données projet'!$A$139:$I$159,6,0)),0%,VLOOKUP(A163,'Données projet'!$A$139:$I$159,6,0)*VLOOKUP('Données projet'!$B$13,'Paramètres'!$A$1:$I$89,7,0))</f>
        <v>0</v>
      </c>
      <c r="DE163" s="135">
        <f>IF(ISNA(VLOOKUP(A163,'Données projet'!$A$139:$I$159,7,0)),0%,VLOOKUP(A163,'Données projet'!$A$139:$I$159,7,0))</f>
        <v>0</v>
      </c>
      <c r="DF163" s="142">
        <f>EXP(-LN(2)/35)*DF162+(1-EXP(-LN(2)/35))/(LN(2)/35)*DB163*DC163*VLOOKUP('Données projet'!$B$13,'Paramètres'!$A$1:$I$89,3,0)*0.475*44/12</f>
        <v>91.52906282</v>
      </c>
      <c r="DG163" s="142">
        <f>EXP(-LN(2)/25)*DG162+(1-EXP(-LN(2)/25))/(LN(2)/25)*Calculateur!DB163*Calculateur!DD163*VLOOKUP('Données projet'!$B$13,'Paramètres'!$A$1:$I$89,3,0)*0.475*44/12</f>
        <v>0</v>
      </c>
      <c r="DH163" s="142">
        <f>EXP(-LN(2)/2)*DH162+(1-EXP(-LN(2)/2))/(LN(2)/2)*DB163*DE163*VLOOKUP('Données projet'!$B$13,'Paramètres'!$A$1:$I$89,3,0)*0.475*44/12</f>
        <v>0</v>
      </c>
      <c r="DI163" s="143">
        <f t="shared" si="16"/>
        <v>91.52906282</v>
      </c>
      <c r="DJ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1" t="str">
        <f>VLOOKUP(A163,'Données projet'!$A$165:$I$185,2,0)</f>
        <v>#N/A</v>
      </c>
      <c r="DM163" s="131" t="str">
        <f>VLOOKUP(A163,'Données projet'!$A$165:$I$185,9,0)</f>
        <v>#N/A</v>
      </c>
      <c r="DN163" s="131" t="str">
        <f t="array" ref="DN163">INDEX(DM:DM,MIN(IF(ISNUMBER(DM163:DM359),ROW(DM163:DM359),"")))</f>
        <v/>
      </c>
      <c r="DO163" s="138">
        <f>IF('Données projet'!$A$166&gt;35,DO162+DN163-DW162,IF(A163&lt;'Données projet'!$A$166,$DL$205^A163,IF(A163='Données projet'!$A$166,'Données projet'!$B$166,DO162+DN163-DW162)))</f>
        <v>0</v>
      </c>
      <c r="DP163" s="138">
        <f>DO163*VLOOKUP('Données projet'!$B$14,'Paramètres'!$A$1:$I$89,3,0)*VLOOKUP('Données projet'!$B$14,'Paramètres'!$A$1:$I$89,5,0)</f>
        <v>0</v>
      </c>
      <c r="DQ163" s="130" t="str">
        <f t="shared" si="44"/>
        <v>#NUM!</v>
      </c>
      <c r="DR163" s="141" t="str">
        <f t="shared" si="17"/>
        <v>#NUM!</v>
      </c>
      <c r="DS163" s="133" t="str">
        <f t="shared" si="18"/>
        <v>#NUM!</v>
      </c>
      <c r="DT163" s="133">
        <f>AVERAGE(OFFSET($DS$3,0,0,'Données projet'!$E$14+1,1))-AVERAGE(OFFSET($H$3,0,0,'Données projet'!$E$14+1,1))</f>
        <v>287.9334714</v>
      </c>
      <c r="DU163" s="133">
        <f t="shared" si="45"/>
        <v>156.6796502</v>
      </c>
      <c r="DV163" s="134">
        <f>IF(ISNA(VLOOKUP(A163,'Données projet'!$A$165:$I$185,3,0)),0,VLOOKUP(A163,'Données projet'!$A$165:$I$185,3,0))</f>
        <v>0</v>
      </c>
      <c r="DW163" s="134">
        <f>IF(ISNA(VLOOKUP(A163,'Données projet'!$A$165:$I$185,4,0)),0,VLOOKUP(A163,'Données projet'!$A$165:$I$185,4,0))</f>
        <v>0</v>
      </c>
      <c r="DX163" s="135">
        <f>IF(ISNA(VLOOKUP(A163,'Données projet'!$A$165:$I$185,5,0)),0%,VLOOKUP(A163,'Données projet'!$A$165:$I$185,5,0)*VLOOKUP('Données projet'!$B$14,'Paramètres'!$A$1:$I$89,7,0))</f>
        <v>0</v>
      </c>
      <c r="DY163" s="135">
        <f>IF(ISNA(VLOOKUP(A163,'Données projet'!$A$165:$I$185,6,0)),0%,VLOOKUP(A163,'Données projet'!$A$165:$I$185,6,0)*VLOOKUP('Données projet'!$B$14,'Paramètres'!$A$1:$I$89,7,0))</f>
        <v>0</v>
      </c>
      <c r="DZ163" s="135">
        <f>IF(ISNA(VLOOKUP(A163,'Données projet'!$A$165:$I$185,7,0)),0%,VLOOKUP(A163,'Données projet'!$A$165:$I$185,7,0))</f>
        <v>0</v>
      </c>
      <c r="EA163" s="142">
        <f>EXP(-LN(2)/35)*EA162+(1-EXP(-LN(2)/35))/(LN(2)/35)*DW163*DX163*VLOOKUP('Données projet'!$B$14,'Paramètres'!$A$1:$I$89,3,0)*0.475*44/12</f>
        <v>106.3308715</v>
      </c>
      <c r="EB163" s="142">
        <f>EXP(-LN(2)/25)*EB162+(1-EXP(-LN(2)/25))/(LN(2)/25)*Calculateur!DW163*Calculateur!DY163*VLOOKUP('Données projet'!$B$14,'Paramètres'!$A$1:$I$89,3,0)*0.475*44/12</f>
        <v>0</v>
      </c>
      <c r="EC163" s="142">
        <f>EXP(-LN(2)/2)*EC162+(1-EXP(-LN(2)/2))/(LN(2)/2)*DW163*DZ163*VLOOKUP('Données projet'!$B$14,'Paramètres'!$A$1:$I$89,3,0)*0.475*44/12</f>
        <v>0</v>
      </c>
      <c r="ED163" s="143">
        <f t="shared" si="19"/>
        <v>106.3308715</v>
      </c>
      <c r="EE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1" t="str">
        <f>VLOOKUP(A163,'Données projet'!$A$191:$I$211,2,0)</f>
        <v>#N/A</v>
      </c>
      <c r="EH163" s="131" t="str">
        <f>VLOOKUP(A163,'Données projet'!$A$191:$I$211,9,0)</f>
        <v>#N/A</v>
      </c>
      <c r="EI163" s="131" t="str">
        <f t="array" ref="EI163">INDEX(EH:EH,MIN(IF(ISNUMBER(EH163:EH359),ROW(EH163:EH359),"")))</f>
        <v/>
      </c>
      <c r="EJ163" s="138">
        <f>IF('Données projet'!$A$192&gt;35,EJ162+EI163-ER162,IF(A163&lt;'Données projet'!$A$192,$EG$205^A163,IF(A163='Données projet'!$A$192,'Données projet'!$B$192,EJ162+EI163-ER162)))</f>
        <v>0</v>
      </c>
      <c r="EK163" s="138">
        <f>EJ163*VLOOKUP('Données projet'!$B$15,'Paramètres'!$A$1:$I$89,3,0)*VLOOKUP('Données projet'!$B$15,'Paramètres'!$A$1:$I$89,5,0)</f>
        <v>0</v>
      </c>
      <c r="EL163" s="130" t="str">
        <f t="shared" si="46"/>
        <v>#NUM!</v>
      </c>
      <c r="EM163" s="141" t="str">
        <f t="shared" si="20"/>
        <v>#NUM!</v>
      </c>
      <c r="EN163" s="133" t="str">
        <f t="shared" si="21"/>
        <v>#NUM!</v>
      </c>
      <c r="EO163" s="133">
        <f>AVERAGE(OFFSET($EN$3,0,0,'Données projet'!$E$15+1,1))-AVERAGE(OFFSET($H$3,0,0,'Données projet'!$E$15+1,1))</f>
        <v>130.3193339</v>
      </c>
      <c r="EP163" s="133">
        <f t="shared" si="47"/>
        <v>82.22784365</v>
      </c>
      <c r="EQ163" s="134">
        <f>IF(ISNA(VLOOKUP(A163,'Données projet'!$A$191:$I$211,3,0)),0,VLOOKUP(A163,'Données projet'!$A$191:$I$211,3,0))</f>
        <v>0</v>
      </c>
      <c r="ER163" s="134">
        <f>IF(ISNA(VLOOKUP(A163,'Données projet'!$A$191:$I$211,4,0)),0,VLOOKUP(A163,'Données projet'!$A$191:$I$211,4,0))</f>
        <v>0</v>
      </c>
      <c r="ES163" s="135">
        <f>IF(ISNA(VLOOKUP(A163,'Données projet'!$A$191:$I$211,5,0)),0%,VLOOKUP(A163,'Données projet'!$A$191:$I$211,5,0)*VLOOKUP('Données projet'!$B$15,'Paramètres'!$A$1:$I$89,7,0))</f>
        <v>0</v>
      </c>
      <c r="ET163" s="135">
        <f>IF(ISNA(VLOOKUP(A163,'Données projet'!$A$191:$I$211,6,0)),0%,VLOOKUP(A163,'Données projet'!$A$191:$I$211,6,0)*VLOOKUP('Données projet'!$B$15,'Paramètres'!$A$1:$I$89,7,0))</f>
        <v>0</v>
      </c>
      <c r="EU163" s="135">
        <f>IF(ISNA(VLOOKUP(A163,'Données projet'!$A$191:$I$211,7,0)),0%,VLOOKUP(A163,'Données projet'!$A$191:$I$211,7,0))</f>
        <v>0</v>
      </c>
      <c r="EV163" s="142">
        <f>EXP(-LN(2)/35)*EV162+(1-EXP(-LN(2)/35))/(LN(2)/35)*ER163*ES163*VLOOKUP('Données projet'!$B$15,'Paramètres'!$A$1:$I$89,3,0)*0.475*44/12</f>
        <v>21.7911129</v>
      </c>
      <c r="EW163" s="142">
        <f>EXP(-LN(2)/25)*EW162+(1-EXP(-LN(2)/25))/(LN(2)/25)*Calculateur!ER163*Calculateur!ET163*VLOOKUP('Données projet'!$B$15,'Paramètres'!$A$1:$I$89,3,0)*0.475*44/12</f>
        <v>0</v>
      </c>
      <c r="EX163" s="142">
        <f>EXP(-LN(2)/2)*EX162+(1-EXP(-LN(2)/2))/(LN(2)/2)*ER163*EU163*VLOOKUP('Données projet'!$B$15,'Paramètres'!$A$1:$I$89,3,0)*0.475*44/12</f>
        <v>0</v>
      </c>
      <c r="EY163" s="143">
        <f t="shared" si="22"/>
        <v>21.7911129</v>
      </c>
      <c r="EZ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1" t="str">
        <f>VLOOKUP(A163,'Données projet'!$A$217:$I$237,2,0)</f>
        <v>#N/A</v>
      </c>
      <c r="FC163" s="131" t="str">
        <f>VLOOKUP(A163,'Données projet'!$A$217:$I$237,9,0)</f>
        <v>#N/A</v>
      </c>
      <c r="FD163" s="131" t="str">
        <f t="array" ref="FD163">INDEX(FC:FC,MIN(IF(ISNUMBER(FC163:FC359),ROW(FC163:FC359),"")))</f>
        <v/>
      </c>
      <c r="FE163" s="130">
        <f>IF('Données projet'!$A$218&gt;35,FE162+FD163-FM162,IF(A163&lt;'Données projet'!$A$218,$FB$205^A163,IF(A163='Données projet'!$A$218,'Données projet'!$B$218,FE162+FD163-FM162)))</f>
        <v>0</v>
      </c>
      <c r="FF163" s="138">
        <f>FE163*VLOOKUP('Données projet'!$B$16,'Paramètres'!$A$1:$I$89,3,0)*VLOOKUP('Données projet'!$B$16,'Paramètres'!$A$1:$I$89,5,0)</f>
        <v>0</v>
      </c>
      <c r="FG163" s="130">
        <f t="shared" si="48"/>
        <v>0</v>
      </c>
      <c r="FH163" s="141">
        <f t="shared" si="23"/>
        <v>0</v>
      </c>
      <c r="FI163" s="133">
        <f t="shared" si="24"/>
        <v>293.3333333</v>
      </c>
      <c r="FJ163" s="133">
        <f>AVERAGE(OFFSET($FI$3,0,0,'Données projet'!$E$16+1,1))-AVERAGE(OFFSET($H$3,0,0,'Données projet'!$E$16+1,1))</f>
        <v>305.6252353</v>
      </c>
      <c r="FK163" s="133">
        <f t="shared" si="49"/>
        <v>331.397916</v>
      </c>
      <c r="FL163" s="134">
        <f>IF(ISNA(VLOOKUP(A163,'Données projet'!$A$217:$I$237,3,0)),0,VLOOKUP(A163,'Données projet'!$A$217:$I$237,3,0))</f>
        <v>0</v>
      </c>
      <c r="FM163" s="134">
        <f>IF(ISNA(VLOOKUP(A163,'Données projet'!$A$217:$I$237,4,0)),0,VLOOKUP(A163,'Données projet'!$A$217:$I$237,4,0))</f>
        <v>0</v>
      </c>
      <c r="FN163" s="135">
        <f>IF(ISNA(VLOOKUP(A163,'Données projet'!$A$217:$I$237,5,0)),0%,VLOOKUP(A163,'Données projet'!$A$217:$I$237,5,0)*VLOOKUP('Données projet'!$B$16,'Paramètres'!$A$1:$I$89,7,0))</f>
        <v>0</v>
      </c>
      <c r="FO163" s="135">
        <f>IF(ISNA(VLOOKUP(A163,'Données projet'!$A$217:$I$237,6,0)),0%,VLOOKUP(A163,'Données projet'!$A$217:$I$237,6,0)*VLOOKUP('Données projet'!$B$16,'Paramètres'!$A$1:$I$89,7,0))</f>
        <v>0</v>
      </c>
      <c r="FP163" s="135">
        <f>IF(ISNA(VLOOKUP(A163,'Données projet'!$A$217:$I$237,7,0)),0%,VLOOKUP(A163,'Données projet'!$A$217:$I$237,7,0))</f>
        <v>0</v>
      </c>
      <c r="FQ163" s="142">
        <f>EXP(-LN(2)/35)*FQ162+(1-EXP(-LN(2)/35))/(LN(2)/35)*FM163*FN163*VLOOKUP('Données projet'!$B$16,'Paramètres'!$A$1:$I$89,3,0)*0.475*44/12</f>
        <v>13.56779813</v>
      </c>
      <c r="FR163" s="142">
        <f>EXP(-LN(2)/25)*FR162+(1-EXP(-LN(2)/25))/(LN(2)/25)*Calculateur!FM163*Calculateur!FO163*VLOOKUP('Données projet'!$B$16,'Paramètres'!$A$1:$I$89,3,0)*0.475*44/12</f>
        <v>0</v>
      </c>
      <c r="FS163" s="142">
        <f>EXP(-LN(2)/2)*FS162+(1-EXP(-LN(2)/2))/(LN(2)/2)*FM163*FP163*VLOOKUP('Données projet'!$B$16,'Paramètres'!$A$1:$I$89,3,0)*0.475*44/12</f>
        <v>0</v>
      </c>
      <c r="FT163" s="143">
        <f t="shared" si="25"/>
        <v>13.56779813</v>
      </c>
      <c r="FU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1" t="str">
        <f>VLOOKUP(A163,'Données projet'!$A$243:$I$263,2,0)</f>
        <v>#N/A</v>
      </c>
      <c r="FX163" s="131" t="str">
        <f>VLOOKUP(A163,'Données projet'!$A$243:$I$263,9,0)</f>
        <v>#N/A</v>
      </c>
      <c r="FY163" s="131" t="str">
        <f t="array" ref="FY163">INDEX(FX:FX,MIN(IF(ISNUMBER(FX163:FX359),ROW(FX163:FX359),"")))</f>
        <v/>
      </c>
      <c r="FZ163" s="138">
        <f>IF('Données projet'!$A$244&gt;35,FZ162+FY163-GH162,IF(A163&lt;'Données projet'!$A$244,$FW$205^A163,IF(A163='Données projet'!$A$244,'Données projet'!$B$244,FZ162+FY163-GH162)))</f>
        <v>0</v>
      </c>
      <c r="GA163" s="138">
        <f>FZ163*VLOOKUP('Données projet'!$B$17,'Paramètres'!$A$1:$I$89,3,0)*VLOOKUP('Données projet'!$B$17,'Paramètres'!$A$1:$I$89,5,0)</f>
        <v>0</v>
      </c>
      <c r="GB163" s="130">
        <f t="shared" si="50"/>
        <v>0</v>
      </c>
      <c r="GC163" s="141">
        <f t="shared" si="26"/>
        <v>0</v>
      </c>
      <c r="GD163" s="133">
        <f t="shared" si="27"/>
        <v>293.3333333</v>
      </c>
      <c r="GE163" s="133">
        <f>AVERAGE(OFFSET($GD$3,0,0,'Données projet'!$E$17+1,1))-AVERAGE(OFFSET($H$3,0,0,'Données projet'!$E$17+1,1))</f>
        <v>118.7368745</v>
      </c>
      <c r="GF163" s="133">
        <f t="shared" si="51"/>
        <v>135.1233677</v>
      </c>
      <c r="GG163" s="134">
        <f>IF(ISNA(VLOOKUP(A163,'Données projet'!$A$243:$I$263,3,0)),0,VLOOKUP(A163,'Données projet'!$A$243:$I$263,3,0))</f>
        <v>0</v>
      </c>
      <c r="GH163" s="134">
        <f>IF(ISNA(VLOOKUP(A163,'Données projet'!$A$243:$I$263,4,0)),0,VLOOKUP(A163,'Données projet'!$A$243:$I$263,4,0))</f>
        <v>0</v>
      </c>
      <c r="GI163" s="135">
        <f>IF(ISNA(VLOOKUP(A163,'Données projet'!$A$243:$I$263,5,0)),0%,VLOOKUP(A163,'Données projet'!$A$243:$I$263,5,0)*VLOOKUP('Données projet'!$B$17,'Paramètres'!$A$1:$I$89,7,0))</f>
        <v>0</v>
      </c>
      <c r="GJ163" s="135">
        <f>IF(ISNA(VLOOKUP(A163,'Données projet'!$A$243:$I$263,6,0)),0%,VLOOKUP(A163,'Données projet'!$A$243:$I$263,6,0)*VLOOKUP('Données projet'!$B$17,'Paramètres'!$A$1:$I$89,7,0))</f>
        <v>0</v>
      </c>
      <c r="GK163" s="135">
        <f>IF(ISNA(VLOOKUP(A163,'Données projet'!$A$243:$I$263,7,0)),0%,VLOOKUP(A163,'Données projet'!$A$243:$I$263,7,0))</f>
        <v>0</v>
      </c>
      <c r="GL163" s="142">
        <f>EXP(-LN(2)/35)*GL162+(1-EXP(-LN(2)/35))/(LN(2)/35)*GH163*GI163*VLOOKUP('Données projet'!$B$17,'Paramètres'!$A$1:$I$89,3,0)*0.475*44/12</f>
        <v>14.33433676</v>
      </c>
      <c r="GM163" s="142">
        <f>EXP(-LN(2)/25)*GM162+(1-EXP(-LN(2)/25))/(LN(2)/25)*Calculateur!GH163*Calculateur!GJ163*VLOOKUP('Données projet'!$B$17,'Paramètres'!$A$1:$I$89,3,0)*0.475*44/12</f>
        <v>0</v>
      </c>
      <c r="GN163" s="142">
        <f>EXP(-LN(2)/2)*GN162+(1-EXP(-LN(2)/2))/(LN(2)/2)*GH163*GK163*VLOOKUP('Données projet'!$B$17,'Paramètres'!$A$1:$I$89,3,0)*0.475*44/12</f>
        <v>0</v>
      </c>
      <c r="GO163" s="142">
        <f t="shared" si="28"/>
        <v>14.33433676</v>
      </c>
      <c r="GP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1" t="str">
        <f>VLOOKUP(A163,'Données projet'!$A$269:$I$289,2,0)</f>
        <v>#N/A</v>
      </c>
      <c r="GS163" s="131" t="str">
        <f>VLOOKUP(A163,'Données projet'!$A$269:$I$289,9,0)</f>
        <v>#N/A</v>
      </c>
      <c r="GT163" s="131" t="str">
        <f t="array" ref="GT163">INDEX(GS:GS,MIN(IF(ISNUMBER(GS163:GS359),ROW(GS163:GS359),"")))</f>
        <v/>
      </c>
      <c r="GU163" s="138">
        <f>IF('Données projet'!$A$270&gt;35,GU162+GT163-HC162,IF(A163&lt;'Données projet'!$A$270,$GR$205^A163,IF(A163='Données projet'!$A$270,'Données projet'!$B$270,GU162+GT163-HC162)))</f>
        <v>0</v>
      </c>
      <c r="GV163" s="138">
        <f>GU163*VLOOKUP('Données projet'!$B$18,'Paramètres'!$A$1:$I$89,3,0)*VLOOKUP('Données projet'!$B$18,'Paramètres'!$A$1:$I$89,5,0)</f>
        <v>0</v>
      </c>
      <c r="GW163" s="130" t="str">
        <f t="shared" si="52"/>
        <v>#NUM!</v>
      </c>
      <c r="GX163" s="141" t="str">
        <f t="shared" si="29"/>
        <v>#NUM!</v>
      </c>
      <c r="GY163" s="133" t="str">
        <f t="shared" si="30"/>
        <v>#NUM!</v>
      </c>
      <c r="GZ163" s="133">
        <f>AVERAGE(OFFSET($GY$3,0,0,'Données projet'!$E$18+1,1))-AVERAGE(OFFSET($H$3,0,0,'Données projet'!$E$18+1,1))</f>
        <v>100.5427875</v>
      </c>
      <c r="HA163" s="133">
        <f t="shared" si="53"/>
        <v>92.28663609</v>
      </c>
      <c r="HB163" s="134">
        <f>IF(ISNA(VLOOKUP(A163,'Données projet'!$A$269:$I$289,3,0)),0,VLOOKUP(A163,'Données projet'!$A$269:$I$289,3,0))</f>
        <v>0</v>
      </c>
      <c r="HC163" s="134">
        <f>IF(ISNA(VLOOKUP(A163,'Données projet'!$A$269:$I$289,4,0)),0,VLOOKUP(A163,'Données projet'!$A$269:$I$289,4,0))</f>
        <v>0</v>
      </c>
      <c r="HD163" s="135">
        <f>IF(ISNA(VLOOKUP(A163,'Données projet'!$A$269:$I$289,5,0)),0%,VLOOKUP(A163,'Données projet'!$A$269:$I$289,5,0)*VLOOKUP('Données projet'!$B$18,'Paramètres'!$A$1:$I$89,7,0))</f>
        <v>0</v>
      </c>
      <c r="HE163" s="135">
        <f>IF(ISNA(VLOOKUP(A163,'Données projet'!$A$269:$I$289,6,0)),0%,VLOOKUP(A163,'Données projet'!$A$269:$I$289,6,0)*VLOOKUP('Données projet'!$B$18,'Paramètres'!$A$1:$I$89,7,0))</f>
        <v>0</v>
      </c>
      <c r="HF163" s="135">
        <f>IF(ISNA(VLOOKUP(A163,'Données projet'!$A$269:$I$289,7,0)),0%,VLOOKUP(A163,'Données projet'!$A$269:$I$289,7,0))</f>
        <v>0</v>
      </c>
      <c r="HG163" s="142">
        <f>EXP(-LN(2)/35)*HG162+(1-EXP(-LN(2)/35))/(LN(2)/35)*HC163*HD163*VLOOKUP('Données projet'!$B$18,'Paramètres'!$A$1:$I$89,3,0)*0.475*44/12</f>
        <v>9.761380935</v>
      </c>
      <c r="HH163" s="142">
        <f>EXP(-LN(2)/25)*HH162+(1-EXP(-LN(2)/25))/(LN(2)/25)*Calculateur!HC163*Calculateur!HE163*VLOOKUP('Données projet'!$B$18,'Paramètres'!$A$1:$I$89,3,0)*0.475*44/12</f>
        <v>0</v>
      </c>
      <c r="HI163" s="142">
        <f>EXP(-LN(2)/2)*HI162+(1-EXP(-LN(2)/2))/(LN(2)/2)*HC163*HF163*VLOOKUP('Données projet'!$B$18,'Paramètres'!$A$1:$I$89,3,0)*0.475*44/12</f>
        <v>0</v>
      </c>
      <c r="HJ163" s="143">
        <f t="shared" si="31"/>
        <v>9.761380935</v>
      </c>
    </row>
    <row r="164" ht="15.75" customHeight="1">
      <c r="A164" s="125">
        <f t="shared" si="32"/>
        <v>161</v>
      </c>
      <c r="B164" s="126">
        <f>'Scénario référence'!$B$16*5+'Scénario référence'!$B$17*0+'Scénario référence'!$B$18*5</f>
        <v>0</v>
      </c>
      <c r="C164" s="140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64" s="127">
        <f t="shared" si="33"/>
        <v>24.05951276</v>
      </c>
      <c r="E16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7">
        <f>IF(OR('Scénario référence'!$F$8&gt;0,'Scénario référence'!$F$9&gt;0),('Scénario référence'!$F$8+'Scénario référence'!$F$9)*10,0)</f>
        <v>10</v>
      </c>
      <c r="G164" s="127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</v>
      </c>
      <c r="H164" s="128">
        <f t="shared" si="1"/>
        <v>488.3399347</v>
      </c>
      <c r="I164" s="12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1" t="str">
        <f>VLOOKUP(A164,'Données projet'!$A$35:$I$55,2,0)</f>
        <v>#N/A</v>
      </c>
      <c r="L164" s="131" t="str">
        <f>VLOOKUP(A164,'Données projet'!$A$35:$I$55,9,0)</f>
        <v>#N/A</v>
      </c>
      <c r="M164" s="131" t="str">
        <f t="array" ref="M164">INDEX(L:L,MIN(IF(ISNUMBER(L164:L360),ROW(L164:L360),"")))</f>
        <v/>
      </c>
      <c r="N164" s="130">
        <f>IF('Données projet'!$A$36&gt;35,N163+M164-V163,IF(A164&lt;'Données projet'!$A$36,$K$205^A164,IF(A164='Données projet'!$A$36,'Données projet'!$B$36,N163+M164-V163)))</f>
        <v>0</v>
      </c>
      <c r="O164" s="130">
        <f>N164*VLOOKUP('Données projet'!$B$9,'Paramètres'!$A$1:$I$89,3,0)*VLOOKUP('Données projet'!$B$9,'Paramètres'!$A$1:$I$89,5,0)</f>
        <v>0</v>
      </c>
      <c r="P164" s="130">
        <f t="shared" si="34"/>
        <v>0</v>
      </c>
      <c r="Q164" s="141">
        <f t="shared" si="2"/>
        <v>0</v>
      </c>
      <c r="R164" s="133">
        <f t="shared" si="3"/>
        <v>293.3333333</v>
      </c>
      <c r="S164" s="133">
        <f>AVERAGE(OFFSET($R$3,0,0,'Données projet'!$E$9+1,1))-AVERAGE(OFFSET($H$3,0,0,'Données projet'!$E$9+1,1))</f>
        <v>126.9946492</v>
      </c>
      <c r="T164" s="133">
        <f t="shared" si="35"/>
        <v>140.039049</v>
      </c>
      <c r="U164" s="134">
        <f>IF(ISNA(VLOOKUP(A164,'Données projet'!$A$35:$I$55,3,0)),0,VLOOKUP(A164,'Données projet'!$A$35:$I$55,3,0))</f>
        <v>0</v>
      </c>
      <c r="V164" s="134">
        <f>IF(ISNA(VLOOKUP(A164,'Données projet'!$A$35:$I$55,4,0)),0,VLOOKUP(A164,'Données projet'!$A$35:$I$55,4,0))</f>
        <v>0</v>
      </c>
      <c r="W164" s="135">
        <f>IF(ISNA(VLOOKUP(A164,'Données projet'!$A$35:$I$55,5,0)),0%,VLOOKUP(A164,'Données projet'!$A$35:$I$55,5,0)*VLOOKUP('Données projet'!$B$9,'Paramètres'!$A$1:$I$89,7,0))</f>
        <v>0</v>
      </c>
      <c r="X164" s="135">
        <f>IF(ISNA(VLOOKUP(A164,'Données projet'!$A$35:$I$55,6,0)),0%,VLOOKUP(A164,'Données projet'!$A$35:$I$55,6,0)*VLOOKUP('Données projet'!$B$9,'Paramètres'!$A$1:$I$89,7,0))</f>
        <v>0</v>
      </c>
      <c r="Y164" s="135">
        <f>IF(ISNA(VLOOKUP(A164,'Données projet'!$A$35:$I$55,7,0)),0%,VLOOKUP(A164,'Données projet'!$A$35:$I$55,7,0))</f>
        <v>0</v>
      </c>
      <c r="Z164" s="142">
        <f>EXP(-LN(2)/35)*Z163+(1-EXP(-LN(2)/35))/(LN(2)/35)*V164*W164*VLOOKUP('Données projet'!$B$9,'Paramètres'!$A$1:$I$89,3,0)*0.475*44/12</f>
        <v>14.37334559</v>
      </c>
      <c r="AA164" s="142">
        <f>EXP(-LN(2)/25)*AA163+(1-EXP(-LN(2)/25))/(LN(2)/25)*Calculateur!V164*Calculateur!X164*VLOOKUP('Données projet'!$B$9,'Paramètres'!$A$1:$I$89,3,0)*0.475*44/12</f>
        <v>1.412699085</v>
      </c>
      <c r="AB164" s="142">
        <f>EXP(-LN(2)/2)*AB163+(1-EXP(-LN(2)/2))/(LN(2)/2)*V164*Y164*VLOOKUP('Données projet'!$B$9,'Paramètres'!$A$1:$I$89,3,0)*0.475*44/12</f>
        <v>0</v>
      </c>
      <c r="AC164" s="143">
        <f t="shared" si="4"/>
        <v>15.78604467</v>
      </c>
      <c r="AD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1" t="str">
        <f>VLOOKUP(A164,'Données projet'!$A$61:$I$81,2,0)</f>
        <v>#N/A</v>
      </c>
      <c r="AG164" s="131" t="str">
        <f>VLOOKUP(A164,'Données projet'!$A$61:$I$81,9,0)</f>
        <v>#N/A</v>
      </c>
      <c r="AH164" s="131" t="str">
        <f t="array" ref="AH164">INDEX(AG:AG,MIN(IF(ISNUMBER(AG164:AG360),ROW(AG164:AG360),"")))</f>
        <v/>
      </c>
      <c r="AI164" s="130">
        <f>IF('Données projet'!$A$62&gt;35,AI163+AH164-AQ163,IF(A164&lt;'Données projet'!$A$62,$AF$205^A164,IF(A164='Données projet'!$A$62,'Données projet'!$B$62,AI163+AH164-AQ163)))</f>
        <v>0</v>
      </c>
      <c r="AJ164" s="130">
        <f>AI164*VLOOKUP('Données projet'!$B$10,'Paramètres'!$A$1:$I$89,3,0)*VLOOKUP('Données projet'!$B$10,'Paramètres'!$A$1:$I$89,5,0)</f>
        <v>0</v>
      </c>
      <c r="AK164" s="130" t="str">
        <f t="shared" si="36"/>
        <v>#NUM!</v>
      </c>
      <c r="AL164" s="141" t="str">
        <f t="shared" si="5"/>
        <v>#NUM!</v>
      </c>
      <c r="AM164" s="133" t="str">
        <f t="shared" si="6"/>
        <v>#NUM!</v>
      </c>
      <c r="AN164" s="133">
        <f>AVERAGE(OFFSET($AM$3,0,0,'Données projet'!$E$10+1,1))-AVERAGE(OFFSET($H$3,0,0,'Données projet'!$E$10+1,1))</f>
        <v>196.874484</v>
      </c>
      <c r="AO164" s="133">
        <f t="shared" si="37"/>
        <v>217.5750859</v>
      </c>
      <c r="AP164" s="134">
        <f>IF(ISNA(VLOOKUP(A164,'Données projet'!$A$61:$I$81,3,0)),0,VLOOKUP(A164,'Données projet'!$A$61:$I$81,3,0))</f>
        <v>0</v>
      </c>
      <c r="AQ164" s="134">
        <f>IF(ISNA(VLOOKUP(A164,'Données projet'!$A$61:$I$81,4,0)),0,VLOOKUP(A164,'Données projet'!$A$61:$I$81,4,0))</f>
        <v>0</v>
      </c>
      <c r="AR164" s="135">
        <f>IF(ISNA(VLOOKUP(A164,'Données projet'!$A$61:$I$81,5,0)),0%,VLOOKUP(A164,'Données projet'!$A$61:$I$81,5,0)*VLOOKUP('Données projet'!$B$10,'Paramètres'!$A$1:$I$89,7,0))</f>
        <v>0</v>
      </c>
      <c r="AS164" s="135">
        <f>IF(ISNA(VLOOKUP(A164,'Données projet'!$A$61:$I$81,6,0)),0%,VLOOKUP(A164,'Données projet'!$A$61:$I$81,6,0)*VLOOKUP('Données projet'!$B$10,'Paramètres'!$A$1:$I$89,7,0))</f>
        <v>0</v>
      </c>
      <c r="AT164" s="135">
        <f>IF(ISNA(VLOOKUP(A164,'Données projet'!$A$61:$I$81,7,0)),0%,VLOOKUP(A164,'Données projet'!$A$61:$I$81,7,0))</f>
        <v>0</v>
      </c>
      <c r="AU164" s="142">
        <f>EXP(-LN(2)/35)*AU163+(1-EXP(-LN(2)/35))/(LN(2)/35)*AQ164*AR164*VLOOKUP('Données projet'!$B$10,'Paramètres'!$A$1:$I$89,3,0)*0.475*44/12</f>
        <v>19.97854211</v>
      </c>
      <c r="AV164" s="142">
        <f>EXP(-LN(2)/25)*AV163+(1-EXP(-LN(2)/25))/(LN(2)/25)*Calculateur!AQ164*Calculateur!AS164*VLOOKUP('Données projet'!$B$10,'Paramètres'!$A$1:$I$89,3,0)*0.475*44/12</f>
        <v>2.17202673</v>
      </c>
      <c r="AW164" s="142">
        <f>EXP(-LN(2)/2)*AW163+(1-EXP(-LN(2)/2))/(LN(2)/2)*AQ164*AT164*VLOOKUP('Données projet'!$B$10,'Paramètres'!$A$1:$I$89,3,0)*0.475*44/12</f>
        <v>0</v>
      </c>
      <c r="AX164" s="142">
        <f t="shared" si="7"/>
        <v>22.15056884</v>
      </c>
      <c r="AY164" s="13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1" t="str">
        <f>VLOOKUP(A164,'Données projet'!$A$87:$I$107,2,0)</f>
        <v>#N/A</v>
      </c>
      <c r="BB164" s="131" t="str">
        <f>VLOOKUP(A164,'Données projet'!$A$87:$I$107,9,0)</f>
        <v>#N/A</v>
      </c>
      <c r="BC164" s="131" t="str">
        <f t="array" ref="BC164">INDEX(BB:BB,MIN(IF(ISNUMBER(BB164:BB360),ROW(BB164:BB360),"")))</f>
        <v/>
      </c>
      <c r="BD164" s="130">
        <f>IF('Données projet'!$A$88&gt;35,BD163+BC164-BL163,IF(A164&lt;'Données projet'!$A$88,$BA$205^A164,IF(A164='Données projet'!$A$88,'Données projet'!$B$88,BD163+BC164-BL163)))</f>
        <v>0</v>
      </c>
      <c r="BE164" s="130">
        <f>BD164*VLOOKUP('Données projet'!$B$11,'Paramètres'!$A$1:$I$89,3,0)*VLOOKUP('Données projet'!$B$11,'Paramètres'!$A$1:$I$89,5,0)</f>
        <v>0</v>
      </c>
      <c r="BF164" s="130" t="str">
        <f t="shared" si="38"/>
        <v>#NUM!</v>
      </c>
      <c r="BG164" s="141" t="str">
        <f t="shared" si="8"/>
        <v>#NUM!</v>
      </c>
      <c r="BH164" s="133" t="str">
        <f t="shared" si="9"/>
        <v>#NUM!</v>
      </c>
      <c r="BI164" s="133">
        <f>AVERAGE(OFFSET($BH$3,0,0,'Données projet'!$E$11+1,1))-AVERAGE(OFFSET($H$3,0,0,'Données projet'!$E$11+1,1))</f>
        <v>134.0948534</v>
      </c>
      <c r="BJ164" s="133">
        <f t="shared" si="39"/>
        <v>108.4102536</v>
      </c>
      <c r="BK164" s="134">
        <f>IF(ISNA(VLOOKUP(A164,'Données projet'!$A$87:$I$107,3,0)),0,VLOOKUP(A164,'Données projet'!$A$87:$I$107,3,0))</f>
        <v>0</v>
      </c>
      <c r="BL164" s="134">
        <f>IF(ISNA(VLOOKUP(A164,'Données projet'!$A$87:$I$107,4,0)),0,VLOOKUP(A164,'Données projet'!$A$87:$I$107,4,0))</f>
        <v>0</v>
      </c>
      <c r="BM164" s="135">
        <f>IF(ISNA(VLOOKUP(A164,'Données projet'!$A$87:$I$107,5,0)),0%,VLOOKUP(A164,'Données projet'!$A$87:$I$107,5,0)*VLOOKUP('Données projet'!$B$11,'Paramètres'!$A$1:$I$89,7,0))</f>
        <v>0</v>
      </c>
      <c r="BN164" s="135">
        <f>IF(ISNA(VLOOKUP(A164,'Données projet'!$A$87:$I$107,6,0)),0%,VLOOKUP(A164,'Données projet'!$A$87:$I$107,6,0)*VLOOKUP('Données projet'!$B$11,'Paramètres'!$A$1:$I$89,7,0))</f>
        <v>0</v>
      </c>
      <c r="BO164" s="135">
        <f>IF(ISNA(VLOOKUP(A164,'Données projet'!$A$87:$I$107,7,0)),0%,VLOOKUP(A164,'Données projet'!$A$87:$I$107,7,0))</f>
        <v>0</v>
      </c>
      <c r="BP164" s="142">
        <f>EXP(-LN(2)/35)*BP163+(1-EXP(-LN(2)/35))/(LN(2)/35)*BL164*BM164*VLOOKUP('Données projet'!$B$11,'Paramètres'!$A$1:$I$89,3,0)*0.475*44/12</f>
        <v>27.6340549</v>
      </c>
      <c r="BQ164" s="142">
        <f>EXP(-LN(2)/25)*BQ163+(1-EXP(-LN(2)/25))/(LN(2)/25)*Calculateur!BL164*Calculateur!BN164*VLOOKUP('Données projet'!$B$11,'Paramètres'!$A$1:$I$89,3,0)*0.475*44/12</f>
        <v>1.370116326</v>
      </c>
      <c r="BR164" s="142">
        <f>EXP(-LN(2)/2)*BR163+(1-EXP(-LN(2)/2))/(LN(2)/2)*BL164*BO164*VLOOKUP('Données projet'!$B$11,'Paramètres'!$A$1:$I$89,3,0)*0.475*44/12</f>
        <v>0</v>
      </c>
      <c r="BS164" s="143">
        <f t="shared" si="10"/>
        <v>29.00417123</v>
      </c>
      <c r="BT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1" t="str">
        <f>VLOOKUP(A164,'Données projet'!$A$113:$I$133,2,0)</f>
        <v>#N/A</v>
      </c>
      <c r="BW164" s="131" t="str">
        <f>VLOOKUP(A164,'Données projet'!$A$113:$I$133,9,0)</f>
        <v>#N/A</v>
      </c>
      <c r="BX164" s="131" t="str">
        <f t="array" ref="BX164">INDEX(BW:BW,MIN(IF(ISNUMBER(BW164:BW360),ROW(BW164:BW360),"")))</f>
        <v/>
      </c>
      <c r="BY164" s="130">
        <f>IF('Données projet'!$A$114&gt;35,BY163+BX164-CG163,IF(A164&lt;'Données projet'!$A$114,$BV$205^A164,IF(A164='Données projet'!$A$114,'Données projet'!$B$114,BY163+BX164-CG163)))</f>
        <v>0</v>
      </c>
      <c r="BZ164" s="130">
        <f>BY164*VLOOKUP('Données projet'!$B$12,'Paramètres'!$A$1:$I$89,3,0)*VLOOKUP('Données projet'!$B$12,'Paramètres'!$A$1:$I$89,5,0)</f>
        <v>0</v>
      </c>
      <c r="CA164" s="130" t="str">
        <f t="shared" si="40"/>
        <v>#NUM!</v>
      </c>
      <c r="CB164" s="141" t="str">
        <f t="shared" si="11"/>
        <v>#NUM!</v>
      </c>
      <c r="CC164" s="133" t="str">
        <f t="shared" si="12"/>
        <v>#NUM!</v>
      </c>
      <c r="CD164" s="133">
        <f>AVERAGE(OFFSET($CC$3,0,0,'Données projet'!$E$12+1,1))-AVERAGE(OFFSET($H$3,0,0,'Données projet'!$E$12+1,1))</f>
        <v>258.1672054</v>
      </c>
      <c r="CE164" s="133">
        <f t="shared" si="41"/>
        <v>296.0724261</v>
      </c>
      <c r="CF164" s="134">
        <f>IF(ISNA(VLOOKUP(A164,'Données projet'!$A$113:$I$133,3,0)),0,VLOOKUP(A164,'Données projet'!$A$113:$I$133,3,0))</f>
        <v>0</v>
      </c>
      <c r="CG164" s="134">
        <f>IF(ISNA(VLOOKUP(A164,'Données projet'!$A$113:$I$133,4,0)),0,VLOOKUP(A164,'Données projet'!$A$113:$I$133,4,0))</f>
        <v>0</v>
      </c>
      <c r="CH164" s="135">
        <f>IF(ISNA(VLOOKUP(A164,'Données projet'!$A$113:$I$133,5,0)),0%,VLOOKUP(A164,'Données projet'!$A$113:$I$133,5,0)*VLOOKUP('Données projet'!$B$12,'Paramètres'!$A$1:$I$89,7,0))</f>
        <v>0</v>
      </c>
      <c r="CI164" s="135">
        <f>IF(ISNA(VLOOKUP(A164,'Données projet'!$A$113:$I$133,6,0)),0%,VLOOKUP(A164,'Données projet'!$A$113:$I$133,6,0)*VLOOKUP('Données projet'!$B$12,'Paramètres'!$A$1:$I$89,7,0))</f>
        <v>0</v>
      </c>
      <c r="CJ164" s="135">
        <f>IF(ISNA(VLOOKUP(A164,'Données projet'!$A$113:$I$133,7,0)),0%,VLOOKUP(A164,'Données projet'!$A$113:$I$133,7,0))</f>
        <v>0</v>
      </c>
      <c r="CK164" s="142">
        <f>EXP(-LN(2)/35)*CK163+(1-EXP(-LN(2)/35))/(LN(2)/35)*CG164*CH164*VLOOKUP('Données projet'!$B$12,'Paramètres'!$A$1:$I$89,3,0)*0.475*44/12</f>
        <v>34.937899</v>
      </c>
      <c r="CL164" s="142">
        <f>EXP(-LN(2)/25)*CL163+(1-EXP(-LN(2)/25))/(LN(2)/25)*Calculateur!CG164*Calculateur!CI164*VLOOKUP('Données projet'!$B$12,'Paramètres'!$A$1:$I$89,3,0)*0.475*44/12</f>
        <v>2.403261814</v>
      </c>
      <c r="CM164" s="142">
        <f>EXP(-LN(2)/2)*CM163+(1-EXP(-LN(2)/2))/(LN(2)/2)*CG164*CJ164*VLOOKUP('Données projet'!$B$12,'Paramètres'!$A$1:$I$89,3,0)*0.475*44/12</f>
        <v>0</v>
      </c>
      <c r="CN164" s="143">
        <f t="shared" si="13"/>
        <v>37.34116081</v>
      </c>
      <c r="CO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1" t="str">
        <f>VLOOKUP(A164,'Données projet'!$A$139:$I$159,2,0)</f>
        <v>#N/A</v>
      </c>
      <c r="CR164" s="131" t="str">
        <f>VLOOKUP(A164,'Données projet'!$A$139:$I$159,9,0)</f>
        <v>#N/A</v>
      </c>
      <c r="CS164" s="131" t="str">
        <f t="array" ref="CS164">INDEX(CR:CR,MIN(IF(ISNUMBER(CR164:CR360),ROW(CR164:CR360),"")))</f>
        <v/>
      </c>
      <c r="CT164" s="138">
        <f>IF('Données projet'!$A$140&gt;35,CT163+CS164-DB163,IF(A164&lt;'Données projet'!$A$140,$CQ$205^A164,IF(A164='Données projet'!$A$140,'Données projet'!$B$140,CT163+CS164-DB163)))</f>
        <v>0</v>
      </c>
      <c r="CU164" s="138">
        <f>CT164*VLOOKUP('Données projet'!$B$13,'Paramètres'!$A$1:$I$89,3,0)*VLOOKUP('Données projet'!$B$13,'Paramètres'!$A$1:$I$89,5,0)</f>
        <v>0</v>
      </c>
      <c r="CV164" s="130" t="str">
        <f t="shared" si="42"/>
        <v>#NUM!</v>
      </c>
      <c r="CW164" s="141" t="str">
        <f t="shared" si="14"/>
        <v>#NUM!</v>
      </c>
      <c r="CX164" s="133" t="str">
        <f t="shared" si="15"/>
        <v>#NUM!</v>
      </c>
      <c r="CY164" s="133">
        <f>AVERAGE(OFFSET($CX$3,0,0,'Données projet'!$E$13+1,1))-AVERAGE(OFFSET($H$3,0,0,'Données projet'!$E$13+1,1))</f>
        <v>223.783507</v>
      </c>
      <c r="CZ164" s="133">
        <f t="shared" si="43"/>
        <v>84.92349117</v>
      </c>
      <c r="DA164" s="134">
        <f>IF(ISNA(VLOOKUP(A164,'Données projet'!$A$139:$I$159,3,0)),0,VLOOKUP(A164,'Données projet'!$A$139:$I$159,3,0))</f>
        <v>0</v>
      </c>
      <c r="DB164" s="134">
        <f>IF(ISNA(VLOOKUP(A164,'Données projet'!$A$139:$I$159,4,0)),0,VLOOKUP(A164,'Données projet'!$A$139:$I$159,4,0))</f>
        <v>0</v>
      </c>
      <c r="DC164" s="135">
        <f>IF(ISNA(VLOOKUP(A164,'Données projet'!$A$139:$I$159,5,0)),0%,VLOOKUP(A164,'Données projet'!$A$139:$I$159,5,0)*VLOOKUP('Données projet'!$B$13,'Paramètres'!$A$1:$I$89,7,0))</f>
        <v>0</v>
      </c>
      <c r="DD164" s="135">
        <f>IF(ISNA(VLOOKUP(A164,'Données projet'!$A$139:$I$159,6,0)),0%,VLOOKUP(A164,'Données projet'!$A$139:$I$159,6,0)*VLOOKUP('Données projet'!$B$13,'Paramètres'!$A$1:$I$89,7,0))</f>
        <v>0</v>
      </c>
      <c r="DE164" s="135">
        <f>IF(ISNA(VLOOKUP(A164,'Données projet'!$A$139:$I$159,7,0)),0%,VLOOKUP(A164,'Données projet'!$A$139:$I$159,7,0))</f>
        <v>0</v>
      </c>
      <c r="DF164" s="142">
        <f>EXP(-LN(2)/35)*DF163+(1-EXP(-LN(2)/35))/(LN(2)/35)*DB164*DC164*VLOOKUP('Données projet'!$B$13,'Paramètres'!$A$1:$I$89,3,0)*0.475*44/12</f>
        <v>89.73423372</v>
      </c>
      <c r="DG164" s="142">
        <f>EXP(-LN(2)/25)*DG163+(1-EXP(-LN(2)/25))/(LN(2)/25)*Calculateur!DB164*Calculateur!DD164*VLOOKUP('Données projet'!$B$13,'Paramètres'!$A$1:$I$89,3,0)*0.475*44/12</f>
        <v>0</v>
      </c>
      <c r="DH164" s="142">
        <f>EXP(-LN(2)/2)*DH163+(1-EXP(-LN(2)/2))/(LN(2)/2)*DB164*DE164*VLOOKUP('Données projet'!$B$13,'Paramètres'!$A$1:$I$89,3,0)*0.475*44/12</f>
        <v>0</v>
      </c>
      <c r="DI164" s="143">
        <f t="shared" si="16"/>
        <v>89.73423372</v>
      </c>
      <c r="DJ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1" t="str">
        <f>VLOOKUP(A164,'Données projet'!$A$165:$I$185,2,0)</f>
        <v>#N/A</v>
      </c>
      <c r="DM164" s="131" t="str">
        <f>VLOOKUP(A164,'Données projet'!$A$165:$I$185,9,0)</f>
        <v>#N/A</v>
      </c>
      <c r="DN164" s="131" t="str">
        <f t="array" ref="DN164">INDEX(DM:DM,MIN(IF(ISNUMBER(DM164:DM360),ROW(DM164:DM360),"")))</f>
        <v/>
      </c>
      <c r="DO164" s="138">
        <f>IF('Données projet'!$A$166&gt;35,DO163+DN164-DW163,IF(A164&lt;'Données projet'!$A$166,$DL$205^A164,IF(A164='Données projet'!$A$166,'Données projet'!$B$166,DO163+DN164-DW163)))</f>
        <v>0</v>
      </c>
      <c r="DP164" s="138">
        <f>DO164*VLOOKUP('Données projet'!$B$14,'Paramètres'!$A$1:$I$89,3,0)*VLOOKUP('Données projet'!$B$14,'Paramètres'!$A$1:$I$89,5,0)</f>
        <v>0</v>
      </c>
      <c r="DQ164" s="130" t="str">
        <f t="shared" si="44"/>
        <v>#NUM!</v>
      </c>
      <c r="DR164" s="141" t="str">
        <f t="shared" si="17"/>
        <v>#NUM!</v>
      </c>
      <c r="DS164" s="133" t="str">
        <f t="shared" si="18"/>
        <v>#NUM!</v>
      </c>
      <c r="DT164" s="133">
        <f>AVERAGE(OFFSET($DS$3,0,0,'Données projet'!$E$14+1,1))-AVERAGE(OFFSET($H$3,0,0,'Données projet'!$E$14+1,1))</f>
        <v>287.9334714</v>
      </c>
      <c r="DU164" s="133">
        <f t="shared" si="45"/>
        <v>156.6796502</v>
      </c>
      <c r="DV164" s="134">
        <f>IF(ISNA(VLOOKUP(A164,'Données projet'!$A$165:$I$185,3,0)),0,VLOOKUP(A164,'Données projet'!$A$165:$I$185,3,0))</f>
        <v>0</v>
      </c>
      <c r="DW164" s="134">
        <f>IF(ISNA(VLOOKUP(A164,'Données projet'!$A$165:$I$185,4,0)),0,VLOOKUP(A164,'Données projet'!$A$165:$I$185,4,0))</f>
        <v>0</v>
      </c>
      <c r="DX164" s="135">
        <f>IF(ISNA(VLOOKUP(A164,'Données projet'!$A$165:$I$185,5,0)),0%,VLOOKUP(A164,'Données projet'!$A$165:$I$185,5,0)*VLOOKUP('Données projet'!$B$14,'Paramètres'!$A$1:$I$89,7,0))</f>
        <v>0</v>
      </c>
      <c r="DY164" s="135">
        <f>IF(ISNA(VLOOKUP(A164,'Données projet'!$A$165:$I$185,6,0)),0%,VLOOKUP(A164,'Données projet'!$A$165:$I$185,6,0)*VLOOKUP('Données projet'!$B$14,'Paramètres'!$A$1:$I$89,7,0))</f>
        <v>0</v>
      </c>
      <c r="DZ164" s="135">
        <f>IF(ISNA(VLOOKUP(A164,'Données projet'!$A$165:$I$185,7,0)),0%,VLOOKUP(A164,'Données projet'!$A$165:$I$185,7,0))</f>
        <v>0</v>
      </c>
      <c r="EA164" s="142">
        <f>EXP(-LN(2)/35)*EA163+(1-EXP(-LN(2)/35))/(LN(2)/35)*DW164*DX164*VLOOKUP('Données projet'!$B$14,'Paramètres'!$A$1:$I$89,3,0)*0.475*44/12</f>
        <v>104.2457879</v>
      </c>
      <c r="EB164" s="142">
        <f>EXP(-LN(2)/25)*EB163+(1-EXP(-LN(2)/25))/(LN(2)/25)*Calculateur!DW164*Calculateur!DY164*VLOOKUP('Données projet'!$B$14,'Paramètres'!$A$1:$I$89,3,0)*0.475*44/12</f>
        <v>0</v>
      </c>
      <c r="EC164" s="142">
        <f>EXP(-LN(2)/2)*EC163+(1-EXP(-LN(2)/2))/(LN(2)/2)*DW164*DZ164*VLOOKUP('Données projet'!$B$14,'Paramètres'!$A$1:$I$89,3,0)*0.475*44/12</f>
        <v>0</v>
      </c>
      <c r="ED164" s="143">
        <f t="shared" si="19"/>
        <v>104.2457879</v>
      </c>
      <c r="EE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1" t="str">
        <f>VLOOKUP(A164,'Données projet'!$A$191:$I$211,2,0)</f>
        <v>#N/A</v>
      </c>
      <c r="EH164" s="131" t="str">
        <f>VLOOKUP(A164,'Données projet'!$A$191:$I$211,9,0)</f>
        <v>#N/A</v>
      </c>
      <c r="EI164" s="131" t="str">
        <f t="array" ref="EI164">INDEX(EH:EH,MIN(IF(ISNUMBER(EH164:EH360),ROW(EH164:EH360),"")))</f>
        <v/>
      </c>
      <c r="EJ164" s="138">
        <f>IF('Données projet'!$A$192&gt;35,EJ163+EI164-ER163,IF(A164&lt;'Données projet'!$A$192,$EG$205^A164,IF(A164='Données projet'!$A$192,'Données projet'!$B$192,EJ163+EI164-ER163)))</f>
        <v>0</v>
      </c>
      <c r="EK164" s="138">
        <f>EJ164*VLOOKUP('Données projet'!$B$15,'Paramètres'!$A$1:$I$89,3,0)*VLOOKUP('Données projet'!$B$15,'Paramètres'!$A$1:$I$89,5,0)</f>
        <v>0</v>
      </c>
      <c r="EL164" s="130" t="str">
        <f t="shared" si="46"/>
        <v>#NUM!</v>
      </c>
      <c r="EM164" s="141" t="str">
        <f t="shared" si="20"/>
        <v>#NUM!</v>
      </c>
      <c r="EN164" s="133" t="str">
        <f t="shared" si="21"/>
        <v>#NUM!</v>
      </c>
      <c r="EO164" s="133">
        <f>AVERAGE(OFFSET($EN$3,0,0,'Données projet'!$E$15+1,1))-AVERAGE(OFFSET($H$3,0,0,'Données projet'!$E$15+1,1))</f>
        <v>130.3193339</v>
      </c>
      <c r="EP164" s="133">
        <f t="shared" si="47"/>
        <v>82.22784365</v>
      </c>
      <c r="EQ164" s="134">
        <f>IF(ISNA(VLOOKUP(A164,'Données projet'!$A$191:$I$211,3,0)),0,VLOOKUP(A164,'Données projet'!$A$191:$I$211,3,0))</f>
        <v>0</v>
      </c>
      <c r="ER164" s="134">
        <f>IF(ISNA(VLOOKUP(A164,'Données projet'!$A$191:$I$211,4,0)),0,VLOOKUP(A164,'Données projet'!$A$191:$I$211,4,0))</f>
        <v>0</v>
      </c>
      <c r="ES164" s="135">
        <f>IF(ISNA(VLOOKUP(A164,'Données projet'!$A$191:$I$211,5,0)),0%,VLOOKUP(A164,'Données projet'!$A$191:$I$211,5,0)*VLOOKUP('Données projet'!$B$15,'Paramètres'!$A$1:$I$89,7,0))</f>
        <v>0</v>
      </c>
      <c r="ET164" s="135">
        <f>IF(ISNA(VLOOKUP(A164,'Données projet'!$A$191:$I$211,6,0)),0%,VLOOKUP(A164,'Données projet'!$A$191:$I$211,6,0)*VLOOKUP('Données projet'!$B$15,'Paramètres'!$A$1:$I$89,7,0))</f>
        <v>0</v>
      </c>
      <c r="EU164" s="135">
        <f>IF(ISNA(VLOOKUP(A164,'Données projet'!$A$191:$I$211,7,0)),0%,VLOOKUP(A164,'Données projet'!$A$191:$I$211,7,0))</f>
        <v>0</v>
      </c>
      <c r="EV164" s="142">
        <f>EXP(-LN(2)/35)*EV163+(1-EXP(-LN(2)/35))/(LN(2)/35)*ER164*ES164*VLOOKUP('Données projet'!$B$15,'Paramètres'!$A$1:$I$89,3,0)*0.475*44/12</f>
        <v>21.36380247</v>
      </c>
      <c r="EW164" s="142">
        <f>EXP(-LN(2)/25)*EW163+(1-EXP(-LN(2)/25))/(LN(2)/25)*Calculateur!ER164*Calculateur!ET164*VLOOKUP('Données projet'!$B$15,'Paramètres'!$A$1:$I$89,3,0)*0.475*44/12</f>
        <v>0</v>
      </c>
      <c r="EX164" s="142">
        <f>EXP(-LN(2)/2)*EX163+(1-EXP(-LN(2)/2))/(LN(2)/2)*ER164*EU164*VLOOKUP('Données projet'!$B$15,'Paramètres'!$A$1:$I$89,3,0)*0.475*44/12</f>
        <v>0</v>
      </c>
      <c r="EY164" s="143">
        <f t="shared" si="22"/>
        <v>21.36380247</v>
      </c>
      <c r="EZ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1" t="str">
        <f>VLOOKUP(A164,'Données projet'!$A$217:$I$237,2,0)</f>
        <v>#N/A</v>
      </c>
      <c r="FC164" s="131" t="str">
        <f>VLOOKUP(A164,'Données projet'!$A$217:$I$237,9,0)</f>
        <v>#N/A</v>
      </c>
      <c r="FD164" s="131" t="str">
        <f t="array" ref="FD164">INDEX(FC:FC,MIN(IF(ISNUMBER(FC164:FC360),ROW(FC164:FC360),"")))</f>
        <v/>
      </c>
      <c r="FE164" s="130">
        <f>IF('Données projet'!$A$218&gt;35,FE163+FD164-FM163,IF(A164&lt;'Données projet'!$A$218,$FB$205^A164,IF(A164='Données projet'!$A$218,'Données projet'!$B$218,FE163+FD164-FM163)))</f>
        <v>0</v>
      </c>
      <c r="FF164" s="138">
        <f>FE164*VLOOKUP('Données projet'!$B$16,'Paramètres'!$A$1:$I$89,3,0)*VLOOKUP('Données projet'!$B$16,'Paramètres'!$A$1:$I$89,5,0)</f>
        <v>0</v>
      </c>
      <c r="FG164" s="130">
        <f t="shared" si="48"/>
        <v>0</v>
      </c>
      <c r="FH164" s="141">
        <f t="shared" si="23"/>
        <v>0</v>
      </c>
      <c r="FI164" s="133">
        <f t="shared" si="24"/>
        <v>293.3333333</v>
      </c>
      <c r="FJ164" s="133">
        <f>AVERAGE(OFFSET($FI$3,0,0,'Données projet'!$E$16+1,1))-AVERAGE(OFFSET($H$3,0,0,'Données projet'!$E$16+1,1))</f>
        <v>305.6252353</v>
      </c>
      <c r="FK164" s="133">
        <f t="shared" si="49"/>
        <v>331.397916</v>
      </c>
      <c r="FL164" s="134">
        <f>IF(ISNA(VLOOKUP(A164,'Données projet'!$A$217:$I$237,3,0)),0,VLOOKUP(A164,'Données projet'!$A$217:$I$237,3,0))</f>
        <v>0</v>
      </c>
      <c r="FM164" s="134">
        <f>IF(ISNA(VLOOKUP(A164,'Données projet'!$A$217:$I$237,4,0)),0,VLOOKUP(A164,'Données projet'!$A$217:$I$237,4,0))</f>
        <v>0</v>
      </c>
      <c r="FN164" s="135">
        <f>IF(ISNA(VLOOKUP(A164,'Données projet'!$A$217:$I$237,5,0)),0%,VLOOKUP(A164,'Données projet'!$A$217:$I$237,5,0)*VLOOKUP('Données projet'!$B$16,'Paramètres'!$A$1:$I$89,7,0))</f>
        <v>0</v>
      </c>
      <c r="FO164" s="135">
        <f>IF(ISNA(VLOOKUP(A164,'Données projet'!$A$217:$I$237,6,0)),0%,VLOOKUP(A164,'Données projet'!$A$217:$I$237,6,0)*VLOOKUP('Données projet'!$B$16,'Paramètres'!$A$1:$I$89,7,0))</f>
        <v>0</v>
      </c>
      <c r="FP164" s="135">
        <f>IF(ISNA(VLOOKUP(A164,'Données projet'!$A$217:$I$237,7,0)),0%,VLOOKUP(A164,'Données projet'!$A$217:$I$237,7,0))</f>
        <v>0</v>
      </c>
      <c r="FQ164" s="142">
        <f>EXP(-LN(2)/35)*FQ163+(1-EXP(-LN(2)/35))/(LN(2)/35)*FM164*FN164*VLOOKUP('Données projet'!$B$16,'Paramètres'!$A$1:$I$89,3,0)*0.475*44/12</f>
        <v>13.30174188</v>
      </c>
      <c r="FR164" s="142">
        <f>EXP(-LN(2)/25)*FR163+(1-EXP(-LN(2)/25))/(LN(2)/25)*Calculateur!FM164*Calculateur!FO164*VLOOKUP('Données projet'!$B$16,'Paramètres'!$A$1:$I$89,3,0)*0.475*44/12</f>
        <v>0</v>
      </c>
      <c r="FS164" s="142">
        <f>EXP(-LN(2)/2)*FS163+(1-EXP(-LN(2)/2))/(LN(2)/2)*FM164*FP164*VLOOKUP('Données projet'!$B$16,'Paramètres'!$A$1:$I$89,3,0)*0.475*44/12</f>
        <v>0</v>
      </c>
      <c r="FT164" s="143">
        <f t="shared" si="25"/>
        <v>13.30174188</v>
      </c>
      <c r="FU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1" t="str">
        <f>VLOOKUP(A164,'Données projet'!$A$243:$I$263,2,0)</f>
        <v>#N/A</v>
      </c>
      <c r="FX164" s="131" t="str">
        <f>VLOOKUP(A164,'Données projet'!$A$243:$I$263,9,0)</f>
        <v>#N/A</v>
      </c>
      <c r="FY164" s="131" t="str">
        <f t="array" ref="FY164">INDEX(FX:FX,MIN(IF(ISNUMBER(FX164:FX360),ROW(FX164:FX360),"")))</f>
        <v/>
      </c>
      <c r="FZ164" s="138">
        <f>IF('Données projet'!$A$244&gt;35,FZ163+FY164-GH163,IF(A164&lt;'Données projet'!$A$244,$FW$205^A164,IF(A164='Données projet'!$A$244,'Données projet'!$B$244,FZ163+FY164-GH163)))</f>
        <v>0</v>
      </c>
      <c r="GA164" s="138">
        <f>FZ164*VLOOKUP('Données projet'!$B$17,'Paramètres'!$A$1:$I$89,3,0)*VLOOKUP('Données projet'!$B$17,'Paramètres'!$A$1:$I$89,5,0)</f>
        <v>0</v>
      </c>
      <c r="GB164" s="130">
        <f t="shared" si="50"/>
        <v>0</v>
      </c>
      <c r="GC164" s="141">
        <f t="shared" si="26"/>
        <v>0</v>
      </c>
      <c r="GD164" s="133">
        <f t="shared" si="27"/>
        <v>293.3333333</v>
      </c>
      <c r="GE164" s="133">
        <f>AVERAGE(OFFSET($GD$3,0,0,'Données projet'!$E$17+1,1))-AVERAGE(OFFSET($H$3,0,0,'Données projet'!$E$17+1,1))</f>
        <v>118.7368745</v>
      </c>
      <c r="GF164" s="133">
        <f t="shared" si="51"/>
        <v>135.1233677</v>
      </c>
      <c r="GG164" s="134">
        <f>IF(ISNA(VLOOKUP(A164,'Données projet'!$A$243:$I$263,3,0)),0,VLOOKUP(A164,'Données projet'!$A$243:$I$263,3,0))</f>
        <v>0</v>
      </c>
      <c r="GH164" s="134">
        <f>IF(ISNA(VLOOKUP(A164,'Données projet'!$A$243:$I$263,4,0)),0,VLOOKUP(A164,'Données projet'!$A$243:$I$263,4,0))</f>
        <v>0</v>
      </c>
      <c r="GI164" s="135">
        <f>IF(ISNA(VLOOKUP(A164,'Données projet'!$A$243:$I$263,5,0)),0%,VLOOKUP(A164,'Données projet'!$A$243:$I$263,5,0)*VLOOKUP('Données projet'!$B$17,'Paramètres'!$A$1:$I$89,7,0))</f>
        <v>0</v>
      </c>
      <c r="GJ164" s="135">
        <f>IF(ISNA(VLOOKUP(A164,'Données projet'!$A$243:$I$263,6,0)),0%,VLOOKUP(A164,'Données projet'!$A$243:$I$263,6,0)*VLOOKUP('Données projet'!$B$17,'Paramètres'!$A$1:$I$89,7,0))</f>
        <v>0</v>
      </c>
      <c r="GK164" s="135">
        <f>IF(ISNA(VLOOKUP(A164,'Données projet'!$A$243:$I$263,7,0)),0%,VLOOKUP(A164,'Données projet'!$A$243:$I$263,7,0))</f>
        <v>0</v>
      </c>
      <c r="GL164" s="142">
        <f>EXP(-LN(2)/35)*GL163+(1-EXP(-LN(2)/35))/(LN(2)/35)*GH164*GI164*VLOOKUP('Données projet'!$B$17,'Paramètres'!$A$1:$I$89,3,0)*0.475*44/12</f>
        <v>14.05324916</v>
      </c>
      <c r="GM164" s="142">
        <f>EXP(-LN(2)/25)*GM163+(1-EXP(-LN(2)/25))/(LN(2)/25)*Calculateur!GH164*Calculateur!GJ164*VLOOKUP('Données projet'!$B$17,'Paramètres'!$A$1:$I$89,3,0)*0.475*44/12</f>
        <v>0</v>
      </c>
      <c r="GN164" s="142">
        <f>EXP(-LN(2)/2)*GN163+(1-EXP(-LN(2)/2))/(LN(2)/2)*GH164*GK164*VLOOKUP('Données projet'!$B$17,'Paramètres'!$A$1:$I$89,3,0)*0.475*44/12</f>
        <v>0</v>
      </c>
      <c r="GO164" s="142">
        <f t="shared" si="28"/>
        <v>14.05324916</v>
      </c>
      <c r="GP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1" t="str">
        <f>VLOOKUP(A164,'Données projet'!$A$269:$I$289,2,0)</f>
        <v>#N/A</v>
      </c>
      <c r="GS164" s="131" t="str">
        <f>VLOOKUP(A164,'Données projet'!$A$269:$I$289,9,0)</f>
        <v>#N/A</v>
      </c>
      <c r="GT164" s="131" t="str">
        <f t="array" ref="GT164">INDEX(GS:GS,MIN(IF(ISNUMBER(GS164:GS360),ROW(GS164:GS360),"")))</f>
        <v/>
      </c>
      <c r="GU164" s="138">
        <f>IF('Données projet'!$A$270&gt;35,GU163+GT164-HC163,IF(A164&lt;'Données projet'!$A$270,$GR$205^A164,IF(A164='Données projet'!$A$270,'Données projet'!$B$270,GU163+GT164-HC163)))</f>
        <v>0</v>
      </c>
      <c r="GV164" s="138">
        <f>GU164*VLOOKUP('Données projet'!$B$18,'Paramètres'!$A$1:$I$89,3,0)*VLOOKUP('Données projet'!$B$18,'Paramètres'!$A$1:$I$89,5,0)</f>
        <v>0</v>
      </c>
      <c r="GW164" s="130" t="str">
        <f t="shared" si="52"/>
        <v>#NUM!</v>
      </c>
      <c r="GX164" s="141" t="str">
        <f t="shared" si="29"/>
        <v>#NUM!</v>
      </c>
      <c r="GY164" s="133" t="str">
        <f t="shared" si="30"/>
        <v>#NUM!</v>
      </c>
      <c r="GZ164" s="133">
        <f>AVERAGE(OFFSET($GY$3,0,0,'Données projet'!$E$18+1,1))-AVERAGE(OFFSET($H$3,0,0,'Données projet'!$E$18+1,1))</f>
        <v>100.5427875</v>
      </c>
      <c r="HA164" s="133">
        <f t="shared" si="53"/>
        <v>92.28663609</v>
      </c>
      <c r="HB164" s="134">
        <f>IF(ISNA(VLOOKUP(A164,'Données projet'!$A$269:$I$289,3,0)),0,VLOOKUP(A164,'Données projet'!$A$269:$I$289,3,0))</f>
        <v>0</v>
      </c>
      <c r="HC164" s="134">
        <f>IF(ISNA(VLOOKUP(A164,'Données projet'!$A$269:$I$289,4,0)),0,VLOOKUP(A164,'Données projet'!$A$269:$I$289,4,0))</f>
        <v>0</v>
      </c>
      <c r="HD164" s="135">
        <f>IF(ISNA(VLOOKUP(A164,'Données projet'!$A$269:$I$289,5,0)),0%,VLOOKUP(A164,'Données projet'!$A$269:$I$289,5,0)*VLOOKUP('Données projet'!$B$18,'Paramètres'!$A$1:$I$89,7,0))</f>
        <v>0</v>
      </c>
      <c r="HE164" s="135">
        <f>IF(ISNA(VLOOKUP(A164,'Données projet'!$A$269:$I$289,6,0)),0%,VLOOKUP(A164,'Données projet'!$A$269:$I$289,6,0)*VLOOKUP('Données projet'!$B$18,'Paramètres'!$A$1:$I$89,7,0))</f>
        <v>0</v>
      </c>
      <c r="HF164" s="135">
        <f>IF(ISNA(VLOOKUP(A164,'Données projet'!$A$269:$I$289,7,0)),0%,VLOOKUP(A164,'Données projet'!$A$269:$I$289,7,0))</f>
        <v>0</v>
      </c>
      <c r="HG164" s="142">
        <f>EXP(-LN(2)/35)*HG163+(1-EXP(-LN(2)/35))/(LN(2)/35)*HC164*HD164*VLOOKUP('Données projet'!$B$18,'Paramètres'!$A$1:$I$89,3,0)*0.475*44/12</f>
        <v>9.569966209</v>
      </c>
      <c r="HH164" s="142">
        <f>EXP(-LN(2)/25)*HH163+(1-EXP(-LN(2)/25))/(LN(2)/25)*Calculateur!HC164*Calculateur!HE164*VLOOKUP('Données projet'!$B$18,'Paramètres'!$A$1:$I$89,3,0)*0.475*44/12</f>
        <v>0</v>
      </c>
      <c r="HI164" s="142">
        <f>EXP(-LN(2)/2)*HI163+(1-EXP(-LN(2)/2))/(LN(2)/2)*HC164*HF164*VLOOKUP('Données projet'!$B$18,'Paramètres'!$A$1:$I$89,3,0)*0.475*44/12</f>
        <v>0</v>
      </c>
      <c r="HJ164" s="143">
        <f t="shared" si="31"/>
        <v>9.569966209</v>
      </c>
    </row>
    <row r="165" ht="15.75" customHeight="1">
      <c r="A165" s="125">
        <f t="shared" si="32"/>
        <v>162</v>
      </c>
      <c r="B165" s="126">
        <f>'Scénario référence'!$B$16*5+'Scénario référence'!$B$17*0+'Scénario référence'!$B$18*5</f>
        <v>0</v>
      </c>
      <c r="C165" s="140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65" s="127">
        <f t="shared" si="33"/>
        <v>24.19150853</v>
      </c>
      <c r="E16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7">
        <f>IF(OR('Scénario référence'!$F$8&gt;0,'Scénario référence'!$F$9&gt;0),('Scénario référence'!$F$8+'Scénario référence'!$F$9)*10,0)</f>
        <v>10</v>
      </c>
      <c r="G165" s="127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869.5288378</v>
      </c>
      <c r="H165" s="128">
        <f t="shared" si="1"/>
        <v>489.5207774</v>
      </c>
      <c r="I165" s="12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1" t="str">
        <f>VLOOKUP(A165,'Données projet'!$A$35:$I$55,2,0)</f>
        <v>#N/A</v>
      </c>
      <c r="L165" s="131" t="str">
        <f>VLOOKUP(A165,'Données projet'!$A$35:$I$55,9,0)</f>
        <v>#N/A</v>
      </c>
      <c r="M165" s="131" t="str">
        <f t="array" ref="M165">INDEX(L:L,MIN(IF(ISNUMBER(L165:L361),ROW(L165:L361),"")))</f>
        <v/>
      </c>
      <c r="N165" s="130">
        <f>IF('Données projet'!$A$36&gt;35,N164+M165-V164,IF(A165&lt;'Données projet'!$A$36,$K$205^A165,IF(A165='Données projet'!$A$36,'Données projet'!$B$36,N164+M165-V164)))</f>
        <v>0</v>
      </c>
      <c r="O165" s="130">
        <f>N165*VLOOKUP('Données projet'!$B$9,'Paramètres'!$A$1:$I$89,3,0)*VLOOKUP('Données projet'!$B$9,'Paramètres'!$A$1:$I$89,5,0)</f>
        <v>0</v>
      </c>
      <c r="P165" s="130">
        <f t="shared" si="34"/>
        <v>0</v>
      </c>
      <c r="Q165" s="141">
        <f t="shared" si="2"/>
        <v>0</v>
      </c>
      <c r="R165" s="133">
        <f t="shared" si="3"/>
        <v>293.3333333</v>
      </c>
      <c r="S165" s="133">
        <f>AVERAGE(OFFSET($R$3,0,0,'Données projet'!$E$9+1,1))-AVERAGE(OFFSET($H$3,0,0,'Données projet'!$E$9+1,1))</f>
        <v>126.9946492</v>
      </c>
      <c r="T165" s="133">
        <f t="shared" si="35"/>
        <v>140.039049</v>
      </c>
      <c r="U165" s="134">
        <f>IF(ISNA(VLOOKUP(A165,'Données projet'!$A$35:$I$55,3,0)),0,VLOOKUP(A165,'Données projet'!$A$35:$I$55,3,0))</f>
        <v>0</v>
      </c>
      <c r="V165" s="134">
        <f>IF(ISNA(VLOOKUP(A165,'Données projet'!$A$35:$I$55,4,0)),0,VLOOKUP(A165,'Données projet'!$A$35:$I$55,4,0))</f>
        <v>0</v>
      </c>
      <c r="W165" s="135">
        <f>IF(ISNA(VLOOKUP(A165,'Données projet'!$A$35:$I$55,5,0)),0%,VLOOKUP(A165,'Données projet'!$A$35:$I$55,5,0)*VLOOKUP('Données projet'!$B$9,'Paramètres'!$A$1:$I$89,7,0))</f>
        <v>0</v>
      </c>
      <c r="X165" s="135">
        <f>IF(ISNA(VLOOKUP(A165,'Données projet'!$A$35:$I$55,6,0)),0%,VLOOKUP(A165,'Données projet'!$A$35:$I$55,6,0)*VLOOKUP('Données projet'!$B$9,'Paramètres'!$A$1:$I$89,7,0))</f>
        <v>0</v>
      </c>
      <c r="Y165" s="135">
        <f>IF(ISNA(VLOOKUP(A165,'Données projet'!$A$35:$I$55,7,0)),0%,VLOOKUP(A165,'Données projet'!$A$35:$I$55,7,0))</f>
        <v>0</v>
      </c>
      <c r="Z165" s="142">
        <f>EXP(-LN(2)/35)*Z164+(1-EXP(-LN(2)/35))/(LN(2)/35)*V165*W165*VLOOKUP('Données projet'!$B$9,'Paramètres'!$A$1:$I$89,3,0)*0.475*44/12</f>
        <v>14.09149305</v>
      </c>
      <c r="AA165" s="142">
        <f>EXP(-LN(2)/25)*AA164+(1-EXP(-LN(2)/25))/(LN(2)/25)*Calculateur!V165*Calculateur!X165*VLOOKUP('Données projet'!$B$9,'Paramètres'!$A$1:$I$89,3,0)*0.475*44/12</f>
        <v>1.374068754</v>
      </c>
      <c r="AB165" s="142">
        <f>EXP(-LN(2)/2)*AB164+(1-EXP(-LN(2)/2))/(LN(2)/2)*V165*Y165*VLOOKUP('Données projet'!$B$9,'Paramètres'!$A$1:$I$89,3,0)*0.475*44/12</f>
        <v>0</v>
      </c>
      <c r="AC165" s="143">
        <f t="shared" si="4"/>
        <v>15.4655618</v>
      </c>
      <c r="AD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1" t="str">
        <f>VLOOKUP(A165,'Données projet'!$A$61:$I$81,2,0)</f>
        <v>#N/A</v>
      </c>
      <c r="AG165" s="131" t="str">
        <f>VLOOKUP(A165,'Données projet'!$A$61:$I$81,9,0)</f>
        <v>#N/A</v>
      </c>
      <c r="AH165" s="131" t="str">
        <f t="array" ref="AH165">INDEX(AG:AG,MIN(IF(ISNUMBER(AG165:AG361),ROW(AG165:AG361),"")))</f>
        <v/>
      </c>
      <c r="AI165" s="130">
        <f>IF('Données projet'!$A$62&gt;35,AI164+AH165-AQ164,IF(A165&lt;'Données projet'!$A$62,$AF$205^A165,IF(A165='Données projet'!$A$62,'Données projet'!$B$62,AI164+AH165-AQ164)))</f>
        <v>0</v>
      </c>
      <c r="AJ165" s="130">
        <f>AI165*VLOOKUP('Données projet'!$B$10,'Paramètres'!$A$1:$I$89,3,0)*VLOOKUP('Données projet'!$B$10,'Paramètres'!$A$1:$I$89,5,0)</f>
        <v>0</v>
      </c>
      <c r="AK165" s="130" t="str">
        <f t="shared" si="36"/>
        <v>#NUM!</v>
      </c>
      <c r="AL165" s="141" t="str">
        <f t="shared" si="5"/>
        <v>#NUM!</v>
      </c>
      <c r="AM165" s="133" t="str">
        <f t="shared" si="6"/>
        <v>#NUM!</v>
      </c>
      <c r="AN165" s="133">
        <f>AVERAGE(OFFSET($AM$3,0,0,'Données projet'!$E$10+1,1))-AVERAGE(OFFSET($H$3,0,0,'Données projet'!$E$10+1,1))</f>
        <v>196.874484</v>
      </c>
      <c r="AO165" s="133">
        <f t="shared" si="37"/>
        <v>217.5750859</v>
      </c>
      <c r="AP165" s="134">
        <f>IF(ISNA(VLOOKUP(A165,'Données projet'!$A$61:$I$81,3,0)),0,VLOOKUP(A165,'Données projet'!$A$61:$I$81,3,0))</f>
        <v>0</v>
      </c>
      <c r="AQ165" s="134">
        <f>IF(ISNA(VLOOKUP(A165,'Données projet'!$A$61:$I$81,4,0)),0,VLOOKUP(A165,'Données projet'!$A$61:$I$81,4,0))</f>
        <v>0</v>
      </c>
      <c r="AR165" s="135">
        <f>IF(ISNA(VLOOKUP(A165,'Données projet'!$A$61:$I$81,5,0)),0%,VLOOKUP(A165,'Données projet'!$A$61:$I$81,5,0)*VLOOKUP('Données projet'!$B$10,'Paramètres'!$A$1:$I$89,7,0))</f>
        <v>0</v>
      </c>
      <c r="AS165" s="135">
        <f>IF(ISNA(VLOOKUP(A165,'Données projet'!$A$61:$I$81,6,0)),0%,VLOOKUP(A165,'Données projet'!$A$61:$I$81,6,0)*VLOOKUP('Données projet'!$B$10,'Paramètres'!$A$1:$I$89,7,0))</f>
        <v>0</v>
      </c>
      <c r="AT165" s="135">
        <f>IF(ISNA(VLOOKUP(A165,'Données projet'!$A$61:$I$81,7,0)),0%,VLOOKUP(A165,'Données projet'!$A$61:$I$81,7,0))</f>
        <v>0</v>
      </c>
      <c r="AU165" s="142">
        <f>EXP(-LN(2)/35)*AU164+(1-EXP(-LN(2)/35))/(LN(2)/35)*AQ165*AR165*VLOOKUP('Données projet'!$B$10,'Paramètres'!$A$1:$I$89,3,0)*0.475*44/12</f>
        <v>19.58677509</v>
      </c>
      <c r="AV165" s="142">
        <f>EXP(-LN(2)/25)*AV164+(1-EXP(-LN(2)/25))/(LN(2)/25)*Calculateur!AQ165*Calculateur!AS165*VLOOKUP('Données projet'!$B$10,'Paramètres'!$A$1:$I$89,3,0)*0.475*44/12</f>
        <v>2.112632545</v>
      </c>
      <c r="AW165" s="142">
        <f>EXP(-LN(2)/2)*AW164+(1-EXP(-LN(2)/2))/(LN(2)/2)*AQ165*AT165*VLOOKUP('Données projet'!$B$10,'Paramètres'!$A$1:$I$89,3,0)*0.475*44/12</f>
        <v>0</v>
      </c>
      <c r="AX165" s="142">
        <f t="shared" si="7"/>
        <v>21.69940763</v>
      </c>
      <c r="AY165" s="13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1" t="str">
        <f>VLOOKUP(A165,'Données projet'!$A$87:$I$107,2,0)</f>
        <v>#N/A</v>
      </c>
      <c r="BB165" s="131" t="str">
        <f>VLOOKUP(A165,'Données projet'!$A$87:$I$107,9,0)</f>
        <v>#N/A</v>
      </c>
      <c r="BC165" s="131" t="str">
        <f t="array" ref="BC165">INDEX(BB:BB,MIN(IF(ISNUMBER(BB165:BB361),ROW(BB165:BB361),"")))</f>
        <v/>
      </c>
      <c r="BD165" s="130">
        <f>IF('Données projet'!$A$88&gt;35,BD164+BC165-BL164,IF(A165&lt;'Données projet'!$A$88,$BA$205^A165,IF(A165='Données projet'!$A$88,'Données projet'!$B$88,BD164+BC165-BL164)))</f>
        <v>0</v>
      </c>
      <c r="BE165" s="130">
        <f>BD165*VLOOKUP('Données projet'!$B$11,'Paramètres'!$A$1:$I$89,3,0)*VLOOKUP('Données projet'!$B$11,'Paramètres'!$A$1:$I$89,5,0)</f>
        <v>0</v>
      </c>
      <c r="BF165" s="130" t="str">
        <f t="shared" si="38"/>
        <v>#NUM!</v>
      </c>
      <c r="BG165" s="141" t="str">
        <f t="shared" si="8"/>
        <v>#NUM!</v>
      </c>
      <c r="BH165" s="133" t="str">
        <f t="shared" si="9"/>
        <v>#NUM!</v>
      </c>
      <c r="BI165" s="133">
        <f>AVERAGE(OFFSET($BH$3,0,0,'Données projet'!$E$11+1,1))-AVERAGE(OFFSET($H$3,0,0,'Données projet'!$E$11+1,1))</f>
        <v>134.0948534</v>
      </c>
      <c r="BJ165" s="133">
        <f t="shared" si="39"/>
        <v>108.4102536</v>
      </c>
      <c r="BK165" s="134">
        <f>IF(ISNA(VLOOKUP(A165,'Données projet'!$A$87:$I$107,3,0)),0,VLOOKUP(A165,'Données projet'!$A$87:$I$107,3,0))</f>
        <v>0</v>
      </c>
      <c r="BL165" s="134">
        <f>IF(ISNA(VLOOKUP(A165,'Données projet'!$A$87:$I$107,4,0)),0,VLOOKUP(A165,'Données projet'!$A$87:$I$107,4,0))</f>
        <v>0</v>
      </c>
      <c r="BM165" s="135">
        <f>IF(ISNA(VLOOKUP(A165,'Données projet'!$A$87:$I$107,5,0)),0%,VLOOKUP(A165,'Données projet'!$A$87:$I$107,5,0)*VLOOKUP('Données projet'!$B$11,'Paramètres'!$A$1:$I$89,7,0))</f>
        <v>0</v>
      </c>
      <c r="BN165" s="135">
        <f>IF(ISNA(VLOOKUP(A165,'Données projet'!$A$87:$I$107,6,0)),0%,VLOOKUP(A165,'Données projet'!$A$87:$I$107,6,0)*VLOOKUP('Données projet'!$B$11,'Paramètres'!$A$1:$I$89,7,0))</f>
        <v>0</v>
      </c>
      <c r="BO165" s="135">
        <f>IF(ISNA(VLOOKUP(A165,'Données projet'!$A$87:$I$107,7,0)),0%,VLOOKUP(A165,'Données projet'!$A$87:$I$107,7,0))</f>
        <v>0</v>
      </c>
      <c r="BP165" s="142">
        <f>EXP(-LN(2)/35)*BP164+(1-EXP(-LN(2)/35))/(LN(2)/35)*BL165*BM165*VLOOKUP('Données projet'!$B$11,'Paramètres'!$A$1:$I$89,3,0)*0.475*44/12</f>
        <v>27.09216794</v>
      </c>
      <c r="BQ165" s="142">
        <f>EXP(-LN(2)/25)*BQ164+(1-EXP(-LN(2)/25))/(LN(2)/25)*Calculateur!BL165*Calculateur!BN165*VLOOKUP('Données projet'!$B$11,'Paramètres'!$A$1:$I$89,3,0)*0.475*44/12</f>
        <v>1.332650423</v>
      </c>
      <c r="BR165" s="142">
        <f>EXP(-LN(2)/2)*BR164+(1-EXP(-LN(2)/2))/(LN(2)/2)*BL165*BO165*VLOOKUP('Données projet'!$B$11,'Paramètres'!$A$1:$I$89,3,0)*0.475*44/12</f>
        <v>0</v>
      </c>
      <c r="BS165" s="143">
        <f t="shared" si="10"/>
        <v>28.42481836</v>
      </c>
      <c r="BT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1" t="str">
        <f>VLOOKUP(A165,'Données projet'!$A$113:$I$133,2,0)</f>
        <v>#N/A</v>
      </c>
      <c r="BW165" s="131" t="str">
        <f>VLOOKUP(A165,'Données projet'!$A$113:$I$133,9,0)</f>
        <v>#N/A</v>
      </c>
      <c r="BX165" s="131" t="str">
        <f t="array" ref="BX165">INDEX(BW:BW,MIN(IF(ISNUMBER(BW165:BW361),ROW(BW165:BW361),"")))</f>
        <v/>
      </c>
      <c r="BY165" s="130">
        <f>IF('Données projet'!$A$114&gt;35,BY164+BX165-CG164,IF(A165&lt;'Données projet'!$A$114,$BV$205^A165,IF(A165='Données projet'!$A$114,'Données projet'!$B$114,BY164+BX165-CG164)))</f>
        <v>0</v>
      </c>
      <c r="BZ165" s="130">
        <f>BY165*VLOOKUP('Données projet'!$B$12,'Paramètres'!$A$1:$I$89,3,0)*VLOOKUP('Données projet'!$B$12,'Paramètres'!$A$1:$I$89,5,0)</f>
        <v>0</v>
      </c>
      <c r="CA165" s="130" t="str">
        <f t="shared" si="40"/>
        <v>#NUM!</v>
      </c>
      <c r="CB165" s="141" t="str">
        <f t="shared" si="11"/>
        <v>#NUM!</v>
      </c>
      <c r="CC165" s="133" t="str">
        <f t="shared" si="12"/>
        <v>#NUM!</v>
      </c>
      <c r="CD165" s="133">
        <f>AVERAGE(OFFSET($CC$3,0,0,'Données projet'!$E$12+1,1))-AVERAGE(OFFSET($H$3,0,0,'Données projet'!$E$12+1,1))</f>
        <v>258.1672054</v>
      </c>
      <c r="CE165" s="133">
        <f t="shared" si="41"/>
        <v>296.0724261</v>
      </c>
      <c r="CF165" s="134">
        <f>IF(ISNA(VLOOKUP(A165,'Données projet'!$A$113:$I$133,3,0)),0,VLOOKUP(A165,'Données projet'!$A$113:$I$133,3,0))</f>
        <v>0</v>
      </c>
      <c r="CG165" s="134">
        <f>IF(ISNA(VLOOKUP(A165,'Données projet'!$A$113:$I$133,4,0)),0,VLOOKUP(A165,'Données projet'!$A$113:$I$133,4,0))</f>
        <v>0</v>
      </c>
      <c r="CH165" s="135">
        <f>IF(ISNA(VLOOKUP(A165,'Données projet'!$A$113:$I$133,5,0)),0%,VLOOKUP(A165,'Données projet'!$A$113:$I$133,5,0)*VLOOKUP('Données projet'!$B$12,'Paramètres'!$A$1:$I$89,7,0))</f>
        <v>0</v>
      </c>
      <c r="CI165" s="135">
        <f>IF(ISNA(VLOOKUP(A165,'Données projet'!$A$113:$I$133,6,0)),0%,VLOOKUP(A165,'Données projet'!$A$113:$I$133,6,0)*VLOOKUP('Données projet'!$B$12,'Paramètres'!$A$1:$I$89,7,0))</f>
        <v>0</v>
      </c>
      <c r="CJ165" s="135">
        <f>IF(ISNA(VLOOKUP(A165,'Données projet'!$A$113:$I$133,7,0)),0%,VLOOKUP(A165,'Données projet'!$A$113:$I$133,7,0))</f>
        <v>0</v>
      </c>
      <c r="CK165" s="142">
        <f>EXP(-LN(2)/35)*CK164+(1-EXP(-LN(2)/35))/(LN(2)/35)*CG165*CH165*VLOOKUP('Données projet'!$B$12,'Paramètres'!$A$1:$I$89,3,0)*0.475*44/12</f>
        <v>34.25278811</v>
      </c>
      <c r="CL165" s="142">
        <f>EXP(-LN(2)/25)*CL164+(1-EXP(-LN(2)/25))/(LN(2)/25)*Calculateur!CG165*Calculateur!CI165*VLOOKUP('Données projet'!$B$12,'Paramètres'!$A$1:$I$89,3,0)*0.475*44/12</f>
        <v>2.337544493</v>
      </c>
      <c r="CM165" s="142">
        <f>EXP(-LN(2)/2)*CM164+(1-EXP(-LN(2)/2))/(LN(2)/2)*CG165*CJ165*VLOOKUP('Données projet'!$B$12,'Paramètres'!$A$1:$I$89,3,0)*0.475*44/12</f>
        <v>0</v>
      </c>
      <c r="CN165" s="143">
        <f t="shared" si="13"/>
        <v>36.5903326</v>
      </c>
      <c r="CO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1" t="str">
        <f>VLOOKUP(A165,'Données projet'!$A$139:$I$159,2,0)</f>
        <v>#N/A</v>
      </c>
      <c r="CR165" s="131" t="str">
        <f>VLOOKUP(A165,'Données projet'!$A$139:$I$159,9,0)</f>
        <v>#N/A</v>
      </c>
      <c r="CS165" s="131" t="str">
        <f t="array" ref="CS165">INDEX(CR:CR,MIN(IF(ISNUMBER(CR165:CR361),ROW(CR165:CR361),"")))</f>
        <v/>
      </c>
      <c r="CT165" s="138">
        <f>IF('Données projet'!$A$140&gt;35,CT164+CS165-DB164,IF(A165&lt;'Données projet'!$A$140,$CQ$205^A165,IF(A165='Données projet'!$A$140,'Données projet'!$B$140,CT164+CS165-DB164)))</f>
        <v>0</v>
      </c>
      <c r="CU165" s="138">
        <f>CT165*VLOOKUP('Données projet'!$B$13,'Paramètres'!$A$1:$I$89,3,0)*VLOOKUP('Données projet'!$B$13,'Paramètres'!$A$1:$I$89,5,0)</f>
        <v>0</v>
      </c>
      <c r="CV165" s="130" t="str">
        <f t="shared" si="42"/>
        <v>#NUM!</v>
      </c>
      <c r="CW165" s="141" t="str">
        <f t="shared" si="14"/>
        <v>#NUM!</v>
      </c>
      <c r="CX165" s="133" t="str">
        <f t="shared" si="15"/>
        <v>#NUM!</v>
      </c>
      <c r="CY165" s="133">
        <f>AVERAGE(OFFSET($CX$3,0,0,'Données projet'!$E$13+1,1))-AVERAGE(OFFSET($H$3,0,0,'Données projet'!$E$13+1,1))</f>
        <v>223.783507</v>
      </c>
      <c r="CZ165" s="133">
        <f t="shared" si="43"/>
        <v>84.92349117</v>
      </c>
      <c r="DA165" s="134">
        <f>IF(ISNA(VLOOKUP(A165,'Données projet'!$A$139:$I$159,3,0)),0,VLOOKUP(A165,'Données projet'!$A$139:$I$159,3,0))</f>
        <v>0</v>
      </c>
      <c r="DB165" s="134">
        <f>IF(ISNA(VLOOKUP(A165,'Données projet'!$A$139:$I$159,4,0)),0,VLOOKUP(A165,'Données projet'!$A$139:$I$159,4,0))</f>
        <v>0</v>
      </c>
      <c r="DC165" s="135">
        <f>IF(ISNA(VLOOKUP(A165,'Données projet'!$A$139:$I$159,5,0)),0%,VLOOKUP(A165,'Données projet'!$A$139:$I$159,5,0)*VLOOKUP('Données projet'!$B$13,'Paramètres'!$A$1:$I$89,7,0))</f>
        <v>0</v>
      </c>
      <c r="DD165" s="135">
        <f>IF(ISNA(VLOOKUP(A165,'Données projet'!$A$139:$I$159,6,0)),0%,VLOOKUP(A165,'Données projet'!$A$139:$I$159,6,0)*VLOOKUP('Données projet'!$B$13,'Paramètres'!$A$1:$I$89,7,0))</f>
        <v>0</v>
      </c>
      <c r="DE165" s="135">
        <f>IF(ISNA(VLOOKUP(A165,'Données projet'!$A$139:$I$159,7,0)),0%,VLOOKUP(A165,'Données projet'!$A$139:$I$159,7,0))</f>
        <v>0</v>
      </c>
      <c r="DF165" s="142">
        <f>EXP(-LN(2)/35)*DF164+(1-EXP(-LN(2)/35))/(LN(2)/35)*DB165*DC165*VLOOKUP('Données projet'!$B$13,'Paramètres'!$A$1:$I$89,3,0)*0.475*44/12</f>
        <v>87.97460013</v>
      </c>
      <c r="DG165" s="142">
        <f>EXP(-LN(2)/25)*DG164+(1-EXP(-LN(2)/25))/(LN(2)/25)*Calculateur!DB165*Calculateur!DD165*VLOOKUP('Données projet'!$B$13,'Paramètres'!$A$1:$I$89,3,0)*0.475*44/12</f>
        <v>0</v>
      </c>
      <c r="DH165" s="142">
        <f>EXP(-LN(2)/2)*DH164+(1-EXP(-LN(2)/2))/(LN(2)/2)*DB165*DE165*VLOOKUP('Données projet'!$B$13,'Paramètres'!$A$1:$I$89,3,0)*0.475*44/12</f>
        <v>0</v>
      </c>
      <c r="DI165" s="143">
        <f t="shared" si="16"/>
        <v>87.97460013</v>
      </c>
      <c r="DJ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1" t="str">
        <f>VLOOKUP(A165,'Données projet'!$A$165:$I$185,2,0)</f>
        <v>#N/A</v>
      </c>
      <c r="DM165" s="131" t="str">
        <f>VLOOKUP(A165,'Données projet'!$A$165:$I$185,9,0)</f>
        <v>#N/A</v>
      </c>
      <c r="DN165" s="131" t="str">
        <f t="array" ref="DN165">INDEX(DM:DM,MIN(IF(ISNUMBER(DM165:DM361),ROW(DM165:DM361),"")))</f>
        <v/>
      </c>
      <c r="DO165" s="138">
        <f>IF('Données projet'!$A$166&gt;35,DO164+DN165-DW164,IF(A165&lt;'Données projet'!$A$166,$DL$205^A165,IF(A165='Données projet'!$A$166,'Données projet'!$B$166,DO164+DN165-DW164)))</f>
        <v>0</v>
      </c>
      <c r="DP165" s="138">
        <f>DO165*VLOOKUP('Données projet'!$B$14,'Paramètres'!$A$1:$I$89,3,0)*VLOOKUP('Données projet'!$B$14,'Paramètres'!$A$1:$I$89,5,0)</f>
        <v>0</v>
      </c>
      <c r="DQ165" s="130" t="str">
        <f t="shared" si="44"/>
        <v>#NUM!</v>
      </c>
      <c r="DR165" s="141" t="str">
        <f t="shared" si="17"/>
        <v>#NUM!</v>
      </c>
      <c r="DS165" s="133" t="str">
        <f t="shared" si="18"/>
        <v>#NUM!</v>
      </c>
      <c r="DT165" s="133">
        <f>AVERAGE(OFFSET($DS$3,0,0,'Données projet'!$E$14+1,1))-AVERAGE(OFFSET($H$3,0,0,'Données projet'!$E$14+1,1))</f>
        <v>287.9334714</v>
      </c>
      <c r="DU165" s="133">
        <f t="shared" si="45"/>
        <v>156.6796502</v>
      </c>
      <c r="DV165" s="134">
        <f>IF(ISNA(VLOOKUP(A165,'Données projet'!$A$165:$I$185,3,0)),0,VLOOKUP(A165,'Données projet'!$A$165:$I$185,3,0))</f>
        <v>0</v>
      </c>
      <c r="DW165" s="134">
        <f>IF(ISNA(VLOOKUP(A165,'Données projet'!$A$165:$I$185,4,0)),0,VLOOKUP(A165,'Données projet'!$A$165:$I$185,4,0))</f>
        <v>0</v>
      </c>
      <c r="DX165" s="135">
        <f>IF(ISNA(VLOOKUP(A165,'Données projet'!$A$165:$I$185,5,0)),0%,VLOOKUP(A165,'Données projet'!$A$165:$I$185,5,0)*VLOOKUP('Données projet'!$B$14,'Paramètres'!$A$1:$I$89,7,0))</f>
        <v>0</v>
      </c>
      <c r="DY165" s="135">
        <f>IF(ISNA(VLOOKUP(A165,'Données projet'!$A$165:$I$185,6,0)),0%,VLOOKUP(A165,'Données projet'!$A$165:$I$185,6,0)*VLOOKUP('Données projet'!$B$14,'Paramètres'!$A$1:$I$89,7,0))</f>
        <v>0</v>
      </c>
      <c r="DZ165" s="135">
        <f>IF(ISNA(VLOOKUP(A165,'Données projet'!$A$165:$I$185,7,0)),0%,VLOOKUP(A165,'Données projet'!$A$165:$I$185,7,0))</f>
        <v>0</v>
      </c>
      <c r="EA165" s="142">
        <f>EXP(-LN(2)/35)*EA164+(1-EXP(-LN(2)/35))/(LN(2)/35)*DW165*DX165*VLOOKUP('Données projet'!$B$14,'Paramètres'!$A$1:$I$89,3,0)*0.475*44/12</f>
        <v>102.2015916</v>
      </c>
      <c r="EB165" s="142">
        <f>EXP(-LN(2)/25)*EB164+(1-EXP(-LN(2)/25))/(LN(2)/25)*Calculateur!DW165*Calculateur!DY165*VLOOKUP('Données projet'!$B$14,'Paramètres'!$A$1:$I$89,3,0)*0.475*44/12</f>
        <v>0</v>
      </c>
      <c r="EC165" s="142">
        <f>EXP(-LN(2)/2)*EC164+(1-EXP(-LN(2)/2))/(LN(2)/2)*DW165*DZ165*VLOOKUP('Données projet'!$B$14,'Paramètres'!$A$1:$I$89,3,0)*0.475*44/12</f>
        <v>0</v>
      </c>
      <c r="ED165" s="143">
        <f t="shared" si="19"/>
        <v>102.2015916</v>
      </c>
      <c r="EE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1" t="str">
        <f>VLOOKUP(A165,'Données projet'!$A$191:$I$211,2,0)</f>
        <v>#N/A</v>
      </c>
      <c r="EH165" s="131" t="str">
        <f>VLOOKUP(A165,'Données projet'!$A$191:$I$211,9,0)</f>
        <v>#N/A</v>
      </c>
      <c r="EI165" s="131" t="str">
        <f t="array" ref="EI165">INDEX(EH:EH,MIN(IF(ISNUMBER(EH165:EH361),ROW(EH165:EH361),"")))</f>
        <v/>
      </c>
      <c r="EJ165" s="138">
        <f>IF('Données projet'!$A$192&gt;35,EJ164+EI165-ER164,IF(A165&lt;'Données projet'!$A$192,$EG$205^A165,IF(A165='Données projet'!$A$192,'Données projet'!$B$192,EJ164+EI165-ER164)))</f>
        <v>0</v>
      </c>
      <c r="EK165" s="138">
        <f>EJ165*VLOOKUP('Données projet'!$B$15,'Paramètres'!$A$1:$I$89,3,0)*VLOOKUP('Données projet'!$B$15,'Paramètres'!$A$1:$I$89,5,0)</f>
        <v>0</v>
      </c>
      <c r="EL165" s="130" t="str">
        <f t="shared" si="46"/>
        <v>#NUM!</v>
      </c>
      <c r="EM165" s="141" t="str">
        <f t="shared" si="20"/>
        <v>#NUM!</v>
      </c>
      <c r="EN165" s="133" t="str">
        <f t="shared" si="21"/>
        <v>#NUM!</v>
      </c>
      <c r="EO165" s="133">
        <f>AVERAGE(OFFSET($EN$3,0,0,'Données projet'!$E$15+1,1))-AVERAGE(OFFSET($H$3,0,0,'Données projet'!$E$15+1,1))</f>
        <v>130.3193339</v>
      </c>
      <c r="EP165" s="133">
        <f t="shared" si="47"/>
        <v>82.22784365</v>
      </c>
      <c r="EQ165" s="134">
        <f>IF(ISNA(VLOOKUP(A165,'Données projet'!$A$191:$I$211,3,0)),0,VLOOKUP(A165,'Données projet'!$A$191:$I$211,3,0))</f>
        <v>0</v>
      </c>
      <c r="ER165" s="134">
        <f>IF(ISNA(VLOOKUP(A165,'Données projet'!$A$191:$I$211,4,0)),0,VLOOKUP(A165,'Données projet'!$A$191:$I$211,4,0))</f>
        <v>0</v>
      </c>
      <c r="ES165" s="135">
        <f>IF(ISNA(VLOOKUP(A165,'Données projet'!$A$191:$I$211,5,0)),0%,VLOOKUP(A165,'Données projet'!$A$191:$I$211,5,0)*VLOOKUP('Données projet'!$B$15,'Paramètres'!$A$1:$I$89,7,0))</f>
        <v>0</v>
      </c>
      <c r="ET165" s="135">
        <f>IF(ISNA(VLOOKUP(A165,'Données projet'!$A$191:$I$211,6,0)),0%,VLOOKUP(A165,'Données projet'!$A$191:$I$211,6,0)*VLOOKUP('Données projet'!$B$15,'Paramètres'!$A$1:$I$89,7,0))</f>
        <v>0</v>
      </c>
      <c r="EU165" s="135">
        <f>IF(ISNA(VLOOKUP(A165,'Données projet'!$A$191:$I$211,7,0)),0%,VLOOKUP(A165,'Données projet'!$A$191:$I$211,7,0))</f>
        <v>0</v>
      </c>
      <c r="EV165" s="142">
        <f>EXP(-LN(2)/35)*EV164+(1-EXP(-LN(2)/35))/(LN(2)/35)*ER165*ES165*VLOOKUP('Données projet'!$B$15,'Paramètres'!$A$1:$I$89,3,0)*0.475*44/12</f>
        <v>20.94487133</v>
      </c>
      <c r="EW165" s="142">
        <f>EXP(-LN(2)/25)*EW164+(1-EXP(-LN(2)/25))/(LN(2)/25)*Calculateur!ER165*Calculateur!ET165*VLOOKUP('Données projet'!$B$15,'Paramètres'!$A$1:$I$89,3,0)*0.475*44/12</f>
        <v>0</v>
      </c>
      <c r="EX165" s="142">
        <f>EXP(-LN(2)/2)*EX164+(1-EXP(-LN(2)/2))/(LN(2)/2)*ER165*EU165*VLOOKUP('Données projet'!$B$15,'Paramètres'!$A$1:$I$89,3,0)*0.475*44/12</f>
        <v>0</v>
      </c>
      <c r="EY165" s="143">
        <f t="shared" si="22"/>
        <v>20.94487133</v>
      </c>
      <c r="EZ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1" t="str">
        <f>VLOOKUP(A165,'Données projet'!$A$217:$I$237,2,0)</f>
        <v>#N/A</v>
      </c>
      <c r="FC165" s="131" t="str">
        <f>VLOOKUP(A165,'Données projet'!$A$217:$I$237,9,0)</f>
        <v>#N/A</v>
      </c>
      <c r="FD165" s="131" t="str">
        <f t="array" ref="FD165">INDEX(FC:FC,MIN(IF(ISNUMBER(FC165:FC361),ROW(FC165:FC361),"")))</f>
        <v/>
      </c>
      <c r="FE165" s="130">
        <f>IF('Données projet'!$A$218&gt;35,FE164+FD165-FM164,IF(A165&lt;'Données projet'!$A$218,$FB$205^A165,IF(A165='Données projet'!$A$218,'Données projet'!$B$218,FE164+FD165-FM164)))</f>
        <v>0</v>
      </c>
      <c r="FF165" s="138">
        <f>FE165*VLOOKUP('Données projet'!$B$16,'Paramètres'!$A$1:$I$89,3,0)*VLOOKUP('Données projet'!$B$16,'Paramètres'!$A$1:$I$89,5,0)</f>
        <v>0</v>
      </c>
      <c r="FG165" s="130">
        <f t="shared" si="48"/>
        <v>0</v>
      </c>
      <c r="FH165" s="141">
        <f t="shared" si="23"/>
        <v>0</v>
      </c>
      <c r="FI165" s="133">
        <f t="shared" si="24"/>
        <v>293.3333333</v>
      </c>
      <c r="FJ165" s="133">
        <f>AVERAGE(OFFSET($FI$3,0,0,'Données projet'!$E$16+1,1))-AVERAGE(OFFSET($H$3,0,0,'Données projet'!$E$16+1,1))</f>
        <v>305.6252353</v>
      </c>
      <c r="FK165" s="133">
        <f t="shared" si="49"/>
        <v>331.397916</v>
      </c>
      <c r="FL165" s="134">
        <f>IF(ISNA(VLOOKUP(A165,'Données projet'!$A$217:$I$237,3,0)),0,VLOOKUP(A165,'Données projet'!$A$217:$I$237,3,0))</f>
        <v>0</v>
      </c>
      <c r="FM165" s="134">
        <f>IF(ISNA(VLOOKUP(A165,'Données projet'!$A$217:$I$237,4,0)),0,VLOOKUP(A165,'Données projet'!$A$217:$I$237,4,0))</f>
        <v>0</v>
      </c>
      <c r="FN165" s="135">
        <f>IF(ISNA(VLOOKUP(A165,'Données projet'!$A$217:$I$237,5,0)),0%,VLOOKUP(A165,'Données projet'!$A$217:$I$237,5,0)*VLOOKUP('Données projet'!$B$16,'Paramètres'!$A$1:$I$89,7,0))</f>
        <v>0</v>
      </c>
      <c r="FO165" s="135">
        <f>IF(ISNA(VLOOKUP(A165,'Données projet'!$A$217:$I$237,6,0)),0%,VLOOKUP(A165,'Données projet'!$A$217:$I$237,6,0)*VLOOKUP('Données projet'!$B$16,'Paramètres'!$A$1:$I$89,7,0))</f>
        <v>0</v>
      </c>
      <c r="FP165" s="135">
        <f>IF(ISNA(VLOOKUP(A165,'Données projet'!$A$217:$I$237,7,0)),0%,VLOOKUP(A165,'Données projet'!$A$217:$I$237,7,0))</f>
        <v>0</v>
      </c>
      <c r="FQ165" s="142">
        <f>EXP(-LN(2)/35)*FQ164+(1-EXP(-LN(2)/35))/(LN(2)/35)*FM165*FN165*VLOOKUP('Données projet'!$B$16,'Paramètres'!$A$1:$I$89,3,0)*0.475*44/12</f>
        <v>13.04090284</v>
      </c>
      <c r="FR165" s="142">
        <f>EXP(-LN(2)/25)*FR164+(1-EXP(-LN(2)/25))/(LN(2)/25)*Calculateur!FM165*Calculateur!FO165*VLOOKUP('Données projet'!$B$16,'Paramètres'!$A$1:$I$89,3,0)*0.475*44/12</f>
        <v>0</v>
      </c>
      <c r="FS165" s="142">
        <f>EXP(-LN(2)/2)*FS164+(1-EXP(-LN(2)/2))/(LN(2)/2)*FM165*FP165*VLOOKUP('Données projet'!$B$16,'Paramètres'!$A$1:$I$89,3,0)*0.475*44/12</f>
        <v>0</v>
      </c>
      <c r="FT165" s="143">
        <f t="shared" si="25"/>
        <v>13.04090284</v>
      </c>
      <c r="FU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1" t="str">
        <f>VLOOKUP(A165,'Données projet'!$A$243:$I$263,2,0)</f>
        <v>#N/A</v>
      </c>
      <c r="FX165" s="131" t="str">
        <f>VLOOKUP(A165,'Données projet'!$A$243:$I$263,9,0)</f>
        <v>#N/A</v>
      </c>
      <c r="FY165" s="131" t="str">
        <f t="array" ref="FY165">INDEX(FX:FX,MIN(IF(ISNUMBER(FX165:FX361),ROW(FX165:FX361),"")))</f>
        <v/>
      </c>
      <c r="FZ165" s="138">
        <f>IF('Données projet'!$A$244&gt;35,FZ164+FY165-GH164,IF(A165&lt;'Données projet'!$A$244,$FW$205^A165,IF(A165='Données projet'!$A$244,'Données projet'!$B$244,FZ164+FY165-GH164)))</f>
        <v>0</v>
      </c>
      <c r="GA165" s="138">
        <f>FZ165*VLOOKUP('Données projet'!$B$17,'Paramètres'!$A$1:$I$89,3,0)*VLOOKUP('Données projet'!$B$17,'Paramètres'!$A$1:$I$89,5,0)</f>
        <v>0</v>
      </c>
      <c r="GB165" s="130">
        <f t="shared" si="50"/>
        <v>0</v>
      </c>
      <c r="GC165" s="141">
        <f t="shared" si="26"/>
        <v>0</v>
      </c>
      <c r="GD165" s="133">
        <f t="shared" si="27"/>
        <v>293.3333333</v>
      </c>
      <c r="GE165" s="133">
        <f>AVERAGE(OFFSET($GD$3,0,0,'Données projet'!$E$17+1,1))-AVERAGE(OFFSET($H$3,0,0,'Données projet'!$E$17+1,1))</f>
        <v>118.7368745</v>
      </c>
      <c r="GF165" s="133">
        <f t="shared" si="51"/>
        <v>135.1233677</v>
      </c>
      <c r="GG165" s="134">
        <f>IF(ISNA(VLOOKUP(A165,'Données projet'!$A$243:$I$263,3,0)),0,VLOOKUP(A165,'Données projet'!$A$243:$I$263,3,0))</f>
        <v>0</v>
      </c>
      <c r="GH165" s="134">
        <f>IF(ISNA(VLOOKUP(A165,'Données projet'!$A$243:$I$263,4,0)),0,VLOOKUP(A165,'Données projet'!$A$243:$I$263,4,0))</f>
        <v>0</v>
      </c>
      <c r="GI165" s="135">
        <f>IF(ISNA(VLOOKUP(A165,'Données projet'!$A$243:$I$263,5,0)),0%,VLOOKUP(A165,'Données projet'!$A$243:$I$263,5,0)*VLOOKUP('Données projet'!$B$17,'Paramètres'!$A$1:$I$89,7,0))</f>
        <v>0</v>
      </c>
      <c r="GJ165" s="135">
        <f>IF(ISNA(VLOOKUP(A165,'Données projet'!$A$243:$I$263,6,0)),0%,VLOOKUP(A165,'Données projet'!$A$243:$I$263,6,0)*VLOOKUP('Données projet'!$B$17,'Paramètres'!$A$1:$I$89,7,0))</f>
        <v>0</v>
      </c>
      <c r="GK165" s="135">
        <f>IF(ISNA(VLOOKUP(A165,'Données projet'!$A$243:$I$263,7,0)),0%,VLOOKUP(A165,'Données projet'!$A$243:$I$263,7,0))</f>
        <v>0</v>
      </c>
      <c r="GL165" s="142">
        <f>EXP(-LN(2)/35)*GL164+(1-EXP(-LN(2)/35))/(LN(2)/35)*GH165*GI165*VLOOKUP('Données projet'!$B$17,'Paramètres'!$A$1:$I$89,3,0)*0.475*44/12</f>
        <v>13.77767352</v>
      </c>
      <c r="GM165" s="142">
        <f>EXP(-LN(2)/25)*GM164+(1-EXP(-LN(2)/25))/(LN(2)/25)*Calculateur!GH165*Calculateur!GJ165*VLOOKUP('Données projet'!$B$17,'Paramètres'!$A$1:$I$89,3,0)*0.475*44/12</f>
        <v>0</v>
      </c>
      <c r="GN165" s="142">
        <f>EXP(-LN(2)/2)*GN164+(1-EXP(-LN(2)/2))/(LN(2)/2)*GH165*GK165*VLOOKUP('Données projet'!$B$17,'Paramètres'!$A$1:$I$89,3,0)*0.475*44/12</f>
        <v>0</v>
      </c>
      <c r="GO165" s="142">
        <f t="shared" si="28"/>
        <v>13.77767352</v>
      </c>
      <c r="GP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1" t="str">
        <f>VLOOKUP(A165,'Données projet'!$A$269:$I$289,2,0)</f>
        <v>#N/A</v>
      </c>
      <c r="GS165" s="131" t="str">
        <f>VLOOKUP(A165,'Données projet'!$A$269:$I$289,9,0)</f>
        <v>#N/A</v>
      </c>
      <c r="GT165" s="131" t="str">
        <f t="array" ref="GT165">INDEX(GS:GS,MIN(IF(ISNUMBER(GS165:GS361),ROW(GS165:GS361),"")))</f>
        <v/>
      </c>
      <c r="GU165" s="138">
        <f>IF('Données projet'!$A$270&gt;35,GU164+GT165-HC164,IF(A165&lt;'Données projet'!$A$270,$GR$205^A165,IF(A165='Données projet'!$A$270,'Données projet'!$B$270,GU164+GT165-HC164)))</f>
        <v>0</v>
      </c>
      <c r="GV165" s="138">
        <f>GU165*VLOOKUP('Données projet'!$B$18,'Paramètres'!$A$1:$I$89,3,0)*VLOOKUP('Données projet'!$B$18,'Paramètres'!$A$1:$I$89,5,0)</f>
        <v>0</v>
      </c>
      <c r="GW165" s="130" t="str">
        <f t="shared" si="52"/>
        <v>#NUM!</v>
      </c>
      <c r="GX165" s="141" t="str">
        <f t="shared" si="29"/>
        <v>#NUM!</v>
      </c>
      <c r="GY165" s="133" t="str">
        <f t="shared" si="30"/>
        <v>#NUM!</v>
      </c>
      <c r="GZ165" s="133">
        <f>AVERAGE(OFFSET($GY$3,0,0,'Données projet'!$E$18+1,1))-AVERAGE(OFFSET($H$3,0,0,'Données projet'!$E$18+1,1))</f>
        <v>100.5427875</v>
      </c>
      <c r="HA165" s="133">
        <f t="shared" si="53"/>
        <v>92.28663609</v>
      </c>
      <c r="HB165" s="134">
        <f>IF(ISNA(VLOOKUP(A165,'Données projet'!$A$269:$I$289,3,0)),0,VLOOKUP(A165,'Données projet'!$A$269:$I$289,3,0))</f>
        <v>0</v>
      </c>
      <c r="HC165" s="134">
        <f>IF(ISNA(VLOOKUP(A165,'Données projet'!$A$269:$I$289,4,0)),0,VLOOKUP(A165,'Données projet'!$A$269:$I$289,4,0))</f>
        <v>0</v>
      </c>
      <c r="HD165" s="135">
        <f>IF(ISNA(VLOOKUP(A165,'Données projet'!$A$269:$I$289,5,0)),0%,VLOOKUP(A165,'Données projet'!$A$269:$I$289,5,0)*VLOOKUP('Données projet'!$B$18,'Paramètres'!$A$1:$I$89,7,0))</f>
        <v>0</v>
      </c>
      <c r="HE165" s="135">
        <f>IF(ISNA(VLOOKUP(A165,'Données projet'!$A$269:$I$289,6,0)),0%,VLOOKUP(A165,'Données projet'!$A$269:$I$289,6,0)*VLOOKUP('Données projet'!$B$18,'Paramètres'!$A$1:$I$89,7,0))</f>
        <v>0</v>
      </c>
      <c r="HF165" s="135">
        <f>IF(ISNA(VLOOKUP(A165,'Données projet'!$A$269:$I$289,7,0)),0%,VLOOKUP(A165,'Données projet'!$A$269:$I$289,7,0))</f>
        <v>0</v>
      </c>
      <c r="HG165" s="142">
        <f>EXP(-LN(2)/35)*HG164+(1-EXP(-LN(2)/35))/(LN(2)/35)*HC165*HD165*VLOOKUP('Données projet'!$B$18,'Paramètres'!$A$1:$I$89,3,0)*0.475*44/12</f>
        <v>9.382305009</v>
      </c>
      <c r="HH165" s="142">
        <f>EXP(-LN(2)/25)*HH164+(1-EXP(-LN(2)/25))/(LN(2)/25)*Calculateur!HC165*Calculateur!HE165*VLOOKUP('Données projet'!$B$18,'Paramètres'!$A$1:$I$89,3,0)*0.475*44/12</f>
        <v>0</v>
      </c>
      <c r="HI165" s="142">
        <f>EXP(-LN(2)/2)*HI164+(1-EXP(-LN(2)/2))/(LN(2)/2)*HC165*HF165*VLOOKUP('Données projet'!$B$18,'Paramètres'!$A$1:$I$89,3,0)*0.475*44/12</f>
        <v>0</v>
      </c>
      <c r="HJ165" s="143">
        <f t="shared" si="31"/>
        <v>9.382305009</v>
      </c>
    </row>
    <row r="166" ht="15.75" customHeight="1">
      <c r="A166" s="125">
        <f t="shared" si="32"/>
        <v>163</v>
      </c>
      <c r="B166" s="126">
        <f>'Scénario référence'!$B$16*5+'Scénario référence'!$B$17*0+'Scénario référence'!$B$18*5</f>
        <v>0</v>
      </c>
      <c r="C166" s="140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88.998</v>
      </c>
      <c r="D166" s="127">
        <f t="shared" si="33"/>
        <v>24.32340948</v>
      </c>
      <c r="E16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7">
        <f>IF(OR('Scénario référence'!$F$8&gt;0,'Scénario référence'!$F$9&gt;0),('Scénario référence'!$F$8+'Scénario référence'!$F$9)*10,0)</f>
        <v>10</v>
      </c>
      <c r="G166" s="127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</v>
      </c>
      <c r="H166" s="128">
        <f t="shared" si="1"/>
        <v>490.7014549</v>
      </c>
      <c r="I166" s="12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1" t="str">
        <f>VLOOKUP(A166,'Données projet'!$A$35:$I$55,2,0)</f>
        <v>#N/A</v>
      </c>
      <c r="L166" s="131" t="str">
        <f>VLOOKUP(A166,'Données projet'!$A$35:$I$55,9,0)</f>
        <v>#N/A</v>
      </c>
      <c r="M166" s="131" t="str">
        <f t="array" ref="M166">INDEX(L:L,MIN(IF(ISNUMBER(L166:L362),ROW(L166:L362),"")))</f>
        <v/>
      </c>
      <c r="N166" s="130">
        <f>IF('Données projet'!$A$36&gt;35,N165+M166-V165,IF(A166&lt;'Données projet'!$A$36,$K$205^A166,IF(A166='Données projet'!$A$36,'Données projet'!$B$36,N165+M166-V165)))</f>
        <v>0</v>
      </c>
      <c r="O166" s="130">
        <f>N166*VLOOKUP('Données projet'!$B$9,'Paramètres'!$A$1:$I$89,3,0)*VLOOKUP('Données projet'!$B$9,'Paramètres'!$A$1:$I$89,5,0)</f>
        <v>0</v>
      </c>
      <c r="P166" s="130">
        <f t="shared" si="34"/>
        <v>0</v>
      </c>
      <c r="Q166" s="141">
        <f t="shared" si="2"/>
        <v>0</v>
      </c>
      <c r="R166" s="133">
        <f t="shared" si="3"/>
        <v>293.3333333</v>
      </c>
      <c r="S166" s="133">
        <f>AVERAGE(OFFSET($R$3,0,0,'Données projet'!$E$9+1,1))-AVERAGE(OFFSET($H$3,0,0,'Données projet'!$E$9+1,1))</f>
        <v>126.9946492</v>
      </c>
      <c r="T166" s="133">
        <f t="shared" si="35"/>
        <v>140.039049</v>
      </c>
      <c r="U166" s="134">
        <f>IF(ISNA(VLOOKUP(A166,'Données projet'!$A$35:$I$55,3,0)),0,VLOOKUP(A166,'Données projet'!$A$35:$I$55,3,0))</f>
        <v>0</v>
      </c>
      <c r="V166" s="134">
        <f>IF(ISNA(VLOOKUP(A166,'Données projet'!$A$35:$I$55,4,0)),0,VLOOKUP(A166,'Données projet'!$A$35:$I$55,4,0))</f>
        <v>0</v>
      </c>
      <c r="W166" s="135">
        <f>IF(ISNA(VLOOKUP(A166,'Données projet'!$A$35:$I$55,5,0)),0%,VLOOKUP(A166,'Données projet'!$A$35:$I$55,5,0)*VLOOKUP('Données projet'!$B$9,'Paramètres'!$A$1:$I$89,7,0))</f>
        <v>0</v>
      </c>
      <c r="X166" s="135">
        <f>IF(ISNA(VLOOKUP(A166,'Données projet'!$A$35:$I$55,6,0)),0%,VLOOKUP(A166,'Données projet'!$A$35:$I$55,6,0)*VLOOKUP('Données projet'!$B$9,'Paramètres'!$A$1:$I$89,7,0))</f>
        <v>0</v>
      </c>
      <c r="Y166" s="135">
        <f>IF(ISNA(VLOOKUP(A166,'Données projet'!$A$35:$I$55,7,0)),0%,VLOOKUP(A166,'Données projet'!$A$35:$I$55,7,0))</f>
        <v>0</v>
      </c>
      <c r="Z166" s="142">
        <f>EXP(-LN(2)/35)*Z165+(1-EXP(-LN(2)/35))/(LN(2)/35)*V166*W166*VLOOKUP('Données projet'!$B$9,'Paramètres'!$A$1:$I$89,3,0)*0.475*44/12</f>
        <v>13.81516747</v>
      </c>
      <c r="AA166" s="142">
        <f>EXP(-LN(2)/25)*AA165+(1-EXP(-LN(2)/25))/(LN(2)/25)*Calculateur!V166*Calculateur!X166*VLOOKUP('Données projet'!$B$9,'Paramètres'!$A$1:$I$89,3,0)*0.475*44/12</f>
        <v>1.336494772</v>
      </c>
      <c r="AB166" s="142">
        <f>EXP(-LN(2)/2)*AB165+(1-EXP(-LN(2)/2))/(LN(2)/2)*V166*Y166*VLOOKUP('Données projet'!$B$9,'Paramètres'!$A$1:$I$89,3,0)*0.475*44/12</f>
        <v>0</v>
      </c>
      <c r="AC166" s="143">
        <f t="shared" si="4"/>
        <v>15.15166224</v>
      </c>
      <c r="AD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1" t="str">
        <f>VLOOKUP(A166,'Données projet'!$A$61:$I$81,2,0)</f>
        <v>#N/A</v>
      </c>
      <c r="AG166" s="131" t="str">
        <f>VLOOKUP(A166,'Données projet'!$A$61:$I$81,9,0)</f>
        <v>#N/A</v>
      </c>
      <c r="AH166" s="131" t="str">
        <f t="array" ref="AH166">INDEX(AG:AG,MIN(IF(ISNUMBER(AG166:AG362),ROW(AG166:AG362),"")))</f>
        <v/>
      </c>
      <c r="AI166" s="130">
        <f>IF('Données projet'!$A$62&gt;35,AI165+AH166-AQ165,IF(A166&lt;'Données projet'!$A$62,$AF$205^A166,IF(A166='Données projet'!$A$62,'Données projet'!$B$62,AI165+AH166-AQ165)))</f>
        <v>0</v>
      </c>
      <c r="AJ166" s="130">
        <f>AI166*VLOOKUP('Données projet'!$B$10,'Paramètres'!$A$1:$I$89,3,0)*VLOOKUP('Données projet'!$B$10,'Paramètres'!$A$1:$I$89,5,0)</f>
        <v>0</v>
      </c>
      <c r="AK166" s="130" t="str">
        <f t="shared" si="36"/>
        <v>#NUM!</v>
      </c>
      <c r="AL166" s="141" t="str">
        <f t="shared" si="5"/>
        <v>#NUM!</v>
      </c>
      <c r="AM166" s="133" t="str">
        <f t="shared" si="6"/>
        <v>#NUM!</v>
      </c>
      <c r="AN166" s="133">
        <f>AVERAGE(OFFSET($AM$3,0,0,'Données projet'!$E$10+1,1))-AVERAGE(OFFSET($H$3,0,0,'Données projet'!$E$10+1,1))</f>
        <v>196.874484</v>
      </c>
      <c r="AO166" s="133">
        <f t="shared" si="37"/>
        <v>217.5750859</v>
      </c>
      <c r="AP166" s="134">
        <f>IF(ISNA(VLOOKUP(A166,'Données projet'!$A$61:$I$81,3,0)),0,VLOOKUP(A166,'Données projet'!$A$61:$I$81,3,0))</f>
        <v>0</v>
      </c>
      <c r="AQ166" s="134">
        <f>IF(ISNA(VLOOKUP(A166,'Données projet'!$A$61:$I$81,4,0)),0,VLOOKUP(A166,'Données projet'!$A$61:$I$81,4,0))</f>
        <v>0</v>
      </c>
      <c r="AR166" s="135">
        <f>IF(ISNA(VLOOKUP(A166,'Données projet'!$A$61:$I$81,5,0)),0%,VLOOKUP(A166,'Données projet'!$A$61:$I$81,5,0)*VLOOKUP('Données projet'!$B$10,'Paramètres'!$A$1:$I$89,7,0))</f>
        <v>0</v>
      </c>
      <c r="AS166" s="135">
        <f>IF(ISNA(VLOOKUP(A166,'Données projet'!$A$61:$I$81,6,0)),0%,VLOOKUP(A166,'Données projet'!$A$61:$I$81,6,0)*VLOOKUP('Données projet'!$B$10,'Paramètres'!$A$1:$I$89,7,0))</f>
        <v>0</v>
      </c>
      <c r="AT166" s="135">
        <f>IF(ISNA(VLOOKUP(A166,'Données projet'!$A$61:$I$81,7,0)),0%,VLOOKUP(A166,'Données projet'!$A$61:$I$81,7,0))</f>
        <v>0</v>
      </c>
      <c r="AU166" s="142">
        <f>EXP(-LN(2)/35)*AU165+(1-EXP(-LN(2)/35))/(LN(2)/35)*AQ166*AR166*VLOOKUP('Données projet'!$B$10,'Paramètres'!$A$1:$I$89,3,0)*0.475*44/12</f>
        <v>19.20269037</v>
      </c>
      <c r="AV166" s="142">
        <f>EXP(-LN(2)/25)*AV165+(1-EXP(-LN(2)/25))/(LN(2)/25)*Calculateur!AQ166*Calculateur!AS166*VLOOKUP('Données projet'!$B$10,'Paramètres'!$A$1:$I$89,3,0)*0.475*44/12</f>
        <v>2.054862497</v>
      </c>
      <c r="AW166" s="142">
        <f>EXP(-LN(2)/2)*AW165+(1-EXP(-LN(2)/2))/(LN(2)/2)*AQ166*AT166*VLOOKUP('Données projet'!$B$10,'Paramètres'!$A$1:$I$89,3,0)*0.475*44/12</f>
        <v>0</v>
      </c>
      <c r="AX166" s="142">
        <f t="shared" si="7"/>
        <v>21.25755287</v>
      </c>
      <c r="AY166" s="13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1" t="str">
        <f>VLOOKUP(A166,'Données projet'!$A$87:$I$107,2,0)</f>
        <v>#N/A</v>
      </c>
      <c r="BB166" s="131" t="str">
        <f>VLOOKUP(A166,'Données projet'!$A$87:$I$107,9,0)</f>
        <v>#N/A</v>
      </c>
      <c r="BC166" s="131" t="str">
        <f t="array" ref="BC166">INDEX(BB:BB,MIN(IF(ISNUMBER(BB166:BB362),ROW(BB166:BB362),"")))</f>
        <v/>
      </c>
      <c r="BD166" s="130">
        <f>IF('Données projet'!$A$88&gt;35,BD165+BC166-BL165,IF(A166&lt;'Données projet'!$A$88,$BA$205^A166,IF(A166='Données projet'!$A$88,'Données projet'!$B$88,BD165+BC166-BL165)))</f>
        <v>0</v>
      </c>
      <c r="BE166" s="130">
        <f>BD166*VLOOKUP('Données projet'!$B$11,'Paramètres'!$A$1:$I$89,3,0)*VLOOKUP('Données projet'!$B$11,'Paramètres'!$A$1:$I$89,5,0)</f>
        <v>0</v>
      </c>
      <c r="BF166" s="130" t="str">
        <f t="shared" si="38"/>
        <v>#NUM!</v>
      </c>
      <c r="BG166" s="141" t="str">
        <f t="shared" si="8"/>
        <v>#NUM!</v>
      </c>
      <c r="BH166" s="133" t="str">
        <f t="shared" si="9"/>
        <v>#NUM!</v>
      </c>
      <c r="BI166" s="133">
        <f>AVERAGE(OFFSET($BH$3,0,0,'Données projet'!$E$11+1,1))-AVERAGE(OFFSET($H$3,0,0,'Données projet'!$E$11+1,1))</f>
        <v>134.0948534</v>
      </c>
      <c r="BJ166" s="133">
        <f t="shared" si="39"/>
        <v>108.4102536</v>
      </c>
      <c r="BK166" s="134">
        <f>IF(ISNA(VLOOKUP(A166,'Données projet'!$A$87:$I$107,3,0)),0,VLOOKUP(A166,'Données projet'!$A$87:$I$107,3,0))</f>
        <v>0</v>
      </c>
      <c r="BL166" s="134">
        <f>IF(ISNA(VLOOKUP(A166,'Données projet'!$A$87:$I$107,4,0)),0,VLOOKUP(A166,'Données projet'!$A$87:$I$107,4,0))</f>
        <v>0</v>
      </c>
      <c r="BM166" s="135">
        <f>IF(ISNA(VLOOKUP(A166,'Données projet'!$A$87:$I$107,5,0)),0%,VLOOKUP(A166,'Données projet'!$A$87:$I$107,5,0)*VLOOKUP('Données projet'!$B$11,'Paramètres'!$A$1:$I$89,7,0))</f>
        <v>0</v>
      </c>
      <c r="BN166" s="135">
        <f>IF(ISNA(VLOOKUP(A166,'Données projet'!$A$87:$I$107,6,0)),0%,VLOOKUP(A166,'Données projet'!$A$87:$I$107,6,0)*VLOOKUP('Données projet'!$B$11,'Paramètres'!$A$1:$I$89,7,0))</f>
        <v>0</v>
      </c>
      <c r="BO166" s="135">
        <f>IF(ISNA(VLOOKUP(A166,'Données projet'!$A$87:$I$107,7,0)),0%,VLOOKUP(A166,'Données projet'!$A$87:$I$107,7,0))</f>
        <v>0</v>
      </c>
      <c r="BP166" s="142">
        <f>EXP(-LN(2)/35)*BP165+(1-EXP(-LN(2)/35))/(LN(2)/35)*BL166*BM166*VLOOKUP('Données projet'!$B$11,'Paramètres'!$A$1:$I$89,3,0)*0.475*44/12</f>
        <v>26.56090705</v>
      </c>
      <c r="BQ166" s="142">
        <f>EXP(-LN(2)/25)*BQ165+(1-EXP(-LN(2)/25))/(LN(2)/25)*Calculateur!BL166*Calculateur!BN166*VLOOKUP('Données projet'!$B$11,'Paramètres'!$A$1:$I$89,3,0)*0.475*44/12</f>
        <v>1.296209027</v>
      </c>
      <c r="BR166" s="142">
        <f>EXP(-LN(2)/2)*BR165+(1-EXP(-LN(2)/2))/(LN(2)/2)*BL166*BO166*VLOOKUP('Données projet'!$B$11,'Paramètres'!$A$1:$I$89,3,0)*0.475*44/12</f>
        <v>0</v>
      </c>
      <c r="BS166" s="143">
        <f t="shared" si="10"/>
        <v>27.85711608</v>
      </c>
      <c r="BT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1" t="str">
        <f>VLOOKUP(A166,'Données projet'!$A$113:$I$133,2,0)</f>
        <v>#N/A</v>
      </c>
      <c r="BW166" s="131" t="str">
        <f>VLOOKUP(A166,'Données projet'!$A$113:$I$133,9,0)</f>
        <v>#N/A</v>
      </c>
      <c r="BX166" s="131" t="str">
        <f t="array" ref="BX166">INDEX(BW:BW,MIN(IF(ISNUMBER(BW166:BW362),ROW(BW166:BW362),"")))</f>
        <v/>
      </c>
      <c r="BY166" s="130">
        <f>IF('Données projet'!$A$114&gt;35,BY165+BX166-CG165,IF(A166&lt;'Données projet'!$A$114,$BV$205^A166,IF(A166='Données projet'!$A$114,'Données projet'!$B$114,BY165+BX166-CG165)))</f>
        <v>0</v>
      </c>
      <c r="BZ166" s="130">
        <f>BY166*VLOOKUP('Données projet'!$B$12,'Paramètres'!$A$1:$I$89,3,0)*VLOOKUP('Données projet'!$B$12,'Paramètres'!$A$1:$I$89,5,0)</f>
        <v>0</v>
      </c>
      <c r="CA166" s="130" t="str">
        <f t="shared" si="40"/>
        <v>#NUM!</v>
      </c>
      <c r="CB166" s="141" t="str">
        <f t="shared" si="11"/>
        <v>#NUM!</v>
      </c>
      <c r="CC166" s="133" t="str">
        <f t="shared" si="12"/>
        <v>#NUM!</v>
      </c>
      <c r="CD166" s="133">
        <f>AVERAGE(OFFSET($CC$3,0,0,'Données projet'!$E$12+1,1))-AVERAGE(OFFSET($H$3,0,0,'Données projet'!$E$12+1,1))</f>
        <v>258.1672054</v>
      </c>
      <c r="CE166" s="133">
        <f t="shared" si="41"/>
        <v>296.0724261</v>
      </c>
      <c r="CF166" s="134">
        <f>IF(ISNA(VLOOKUP(A166,'Données projet'!$A$113:$I$133,3,0)),0,VLOOKUP(A166,'Données projet'!$A$113:$I$133,3,0))</f>
        <v>0</v>
      </c>
      <c r="CG166" s="134">
        <f>IF(ISNA(VLOOKUP(A166,'Données projet'!$A$113:$I$133,4,0)),0,VLOOKUP(A166,'Données projet'!$A$113:$I$133,4,0))</f>
        <v>0</v>
      </c>
      <c r="CH166" s="135">
        <f>IF(ISNA(VLOOKUP(A166,'Données projet'!$A$113:$I$133,5,0)),0%,VLOOKUP(A166,'Données projet'!$A$113:$I$133,5,0)*VLOOKUP('Données projet'!$B$12,'Paramètres'!$A$1:$I$89,7,0))</f>
        <v>0</v>
      </c>
      <c r="CI166" s="135">
        <f>IF(ISNA(VLOOKUP(A166,'Données projet'!$A$113:$I$133,6,0)),0%,VLOOKUP(A166,'Données projet'!$A$113:$I$133,6,0)*VLOOKUP('Données projet'!$B$12,'Paramètres'!$A$1:$I$89,7,0))</f>
        <v>0</v>
      </c>
      <c r="CJ166" s="135">
        <f>IF(ISNA(VLOOKUP(A166,'Données projet'!$A$113:$I$133,7,0)),0%,VLOOKUP(A166,'Données projet'!$A$113:$I$133,7,0))</f>
        <v>0</v>
      </c>
      <c r="CK166" s="142">
        <f>EXP(-LN(2)/35)*CK165+(1-EXP(-LN(2)/35))/(LN(2)/35)*CG166*CH166*VLOOKUP('Données projet'!$B$12,'Paramètres'!$A$1:$I$89,3,0)*0.475*44/12</f>
        <v>33.58111183</v>
      </c>
      <c r="CL166" s="142">
        <f>EXP(-LN(2)/25)*CL165+(1-EXP(-LN(2)/25))/(LN(2)/25)*Calculateur!CG166*Calculateur!CI166*VLOOKUP('Données projet'!$B$12,'Paramètres'!$A$1:$I$89,3,0)*0.475*44/12</f>
        <v>2.273624216</v>
      </c>
      <c r="CM166" s="142">
        <f>EXP(-LN(2)/2)*CM165+(1-EXP(-LN(2)/2))/(LN(2)/2)*CG166*CJ166*VLOOKUP('Données projet'!$B$12,'Paramètres'!$A$1:$I$89,3,0)*0.475*44/12</f>
        <v>0</v>
      </c>
      <c r="CN166" s="143">
        <f t="shared" si="13"/>
        <v>35.85473604</v>
      </c>
      <c r="CO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1" t="str">
        <f>VLOOKUP(A166,'Données projet'!$A$139:$I$159,2,0)</f>
        <v>#N/A</v>
      </c>
      <c r="CR166" s="131" t="str">
        <f>VLOOKUP(A166,'Données projet'!$A$139:$I$159,9,0)</f>
        <v>#N/A</v>
      </c>
      <c r="CS166" s="131" t="str">
        <f t="array" ref="CS166">INDEX(CR:CR,MIN(IF(ISNUMBER(CR166:CR362),ROW(CR166:CR362),"")))</f>
        <v/>
      </c>
      <c r="CT166" s="138">
        <f>IF('Données projet'!$A$140&gt;35,CT165+CS166-DB165,IF(A166&lt;'Données projet'!$A$140,$CQ$205^A166,IF(A166='Données projet'!$A$140,'Données projet'!$B$140,CT165+CS166-DB165)))</f>
        <v>0</v>
      </c>
      <c r="CU166" s="138">
        <f>CT166*VLOOKUP('Données projet'!$B$13,'Paramètres'!$A$1:$I$89,3,0)*VLOOKUP('Données projet'!$B$13,'Paramètres'!$A$1:$I$89,5,0)</f>
        <v>0</v>
      </c>
      <c r="CV166" s="130" t="str">
        <f t="shared" si="42"/>
        <v>#NUM!</v>
      </c>
      <c r="CW166" s="141" t="str">
        <f t="shared" si="14"/>
        <v>#NUM!</v>
      </c>
      <c r="CX166" s="133" t="str">
        <f t="shared" si="15"/>
        <v>#NUM!</v>
      </c>
      <c r="CY166" s="133">
        <f>AVERAGE(OFFSET($CX$3,0,0,'Données projet'!$E$13+1,1))-AVERAGE(OFFSET($H$3,0,0,'Données projet'!$E$13+1,1))</f>
        <v>223.783507</v>
      </c>
      <c r="CZ166" s="133">
        <f t="shared" si="43"/>
        <v>84.92349117</v>
      </c>
      <c r="DA166" s="134">
        <f>IF(ISNA(VLOOKUP(A166,'Données projet'!$A$139:$I$159,3,0)),0,VLOOKUP(A166,'Données projet'!$A$139:$I$159,3,0))</f>
        <v>0</v>
      </c>
      <c r="DB166" s="134">
        <f>IF(ISNA(VLOOKUP(A166,'Données projet'!$A$139:$I$159,4,0)),0,VLOOKUP(A166,'Données projet'!$A$139:$I$159,4,0))</f>
        <v>0</v>
      </c>
      <c r="DC166" s="135">
        <f>IF(ISNA(VLOOKUP(A166,'Données projet'!$A$139:$I$159,5,0)),0%,VLOOKUP(A166,'Données projet'!$A$139:$I$159,5,0)*VLOOKUP('Données projet'!$B$13,'Paramètres'!$A$1:$I$89,7,0))</f>
        <v>0</v>
      </c>
      <c r="DD166" s="135">
        <f>IF(ISNA(VLOOKUP(A166,'Données projet'!$A$139:$I$159,6,0)),0%,VLOOKUP(A166,'Données projet'!$A$139:$I$159,6,0)*VLOOKUP('Données projet'!$B$13,'Paramètres'!$A$1:$I$89,7,0))</f>
        <v>0</v>
      </c>
      <c r="DE166" s="135">
        <f>IF(ISNA(VLOOKUP(A166,'Données projet'!$A$139:$I$159,7,0)),0%,VLOOKUP(A166,'Données projet'!$A$139:$I$159,7,0))</f>
        <v>0</v>
      </c>
      <c r="DF166" s="142">
        <f>EXP(-LN(2)/35)*DF165+(1-EXP(-LN(2)/35))/(LN(2)/35)*DB166*DC166*VLOOKUP('Données projet'!$B$13,'Paramètres'!$A$1:$I$89,3,0)*0.475*44/12</f>
        <v>86.24947188</v>
      </c>
      <c r="DG166" s="142">
        <f>EXP(-LN(2)/25)*DG165+(1-EXP(-LN(2)/25))/(LN(2)/25)*Calculateur!DB166*Calculateur!DD166*VLOOKUP('Données projet'!$B$13,'Paramètres'!$A$1:$I$89,3,0)*0.475*44/12</f>
        <v>0</v>
      </c>
      <c r="DH166" s="142">
        <f>EXP(-LN(2)/2)*DH165+(1-EXP(-LN(2)/2))/(LN(2)/2)*DB166*DE166*VLOOKUP('Données projet'!$B$13,'Paramètres'!$A$1:$I$89,3,0)*0.475*44/12</f>
        <v>0</v>
      </c>
      <c r="DI166" s="143">
        <f t="shared" si="16"/>
        <v>86.24947188</v>
      </c>
      <c r="DJ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1" t="str">
        <f>VLOOKUP(A166,'Données projet'!$A$165:$I$185,2,0)</f>
        <v>#N/A</v>
      </c>
      <c r="DM166" s="131" t="str">
        <f>VLOOKUP(A166,'Données projet'!$A$165:$I$185,9,0)</f>
        <v>#N/A</v>
      </c>
      <c r="DN166" s="131" t="str">
        <f t="array" ref="DN166">INDEX(DM:DM,MIN(IF(ISNUMBER(DM166:DM362),ROW(DM166:DM362),"")))</f>
        <v/>
      </c>
      <c r="DO166" s="138">
        <f>IF('Données projet'!$A$166&gt;35,DO165+DN166-DW165,IF(A166&lt;'Données projet'!$A$166,$DL$205^A166,IF(A166='Données projet'!$A$166,'Données projet'!$B$166,DO165+DN166-DW165)))</f>
        <v>0</v>
      </c>
      <c r="DP166" s="138">
        <f>DO166*VLOOKUP('Données projet'!$B$14,'Paramètres'!$A$1:$I$89,3,0)*VLOOKUP('Données projet'!$B$14,'Paramètres'!$A$1:$I$89,5,0)</f>
        <v>0</v>
      </c>
      <c r="DQ166" s="130" t="str">
        <f t="shared" si="44"/>
        <v>#NUM!</v>
      </c>
      <c r="DR166" s="141" t="str">
        <f t="shared" si="17"/>
        <v>#NUM!</v>
      </c>
      <c r="DS166" s="133" t="str">
        <f t="shared" si="18"/>
        <v>#NUM!</v>
      </c>
      <c r="DT166" s="133">
        <f>AVERAGE(OFFSET($DS$3,0,0,'Données projet'!$E$14+1,1))-AVERAGE(OFFSET($H$3,0,0,'Données projet'!$E$14+1,1))</f>
        <v>287.9334714</v>
      </c>
      <c r="DU166" s="133">
        <f t="shared" si="45"/>
        <v>156.6796502</v>
      </c>
      <c r="DV166" s="134">
        <f>IF(ISNA(VLOOKUP(A166,'Données projet'!$A$165:$I$185,3,0)),0,VLOOKUP(A166,'Données projet'!$A$165:$I$185,3,0))</f>
        <v>0</v>
      </c>
      <c r="DW166" s="134">
        <f>IF(ISNA(VLOOKUP(A166,'Données projet'!$A$165:$I$185,4,0)),0,VLOOKUP(A166,'Données projet'!$A$165:$I$185,4,0))</f>
        <v>0</v>
      </c>
      <c r="DX166" s="135">
        <f>IF(ISNA(VLOOKUP(A166,'Données projet'!$A$165:$I$185,5,0)),0%,VLOOKUP(A166,'Données projet'!$A$165:$I$185,5,0)*VLOOKUP('Données projet'!$B$14,'Paramètres'!$A$1:$I$89,7,0))</f>
        <v>0</v>
      </c>
      <c r="DY166" s="135">
        <f>IF(ISNA(VLOOKUP(A166,'Données projet'!$A$165:$I$185,6,0)),0%,VLOOKUP(A166,'Données projet'!$A$165:$I$185,6,0)*VLOOKUP('Données projet'!$B$14,'Paramètres'!$A$1:$I$89,7,0))</f>
        <v>0</v>
      </c>
      <c r="DZ166" s="135">
        <f>IF(ISNA(VLOOKUP(A166,'Données projet'!$A$165:$I$185,7,0)),0%,VLOOKUP(A166,'Données projet'!$A$165:$I$185,7,0))</f>
        <v>0</v>
      </c>
      <c r="EA166" s="142">
        <f>EXP(-LN(2)/35)*EA165+(1-EXP(-LN(2)/35))/(LN(2)/35)*DW166*DX166*VLOOKUP('Données projet'!$B$14,'Paramètres'!$A$1:$I$89,3,0)*0.475*44/12</f>
        <v>100.1974807</v>
      </c>
      <c r="EB166" s="142">
        <f>EXP(-LN(2)/25)*EB165+(1-EXP(-LN(2)/25))/(LN(2)/25)*Calculateur!DW166*Calculateur!DY166*VLOOKUP('Données projet'!$B$14,'Paramètres'!$A$1:$I$89,3,0)*0.475*44/12</f>
        <v>0</v>
      </c>
      <c r="EC166" s="142">
        <f>EXP(-LN(2)/2)*EC165+(1-EXP(-LN(2)/2))/(LN(2)/2)*DW166*DZ166*VLOOKUP('Données projet'!$B$14,'Paramètres'!$A$1:$I$89,3,0)*0.475*44/12</f>
        <v>0</v>
      </c>
      <c r="ED166" s="143">
        <f t="shared" si="19"/>
        <v>100.1974807</v>
      </c>
      <c r="EE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1" t="str">
        <f>VLOOKUP(A166,'Données projet'!$A$191:$I$211,2,0)</f>
        <v>#N/A</v>
      </c>
      <c r="EH166" s="131" t="str">
        <f>VLOOKUP(A166,'Données projet'!$A$191:$I$211,9,0)</f>
        <v>#N/A</v>
      </c>
      <c r="EI166" s="131" t="str">
        <f t="array" ref="EI166">INDEX(EH:EH,MIN(IF(ISNUMBER(EH166:EH362),ROW(EH166:EH362),"")))</f>
        <v/>
      </c>
      <c r="EJ166" s="138">
        <f>IF('Données projet'!$A$192&gt;35,EJ165+EI166-ER165,IF(A166&lt;'Données projet'!$A$192,$EG$205^A166,IF(A166='Données projet'!$A$192,'Données projet'!$B$192,EJ165+EI166-ER165)))</f>
        <v>0</v>
      </c>
      <c r="EK166" s="138">
        <f>EJ166*VLOOKUP('Données projet'!$B$15,'Paramètres'!$A$1:$I$89,3,0)*VLOOKUP('Données projet'!$B$15,'Paramètres'!$A$1:$I$89,5,0)</f>
        <v>0</v>
      </c>
      <c r="EL166" s="130" t="str">
        <f t="shared" si="46"/>
        <v>#NUM!</v>
      </c>
      <c r="EM166" s="141" t="str">
        <f t="shared" si="20"/>
        <v>#NUM!</v>
      </c>
      <c r="EN166" s="133" t="str">
        <f t="shared" si="21"/>
        <v>#NUM!</v>
      </c>
      <c r="EO166" s="133">
        <f>AVERAGE(OFFSET($EN$3,0,0,'Données projet'!$E$15+1,1))-AVERAGE(OFFSET($H$3,0,0,'Données projet'!$E$15+1,1))</f>
        <v>130.3193339</v>
      </c>
      <c r="EP166" s="133">
        <f t="shared" si="47"/>
        <v>82.22784365</v>
      </c>
      <c r="EQ166" s="134">
        <f>IF(ISNA(VLOOKUP(A166,'Données projet'!$A$191:$I$211,3,0)),0,VLOOKUP(A166,'Données projet'!$A$191:$I$211,3,0))</f>
        <v>0</v>
      </c>
      <c r="ER166" s="134">
        <f>IF(ISNA(VLOOKUP(A166,'Données projet'!$A$191:$I$211,4,0)),0,VLOOKUP(A166,'Données projet'!$A$191:$I$211,4,0))</f>
        <v>0</v>
      </c>
      <c r="ES166" s="135">
        <f>IF(ISNA(VLOOKUP(A166,'Données projet'!$A$191:$I$211,5,0)),0%,VLOOKUP(A166,'Données projet'!$A$191:$I$211,5,0)*VLOOKUP('Données projet'!$B$15,'Paramètres'!$A$1:$I$89,7,0))</f>
        <v>0</v>
      </c>
      <c r="ET166" s="135">
        <f>IF(ISNA(VLOOKUP(A166,'Données projet'!$A$191:$I$211,6,0)),0%,VLOOKUP(A166,'Données projet'!$A$191:$I$211,6,0)*VLOOKUP('Données projet'!$B$15,'Paramètres'!$A$1:$I$89,7,0))</f>
        <v>0</v>
      </c>
      <c r="EU166" s="135">
        <f>IF(ISNA(VLOOKUP(A166,'Données projet'!$A$191:$I$211,7,0)),0%,VLOOKUP(A166,'Données projet'!$A$191:$I$211,7,0))</f>
        <v>0</v>
      </c>
      <c r="EV166" s="142">
        <f>EXP(-LN(2)/35)*EV165+(1-EXP(-LN(2)/35))/(LN(2)/35)*ER166*ES166*VLOOKUP('Données projet'!$B$15,'Paramètres'!$A$1:$I$89,3,0)*0.475*44/12</f>
        <v>20.53415518</v>
      </c>
      <c r="EW166" s="142">
        <f>EXP(-LN(2)/25)*EW165+(1-EXP(-LN(2)/25))/(LN(2)/25)*Calculateur!ER166*Calculateur!ET166*VLOOKUP('Données projet'!$B$15,'Paramètres'!$A$1:$I$89,3,0)*0.475*44/12</f>
        <v>0</v>
      </c>
      <c r="EX166" s="142">
        <f>EXP(-LN(2)/2)*EX165+(1-EXP(-LN(2)/2))/(LN(2)/2)*ER166*EU166*VLOOKUP('Données projet'!$B$15,'Paramètres'!$A$1:$I$89,3,0)*0.475*44/12</f>
        <v>0</v>
      </c>
      <c r="EY166" s="143">
        <f t="shared" si="22"/>
        <v>20.53415518</v>
      </c>
      <c r="EZ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1" t="str">
        <f>VLOOKUP(A166,'Données projet'!$A$217:$I$237,2,0)</f>
        <v>#N/A</v>
      </c>
      <c r="FC166" s="131" t="str">
        <f>VLOOKUP(A166,'Données projet'!$A$217:$I$237,9,0)</f>
        <v>#N/A</v>
      </c>
      <c r="FD166" s="131" t="str">
        <f t="array" ref="FD166">INDEX(FC:FC,MIN(IF(ISNUMBER(FC166:FC362),ROW(FC166:FC362),"")))</f>
        <v/>
      </c>
      <c r="FE166" s="130">
        <f>IF('Données projet'!$A$218&gt;35,FE165+FD166-FM165,IF(A166&lt;'Données projet'!$A$218,$FB$205^A166,IF(A166='Données projet'!$A$218,'Données projet'!$B$218,FE165+FD166-FM165)))</f>
        <v>0</v>
      </c>
      <c r="FF166" s="138">
        <f>FE166*VLOOKUP('Données projet'!$B$16,'Paramètres'!$A$1:$I$89,3,0)*VLOOKUP('Données projet'!$B$16,'Paramètres'!$A$1:$I$89,5,0)</f>
        <v>0</v>
      </c>
      <c r="FG166" s="130">
        <f t="shared" si="48"/>
        <v>0</v>
      </c>
      <c r="FH166" s="141">
        <f t="shared" si="23"/>
        <v>0</v>
      </c>
      <c r="FI166" s="133">
        <f t="shared" si="24"/>
        <v>293.3333333</v>
      </c>
      <c r="FJ166" s="133">
        <f>AVERAGE(OFFSET($FI$3,0,0,'Données projet'!$E$16+1,1))-AVERAGE(OFFSET($H$3,0,0,'Données projet'!$E$16+1,1))</f>
        <v>305.6252353</v>
      </c>
      <c r="FK166" s="133">
        <f t="shared" si="49"/>
        <v>331.397916</v>
      </c>
      <c r="FL166" s="134">
        <f>IF(ISNA(VLOOKUP(A166,'Données projet'!$A$217:$I$237,3,0)),0,VLOOKUP(A166,'Données projet'!$A$217:$I$237,3,0))</f>
        <v>0</v>
      </c>
      <c r="FM166" s="134">
        <f>IF(ISNA(VLOOKUP(A166,'Données projet'!$A$217:$I$237,4,0)),0,VLOOKUP(A166,'Données projet'!$A$217:$I$237,4,0))</f>
        <v>0</v>
      </c>
      <c r="FN166" s="135">
        <f>IF(ISNA(VLOOKUP(A166,'Données projet'!$A$217:$I$237,5,0)),0%,VLOOKUP(A166,'Données projet'!$A$217:$I$237,5,0)*VLOOKUP('Données projet'!$B$16,'Paramètres'!$A$1:$I$89,7,0))</f>
        <v>0</v>
      </c>
      <c r="FO166" s="135">
        <f>IF(ISNA(VLOOKUP(A166,'Données projet'!$A$217:$I$237,6,0)),0%,VLOOKUP(A166,'Données projet'!$A$217:$I$237,6,0)*VLOOKUP('Données projet'!$B$16,'Paramètres'!$A$1:$I$89,7,0))</f>
        <v>0</v>
      </c>
      <c r="FP166" s="135">
        <f>IF(ISNA(VLOOKUP(A166,'Données projet'!$A$217:$I$237,7,0)),0%,VLOOKUP(A166,'Données projet'!$A$217:$I$237,7,0))</f>
        <v>0</v>
      </c>
      <c r="FQ166" s="142">
        <f>EXP(-LN(2)/35)*FQ165+(1-EXP(-LN(2)/35))/(LN(2)/35)*FM166*FN166*VLOOKUP('Données projet'!$B$16,'Paramètres'!$A$1:$I$89,3,0)*0.475*44/12</f>
        <v>12.78517868</v>
      </c>
      <c r="FR166" s="142">
        <f>EXP(-LN(2)/25)*FR165+(1-EXP(-LN(2)/25))/(LN(2)/25)*Calculateur!FM166*Calculateur!FO166*VLOOKUP('Données projet'!$B$16,'Paramètres'!$A$1:$I$89,3,0)*0.475*44/12</f>
        <v>0</v>
      </c>
      <c r="FS166" s="142">
        <f>EXP(-LN(2)/2)*FS165+(1-EXP(-LN(2)/2))/(LN(2)/2)*FM166*FP166*VLOOKUP('Données projet'!$B$16,'Paramètres'!$A$1:$I$89,3,0)*0.475*44/12</f>
        <v>0</v>
      </c>
      <c r="FT166" s="143">
        <f t="shared" si="25"/>
        <v>12.78517868</v>
      </c>
      <c r="FU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1" t="str">
        <f>VLOOKUP(A166,'Données projet'!$A$243:$I$263,2,0)</f>
        <v>#N/A</v>
      </c>
      <c r="FX166" s="131" t="str">
        <f>VLOOKUP(A166,'Données projet'!$A$243:$I$263,9,0)</f>
        <v>#N/A</v>
      </c>
      <c r="FY166" s="131" t="str">
        <f t="array" ref="FY166">INDEX(FX:FX,MIN(IF(ISNUMBER(FX166:FX362),ROW(FX166:FX362),"")))</f>
        <v/>
      </c>
      <c r="FZ166" s="138">
        <f>IF('Données projet'!$A$244&gt;35,FZ165+FY166-GH165,IF(A166&lt;'Données projet'!$A$244,$FW$205^A166,IF(A166='Données projet'!$A$244,'Données projet'!$B$244,FZ165+FY166-GH165)))</f>
        <v>0</v>
      </c>
      <c r="GA166" s="138">
        <f>FZ166*VLOOKUP('Données projet'!$B$17,'Paramètres'!$A$1:$I$89,3,0)*VLOOKUP('Données projet'!$B$17,'Paramètres'!$A$1:$I$89,5,0)</f>
        <v>0</v>
      </c>
      <c r="GB166" s="130">
        <f t="shared" si="50"/>
        <v>0</v>
      </c>
      <c r="GC166" s="141">
        <f t="shared" si="26"/>
        <v>0</v>
      </c>
      <c r="GD166" s="133">
        <f t="shared" si="27"/>
        <v>293.3333333</v>
      </c>
      <c r="GE166" s="133">
        <f>AVERAGE(OFFSET($GD$3,0,0,'Données projet'!$E$17+1,1))-AVERAGE(OFFSET($H$3,0,0,'Données projet'!$E$17+1,1))</f>
        <v>118.7368745</v>
      </c>
      <c r="GF166" s="133">
        <f t="shared" si="51"/>
        <v>135.1233677</v>
      </c>
      <c r="GG166" s="134">
        <f>IF(ISNA(VLOOKUP(A166,'Données projet'!$A$243:$I$263,3,0)),0,VLOOKUP(A166,'Données projet'!$A$243:$I$263,3,0))</f>
        <v>0</v>
      </c>
      <c r="GH166" s="134">
        <f>IF(ISNA(VLOOKUP(A166,'Données projet'!$A$243:$I$263,4,0)),0,VLOOKUP(A166,'Données projet'!$A$243:$I$263,4,0))</f>
        <v>0</v>
      </c>
      <c r="GI166" s="135">
        <f>IF(ISNA(VLOOKUP(A166,'Données projet'!$A$243:$I$263,5,0)),0%,VLOOKUP(A166,'Données projet'!$A$243:$I$263,5,0)*VLOOKUP('Données projet'!$B$17,'Paramètres'!$A$1:$I$89,7,0))</f>
        <v>0</v>
      </c>
      <c r="GJ166" s="135">
        <f>IF(ISNA(VLOOKUP(A166,'Données projet'!$A$243:$I$263,6,0)),0%,VLOOKUP(A166,'Données projet'!$A$243:$I$263,6,0)*VLOOKUP('Données projet'!$B$17,'Paramètres'!$A$1:$I$89,7,0))</f>
        <v>0</v>
      </c>
      <c r="GK166" s="135">
        <f>IF(ISNA(VLOOKUP(A166,'Données projet'!$A$243:$I$263,7,0)),0%,VLOOKUP(A166,'Données projet'!$A$243:$I$263,7,0))</f>
        <v>0</v>
      </c>
      <c r="GL166" s="142">
        <f>EXP(-LN(2)/35)*GL165+(1-EXP(-LN(2)/35))/(LN(2)/35)*GH166*GI166*VLOOKUP('Données projet'!$B$17,'Paramètres'!$A$1:$I$89,3,0)*0.475*44/12</f>
        <v>13.50750174</v>
      </c>
      <c r="GM166" s="142">
        <f>EXP(-LN(2)/25)*GM165+(1-EXP(-LN(2)/25))/(LN(2)/25)*Calculateur!GH166*Calculateur!GJ166*VLOOKUP('Données projet'!$B$17,'Paramètres'!$A$1:$I$89,3,0)*0.475*44/12</f>
        <v>0</v>
      </c>
      <c r="GN166" s="142">
        <f>EXP(-LN(2)/2)*GN165+(1-EXP(-LN(2)/2))/(LN(2)/2)*GH166*GK166*VLOOKUP('Données projet'!$B$17,'Paramètres'!$A$1:$I$89,3,0)*0.475*44/12</f>
        <v>0</v>
      </c>
      <c r="GO166" s="142">
        <f t="shared" si="28"/>
        <v>13.50750174</v>
      </c>
      <c r="GP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1" t="str">
        <f>VLOOKUP(A166,'Données projet'!$A$269:$I$289,2,0)</f>
        <v>#N/A</v>
      </c>
      <c r="GS166" s="131" t="str">
        <f>VLOOKUP(A166,'Données projet'!$A$269:$I$289,9,0)</f>
        <v>#N/A</v>
      </c>
      <c r="GT166" s="131" t="str">
        <f t="array" ref="GT166">INDEX(GS:GS,MIN(IF(ISNUMBER(GS166:GS362),ROW(GS166:GS362),"")))</f>
        <v/>
      </c>
      <c r="GU166" s="138">
        <f>IF('Données projet'!$A$270&gt;35,GU165+GT166-HC165,IF(A166&lt;'Données projet'!$A$270,$GR$205^A166,IF(A166='Données projet'!$A$270,'Données projet'!$B$270,GU165+GT166-HC165)))</f>
        <v>0</v>
      </c>
      <c r="GV166" s="138">
        <f>GU166*VLOOKUP('Données projet'!$B$18,'Paramètres'!$A$1:$I$89,3,0)*VLOOKUP('Données projet'!$B$18,'Paramètres'!$A$1:$I$89,5,0)</f>
        <v>0</v>
      </c>
      <c r="GW166" s="130" t="str">
        <f t="shared" si="52"/>
        <v>#NUM!</v>
      </c>
      <c r="GX166" s="141" t="str">
        <f t="shared" si="29"/>
        <v>#NUM!</v>
      </c>
      <c r="GY166" s="133" t="str">
        <f t="shared" si="30"/>
        <v>#NUM!</v>
      </c>
      <c r="GZ166" s="133">
        <f>AVERAGE(OFFSET($GY$3,0,0,'Données projet'!$E$18+1,1))-AVERAGE(OFFSET($H$3,0,0,'Données projet'!$E$18+1,1))</f>
        <v>100.5427875</v>
      </c>
      <c r="HA166" s="133">
        <f t="shared" si="53"/>
        <v>92.28663609</v>
      </c>
      <c r="HB166" s="134">
        <f>IF(ISNA(VLOOKUP(A166,'Données projet'!$A$269:$I$289,3,0)),0,VLOOKUP(A166,'Données projet'!$A$269:$I$289,3,0))</f>
        <v>0</v>
      </c>
      <c r="HC166" s="134">
        <f>IF(ISNA(VLOOKUP(A166,'Données projet'!$A$269:$I$289,4,0)),0,VLOOKUP(A166,'Données projet'!$A$269:$I$289,4,0))</f>
        <v>0</v>
      </c>
      <c r="HD166" s="135">
        <f>IF(ISNA(VLOOKUP(A166,'Données projet'!$A$269:$I$289,5,0)),0%,VLOOKUP(A166,'Données projet'!$A$269:$I$289,5,0)*VLOOKUP('Données projet'!$B$18,'Paramètres'!$A$1:$I$89,7,0))</f>
        <v>0</v>
      </c>
      <c r="HE166" s="135">
        <f>IF(ISNA(VLOOKUP(A166,'Données projet'!$A$269:$I$289,6,0)),0%,VLOOKUP(A166,'Données projet'!$A$269:$I$289,6,0)*VLOOKUP('Données projet'!$B$18,'Paramètres'!$A$1:$I$89,7,0))</f>
        <v>0</v>
      </c>
      <c r="HF166" s="135">
        <f>IF(ISNA(VLOOKUP(A166,'Données projet'!$A$269:$I$289,7,0)),0%,VLOOKUP(A166,'Données projet'!$A$269:$I$289,7,0))</f>
        <v>0</v>
      </c>
      <c r="HG166" s="142">
        <f>EXP(-LN(2)/35)*HG165+(1-EXP(-LN(2)/35))/(LN(2)/35)*HC166*HD166*VLOOKUP('Données projet'!$B$18,'Paramètres'!$A$1:$I$89,3,0)*0.475*44/12</f>
        <v>9.19832373</v>
      </c>
      <c r="HH166" s="142">
        <f>EXP(-LN(2)/25)*HH165+(1-EXP(-LN(2)/25))/(LN(2)/25)*Calculateur!HC166*Calculateur!HE166*VLOOKUP('Données projet'!$B$18,'Paramètres'!$A$1:$I$89,3,0)*0.475*44/12</f>
        <v>0</v>
      </c>
      <c r="HI166" s="142">
        <f>EXP(-LN(2)/2)*HI165+(1-EXP(-LN(2)/2))/(LN(2)/2)*HC166*HF166*VLOOKUP('Données projet'!$B$18,'Paramètres'!$A$1:$I$89,3,0)*0.475*44/12</f>
        <v>0</v>
      </c>
      <c r="HJ166" s="143">
        <f t="shared" si="31"/>
        <v>9.19832373</v>
      </c>
    </row>
    <row r="167" ht="15.75" customHeight="1">
      <c r="A167" s="125">
        <f t="shared" si="32"/>
        <v>164</v>
      </c>
      <c r="B167" s="126">
        <f>'Scénario référence'!$B$16*5+'Scénario référence'!$B$17*0+'Scénario référence'!$B$18*5</f>
        <v>0</v>
      </c>
      <c r="C167" s="140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89.544</v>
      </c>
      <c r="D167" s="127">
        <f t="shared" si="33"/>
        <v>24.45521628</v>
      </c>
      <c r="E16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7">
        <f>IF(OR('Scénario référence'!$F$8&gt;0,'Scénario référence'!$F$9&gt;0),('Scénario référence'!$F$8+'Scénario référence'!$F$9)*10,0)</f>
        <v>10</v>
      </c>
      <c r="G167" s="127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879.9939503</v>
      </c>
      <c r="H167" s="128">
        <f t="shared" si="1"/>
        <v>491.8819684</v>
      </c>
      <c r="I167" s="12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1" t="str">
        <f>VLOOKUP(A167,'Données projet'!$A$35:$I$55,2,0)</f>
        <v>#N/A</v>
      </c>
      <c r="L167" s="131" t="str">
        <f>VLOOKUP(A167,'Données projet'!$A$35:$I$55,9,0)</f>
        <v>#N/A</v>
      </c>
      <c r="M167" s="131" t="str">
        <f t="array" ref="M167">INDEX(L:L,MIN(IF(ISNUMBER(L167:L363),ROW(L167:L363),"")))</f>
        <v/>
      </c>
      <c r="N167" s="130">
        <f>IF('Données projet'!$A$36&gt;35,N166+M167-V166,IF(A167&lt;'Données projet'!$A$36,$K$205^A167,IF(A167='Données projet'!$A$36,'Données projet'!$B$36,N166+M167-V166)))</f>
        <v>0</v>
      </c>
      <c r="O167" s="130">
        <f>N167*VLOOKUP('Données projet'!$B$9,'Paramètres'!$A$1:$I$89,3,0)*VLOOKUP('Données projet'!$B$9,'Paramètres'!$A$1:$I$89,5,0)</f>
        <v>0</v>
      </c>
      <c r="P167" s="130">
        <f t="shared" si="34"/>
        <v>0</v>
      </c>
      <c r="Q167" s="141">
        <f t="shared" si="2"/>
        <v>0</v>
      </c>
      <c r="R167" s="133">
        <f t="shared" si="3"/>
        <v>293.3333333</v>
      </c>
      <c r="S167" s="133">
        <f>AVERAGE(OFFSET($R$3,0,0,'Données projet'!$E$9+1,1))-AVERAGE(OFFSET($H$3,0,0,'Données projet'!$E$9+1,1))</f>
        <v>126.9946492</v>
      </c>
      <c r="T167" s="133">
        <f t="shared" si="35"/>
        <v>140.039049</v>
      </c>
      <c r="U167" s="134">
        <f>IF(ISNA(VLOOKUP(A167,'Données projet'!$A$35:$I$55,3,0)),0,VLOOKUP(A167,'Données projet'!$A$35:$I$55,3,0))</f>
        <v>0</v>
      </c>
      <c r="V167" s="134">
        <f>IF(ISNA(VLOOKUP(A167,'Données projet'!$A$35:$I$55,4,0)),0,VLOOKUP(A167,'Données projet'!$A$35:$I$55,4,0))</f>
        <v>0</v>
      </c>
      <c r="W167" s="135">
        <f>IF(ISNA(VLOOKUP(A167,'Données projet'!$A$35:$I$55,5,0)),0%,VLOOKUP(A167,'Données projet'!$A$35:$I$55,5,0)*VLOOKUP('Données projet'!$B$9,'Paramètres'!$A$1:$I$89,7,0))</f>
        <v>0</v>
      </c>
      <c r="X167" s="135">
        <f>IF(ISNA(VLOOKUP(A167,'Données projet'!$A$35:$I$55,6,0)),0%,VLOOKUP(A167,'Données projet'!$A$35:$I$55,6,0)*VLOOKUP('Données projet'!$B$9,'Paramètres'!$A$1:$I$89,7,0))</f>
        <v>0</v>
      </c>
      <c r="Y167" s="135">
        <f>IF(ISNA(VLOOKUP(A167,'Données projet'!$A$35:$I$55,7,0)),0%,VLOOKUP(A167,'Données projet'!$A$35:$I$55,7,0))</f>
        <v>0</v>
      </c>
      <c r="Z167" s="142">
        <f>EXP(-LN(2)/35)*Z166+(1-EXP(-LN(2)/35))/(LN(2)/35)*V167*W167*VLOOKUP('Données projet'!$B$9,'Paramètres'!$A$1:$I$89,3,0)*0.475*44/12</f>
        <v>13.54426046</v>
      </c>
      <c r="AA167" s="142">
        <f>EXP(-LN(2)/25)*AA166+(1-EXP(-LN(2)/25))/(LN(2)/25)*Calculateur!V167*Calculateur!X167*VLOOKUP('Données projet'!$B$9,'Paramètres'!$A$1:$I$89,3,0)*0.475*44/12</f>
        <v>1.299948252</v>
      </c>
      <c r="AB167" s="142">
        <f>EXP(-LN(2)/2)*AB166+(1-EXP(-LN(2)/2))/(LN(2)/2)*V167*Y167*VLOOKUP('Données projet'!$B$9,'Paramètres'!$A$1:$I$89,3,0)*0.475*44/12</f>
        <v>0</v>
      </c>
      <c r="AC167" s="143">
        <f t="shared" si="4"/>
        <v>14.84420871</v>
      </c>
      <c r="AD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1" t="str">
        <f>VLOOKUP(A167,'Données projet'!$A$61:$I$81,2,0)</f>
        <v>#N/A</v>
      </c>
      <c r="AG167" s="131" t="str">
        <f>VLOOKUP(A167,'Données projet'!$A$61:$I$81,9,0)</f>
        <v>#N/A</v>
      </c>
      <c r="AH167" s="131" t="str">
        <f t="array" ref="AH167">INDEX(AG:AG,MIN(IF(ISNUMBER(AG167:AG363),ROW(AG167:AG363),"")))</f>
        <v/>
      </c>
      <c r="AI167" s="130">
        <f>IF('Données projet'!$A$62&gt;35,AI166+AH167-AQ166,IF(A167&lt;'Données projet'!$A$62,$AF$205^A167,IF(A167='Données projet'!$A$62,'Données projet'!$B$62,AI166+AH167-AQ166)))</f>
        <v>0</v>
      </c>
      <c r="AJ167" s="130">
        <f>AI167*VLOOKUP('Données projet'!$B$10,'Paramètres'!$A$1:$I$89,3,0)*VLOOKUP('Données projet'!$B$10,'Paramètres'!$A$1:$I$89,5,0)</f>
        <v>0</v>
      </c>
      <c r="AK167" s="130" t="str">
        <f t="shared" si="36"/>
        <v>#NUM!</v>
      </c>
      <c r="AL167" s="141" t="str">
        <f t="shared" si="5"/>
        <v>#NUM!</v>
      </c>
      <c r="AM167" s="133" t="str">
        <f t="shared" si="6"/>
        <v>#NUM!</v>
      </c>
      <c r="AN167" s="133">
        <f>AVERAGE(OFFSET($AM$3,0,0,'Données projet'!$E$10+1,1))-AVERAGE(OFFSET($H$3,0,0,'Données projet'!$E$10+1,1))</f>
        <v>196.874484</v>
      </c>
      <c r="AO167" s="133">
        <f t="shared" si="37"/>
        <v>217.5750859</v>
      </c>
      <c r="AP167" s="134">
        <f>IF(ISNA(VLOOKUP(A167,'Données projet'!$A$61:$I$81,3,0)),0,VLOOKUP(A167,'Données projet'!$A$61:$I$81,3,0))</f>
        <v>0</v>
      </c>
      <c r="AQ167" s="134">
        <f>IF(ISNA(VLOOKUP(A167,'Données projet'!$A$61:$I$81,4,0)),0,VLOOKUP(A167,'Données projet'!$A$61:$I$81,4,0))</f>
        <v>0</v>
      </c>
      <c r="AR167" s="135">
        <f>IF(ISNA(VLOOKUP(A167,'Données projet'!$A$61:$I$81,5,0)),0%,VLOOKUP(A167,'Données projet'!$A$61:$I$81,5,0)*VLOOKUP('Données projet'!$B$10,'Paramètres'!$A$1:$I$89,7,0))</f>
        <v>0</v>
      </c>
      <c r="AS167" s="135">
        <f>IF(ISNA(VLOOKUP(A167,'Données projet'!$A$61:$I$81,6,0)),0%,VLOOKUP(A167,'Données projet'!$A$61:$I$81,6,0)*VLOOKUP('Données projet'!$B$10,'Paramètres'!$A$1:$I$89,7,0))</f>
        <v>0</v>
      </c>
      <c r="AT167" s="135">
        <f>IF(ISNA(VLOOKUP(A167,'Données projet'!$A$61:$I$81,7,0)),0%,VLOOKUP(A167,'Données projet'!$A$61:$I$81,7,0))</f>
        <v>0</v>
      </c>
      <c r="AU167" s="142">
        <f>EXP(-LN(2)/35)*AU166+(1-EXP(-LN(2)/35))/(LN(2)/35)*AQ167*AR167*VLOOKUP('Données projet'!$B$10,'Paramètres'!$A$1:$I$89,3,0)*0.475*44/12</f>
        <v>18.82613733</v>
      </c>
      <c r="AV167" s="142">
        <f>EXP(-LN(2)/25)*AV166+(1-EXP(-LN(2)/25))/(LN(2)/25)*Calculateur!AQ167*Calculateur!AS167*VLOOKUP('Données projet'!$B$10,'Paramètres'!$A$1:$I$89,3,0)*0.475*44/12</f>
        <v>1.998672174</v>
      </c>
      <c r="AW167" s="142">
        <f>EXP(-LN(2)/2)*AW166+(1-EXP(-LN(2)/2))/(LN(2)/2)*AQ167*AT167*VLOOKUP('Données projet'!$B$10,'Paramètres'!$A$1:$I$89,3,0)*0.475*44/12</f>
        <v>0</v>
      </c>
      <c r="AX167" s="142">
        <f t="shared" si="7"/>
        <v>20.8248095</v>
      </c>
      <c r="AY167" s="13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1" t="str">
        <f>VLOOKUP(A167,'Données projet'!$A$87:$I$107,2,0)</f>
        <v>#N/A</v>
      </c>
      <c r="BB167" s="131" t="str">
        <f>VLOOKUP(A167,'Données projet'!$A$87:$I$107,9,0)</f>
        <v>#N/A</v>
      </c>
      <c r="BC167" s="131" t="str">
        <f t="array" ref="BC167">INDEX(BB:BB,MIN(IF(ISNUMBER(BB167:BB363),ROW(BB167:BB363),"")))</f>
        <v/>
      </c>
      <c r="BD167" s="130">
        <f>IF('Données projet'!$A$88&gt;35,BD166+BC167-BL166,IF(A167&lt;'Données projet'!$A$88,$BA$205^A167,IF(A167='Données projet'!$A$88,'Données projet'!$B$88,BD166+BC167-BL166)))</f>
        <v>0</v>
      </c>
      <c r="BE167" s="130">
        <f>BD167*VLOOKUP('Données projet'!$B$11,'Paramètres'!$A$1:$I$89,3,0)*VLOOKUP('Données projet'!$B$11,'Paramètres'!$A$1:$I$89,5,0)</f>
        <v>0</v>
      </c>
      <c r="BF167" s="130" t="str">
        <f t="shared" si="38"/>
        <v>#NUM!</v>
      </c>
      <c r="BG167" s="141" t="str">
        <f t="shared" si="8"/>
        <v>#NUM!</v>
      </c>
      <c r="BH167" s="133" t="str">
        <f t="shared" si="9"/>
        <v>#NUM!</v>
      </c>
      <c r="BI167" s="133">
        <f>AVERAGE(OFFSET($BH$3,0,0,'Données projet'!$E$11+1,1))-AVERAGE(OFFSET($H$3,0,0,'Données projet'!$E$11+1,1))</f>
        <v>134.0948534</v>
      </c>
      <c r="BJ167" s="133">
        <f t="shared" si="39"/>
        <v>108.4102536</v>
      </c>
      <c r="BK167" s="134">
        <f>IF(ISNA(VLOOKUP(A167,'Données projet'!$A$87:$I$107,3,0)),0,VLOOKUP(A167,'Données projet'!$A$87:$I$107,3,0))</f>
        <v>0</v>
      </c>
      <c r="BL167" s="134">
        <f>IF(ISNA(VLOOKUP(A167,'Données projet'!$A$87:$I$107,4,0)),0,VLOOKUP(A167,'Données projet'!$A$87:$I$107,4,0))</f>
        <v>0</v>
      </c>
      <c r="BM167" s="135">
        <f>IF(ISNA(VLOOKUP(A167,'Données projet'!$A$87:$I$107,5,0)),0%,VLOOKUP(A167,'Données projet'!$A$87:$I$107,5,0)*VLOOKUP('Données projet'!$B$11,'Paramètres'!$A$1:$I$89,7,0))</f>
        <v>0</v>
      </c>
      <c r="BN167" s="135">
        <f>IF(ISNA(VLOOKUP(A167,'Données projet'!$A$87:$I$107,6,0)),0%,VLOOKUP(A167,'Données projet'!$A$87:$I$107,6,0)*VLOOKUP('Données projet'!$B$11,'Paramètres'!$A$1:$I$89,7,0))</f>
        <v>0</v>
      </c>
      <c r="BO167" s="135">
        <f>IF(ISNA(VLOOKUP(A167,'Données projet'!$A$87:$I$107,7,0)),0%,VLOOKUP(A167,'Données projet'!$A$87:$I$107,7,0))</f>
        <v>0</v>
      </c>
      <c r="BP167" s="142">
        <f>EXP(-LN(2)/35)*BP166+(1-EXP(-LN(2)/35))/(LN(2)/35)*BL167*BM167*VLOOKUP('Données projet'!$B$11,'Paramètres'!$A$1:$I$89,3,0)*0.475*44/12</f>
        <v>26.04006386</v>
      </c>
      <c r="BQ167" s="142">
        <f>EXP(-LN(2)/25)*BQ166+(1-EXP(-LN(2)/25))/(LN(2)/25)*Calculateur!BL167*Calculateur!BN167*VLOOKUP('Données projet'!$B$11,'Paramètres'!$A$1:$I$89,3,0)*0.475*44/12</f>
        <v>1.260764123</v>
      </c>
      <c r="BR167" s="142">
        <f>EXP(-LN(2)/2)*BR166+(1-EXP(-LN(2)/2))/(LN(2)/2)*BL167*BO167*VLOOKUP('Données projet'!$B$11,'Paramètres'!$A$1:$I$89,3,0)*0.475*44/12</f>
        <v>0</v>
      </c>
      <c r="BS167" s="143">
        <f t="shared" si="10"/>
        <v>27.30082799</v>
      </c>
      <c r="BT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1" t="str">
        <f>VLOOKUP(A167,'Données projet'!$A$113:$I$133,2,0)</f>
        <v>#N/A</v>
      </c>
      <c r="BW167" s="131" t="str">
        <f>VLOOKUP(A167,'Données projet'!$A$113:$I$133,9,0)</f>
        <v>#N/A</v>
      </c>
      <c r="BX167" s="131" t="str">
        <f t="array" ref="BX167">INDEX(BW:BW,MIN(IF(ISNUMBER(BW167:BW363),ROW(BW167:BW363),"")))</f>
        <v/>
      </c>
      <c r="BY167" s="130">
        <f>IF('Données projet'!$A$114&gt;35,BY166+BX167-CG166,IF(A167&lt;'Données projet'!$A$114,$BV$205^A167,IF(A167='Données projet'!$A$114,'Données projet'!$B$114,BY166+BX167-CG166)))</f>
        <v>0</v>
      </c>
      <c r="BZ167" s="130">
        <f>BY167*VLOOKUP('Données projet'!$B$12,'Paramètres'!$A$1:$I$89,3,0)*VLOOKUP('Données projet'!$B$12,'Paramètres'!$A$1:$I$89,5,0)</f>
        <v>0</v>
      </c>
      <c r="CA167" s="130" t="str">
        <f t="shared" si="40"/>
        <v>#NUM!</v>
      </c>
      <c r="CB167" s="141" t="str">
        <f t="shared" si="11"/>
        <v>#NUM!</v>
      </c>
      <c r="CC167" s="133" t="str">
        <f t="shared" si="12"/>
        <v>#NUM!</v>
      </c>
      <c r="CD167" s="133">
        <f>AVERAGE(OFFSET($CC$3,0,0,'Données projet'!$E$12+1,1))-AVERAGE(OFFSET($H$3,0,0,'Données projet'!$E$12+1,1))</f>
        <v>258.1672054</v>
      </c>
      <c r="CE167" s="133">
        <f t="shared" si="41"/>
        <v>296.0724261</v>
      </c>
      <c r="CF167" s="134">
        <f>IF(ISNA(VLOOKUP(A167,'Données projet'!$A$113:$I$133,3,0)),0,VLOOKUP(A167,'Données projet'!$A$113:$I$133,3,0))</f>
        <v>0</v>
      </c>
      <c r="CG167" s="134">
        <f>IF(ISNA(VLOOKUP(A167,'Données projet'!$A$113:$I$133,4,0)),0,VLOOKUP(A167,'Données projet'!$A$113:$I$133,4,0))</f>
        <v>0</v>
      </c>
      <c r="CH167" s="135">
        <f>IF(ISNA(VLOOKUP(A167,'Données projet'!$A$113:$I$133,5,0)),0%,VLOOKUP(A167,'Données projet'!$A$113:$I$133,5,0)*VLOOKUP('Données projet'!$B$12,'Paramètres'!$A$1:$I$89,7,0))</f>
        <v>0</v>
      </c>
      <c r="CI167" s="135">
        <f>IF(ISNA(VLOOKUP(A167,'Données projet'!$A$113:$I$133,6,0)),0%,VLOOKUP(A167,'Données projet'!$A$113:$I$133,6,0)*VLOOKUP('Données projet'!$B$12,'Paramètres'!$A$1:$I$89,7,0))</f>
        <v>0</v>
      </c>
      <c r="CJ167" s="135">
        <f>IF(ISNA(VLOOKUP(A167,'Données projet'!$A$113:$I$133,7,0)),0%,VLOOKUP(A167,'Données projet'!$A$113:$I$133,7,0))</f>
        <v>0</v>
      </c>
      <c r="CK167" s="142">
        <f>EXP(-LN(2)/35)*CK166+(1-EXP(-LN(2)/35))/(LN(2)/35)*CG167*CH167*VLOOKUP('Données projet'!$B$12,'Paramètres'!$A$1:$I$89,3,0)*0.475*44/12</f>
        <v>32.92260671</v>
      </c>
      <c r="CL167" s="142">
        <f>EXP(-LN(2)/25)*CL166+(1-EXP(-LN(2)/25))/(LN(2)/25)*Calculateur!CG167*Calculateur!CI167*VLOOKUP('Données projet'!$B$12,'Paramètres'!$A$1:$I$89,3,0)*0.475*44/12</f>
        <v>2.211451843</v>
      </c>
      <c r="CM167" s="142">
        <f>EXP(-LN(2)/2)*CM166+(1-EXP(-LN(2)/2))/(LN(2)/2)*CG167*CJ167*VLOOKUP('Données projet'!$B$12,'Paramètres'!$A$1:$I$89,3,0)*0.475*44/12</f>
        <v>0</v>
      </c>
      <c r="CN167" s="143">
        <f t="shared" si="13"/>
        <v>35.13405855</v>
      </c>
      <c r="CO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1" t="str">
        <f>VLOOKUP(A167,'Données projet'!$A$139:$I$159,2,0)</f>
        <v>#N/A</v>
      </c>
      <c r="CR167" s="131" t="str">
        <f>VLOOKUP(A167,'Données projet'!$A$139:$I$159,9,0)</f>
        <v>#N/A</v>
      </c>
      <c r="CS167" s="131" t="str">
        <f t="array" ref="CS167">INDEX(CR:CR,MIN(IF(ISNUMBER(CR167:CR363),ROW(CR167:CR363),"")))</f>
        <v/>
      </c>
      <c r="CT167" s="138">
        <f>IF('Données projet'!$A$140&gt;35,CT166+CS167-DB166,IF(A167&lt;'Données projet'!$A$140,$CQ$205^A167,IF(A167='Données projet'!$A$140,'Données projet'!$B$140,CT166+CS167-DB166)))</f>
        <v>0</v>
      </c>
      <c r="CU167" s="138">
        <f>CT167*VLOOKUP('Données projet'!$B$13,'Paramètres'!$A$1:$I$89,3,0)*VLOOKUP('Données projet'!$B$13,'Paramètres'!$A$1:$I$89,5,0)</f>
        <v>0</v>
      </c>
      <c r="CV167" s="130" t="str">
        <f t="shared" si="42"/>
        <v>#NUM!</v>
      </c>
      <c r="CW167" s="141" t="str">
        <f t="shared" si="14"/>
        <v>#NUM!</v>
      </c>
      <c r="CX167" s="133" t="str">
        <f t="shared" si="15"/>
        <v>#NUM!</v>
      </c>
      <c r="CY167" s="133">
        <f>AVERAGE(OFFSET($CX$3,0,0,'Données projet'!$E$13+1,1))-AVERAGE(OFFSET($H$3,0,0,'Données projet'!$E$13+1,1))</f>
        <v>223.783507</v>
      </c>
      <c r="CZ167" s="133">
        <f t="shared" si="43"/>
        <v>84.92349117</v>
      </c>
      <c r="DA167" s="134">
        <f>IF(ISNA(VLOOKUP(A167,'Données projet'!$A$139:$I$159,3,0)),0,VLOOKUP(A167,'Données projet'!$A$139:$I$159,3,0))</f>
        <v>0</v>
      </c>
      <c r="DB167" s="134">
        <f>IF(ISNA(VLOOKUP(A167,'Données projet'!$A$139:$I$159,4,0)),0,VLOOKUP(A167,'Données projet'!$A$139:$I$159,4,0))</f>
        <v>0</v>
      </c>
      <c r="DC167" s="135">
        <f>IF(ISNA(VLOOKUP(A167,'Données projet'!$A$139:$I$159,5,0)),0%,VLOOKUP(A167,'Données projet'!$A$139:$I$159,5,0)*VLOOKUP('Données projet'!$B$13,'Paramètres'!$A$1:$I$89,7,0))</f>
        <v>0</v>
      </c>
      <c r="DD167" s="135">
        <f>IF(ISNA(VLOOKUP(A167,'Données projet'!$A$139:$I$159,6,0)),0%,VLOOKUP(A167,'Données projet'!$A$139:$I$159,6,0)*VLOOKUP('Données projet'!$B$13,'Paramètres'!$A$1:$I$89,7,0))</f>
        <v>0</v>
      </c>
      <c r="DE167" s="135">
        <f>IF(ISNA(VLOOKUP(A167,'Données projet'!$A$139:$I$159,7,0)),0%,VLOOKUP(A167,'Données projet'!$A$139:$I$159,7,0))</f>
        <v>0</v>
      </c>
      <c r="DF167" s="142">
        <f>EXP(-LN(2)/35)*DF166+(1-EXP(-LN(2)/35))/(LN(2)/35)*DB167*DC167*VLOOKUP('Données projet'!$B$13,'Paramètres'!$A$1:$I$89,3,0)*0.475*44/12</f>
        <v>84.55817235</v>
      </c>
      <c r="DG167" s="142">
        <f>EXP(-LN(2)/25)*DG166+(1-EXP(-LN(2)/25))/(LN(2)/25)*Calculateur!DB167*Calculateur!DD167*VLOOKUP('Données projet'!$B$13,'Paramètres'!$A$1:$I$89,3,0)*0.475*44/12</f>
        <v>0</v>
      </c>
      <c r="DH167" s="142">
        <f>EXP(-LN(2)/2)*DH166+(1-EXP(-LN(2)/2))/(LN(2)/2)*DB167*DE167*VLOOKUP('Données projet'!$B$13,'Paramètres'!$A$1:$I$89,3,0)*0.475*44/12</f>
        <v>0</v>
      </c>
      <c r="DI167" s="143">
        <f t="shared" si="16"/>
        <v>84.55817235</v>
      </c>
      <c r="DJ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1" t="str">
        <f>VLOOKUP(A167,'Données projet'!$A$165:$I$185,2,0)</f>
        <v>#N/A</v>
      </c>
      <c r="DM167" s="131" t="str">
        <f>VLOOKUP(A167,'Données projet'!$A$165:$I$185,9,0)</f>
        <v>#N/A</v>
      </c>
      <c r="DN167" s="131" t="str">
        <f t="array" ref="DN167">INDEX(DM:DM,MIN(IF(ISNUMBER(DM167:DM363),ROW(DM167:DM363),"")))</f>
        <v/>
      </c>
      <c r="DO167" s="138">
        <f>IF('Données projet'!$A$166&gt;35,DO166+DN167-DW166,IF(A167&lt;'Données projet'!$A$166,$DL$205^A167,IF(A167='Données projet'!$A$166,'Données projet'!$B$166,DO166+DN167-DW166)))</f>
        <v>0</v>
      </c>
      <c r="DP167" s="138">
        <f>DO167*VLOOKUP('Données projet'!$B$14,'Paramètres'!$A$1:$I$89,3,0)*VLOOKUP('Données projet'!$B$14,'Paramètres'!$A$1:$I$89,5,0)</f>
        <v>0</v>
      </c>
      <c r="DQ167" s="130" t="str">
        <f t="shared" si="44"/>
        <v>#NUM!</v>
      </c>
      <c r="DR167" s="141" t="str">
        <f t="shared" si="17"/>
        <v>#NUM!</v>
      </c>
      <c r="DS167" s="133" t="str">
        <f t="shared" si="18"/>
        <v>#NUM!</v>
      </c>
      <c r="DT167" s="133">
        <f>AVERAGE(OFFSET($DS$3,0,0,'Données projet'!$E$14+1,1))-AVERAGE(OFFSET($H$3,0,0,'Données projet'!$E$14+1,1))</f>
        <v>287.9334714</v>
      </c>
      <c r="DU167" s="133">
        <f t="shared" si="45"/>
        <v>156.6796502</v>
      </c>
      <c r="DV167" s="134">
        <f>IF(ISNA(VLOOKUP(A167,'Données projet'!$A$165:$I$185,3,0)),0,VLOOKUP(A167,'Données projet'!$A$165:$I$185,3,0))</f>
        <v>0</v>
      </c>
      <c r="DW167" s="134">
        <f>IF(ISNA(VLOOKUP(A167,'Données projet'!$A$165:$I$185,4,0)),0,VLOOKUP(A167,'Données projet'!$A$165:$I$185,4,0))</f>
        <v>0</v>
      </c>
      <c r="DX167" s="135">
        <f>IF(ISNA(VLOOKUP(A167,'Données projet'!$A$165:$I$185,5,0)),0%,VLOOKUP(A167,'Données projet'!$A$165:$I$185,5,0)*VLOOKUP('Données projet'!$B$14,'Paramètres'!$A$1:$I$89,7,0))</f>
        <v>0</v>
      </c>
      <c r="DY167" s="135">
        <f>IF(ISNA(VLOOKUP(A167,'Données projet'!$A$165:$I$185,6,0)),0%,VLOOKUP(A167,'Données projet'!$A$165:$I$185,6,0)*VLOOKUP('Données projet'!$B$14,'Paramètres'!$A$1:$I$89,7,0))</f>
        <v>0</v>
      </c>
      <c r="DZ167" s="135">
        <f>IF(ISNA(VLOOKUP(A167,'Données projet'!$A$165:$I$185,7,0)),0%,VLOOKUP(A167,'Données projet'!$A$165:$I$185,7,0))</f>
        <v>0</v>
      </c>
      <c r="EA167" s="142">
        <f>EXP(-LN(2)/35)*EA166+(1-EXP(-LN(2)/35))/(LN(2)/35)*DW167*DX167*VLOOKUP('Données projet'!$B$14,'Paramètres'!$A$1:$I$89,3,0)*0.475*44/12</f>
        <v>98.23266926</v>
      </c>
      <c r="EB167" s="142">
        <f>EXP(-LN(2)/25)*EB166+(1-EXP(-LN(2)/25))/(LN(2)/25)*Calculateur!DW167*Calculateur!DY167*VLOOKUP('Données projet'!$B$14,'Paramètres'!$A$1:$I$89,3,0)*0.475*44/12</f>
        <v>0</v>
      </c>
      <c r="EC167" s="142">
        <f>EXP(-LN(2)/2)*EC166+(1-EXP(-LN(2)/2))/(LN(2)/2)*DW167*DZ167*VLOOKUP('Données projet'!$B$14,'Paramètres'!$A$1:$I$89,3,0)*0.475*44/12</f>
        <v>0</v>
      </c>
      <c r="ED167" s="143">
        <f t="shared" si="19"/>
        <v>98.23266926</v>
      </c>
      <c r="EE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1" t="str">
        <f>VLOOKUP(A167,'Données projet'!$A$191:$I$211,2,0)</f>
        <v>#N/A</v>
      </c>
      <c r="EH167" s="131" t="str">
        <f>VLOOKUP(A167,'Données projet'!$A$191:$I$211,9,0)</f>
        <v>#N/A</v>
      </c>
      <c r="EI167" s="131" t="str">
        <f t="array" ref="EI167">INDEX(EH:EH,MIN(IF(ISNUMBER(EH167:EH363),ROW(EH167:EH363),"")))</f>
        <v/>
      </c>
      <c r="EJ167" s="138">
        <f>IF('Données projet'!$A$192&gt;35,EJ166+EI167-ER166,IF(A167&lt;'Données projet'!$A$192,$EG$205^A167,IF(A167='Données projet'!$A$192,'Données projet'!$B$192,EJ166+EI167-ER166)))</f>
        <v>0</v>
      </c>
      <c r="EK167" s="138">
        <f>EJ167*VLOOKUP('Données projet'!$B$15,'Paramètres'!$A$1:$I$89,3,0)*VLOOKUP('Données projet'!$B$15,'Paramètres'!$A$1:$I$89,5,0)</f>
        <v>0</v>
      </c>
      <c r="EL167" s="130" t="str">
        <f t="shared" si="46"/>
        <v>#NUM!</v>
      </c>
      <c r="EM167" s="141" t="str">
        <f t="shared" si="20"/>
        <v>#NUM!</v>
      </c>
      <c r="EN167" s="133" t="str">
        <f t="shared" si="21"/>
        <v>#NUM!</v>
      </c>
      <c r="EO167" s="133">
        <f>AVERAGE(OFFSET($EN$3,0,0,'Données projet'!$E$15+1,1))-AVERAGE(OFFSET($H$3,0,0,'Données projet'!$E$15+1,1))</f>
        <v>130.3193339</v>
      </c>
      <c r="EP167" s="133">
        <f t="shared" si="47"/>
        <v>82.22784365</v>
      </c>
      <c r="EQ167" s="134">
        <f>IF(ISNA(VLOOKUP(A167,'Données projet'!$A$191:$I$211,3,0)),0,VLOOKUP(A167,'Données projet'!$A$191:$I$211,3,0))</f>
        <v>0</v>
      </c>
      <c r="ER167" s="134">
        <f>IF(ISNA(VLOOKUP(A167,'Données projet'!$A$191:$I$211,4,0)),0,VLOOKUP(A167,'Données projet'!$A$191:$I$211,4,0))</f>
        <v>0</v>
      </c>
      <c r="ES167" s="135">
        <f>IF(ISNA(VLOOKUP(A167,'Données projet'!$A$191:$I$211,5,0)),0%,VLOOKUP(A167,'Données projet'!$A$191:$I$211,5,0)*VLOOKUP('Données projet'!$B$15,'Paramètres'!$A$1:$I$89,7,0))</f>
        <v>0</v>
      </c>
      <c r="ET167" s="135">
        <f>IF(ISNA(VLOOKUP(A167,'Données projet'!$A$191:$I$211,6,0)),0%,VLOOKUP(A167,'Données projet'!$A$191:$I$211,6,0)*VLOOKUP('Données projet'!$B$15,'Paramètres'!$A$1:$I$89,7,0))</f>
        <v>0</v>
      </c>
      <c r="EU167" s="135">
        <f>IF(ISNA(VLOOKUP(A167,'Données projet'!$A$191:$I$211,7,0)),0%,VLOOKUP(A167,'Données projet'!$A$191:$I$211,7,0))</f>
        <v>0</v>
      </c>
      <c r="EV167" s="142">
        <f>EXP(-LN(2)/35)*EV166+(1-EXP(-LN(2)/35))/(LN(2)/35)*ER167*ES167*VLOOKUP('Données projet'!$B$15,'Paramètres'!$A$1:$I$89,3,0)*0.475*44/12</f>
        <v>20.13149292</v>
      </c>
      <c r="EW167" s="142">
        <f>EXP(-LN(2)/25)*EW166+(1-EXP(-LN(2)/25))/(LN(2)/25)*Calculateur!ER167*Calculateur!ET167*VLOOKUP('Données projet'!$B$15,'Paramètres'!$A$1:$I$89,3,0)*0.475*44/12</f>
        <v>0</v>
      </c>
      <c r="EX167" s="142">
        <f>EXP(-LN(2)/2)*EX166+(1-EXP(-LN(2)/2))/(LN(2)/2)*ER167*EU167*VLOOKUP('Données projet'!$B$15,'Paramètres'!$A$1:$I$89,3,0)*0.475*44/12</f>
        <v>0</v>
      </c>
      <c r="EY167" s="143">
        <f t="shared" si="22"/>
        <v>20.13149292</v>
      </c>
      <c r="EZ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1" t="str">
        <f>VLOOKUP(A167,'Données projet'!$A$217:$I$237,2,0)</f>
        <v>#N/A</v>
      </c>
      <c r="FC167" s="131" t="str">
        <f>VLOOKUP(A167,'Données projet'!$A$217:$I$237,9,0)</f>
        <v>#N/A</v>
      </c>
      <c r="FD167" s="131" t="str">
        <f t="array" ref="FD167">INDEX(FC:FC,MIN(IF(ISNUMBER(FC167:FC363),ROW(FC167:FC363),"")))</f>
        <v/>
      </c>
      <c r="FE167" s="130">
        <f>IF('Données projet'!$A$218&gt;35,FE166+FD167-FM166,IF(A167&lt;'Données projet'!$A$218,$FB$205^A167,IF(A167='Données projet'!$A$218,'Données projet'!$B$218,FE166+FD167-FM166)))</f>
        <v>0</v>
      </c>
      <c r="FF167" s="138">
        <f>FE167*VLOOKUP('Données projet'!$B$16,'Paramètres'!$A$1:$I$89,3,0)*VLOOKUP('Données projet'!$B$16,'Paramètres'!$A$1:$I$89,5,0)</f>
        <v>0</v>
      </c>
      <c r="FG167" s="130">
        <f t="shared" si="48"/>
        <v>0</v>
      </c>
      <c r="FH167" s="141">
        <f t="shared" si="23"/>
        <v>0</v>
      </c>
      <c r="FI167" s="133">
        <f t="shared" si="24"/>
        <v>293.3333333</v>
      </c>
      <c r="FJ167" s="133">
        <f>AVERAGE(OFFSET($FI$3,0,0,'Données projet'!$E$16+1,1))-AVERAGE(OFFSET($H$3,0,0,'Données projet'!$E$16+1,1))</f>
        <v>305.6252353</v>
      </c>
      <c r="FK167" s="133">
        <f t="shared" si="49"/>
        <v>331.397916</v>
      </c>
      <c r="FL167" s="134">
        <f>IF(ISNA(VLOOKUP(A167,'Données projet'!$A$217:$I$237,3,0)),0,VLOOKUP(A167,'Données projet'!$A$217:$I$237,3,0))</f>
        <v>0</v>
      </c>
      <c r="FM167" s="134">
        <f>IF(ISNA(VLOOKUP(A167,'Données projet'!$A$217:$I$237,4,0)),0,VLOOKUP(A167,'Données projet'!$A$217:$I$237,4,0))</f>
        <v>0</v>
      </c>
      <c r="FN167" s="135">
        <f>IF(ISNA(VLOOKUP(A167,'Données projet'!$A$217:$I$237,5,0)),0%,VLOOKUP(A167,'Données projet'!$A$217:$I$237,5,0)*VLOOKUP('Données projet'!$B$16,'Paramètres'!$A$1:$I$89,7,0))</f>
        <v>0</v>
      </c>
      <c r="FO167" s="135">
        <f>IF(ISNA(VLOOKUP(A167,'Données projet'!$A$217:$I$237,6,0)),0%,VLOOKUP(A167,'Données projet'!$A$217:$I$237,6,0)*VLOOKUP('Données projet'!$B$16,'Paramètres'!$A$1:$I$89,7,0))</f>
        <v>0</v>
      </c>
      <c r="FP167" s="135">
        <f>IF(ISNA(VLOOKUP(A167,'Données projet'!$A$217:$I$237,7,0)),0%,VLOOKUP(A167,'Données projet'!$A$217:$I$237,7,0))</f>
        <v>0</v>
      </c>
      <c r="FQ167" s="142">
        <f>EXP(-LN(2)/35)*FQ166+(1-EXP(-LN(2)/35))/(LN(2)/35)*FM167*FN167*VLOOKUP('Données projet'!$B$16,'Paramètres'!$A$1:$I$89,3,0)*0.475*44/12</f>
        <v>12.53446913</v>
      </c>
      <c r="FR167" s="142">
        <f>EXP(-LN(2)/25)*FR166+(1-EXP(-LN(2)/25))/(LN(2)/25)*Calculateur!FM167*Calculateur!FO167*VLOOKUP('Données projet'!$B$16,'Paramètres'!$A$1:$I$89,3,0)*0.475*44/12</f>
        <v>0</v>
      </c>
      <c r="FS167" s="142">
        <f>EXP(-LN(2)/2)*FS166+(1-EXP(-LN(2)/2))/(LN(2)/2)*FM167*FP167*VLOOKUP('Données projet'!$B$16,'Paramètres'!$A$1:$I$89,3,0)*0.475*44/12</f>
        <v>0</v>
      </c>
      <c r="FT167" s="143">
        <f t="shared" si="25"/>
        <v>12.53446913</v>
      </c>
      <c r="FU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1" t="str">
        <f>VLOOKUP(A167,'Données projet'!$A$243:$I$263,2,0)</f>
        <v>#N/A</v>
      </c>
      <c r="FX167" s="131" t="str">
        <f>VLOOKUP(A167,'Données projet'!$A$243:$I$263,9,0)</f>
        <v>#N/A</v>
      </c>
      <c r="FY167" s="131" t="str">
        <f t="array" ref="FY167">INDEX(FX:FX,MIN(IF(ISNUMBER(FX167:FX363),ROW(FX167:FX363),"")))</f>
        <v/>
      </c>
      <c r="FZ167" s="138">
        <f>IF('Données projet'!$A$244&gt;35,FZ166+FY167-GH166,IF(A167&lt;'Données projet'!$A$244,$FW$205^A167,IF(A167='Données projet'!$A$244,'Données projet'!$B$244,FZ166+FY167-GH166)))</f>
        <v>0</v>
      </c>
      <c r="GA167" s="138">
        <f>FZ167*VLOOKUP('Données projet'!$B$17,'Paramètres'!$A$1:$I$89,3,0)*VLOOKUP('Données projet'!$B$17,'Paramètres'!$A$1:$I$89,5,0)</f>
        <v>0</v>
      </c>
      <c r="GB167" s="130">
        <f t="shared" si="50"/>
        <v>0</v>
      </c>
      <c r="GC167" s="141">
        <f t="shared" si="26"/>
        <v>0</v>
      </c>
      <c r="GD167" s="133">
        <f t="shared" si="27"/>
        <v>293.3333333</v>
      </c>
      <c r="GE167" s="133">
        <f>AVERAGE(OFFSET($GD$3,0,0,'Données projet'!$E$17+1,1))-AVERAGE(OFFSET($H$3,0,0,'Données projet'!$E$17+1,1))</f>
        <v>118.7368745</v>
      </c>
      <c r="GF167" s="133">
        <f t="shared" si="51"/>
        <v>135.1233677</v>
      </c>
      <c r="GG167" s="134">
        <f>IF(ISNA(VLOOKUP(A167,'Données projet'!$A$243:$I$263,3,0)),0,VLOOKUP(A167,'Données projet'!$A$243:$I$263,3,0))</f>
        <v>0</v>
      </c>
      <c r="GH167" s="134">
        <f>IF(ISNA(VLOOKUP(A167,'Données projet'!$A$243:$I$263,4,0)),0,VLOOKUP(A167,'Données projet'!$A$243:$I$263,4,0))</f>
        <v>0</v>
      </c>
      <c r="GI167" s="135">
        <f>IF(ISNA(VLOOKUP(A167,'Données projet'!$A$243:$I$263,5,0)),0%,VLOOKUP(A167,'Données projet'!$A$243:$I$263,5,0)*VLOOKUP('Données projet'!$B$17,'Paramètres'!$A$1:$I$89,7,0))</f>
        <v>0</v>
      </c>
      <c r="GJ167" s="135">
        <f>IF(ISNA(VLOOKUP(A167,'Données projet'!$A$243:$I$263,6,0)),0%,VLOOKUP(A167,'Données projet'!$A$243:$I$263,6,0)*VLOOKUP('Données projet'!$B$17,'Paramètres'!$A$1:$I$89,7,0))</f>
        <v>0</v>
      </c>
      <c r="GK167" s="135">
        <f>IF(ISNA(VLOOKUP(A167,'Données projet'!$A$243:$I$263,7,0)),0%,VLOOKUP(A167,'Données projet'!$A$243:$I$263,7,0))</f>
        <v>0</v>
      </c>
      <c r="GL167" s="142">
        <f>EXP(-LN(2)/35)*GL166+(1-EXP(-LN(2)/35))/(LN(2)/35)*GH167*GI167*VLOOKUP('Données projet'!$B$17,'Paramètres'!$A$1:$I$89,3,0)*0.475*44/12</f>
        <v>13.24262787</v>
      </c>
      <c r="GM167" s="142">
        <f>EXP(-LN(2)/25)*GM166+(1-EXP(-LN(2)/25))/(LN(2)/25)*Calculateur!GH167*Calculateur!GJ167*VLOOKUP('Données projet'!$B$17,'Paramètres'!$A$1:$I$89,3,0)*0.475*44/12</f>
        <v>0</v>
      </c>
      <c r="GN167" s="142">
        <f>EXP(-LN(2)/2)*GN166+(1-EXP(-LN(2)/2))/(LN(2)/2)*GH167*GK167*VLOOKUP('Données projet'!$B$17,'Paramètres'!$A$1:$I$89,3,0)*0.475*44/12</f>
        <v>0</v>
      </c>
      <c r="GO167" s="142">
        <f t="shared" si="28"/>
        <v>13.24262787</v>
      </c>
      <c r="GP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1" t="str">
        <f>VLOOKUP(A167,'Données projet'!$A$269:$I$289,2,0)</f>
        <v>#N/A</v>
      </c>
      <c r="GS167" s="131" t="str">
        <f>VLOOKUP(A167,'Données projet'!$A$269:$I$289,9,0)</f>
        <v>#N/A</v>
      </c>
      <c r="GT167" s="131" t="str">
        <f t="array" ref="GT167">INDEX(GS:GS,MIN(IF(ISNUMBER(GS167:GS363),ROW(GS167:GS363),"")))</f>
        <v/>
      </c>
      <c r="GU167" s="138">
        <f>IF('Données projet'!$A$270&gt;35,GU166+GT167-HC166,IF(A167&lt;'Données projet'!$A$270,$GR$205^A167,IF(A167='Données projet'!$A$270,'Données projet'!$B$270,GU166+GT167-HC166)))</f>
        <v>0</v>
      </c>
      <c r="GV167" s="138">
        <f>GU167*VLOOKUP('Données projet'!$B$18,'Paramètres'!$A$1:$I$89,3,0)*VLOOKUP('Données projet'!$B$18,'Paramètres'!$A$1:$I$89,5,0)</f>
        <v>0</v>
      </c>
      <c r="GW167" s="130" t="str">
        <f t="shared" si="52"/>
        <v>#NUM!</v>
      </c>
      <c r="GX167" s="141" t="str">
        <f t="shared" si="29"/>
        <v>#NUM!</v>
      </c>
      <c r="GY167" s="133" t="str">
        <f t="shared" si="30"/>
        <v>#NUM!</v>
      </c>
      <c r="GZ167" s="133">
        <f>AVERAGE(OFFSET($GY$3,0,0,'Données projet'!$E$18+1,1))-AVERAGE(OFFSET($H$3,0,0,'Données projet'!$E$18+1,1))</f>
        <v>100.5427875</v>
      </c>
      <c r="HA167" s="133">
        <f t="shared" si="53"/>
        <v>92.28663609</v>
      </c>
      <c r="HB167" s="134">
        <f>IF(ISNA(VLOOKUP(A167,'Données projet'!$A$269:$I$289,3,0)),0,VLOOKUP(A167,'Données projet'!$A$269:$I$289,3,0))</f>
        <v>0</v>
      </c>
      <c r="HC167" s="134">
        <f>IF(ISNA(VLOOKUP(A167,'Données projet'!$A$269:$I$289,4,0)),0,VLOOKUP(A167,'Données projet'!$A$269:$I$289,4,0))</f>
        <v>0</v>
      </c>
      <c r="HD167" s="135">
        <f>IF(ISNA(VLOOKUP(A167,'Données projet'!$A$269:$I$289,5,0)),0%,VLOOKUP(A167,'Données projet'!$A$269:$I$289,5,0)*VLOOKUP('Données projet'!$B$18,'Paramètres'!$A$1:$I$89,7,0))</f>
        <v>0</v>
      </c>
      <c r="HE167" s="135">
        <f>IF(ISNA(VLOOKUP(A167,'Données projet'!$A$269:$I$289,6,0)),0%,VLOOKUP(A167,'Données projet'!$A$269:$I$289,6,0)*VLOOKUP('Données projet'!$B$18,'Paramètres'!$A$1:$I$89,7,0))</f>
        <v>0</v>
      </c>
      <c r="HF167" s="135">
        <f>IF(ISNA(VLOOKUP(A167,'Données projet'!$A$269:$I$289,7,0)),0%,VLOOKUP(A167,'Données projet'!$A$269:$I$289,7,0))</f>
        <v>0</v>
      </c>
      <c r="HG167" s="142">
        <f>EXP(-LN(2)/35)*HG166+(1-EXP(-LN(2)/35))/(LN(2)/35)*HC167*HD167*VLOOKUP('Données projet'!$B$18,'Paramètres'!$A$1:$I$89,3,0)*0.475*44/12</f>
        <v>9.017950212</v>
      </c>
      <c r="HH167" s="142">
        <f>EXP(-LN(2)/25)*HH166+(1-EXP(-LN(2)/25))/(LN(2)/25)*Calculateur!HC167*Calculateur!HE167*VLOOKUP('Données projet'!$B$18,'Paramètres'!$A$1:$I$89,3,0)*0.475*44/12</f>
        <v>0</v>
      </c>
      <c r="HI167" s="142">
        <f>EXP(-LN(2)/2)*HI166+(1-EXP(-LN(2)/2))/(LN(2)/2)*HC167*HF167*VLOOKUP('Données projet'!$B$18,'Paramètres'!$A$1:$I$89,3,0)*0.475*44/12</f>
        <v>0</v>
      </c>
      <c r="HJ167" s="143">
        <f t="shared" si="31"/>
        <v>9.017950212</v>
      </c>
    </row>
    <row r="168" ht="15.75" customHeight="1">
      <c r="A168" s="125">
        <f t="shared" si="32"/>
        <v>165</v>
      </c>
      <c r="B168" s="126">
        <f>'Scénario référence'!$B$16*5+'Scénario référence'!$B$17*0+'Scénario référence'!$B$18*5</f>
        <v>0</v>
      </c>
      <c r="C168" s="140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90.09</v>
      </c>
      <c r="D168" s="127">
        <f t="shared" si="33"/>
        <v>24.58692956</v>
      </c>
      <c r="E16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7">
        <f>IF(OR('Scénario référence'!$F$8&gt;0,'Scénario référence'!$F$9&gt;0),('Scénario référence'!$F$8+'Scénario référence'!$F$9)*10,0)</f>
        <v>10</v>
      </c>
      <c r="G168" s="127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885.2254212</v>
      </c>
      <c r="H168" s="128">
        <f t="shared" si="1"/>
        <v>493.062319</v>
      </c>
      <c r="I168" s="12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1" t="str">
        <f>VLOOKUP(A168,'Données projet'!$A$35:$I$55,2,0)</f>
        <v>#N/A</v>
      </c>
      <c r="L168" s="131" t="str">
        <f>VLOOKUP(A168,'Données projet'!$A$35:$I$55,9,0)</f>
        <v>#N/A</v>
      </c>
      <c r="M168" s="131" t="str">
        <f t="array" ref="M168">INDEX(L:L,MIN(IF(ISNUMBER(L168:L364),ROW(L168:L364),"")))</f>
        <v/>
      </c>
      <c r="N168" s="130">
        <f>IF('Données projet'!$A$36&gt;35,N167+M168-V167,IF(A168&lt;'Données projet'!$A$36,$K$205^A168,IF(A168='Données projet'!$A$36,'Données projet'!$B$36,N167+M168-V167)))</f>
        <v>0</v>
      </c>
      <c r="O168" s="130">
        <f>N168*VLOOKUP('Données projet'!$B$9,'Paramètres'!$A$1:$I$89,3,0)*VLOOKUP('Données projet'!$B$9,'Paramètres'!$A$1:$I$89,5,0)</f>
        <v>0</v>
      </c>
      <c r="P168" s="130">
        <f t="shared" si="34"/>
        <v>0</v>
      </c>
      <c r="Q168" s="141">
        <f t="shared" si="2"/>
        <v>0</v>
      </c>
      <c r="R168" s="133">
        <f t="shared" si="3"/>
        <v>293.3333333</v>
      </c>
      <c r="S168" s="133">
        <f>AVERAGE(OFFSET($R$3,0,0,'Données projet'!$E$9+1,1))-AVERAGE(OFFSET($H$3,0,0,'Données projet'!$E$9+1,1))</f>
        <v>126.9946492</v>
      </c>
      <c r="T168" s="133">
        <f t="shared" si="35"/>
        <v>140.039049</v>
      </c>
      <c r="U168" s="134">
        <f>IF(ISNA(VLOOKUP(A168,'Données projet'!$A$35:$I$55,3,0)),0,VLOOKUP(A168,'Données projet'!$A$35:$I$55,3,0))</f>
        <v>0</v>
      </c>
      <c r="V168" s="134">
        <f>IF(ISNA(VLOOKUP(A168,'Données projet'!$A$35:$I$55,4,0)),0,VLOOKUP(A168,'Données projet'!$A$35:$I$55,4,0))</f>
        <v>0</v>
      </c>
      <c r="W168" s="135">
        <f>IF(ISNA(VLOOKUP(A168,'Données projet'!$A$35:$I$55,5,0)),0%,VLOOKUP(A168,'Données projet'!$A$35:$I$55,5,0)*VLOOKUP('Données projet'!$B$9,'Paramètres'!$A$1:$I$89,7,0))</f>
        <v>0</v>
      </c>
      <c r="X168" s="135">
        <f>IF(ISNA(VLOOKUP(A168,'Données projet'!$A$35:$I$55,6,0)),0%,VLOOKUP(A168,'Données projet'!$A$35:$I$55,6,0)*VLOOKUP('Données projet'!$B$9,'Paramètres'!$A$1:$I$89,7,0))</f>
        <v>0</v>
      </c>
      <c r="Y168" s="135">
        <f>IF(ISNA(VLOOKUP(A168,'Données projet'!$A$35:$I$55,7,0)),0%,VLOOKUP(A168,'Données projet'!$A$35:$I$55,7,0))</f>
        <v>0</v>
      </c>
      <c r="Z168" s="142">
        <f>EXP(-LN(2)/35)*Z167+(1-EXP(-LN(2)/35))/(LN(2)/35)*V168*W168*VLOOKUP('Données projet'!$B$9,'Paramètres'!$A$1:$I$89,3,0)*0.475*44/12</f>
        <v>13.27866577</v>
      </c>
      <c r="AA168" s="142">
        <f>EXP(-LN(2)/25)*AA167+(1-EXP(-LN(2)/25))/(LN(2)/25)*Calculateur!V168*Calculateur!X168*VLOOKUP('Données projet'!$B$9,'Paramètres'!$A$1:$I$89,3,0)*0.475*44/12</f>
        <v>1.264401099</v>
      </c>
      <c r="AB168" s="142">
        <f>EXP(-LN(2)/2)*AB167+(1-EXP(-LN(2)/2))/(LN(2)/2)*V168*Y168*VLOOKUP('Données projet'!$B$9,'Paramètres'!$A$1:$I$89,3,0)*0.475*44/12</f>
        <v>0</v>
      </c>
      <c r="AC168" s="143">
        <f t="shared" si="4"/>
        <v>14.54306687</v>
      </c>
      <c r="AD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1" t="str">
        <f>VLOOKUP(A168,'Données projet'!$A$61:$I$81,2,0)</f>
        <v>#N/A</v>
      </c>
      <c r="AG168" s="131" t="str">
        <f>VLOOKUP(A168,'Données projet'!$A$61:$I$81,9,0)</f>
        <v>#N/A</v>
      </c>
      <c r="AH168" s="131" t="str">
        <f t="array" ref="AH168">INDEX(AG:AG,MIN(IF(ISNUMBER(AG168:AG364),ROW(AG168:AG364),"")))</f>
        <v/>
      </c>
      <c r="AI168" s="130">
        <f>IF('Données projet'!$A$62&gt;35,AI167+AH168-AQ167,IF(A168&lt;'Données projet'!$A$62,$AF$205^A168,IF(A168='Données projet'!$A$62,'Données projet'!$B$62,AI167+AH168-AQ167)))</f>
        <v>0</v>
      </c>
      <c r="AJ168" s="130">
        <f>AI168*VLOOKUP('Données projet'!$B$10,'Paramètres'!$A$1:$I$89,3,0)*VLOOKUP('Données projet'!$B$10,'Paramètres'!$A$1:$I$89,5,0)</f>
        <v>0</v>
      </c>
      <c r="AK168" s="130" t="str">
        <f t="shared" si="36"/>
        <v>#NUM!</v>
      </c>
      <c r="AL168" s="141" t="str">
        <f t="shared" si="5"/>
        <v>#NUM!</v>
      </c>
      <c r="AM168" s="133" t="str">
        <f t="shared" si="6"/>
        <v>#NUM!</v>
      </c>
      <c r="AN168" s="133">
        <f>AVERAGE(OFFSET($AM$3,0,0,'Données projet'!$E$10+1,1))-AVERAGE(OFFSET($H$3,0,0,'Données projet'!$E$10+1,1))</f>
        <v>196.874484</v>
      </c>
      <c r="AO168" s="133">
        <f t="shared" si="37"/>
        <v>217.5750859</v>
      </c>
      <c r="AP168" s="134">
        <f>IF(ISNA(VLOOKUP(A168,'Données projet'!$A$61:$I$81,3,0)),0,VLOOKUP(A168,'Données projet'!$A$61:$I$81,3,0))</f>
        <v>0</v>
      </c>
      <c r="AQ168" s="134">
        <f>IF(ISNA(VLOOKUP(A168,'Données projet'!$A$61:$I$81,4,0)),0,VLOOKUP(A168,'Données projet'!$A$61:$I$81,4,0))</f>
        <v>0</v>
      </c>
      <c r="AR168" s="135">
        <f>IF(ISNA(VLOOKUP(A168,'Données projet'!$A$61:$I$81,5,0)),0%,VLOOKUP(A168,'Données projet'!$A$61:$I$81,5,0)*VLOOKUP('Données projet'!$B$10,'Paramètres'!$A$1:$I$89,7,0))</f>
        <v>0</v>
      </c>
      <c r="AS168" s="135">
        <f>IF(ISNA(VLOOKUP(A168,'Données projet'!$A$61:$I$81,6,0)),0%,VLOOKUP(A168,'Données projet'!$A$61:$I$81,6,0)*VLOOKUP('Données projet'!$B$10,'Paramètres'!$A$1:$I$89,7,0))</f>
        <v>0</v>
      </c>
      <c r="AT168" s="135">
        <f>IF(ISNA(VLOOKUP(A168,'Données projet'!$A$61:$I$81,7,0)),0%,VLOOKUP(A168,'Données projet'!$A$61:$I$81,7,0))</f>
        <v>0</v>
      </c>
      <c r="AU168" s="142">
        <f>EXP(-LN(2)/35)*AU167+(1-EXP(-LN(2)/35))/(LN(2)/35)*AQ168*AR168*VLOOKUP('Données projet'!$B$10,'Paramètres'!$A$1:$I$89,3,0)*0.475*44/12</f>
        <v>18.45696826</v>
      </c>
      <c r="AV168" s="142">
        <f>EXP(-LN(2)/25)*AV167+(1-EXP(-LN(2)/25))/(LN(2)/25)*Calculateur!AQ168*Calculateur!AS168*VLOOKUP('Données projet'!$B$10,'Paramètres'!$A$1:$I$89,3,0)*0.475*44/12</f>
        <v>1.944018378</v>
      </c>
      <c r="AW168" s="142">
        <f>EXP(-LN(2)/2)*AW167+(1-EXP(-LN(2)/2))/(LN(2)/2)*AQ168*AT168*VLOOKUP('Données projet'!$B$10,'Paramètres'!$A$1:$I$89,3,0)*0.475*44/12</f>
        <v>0</v>
      </c>
      <c r="AX168" s="142">
        <f t="shared" si="7"/>
        <v>20.40098664</v>
      </c>
      <c r="AY168" s="13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1" t="str">
        <f>VLOOKUP(A168,'Données projet'!$A$87:$I$107,2,0)</f>
        <v>#N/A</v>
      </c>
      <c r="BB168" s="131" t="str">
        <f>VLOOKUP(A168,'Données projet'!$A$87:$I$107,9,0)</f>
        <v>#N/A</v>
      </c>
      <c r="BC168" s="131" t="str">
        <f t="array" ref="BC168">INDEX(BB:BB,MIN(IF(ISNUMBER(BB168:BB364),ROW(BB168:BB364),"")))</f>
        <v/>
      </c>
      <c r="BD168" s="130">
        <f>IF('Données projet'!$A$88&gt;35,BD167+BC168-BL167,IF(A168&lt;'Données projet'!$A$88,$BA$205^A168,IF(A168='Données projet'!$A$88,'Données projet'!$B$88,BD167+BC168-BL167)))</f>
        <v>0</v>
      </c>
      <c r="BE168" s="130">
        <f>BD168*VLOOKUP('Données projet'!$B$11,'Paramètres'!$A$1:$I$89,3,0)*VLOOKUP('Données projet'!$B$11,'Paramètres'!$A$1:$I$89,5,0)</f>
        <v>0</v>
      </c>
      <c r="BF168" s="130" t="str">
        <f t="shared" si="38"/>
        <v>#NUM!</v>
      </c>
      <c r="BG168" s="141" t="str">
        <f t="shared" si="8"/>
        <v>#NUM!</v>
      </c>
      <c r="BH168" s="133" t="str">
        <f t="shared" si="9"/>
        <v>#NUM!</v>
      </c>
      <c r="BI168" s="133">
        <f>AVERAGE(OFFSET($BH$3,0,0,'Données projet'!$E$11+1,1))-AVERAGE(OFFSET($H$3,0,0,'Données projet'!$E$11+1,1))</f>
        <v>134.0948534</v>
      </c>
      <c r="BJ168" s="133">
        <f t="shared" si="39"/>
        <v>108.4102536</v>
      </c>
      <c r="BK168" s="134">
        <f>IF(ISNA(VLOOKUP(A168,'Données projet'!$A$87:$I$107,3,0)),0,VLOOKUP(A168,'Données projet'!$A$87:$I$107,3,0))</f>
        <v>0</v>
      </c>
      <c r="BL168" s="134">
        <f>IF(ISNA(VLOOKUP(A168,'Données projet'!$A$87:$I$107,4,0)),0,VLOOKUP(A168,'Données projet'!$A$87:$I$107,4,0))</f>
        <v>0</v>
      </c>
      <c r="BM168" s="135">
        <f>IF(ISNA(VLOOKUP(A168,'Données projet'!$A$87:$I$107,5,0)),0%,VLOOKUP(A168,'Données projet'!$A$87:$I$107,5,0)*VLOOKUP('Données projet'!$B$11,'Paramètres'!$A$1:$I$89,7,0))</f>
        <v>0</v>
      </c>
      <c r="BN168" s="135">
        <f>IF(ISNA(VLOOKUP(A168,'Données projet'!$A$87:$I$107,6,0)),0%,VLOOKUP(A168,'Données projet'!$A$87:$I$107,6,0)*VLOOKUP('Données projet'!$B$11,'Paramètres'!$A$1:$I$89,7,0))</f>
        <v>0</v>
      </c>
      <c r="BO168" s="135">
        <f>IF(ISNA(VLOOKUP(A168,'Données projet'!$A$87:$I$107,7,0)),0%,VLOOKUP(A168,'Données projet'!$A$87:$I$107,7,0))</f>
        <v>0</v>
      </c>
      <c r="BP168" s="142">
        <f>EXP(-LN(2)/35)*BP167+(1-EXP(-LN(2)/35))/(LN(2)/35)*BL168*BM168*VLOOKUP('Données projet'!$B$11,'Paramètres'!$A$1:$I$89,3,0)*0.475*44/12</f>
        <v>25.52943409</v>
      </c>
      <c r="BQ168" s="142">
        <f>EXP(-LN(2)/25)*BQ167+(1-EXP(-LN(2)/25))/(LN(2)/25)*Calculateur!BL168*Calculateur!BN168*VLOOKUP('Données projet'!$B$11,'Paramètres'!$A$1:$I$89,3,0)*0.475*44/12</f>
        <v>1.226288462</v>
      </c>
      <c r="BR168" s="142">
        <f>EXP(-LN(2)/2)*BR167+(1-EXP(-LN(2)/2))/(LN(2)/2)*BL168*BO168*VLOOKUP('Données projet'!$B$11,'Paramètres'!$A$1:$I$89,3,0)*0.475*44/12</f>
        <v>0</v>
      </c>
      <c r="BS168" s="143">
        <f t="shared" si="10"/>
        <v>26.75572256</v>
      </c>
      <c r="BT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1" t="str">
        <f>VLOOKUP(A168,'Données projet'!$A$113:$I$133,2,0)</f>
        <v>#N/A</v>
      </c>
      <c r="BW168" s="131" t="str">
        <f>VLOOKUP(A168,'Données projet'!$A$113:$I$133,9,0)</f>
        <v>#N/A</v>
      </c>
      <c r="BX168" s="131" t="str">
        <f t="array" ref="BX168">INDEX(BW:BW,MIN(IF(ISNUMBER(BW168:BW364),ROW(BW168:BW364),"")))</f>
        <v/>
      </c>
      <c r="BY168" s="130">
        <f>IF('Données projet'!$A$114&gt;35,BY167+BX168-CG167,IF(A168&lt;'Données projet'!$A$114,$BV$205^A168,IF(A168='Données projet'!$A$114,'Données projet'!$B$114,BY167+BX168-CG167)))</f>
        <v>0</v>
      </c>
      <c r="BZ168" s="130">
        <f>BY168*VLOOKUP('Données projet'!$B$12,'Paramètres'!$A$1:$I$89,3,0)*VLOOKUP('Données projet'!$B$12,'Paramètres'!$A$1:$I$89,5,0)</f>
        <v>0</v>
      </c>
      <c r="CA168" s="130" t="str">
        <f t="shared" si="40"/>
        <v>#NUM!</v>
      </c>
      <c r="CB168" s="141" t="str">
        <f t="shared" si="11"/>
        <v>#NUM!</v>
      </c>
      <c r="CC168" s="133" t="str">
        <f t="shared" si="12"/>
        <v>#NUM!</v>
      </c>
      <c r="CD168" s="133">
        <f>AVERAGE(OFFSET($CC$3,0,0,'Données projet'!$E$12+1,1))-AVERAGE(OFFSET($H$3,0,0,'Données projet'!$E$12+1,1))</f>
        <v>258.1672054</v>
      </c>
      <c r="CE168" s="133">
        <f t="shared" si="41"/>
        <v>296.0724261</v>
      </c>
      <c r="CF168" s="134">
        <f>IF(ISNA(VLOOKUP(A168,'Données projet'!$A$113:$I$133,3,0)),0,VLOOKUP(A168,'Données projet'!$A$113:$I$133,3,0))</f>
        <v>0</v>
      </c>
      <c r="CG168" s="134">
        <f>IF(ISNA(VLOOKUP(A168,'Données projet'!$A$113:$I$133,4,0)),0,VLOOKUP(A168,'Données projet'!$A$113:$I$133,4,0))</f>
        <v>0</v>
      </c>
      <c r="CH168" s="135">
        <f>IF(ISNA(VLOOKUP(A168,'Données projet'!$A$113:$I$133,5,0)),0%,VLOOKUP(A168,'Données projet'!$A$113:$I$133,5,0)*VLOOKUP('Données projet'!$B$12,'Paramètres'!$A$1:$I$89,7,0))</f>
        <v>0</v>
      </c>
      <c r="CI168" s="135">
        <f>IF(ISNA(VLOOKUP(A168,'Données projet'!$A$113:$I$133,6,0)),0%,VLOOKUP(A168,'Données projet'!$A$113:$I$133,6,0)*VLOOKUP('Données projet'!$B$12,'Paramètres'!$A$1:$I$89,7,0))</f>
        <v>0</v>
      </c>
      <c r="CJ168" s="135">
        <f>IF(ISNA(VLOOKUP(A168,'Données projet'!$A$113:$I$133,7,0)),0%,VLOOKUP(A168,'Données projet'!$A$113:$I$133,7,0))</f>
        <v>0</v>
      </c>
      <c r="CK168" s="142">
        <f>EXP(-LN(2)/35)*CK167+(1-EXP(-LN(2)/35))/(LN(2)/35)*CG168*CH168*VLOOKUP('Données projet'!$B$12,'Paramètres'!$A$1:$I$89,3,0)*0.475*44/12</f>
        <v>32.27701447</v>
      </c>
      <c r="CL168" s="142">
        <f>EXP(-LN(2)/25)*CL167+(1-EXP(-LN(2)/25))/(LN(2)/25)*Calculateur!CG168*Calculateur!CI168*VLOOKUP('Données projet'!$B$12,'Paramètres'!$A$1:$I$89,3,0)*0.475*44/12</f>
        <v>2.150979576</v>
      </c>
      <c r="CM168" s="142">
        <f>EXP(-LN(2)/2)*CM167+(1-EXP(-LN(2)/2))/(LN(2)/2)*CG168*CJ168*VLOOKUP('Données projet'!$B$12,'Paramètres'!$A$1:$I$89,3,0)*0.475*44/12</f>
        <v>0</v>
      </c>
      <c r="CN168" s="143">
        <f t="shared" si="13"/>
        <v>34.42799405</v>
      </c>
      <c r="CO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1" t="str">
        <f>VLOOKUP(A168,'Données projet'!$A$139:$I$159,2,0)</f>
        <v>#N/A</v>
      </c>
      <c r="CR168" s="131" t="str">
        <f>VLOOKUP(A168,'Données projet'!$A$139:$I$159,9,0)</f>
        <v>#N/A</v>
      </c>
      <c r="CS168" s="131" t="str">
        <f t="array" ref="CS168">INDEX(CR:CR,MIN(IF(ISNUMBER(CR168:CR364),ROW(CR168:CR364),"")))</f>
        <v/>
      </c>
      <c r="CT168" s="138">
        <f>IF('Données projet'!$A$140&gt;35,CT167+CS168-DB167,IF(A168&lt;'Données projet'!$A$140,$CQ$205^A168,IF(A168='Données projet'!$A$140,'Données projet'!$B$140,CT167+CS168-DB167)))</f>
        <v>0</v>
      </c>
      <c r="CU168" s="138">
        <f>CT168*VLOOKUP('Données projet'!$B$13,'Paramètres'!$A$1:$I$89,3,0)*VLOOKUP('Données projet'!$B$13,'Paramètres'!$A$1:$I$89,5,0)</f>
        <v>0</v>
      </c>
      <c r="CV168" s="130" t="str">
        <f t="shared" si="42"/>
        <v>#NUM!</v>
      </c>
      <c r="CW168" s="141" t="str">
        <f t="shared" si="14"/>
        <v>#NUM!</v>
      </c>
      <c r="CX168" s="133" t="str">
        <f t="shared" si="15"/>
        <v>#NUM!</v>
      </c>
      <c r="CY168" s="133">
        <f>AVERAGE(OFFSET($CX$3,0,0,'Données projet'!$E$13+1,1))-AVERAGE(OFFSET($H$3,0,0,'Données projet'!$E$13+1,1))</f>
        <v>223.783507</v>
      </c>
      <c r="CZ168" s="133">
        <f t="shared" si="43"/>
        <v>84.92349117</v>
      </c>
      <c r="DA168" s="134">
        <f>IF(ISNA(VLOOKUP(A168,'Données projet'!$A$139:$I$159,3,0)),0,VLOOKUP(A168,'Données projet'!$A$139:$I$159,3,0))</f>
        <v>0</v>
      </c>
      <c r="DB168" s="134">
        <f>IF(ISNA(VLOOKUP(A168,'Données projet'!$A$139:$I$159,4,0)),0,VLOOKUP(A168,'Données projet'!$A$139:$I$159,4,0))</f>
        <v>0</v>
      </c>
      <c r="DC168" s="135">
        <f>IF(ISNA(VLOOKUP(A168,'Données projet'!$A$139:$I$159,5,0)),0%,VLOOKUP(A168,'Données projet'!$A$139:$I$159,5,0)*VLOOKUP('Données projet'!$B$13,'Paramètres'!$A$1:$I$89,7,0))</f>
        <v>0</v>
      </c>
      <c r="DD168" s="135">
        <f>IF(ISNA(VLOOKUP(A168,'Données projet'!$A$139:$I$159,6,0)),0%,VLOOKUP(A168,'Données projet'!$A$139:$I$159,6,0)*VLOOKUP('Données projet'!$B$13,'Paramètres'!$A$1:$I$89,7,0))</f>
        <v>0</v>
      </c>
      <c r="DE168" s="135">
        <f>IF(ISNA(VLOOKUP(A168,'Données projet'!$A$139:$I$159,7,0)),0%,VLOOKUP(A168,'Données projet'!$A$139:$I$159,7,0))</f>
        <v>0</v>
      </c>
      <c r="DF168" s="142">
        <f>EXP(-LN(2)/35)*DF167+(1-EXP(-LN(2)/35))/(LN(2)/35)*DB168*DC168*VLOOKUP('Données projet'!$B$13,'Paramètres'!$A$1:$I$89,3,0)*0.475*44/12</f>
        <v>82.90003816</v>
      </c>
      <c r="DG168" s="142">
        <f>EXP(-LN(2)/25)*DG167+(1-EXP(-LN(2)/25))/(LN(2)/25)*Calculateur!DB168*Calculateur!DD168*VLOOKUP('Données projet'!$B$13,'Paramètres'!$A$1:$I$89,3,0)*0.475*44/12</f>
        <v>0</v>
      </c>
      <c r="DH168" s="142">
        <f>EXP(-LN(2)/2)*DH167+(1-EXP(-LN(2)/2))/(LN(2)/2)*DB168*DE168*VLOOKUP('Données projet'!$B$13,'Paramètres'!$A$1:$I$89,3,0)*0.475*44/12</f>
        <v>0</v>
      </c>
      <c r="DI168" s="143">
        <f t="shared" si="16"/>
        <v>82.90003816</v>
      </c>
      <c r="DJ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1" t="str">
        <f>VLOOKUP(A168,'Données projet'!$A$165:$I$185,2,0)</f>
        <v>#N/A</v>
      </c>
      <c r="DM168" s="131" t="str">
        <f>VLOOKUP(A168,'Données projet'!$A$165:$I$185,9,0)</f>
        <v>#N/A</v>
      </c>
      <c r="DN168" s="131" t="str">
        <f t="array" ref="DN168">INDEX(DM:DM,MIN(IF(ISNUMBER(DM168:DM364),ROW(DM168:DM364),"")))</f>
        <v/>
      </c>
      <c r="DO168" s="138">
        <f>IF('Données projet'!$A$166&gt;35,DO167+DN168-DW167,IF(A168&lt;'Données projet'!$A$166,$DL$205^A168,IF(A168='Données projet'!$A$166,'Données projet'!$B$166,DO167+DN168-DW167)))</f>
        <v>0</v>
      </c>
      <c r="DP168" s="138">
        <f>DO168*VLOOKUP('Données projet'!$B$14,'Paramètres'!$A$1:$I$89,3,0)*VLOOKUP('Données projet'!$B$14,'Paramètres'!$A$1:$I$89,5,0)</f>
        <v>0</v>
      </c>
      <c r="DQ168" s="130" t="str">
        <f t="shared" si="44"/>
        <v>#NUM!</v>
      </c>
      <c r="DR168" s="141" t="str">
        <f t="shared" si="17"/>
        <v>#NUM!</v>
      </c>
      <c r="DS168" s="133" t="str">
        <f t="shared" si="18"/>
        <v>#NUM!</v>
      </c>
      <c r="DT168" s="133">
        <f>AVERAGE(OFFSET($DS$3,0,0,'Données projet'!$E$14+1,1))-AVERAGE(OFFSET($H$3,0,0,'Données projet'!$E$14+1,1))</f>
        <v>287.9334714</v>
      </c>
      <c r="DU168" s="133">
        <f t="shared" si="45"/>
        <v>156.6796502</v>
      </c>
      <c r="DV168" s="134">
        <f>IF(ISNA(VLOOKUP(A168,'Données projet'!$A$165:$I$185,3,0)),0,VLOOKUP(A168,'Données projet'!$A$165:$I$185,3,0))</f>
        <v>0</v>
      </c>
      <c r="DW168" s="134">
        <f>IF(ISNA(VLOOKUP(A168,'Données projet'!$A$165:$I$185,4,0)),0,VLOOKUP(A168,'Données projet'!$A$165:$I$185,4,0))</f>
        <v>0</v>
      </c>
      <c r="DX168" s="135">
        <f>IF(ISNA(VLOOKUP(A168,'Données projet'!$A$165:$I$185,5,0)),0%,VLOOKUP(A168,'Données projet'!$A$165:$I$185,5,0)*VLOOKUP('Données projet'!$B$14,'Paramètres'!$A$1:$I$89,7,0))</f>
        <v>0</v>
      </c>
      <c r="DY168" s="135">
        <f>IF(ISNA(VLOOKUP(A168,'Données projet'!$A$165:$I$185,6,0)),0%,VLOOKUP(A168,'Données projet'!$A$165:$I$185,6,0)*VLOOKUP('Données projet'!$B$14,'Paramètres'!$A$1:$I$89,7,0))</f>
        <v>0</v>
      </c>
      <c r="DZ168" s="135">
        <f>IF(ISNA(VLOOKUP(A168,'Données projet'!$A$165:$I$185,7,0)),0%,VLOOKUP(A168,'Données projet'!$A$165:$I$185,7,0))</f>
        <v>0</v>
      </c>
      <c r="EA168" s="142">
        <f>EXP(-LN(2)/35)*EA167+(1-EXP(-LN(2)/35))/(LN(2)/35)*DW168*DX168*VLOOKUP('Données projet'!$B$14,'Paramètres'!$A$1:$I$89,3,0)*0.475*44/12</f>
        <v>96.30638653</v>
      </c>
      <c r="EB168" s="142">
        <f>EXP(-LN(2)/25)*EB167+(1-EXP(-LN(2)/25))/(LN(2)/25)*Calculateur!DW168*Calculateur!DY168*VLOOKUP('Données projet'!$B$14,'Paramètres'!$A$1:$I$89,3,0)*0.475*44/12</f>
        <v>0</v>
      </c>
      <c r="EC168" s="142">
        <f>EXP(-LN(2)/2)*EC167+(1-EXP(-LN(2)/2))/(LN(2)/2)*DW168*DZ168*VLOOKUP('Données projet'!$B$14,'Paramètres'!$A$1:$I$89,3,0)*0.475*44/12</f>
        <v>0</v>
      </c>
      <c r="ED168" s="143">
        <f t="shared" si="19"/>
        <v>96.30638653</v>
      </c>
      <c r="EE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1" t="str">
        <f>VLOOKUP(A168,'Données projet'!$A$191:$I$211,2,0)</f>
        <v>#N/A</v>
      </c>
      <c r="EH168" s="131" t="str">
        <f>VLOOKUP(A168,'Données projet'!$A$191:$I$211,9,0)</f>
        <v>#N/A</v>
      </c>
      <c r="EI168" s="131" t="str">
        <f t="array" ref="EI168">INDEX(EH:EH,MIN(IF(ISNUMBER(EH168:EH364),ROW(EH168:EH364),"")))</f>
        <v/>
      </c>
      <c r="EJ168" s="138">
        <f>IF('Données projet'!$A$192&gt;35,EJ167+EI168-ER167,IF(A168&lt;'Données projet'!$A$192,$EG$205^A168,IF(A168='Données projet'!$A$192,'Données projet'!$B$192,EJ167+EI168-ER167)))</f>
        <v>0</v>
      </c>
      <c r="EK168" s="138">
        <f>EJ168*VLOOKUP('Données projet'!$B$15,'Paramètres'!$A$1:$I$89,3,0)*VLOOKUP('Données projet'!$B$15,'Paramètres'!$A$1:$I$89,5,0)</f>
        <v>0</v>
      </c>
      <c r="EL168" s="130" t="str">
        <f t="shared" si="46"/>
        <v>#NUM!</v>
      </c>
      <c r="EM168" s="141" t="str">
        <f t="shared" si="20"/>
        <v>#NUM!</v>
      </c>
      <c r="EN168" s="133" t="str">
        <f t="shared" si="21"/>
        <v>#NUM!</v>
      </c>
      <c r="EO168" s="133">
        <f>AVERAGE(OFFSET($EN$3,0,0,'Données projet'!$E$15+1,1))-AVERAGE(OFFSET($H$3,0,0,'Données projet'!$E$15+1,1))</f>
        <v>130.3193339</v>
      </c>
      <c r="EP168" s="133">
        <f t="shared" si="47"/>
        <v>82.22784365</v>
      </c>
      <c r="EQ168" s="134">
        <f>IF(ISNA(VLOOKUP(A168,'Données projet'!$A$191:$I$211,3,0)),0,VLOOKUP(A168,'Données projet'!$A$191:$I$211,3,0))</f>
        <v>0</v>
      </c>
      <c r="ER168" s="134">
        <f>IF(ISNA(VLOOKUP(A168,'Données projet'!$A$191:$I$211,4,0)),0,VLOOKUP(A168,'Données projet'!$A$191:$I$211,4,0))</f>
        <v>0</v>
      </c>
      <c r="ES168" s="135">
        <f>IF(ISNA(VLOOKUP(A168,'Données projet'!$A$191:$I$211,5,0)),0%,VLOOKUP(A168,'Données projet'!$A$191:$I$211,5,0)*VLOOKUP('Données projet'!$B$15,'Paramètres'!$A$1:$I$89,7,0))</f>
        <v>0</v>
      </c>
      <c r="ET168" s="135">
        <f>IF(ISNA(VLOOKUP(A168,'Données projet'!$A$191:$I$211,6,0)),0%,VLOOKUP(A168,'Données projet'!$A$191:$I$211,6,0)*VLOOKUP('Données projet'!$B$15,'Paramètres'!$A$1:$I$89,7,0))</f>
        <v>0</v>
      </c>
      <c r="EU168" s="135">
        <f>IF(ISNA(VLOOKUP(A168,'Données projet'!$A$191:$I$211,7,0)),0%,VLOOKUP(A168,'Données projet'!$A$191:$I$211,7,0))</f>
        <v>0</v>
      </c>
      <c r="EV168" s="142">
        <f>EXP(-LN(2)/35)*EV167+(1-EXP(-LN(2)/35))/(LN(2)/35)*ER168*ES168*VLOOKUP('Données projet'!$B$15,'Paramètres'!$A$1:$I$89,3,0)*0.475*44/12</f>
        <v>19.73672663</v>
      </c>
      <c r="EW168" s="142">
        <f>EXP(-LN(2)/25)*EW167+(1-EXP(-LN(2)/25))/(LN(2)/25)*Calculateur!ER168*Calculateur!ET168*VLOOKUP('Données projet'!$B$15,'Paramètres'!$A$1:$I$89,3,0)*0.475*44/12</f>
        <v>0</v>
      </c>
      <c r="EX168" s="142">
        <f>EXP(-LN(2)/2)*EX167+(1-EXP(-LN(2)/2))/(LN(2)/2)*ER168*EU168*VLOOKUP('Données projet'!$B$15,'Paramètres'!$A$1:$I$89,3,0)*0.475*44/12</f>
        <v>0</v>
      </c>
      <c r="EY168" s="143">
        <f t="shared" si="22"/>
        <v>19.73672663</v>
      </c>
      <c r="EZ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1" t="str">
        <f>VLOOKUP(A168,'Données projet'!$A$217:$I$237,2,0)</f>
        <v>#N/A</v>
      </c>
      <c r="FC168" s="131" t="str">
        <f>VLOOKUP(A168,'Données projet'!$A$217:$I$237,9,0)</f>
        <v>#N/A</v>
      </c>
      <c r="FD168" s="131" t="str">
        <f t="array" ref="FD168">INDEX(FC:FC,MIN(IF(ISNUMBER(FC168:FC364),ROW(FC168:FC364),"")))</f>
        <v/>
      </c>
      <c r="FE168" s="130">
        <f>IF('Données projet'!$A$218&gt;35,FE167+FD168-FM167,IF(A168&lt;'Données projet'!$A$218,$FB$205^A168,IF(A168='Données projet'!$A$218,'Données projet'!$B$218,FE167+FD168-FM167)))</f>
        <v>0</v>
      </c>
      <c r="FF168" s="138">
        <f>FE168*VLOOKUP('Données projet'!$B$16,'Paramètres'!$A$1:$I$89,3,0)*VLOOKUP('Données projet'!$B$16,'Paramètres'!$A$1:$I$89,5,0)</f>
        <v>0</v>
      </c>
      <c r="FG168" s="130">
        <f t="shared" si="48"/>
        <v>0</v>
      </c>
      <c r="FH168" s="141">
        <f t="shared" si="23"/>
        <v>0</v>
      </c>
      <c r="FI168" s="133">
        <f t="shared" si="24"/>
        <v>293.3333333</v>
      </c>
      <c r="FJ168" s="133">
        <f>AVERAGE(OFFSET($FI$3,0,0,'Données projet'!$E$16+1,1))-AVERAGE(OFFSET($H$3,0,0,'Données projet'!$E$16+1,1))</f>
        <v>305.6252353</v>
      </c>
      <c r="FK168" s="133">
        <f t="shared" si="49"/>
        <v>331.397916</v>
      </c>
      <c r="FL168" s="134">
        <f>IF(ISNA(VLOOKUP(A168,'Données projet'!$A$217:$I$237,3,0)),0,VLOOKUP(A168,'Données projet'!$A$217:$I$237,3,0))</f>
        <v>0</v>
      </c>
      <c r="FM168" s="134">
        <f>IF(ISNA(VLOOKUP(A168,'Données projet'!$A$217:$I$237,4,0)),0,VLOOKUP(A168,'Données projet'!$A$217:$I$237,4,0))</f>
        <v>0</v>
      </c>
      <c r="FN168" s="135">
        <f>IF(ISNA(VLOOKUP(A168,'Données projet'!$A$217:$I$237,5,0)),0%,VLOOKUP(A168,'Données projet'!$A$217:$I$237,5,0)*VLOOKUP('Données projet'!$B$16,'Paramètres'!$A$1:$I$89,7,0))</f>
        <v>0</v>
      </c>
      <c r="FO168" s="135">
        <f>IF(ISNA(VLOOKUP(A168,'Données projet'!$A$217:$I$237,6,0)),0%,VLOOKUP(A168,'Données projet'!$A$217:$I$237,6,0)*VLOOKUP('Données projet'!$B$16,'Paramètres'!$A$1:$I$89,7,0))</f>
        <v>0</v>
      </c>
      <c r="FP168" s="135">
        <f>IF(ISNA(VLOOKUP(A168,'Données projet'!$A$217:$I$237,7,0)),0%,VLOOKUP(A168,'Données projet'!$A$217:$I$237,7,0))</f>
        <v>0</v>
      </c>
      <c r="FQ168" s="142">
        <f>EXP(-LN(2)/35)*FQ167+(1-EXP(-LN(2)/35))/(LN(2)/35)*FM168*FN168*VLOOKUP('Données projet'!$B$16,'Paramètres'!$A$1:$I$89,3,0)*0.475*44/12</f>
        <v>12.28867583</v>
      </c>
      <c r="FR168" s="142">
        <f>EXP(-LN(2)/25)*FR167+(1-EXP(-LN(2)/25))/(LN(2)/25)*Calculateur!FM168*Calculateur!FO168*VLOOKUP('Données projet'!$B$16,'Paramètres'!$A$1:$I$89,3,0)*0.475*44/12</f>
        <v>0</v>
      </c>
      <c r="FS168" s="142">
        <f>EXP(-LN(2)/2)*FS167+(1-EXP(-LN(2)/2))/(LN(2)/2)*FM168*FP168*VLOOKUP('Données projet'!$B$16,'Paramètres'!$A$1:$I$89,3,0)*0.475*44/12</f>
        <v>0</v>
      </c>
      <c r="FT168" s="143">
        <f t="shared" si="25"/>
        <v>12.28867583</v>
      </c>
      <c r="FU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1" t="str">
        <f>VLOOKUP(A168,'Données projet'!$A$243:$I$263,2,0)</f>
        <v>#N/A</v>
      </c>
      <c r="FX168" s="131" t="str">
        <f>VLOOKUP(A168,'Données projet'!$A$243:$I$263,9,0)</f>
        <v>#N/A</v>
      </c>
      <c r="FY168" s="131" t="str">
        <f t="array" ref="FY168">INDEX(FX:FX,MIN(IF(ISNUMBER(FX168:FX364),ROW(FX168:FX364),"")))</f>
        <v/>
      </c>
      <c r="FZ168" s="138">
        <f>IF('Données projet'!$A$244&gt;35,FZ167+FY168-GH167,IF(A168&lt;'Données projet'!$A$244,$FW$205^A168,IF(A168='Données projet'!$A$244,'Données projet'!$B$244,FZ167+FY168-GH167)))</f>
        <v>0</v>
      </c>
      <c r="GA168" s="138">
        <f>FZ168*VLOOKUP('Données projet'!$B$17,'Paramètres'!$A$1:$I$89,3,0)*VLOOKUP('Données projet'!$B$17,'Paramètres'!$A$1:$I$89,5,0)</f>
        <v>0</v>
      </c>
      <c r="GB168" s="130">
        <f t="shared" si="50"/>
        <v>0</v>
      </c>
      <c r="GC168" s="141">
        <f t="shared" si="26"/>
        <v>0</v>
      </c>
      <c r="GD168" s="133">
        <f t="shared" si="27"/>
        <v>293.3333333</v>
      </c>
      <c r="GE168" s="133">
        <f>AVERAGE(OFFSET($GD$3,0,0,'Données projet'!$E$17+1,1))-AVERAGE(OFFSET($H$3,0,0,'Données projet'!$E$17+1,1))</f>
        <v>118.7368745</v>
      </c>
      <c r="GF168" s="133">
        <f t="shared" si="51"/>
        <v>135.1233677</v>
      </c>
      <c r="GG168" s="134">
        <f>IF(ISNA(VLOOKUP(A168,'Données projet'!$A$243:$I$263,3,0)),0,VLOOKUP(A168,'Données projet'!$A$243:$I$263,3,0))</f>
        <v>0</v>
      </c>
      <c r="GH168" s="134">
        <f>IF(ISNA(VLOOKUP(A168,'Données projet'!$A$243:$I$263,4,0)),0,VLOOKUP(A168,'Données projet'!$A$243:$I$263,4,0))</f>
        <v>0</v>
      </c>
      <c r="GI168" s="135">
        <f>IF(ISNA(VLOOKUP(A168,'Données projet'!$A$243:$I$263,5,0)),0%,VLOOKUP(A168,'Données projet'!$A$243:$I$263,5,0)*VLOOKUP('Données projet'!$B$17,'Paramètres'!$A$1:$I$89,7,0))</f>
        <v>0</v>
      </c>
      <c r="GJ168" s="135">
        <f>IF(ISNA(VLOOKUP(A168,'Données projet'!$A$243:$I$263,6,0)),0%,VLOOKUP(A168,'Données projet'!$A$243:$I$263,6,0)*VLOOKUP('Données projet'!$B$17,'Paramètres'!$A$1:$I$89,7,0))</f>
        <v>0</v>
      </c>
      <c r="GK168" s="135">
        <f>IF(ISNA(VLOOKUP(A168,'Données projet'!$A$243:$I$263,7,0)),0%,VLOOKUP(A168,'Données projet'!$A$243:$I$263,7,0))</f>
        <v>0</v>
      </c>
      <c r="GL168" s="142">
        <f>EXP(-LN(2)/35)*GL167+(1-EXP(-LN(2)/35))/(LN(2)/35)*GH168*GI168*VLOOKUP('Données projet'!$B$17,'Paramètres'!$A$1:$I$89,3,0)*0.475*44/12</f>
        <v>12.98294802</v>
      </c>
      <c r="GM168" s="142">
        <f>EXP(-LN(2)/25)*GM167+(1-EXP(-LN(2)/25))/(LN(2)/25)*Calculateur!GH168*Calculateur!GJ168*VLOOKUP('Données projet'!$B$17,'Paramètres'!$A$1:$I$89,3,0)*0.475*44/12</f>
        <v>0</v>
      </c>
      <c r="GN168" s="142">
        <f>EXP(-LN(2)/2)*GN167+(1-EXP(-LN(2)/2))/(LN(2)/2)*GH168*GK168*VLOOKUP('Données projet'!$B$17,'Paramètres'!$A$1:$I$89,3,0)*0.475*44/12</f>
        <v>0</v>
      </c>
      <c r="GO168" s="142">
        <f t="shared" si="28"/>
        <v>12.98294802</v>
      </c>
      <c r="GP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1" t="str">
        <f>VLOOKUP(A168,'Données projet'!$A$269:$I$289,2,0)</f>
        <v>#N/A</v>
      </c>
      <c r="GS168" s="131" t="str">
        <f>VLOOKUP(A168,'Données projet'!$A$269:$I$289,9,0)</f>
        <v>#N/A</v>
      </c>
      <c r="GT168" s="131" t="str">
        <f t="array" ref="GT168">INDEX(GS:GS,MIN(IF(ISNUMBER(GS168:GS364),ROW(GS168:GS364),"")))</f>
        <v/>
      </c>
      <c r="GU168" s="138">
        <f>IF('Données projet'!$A$270&gt;35,GU167+GT168-HC167,IF(A168&lt;'Données projet'!$A$270,$GR$205^A168,IF(A168='Données projet'!$A$270,'Données projet'!$B$270,GU167+GT168-HC167)))</f>
        <v>0</v>
      </c>
      <c r="GV168" s="138">
        <f>GU168*VLOOKUP('Données projet'!$B$18,'Paramètres'!$A$1:$I$89,3,0)*VLOOKUP('Données projet'!$B$18,'Paramètres'!$A$1:$I$89,5,0)</f>
        <v>0</v>
      </c>
      <c r="GW168" s="130" t="str">
        <f t="shared" si="52"/>
        <v>#NUM!</v>
      </c>
      <c r="GX168" s="141" t="str">
        <f t="shared" si="29"/>
        <v>#NUM!</v>
      </c>
      <c r="GY168" s="133" t="str">
        <f t="shared" si="30"/>
        <v>#NUM!</v>
      </c>
      <c r="GZ168" s="133">
        <f>AVERAGE(OFFSET($GY$3,0,0,'Données projet'!$E$18+1,1))-AVERAGE(OFFSET($H$3,0,0,'Données projet'!$E$18+1,1))</f>
        <v>100.5427875</v>
      </c>
      <c r="HA168" s="133">
        <f t="shared" si="53"/>
        <v>92.28663609</v>
      </c>
      <c r="HB168" s="134">
        <f>IF(ISNA(VLOOKUP(A168,'Données projet'!$A$269:$I$289,3,0)),0,VLOOKUP(A168,'Données projet'!$A$269:$I$289,3,0))</f>
        <v>0</v>
      </c>
      <c r="HC168" s="134">
        <f>IF(ISNA(VLOOKUP(A168,'Données projet'!$A$269:$I$289,4,0)),0,VLOOKUP(A168,'Données projet'!$A$269:$I$289,4,0))</f>
        <v>0</v>
      </c>
      <c r="HD168" s="135">
        <f>IF(ISNA(VLOOKUP(A168,'Données projet'!$A$269:$I$289,5,0)),0%,VLOOKUP(A168,'Données projet'!$A$269:$I$289,5,0)*VLOOKUP('Données projet'!$B$18,'Paramètres'!$A$1:$I$89,7,0))</f>
        <v>0</v>
      </c>
      <c r="HE168" s="135">
        <f>IF(ISNA(VLOOKUP(A168,'Données projet'!$A$269:$I$289,6,0)),0%,VLOOKUP(A168,'Données projet'!$A$269:$I$289,6,0)*VLOOKUP('Données projet'!$B$18,'Paramètres'!$A$1:$I$89,7,0))</f>
        <v>0</v>
      </c>
      <c r="HF168" s="135">
        <f>IF(ISNA(VLOOKUP(A168,'Données projet'!$A$269:$I$289,7,0)),0%,VLOOKUP(A168,'Données projet'!$A$269:$I$289,7,0))</f>
        <v>0</v>
      </c>
      <c r="HG168" s="142">
        <f>EXP(-LN(2)/35)*HG167+(1-EXP(-LN(2)/35))/(LN(2)/35)*HC168*HD168*VLOOKUP('Données projet'!$B$18,'Paramètres'!$A$1:$I$89,3,0)*0.475*44/12</f>
        <v>8.841113709</v>
      </c>
      <c r="HH168" s="142">
        <f>EXP(-LN(2)/25)*HH167+(1-EXP(-LN(2)/25))/(LN(2)/25)*Calculateur!HC168*Calculateur!HE168*VLOOKUP('Données projet'!$B$18,'Paramètres'!$A$1:$I$89,3,0)*0.475*44/12</f>
        <v>0</v>
      </c>
      <c r="HI168" s="142">
        <f>EXP(-LN(2)/2)*HI167+(1-EXP(-LN(2)/2))/(LN(2)/2)*HC168*HF168*VLOOKUP('Données projet'!$B$18,'Paramètres'!$A$1:$I$89,3,0)*0.475*44/12</f>
        <v>0</v>
      </c>
      <c r="HJ168" s="143">
        <f t="shared" si="31"/>
        <v>8.841113709</v>
      </c>
    </row>
    <row r="169" ht="15.75" customHeight="1">
      <c r="A169" s="125">
        <f t="shared" si="32"/>
        <v>166</v>
      </c>
      <c r="B169" s="126">
        <f>'Scénario référence'!$B$16*5+'Scénario référence'!$B$17*0+'Scénario référence'!$B$18*5</f>
        <v>0</v>
      </c>
      <c r="C169" s="140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90.636</v>
      </c>
      <c r="D169" s="127">
        <f t="shared" si="33"/>
        <v>24.71854996</v>
      </c>
      <c r="E16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7">
        <f>IF(OR('Scénario référence'!$F$8&gt;0,'Scénario référence'!$F$9&gt;0),('Scénario référence'!$F$8+'Scénario référence'!$F$9)*10,0)</f>
        <v>10</v>
      </c>
      <c r="G169" s="127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</v>
      </c>
      <c r="H169" s="128">
        <f t="shared" si="1"/>
        <v>494.2425078</v>
      </c>
      <c r="I169" s="12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1" t="str">
        <f>VLOOKUP(A169,'Données projet'!$A$35:$I$55,2,0)</f>
        <v>#N/A</v>
      </c>
      <c r="L169" s="131" t="str">
        <f>VLOOKUP(A169,'Données projet'!$A$35:$I$55,9,0)</f>
        <v>#N/A</v>
      </c>
      <c r="M169" s="131" t="str">
        <f t="array" ref="M169">INDEX(L:L,MIN(IF(ISNUMBER(L169:L365),ROW(L169:L365),"")))</f>
        <v/>
      </c>
      <c r="N169" s="130">
        <f>IF('Données projet'!$A$36&gt;35,N168+M169-V168,IF(A169&lt;'Données projet'!$A$36,$K$205^A169,IF(A169='Données projet'!$A$36,'Données projet'!$B$36,N168+M169-V168)))</f>
        <v>0</v>
      </c>
      <c r="O169" s="130">
        <f>N169*VLOOKUP('Données projet'!$B$9,'Paramètres'!$A$1:$I$89,3,0)*VLOOKUP('Données projet'!$B$9,'Paramètres'!$A$1:$I$89,5,0)</f>
        <v>0</v>
      </c>
      <c r="P169" s="130">
        <f t="shared" si="34"/>
        <v>0</v>
      </c>
      <c r="Q169" s="141">
        <f t="shared" si="2"/>
        <v>0</v>
      </c>
      <c r="R169" s="133">
        <f t="shared" si="3"/>
        <v>293.3333333</v>
      </c>
      <c r="S169" s="133">
        <f>AVERAGE(OFFSET($R$3,0,0,'Données projet'!$E$9+1,1))-AVERAGE(OFFSET($H$3,0,0,'Données projet'!$E$9+1,1))</f>
        <v>126.9946492</v>
      </c>
      <c r="T169" s="133">
        <f t="shared" si="35"/>
        <v>140.039049</v>
      </c>
      <c r="U169" s="134">
        <f>IF(ISNA(VLOOKUP(A169,'Données projet'!$A$35:$I$55,3,0)),0,VLOOKUP(A169,'Données projet'!$A$35:$I$55,3,0))</f>
        <v>0</v>
      </c>
      <c r="V169" s="134">
        <f>IF(ISNA(VLOOKUP(A169,'Données projet'!$A$35:$I$55,4,0)),0,VLOOKUP(A169,'Données projet'!$A$35:$I$55,4,0))</f>
        <v>0</v>
      </c>
      <c r="W169" s="135">
        <f>IF(ISNA(VLOOKUP(A169,'Données projet'!$A$35:$I$55,5,0)),0%,VLOOKUP(A169,'Données projet'!$A$35:$I$55,5,0)*VLOOKUP('Données projet'!$B$9,'Paramètres'!$A$1:$I$89,7,0))</f>
        <v>0</v>
      </c>
      <c r="X169" s="135">
        <f>IF(ISNA(VLOOKUP(A169,'Données projet'!$A$35:$I$55,6,0)),0%,VLOOKUP(A169,'Données projet'!$A$35:$I$55,6,0)*VLOOKUP('Données projet'!$B$9,'Paramètres'!$A$1:$I$89,7,0))</f>
        <v>0</v>
      </c>
      <c r="Y169" s="135">
        <f>IF(ISNA(VLOOKUP(A169,'Données projet'!$A$35:$I$55,7,0)),0%,VLOOKUP(A169,'Données projet'!$A$35:$I$55,7,0))</f>
        <v>0</v>
      </c>
      <c r="Z169" s="142">
        <f>EXP(-LN(2)/35)*Z168+(1-EXP(-LN(2)/35))/(LN(2)/35)*V169*W169*VLOOKUP('Données projet'!$B$9,'Paramètres'!$A$1:$I$89,3,0)*0.475*44/12</f>
        <v>13.01827923</v>
      </c>
      <c r="AA169" s="142">
        <f>EXP(-LN(2)/25)*AA168+(1-EXP(-LN(2)/25))/(LN(2)/25)*Calculateur!V169*Calculateur!X169*VLOOKUP('Données projet'!$B$9,'Paramètres'!$A$1:$I$89,3,0)*0.475*44/12</f>
        <v>1.229825984</v>
      </c>
      <c r="AB169" s="142">
        <f>EXP(-LN(2)/2)*AB168+(1-EXP(-LN(2)/2))/(LN(2)/2)*V169*Y169*VLOOKUP('Données projet'!$B$9,'Paramètres'!$A$1:$I$89,3,0)*0.475*44/12</f>
        <v>0</v>
      </c>
      <c r="AC169" s="143">
        <f t="shared" si="4"/>
        <v>14.24810522</v>
      </c>
      <c r="AD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1" t="str">
        <f>VLOOKUP(A169,'Données projet'!$A$61:$I$81,2,0)</f>
        <v>#N/A</v>
      </c>
      <c r="AG169" s="131" t="str">
        <f>VLOOKUP(A169,'Données projet'!$A$61:$I$81,9,0)</f>
        <v>#N/A</v>
      </c>
      <c r="AH169" s="131" t="str">
        <f t="array" ref="AH169">INDEX(AG:AG,MIN(IF(ISNUMBER(AG169:AG365),ROW(AG169:AG365),"")))</f>
        <v/>
      </c>
      <c r="AI169" s="130">
        <f>IF('Données projet'!$A$62&gt;35,AI168+AH169-AQ168,IF(A169&lt;'Données projet'!$A$62,$AF$205^A169,IF(A169='Données projet'!$A$62,'Données projet'!$B$62,AI168+AH169-AQ168)))</f>
        <v>0</v>
      </c>
      <c r="AJ169" s="130">
        <f>AI169*VLOOKUP('Données projet'!$B$10,'Paramètres'!$A$1:$I$89,3,0)*VLOOKUP('Données projet'!$B$10,'Paramètres'!$A$1:$I$89,5,0)</f>
        <v>0</v>
      </c>
      <c r="AK169" s="130" t="str">
        <f t="shared" si="36"/>
        <v>#NUM!</v>
      </c>
      <c r="AL169" s="141" t="str">
        <f t="shared" si="5"/>
        <v>#NUM!</v>
      </c>
      <c r="AM169" s="133" t="str">
        <f t="shared" si="6"/>
        <v>#NUM!</v>
      </c>
      <c r="AN169" s="133">
        <f>AVERAGE(OFFSET($AM$3,0,0,'Données projet'!$E$10+1,1))-AVERAGE(OFFSET($H$3,0,0,'Données projet'!$E$10+1,1))</f>
        <v>196.874484</v>
      </c>
      <c r="AO169" s="133">
        <f t="shared" si="37"/>
        <v>217.5750859</v>
      </c>
      <c r="AP169" s="134">
        <f>IF(ISNA(VLOOKUP(A169,'Données projet'!$A$61:$I$81,3,0)),0,VLOOKUP(A169,'Données projet'!$A$61:$I$81,3,0))</f>
        <v>0</v>
      </c>
      <c r="AQ169" s="134">
        <f>IF(ISNA(VLOOKUP(A169,'Données projet'!$A$61:$I$81,4,0)),0,VLOOKUP(A169,'Données projet'!$A$61:$I$81,4,0))</f>
        <v>0</v>
      </c>
      <c r="AR169" s="135">
        <f>IF(ISNA(VLOOKUP(A169,'Données projet'!$A$61:$I$81,5,0)),0%,VLOOKUP(A169,'Données projet'!$A$61:$I$81,5,0)*VLOOKUP('Données projet'!$B$10,'Paramètres'!$A$1:$I$89,7,0))</f>
        <v>0</v>
      </c>
      <c r="AS169" s="135">
        <f>IF(ISNA(VLOOKUP(A169,'Données projet'!$A$61:$I$81,6,0)),0%,VLOOKUP(A169,'Données projet'!$A$61:$I$81,6,0)*VLOOKUP('Données projet'!$B$10,'Paramètres'!$A$1:$I$89,7,0))</f>
        <v>0</v>
      </c>
      <c r="AT169" s="135">
        <f>IF(ISNA(VLOOKUP(A169,'Données projet'!$A$61:$I$81,7,0)),0%,VLOOKUP(A169,'Données projet'!$A$61:$I$81,7,0))</f>
        <v>0</v>
      </c>
      <c r="AU169" s="142">
        <f>EXP(-LN(2)/35)*AU168+(1-EXP(-LN(2)/35))/(LN(2)/35)*AQ169*AR169*VLOOKUP('Données projet'!$B$10,'Paramètres'!$A$1:$I$89,3,0)*0.475*44/12</f>
        <v>18.09503837</v>
      </c>
      <c r="AV169" s="142">
        <f>EXP(-LN(2)/25)*AV168+(1-EXP(-LN(2)/25))/(LN(2)/25)*Calculateur!AQ169*Calculateur!AS169*VLOOKUP('Données projet'!$B$10,'Paramètres'!$A$1:$I$89,3,0)*0.475*44/12</f>
        <v>1.890859094</v>
      </c>
      <c r="AW169" s="142">
        <f>EXP(-LN(2)/2)*AW168+(1-EXP(-LN(2)/2))/(LN(2)/2)*AQ169*AT169*VLOOKUP('Données projet'!$B$10,'Paramètres'!$A$1:$I$89,3,0)*0.475*44/12</f>
        <v>0</v>
      </c>
      <c r="AX169" s="142">
        <f t="shared" si="7"/>
        <v>19.98589746</v>
      </c>
      <c r="AY169" s="13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1" t="str">
        <f>VLOOKUP(A169,'Données projet'!$A$87:$I$107,2,0)</f>
        <v>#N/A</v>
      </c>
      <c r="BB169" s="131" t="str">
        <f>VLOOKUP(A169,'Données projet'!$A$87:$I$107,9,0)</f>
        <v>#N/A</v>
      </c>
      <c r="BC169" s="131" t="str">
        <f t="array" ref="BC169">INDEX(BB:BB,MIN(IF(ISNUMBER(BB169:BB365),ROW(BB169:BB365),"")))</f>
        <v/>
      </c>
      <c r="BD169" s="130">
        <f>IF('Données projet'!$A$88&gt;35,BD168+BC169-BL168,IF(A169&lt;'Données projet'!$A$88,$BA$205^A169,IF(A169='Données projet'!$A$88,'Données projet'!$B$88,BD168+BC169-BL168)))</f>
        <v>0</v>
      </c>
      <c r="BE169" s="130">
        <f>BD169*VLOOKUP('Données projet'!$B$11,'Paramètres'!$A$1:$I$89,3,0)*VLOOKUP('Données projet'!$B$11,'Paramètres'!$A$1:$I$89,5,0)</f>
        <v>0</v>
      </c>
      <c r="BF169" s="130" t="str">
        <f t="shared" si="38"/>
        <v>#NUM!</v>
      </c>
      <c r="BG169" s="141" t="str">
        <f t="shared" si="8"/>
        <v>#NUM!</v>
      </c>
      <c r="BH169" s="133" t="str">
        <f t="shared" si="9"/>
        <v>#NUM!</v>
      </c>
      <c r="BI169" s="133">
        <f>AVERAGE(OFFSET($BH$3,0,0,'Données projet'!$E$11+1,1))-AVERAGE(OFFSET($H$3,0,0,'Données projet'!$E$11+1,1))</f>
        <v>134.0948534</v>
      </c>
      <c r="BJ169" s="133">
        <f t="shared" si="39"/>
        <v>108.4102536</v>
      </c>
      <c r="BK169" s="134">
        <f>IF(ISNA(VLOOKUP(A169,'Données projet'!$A$87:$I$107,3,0)),0,VLOOKUP(A169,'Données projet'!$A$87:$I$107,3,0))</f>
        <v>0</v>
      </c>
      <c r="BL169" s="134">
        <f>IF(ISNA(VLOOKUP(A169,'Données projet'!$A$87:$I$107,4,0)),0,VLOOKUP(A169,'Données projet'!$A$87:$I$107,4,0))</f>
        <v>0</v>
      </c>
      <c r="BM169" s="135">
        <f>IF(ISNA(VLOOKUP(A169,'Données projet'!$A$87:$I$107,5,0)),0%,VLOOKUP(A169,'Données projet'!$A$87:$I$107,5,0)*VLOOKUP('Données projet'!$B$11,'Paramètres'!$A$1:$I$89,7,0))</f>
        <v>0</v>
      </c>
      <c r="BN169" s="135">
        <f>IF(ISNA(VLOOKUP(A169,'Données projet'!$A$87:$I$107,6,0)),0%,VLOOKUP(A169,'Données projet'!$A$87:$I$107,6,0)*VLOOKUP('Données projet'!$B$11,'Paramètres'!$A$1:$I$89,7,0))</f>
        <v>0</v>
      </c>
      <c r="BO169" s="135">
        <f>IF(ISNA(VLOOKUP(A169,'Données projet'!$A$87:$I$107,7,0)),0%,VLOOKUP(A169,'Données projet'!$A$87:$I$107,7,0))</f>
        <v>0</v>
      </c>
      <c r="BP169" s="142">
        <f>EXP(-LN(2)/35)*BP168+(1-EXP(-LN(2)/35))/(LN(2)/35)*BL169*BM169*VLOOKUP('Données projet'!$B$11,'Paramètres'!$A$1:$I$89,3,0)*0.475*44/12</f>
        <v>25.02881746</v>
      </c>
      <c r="BQ169" s="142">
        <f>EXP(-LN(2)/25)*BQ168+(1-EXP(-LN(2)/25))/(LN(2)/25)*Calculateur!BL169*Calculateur!BN169*VLOOKUP('Données projet'!$B$11,'Paramètres'!$A$1:$I$89,3,0)*0.475*44/12</f>
        <v>1.19275554</v>
      </c>
      <c r="BR169" s="142">
        <f>EXP(-LN(2)/2)*BR168+(1-EXP(-LN(2)/2))/(LN(2)/2)*BL169*BO169*VLOOKUP('Données projet'!$B$11,'Paramètres'!$A$1:$I$89,3,0)*0.475*44/12</f>
        <v>0</v>
      </c>
      <c r="BS169" s="143">
        <f t="shared" si="10"/>
        <v>26.221573</v>
      </c>
      <c r="BT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1" t="str">
        <f>VLOOKUP(A169,'Données projet'!$A$113:$I$133,2,0)</f>
        <v>#N/A</v>
      </c>
      <c r="BW169" s="131" t="str">
        <f>VLOOKUP(A169,'Données projet'!$A$113:$I$133,9,0)</f>
        <v>#N/A</v>
      </c>
      <c r="BX169" s="131" t="str">
        <f t="array" ref="BX169">INDEX(BW:BW,MIN(IF(ISNUMBER(BW169:BW365),ROW(BW169:BW365),"")))</f>
        <v/>
      </c>
      <c r="BY169" s="130">
        <f>IF('Données projet'!$A$114&gt;35,BY168+BX169-CG168,IF(A169&lt;'Données projet'!$A$114,$BV$205^A169,IF(A169='Données projet'!$A$114,'Données projet'!$B$114,BY168+BX169-CG168)))</f>
        <v>0</v>
      </c>
      <c r="BZ169" s="130">
        <f>BY169*VLOOKUP('Données projet'!$B$12,'Paramètres'!$A$1:$I$89,3,0)*VLOOKUP('Données projet'!$B$12,'Paramètres'!$A$1:$I$89,5,0)</f>
        <v>0</v>
      </c>
      <c r="CA169" s="130" t="str">
        <f t="shared" si="40"/>
        <v>#NUM!</v>
      </c>
      <c r="CB169" s="141" t="str">
        <f t="shared" si="11"/>
        <v>#NUM!</v>
      </c>
      <c r="CC169" s="133" t="str">
        <f t="shared" si="12"/>
        <v>#NUM!</v>
      </c>
      <c r="CD169" s="133">
        <f>AVERAGE(OFFSET($CC$3,0,0,'Données projet'!$E$12+1,1))-AVERAGE(OFFSET($H$3,0,0,'Données projet'!$E$12+1,1))</f>
        <v>258.1672054</v>
      </c>
      <c r="CE169" s="133">
        <f t="shared" si="41"/>
        <v>296.0724261</v>
      </c>
      <c r="CF169" s="134">
        <f>IF(ISNA(VLOOKUP(A169,'Données projet'!$A$113:$I$133,3,0)),0,VLOOKUP(A169,'Données projet'!$A$113:$I$133,3,0))</f>
        <v>0</v>
      </c>
      <c r="CG169" s="134">
        <f>IF(ISNA(VLOOKUP(A169,'Données projet'!$A$113:$I$133,4,0)),0,VLOOKUP(A169,'Données projet'!$A$113:$I$133,4,0))</f>
        <v>0</v>
      </c>
      <c r="CH169" s="135">
        <f>IF(ISNA(VLOOKUP(A169,'Données projet'!$A$113:$I$133,5,0)),0%,VLOOKUP(A169,'Données projet'!$A$113:$I$133,5,0)*VLOOKUP('Données projet'!$B$12,'Paramètres'!$A$1:$I$89,7,0))</f>
        <v>0</v>
      </c>
      <c r="CI169" s="135">
        <f>IF(ISNA(VLOOKUP(A169,'Données projet'!$A$113:$I$133,6,0)),0%,VLOOKUP(A169,'Données projet'!$A$113:$I$133,6,0)*VLOOKUP('Données projet'!$B$12,'Paramètres'!$A$1:$I$89,7,0))</f>
        <v>0</v>
      </c>
      <c r="CJ169" s="135">
        <f>IF(ISNA(VLOOKUP(A169,'Données projet'!$A$113:$I$133,7,0)),0%,VLOOKUP(A169,'Données projet'!$A$113:$I$133,7,0))</f>
        <v>0</v>
      </c>
      <c r="CK169" s="142">
        <f>EXP(-LN(2)/35)*CK168+(1-EXP(-LN(2)/35))/(LN(2)/35)*CG169*CH169*VLOOKUP('Données projet'!$B$12,'Paramètres'!$A$1:$I$89,3,0)*0.475*44/12</f>
        <v>31.6440819</v>
      </c>
      <c r="CL169" s="142">
        <f>EXP(-LN(2)/25)*CL168+(1-EXP(-LN(2)/25))/(LN(2)/25)*Calculateur!CG169*Calculateur!CI169*VLOOKUP('Données projet'!$B$12,'Paramètres'!$A$1:$I$89,3,0)*0.475*44/12</f>
        <v>2.092160926</v>
      </c>
      <c r="CM169" s="142">
        <f>EXP(-LN(2)/2)*CM168+(1-EXP(-LN(2)/2))/(LN(2)/2)*CG169*CJ169*VLOOKUP('Données projet'!$B$12,'Paramètres'!$A$1:$I$89,3,0)*0.475*44/12</f>
        <v>0</v>
      </c>
      <c r="CN169" s="143">
        <f t="shared" si="13"/>
        <v>33.73624283</v>
      </c>
      <c r="CO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1" t="str">
        <f>VLOOKUP(A169,'Données projet'!$A$139:$I$159,2,0)</f>
        <v>#N/A</v>
      </c>
      <c r="CR169" s="131" t="str">
        <f>VLOOKUP(A169,'Données projet'!$A$139:$I$159,9,0)</f>
        <v>#N/A</v>
      </c>
      <c r="CS169" s="131" t="str">
        <f t="array" ref="CS169">INDEX(CR:CR,MIN(IF(ISNUMBER(CR169:CR365),ROW(CR169:CR365),"")))</f>
        <v/>
      </c>
      <c r="CT169" s="138">
        <f>IF('Données projet'!$A$140&gt;35,CT168+CS169-DB168,IF(A169&lt;'Données projet'!$A$140,$CQ$205^A169,IF(A169='Données projet'!$A$140,'Données projet'!$B$140,CT168+CS169-DB168)))</f>
        <v>0</v>
      </c>
      <c r="CU169" s="138">
        <f>CT169*VLOOKUP('Données projet'!$B$13,'Paramètres'!$A$1:$I$89,3,0)*VLOOKUP('Données projet'!$B$13,'Paramètres'!$A$1:$I$89,5,0)</f>
        <v>0</v>
      </c>
      <c r="CV169" s="130" t="str">
        <f t="shared" si="42"/>
        <v>#NUM!</v>
      </c>
      <c r="CW169" s="141" t="str">
        <f t="shared" si="14"/>
        <v>#NUM!</v>
      </c>
      <c r="CX169" s="133" t="str">
        <f t="shared" si="15"/>
        <v>#NUM!</v>
      </c>
      <c r="CY169" s="133">
        <f>AVERAGE(OFFSET($CX$3,0,0,'Données projet'!$E$13+1,1))-AVERAGE(OFFSET($H$3,0,0,'Données projet'!$E$13+1,1))</f>
        <v>223.783507</v>
      </c>
      <c r="CZ169" s="133">
        <f t="shared" si="43"/>
        <v>84.92349117</v>
      </c>
      <c r="DA169" s="134">
        <f>IF(ISNA(VLOOKUP(A169,'Données projet'!$A$139:$I$159,3,0)),0,VLOOKUP(A169,'Données projet'!$A$139:$I$159,3,0))</f>
        <v>0</v>
      </c>
      <c r="DB169" s="134">
        <f>IF(ISNA(VLOOKUP(A169,'Données projet'!$A$139:$I$159,4,0)),0,VLOOKUP(A169,'Données projet'!$A$139:$I$159,4,0))</f>
        <v>0</v>
      </c>
      <c r="DC169" s="135">
        <f>IF(ISNA(VLOOKUP(A169,'Données projet'!$A$139:$I$159,5,0)),0%,VLOOKUP(A169,'Données projet'!$A$139:$I$159,5,0)*VLOOKUP('Données projet'!$B$13,'Paramètres'!$A$1:$I$89,7,0))</f>
        <v>0</v>
      </c>
      <c r="DD169" s="135">
        <f>IF(ISNA(VLOOKUP(A169,'Données projet'!$A$139:$I$159,6,0)),0%,VLOOKUP(A169,'Données projet'!$A$139:$I$159,6,0)*VLOOKUP('Données projet'!$B$13,'Paramètres'!$A$1:$I$89,7,0))</f>
        <v>0</v>
      </c>
      <c r="DE169" s="135">
        <f>IF(ISNA(VLOOKUP(A169,'Données projet'!$A$139:$I$159,7,0)),0%,VLOOKUP(A169,'Données projet'!$A$139:$I$159,7,0))</f>
        <v>0</v>
      </c>
      <c r="DF169" s="142">
        <f>EXP(-LN(2)/35)*DF168+(1-EXP(-LN(2)/35))/(LN(2)/35)*DB169*DC169*VLOOKUP('Données projet'!$B$13,'Paramètres'!$A$1:$I$89,3,0)*0.475*44/12</f>
        <v>81.27441898</v>
      </c>
      <c r="DG169" s="142">
        <f>EXP(-LN(2)/25)*DG168+(1-EXP(-LN(2)/25))/(LN(2)/25)*Calculateur!DB169*Calculateur!DD169*VLOOKUP('Données projet'!$B$13,'Paramètres'!$A$1:$I$89,3,0)*0.475*44/12</f>
        <v>0</v>
      </c>
      <c r="DH169" s="142">
        <f>EXP(-LN(2)/2)*DH168+(1-EXP(-LN(2)/2))/(LN(2)/2)*DB169*DE169*VLOOKUP('Données projet'!$B$13,'Paramètres'!$A$1:$I$89,3,0)*0.475*44/12</f>
        <v>0</v>
      </c>
      <c r="DI169" s="143">
        <f t="shared" si="16"/>
        <v>81.27441898</v>
      </c>
      <c r="DJ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1" t="str">
        <f>VLOOKUP(A169,'Données projet'!$A$165:$I$185,2,0)</f>
        <v>#N/A</v>
      </c>
      <c r="DM169" s="131" t="str">
        <f>VLOOKUP(A169,'Données projet'!$A$165:$I$185,9,0)</f>
        <v>#N/A</v>
      </c>
      <c r="DN169" s="131" t="str">
        <f t="array" ref="DN169">INDEX(DM:DM,MIN(IF(ISNUMBER(DM169:DM365),ROW(DM169:DM365),"")))</f>
        <v/>
      </c>
      <c r="DO169" s="138">
        <f>IF('Données projet'!$A$166&gt;35,DO168+DN169-DW168,IF(A169&lt;'Données projet'!$A$166,$DL$205^A169,IF(A169='Données projet'!$A$166,'Données projet'!$B$166,DO168+DN169-DW168)))</f>
        <v>0</v>
      </c>
      <c r="DP169" s="138">
        <f>DO169*VLOOKUP('Données projet'!$B$14,'Paramètres'!$A$1:$I$89,3,0)*VLOOKUP('Données projet'!$B$14,'Paramètres'!$A$1:$I$89,5,0)</f>
        <v>0</v>
      </c>
      <c r="DQ169" s="130" t="str">
        <f t="shared" si="44"/>
        <v>#NUM!</v>
      </c>
      <c r="DR169" s="141" t="str">
        <f t="shared" si="17"/>
        <v>#NUM!</v>
      </c>
      <c r="DS169" s="133" t="str">
        <f t="shared" si="18"/>
        <v>#NUM!</v>
      </c>
      <c r="DT169" s="133">
        <f>AVERAGE(OFFSET($DS$3,0,0,'Données projet'!$E$14+1,1))-AVERAGE(OFFSET($H$3,0,0,'Données projet'!$E$14+1,1))</f>
        <v>287.9334714</v>
      </c>
      <c r="DU169" s="133">
        <f t="shared" si="45"/>
        <v>156.6796502</v>
      </c>
      <c r="DV169" s="134">
        <f>IF(ISNA(VLOOKUP(A169,'Données projet'!$A$165:$I$185,3,0)),0,VLOOKUP(A169,'Données projet'!$A$165:$I$185,3,0))</f>
        <v>0</v>
      </c>
      <c r="DW169" s="134">
        <f>IF(ISNA(VLOOKUP(A169,'Données projet'!$A$165:$I$185,4,0)),0,VLOOKUP(A169,'Données projet'!$A$165:$I$185,4,0))</f>
        <v>0</v>
      </c>
      <c r="DX169" s="135">
        <f>IF(ISNA(VLOOKUP(A169,'Données projet'!$A$165:$I$185,5,0)),0%,VLOOKUP(A169,'Données projet'!$A$165:$I$185,5,0)*VLOOKUP('Données projet'!$B$14,'Paramètres'!$A$1:$I$89,7,0))</f>
        <v>0</v>
      </c>
      <c r="DY169" s="135">
        <f>IF(ISNA(VLOOKUP(A169,'Données projet'!$A$165:$I$185,6,0)),0%,VLOOKUP(A169,'Données projet'!$A$165:$I$185,6,0)*VLOOKUP('Données projet'!$B$14,'Paramètres'!$A$1:$I$89,7,0))</f>
        <v>0</v>
      </c>
      <c r="DZ169" s="135">
        <f>IF(ISNA(VLOOKUP(A169,'Données projet'!$A$165:$I$185,7,0)),0%,VLOOKUP(A169,'Données projet'!$A$165:$I$185,7,0))</f>
        <v>0</v>
      </c>
      <c r="EA169" s="142">
        <f>EXP(-LN(2)/35)*EA168+(1-EXP(-LN(2)/35))/(LN(2)/35)*DW169*DX169*VLOOKUP('Données projet'!$B$14,'Paramètres'!$A$1:$I$89,3,0)*0.475*44/12</f>
        <v>94.41787703</v>
      </c>
      <c r="EB169" s="142">
        <f>EXP(-LN(2)/25)*EB168+(1-EXP(-LN(2)/25))/(LN(2)/25)*Calculateur!DW169*Calculateur!DY169*VLOOKUP('Données projet'!$B$14,'Paramètres'!$A$1:$I$89,3,0)*0.475*44/12</f>
        <v>0</v>
      </c>
      <c r="EC169" s="142">
        <f>EXP(-LN(2)/2)*EC168+(1-EXP(-LN(2)/2))/(LN(2)/2)*DW169*DZ169*VLOOKUP('Données projet'!$B$14,'Paramètres'!$A$1:$I$89,3,0)*0.475*44/12</f>
        <v>0</v>
      </c>
      <c r="ED169" s="143">
        <f t="shared" si="19"/>
        <v>94.41787703</v>
      </c>
      <c r="EE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1" t="str">
        <f>VLOOKUP(A169,'Données projet'!$A$191:$I$211,2,0)</f>
        <v>#N/A</v>
      </c>
      <c r="EH169" s="131" t="str">
        <f>VLOOKUP(A169,'Données projet'!$A$191:$I$211,9,0)</f>
        <v>#N/A</v>
      </c>
      <c r="EI169" s="131" t="str">
        <f t="array" ref="EI169">INDEX(EH:EH,MIN(IF(ISNUMBER(EH169:EH365),ROW(EH169:EH365),"")))</f>
        <v/>
      </c>
      <c r="EJ169" s="138">
        <f>IF('Données projet'!$A$192&gt;35,EJ168+EI169-ER168,IF(A169&lt;'Données projet'!$A$192,$EG$205^A169,IF(A169='Données projet'!$A$192,'Données projet'!$B$192,EJ168+EI169-ER168)))</f>
        <v>0</v>
      </c>
      <c r="EK169" s="138">
        <f>EJ169*VLOOKUP('Données projet'!$B$15,'Paramètres'!$A$1:$I$89,3,0)*VLOOKUP('Données projet'!$B$15,'Paramètres'!$A$1:$I$89,5,0)</f>
        <v>0</v>
      </c>
      <c r="EL169" s="130" t="str">
        <f t="shared" si="46"/>
        <v>#NUM!</v>
      </c>
      <c r="EM169" s="141" t="str">
        <f t="shared" si="20"/>
        <v>#NUM!</v>
      </c>
      <c r="EN169" s="133" t="str">
        <f t="shared" si="21"/>
        <v>#NUM!</v>
      </c>
      <c r="EO169" s="133">
        <f>AVERAGE(OFFSET($EN$3,0,0,'Données projet'!$E$15+1,1))-AVERAGE(OFFSET($H$3,0,0,'Données projet'!$E$15+1,1))</f>
        <v>130.3193339</v>
      </c>
      <c r="EP169" s="133">
        <f t="shared" si="47"/>
        <v>82.22784365</v>
      </c>
      <c r="EQ169" s="134">
        <f>IF(ISNA(VLOOKUP(A169,'Données projet'!$A$191:$I$211,3,0)),0,VLOOKUP(A169,'Données projet'!$A$191:$I$211,3,0))</f>
        <v>0</v>
      </c>
      <c r="ER169" s="134">
        <f>IF(ISNA(VLOOKUP(A169,'Données projet'!$A$191:$I$211,4,0)),0,VLOOKUP(A169,'Données projet'!$A$191:$I$211,4,0))</f>
        <v>0</v>
      </c>
      <c r="ES169" s="135">
        <f>IF(ISNA(VLOOKUP(A169,'Données projet'!$A$191:$I$211,5,0)),0%,VLOOKUP(A169,'Données projet'!$A$191:$I$211,5,0)*VLOOKUP('Données projet'!$B$15,'Paramètres'!$A$1:$I$89,7,0))</f>
        <v>0</v>
      </c>
      <c r="ET169" s="135">
        <f>IF(ISNA(VLOOKUP(A169,'Données projet'!$A$191:$I$211,6,0)),0%,VLOOKUP(A169,'Données projet'!$A$191:$I$211,6,0)*VLOOKUP('Données projet'!$B$15,'Paramètres'!$A$1:$I$89,7,0))</f>
        <v>0</v>
      </c>
      <c r="EU169" s="135">
        <f>IF(ISNA(VLOOKUP(A169,'Données projet'!$A$191:$I$211,7,0)),0%,VLOOKUP(A169,'Données projet'!$A$191:$I$211,7,0))</f>
        <v>0</v>
      </c>
      <c r="EV169" s="142">
        <f>EXP(-LN(2)/35)*EV168+(1-EXP(-LN(2)/35))/(LN(2)/35)*ER169*ES169*VLOOKUP('Données projet'!$B$15,'Paramètres'!$A$1:$I$89,3,0)*0.475*44/12</f>
        <v>19.34970145</v>
      </c>
      <c r="EW169" s="142">
        <f>EXP(-LN(2)/25)*EW168+(1-EXP(-LN(2)/25))/(LN(2)/25)*Calculateur!ER169*Calculateur!ET169*VLOOKUP('Données projet'!$B$15,'Paramètres'!$A$1:$I$89,3,0)*0.475*44/12</f>
        <v>0</v>
      </c>
      <c r="EX169" s="142">
        <f>EXP(-LN(2)/2)*EX168+(1-EXP(-LN(2)/2))/(LN(2)/2)*ER169*EU169*VLOOKUP('Données projet'!$B$15,'Paramètres'!$A$1:$I$89,3,0)*0.475*44/12</f>
        <v>0</v>
      </c>
      <c r="EY169" s="143">
        <f t="shared" si="22"/>
        <v>19.34970145</v>
      </c>
      <c r="EZ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1" t="str">
        <f>VLOOKUP(A169,'Données projet'!$A$217:$I$237,2,0)</f>
        <v>#N/A</v>
      </c>
      <c r="FC169" s="131" t="str">
        <f>VLOOKUP(A169,'Données projet'!$A$217:$I$237,9,0)</f>
        <v>#N/A</v>
      </c>
      <c r="FD169" s="131" t="str">
        <f t="array" ref="FD169">INDEX(FC:FC,MIN(IF(ISNUMBER(FC169:FC365),ROW(FC169:FC365),"")))</f>
        <v/>
      </c>
      <c r="FE169" s="130">
        <f>IF('Données projet'!$A$218&gt;35,FE168+FD169-FM168,IF(A169&lt;'Données projet'!$A$218,$FB$205^A169,IF(A169='Données projet'!$A$218,'Données projet'!$B$218,FE168+FD169-FM168)))</f>
        <v>0</v>
      </c>
      <c r="FF169" s="138">
        <f>FE169*VLOOKUP('Données projet'!$B$16,'Paramètres'!$A$1:$I$89,3,0)*VLOOKUP('Données projet'!$B$16,'Paramètres'!$A$1:$I$89,5,0)</f>
        <v>0</v>
      </c>
      <c r="FG169" s="130">
        <f t="shared" si="48"/>
        <v>0</v>
      </c>
      <c r="FH169" s="141">
        <f t="shared" si="23"/>
        <v>0</v>
      </c>
      <c r="FI169" s="133">
        <f t="shared" si="24"/>
        <v>293.3333333</v>
      </c>
      <c r="FJ169" s="133">
        <f>AVERAGE(OFFSET($FI$3,0,0,'Données projet'!$E$16+1,1))-AVERAGE(OFFSET($H$3,0,0,'Données projet'!$E$16+1,1))</f>
        <v>305.6252353</v>
      </c>
      <c r="FK169" s="133">
        <f t="shared" si="49"/>
        <v>331.397916</v>
      </c>
      <c r="FL169" s="134">
        <f>IF(ISNA(VLOOKUP(A169,'Données projet'!$A$217:$I$237,3,0)),0,VLOOKUP(A169,'Données projet'!$A$217:$I$237,3,0))</f>
        <v>0</v>
      </c>
      <c r="FM169" s="134">
        <f>IF(ISNA(VLOOKUP(A169,'Données projet'!$A$217:$I$237,4,0)),0,VLOOKUP(A169,'Données projet'!$A$217:$I$237,4,0))</f>
        <v>0</v>
      </c>
      <c r="FN169" s="135">
        <f>IF(ISNA(VLOOKUP(A169,'Données projet'!$A$217:$I$237,5,0)),0%,VLOOKUP(A169,'Données projet'!$A$217:$I$237,5,0)*VLOOKUP('Données projet'!$B$16,'Paramètres'!$A$1:$I$89,7,0))</f>
        <v>0</v>
      </c>
      <c r="FO169" s="135">
        <f>IF(ISNA(VLOOKUP(A169,'Données projet'!$A$217:$I$237,6,0)),0%,VLOOKUP(A169,'Données projet'!$A$217:$I$237,6,0)*VLOOKUP('Données projet'!$B$16,'Paramètres'!$A$1:$I$89,7,0))</f>
        <v>0</v>
      </c>
      <c r="FP169" s="135">
        <f>IF(ISNA(VLOOKUP(A169,'Données projet'!$A$217:$I$237,7,0)),0%,VLOOKUP(A169,'Données projet'!$A$217:$I$237,7,0))</f>
        <v>0</v>
      </c>
      <c r="FQ169" s="142">
        <f>EXP(-LN(2)/35)*FQ168+(1-EXP(-LN(2)/35))/(LN(2)/35)*FM169*FN169*VLOOKUP('Données projet'!$B$16,'Paramètres'!$A$1:$I$89,3,0)*0.475*44/12</f>
        <v>12.0477024</v>
      </c>
      <c r="FR169" s="142">
        <f>EXP(-LN(2)/25)*FR168+(1-EXP(-LN(2)/25))/(LN(2)/25)*Calculateur!FM169*Calculateur!FO169*VLOOKUP('Données projet'!$B$16,'Paramètres'!$A$1:$I$89,3,0)*0.475*44/12</f>
        <v>0</v>
      </c>
      <c r="FS169" s="142">
        <f>EXP(-LN(2)/2)*FS168+(1-EXP(-LN(2)/2))/(LN(2)/2)*FM169*FP169*VLOOKUP('Données projet'!$B$16,'Paramètres'!$A$1:$I$89,3,0)*0.475*44/12</f>
        <v>0</v>
      </c>
      <c r="FT169" s="143">
        <f t="shared" si="25"/>
        <v>12.0477024</v>
      </c>
      <c r="FU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1" t="str">
        <f>VLOOKUP(A169,'Données projet'!$A$243:$I$263,2,0)</f>
        <v>#N/A</v>
      </c>
      <c r="FX169" s="131" t="str">
        <f>VLOOKUP(A169,'Données projet'!$A$243:$I$263,9,0)</f>
        <v>#N/A</v>
      </c>
      <c r="FY169" s="131" t="str">
        <f t="array" ref="FY169">INDEX(FX:FX,MIN(IF(ISNUMBER(FX169:FX365),ROW(FX169:FX365),"")))</f>
        <v/>
      </c>
      <c r="FZ169" s="138">
        <f>IF('Données projet'!$A$244&gt;35,FZ168+FY169-GH168,IF(A169&lt;'Données projet'!$A$244,$FW$205^A169,IF(A169='Données projet'!$A$244,'Données projet'!$B$244,FZ168+FY169-GH168)))</f>
        <v>0</v>
      </c>
      <c r="GA169" s="138">
        <f>FZ169*VLOOKUP('Données projet'!$B$17,'Paramètres'!$A$1:$I$89,3,0)*VLOOKUP('Données projet'!$B$17,'Paramètres'!$A$1:$I$89,5,0)</f>
        <v>0</v>
      </c>
      <c r="GB169" s="130">
        <f t="shared" si="50"/>
        <v>0</v>
      </c>
      <c r="GC169" s="141">
        <f t="shared" si="26"/>
        <v>0</v>
      </c>
      <c r="GD169" s="133">
        <f t="shared" si="27"/>
        <v>293.3333333</v>
      </c>
      <c r="GE169" s="133">
        <f>AVERAGE(OFFSET($GD$3,0,0,'Données projet'!$E$17+1,1))-AVERAGE(OFFSET($H$3,0,0,'Données projet'!$E$17+1,1))</f>
        <v>118.7368745</v>
      </c>
      <c r="GF169" s="133">
        <f t="shared" si="51"/>
        <v>135.1233677</v>
      </c>
      <c r="GG169" s="134">
        <f>IF(ISNA(VLOOKUP(A169,'Données projet'!$A$243:$I$263,3,0)),0,VLOOKUP(A169,'Données projet'!$A$243:$I$263,3,0))</f>
        <v>0</v>
      </c>
      <c r="GH169" s="134">
        <f>IF(ISNA(VLOOKUP(A169,'Données projet'!$A$243:$I$263,4,0)),0,VLOOKUP(A169,'Données projet'!$A$243:$I$263,4,0))</f>
        <v>0</v>
      </c>
      <c r="GI169" s="135">
        <f>IF(ISNA(VLOOKUP(A169,'Données projet'!$A$243:$I$263,5,0)),0%,VLOOKUP(A169,'Données projet'!$A$243:$I$263,5,0)*VLOOKUP('Données projet'!$B$17,'Paramètres'!$A$1:$I$89,7,0))</f>
        <v>0</v>
      </c>
      <c r="GJ169" s="135">
        <f>IF(ISNA(VLOOKUP(A169,'Données projet'!$A$243:$I$263,6,0)),0%,VLOOKUP(A169,'Données projet'!$A$243:$I$263,6,0)*VLOOKUP('Données projet'!$B$17,'Paramètres'!$A$1:$I$89,7,0))</f>
        <v>0</v>
      </c>
      <c r="GK169" s="135">
        <f>IF(ISNA(VLOOKUP(A169,'Données projet'!$A$243:$I$263,7,0)),0%,VLOOKUP(A169,'Données projet'!$A$243:$I$263,7,0))</f>
        <v>0</v>
      </c>
      <c r="GL169" s="142">
        <f>EXP(-LN(2)/35)*GL168+(1-EXP(-LN(2)/35))/(LN(2)/35)*GH169*GI169*VLOOKUP('Données projet'!$B$17,'Paramètres'!$A$1:$I$89,3,0)*0.475*44/12</f>
        <v>12.72836032</v>
      </c>
      <c r="GM169" s="142">
        <f>EXP(-LN(2)/25)*GM168+(1-EXP(-LN(2)/25))/(LN(2)/25)*Calculateur!GH169*Calculateur!GJ169*VLOOKUP('Données projet'!$B$17,'Paramètres'!$A$1:$I$89,3,0)*0.475*44/12</f>
        <v>0</v>
      </c>
      <c r="GN169" s="142">
        <f>EXP(-LN(2)/2)*GN168+(1-EXP(-LN(2)/2))/(LN(2)/2)*GH169*GK169*VLOOKUP('Données projet'!$B$17,'Paramètres'!$A$1:$I$89,3,0)*0.475*44/12</f>
        <v>0</v>
      </c>
      <c r="GO169" s="142">
        <f t="shared" si="28"/>
        <v>12.72836032</v>
      </c>
      <c r="GP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1" t="str">
        <f>VLOOKUP(A169,'Données projet'!$A$269:$I$289,2,0)</f>
        <v>#N/A</v>
      </c>
      <c r="GS169" s="131" t="str">
        <f>VLOOKUP(A169,'Données projet'!$A$269:$I$289,9,0)</f>
        <v>#N/A</v>
      </c>
      <c r="GT169" s="131" t="str">
        <f t="array" ref="GT169">INDEX(GS:GS,MIN(IF(ISNUMBER(GS169:GS365),ROW(GS169:GS365),"")))</f>
        <v/>
      </c>
      <c r="GU169" s="138">
        <f>IF('Données projet'!$A$270&gt;35,GU168+GT169-HC168,IF(A169&lt;'Données projet'!$A$270,$GR$205^A169,IF(A169='Données projet'!$A$270,'Données projet'!$B$270,GU168+GT169-HC168)))</f>
        <v>0</v>
      </c>
      <c r="GV169" s="138">
        <f>GU169*VLOOKUP('Données projet'!$B$18,'Paramètres'!$A$1:$I$89,3,0)*VLOOKUP('Données projet'!$B$18,'Paramètres'!$A$1:$I$89,5,0)</f>
        <v>0</v>
      </c>
      <c r="GW169" s="130" t="str">
        <f t="shared" si="52"/>
        <v>#NUM!</v>
      </c>
      <c r="GX169" s="141" t="str">
        <f t="shared" si="29"/>
        <v>#NUM!</v>
      </c>
      <c r="GY169" s="133" t="str">
        <f t="shared" si="30"/>
        <v>#NUM!</v>
      </c>
      <c r="GZ169" s="133">
        <f>AVERAGE(OFFSET($GY$3,0,0,'Données projet'!$E$18+1,1))-AVERAGE(OFFSET($H$3,0,0,'Données projet'!$E$18+1,1))</f>
        <v>100.5427875</v>
      </c>
      <c r="HA169" s="133">
        <f t="shared" si="53"/>
        <v>92.28663609</v>
      </c>
      <c r="HB169" s="134">
        <f>IF(ISNA(VLOOKUP(A169,'Données projet'!$A$269:$I$289,3,0)),0,VLOOKUP(A169,'Données projet'!$A$269:$I$289,3,0))</f>
        <v>0</v>
      </c>
      <c r="HC169" s="134">
        <f>IF(ISNA(VLOOKUP(A169,'Données projet'!$A$269:$I$289,4,0)),0,VLOOKUP(A169,'Données projet'!$A$269:$I$289,4,0))</f>
        <v>0</v>
      </c>
      <c r="HD169" s="135">
        <f>IF(ISNA(VLOOKUP(A169,'Données projet'!$A$269:$I$289,5,0)),0%,VLOOKUP(A169,'Données projet'!$A$269:$I$289,5,0)*VLOOKUP('Données projet'!$B$18,'Paramètres'!$A$1:$I$89,7,0))</f>
        <v>0</v>
      </c>
      <c r="HE169" s="135">
        <f>IF(ISNA(VLOOKUP(A169,'Données projet'!$A$269:$I$289,6,0)),0%,VLOOKUP(A169,'Données projet'!$A$269:$I$289,6,0)*VLOOKUP('Données projet'!$B$18,'Paramètres'!$A$1:$I$89,7,0))</f>
        <v>0</v>
      </c>
      <c r="HF169" s="135">
        <f>IF(ISNA(VLOOKUP(A169,'Données projet'!$A$269:$I$289,7,0)),0%,VLOOKUP(A169,'Données projet'!$A$269:$I$289,7,0))</f>
        <v>0</v>
      </c>
      <c r="HG169" s="142">
        <f>EXP(-LN(2)/35)*HG168+(1-EXP(-LN(2)/35))/(LN(2)/35)*HC169*HD169*VLOOKUP('Données projet'!$B$18,'Paramètres'!$A$1:$I$89,3,0)*0.475*44/12</f>
        <v>8.667744862</v>
      </c>
      <c r="HH169" s="142">
        <f>EXP(-LN(2)/25)*HH168+(1-EXP(-LN(2)/25))/(LN(2)/25)*Calculateur!HC169*Calculateur!HE169*VLOOKUP('Données projet'!$B$18,'Paramètres'!$A$1:$I$89,3,0)*0.475*44/12</f>
        <v>0</v>
      </c>
      <c r="HI169" s="142">
        <f>EXP(-LN(2)/2)*HI168+(1-EXP(-LN(2)/2))/(LN(2)/2)*HC169*HF169*VLOOKUP('Données projet'!$B$18,'Paramètres'!$A$1:$I$89,3,0)*0.475*44/12</f>
        <v>0</v>
      </c>
      <c r="HJ169" s="143">
        <f t="shared" si="31"/>
        <v>8.667744862</v>
      </c>
    </row>
    <row r="170" ht="15.75" customHeight="1">
      <c r="A170" s="125">
        <f t="shared" si="32"/>
        <v>167</v>
      </c>
      <c r="B170" s="126">
        <f>'Scénario référence'!$B$16*5+'Scénario référence'!$B$17*0+'Scénario référence'!$B$18*5</f>
        <v>0</v>
      </c>
      <c r="C170" s="140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91.182</v>
      </c>
      <c r="D170" s="127">
        <f t="shared" si="33"/>
        <v>24.85007809</v>
      </c>
      <c r="E17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7">
        <f>IF(OR('Scénario référence'!$F$8&gt;0,'Scénario référence'!$F$9&gt;0),('Scénario référence'!$F$8+'Scénario référence'!$F$9)*10,0)</f>
        <v>10</v>
      </c>
      <c r="G170" s="127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895.6862169</v>
      </c>
      <c r="H170" s="128">
        <f t="shared" si="1"/>
        <v>495.422536</v>
      </c>
      <c r="I170" s="12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1" t="str">
        <f>VLOOKUP(A170,'Données projet'!$A$35:$I$55,2,0)</f>
        <v>#N/A</v>
      </c>
      <c r="L170" s="131" t="str">
        <f>VLOOKUP(A170,'Données projet'!$A$35:$I$55,9,0)</f>
        <v>#N/A</v>
      </c>
      <c r="M170" s="131" t="str">
        <f t="array" ref="M170">INDEX(L:L,MIN(IF(ISNUMBER(L170:L366),ROW(L170:L366),"")))</f>
        <v/>
      </c>
      <c r="N170" s="130">
        <f>IF('Données projet'!$A$36&gt;35,N169+M170-V169,IF(A170&lt;'Données projet'!$A$36,$K$205^A170,IF(A170='Données projet'!$A$36,'Données projet'!$B$36,N169+M170-V169)))</f>
        <v>0</v>
      </c>
      <c r="O170" s="130">
        <f>N170*VLOOKUP('Données projet'!$B$9,'Paramètres'!$A$1:$I$89,3,0)*VLOOKUP('Données projet'!$B$9,'Paramètres'!$A$1:$I$89,5,0)</f>
        <v>0</v>
      </c>
      <c r="P170" s="130">
        <f t="shared" si="34"/>
        <v>0</v>
      </c>
      <c r="Q170" s="141">
        <f t="shared" si="2"/>
        <v>0</v>
      </c>
      <c r="R170" s="133">
        <f t="shared" si="3"/>
        <v>293.3333333</v>
      </c>
      <c r="S170" s="133">
        <f>AVERAGE(OFFSET($R$3,0,0,'Données projet'!$E$9+1,1))-AVERAGE(OFFSET($H$3,0,0,'Données projet'!$E$9+1,1))</f>
        <v>126.9946492</v>
      </c>
      <c r="T170" s="133">
        <f t="shared" si="35"/>
        <v>140.039049</v>
      </c>
      <c r="U170" s="134">
        <f>IF(ISNA(VLOOKUP(A170,'Données projet'!$A$35:$I$55,3,0)),0,VLOOKUP(A170,'Données projet'!$A$35:$I$55,3,0))</f>
        <v>0</v>
      </c>
      <c r="V170" s="134">
        <f>IF(ISNA(VLOOKUP(A170,'Données projet'!$A$35:$I$55,4,0)),0,VLOOKUP(A170,'Données projet'!$A$35:$I$55,4,0))</f>
        <v>0</v>
      </c>
      <c r="W170" s="135">
        <f>IF(ISNA(VLOOKUP(A170,'Données projet'!$A$35:$I$55,5,0)),0%,VLOOKUP(A170,'Données projet'!$A$35:$I$55,5,0)*VLOOKUP('Données projet'!$B$9,'Paramètres'!$A$1:$I$89,7,0))</f>
        <v>0</v>
      </c>
      <c r="X170" s="135">
        <f>IF(ISNA(VLOOKUP(A170,'Données projet'!$A$35:$I$55,6,0)),0%,VLOOKUP(A170,'Données projet'!$A$35:$I$55,6,0)*VLOOKUP('Données projet'!$B$9,'Paramètres'!$A$1:$I$89,7,0))</f>
        <v>0</v>
      </c>
      <c r="Y170" s="135">
        <f>IF(ISNA(VLOOKUP(A170,'Données projet'!$A$35:$I$55,7,0)),0%,VLOOKUP(A170,'Données projet'!$A$35:$I$55,7,0))</f>
        <v>0</v>
      </c>
      <c r="Z170" s="142">
        <f>EXP(-LN(2)/35)*Z169+(1-EXP(-LN(2)/35))/(LN(2)/35)*V170*W170*VLOOKUP('Données projet'!$B$9,'Paramètres'!$A$1:$I$89,3,0)*0.475*44/12</f>
        <v>12.76299872</v>
      </c>
      <c r="AA170" s="142">
        <f>EXP(-LN(2)/25)*AA169+(1-EXP(-LN(2)/25))/(LN(2)/25)*Calculateur!V170*Calculateur!X170*VLOOKUP('Données projet'!$B$9,'Paramètres'!$A$1:$I$89,3,0)*0.475*44/12</f>
        <v>1.196196328</v>
      </c>
      <c r="AB170" s="142">
        <f>EXP(-LN(2)/2)*AB169+(1-EXP(-LN(2)/2))/(LN(2)/2)*V170*Y170*VLOOKUP('Données projet'!$B$9,'Paramètres'!$A$1:$I$89,3,0)*0.475*44/12</f>
        <v>0</v>
      </c>
      <c r="AC170" s="143">
        <f t="shared" si="4"/>
        <v>13.95919505</v>
      </c>
      <c r="AD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1" t="str">
        <f>VLOOKUP(A170,'Données projet'!$A$61:$I$81,2,0)</f>
        <v>#N/A</v>
      </c>
      <c r="AG170" s="131" t="str">
        <f>VLOOKUP(A170,'Données projet'!$A$61:$I$81,9,0)</f>
        <v>#N/A</v>
      </c>
      <c r="AH170" s="131" t="str">
        <f t="array" ref="AH170">INDEX(AG:AG,MIN(IF(ISNUMBER(AG170:AG366),ROW(AG170:AG366),"")))</f>
        <v/>
      </c>
      <c r="AI170" s="130">
        <f>IF('Données projet'!$A$62&gt;35,AI169+AH170-AQ169,IF(A170&lt;'Données projet'!$A$62,$AF$205^A170,IF(A170='Données projet'!$A$62,'Données projet'!$B$62,AI169+AH170-AQ169)))</f>
        <v>0</v>
      </c>
      <c r="AJ170" s="130">
        <f>AI170*VLOOKUP('Données projet'!$B$10,'Paramètres'!$A$1:$I$89,3,0)*VLOOKUP('Données projet'!$B$10,'Paramètres'!$A$1:$I$89,5,0)</f>
        <v>0</v>
      </c>
      <c r="AK170" s="130" t="str">
        <f t="shared" si="36"/>
        <v>#NUM!</v>
      </c>
      <c r="AL170" s="141" t="str">
        <f t="shared" si="5"/>
        <v>#NUM!</v>
      </c>
      <c r="AM170" s="133" t="str">
        <f t="shared" si="6"/>
        <v>#NUM!</v>
      </c>
      <c r="AN170" s="133">
        <f>AVERAGE(OFFSET($AM$3,0,0,'Données projet'!$E$10+1,1))-AVERAGE(OFFSET($H$3,0,0,'Données projet'!$E$10+1,1))</f>
        <v>196.874484</v>
      </c>
      <c r="AO170" s="133">
        <f t="shared" si="37"/>
        <v>217.5750859</v>
      </c>
      <c r="AP170" s="134">
        <f>IF(ISNA(VLOOKUP(A170,'Données projet'!$A$61:$I$81,3,0)),0,VLOOKUP(A170,'Données projet'!$A$61:$I$81,3,0))</f>
        <v>0</v>
      </c>
      <c r="AQ170" s="134">
        <f>IF(ISNA(VLOOKUP(A170,'Données projet'!$A$61:$I$81,4,0)),0,VLOOKUP(A170,'Données projet'!$A$61:$I$81,4,0))</f>
        <v>0</v>
      </c>
      <c r="AR170" s="135">
        <f>IF(ISNA(VLOOKUP(A170,'Données projet'!$A$61:$I$81,5,0)),0%,VLOOKUP(A170,'Données projet'!$A$61:$I$81,5,0)*VLOOKUP('Données projet'!$B$10,'Paramètres'!$A$1:$I$89,7,0))</f>
        <v>0</v>
      </c>
      <c r="AS170" s="135">
        <f>IF(ISNA(VLOOKUP(A170,'Données projet'!$A$61:$I$81,6,0)),0%,VLOOKUP(A170,'Données projet'!$A$61:$I$81,6,0)*VLOOKUP('Données projet'!$B$10,'Paramètres'!$A$1:$I$89,7,0))</f>
        <v>0</v>
      </c>
      <c r="AT170" s="135">
        <f>IF(ISNA(VLOOKUP(A170,'Données projet'!$A$61:$I$81,7,0)),0%,VLOOKUP(A170,'Données projet'!$A$61:$I$81,7,0))</f>
        <v>0</v>
      </c>
      <c r="AU170" s="142">
        <f>EXP(-LN(2)/35)*AU169+(1-EXP(-LN(2)/35))/(LN(2)/35)*AQ170*AR170*VLOOKUP('Données projet'!$B$10,'Paramètres'!$A$1:$I$89,3,0)*0.475*44/12</f>
        <v>17.7402057</v>
      </c>
      <c r="AV170" s="142">
        <f>EXP(-LN(2)/25)*AV169+(1-EXP(-LN(2)/25))/(LN(2)/25)*Calculateur!AQ170*Calculateur!AS170*VLOOKUP('Données projet'!$B$10,'Paramètres'!$A$1:$I$89,3,0)*0.475*44/12</f>
        <v>1.839153452</v>
      </c>
      <c r="AW170" s="142">
        <f>EXP(-LN(2)/2)*AW169+(1-EXP(-LN(2)/2))/(LN(2)/2)*AQ170*AT170*VLOOKUP('Données projet'!$B$10,'Paramètres'!$A$1:$I$89,3,0)*0.475*44/12</f>
        <v>0</v>
      </c>
      <c r="AX170" s="142">
        <f t="shared" si="7"/>
        <v>19.57935915</v>
      </c>
      <c r="AY170" s="13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1" t="str">
        <f>VLOOKUP(A170,'Données projet'!$A$87:$I$107,2,0)</f>
        <v>#N/A</v>
      </c>
      <c r="BB170" s="131" t="str">
        <f>VLOOKUP(A170,'Données projet'!$A$87:$I$107,9,0)</f>
        <v>#N/A</v>
      </c>
      <c r="BC170" s="131" t="str">
        <f t="array" ref="BC170">INDEX(BB:BB,MIN(IF(ISNUMBER(BB170:BB366),ROW(BB170:BB366),"")))</f>
        <v/>
      </c>
      <c r="BD170" s="130">
        <f>IF('Données projet'!$A$88&gt;35,BD169+BC170-BL169,IF(A170&lt;'Données projet'!$A$88,$BA$205^A170,IF(A170='Données projet'!$A$88,'Données projet'!$B$88,BD169+BC170-BL169)))</f>
        <v>0</v>
      </c>
      <c r="BE170" s="130">
        <f>BD170*VLOOKUP('Données projet'!$B$11,'Paramètres'!$A$1:$I$89,3,0)*VLOOKUP('Données projet'!$B$11,'Paramètres'!$A$1:$I$89,5,0)</f>
        <v>0</v>
      </c>
      <c r="BF170" s="130" t="str">
        <f t="shared" si="38"/>
        <v>#NUM!</v>
      </c>
      <c r="BG170" s="141" t="str">
        <f t="shared" si="8"/>
        <v>#NUM!</v>
      </c>
      <c r="BH170" s="133" t="str">
        <f t="shared" si="9"/>
        <v>#NUM!</v>
      </c>
      <c r="BI170" s="133">
        <f>AVERAGE(OFFSET($BH$3,0,0,'Données projet'!$E$11+1,1))-AVERAGE(OFFSET($H$3,0,0,'Données projet'!$E$11+1,1))</f>
        <v>134.0948534</v>
      </c>
      <c r="BJ170" s="133">
        <f t="shared" si="39"/>
        <v>108.4102536</v>
      </c>
      <c r="BK170" s="134">
        <f>IF(ISNA(VLOOKUP(A170,'Données projet'!$A$87:$I$107,3,0)),0,VLOOKUP(A170,'Données projet'!$A$87:$I$107,3,0))</f>
        <v>0</v>
      </c>
      <c r="BL170" s="134">
        <f>IF(ISNA(VLOOKUP(A170,'Données projet'!$A$87:$I$107,4,0)),0,VLOOKUP(A170,'Données projet'!$A$87:$I$107,4,0))</f>
        <v>0</v>
      </c>
      <c r="BM170" s="135">
        <f>IF(ISNA(VLOOKUP(A170,'Données projet'!$A$87:$I$107,5,0)),0%,VLOOKUP(A170,'Données projet'!$A$87:$I$107,5,0)*VLOOKUP('Données projet'!$B$11,'Paramètres'!$A$1:$I$89,7,0))</f>
        <v>0</v>
      </c>
      <c r="BN170" s="135">
        <f>IF(ISNA(VLOOKUP(A170,'Données projet'!$A$87:$I$107,6,0)),0%,VLOOKUP(A170,'Données projet'!$A$87:$I$107,6,0)*VLOOKUP('Données projet'!$B$11,'Paramètres'!$A$1:$I$89,7,0))</f>
        <v>0</v>
      </c>
      <c r="BO170" s="135">
        <f>IF(ISNA(VLOOKUP(A170,'Données projet'!$A$87:$I$107,7,0)),0%,VLOOKUP(A170,'Données projet'!$A$87:$I$107,7,0))</f>
        <v>0</v>
      </c>
      <c r="BP170" s="142">
        <f>EXP(-LN(2)/35)*BP169+(1-EXP(-LN(2)/35))/(LN(2)/35)*BL170*BM170*VLOOKUP('Données projet'!$B$11,'Paramètres'!$A$1:$I$89,3,0)*0.475*44/12</f>
        <v>24.53801762</v>
      </c>
      <c r="BQ170" s="142">
        <f>EXP(-LN(2)/25)*BQ169+(1-EXP(-LN(2)/25))/(LN(2)/25)*Calculateur!BL170*Calculateur!BN170*VLOOKUP('Données projet'!$B$11,'Paramètres'!$A$1:$I$89,3,0)*0.475*44/12</f>
        <v>1.160139577</v>
      </c>
      <c r="BR170" s="142">
        <f>EXP(-LN(2)/2)*BR169+(1-EXP(-LN(2)/2))/(LN(2)/2)*BL170*BO170*VLOOKUP('Données projet'!$B$11,'Paramètres'!$A$1:$I$89,3,0)*0.475*44/12</f>
        <v>0</v>
      </c>
      <c r="BS170" s="143">
        <f t="shared" si="10"/>
        <v>25.6981572</v>
      </c>
      <c r="BT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1" t="str">
        <f>VLOOKUP(A170,'Données projet'!$A$113:$I$133,2,0)</f>
        <v>#N/A</v>
      </c>
      <c r="BW170" s="131" t="str">
        <f>VLOOKUP(A170,'Données projet'!$A$113:$I$133,9,0)</f>
        <v>#N/A</v>
      </c>
      <c r="BX170" s="131" t="str">
        <f t="array" ref="BX170">INDEX(BW:BW,MIN(IF(ISNUMBER(BW170:BW366),ROW(BW170:BW366),"")))</f>
        <v/>
      </c>
      <c r="BY170" s="130">
        <f>IF('Données projet'!$A$114&gt;35,BY169+BX170-CG169,IF(A170&lt;'Données projet'!$A$114,$BV$205^A170,IF(A170='Données projet'!$A$114,'Données projet'!$B$114,BY169+BX170-CG169)))</f>
        <v>0</v>
      </c>
      <c r="BZ170" s="130">
        <f>BY170*VLOOKUP('Données projet'!$B$12,'Paramètres'!$A$1:$I$89,3,0)*VLOOKUP('Données projet'!$B$12,'Paramètres'!$A$1:$I$89,5,0)</f>
        <v>0</v>
      </c>
      <c r="CA170" s="130" t="str">
        <f t="shared" si="40"/>
        <v>#NUM!</v>
      </c>
      <c r="CB170" s="141" t="str">
        <f t="shared" si="11"/>
        <v>#NUM!</v>
      </c>
      <c r="CC170" s="133" t="str">
        <f t="shared" si="12"/>
        <v>#NUM!</v>
      </c>
      <c r="CD170" s="133">
        <f>AVERAGE(OFFSET($CC$3,0,0,'Données projet'!$E$12+1,1))-AVERAGE(OFFSET($H$3,0,0,'Données projet'!$E$12+1,1))</f>
        <v>258.1672054</v>
      </c>
      <c r="CE170" s="133">
        <f t="shared" si="41"/>
        <v>296.0724261</v>
      </c>
      <c r="CF170" s="134">
        <f>IF(ISNA(VLOOKUP(A170,'Données projet'!$A$113:$I$133,3,0)),0,VLOOKUP(A170,'Données projet'!$A$113:$I$133,3,0))</f>
        <v>0</v>
      </c>
      <c r="CG170" s="134">
        <f>IF(ISNA(VLOOKUP(A170,'Données projet'!$A$113:$I$133,4,0)),0,VLOOKUP(A170,'Données projet'!$A$113:$I$133,4,0))</f>
        <v>0</v>
      </c>
      <c r="CH170" s="135">
        <f>IF(ISNA(VLOOKUP(A170,'Données projet'!$A$113:$I$133,5,0)),0%,VLOOKUP(A170,'Données projet'!$A$113:$I$133,5,0)*VLOOKUP('Données projet'!$B$12,'Paramètres'!$A$1:$I$89,7,0))</f>
        <v>0</v>
      </c>
      <c r="CI170" s="135">
        <f>IF(ISNA(VLOOKUP(A170,'Données projet'!$A$113:$I$133,6,0)),0%,VLOOKUP(A170,'Données projet'!$A$113:$I$133,6,0)*VLOOKUP('Données projet'!$B$12,'Paramètres'!$A$1:$I$89,7,0))</f>
        <v>0</v>
      </c>
      <c r="CJ170" s="135">
        <f>IF(ISNA(VLOOKUP(A170,'Données projet'!$A$113:$I$133,7,0)),0%,VLOOKUP(A170,'Données projet'!$A$113:$I$133,7,0))</f>
        <v>0</v>
      </c>
      <c r="CK170" s="142">
        <f>EXP(-LN(2)/35)*CK169+(1-EXP(-LN(2)/35))/(LN(2)/35)*CG170*CH170*VLOOKUP('Données projet'!$B$12,'Paramètres'!$A$1:$I$89,3,0)*0.475*44/12</f>
        <v>31.02356076</v>
      </c>
      <c r="CL170" s="142">
        <f>EXP(-LN(2)/25)*CL169+(1-EXP(-LN(2)/25))/(LN(2)/25)*Calculateur!CG170*Calculateur!CI170*VLOOKUP('Données projet'!$B$12,'Paramètres'!$A$1:$I$89,3,0)*0.475*44/12</f>
        <v>2.034950675</v>
      </c>
      <c r="CM170" s="142">
        <f>EXP(-LN(2)/2)*CM169+(1-EXP(-LN(2)/2))/(LN(2)/2)*CG170*CJ170*VLOOKUP('Données projet'!$B$12,'Paramètres'!$A$1:$I$89,3,0)*0.475*44/12</f>
        <v>0</v>
      </c>
      <c r="CN170" s="143">
        <f t="shared" si="13"/>
        <v>33.05851143</v>
      </c>
      <c r="CO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1" t="str">
        <f>VLOOKUP(A170,'Données projet'!$A$139:$I$159,2,0)</f>
        <v>#N/A</v>
      </c>
      <c r="CR170" s="131" t="str">
        <f>VLOOKUP(A170,'Données projet'!$A$139:$I$159,9,0)</f>
        <v>#N/A</v>
      </c>
      <c r="CS170" s="131" t="str">
        <f t="array" ref="CS170">INDEX(CR:CR,MIN(IF(ISNUMBER(CR170:CR366),ROW(CR170:CR366),"")))</f>
        <v/>
      </c>
      <c r="CT170" s="138">
        <f>IF('Données projet'!$A$140&gt;35,CT169+CS170-DB169,IF(A170&lt;'Données projet'!$A$140,$CQ$205^A170,IF(A170='Données projet'!$A$140,'Données projet'!$B$140,CT169+CS170-DB169)))</f>
        <v>0</v>
      </c>
      <c r="CU170" s="138">
        <f>CT170*VLOOKUP('Données projet'!$B$13,'Paramètres'!$A$1:$I$89,3,0)*VLOOKUP('Données projet'!$B$13,'Paramètres'!$A$1:$I$89,5,0)</f>
        <v>0</v>
      </c>
      <c r="CV170" s="130" t="str">
        <f t="shared" si="42"/>
        <v>#NUM!</v>
      </c>
      <c r="CW170" s="141" t="str">
        <f t="shared" si="14"/>
        <v>#NUM!</v>
      </c>
      <c r="CX170" s="133" t="str">
        <f t="shared" si="15"/>
        <v>#NUM!</v>
      </c>
      <c r="CY170" s="133">
        <f>AVERAGE(OFFSET($CX$3,0,0,'Données projet'!$E$13+1,1))-AVERAGE(OFFSET($H$3,0,0,'Données projet'!$E$13+1,1))</f>
        <v>223.783507</v>
      </c>
      <c r="CZ170" s="133">
        <f t="shared" si="43"/>
        <v>84.92349117</v>
      </c>
      <c r="DA170" s="134">
        <f>IF(ISNA(VLOOKUP(A170,'Données projet'!$A$139:$I$159,3,0)),0,VLOOKUP(A170,'Données projet'!$A$139:$I$159,3,0))</f>
        <v>0</v>
      </c>
      <c r="DB170" s="134">
        <f>IF(ISNA(VLOOKUP(A170,'Données projet'!$A$139:$I$159,4,0)),0,VLOOKUP(A170,'Données projet'!$A$139:$I$159,4,0))</f>
        <v>0</v>
      </c>
      <c r="DC170" s="135">
        <f>IF(ISNA(VLOOKUP(A170,'Données projet'!$A$139:$I$159,5,0)),0%,VLOOKUP(A170,'Données projet'!$A$139:$I$159,5,0)*VLOOKUP('Données projet'!$B$13,'Paramètres'!$A$1:$I$89,7,0))</f>
        <v>0</v>
      </c>
      <c r="DD170" s="135">
        <f>IF(ISNA(VLOOKUP(A170,'Données projet'!$A$139:$I$159,6,0)),0%,VLOOKUP(A170,'Données projet'!$A$139:$I$159,6,0)*VLOOKUP('Données projet'!$B$13,'Paramètres'!$A$1:$I$89,7,0))</f>
        <v>0</v>
      </c>
      <c r="DE170" s="135">
        <f>IF(ISNA(VLOOKUP(A170,'Données projet'!$A$139:$I$159,7,0)),0%,VLOOKUP(A170,'Données projet'!$A$139:$I$159,7,0))</f>
        <v>0</v>
      </c>
      <c r="DF170" s="142">
        <f>EXP(-LN(2)/35)*DF169+(1-EXP(-LN(2)/35))/(LN(2)/35)*DB170*DC170*VLOOKUP('Données projet'!$B$13,'Paramètres'!$A$1:$I$89,3,0)*0.475*44/12</f>
        <v>79.6806772</v>
      </c>
      <c r="DG170" s="142">
        <f>EXP(-LN(2)/25)*DG169+(1-EXP(-LN(2)/25))/(LN(2)/25)*Calculateur!DB170*Calculateur!DD170*VLOOKUP('Données projet'!$B$13,'Paramètres'!$A$1:$I$89,3,0)*0.475*44/12</f>
        <v>0</v>
      </c>
      <c r="DH170" s="142">
        <f>EXP(-LN(2)/2)*DH169+(1-EXP(-LN(2)/2))/(LN(2)/2)*DB170*DE170*VLOOKUP('Données projet'!$B$13,'Paramètres'!$A$1:$I$89,3,0)*0.475*44/12</f>
        <v>0</v>
      </c>
      <c r="DI170" s="143">
        <f t="shared" si="16"/>
        <v>79.6806772</v>
      </c>
      <c r="DJ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1" t="str">
        <f>VLOOKUP(A170,'Données projet'!$A$165:$I$185,2,0)</f>
        <v>#N/A</v>
      </c>
      <c r="DM170" s="131" t="str">
        <f>VLOOKUP(A170,'Données projet'!$A$165:$I$185,9,0)</f>
        <v>#N/A</v>
      </c>
      <c r="DN170" s="131" t="str">
        <f t="array" ref="DN170">INDEX(DM:DM,MIN(IF(ISNUMBER(DM170:DM366),ROW(DM170:DM366),"")))</f>
        <v/>
      </c>
      <c r="DO170" s="138">
        <f>IF('Données projet'!$A$166&gt;35,DO169+DN170-DW169,IF(A170&lt;'Données projet'!$A$166,$DL$205^A170,IF(A170='Données projet'!$A$166,'Données projet'!$B$166,DO169+DN170-DW169)))</f>
        <v>0</v>
      </c>
      <c r="DP170" s="138">
        <f>DO170*VLOOKUP('Données projet'!$B$14,'Paramètres'!$A$1:$I$89,3,0)*VLOOKUP('Données projet'!$B$14,'Paramètres'!$A$1:$I$89,5,0)</f>
        <v>0</v>
      </c>
      <c r="DQ170" s="130" t="str">
        <f t="shared" si="44"/>
        <v>#NUM!</v>
      </c>
      <c r="DR170" s="141" t="str">
        <f t="shared" si="17"/>
        <v>#NUM!</v>
      </c>
      <c r="DS170" s="133" t="str">
        <f t="shared" si="18"/>
        <v>#NUM!</v>
      </c>
      <c r="DT170" s="133">
        <f>AVERAGE(OFFSET($DS$3,0,0,'Données projet'!$E$14+1,1))-AVERAGE(OFFSET($H$3,0,0,'Données projet'!$E$14+1,1))</f>
        <v>287.9334714</v>
      </c>
      <c r="DU170" s="133">
        <f t="shared" si="45"/>
        <v>156.6796502</v>
      </c>
      <c r="DV170" s="134">
        <f>IF(ISNA(VLOOKUP(A170,'Données projet'!$A$165:$I$185,3,0)),0,VLOOKUP(A170,'Données projet'!$A$165:$I$185,3,0))</f>
        <v>0</v>
      </c>
      <c r="DW170" s="134">
        <f>IF(ISNA(VLOOKUP(A170,'Données projet'!$A$165:$I$185,4,0)),0,VLOOKUP(A170,'Données projet'!$A$165:$I$185,4,0))</f>
        <v>0</v>
      </c>
      <c r="DX170" s="135">
        <f>IF(ISNA(VLOOKUP(A170,'Données projet'!$A$165:$I$185,5,0)),0%,VLOOKUP(A170,'Données projet'!$A$165:$I$185,5,0)*VLOOKUP('Données projet'!$B$14,'Paramètres'!$A$1:$I$89,7,0))</f>
        <v>0</v>
      </c>
      <c r="DY170" s="135">
        <f>IF(ISNA(VLOOKUP(A170,'Données projet'!$A$165:$I$185,6,0)),0%,VLOOKUP(A170,'Données projet'!$A$165:$I$185,6,0)*VLOOKUP('Données projet'!$B$14,'Paramètres'!$A$1:$I$89,7,0))</f>
        <v>0</v>
      </c>
      <c r="DZ170" s="135">
        <f>IF(ISNA(VLOOKUP(A170,'Données projet'!$A$165:$I$185,7,0)),0%,VLOOKUP(A170,'Données projet'!$A$165:$I$185,7,0))</f>
        <v>0</v>
      </c>
      <c r="EA170" s="142">
        <f>EXP(-LN(2)/35)*EA169+(1-EXP(-LN(2)/35))/(LN(2)/35)*DW170*DX170*VLOOKUP('Données projet'!$B$14,'Paramètres'!$A$1:$I$89,3,0)*0.475*44/12</f>
        <v>92.56640006</v>
      </c>
      <c r="EB170" s="142">
        <f>EXP(-LN(2)/25)*EB169+(1-EXP(-LN(2)/25))/(LN(2)/25)*Calculateur!DW170*Calculateur!DY170*VLOOKUP('Données projet'!$B$14,'Paramètres'!$A$1:$I$89,3,0)*0.475*44/12</f>
        <v>0</v>
      </c>
      <c r="EC170" s="142">
        <f>EXP(-LN(2)/2)*EC169+(1-EXP(-LN(2)/2))/(LN(2)/2)*DW170*DZ170*VLOOKUP('Données projet'!$B$14,'Paramètres'!$A$1:$I$89,3,0)*0.475*44/12</f>
        <v>0</v>
      </c>
      <c r="ED170" s="143">
        <f t="shared" si="19"/>
        <v>92.56640006</v>
      </c>
      <c r="EE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1" t="str">
        <f>VLOOKUP(A170,'Données projet'!$A$191:$I$211,2,0)</f>
        <v>#N/A</v>
      </c>
      <c r="EH170" s="131" t="str">
        <f>VLOOKUP(A170,'Données projet'!$A$191:$I$211,9,0)</f>
        <v>#N/A</v>
      </c>
      <c r="EI170" s="131" t="str">
        <f t="array" ref="EI170">INDEX(EH:EH,MIN(IF(ISNUMBER(EH170:EH366),ROW(EH170:EH366),"")))</f>
        <v/>
      </c>
      <c r="EJ170" s="138">
        <f>IF('Données projet'!$A$192&gt;35,EJ169+EI170-ER169,IF(A170&lt;'Données projet'!$A$192,$EG$205^A170,IF(A170='Données projet'!$A$192,'Données projet'!$B$192,EJ169+EI170-ER169)))</f>
        <v>0</v>
      </c>
      <c r="EK170" s="138">
        <f>EJ170*VLOOKUP('Données projet'!$B$15,'Paramètres'!$A$1:$I$89,3,0)*VLOOKUP('Données projet'!$B$15,'Paramètres'!$A$1:$I$89,5,0)</f>
        <v>0</v>
      </c>
      <c r="EL170" s="130" t="str">
        <f t="shared" si="46"/>
        <v>#NUM!</v>
      </c>
      <c r="EM170" s="141" t="str">
        <f t="shared" si="20"/>
        <v>#NUM!</v>
      </c>
      <c r="EN170" s="133" t="str">
        <f t="shared" si="21"/>
        <v>#NUM!</v>
      </c>
      <c r="EO170" s="133">
        <f>AVERAGE(OFFSET($EN$3,0,0,'Données projet'!$E$15+1,1))-AVERAGE(OFFSET($H$3,0,0,'Données projet'!$E$15+1,1))</f>
        <v>130.3193339</v>
      </c>
      <c r="EP170" s="133">
        <f t="shared" si="47"/>
        <v>82.22784365</v>
      </c>
      <c r="EQ170" s="134">
        <f>IF(ISNA(VLOOKUP(A170,'Données projet'!$A$191:$I$211,3,0)),0,VLOOKUP(A170,'Données projet'!$A$191:$I$211,3,0))</f>
        <v>0</v>
      </c>
      <c r="ER170" s="134">
        <f>IF(ISNA(VLOOKUP(A170,'Données projet'!$A$191:$I$211,4,0)),0,VLOOKUP(A170,'Données projet'!$A$191:$I$211,4,0))</f>
        <v>0</v>
      </c>
      <c r="ES170" s="135">
        <f>IF(ISNA(VLOOKUP(A170,'Données projet'!$A$191:$I$211,5,0)),0%,VLOOKUP(A170,'Données projet'!$A$191:$I$211,5,0)*VLOOKUP('Données projet'!$B$15,'Paramètres'!$A$1:$I$89,7,0))</f>
        <v>0</v>
      </c>
      <c r="ET170" s="135">
        <f>IF(ISNA(VLOOKUP(A170,'Données projet'!$A$191:$I$211,6,0)),0%,VLOOKUP(A170,'Données projet'!$A$191:$I$211,6,0)*VLOOKUP('Données projet'!$B$15,'Paramètres'!$A$1:$I$89,7,0))</f>
        <v>0</v>
      </c>
      <c r="EU170" s="135">
        <f>IF(ISNA(VLOOKUP(A170,'Données projet'!$A$191:$I$211,7,0)),0%,VLOOKUP(A170,'Données projet'!$A$191:$I$211,7,0))</f>
        <v>0</v>
      </c>
      <c r="EV170" s="142">
        <f>EXP(-LN(2)/35)*EV169+(1-EXP(-LN(2)/35))/(LN(2)/35)*ER170*ES170*VLOOKUP('Données projet'!$B$15,'Paramètres'!$A$1:$I$89,3,0)*0.475*44/12</f>
        <v>18.97026561</v>
      </c>
      <c r="EW170" s="142">
        <f>EXP(-LN(2)/25)*EW169+(1-EXP(-LN(2)/25))/(LN(2)/25)*Calculateur!ER170*Calculateur!ET170*VLOOKUP('Données projet'!$B$15,'Paramètres'!$A$1:$I$89,3,0)*0.475*44/12</f>
        <v>0</v>
      </c>
      <c r="EX170" s="142">
        <f>EXP(-LN(2)/2)*EX169+(1-EXP(-LN(2)/2))/(LN(2)/2)*ER170*EU170*VLOOKUP('Données projet'!$B$15,'Paramètres'!$A$1:$I$89,3,0)*0.475*44/12</f>
        <v>0</v>
      </c>
      <c r="EY170" s="143">
        <f t="shared" si="22"/>
        <v>18.97026561</v>
      </c>
      <c r="EZ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1" t="str">
        <f>VLOOKUP(A170,'Données projet'!$A$217:$I$237,2,0)</f>
        <v>#N/A</v>
      </c>
      <c r="FC170" s="131" t="str">
        <f>VLOOKUP(A170,'Données projet'!$A$217:$I$237,9,0)</f>
        <v>#N/A</v>
      </c>
      <c r="FD170" s="131" t="str">
        <f t="array" ref="FD170">INDEX(FC:FC,MIN(IF(ISNUMBER(FC170:FC366),ROW(FC170:FC366),"")))</f>
        <v/>
      </c>
      <c r="FE170" s="130">
        <f>IF('Données projet'!$A$218&gt;35,FE169+FD170-FM169,IF(A170&lt;'Données projet'!$A$218,$FB$205^A170,IF(A170='Données projet'!$A$218,'Données projet'!$B$218,FE169+FD170-FM169)))</f>
        <v>0</v>
      </c>
      <c r="FF170" s="138">
        <f>FE170*VLOOKUP('Données projet'!$B$16,'Paramètres'!$A$1:$I$89,3,0)*VLOOKUP('Données projet'!$B$16,'Paramètres'!$A$1:$I$89,5,0)</f>
        <v>0</v>
      </c>
      <c r="FG170" s="130">
        <f t="shared" si="48"/>
        <v>0</v>
      </c>
      <c r="FH170" s="141">
        <f t="shared" si="23"/>
        <v>0</v>
      </c>
      <c r="FI170" s="133">
        <f t="shared" si="24"/>
        <v>293.3333333</v>
      </c>
      <c r="FJ170" s="133">
        <f>AVERAGE(OFFSET($FI$3,0,0,'Données projet'!$E$16+1,1))-AVERAGE(OFFSET($H$3,0,0,'Données projet'!$E$16+1,1))</f>
        <v>305.6252353</v>
      </c>
      <c r="FK170" s="133">
        <f t="shared" si="49"/>
        <v>331.397916</v>
      </c>
      <c r="FL170" s="134">
        <f>IF(ISNA(VLOOKUP(A170,'Données projet'!$A$217:$I$237,3,0)),0,VLOOKUP(A170,'Données projet'!$A$217:$I$237,3,0))</f>
        <v>0</v>
      </c>
      <c r="FM170" s="134">
        <f>IF(ISNA(VLOOKUP(A170,'Données projet'!$A$217:$I$237,4,0)),0,VLOOKUP(A170,'Données projet'!$A$217:$I$237,4,0))</f>
        <v>0</v>
      </c>
      <c r="FN170" s="135">
        <f>IF(ISNA(VLOOKUP(A170,'Données projet'!$A$217:$I$237,5,0)),0%,VLOOKUP(A170,'Données projet'!$A$217:$I$237,5,0)*VLOOKUP('Données projet'!$B$16,'Paramètres'!$A$1:$I$89,7,0))</f>
        <v>0</v>
      </c>
      <c r="FO170" s="135">
        <f>IF(ISNA(VLOOKUP(A170,'Données projet'!$A$217:$I$237,6,0)),0%,VLOOKUP(A170,'Données projet'!$A$217:$I$237,6,0)*VLOOKUP('Données projet'!$B$16,'Paramètres'!$A$1:$I$89,7,0))</f>
        <v>0</v>
      </c>
      <c r="FP170" s="135">
        <f>IF(ISNA(VLOOKUP(A170,'Données projet'!$A$217:$I$237,7,0)),0%,VLOOKUP(A170,'Données projet'!$A$217:$I$237,7,0))</f>
        <v>0</v>
      </c>
      <c r="FQ170" s="142">
        <f>EXP(-LN(2)/35)*FQ169+(1-EXP(-LN(2)/35))/(LN(2)/35)*FM170*FN170*VLOOKUP('Données projet'!$B$16,'Paramètres'!$A$1:$I$89,3,0)*0.475*44/12</f>
        <v>11.8114543</v>
      </c>
      <c r="FR170" s="142">
        <f>EXP(-LN(2)/25)*FR169+(1-EXP(-LN(2)/25))/(LN(2)/25)*Calculateur!FM170*Calculateur!FO170*VLOOKUP('Données projet'!$B$16,'Paramètres'!$A$1:$I$89,3,0)*0.475*44/12</f>
        <v>0</v>
      </c>
      <c r="FS170" s="142">
        <f>EXP(-LN(2)/2)*FS169+(1-EXP(-LN(2)/2))/(LN(2)/2)*FM170*FP170*VLOOKUP('Données projet'!$B$16,'Paramètres'!$A$1:$I$89,3,0)*0.475*44/12</f>
        <v>0</v>
      </c>
      <c r="FT170" s="143">
        <f t="shared" si="25"/>
        <v>11.8114543</v>
      </c>
      <c r="FU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1" t="str">
        <f>VLOOKUP(A170,'Données projet'!$A$243:$I$263,2,0)</f>
        <v>#N/A</v>
      </c>
      <c r="FX170" s="131" t="str">
        <f>VLOOKUP(A170,'Données projet'!$A$243:$I$263,9,0)</f>
        <v>#N/A</v>
      </c>
      <c r="FY170" s="131" t="str">
        <f t="array" ref="FY170">INDEX(FX:FX,MIN(IF(ISNUMBER(FX170:FX366),ROW(FX170:FX366),"")))</f>
        <v/>
      </c>
      <c r="FZ170" s="138">
        <f>IF('Données projet'!$A$244&gt;35,FZ169+FY170-GH169,IF(A170&lt;'Données projet'!$A$244,$FW$205^A170,IF(A170='Données projet'!$A$244,'Données projet'!$B$244,FZ169+FY170-GH169)))</f>
        <v>0</v>
      </c>
      <c r="GA170" s="138">
        <f>FZ170*VLOOKUP('Données projet'!$B$17,'Paramètres'!$A$1:$I$89,3,0)*VLOOKUP('Données projet'!$B$17,'Paramètres'!$A$1:$I$89,5,0)</f>
        <v>0</v>
      </c>
      <c r="GB170" s="130">
        <f t="shared" si="50"/>
        <v>0</v>
      </c>
      <c r="GC170" s="141">
        <f t="shared" si="26"/>
        <v>0</v>
      </c>
      <c r="GD170" s="133">
        <f t="shared" si="27"/>
        <v>293.3333333</v>
      </c>
      <c r="GE170" s="133">
        <f>AVERAGE(OFFSET($GD$3,0,0,'Données projet'!$E$17+1,1))-AVERAGE(OFFSET($H$3,0,0,'Données projet'!$E$17+1,1))</f>
        <v>118.7368745</v>
      </c>
      <c r="GF170" s="133">
        <f t="shared" si="51"/>
        <v>135.1233677</v>
      </c>
      <c r="GG170" s="134">
        <f>IF(ISNA(VLOOKUP(A170,'Données projet'!$A$243:$I$263,3,0)),0,VLOOKUP(A170,'Données projet'!$A$243:$I$263,3,0))</f>
        <v>0</v>
      </c>
      <c r="GH170" s="134">
        <f>IF(ISNA(VLOOKUP(A170,'Données projet'!$A$243:$I$263,4,0)),0,VLOOKUP(A170,'Données projet'!$A$243:$I$263,4,0))</f>
        <v>0</v>
      </c>
      <c r="GI170" s="135">
        <f>IF(ISNA(VLOOKUP(A170,'Données projet'!$A$243:$I$263,5,0)),0%,VLOOKUP(A170,'Données projet'!$A$243:$I$263,5,0)*VLOOKUP('Données projet'!$B$17,'Paramètres'!$A$1:$I$89,7,0))</f>
        <v>0</v>
      </c>
      <c r="GJ170" s="135">
        <f>IF(ISNA(VLOOKUP(A170,'Données projet'!$A$243:$I$263,6,0)),0%,VLOOKUP(A170,'Données projet'!$A$243:$I$263,6,0)*VLOOKUP('Données projet'!$B$17,'Paramètres'!$A$1:$I$89,7,0))</f>
        <v>0</v>
      </c>
      <c r="GK170" s="135">
        <f>IF(ISNA(VLOOKUP(A170,'Données projet'!$A$243:$I$263,7,0)),0%,VLOOKUP(A170,'Données projet'!$A$243:$I$263,7,0))</f>
        <v>0</v>
      </c>
      <c r="GL170" s="142">
        <f>EXP(-LN(2)/35)*GL169+(1-EXP(-LN(2)/35))/(LN(2)/35)*GH170*GI170*VLOOKUP('Données projet'!$B$17,'Paramètres'!$A$1:$I$89,3,0)*0.475*44/12</f>
        <v>12.47876494</v>
      </c>
      <c r="GM170" s="142">
        <f>EXP(-LN(2)/25)*GM169+(1-EXP(-LN(2)/25))/(LN(2)/25)*Calculateur!GH170*Calculateur!GJ170*VLOOKUP('Données projet'!$B$17,'Paramètres'!$A$1:$I$89,3,0)*0.475*44/12</f>
        <v>0</v>
      </c>
      <c r="GN170" s="142">
        <f>EXP(-LN(2)/2)*GN169+(1-EXP(-LN(2)/2))/(LN(2)/2)*GH170*GK170*VLOOKUP('Données projet'!$B$17,'Paramètres'!$A$1:$I$89,3,0)*0.475*44/12</f>
        <v>0</v>
      </c>
      <c r="GO170" s="142">
        <f t="shared" si="28"/>
        <v>12.47876494</v>
      </c>
      <c r="GP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1" t="str">
        <f>VLOOKUP(A170,'Données projet'!$A$269:$I$289,2,0)</f>
        <v>#N/A</v>
      </c>
      <c r="GS170" s="131" t="str">
        <f>VLOOKUP(A170,'Données projet'!$A$269:$I$289,9,0)</f>
        <v>#N/A</v>
      </c>
      <c r="GT170" s="131" t="str">
        <f t="array" ref="GT170">INDEX(GS:GS,MIN(IF(ISNUMBER(GS170:GS366),ROW(GS170:GS366),"")))</f>
        <v/>
      </c>
      <c r="GU170" s="138">
        <f>IF('Données projet'!$A$270&gt;35,GU169+GT170-HC169,IF(A170&lt;'Données projet'!$A$270,$GR$205^A170,IF(A170='Données projet'!$A$270,'Données projet'!$B$270,GU169+GT170-HC169)))</f>
        <v>0</v>
      </c>
      <c r="GV170" s="138">
        <f>GU170*VLOOKUP('Données projet'!$B$18,'Paramètres'!$A$1:$I$89,3,0)*VLOOKUP('Données projet'!$B$18,'Paramètres'!$A$1:$I$89,5,0)</f>
        <v>0</v>
      </c>
      <c r="GW170" s="130" t="str">
        <f t="shared" si="52"/>
        <v>#NUM!</v>
      </c>
      <c r="GX170" s="141" t="str">
        <f t="shared" si="29"/>
        <v>#NUM!</v>
      </c>
      <c r="GY170" s="133" t="str">
        <f t="shared" si="30"/>
        <v>#NUM!</v>
      </c>
      <c r="GZ170" s="133">
        <f>AVERAGE(OFFSET($GY$3,0,0,'Données projet'!$E$18+1,1))-AVERAGE(OFFSET($H$3,0,0,'Données projet'!$E$18+1,1))</f>
        <v>100.5427875</v>
      </c>
      <c r="HA170" s="133">
        <f t="shared" si="53"/>
        <v>92.28663609</v>
      </c>
      <c r="HB170" s="134">
        <f>IF(ISNA(VLOOKUP(A170,'Données projet'!$A$269:$I$289,3,0)),0,VLOOKUP(A170,'Données projet'!$A$269:$I$289,3,0))</f>
        <v>0</v>
      </c>
      <c r="HC170" s="134">
        <f>IF(ISNA(VLOOKUP(A170,'Données projet'!$A$269:$I$289,4,0)),0,VLOOKUP(A170,'Données projet'!$A$269:$I$289,4,0))</f>
        <v>0</v>
      </c>
      <c r="HD170" s="135">
        <f>IF(ISNA(VLOOKUP(A170,'Données projet'!$A$269:$I$289,5,0)),0%,VLOOKUP(A170,'Données projet'!$A$269:$I$289,5,0)*VLOOKUP('Données projet'!$B$18,'Paramètres'!$A$1:$I$89,7,0))</f>
        <v>0</v>
      </c>
      <c r="HE170" s="135">
        <f>IF(ISNA(VLOOKUP(A170,'Données projet'!$A$269:$I$289,6,0)),0%,VLOOKUP(A170,'Données projet'!$A$269:$I$289,6,0)*VLOOKUP('Données projet'!$B$18,'Paramètres'!$A$1:$I$89,7,0))</f>
        <v>0</v>
      </c>
      <c r="HF170" s="135">
        <f>IF(ISNA(VLOOKUP(A170,'Données projet'!$A$269:$I$289,7,0)),0%,VLOOKUP(A170,'Données projet'!$A$269:$I$289,7,0))</f>
        <v>0</v>
      </c>
      <c r="HG170" s="142">
        <f>EXP(-LN(2)/35)*HG169+(1-EXP(-LN(2)/35))/(LN(2)/35)*HC170*HD170*VLOOKUP('Données projet'!$B$18,'Paramètres'!$A$1:$I$89,3,0)*0.475*44/12</f>
        <v>8.497775672</v>
      </c>
      <c r="HH170" s="142">
        <f>EXP(-LN(2)/25)*HH169+(1-EXP(-LN(2)/25))/(LN(2)/25)*Calculateur!HC170*Calculateur!HE170*VLOOKUP('Données projet'!$B$18,'Paramètres'!$A$1:$I$89,3,0)*0.475*44/12</f>
        <v>0</v>
      </c>
      <c r="HI170" s="142">
        <f>EXP(-LN(2)/2)*HI169+(1-EXP(-LN(2)/2))/(LN(2)/2)*HC170*HF170*VLOOKUP('Données projet'!$B$18,'Paramètres'!$A$1:$I$89,3,0)*0.475*44/12</f>
        <v>0</v>
      </c>
      <c r="HJ170" s="143">
        <f t="shared" si="31"/>
        <v>8.497775672</v>
      </c>
    </row>
    <row r="171" ht="15.75" customHeight="1">
      <c r="A171" s="125">
        <f t="shared" si="32"/>
        <v>168</v>
      </c>
      <c r="B171" s="126">
        <f>'Scénario référence'!$B$16*5+'Scénario référence'!$B$17*0+'Scénario référence'!$B$18*5</f>
        <v>0</v>
      </c>
      <c r="C171" s="140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91.728</v>
      </c>
      <c r="D171" s="127">
        <f t="shared" si="33"/>
        <v>24.98151458</v>
      </c>
      <c r="E17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7">
        <f>IF(OR('Scénario référence'!$F$8&gt;0,'Scénario référence'!$F$9&gt;0),('Scénario référence'!$F$8+'Scénario référence'!$F$9)*10,0)</f>
        <v>10</v>
      </c>
      <c r="G171" s="127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900.9155512</v>
      </c>
      <c r="H171" s="128">
        <f t="shared" si="1"/>
        <v>496.6024046</v>
      </c>
      <c r="I171" s="12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1" t="str">
        <f>VLOOKUP(A171,'Données projet'!$A$35:$I$55,2,0)</f>
        <v>#N/A</v>
      </c>
      <c r="L171" s="131" t="str">
        <f>VLOOKUP(A171,'Données projet'!$A$35:$I$55,9,0)</f>
        <v>#N/A</v>
      </c>
      <c r="M171" s="131" t="str">
        <f t="array" ref="M171">INDEX(L:L,MIN(IF(ISNUMBER(L171:L367),ROW(L171:L367),"")))</f>
        <v/>
      </c>
      <c r="N171" s="130">
        <f>IF('Données projet'!$A$36&gt;35,N170+M171-V170,IF(A171&lt;'Données projet'!$A$36,$K$205^A171,IF(A171='Données projet'!$A$36,'Données projet'!$B$36,N170+M171-V170)))</f>
        <v>0</v>
      </c>
      <c r="O171" s="130">
        <f>N171*VLOOKUP('Données projet'!$B$9,'Paramètres'!$A$1:$I$89,3,0)*VLOOKUP('Données projet'!$B$9,'Paramètres'!$A$1:$I$89,5,0)</f>
        <v>0</v>
      </c>
      <c r="P171" s="130">
        <f t="shared" si="34"/>
        <v>0</v>
      </c>
      <c r="Q171" s="141">
        <f t="shared" si="2"/>
        <v>0</v>
      </c>
      <c r="R171" s="133">
        <f t="shared" si="3"/>
        <v>293.3333333</v>
      </c>
      <c r="S171" s="133">
        <f>AVERAGE(OFFSET($R$3,0,0,'Données projet'!$E$9+1,1))-AVERAGE(OFFSET($H$3,0,0,'Données projet'!$E$9+1,1))</f>
        <v>126.9946492</v>
      </c>
      <c r="T171" s="133">
        <f t="shared" si="35"/>
        <v>140.039049</v>
      </c>
      <c r="U171" s="134">
        <f>IF(ISNA(VLOOKUP(A171,'Données projet'!$A$35:$I$55,3,0)),0,VLOOKUP(A171,'Données projet'!$A$35:$I$55,3,0))</f>
        <v>0</v>
      </c>
      <c r="V171" s="134">
        <f>IF(ISNA(VLOOKUP(A171,'Données projet'!$A$35:$I$55,4,0)),0,VLOOKUP(A171,'Données projet'!$A$35:$I$55,4,0))</f>
        <v>0</v>
      </c>
      <c r="W171" s="135">
        <f>IF(ISNA(VLOOKUP(A171,'Données projet'!$A$35:$I$55,5,0)),0%,VLOOKUP(A171,'Données projet'!$A$35:$I$55,5,0)*VLOOKUP('Données projet'!$B$9,'Paramètres'!$A$1:$I$89,7,0))</f>
        <v>0</v>
      </c>
      <c r="X171" s="135">
        <f>IF(ISNA(VLOOKUP(A171,'Données projet'!$A$35:$I$55,6,0)),0%,VLOOKUP(A171,'Données projet'!$A$35:$I$55,6,0)*VLOOKUP('Données projet'!$B$9,'Paramètres'!$A$1:$I$89,7,0))</f>
        <v>0</v>
      </c>
      <c r="Y171" s="135">
        <f>IF(ISNA(VLOOKUP(A171,'Données projet'!$A$35:$I$55,7,0)),0%,VLOOKUP(A171,'Données projet'!$A$35:$I$55,7,0))</f>
        <v>0</v>
      </c>
      <c r="Z171" s="142">
        <f>EXP(-LN(2)/35)*Z170+(1-EXP(-LN(2)/35))/(LN(2)/35)*V171*W171*VLOOKUP('Données projet'!$B$9,'Paramètres'!$A$1:$I$89,3,0)*0.475*44/12</f>
        <v>12.5127241</v>
      </c>
      <c r="AA171" s="142">
        <f>EXP(-LN(2)/25)*AA170+(1-EXP(-LN(2)/25))/(LN(2)/25)*Calculateur!V171*Calculateur!X171*VLOOKUP('Données projet'!$B$9,'Paramètres'!$A$1:$I$89,3,0)*0.475*44/12</f>
        <v>1.163486276</v>
      </c>
      <c r="AB171" s="142">
        <f>EXP(-LN(2)/2)*AB170+(1-EXP(-LN(2)/2))/(LN(2)/2)*V171*Y171*VLOOKUP('Données projet'!$B$9,'Paramètres'!$A$1:$I$89,3,0)*0.475*44/12</f>
        <v>0</v>
      </c>
      <c r="AC171" s="143">
        <f t="shared" si="4"/>
        <v>13.67621038</v>
      </c>
      <c r="AD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1" t="str">
        <f>VLOOKUP(A171,'Données projet'!$A$61:$I$81,2,0)</f>
        <v>#N/A</v>
      </c>
      <c r="AG171" s="131" t="str">
        <f>VLOOKUP(A171,'Données projet'!$A$61:$I$81,9,0)</f>
        <v>#N/A</v>
      </c>
      <c r="AH171" s="131" t="str">
        <f t="array" ref="AH171">INDEX(AG:AG,MIN(IF(ISNUMBER(AG171:AG367),ROW(AG171:AG367),"")))</f>
        <v/>
      </c>
      <c r="AI171" s="130">
        <f>IF('Données projet'!$A$62&gt;35,AI170+AH171-AQ170,IF(A171&lt;'Données projet'!$A$62,$AF$205^A171,IF(A171='Données projet'!$A$62,'Données projet'!$B$62,AI170+AH171-AQ170)))</f>
        <v>0</v>
      </c>
      <c r="AJ171" s="130">
        <f>AI171*VLOOKUP('Données projet'!$B$10,'Paramètres'!$A$1:$I$89,3,0)*VLOOKUP('Données projet'!$B$10,'Paramètres'!$A$1:$I$89,5,0)</f>
        <v>0</v>
      </c>
      <c r="AK171" s="130" t="str">
        <f t="shared" si="36"/>
        <v>#NUM!</v>
      </c>
      <c r="AL171" s="141" t="str">
        <f t="shared" si="5"/>
        <v>#NUM!</v>
      </c>
      <c r="AM171" s="133" t="str">
        <f t="shared" si="6"/>
        <v>#NUM!</v>
      </c>
      <c r="AN171" s="133">
        <f>AVERAGE(OFFSET($AM$3,0,0,'Données projet'!$E$10+1,1))-AVERAGE(OFFSET($H$3,0,0,'Données projet'!$E$10+1,1))</f>
        <v>196.874484</v>
      </c>
      <c r="AO171" s="133">
        <f t="shared" si="37"/>
        <v>217.5750859</v>
      </c>
      <c r="AP171" s="134">
        <f>IF(ISNA(VLOOKUP(A171,'Données projet'!$A$61:$I$81,3,0)),0,VLOOKUP(A171,'Données projet'!$A$61:$I$81,3,0))</f>
        <v>0</v>
      </c>
      <c r="AQ171" s="134">
        <f>IF(ISNA(VLOOKUP(A171,'Données projet'!$A$61:$I$81,4,0)),0,VLOOKUP(A171,'Données projet'!$A$61:$I$81,4,0))</f>
        <v>0</v>
      </c>
      <c r="AR171" s="135">
        <f>IF(ISNA(VLOOKUP(A171,'Données projet'!$A$61:$I$81,5,0)),0%,VLOOKUP(A171,'Données projet'!$A$61:$I$81,5,0)*VLOOKUP('Données projet'!$B$10,'Paramètres'!$A$1:$I$89,7,0))</f>
        <v>0</v>
      </c>
      <c r="AS171" s="135">
        <f>IF(ISNA(VLOOKUP(A171,'Données projet'!$A$61:$I$81,6,0)),0%,VLOOKUP(A171,'Données projet'!$A$61:$I$81,6,0)*VLOOKUP('Données projet'!$B$10,'Paramètres'!$A$1:$I$89,7,0))</f>
        <v>0</v>
      </c>
      <c r="AT171" s="135">
        <f>IF(ISNA(VLOOKUP(A171,'Données projet'!$A$61:$I$81,7,0)),0%,VLOOKUP(A171,'Données projet'!$A$61:$I$81,7,0))</f>
        <v>0</v>
      </c>
      <c r="AU171" s="142">
        <f>EXP(-LN(2)/35)*AU170+(1-EXP(-LN(2)/35))/(LN(2)/35)*AQ171*AR171*VLOOKUP('Données projet'!$B$10,'Paramètres'!$A$1:$I$89,3,0)*0.475*44/12</f>
        <v>17.39233109</v>
      </c>
      <c r="AV171" s="142">
        <f>EXP(-LN(2)/25)*AV170+(1-EXP(-LN(2)/25))/(LN(2)/25)*Calculateur!AQ171*Calculateur!AS171*VLOOKUP('Données projet'!$B$10,'Paramètres'!$A$1:$I$89,3,0)*0.475*44/12</f>
        <v>1.788861704</v>
      </c>
      <c r="AW171" s="142">
        <f>EXP(-LN(2)/2)*AW170+(1-EXP(-LN(2)/2))/(LN(2)/2)*AQ171*AT171*VLOOKUP('Données projet'!$B$10,'Paramètres'!$A$1:$I$89,3,0)*0.475*44/12</f>
        <v>0</v>
      </c>
      <c r="AX171" s="142">
        <f t="shared" si="7"/>
        <v>19.18119279</v>
      </c>
      <c r="AY171" s="13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1" t="str">
        <f>VLOOKUP(A171,'Données projet'!$A$87:$I$107,2,0)</f>
        <v>#N/A</v>
      </c>
      <c r="BB171" s="131" t="str">
        <f>VLOOKUP(A171,'Données projet'!$A$87:$I$107,9,0)</f>
        <v>#N/A</v>
      </c>
      <c r="BC171" s="131" t="str">
        <f t="array" ref="BC171">INDEX(BB:BB,MIN(IF(ISNUMBER(BB171:BB367),ROW(BB171:BB367),"")))</f>
        <v/>
      </c>
      <c r="BD171" s="130">
        <f>IF('Données projet'!$A$88&gt;35,BD170+BC171-BL170,IF(A171&lt;'Données projet'!$A$88,$BA$205^A171,IF(A171='Données projet'!$A$88,'Données projet'!$B$88,BD170+BC171-BL170)))</f>
        <v>0</v>
      </c>
      <c r="BE171" s="130">
        <f>BD171*VLOOKUP('Données projet'!$B$11,'Paramètres'!$A$1:$I$89,3,0)*VLOOKUP('Données projet'!$B$11,'Paramètres'!$A$1:$I$89,5,0)</f>
        <v>0</v>
      </c>
      <c r="BF171" s="130" t="str">
        <f t="shared" si="38"/>
        <v>#NUM!</v>
      </c>
      <c r="BG171" s="141" t="str">
        <f t="shared" si="8"/>
        <v>#NUM!</v>
      </c>
      <c r="BH171" s="133" t="str">
        <f t="shared" si="9"/>
        <v>#NUM!</v>
      </c>
      <c r="BI171" s="133">
        <f>AVERAGE(OFFSET($BH$3,0,0,'Données projet'!$E$11+1,1))-AVERAGE(OFFSET($H$3,0,0,'Données projet'!$E$11+1,1))</f>
        <v>134.0948534</v>
      </c>
      <c r="BJ171" s="133">
        <f t="shared" si="39"/>
        <v>108.4102536</v>
      </c>
      <c r="BK171" s="134">
        <f>IF(ISNA(VLOOKUP(A171,'Données projet'!$A$87:$I$107,3,0)),0,VLOOKUP(A171,'Données projet'!$A$87:$I$107,3,0))</f>
        <v>0</v>
      </c>
      <c r="BL171" s="134">
        <f>IF(ISNA(VLOOKUP(A171,'Données projet'!$A$87:$I$107,4,0)),0,VLOOKUP(A171,'Données projet'!$A$87:$I$107,4,0))</f>
        <v>0</v>
      </c>
      <c r="BM171" s="135">
        <f>IF(ISNA(VLOOKUP(A171,'Données projet'!$A$87:$I$107,5,0)),0%,VLOOKUP(A171,'Données projet'!$A$87:$I$107,5,0)*VLOOKUP('Données projet'!$B$11,'Paramètres'!$A$1:$I$89,7,0))</f>
        <v>0</v>
      </c>
      <c r="BN171" s="135">
        <f>IF(ISNA(VLOOKUP(A171,'Données projet'!$A$87:$I$107,6,0)),0%,VLOOKUP(A171,'Données projet'!$A$87:$I$107,6,0)*VLOOKUP('Données projet'!$B$11,'Paramètres'!$A$1:$I$89,7,0))</f>
        <v>0</v>
      </c>
      <c r="BO171" s="135">
        <f>IF(ISNA(VLOOKUP(A171,'Données projet'!$A$87:$I$107,7,0)),0%,VLOOKUP(A171,'Données projet'!$A$87:$I$107,7,0))</f>
        <v>0</v>
      </c>
      <c r="BP171" s="142">
        <f>EXP(-LN(2)/35)*BP170+(1-EXP(-LN(2)/35))/(LN(2)/35)*BL171*BM171*VLOOKUP('Données projet'!$B$11,'Paramètres'!$A$1:$I$89,3,0)*0.475*44/12</f>
        <v>24.05684206</v>
      </c>
      <c r="BQ171" s="142">
        <f>EXP(-LN(2)/25)*BQ170+(1-EXP(-LN(2)/25))/(LN(2)/25)*Calculateur!BL171*Calculateur!BN171*VLOOKUP('Données projet'!$B$11,'Paramètres'!$A$1:$I$89,3,0)*0.475*44/12</f>
        <v>1.128415499</v>
      </c>
      <c r="BR171" s="142">
        <f>EXP(-LN(2)/2)*BR170+(1-EXP(-LN(2)/2))/(LN(2)/2)*BL171*BO171*VLOOKUP('Données projet'!$B$11,'Paramètres'!$A$1:$I$89,3,0)*0.475*44/12</f>
        <v>0</v>
      </c>
      <c r="BS171" s="143">
        <f t="shared" si="10"/>
        <v>25.18525756</v>
      </c>
      <c r="BT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1" t="str">
        <f>VLOOKUP(A171,'Données projet'!$A$113:$I$133,2,0)</f>
        <v>#N/A</v>
      </c>
      <c r="BW171" s="131" t="str">
        <f>VLOOKUP(A171,'Données projet'!$A$113:$I$133,9,0)</f>
        <v>#N/A</v>
      </c>
      <c r="BX171" s="131" t="str">
        <f t="array" ref="BX171">INDEX(BW:BW,MIN(IF(ISNUMBER(BW171:BW367),ROW(BW171:BW367),"")))</f>
        <v/>
      </c>
      <c r="BY171" s="130">
        <f>IF('Données projet'!$A$114&gt;35,BY170+BX171-CG170,IF(A171&lt;'Données projet'!$A$114,$BV$205^A171,IF(A171='Données projet'!$A$114,'Données projet'!$B$114,BY170+BX171-CG170)))</f>
        <v>0</v>
      </c>
      <c r="BZ171" s="130">
        <f>BY171*VLOOKUP('Données projet'!$B$12,'Paramètres'!$A$1:$I$89,3,0)*VLOOKUP('Données projet'!$B$12,'Paramètres'!$A$1:$I$89,5,0)</f>
        <v>0</v>
      </c>
      <c r="CA171" s="130" t="str">
        <f t="shared" si="40"/>
        <v>#NUM!</v>
      </c>
      <c r="CB171" s="141" t="str">
        <f t="shared" si="11"/>
        <v>#NUM!</v>
      </c>
      <c r="CC171" s="133" t="str">
        <f t="shared" si="12"/>
        <v>#NUM!</v>
      </c>
      <c r="CD171" s="133">
        <f>AVERAGE(OFFSET($CC$3,0,0,'Données projet'!$E$12+1,1))-AVERAGE(OFFSET($H$3,0,0,'Données projet'!$E$12+1,1))</f>
        <v>258.1672054</v>
      </c>
      <c r="CE171" s="133">
        <f t="shared" si="41"/>
        <v>296.0724261</v>
      </c>
      <c r="CF171" s="134">
        <f>IF(ISNA(VLOOKUP(A171,'Données projet'!$A$113:$I$133,3,0)),0,VLOOKUP(A171,'Données projet'!$A$113:$I$133,3,0))</f>
        <v>0</v>
      </c>
      <c r="CG171" s="134">
        <f>IF(ISNA(VLOOKUP(A171,'Données projet'!$A$113:$I$133,4,0)),0,VLOOKUP(A171,'Données projet'!$A$113:$I$133,4,0))</f>
        <v>0</v>
      </c>
      <c r="CH171" s="135">
        <f>IF(ISNA(VLOOKUP(A171,'Données projet'!$A$113:$I$133,5,0)),0%,VLOOKUP(A171,'Données projet'!$A$113:$I$133,5,0)*VLOOKUP('Données projet'!$B$12,'Paramètres'!$A$1:$I$89,7,0))</f>
        <v>0</v>
      </c>
      <c r="CI171" s="135">
        <f>IF(ISNA(VLOOKUP(A171,'Données projet'!$A$113:$I$133,6,0)),0%,VLOOKUP(A171,'Données projet'!$A$113:$I$133,6,0)*VLOOKUP('Données projet'!$B$12,'Paramètres'!$A$1:$I$89,7,0))</f>
        <v>0</v>
      </c>
      <c r="CJ171" s="135">
        <f>IF(ISNA(VLOOKUP(A171,'Données projet'!$A$113:$I$133,7,0)),0%,VLOOKUP(A171,'Données projet'!$A$113:$I$133,7,0))</f>
        <v>0</v>
      </c>
      <c r="CK171" s="142">
        <f>EXP(-LN(2)/35)*CK170+(1-EXP(-LN(2)/35))/(LN(2)/35)*CG171*CH171*VLOOKUP('Données projet'!$B$12,'Paramètres'!$A$1:$I$89,3,0)*0.475*44/12</f>
        <v>30.41520765</v>
      </c>
      <c r="CL171" s="142">
        <f>EXP(-LN(2)/25)*CL170+(1-EXP(-LN(2)/25))/(LN(2)/25)*Calculateur!CG171*Calculateur!CI171*VLOOKUP('Données projet'!$B$12,'Paramètres'!$A$1:$I$89,3,0)*0.475*44/12</f>
        <v>1.979304842</v>
      </c>
      <c r="CM171" s="142">
        <f>EXP(-LN(2)/2)*CM170+(1-EXP(-LN(2)/2))/(LN(2)/2)*CG171*CJ171*VLOOKUP('Données projet'!$B$12,'Paramètres'!$A$1:$I$89,3,0)*0.475*44/12</f>
        <v>0</v>
      </c>
      <c r="CN171" s="143">
        <f t="shared" si="13"/>
        <v>32.3945125</v>
      </c>
      <c r="CO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1" t="str">
        <f>VLOOKUP(A171,'Données projet'!$A$139:$I$159,2,0)</f>
        <v>#N/A</v>
      </c>
      <c r="CR171" s="131" t="str">
        <f>VLOOKUP(A171,'Données projet'!$A$139:$I$159,9,0)</f>
        <v>#N/A</v>
      </c>
      <c r="CS171" s="131" t="str">
        <f t="array" ref="CS171">INDEX(CR:CR,MIN(IF(ISNUMBER(CR171:CR367),ROW(CR171:CR367),"")))</f>
        <v/>
      </c>
      <c r="CT171" s="138">
        <f>IF('Données projet'!$A$140&gt;35,CT170+CS171-DB170,IF(A171&lt;'Données projet'!$A$140,$CQ$205^A171,IF(A171='Données projet'!$A$140,'Données projet'!$B$140,CT170+CS171-DB170)))</f>
        <v>0</v>
      </c>
      <c r="CU171" s="138">
        <f>CT171*VLOOKUP('Données projet'!$B$13,'Paramètres'!$A$1:$I$89,3,0)*VLOOKUP('Données projet'!$B$13,'Paramètres'!$A$1:$I$89,5,0)</f>
        <v>0</v>
      </c>
      <c r="CV171" s="130" t="str">
        <f t="shared" si="42"/>
        <v>#NUM!</v>
      </c>
      <c r="CW171" s="141" t="str">
        <f t="shared" si="14"/>
        <v>#NUM!</v>
      </c>
      <c r="CX171" s="133" t="str">
        <f t="shared" si="15"/>
        <v>#NUM!</v>
      </c>
      <c r="CY171" s="133">
        <f>AVERAGE(OFFSET($CX$3,0,0,'Données projet'!$E$13+1,1))-AVERAGE(OFFSET($H$3,0,0,'Données projet'!$E$13+1,1))</f>
        <v>223.783507</v>
      </c>
      <c r="CZ171" s="133">
        <f t="shared" si="43"/>
        <v>84.92349117</v>
      </c>
      <c r="DA171" s="134">
        <f>IF(ISNA(VLOOKUP(A171,'Données projet'!$A$139:$I$159,3,0)),0,VLOOKUP(A171,'Données projet'!$A$139:$I$159,3,0))</f>
        <v>0</v>
      </c>
      <c r="DB171" s="134">
        <f>IF(ISNA(VLOOKUP(A171,'Données projet'!$A$139:$I$159,4,0)),0,VLOOKUP(A171,'Données projet'!$A$139:$I$159,4,0))</f>
        <v>0</v>
      </c>
      <c r="DC171" s="135">
        <f>IF(ISNA(VLOOKUP(A171,'Données projet'!$A$139:$I$159,5,0)),0%,VLOOKUP(A171,'Données projet'!$A$139:$I$159,5,0)*VLOOKUP('Données projet'!$B$13,'Paramètres'!$A$1:$I$89,7,0))</f>
        <v>0</v>
      </c>
      <c r="DD171" s="135">
        <f>IF(ISNA(VLOOKUP(A171,'Données projet'!$A$139:$I$159,6,0)),0%,VLOOKUP(A171,'Données projet'!$A$139:$I$159,6,0)*VLOOKUP('Données projet'!$B$13,'Paramètres'!$A$1:$I$89,7,0))</f>
        <v>0</v>
      </c>
      <c r="DE171" s="135">
        <f>IF(ISNA(VLOOKUP(A171,'Données projet'!$A$139:$I$159,7,0)),0%,VLOOKUP(A171,'Données projet'!$A$139:$I$159,7,0))</f>
        <v>0</v>
      </c>
      <c r="DF171" s="142">
        <f>EXP(-LN(2)/35)*DF170+(1-EXP(-LN(2)/35))/(LN(2)/35)*DB171*DC171*VLOOKUP('Données projet'!$B$13,'Paramètres'!$A$1:$I$89,3,0)*0.475*44/12</f>
        <v>78.11818772</v>
      </c>
      <c r="DG171" s="142">
        <f>EXP(-LN(2)/25)*DG170+(1-EXP(-LN(2)/25))/(LN(2)/25)*Calculateur!DB171*Calculateur!DD171*VLOOKUP('Données projet'!$B$13,'Paramètres'!$A$1:$I$89,3,0)*0.475*44/12</f>
        <v>0</v>
      </c>
      <c r="DH171" s="142">
        <f>EXP(-LN(2)/2)*DH170+(1-EXP(-LN(2)/2))/(LN(2)/2)*DB171*DE171*VLOOKUP('Données projet'!$B$13,'Paramètres'!$A$1:$I$89,3,0)*0.475*44/12</f>
        <v>0</v>
      </c>
      <c r="DI171" s="143">
        <f t="shared" si="16"/>
        <v>78.11818772</v>
      </c>
      <c r="DJ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1" t="str">
        <f>VLOOKUP(A171,'Données projet'!$A$165:$I$185,2,0)</f>
        <v>#N/A</v>
      </c>
      <c r="DM171" s="131" t="str">
        <f>VLOOKUP(A171,'Données projet'!$A$165:$I$185,9,0)</f>
        <v>#N/A</v>
      </c>
      <c r="DN171" s="131" t="str">
        <f t="array" ref="DN171">INDEX(DM:DM,MIN(IF(ISNUMBER(DM171:DM367),ROW(DM171:DM367),"")))</f>
        <v/>
      </c>
      <c r="DO171" s="138">
        <f>IF('Données projet'!$A$166&gt;35,DO170+DN171-DW170,IF(A171&lt;'Données projet'!$A$166,$DL$205^A171,IF(A171='Données projet'!$A$166,'Données projet'!$B$166,DO170+DN171-DW170)))</f>
        <v>0</v>
      </c>
      <c r="DP171" s="138">
        <f>DO171*VLOOKUP('Données projet'!$B$14,'Paramètres'!$A$1:$I$89,3,0)*VLOOKUP('Données projet'!$B$14,'Paramètres'!$A$1:$I$89,5,0)</f>
        <v>0</v>
      </c>
      <c r="DQ171" s="130" t="str">
        <f t="shared" si="44"/>
        <v>#NUM!</v>
      </c>
      <c r="DR171" s="141" t="str">
        <f t="shared" si="17"/>
        <v>#NUM!</v>
      </c>
      <c r="DS171" s="133" t="str">
        <f t="shared" si="18"/>
        <v>#NUM!</v>
      </c>
      <c r="DT171" s="133">
        <f>AVERAGE(OFFSET($DS$3,0,0,'Données projet'!$E$14+1,1))-AVERAGE(OFFSET($H$3,0,0,'Données projet'!$E$14+1,1))</f>
        <v>287.9334714</v>
      </c>
      <c r="DU171" s="133">
        <f t="shared" si="45"/>
        <v>156.6796502</v>
      </c>
      <c r="DV171" s="134">
        <f>IF(ISNA(VLOOKUP(A171,'Données projet'!$A$165:$I$185,3,0)),0,VLOOKUP(A171,'Données projet'!$A$165:$I$185,3,0))</f>
        <v>0</v>
      </c>
      <c r="DW171" s="134">
        <f>IF(ISNA(VLOOKUP(A171,'Données projet'!$A$165:$I$185,4,0)),0,VLOOKUP(A171,'Données projet'!$A$165:$I$185,4,0))</f>
        <v>0</v>
      </c>
      <c r="DX171" s="135">
        <f>IF(ISNA(VLOOKUP(A171,'Données projet'!$A$165:$I$185,5,0)),0%,VLOOKUP(A171,'Données projet'!$A$165:$I$185,5,0)*VLOOKUP('Données projet'!$B$14,'Paramètres'!$A$1:$I$89,7,0))</f>
        <v>0</v>
      </c>
      <c r="DY171" s="135">
        <f>IF(ISNA(VLOOKUP(A171,'Données projet'!$A$165:$I$185,6,0)),0%,VLOOKUP(A171,'Données projet'!$A$165:$I$185,6,0)*VLOOKUP('Données projet'!$B$14,'Paramètres'!$A$1:$I$89,7,0))</f>
        <v>0</v>
      </c>
      <c r="DZ171" s="135">
        <f>IF(ISNA(VLOOKUP(A171,'Données projet'!$A$165:$I$185,7,0)),0%,VLOOKUP(A171,'Données projet'!$A$165:$I$185,7,0))</f>
        <v>0</v>
      </c>
      <c r="EA171" s="142">
        <f>EXP(-LN(2)/35)*EA170+(1-EXP(-LN(2)/35))/(LN(2)/35)*DW171*DX171*VLOOKUP('Données projet'!$B$14,'Paramètres'!$A$1:$I$89,3,0)*0.475*44/12</f>
        <v>90.75122941</v>
      </c>
      <c r="EB171" s="142">
        <f>EXP(-LN(2)/25)*EB170+(1-EXP(-LN(2)/25))/(LN(2)/25)*Calculateur!DW171*Calculateur!DY171*VLOOKUP('Données projet'!$B$14,'Paramètres'!$A$1:$I$89,3,0)*0.475*44/12</f>
        <v>0</v>
      </c>
      <c r="EC171" s="142">
        <f>EXP(-LN(2)/2)*EC170+(1-EXP(-LN(2)/2))/(LN(2)/2)*DW171*DZ171*VLOOKUP('Données projet'!$B$14,'Paramètres'!$A$1:$I$89,3,0)*0.475*44/12</f>
        <v>0</v>
      </c>
      <c r="ED171" s="143">
        <f t="shared" si="19"/>
        <v>90.75122941</v>
      </c>
      <c r="EE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1" t="str">
        <f>VLOOKUP(A171,'Données projet'!$A$191:$I$211,2,0)</f>
        <v>#N/A</v>
      </c>
      <c r="EH171" s="131" t="str">
        <f>VLOOKUP(A171,'Données projet'!$A$191:$I$211,9,0)</f>
        <v>#N/A</v>
      </c>
      <c r="EI171" s="131" t="str">
        <f t="array" ref="EI171">INDEX(EH:EH,MIN(IF(ISNUMBER(EH171:EH367),ROW(EH171:EH367),"")))</f>
        <v/>
      </c>
      <c r="EJ171" s="138">
        <f>IF('Données projet'!$A$192&gt;35,EJ170+EI171-ER170,IF(A171&lt;'Données projet'!$A$192,$EG$205^A171,IF(A171='Données projet'!$A$192,'Données projet'!$B$192,EJ170+EI171-ER170)))</f>
        <v>0</v>
      </c>
      <c r="EK171" s="138">
        <f>EJ171*VLOOKUP('Données projet'!$B$15,'Paramètres'!$A$1:$I$89,3,0)*VLOOKUP('Données projet'!$B$15,'Paramètres'!$A$1:$I$89,5,0)</f>
        <v>0</v>
      </c>
      <c r="EL171" s="130" t="str">
        <f t="shared" si="46"/>
        <v>#NUM!</v>
      </c>
      <c r="EM171" s="141" t="str">
        <f t="shared" si="20"/>
        <v>#NUM!</v>
      </c>
      <c r="EN171" s="133" t="str">
        <f t="shared" si="21"/>
        <v>#NUM!</v>
      </c>
      <c r="EO171" s="133">
        <f>AVERAGE(OFFSET($EN$3,0,0,'Données projet'!$E$15+1,1))-AVERAGE(OFFSET($H$3,0,0,'Données projet'!$E$15+1,1))</f>
        <v>130.3193339</v>
      </c>
      <c r="EP171" s="133">
        <f t="shared" si="47"/>
        <v>82.22784365</v>
      </c>
      <c r="EQ171" s="134">
        <f>IF(ISNA(VLOOKUP(A171,'Données projet'!$A$191:$I$211,3,0)),0,VLOOKUP(A171,'Données projet'!$A$191:$I$211,3,0))</f>
        <v>0</v>
      </c>
      <c r="ER171" s="134">
        <f>IF(ISNA(VLOOKUP(A171,'Données projet'!$A$191:$I$211,4,0)),0,VLOOKUP(A171,'Données projet'!$A$191:$I$211,4,0))</f>
        <v>0</v>
      </c>
      <c r="ES171" s="135">
        <f>IF(ISNA(VLOOKUP(A171,'Données projet'!$A$191:$I$211,5,0)),0%,VLOOKUP(A171,'Données projet'!$A$191:$I$211,5,0)*VLOOKUP('Données projet'!$B$15,'Paramètres'!$A$1:$I$89,7,0))</f>
        <v>0</v>
      </c>
      <c r="ET171" s="135">
        <f>IF(ISNA(VLOOKUP(A171,'Données projet'!$A$191:$I$211,6,0)),0%,VLOOKUP(A171,'Données projet'!$A$191:$I$211,6,0)*VLOOKUP('Données projet'!$B$15,'Paramètres'!$A$1:$I$89,7,0))</f>
        <v>0</v>
      </c>
      <c r="EU171" s="135">
        <f>IF(ISNA(VLOOKUP(A171,'Données projet'!$A$191:$I$211,7,0)),0%,VLOOKUP(A171,'Données projet'!$A$191:$I$211,7,0))</f>
        <v>0</v>
      </c>
      <c r="EV171" s="142">
        <f>EXP(-LN(2)/35)*EV170+(1-EXP(-LN(2)/35))/(LN(2)/35)*ER171*ES171*VLOOKUP('Données projet'!$B$15,'Paramètres'!$A$1:$I$89,3,0)*0.475*44/12</f>
        <v>18.59827027</v>
      </c>
      <c r="EW171" s="142">
        <f>EXP(-LN(2)/25)*EW170+(1-EXP(-LN(2)/25))/(LN(2)/25)*Calculateur!ER171*Calculateur!ET171*VLOOKUP('Données projet'!$B$15,'Paramètres'!$A$1:$I$89,3,0)*0.475*44/12</f>
        <v>0</v>
      </c>
      <c r="EX171" s="142">
        <f>EXP(-LN(2)/2)*EX170+(1-EXP(-LN(2)/2))/(LN(2)/2)*ER171*EU171*VLOOKUP('Données projet'!$B$15,'Paramètres'!$A$1:$I$89,3,0)*0.475*44/12</f>
        <v>0</v>
      </c>
      <c r="EY171" s="143">
        <f t="shared" si="22"/>
        <v>18.59827027</v>
      </c>
      <c r="EZ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1" t="str">
        <f>VLOOKUP(A171,'Données projet'!$A$217:$I$237,2,0)</f>
        <v>#N/A</v>
      </c>
      <c r="FC171" s="131" t="str">
        <f>VLOOKUP(A171,'Données projet'!$A$217:$I$237,9,0)</f>
        <v>#N/A</v>
      </c>
      <c r="FD171" s="131" t="str">
        <f t="array" ref="FD171">INDEX(FC:FC,MIN(IF(ISNUMBER(FC171:FC367),ROW(FC171:FC367),"")))</f>
        <v/>
      </c>
      <c r="FE171" s="130">
        <f>IF('Données projet'!$A$218&gt;35,FE170+FD171-FM170,IF(A171&lt;'Données projet'!$A$218,$FB$205^A171,IF(A171='Données projet'!$A$218,'Données projet'!$B$218,FE170+FD171-FM170)))</f>
        <v>0</v>
      </c>
      <c r="FF171" s="138">
        <f>FE171*VLOOKUP('Données projet'!$B$16,'Paramètres'!$A$1:$I$89,3,0)*VLOOKUP('Données projet'!$B$16,'Paramètres'!$A$1:$I$89,5,0)</f>
        <v>0</v>
      </c>
      <c r="FG171" s="130">
        <f t="shared" si="48"/>
        <v>0</v>
      </c>
      <c r="FH171" s="141">
        <f t="shared" si="23"/>
        <v>0</v>
      </c>
      <c r="FI171" s="133">
        <f t="shared" si="24"/>
        <v>293.3333333</v>
      </c>
      <c r="FJ171" s="133">
        <f>AVERAGE(OFFSET($FI$3,0,0,'Données projet'!$E$16+1,1))-AVERAGE(OFFSET($H$3,0,0,'Données projet'!$E$16+1,1))</f>
        <v>305.6252353</v>
      </c>
      <c r="FK171" s="133">
        <f t="shared" si="49"/>
        <v>331.397916</v>
      </c>
      <c r="FL171" s="134">
        <f>IF(ISNA(VLOOKUP(A171,'Données projet'!$A$217:$I$237,3,0)),0,VLOOKUP(A171,'Données projet'!$A$217:$I$237,3,0))</f>
        <v>0</v>
      </c>
      <c r="FM171" s="134">
        <f>IF(ISNA(VLOOKUP(A171,'Données projet'!$A$217:$I$237,4,0)),0,VLOOKUP(A171,'Données projet'!$A$217:$I$237,4,0))</f>
        <v>0</v>
      </c>
      <c r="FN171" s="135">
        <f>IF(ISNA(VLOOKUP(A171,'Données projet'!$A$217:$I$237,5,0)),0%,VLOOKUP(A171,'Données projet'!$A$217:$I$237,5,0)*VLOOKUP('Données projet'!$B$16,'Paramètres'!$A$1:$I$89,7,0))</f>
        <v>0</v>
      </c>
      <c r="FO171" s="135">
        <f>IF(ISNA(VLOOKUP(A171,'Données projet'!$A$217:$I$237,6,0)),0%,VLOOKUP(A171,'Données projet'!$A$217:$I$237,6,0)*VLOOKUP('Données projet'!$B$16,'Paramètres'!$A$1:$I$89,7,0))</f>
        <v>0</v>
      </c>
      <c r="FP171" s="135">
        <f>IF(ISNA(VLOOKUP(A171,'Données projet'!$A$217:$I$237,7,0)),0%,VLOOKUP(A171,'Données projet'!$A$217:$I$237,7,0))</f>
        <v>0</v>
      </c>
      <c r="FQ171" s="142">
        <f>EXP(-LN(2)/35)*FQ170+(1-EXP(-LN(2)/35))/(LN(2)/35)*FM171*FN171*VLOOKUP('Données projet'!$B$16,'Paramètres'!$A$1:$I$89,3,0)*0.475*44/12</f>
        <v>11.57983889</v>
      </c>
      <c r="FR171" s="142">
        <f>EXP(-LN(2)/25)*FR170+(1-EXP(-LN(2)/25))/(LN(2)/25)*Calculateur!FM171*Calculateur!FO171*VLOOKUP('Données projet'!$B$16,'Paramètres'!$A$1:$I$89,3,0)*0.475*44/12</f>
        <v>0</v>
      </c>
      <c r="FS171" s="142">
        <f>EXP(-LN(2)/2)*FS170+(1-EXP(-LN(2)/2))/(LN(2)/2)*FM171*FP171*VLOOKUP('Données projet'!$B$16,'Paramètres'!$A$1:$I$89,3,0)*0.475*44/12</f>
        <v>0</v>
      </c>
      <c r="FT171" s="143">
        <f t="shared" si="25"/>
        <v>11.57983889</v>
      </c>
      <c r="FU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1" t="str">
        <f>VLOOKUP(A171,'Données projet'!$A$243:$I$263,2,0)</f>
        <v>#N/A</v>
      </c>
      <c r="FX171" s="131" t="str">
        <f>VLOOKUP(A171,'Données projet'!$A$243:$I$263,9,0)</f>
        <v>#N/A</v>
      </c>
      <c r="FY171" s="131" t="str">
        <f t="array" ref="FY171">INDEX(FX:FX,MIN(IF(ISNUMBER(FX171:FX367),ROW(FX171:FX367),"")))</f>
        <v/>
      </c>
      <c r="FZ171" s="138">
        <f>IF('Données projet'!$A$244&gt;35,FZ170+FY171-GH170,IF(A171&lt;'Données projet'!$A$244,$FW$205^A171,IF(A171='Données projet'!$A$244,'Données projet'!$B$244,FZ170+FY171-GH170)))</f>
        <v>0</v>
      </c>
      <c r="GA171" s="138">
        <f>FZ171*VLOOKUP('Données projet'!$B$17,'Paramètres'!$A$1:$I$89,3,0)*VLOOKUP('Données projet'!$B$17,'Paramètres'!$A$1:$I$89,5,0)</f>
        <v>0</v>
      </c>
      <c r="GB171" s="130">
        <f t="shared" si="50"/>
        <v>0</v>
      </c>
      <c r="GC171" s="141">
        <f t="shared" si="26"/>
        <v>0</v>
      </c>
      <c r="GD171" s="133">
        <f t="shared" si="27"/>
        <v>293.3333333</v>
      </c>
      <c r="GE171" s="133">
        <f>AVERAGE(OFFSET($GD$3,0,0,'Données projet'!$E$17+1,1))-AVERAGE(OFFSET($H$3,0,0,'Données projet'!$E$17+1,1))</f>
        <v>118.7368745</v>
      </c>
      <c r="GF171" s="133">
        <f t="shared" si="51"/>
        <v>135.1233677</v>
      </c>
      <c r="GG171" s="134">
        <f>IF(ISNA(VLOOKUP(A171,'Données projet'!$A$243:$I$263,3,0)),0,VLOOKUP(A171,'Données projet'!$A$243:$I$263,3,0))</f>
        <v>0</v>
      </c>
      <c r="GH171" s="134">
        <f>IF(ISNA(VLOOKUP(A171,'Données projet'!$A$243:$I$263,4,0)),0,VLOOKUP(A171,'Données projet'!$A$243:$I$263,4,0))</f>
        <v>0</v>
      </c>
      <c r="GI171" s="135">
        <f>IF(ISNA(VLOOKUP(A171,'Données projet'!$A$243:$I$263,5,0)),0%,VLOOKUP(A171,'Données projet'!$A$243:$I$263,5,0)*VLOOKUP('Données projet'!$B$17,'Paramètres'!$A$1:$I$89,7,0))</f>
        <v>0</v>
      </c>
      <c r="GJ171" s="135">
        <f>IF(ISNA(VLOOKUP(A171,'Données projet'!$A$243:$I$263,6,0)),0%,VLOOKUP(A171,'Données projet'!$A$243:$I$263,6,0)*VLOOKUP('Données projet'!$B$17,'Paramètres'!$A$1:$I$89,7,0))</f>
        <v>0</v>
      </c>
      <c r="GK171" s="135">
        <f>IF(ISNA(VLOOKUP(A171,'Données projet'!$A$243:$I$263,7,0)),0%,VLOOKUP(A171,'Données projet'!$A$243:$I$263,7,0))</f>
        <v>0</v>
      </c>
      <c r="GL171" s="142">
        <f>EXP(-LN(2)/35)*GL170+(1-EXP(-LN(2)/35))/(LN(2)/35)*GH171*GI171*VLOOKUP('Données projet'!$B$17,'Paramètres'!$A$1:$I$89,3,0)*0.475*44/12</f>
        <v>12.23406397</v>
      </c>
      <c r="GM171" s="142">
        <f>EXP(-LN(2)/25)*GM170+(1-EXP(-LN(2)/25))/(LN(2)/25)*Calculateur!GH171*Calculateur!GJ171*VLOOKUP('Données projet'!$B$17,'Paramètres'!$A$1:$I$89,3,0)*0.475*44/12</f>
        <v>0</v>
      </c>
      <c r="GN171" s="142">
        <f>EXP(-LN(2)/2)*GN170+(1-EXP(-LN(2)/2))/(LN(2)/2)*GH171*GK171*VLOOKUP('Données projet'!$B$17,'Paramètres'!$A$1:$I$89,3,0)*0.475*44/12</f>
        <v>0</v>
      </c>
      <c r="GO171" s="142">
        <f t="shared" si="28"/>
        <v>12.23406397</v>
      </c>
      <c r="GP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1" t="str">
        <f>VLOOKUP(A171,'Données projet'!$A$269:$I$289,2,0)</f>
        <v>#N/A</v>
      </c>
      <c r="GS171" s="131" t="str">
        <f>VLOOKUP(A171,'Données projet'!$A$269:$I$289,9,0)</f>
        <v>#N/A</v>
      </c>
      <c r="GT171" s="131" t="str">
        <f t="array" ref="GT171">INDEX(GS:GS,MIN(IF(ISNUMBER(GS171:GS367),ROW(GS171:GS367),"")))</f>
        <v/>
      </c>
      <c r="GU171" s="138">
        <f>IF('Données projet'!$A$270&gt;35,GU170+GT171-HC170,IF(A171&lt;'Données projet'!$A$270,$GR$205^A171,IF(A171='Données projet'!$A$270,'Données projet'!$B$270,GU170+GT171-HC170)))</f>
        <v>0</v>
      </c>
      <c r="GV171" s="138">
        <f>GU171*VLOOKUP('Données projet'!$B$18,'Paramètres'!$A$1:$I$89,3,0)*VLOOKUP('Données projet'!$B$18,'Paramètres'!$A$1:$I$89,5,0)</f>
        <v>0</v>
      </c>
      <c r="GW171" s="130" t="str">
        <f t="shared" si="52"/>
        <v>#NUM!</v>
      </c>
      <c r="GX171" s="141" t="str">
        <f t="shared" si="29"/>
        <v>#NUM!</v>
      </c>
      <c r="GY171" s="133" t="str">
        <f t="shared" si="30"/>
        <v>#NUM!</v>
      </c>
      <c r="GZ171" s="133">
        <f>AVERAGE(OFFSET($GY$3,0,0,'Données projet'!$E$18+1,1))-AVERAGE(OFFSET($H$3,0,0,'Données projet'!$E$18+1,1))</f>
        <v>100.5427875</v>
      </c>
      <c r="HA171" s="133">
        <f t="shared" si="53"/>
        <v>92.28663609</v>
      </c>
      <c r="HB171" s="134">
        <f>IF(ISNA(VLOOKUP(A171,'Données projet'!$A$269:$I$289,3,0)),0,VLOOKUP(A171,'Données projet'!$A$269:$I$289,3,0))</f>
        <v>0</v>
      </c>
      <c r="HC171" s="134">
        <f>IF(ISNA(VLOOKUP(A171,'Données projet'!$A$269:$I$289,4,0)),0,VLOOKUP(A171,'Données projet'!$A$269:$I$289,4,0))</f>
        <v>0</v>
      </c>
      <c r="HD171" s="135">
        <f>IF(ISNA(VLOOKUP(A171,'Données projet'!$A$269:$I$289,5,0)),0%,VLOOKUP(A171,'Données projet'!$A$269:$I$289,5,0)*VLOOKUP('Données projet'!$B$18,'Paramètres'!$A$1:$I$89,7,0))</f>
        <v>0</v>
      </c>
      <c r="HE171" s="135">
        <f>IF(ISNA(VLOOKUP(A171,'Données projet'!$A$269:$I$289,6,0)),0%,VLOOKUP(A171,'Données projet'!$A$269:$I$289,6,0)*VLOOKUP('Données projet'!$B$18,'Paramètres'!$A$1:$I$89,7,0))</f>
        <v>0</v>
      </c>
      <c r="HF171" s="135">
        <f>IF(ISNA(VLOOKUP(A171,'Données projet'!$A$269:$I$289,7,0)),0%,VLOOKUP(A171,'Données projet'!$A$269:$I$289,7,0))</f>
        <v>0</v>
      </c>
      <c r="HG171" s="142">
        <f>EXP(-LN(2)/35)*HG170+(1-EXP(-LN(2)/35))/(LN(2)/35)*HC171*HD171*VLOOKUP('Données projet'!$B$18,'Paramètres'!$A$1:$I$89,3,0)*0.475*44/12</f>
        <v>8.331139474</v>
      </c>
      <c r="HH171" s="142">
        <f>EXP(-LN(2)/25)*HH170+(1-EXP(-LN(2)/25))/(LN(2)/25)*Calculateur!HC171*Calculateur!HE171*VLOOKUP('Données projet'!$B$18,'Paramètres'!$A$1:$I$89,3,0)*0.475*44/12</f>
        <v>0</v>
      </c>
      <c r="HI171" s="142">
        <f>EXP(-LN(2)/2)*HI170+(1-EXP(-LN(2)/2))/(LN(2)/2)*HC171*HF171*VLOOKUP('Données projet'!$B$18,'Paramètres'!$A$1:$I$89,3,0)*0.475*44/12</f>
        <v>0</v>
      </c>
      <c r="HJ171" s="143">
        <f t="shared" si="31"/>
        <v>8.331139474</v>
      </c>
    </row>
    <row r="172" ht="15.75" customHeight="1">
      <c r="A172" s="125">
        <f t="shared" si="32"/>
        <v>169</v>
      </c>
      <c r="B172" s="126">
        <f>'Scénario référence'!$B$16*5+'Scénario référence'!$B$17*0+'Scénario référence'!$B$18*5</f>
        <v>0</v>
      </c>
      <c r="C172" s="140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92.274</v>
      </c>
      <c r="D172" s="127">
        <f t="shared" si="33"/>
        <v>25.11286004</v>
      </c>
      <c r="E17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7">
        <f>IF(OR('Scénario référence'!$F$8&gt;0,'Scénario référence'!$F$9&gt;0),('Scénario référence'!$F$8+'Scénario référence'!$F$9)*10,0)</f>
        <v>10</v>
      </c>
      <c r="G172" s="127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</v>
      </c>
      <c r="H172" s="128">
        <f t="shared" si="1"/>
        <v>497.7821146</v>
      </c>
      <c r="I172" s="12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1" t="str">
        <f>VLOOKUP(A172,'Données projet'!$A$35:$I$55,2,0)</f>
        <v>#N/A</v>
      </c>
      <c r="L172" s="131" t="str">
        <f>VLOOKUP(A172,'Données projet'!$A$35:$I$55,9,0)</f>
        <v>#N/A</v>
      </c>
      <c r="M172" s="131" t="str">
        <f t="array" ref="M172">INDEX(L:L,MIN(IF(ISNUMBER(L172:L368),ROW(L172:L368),"")))</f>
        <v/>
      </c>
      <c r="N172" s="130">
        <f>IF('Données projet'!$A$36&gt;35,N171+M172-V171,IF(A172&lt;'Données projet'!$A$36,$K$205^A172,IF(A172='Données projet'!$A$36,'Données projet'!$B$36,N171+M172-V171)))</f>
        <v>0</v>
      </c>
      <c r="O172" s="130">
        <f>N172*VLOOKUP('Données projet'!$B$9,'Paramètres'!$A$1:$I$89,3,0)*VLOOKUP('Données projet'!$B$9,'Paramètres'!$A$1:$I$89,5,0)</f>
        <v>0</v>
      </c>
      <c r="P172" s="130">
        <f t="shared" si="34"/>
        <v>0</v>
      </c>
      <c r="Q172" s="141">
        <f t="shared" si="2"/>
        <v>0</v>
      </c>
      <c r="R172" s="133">
        <f t="shared" si="3"/>
        <v>293.3333333</v>
      </c>
      <c r="S172" s="133">
        <f>AVERAGE(OFFSET($R$3,0,0,'Données projet'!$E$9+1,1))-AVERAGE(OFFSET($H$3,0,0,'Données projet'!$E$9+1,1))</f>
        <v>126.9946492</v>
      </c>
      <c r="T172" s="133">
        <f t="shared" si="35"/>
        <v>140.039049</v>
      </c>
      <c r="U172" s="134">
        <f>IF(ISNA(VLOOKUP(A172,'Données projet'!$A$35:$I$55,3,0)),0,VLOOKUP(A172,'Données projet'!$A$35:$I$55,3,0))</f>
        <v>0</v>
      </c>
      <c r="V172" s="134">
        <f>IF(ISNA(VLOOKUP(A172,'Données projet'!$A$35:$I$55,4,0)),0,VLOOKUP(A172,'Données projet'!$A$35:$I$55,4,0))</f>
        <v>0</v>
      </c>
      <c r="W172" s="135">
        <f>IF(ISNA(VLOOKUP(A172,'Données projet'!$A$35:$I$55,5,0)),0%,VLOOKUP(A172,'Données projet'!$A$35:$I$55,5,0)*VLOOKUP('Données projet'!$B$9,'Paramètres'!$A$1:$I$89,7,0))</f>
        <v>0</v>
      </c>
      <c r="X172" s="135">
        <f>IF(ISNA(VLOOKUP(A172,'Données projet'!$A$35:$I$55,6,0)),0%,VLOOKUP(A172,'Données projet'!$A$35:$I$55,6,0)*VLOOKUP('Données projet'!$B$9,'Paramètres'!$A$1:$I$89,7,0))</f>
        <v>0</v>
      </c>
      <c r="Y172" s="135">
        <f>IF(ISNA(VLOOKUP(A172,'Données projet'!$A$35:$I$55,7,0)),0%,VLOOKUP(A172,'Données projet'!$A$35:$I$55,7,0))</f>
        <v>0</v>
      </c>
      <c r="Z172" s="142">
        <f>EXP(-LN(2)/35)*Z171+(1-EXP(-LN(2)/35))/(LN(2)/35)*V172*W172*VLOOKUP('Données projet'!$B$9,'Paramètres'!$A$1:$I$89,3,0)*0.475*44/12</f>
        <v>12.26735721</v>
      </c>
      <c r="AA172" s="142">
        <f>EXP(-LN(2)/25)*AA171+(1-EXP(-LN(2)/25))/(LN(2)/25)*Calculateur!V172*Calculateur!X172*VLOOKUP('Données projet'!$B$9,'Paramètres'!$A$1:$I$89,3,0)*0.475*44/12</f>
        <v>1.131670683</v>
      </c>
      <c r="AB172" s="142">
        <f>EXP(-LN(2)/2)*AB171+(1-EXP(-LN(2)/2))/(LN(2)/2)*V172*Y172*VLOOKUP('Données projet'!$B$9,'Paramètres'!$A$1:$I$89,3,0)*0.475*44/12</f>
        <v>0</v>
      </c>
      <c r="AC172" s="143">
        <f t="shared" si="4"/>
        <v>13.39902789</v>
      </c>
      <c r="AD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1" t="str">
        <f>VLOOKUP(A172,'Données projet'!$A$61:$I$81,2,0)</f>
        <v>#N/A</v>
      </c>
      <c r="AG172" s="131" t="str">
        <f>VLOOKUP(A172,'Données projet'!$A$61:$I$81,9,0)</f>
        <v>#N/A</v>
      </c>
      <c r="AH172" s="131" t="str">
        <f t="array" ref="AH172">INDEX(AG:AG,MIN(IF(ISNUMBER(AG172:AG368),ROW(AG172:AG368),"")))</f>
        <v/>
      </c>
      <c r="AI172" s="130">
        <f>IF('Données projet'!$A$62&gt;35,AI171+AH172-AQ171,IF(A172&lt;'Données projet'!$A$62,$AF$205^A172,IF(A172='Données projet'!$A$62,'Données projet'!$B$62,AI171+AH172-AQ171)))</f>
        <v>0</v>
      </c>
      <c r="AJ172" s="130">
        <f>AI172*VLOOKUP('Données projet'!$B$10,'Paramètres'!$A$1:$I$89,3,0)*VLOOKUP('Données projet'!$B$10,'Paramètres'!$A$1:$I$89,5,0)</f>
        <v>0</v>
      </c>
      <c r="AK172" s="130" t="str">
        <f t="shared" si="36"/>
        <v>#NUM!</v>
      </c>
      <c r="AL172" s="141" t="str">
        <f t="shared" si="5"/>
        <v>#NUM!</v>
      </c>
      <c r="AM172" s="133" t="str">
        <f t="shared" si="6"/>
        <v>#NUM!</v>
      </c>
      <c r="AN172" s="133">
        <f>AVERAGE(OFFSET($AM$3,0,0,'Données projet'!$E$10+1,1))-AVERAGE(OFFSET($H$3,0,0,'Données projet'!$E$10+1,1))</f>
        <v>196.874484</v>
      </c>
      <c r="AO172" s="133">
        <f t="shared" si="37"/>
        <v>217.5750859</v>
      </c>
      <c r="AP172" s="134">
        <f>IF(ISNA(VLOOKUP(A172,'Données projet'!$A$61:$I$81,3,0)),0,VLOOKUP(A172,'Données projet'!$A$61:$I$81,3,0))</f>
        <v>0</v>
      </c>
      <c r="AQ172" s="134">
        <f>IF(ISNA(VLOOKUP(A172,'Données projet'!$A$61:$I$81,4,0)),0,VLOOKUP(A172,'Données projet'!$A$61:$I$81,4,0))</f>
        <v>0</v>
      </c>
      <c r="AR172" s="135">
        <f>IF(ISNA(VLOOKUP(A172,'Données projet'!$A$61:$I$81,5,0)),0%,VLOOKUP(A172,'Données projet'!$A$61:$I$81,5,0)*VLOOKUP('Données projet'!$B$10,'Paramètres'!$A$1:$I$89,7,0))</f>
        <v>0</v>
      </c>
      <c r="AS172" s="135">
        <f>IF(ISNA(VLOOKUP(A172,'Données projet'!$A$61:$I$81,6,0)),0%,VLOOKUP(A172,'Données projet'!$A$61:$I$81,6,0)*VLOOKUP('Données projet'!$B$10,'Paramètres'!$A$1:$I$89,7,0))</f>
        <v>0</v>
      </c>
      <c r="AT172" s="135">
        <f>IF(ISNA(VLOOKUP(A172,'Données projet'!$A$61:$I$81,7,0)),0%,VLOOKUP(A172,'Données projet'!$A$61:$I$81,7,0))</f>
        <v>0</v>
      </c>
      <c r="AU172" s="142">
        <f>EXP(-LN(2)/35)*AU171+(1-EXP(-LN(2)/35))/(LN(2)/35)*AQ172*AR172*VLOOKUP('Données projet'!$B$10,'Paramètres'!$A$1:$I$89,3,0)*0.475*44/12</f>
        <v>17.05127808</v>
      </c>
      <c r="AV172" s="142">
        <f>EXP(-LN(2)/25)*AV171+(1-EXP(-LN(2)/25))/(LN(2)/25)*Calculateur!AQ172*Calculateur!AS172*VLOOKUP('Données projet'!$B$10,'Paramètres'!$A$1:$I$89,3,0)*0.475*44/12</f>
        <v>1.739945187</v>
      </c>
      <c r="AW172" s="142">
        <f>EXP(-LN(2)/2)*AW171+(1-EXP(-LN(2)/2))/(LN(2)/2)*AQ172*AT172*VLOOKUP('Données projet'!$B$10,'Paramètres'!$A$1:$I$89,3,0)*0.475*44/12</f>
        <v>0</v>
      </c>
      <c r="AX172" s="142">
        <f t="shared" si="7"/>
        <v>18.79122327</v>
      </c>
      <c r="AY172" s="13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1" t="str">
        <f>VLOOKUP(A172,'Données projet'!$A$87:$I$107,2,0)</f>
        <v>#N/A</v>
      </c>
      <c r="BB172" s="131" t="str">
        <f>VLOOKUP(A172,'Données projet'!$A$87:$I$107,9,0)</f>
        <v>#N/A</v>
      </c>
      <c r="BC172" s="131" t="str">
        <f t="array" ref="BC172">INDEX(BB:BB,MIN(IF(ISNUMBER(BB172:BB368),ROW(BB172:BB368),"")))</f>
        <v/>
      </c>
      <c r="BD172" s="130">
        <f>IF('Données projet'!$A$88&gt;35,BD171+BC172-BL171,IF(A172&lt;'Données projet'!$A$88,$BA$205^A172,IF(A172='Données projet'!$A$88,'Données projet'!$B$88,BD171+BC172-BL171)))</f>
        <v>0</v>
      </c>
      <c r="BE172" s="130">
        <f>BD172*VLOOKUP('Données projet'!$B$11,'Paramètres'!$A$1:$I$89,3,0)*VLOOKUP('Données projet'!$B$11,'Paramètres'!$A$1:$I$89,5,0)</f>
        <v>0</v>
      </c>
      <c r="BF172" s="130" t="str">
        <f t="shared" si="38"/>
        <v>#NUM!</v>
      </c>
      <c r="BG172" s="141" t="str">
        <f t="shared" si="8"/>
        <v>#NUM!</v>
      </c>
      <c r="BH172" s="133" t="str">
        <f t="shared" si="9"/>
        <v>#NUM!</v>
      </c>
      <c r="BI172" s="133">
        <f>AVERAGE(OFFSET($BH$3,0,0,'Données projet'!$E$11+1,1))-AVERAGE(OFFSET($H$3,0,0,'Données projet'!$E$11+1,1))</f>
        <v>134.0948534</v>
      </c>
      <c r="BJ172" s="133">
        <f t="shared" si="39"/>
        <v>108.4102536</v>
      </c>
      <c r="BK172" s="134">
        <f>IF(ISNA(VLOOKUP(A172,'Données projet'!$A$87:$I$107,3,0)),0,VLOOKUP(A172,'Données projet'!$A$87:$I$107,3,0))</f>
        <v>0</v>
      </c>
      <c r="BL172" s="134">
        <f>IF(ISNA(VLOOKUP(A172,'Données projet'!$A$87:$I$107,4,0)),0,VLOOKUP(A172,'Données projet'!$A$87:$I$107,4,0))</f>
        <v>0</v>
      </c>
      <c r="BM172" s="135">
        <f>IF(ISNA(VLOOKUP(A172,'Données projet'!$A$87:$I$107,5,0)),0%,VLOOKUP(A172,'Données projet'!$A$87:$I$107,5,0)*VLOOKUP('Données projet'!$B$11,'Paramètres'!$A$1:$I$89,7,0))</f>
        <v>0</v>
      </c>
      <c r="BN172" s="135">
        <f>IF(ISNA(VLOOKUP(A172,'Données projet'!$A$87:$I$107,6,0)),0%,VLOOKUP(A172,'Données projet'!$A$87:$I$107,6,0)*VLOOKUP('Données projet'!$B$11,'Paramètres'!$A$1:$I$89,7,0))</f>
        <v>0</v>
      </c>
      <c r="BO172" s="135">
        <f>IF(ISNA(VLOOKUP(A172,'Données projet'!$A$87:$I$107,7,0)),0%,VLOOKUP(A172,'Données projet'!$A$87:$I$107,7,0))</f>
        <v>0</v>
      </c>
      <c r="BP172" s="142">
        <f>EXP(-LN(2)/35)*BP171+(1-EXP(-LN(2)/35))/(LN(2)/35)*BL172*BM172*VLOOKUP('Données projet'!$B$11,'Paramètres'!$A$1:$I$89,3,0)*0.475*44/12</f>
        <v>23.58510206</v>
      </c>
      <c r="BQ172" s="142">
        <f>EXP(-LN(2)/25)*BQ171+(1-EXP(-LN(2)/25))/(LN(2)/25)*Calculateur!BL172*Calculateur!BN172*VLOOKUP('Données projet'!$B$11,'Paramètres'!$A$1:$I$89,3,0)*0.475*44/12</f>
        <v>1.097558918</v>
      </c>
      <c r="BR172" s="142">
        <f>EXP(-LN(2)/2)*BR171+(1-EXP(-LN(2)/2))/(LN(2)/2)*BL172*BO172*VLOOKUP('Données projet'!$B$11,'Paramètres'!$A$1:$I$89,3,0)*0.475*44/12</f>
        <v>0</v>
      </c>
      <c r="BS172" s="143">
        <f t="shared" si="10"/>
        <v>24.68266098</v>
      </c>
      <c r="BT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1" t="str">
        <f>VLOOKUP(A172,'Données projet'!$A$113:$I$133,2,0)</f>
        <v>#N/A</v>
      </c>
      <c r="BW172" s="131" t="str">
        <f>VLOOKUP(A172,'Données projet'!$A$113:$I$133,9,0)</f>
        <v>#N/A</v>
      </c>
      <c r="BX172" s="131" t="str">
        <f t="array" ref="BX172">INDEX(BW:BW,MIN(IF(ISNUMBER(BW172:BW368),ROW(BW172:BW368),"")))</f>
        <v/>
      </c>
      <c r="BY172" s="130">
        <f>IF('Données projet'!$A$114&gt;35,BY171+BX172-CG171,IF(A172&lt;'Données projet'!$A$114,$BV$205^A172,IF(A172='Données projet'!$A$114,'Données projet'!$B$114,BY171+BX172-CG171)))</f>
        <v>0</v>
      </c>
      <c r="BZ172" s="130">
        <f>BY172*VLOOKUP('Données projet'!$B$12,'Paramètres'!$A$1:$I$89,3,0)*VLOOKUP('Données projet'!$B$12,'Paramètres'!$A$1:$I$89,5,0)</f>
        <v>0</v>
      </c>
      <c r="CA172" s="130" t="str">
        <f t="shared" si="40"/>
        <v>#NUM!</v>
      </c>
      <c r="CB172" s="141" t="str">
        <f t="shared" si="11"/>
        <v>#NUM!</v>
      </c>
      <c r="CC172" s="133" t="str">
        <f t="shared" si="12"/>
        <v>#NUM!</v>
      </c>
      <c r="CD172" s="133">
        <f>AVERAGE(OFFSET($CC$3,0,0,'Données projet'!$E$12+1,1))-AVERAGE(OFFSET($H$3,0,0,'Données projet'!$E$12+1,1))</f>
        <v>258.1672054</v>
      </c>
      <c r="CE172" s="133">
        <f t="shared" si="41"/>
        <v>296.0724261</v>
      </c>
      <c r="CF172" s="134">
        <f>IF(ISNA(VLOOKUP(A172,'Données projet'!$A$113:$I$133,3,0)),0,VLOOKUP(A172,'Données projet'!$A$113:$I$133,3,0))</f>
        <v>0</v>
      </c>
      <c r="CG172" s="134">
        <f>IF(ISNA(VLOOKUP(A172,'Données projet'!$A$113:$I$133,4,0)),0,VLOOKUP(A172,'Données projet'!$A$113:$I$133,4,0))</f>
        <v>0</v>
      </c>
      <c r="CH172" s="135">
        <f>IF(ISNA(VLOOKUP(A172,'Données projet'!$A$113:$I$133,5,0)),0%,VLOOKUP(A172,'Données projet'!$A$113:$I$133,5,0)*VLOOKUP('Données projet'!$B$12,'Paramètres'!$A$1:$I$89,7,0))</f>
        <v>0</v>
      </c>
      <c r="CI172" s="135">
        <f>IF(ISNA(VLOOKUP(A172,'Données projet'!$A$113:$I$133,6,0)),0%,VLOOKUP(A172,'Données projet'!$A$113:$I$133,6,0)*VLOOKUP('Données projet'!$B$12,'Paramètres'!$A$1:$I$89,7,0))</f>
        <v>0</v>
      </c>
      <c r="CJ172" s="135">
        <f>IF(ISNA(VLOOKUP(A172,'Données projet'!$A$113:$I$133,7,0)),0%,VLOOKUP(A172,'Données projet'!$A$113:$I$133,7,0))</f>
        <v>0</v>
      </c>
      <c r="CK172" s="142">
        <f>EXP(-LN(2)/35)*CK171+(1-EXP(-LN(2)/35))/(LN(2)/35)*CG172*CH172*VLOOKUP('Données projet'!$B$12,'Paramètres'!$A$1:$I$89,3,0)*0.475*44/12</f>
        <v>29.81878398</v>
      </c>
      <c r="CL172" s="142">
        <f>EXP(-LN(2)/25)*CL171+(1-EXP(-LN(2)/25))/(LN(2)/25)*Calculateur!CG172*Calculateur!CI172*VLOOKUP('Données projet'!$B$12,'Paramètres'!$A$1:$I$89,3,0)*0.475*44/12</f>
        <v>1.925180647</v>
      </c>
      <c r="CM172" s="142">
        <f>EXP(-LN(2)/2)*CM171+(1-EXP(-LN(2)/2))/(LN(2)/2)*CG172*CJ172*VLOOKUP('Données projet'!$B$12,'Paramètres'!$A$1:$I$89,3,0)*0.475*44/12</f>
        <v>0</v>
      </c>
      <c r="CN172" s="143">
        <f t="shared" si="13"/>
        <v>31.74396463</v>
      </c>
      <c r="CO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1" t="str">
        <f>VLOOKUP(A172,'Données projet'!$A$139:$I$159,2,0)</f>
        <v>#N/A</v>
      </c>
      <c r="CR172" s="131" t="str">
        <f>VLOOKUP(A172,'Données projet'!$A$139:$I$159,9,0)</f>
        <v>#N/A</v>
      </c>
      <c r="CS172" s="131" t="str">
        <f t="array" ref="CS172">INDEX(CR:CR,MIN(IF(ISNUMBER(CR172:CR368),ROW(CR172:CR368),"")))</f>
        <v/>
      </c>
      <c r="CT172" s="138">
        <f>IF('Données projet'!$A$140&gt;35,CT171+CS172-DB171,IF(A172&lt;'Données projet'!$A$140,$CQ$205^A172,IF(A172='Données projet'!$A$140,'Données projet'!$B$140,CT171+CS172-DB171)))</f>
        <v>0</v>
      </c>
      <c r="CU172" s="138">
        <f>CT172*VLOOKUP('Données projet'!$B$13,'Paramètres'!$A$1:$I$89,3,0)*VLOOKUP('Données projet'!$B$13,'Paramètres'!$A$1:$I$89,5,0)</f>
        <v>0</v>
      </c>
      <c r="CV172" s="130" t="str">
        <f t="shared" si="42"/>
        <v>#NUM!</v>
      </c>
      <c r="CW172" s="141" t="str">
        <f t="shared" si="14"/>
        <v>#NUM!</v>
      </c>
      <c r="CX172" s="133" t="str">
        <f t="shared" si="15"/>
        <v>#NUM!</v>
      </c>
      <c r="CY172" s="133">
        <f>AVERAGE(OFFSET($CX$3,0,0,'Données projet'!$E$13+1,1))-AVERAGE(OFFSET($H$3,0,0,'Données projet'!$E$13+1,1))</f>
        <v>223.783507</v>
      </c>
      <c r="CZ172" s="133">
        <f t="shared" si="43"/>
        <v>84.92349117</v>
      </c>
      <c r="DA172" s="134">
        <f>IF(ISNA(VLOOKUP(A172,'Données projet'!$A$139:$I$159,3,0)),0,VLOOKUP(A172,'Données projet'!$A$139:$I$159,3,0))</f>
        <v>0</v>
      </c>
      <c r="DB172" s="134">
        <f>IF(ISNA(VLOOKUP(A172,'Données projet'!$A$139:$I$159,4,0)),0,VLOOKUP(A172,'Données projet'!$A$139:$I$159,4,0))</f>
        <v>0</v>
      </c>
      <c r="DC172" s="135">
        <f>IF(ISNA(VLOOKUP(A172,'Données projet'!$A$139:$I$159,5,0)),0%,VLOOKUP(A172,'Données projet'!$A$139:$I$159,5,0)*VLOOKUP('Données projet'!$B$13,'Paramètres'!$A$1:$I$89,7,0))</f>
        <v>0</v>
      </c>
      <c r="DD172" s="135">
        <f>IF(ISNA(VLOOKUP(A172,'Données projet'!$A$139:$I$159,6,0)),0%,VLOOKUP(A172,'Données projet'!$A$139:$I$159,6,0)*VLOOKUP('Données projet'!$B$13,'Paramètres'!$A$1:$I$89,7,0))</f>
        <v>0</v>
      </c>
      <c r="DE172" s="135">
        <f>IF(ISNA(VLOOKUP(A172,'Données projet'!$A$139:$I$159,7,0)),0%,VLOOKUP(A172,'Données projet'!$A$139:$I$159,7,0))</f>
        <v>0</v>
      </c>
      <c r="DF172" s="142">
        <f>EXP(-LN(2)/35)*DF171+(1-EXP(-LN(2)/35))/(LN(2)/35)*DB172*DC172*VLOOKUP('Données projet'!$B$13,'Paramètres'!$A$1:$I$89,3,0)*0.475*44/12</f>
        <v>76.5863377</v>
      </c>
      <c r="DG172" s="142">
        <f>EXP(-LN(2)/25)*DG171+(1-EXP(-LN(2)/25))/(LN(2)/25)*Calculateur!DB172*Calculateur!DD172*VLOOKUP('Données projet'!$B$13,'Paramètres'!$A$1:$I$89,3,0)*0.475*44/12</f>
        <v>0</v>
      </c>
      <c r="DH172" s="142">
        <f>EXP(-LN(2)/2)*DH171+(1-EXP(-LN(2)/2))/(LN(2)/2)*DB172*DE172*VLOOKUP('Données projet'!$B$13,'Paramètres'!$A$1:$I$89,3,0)*0.475*44/12</f>
        <v>0</v>
      </c>
      <c r="DI172" s="143">
        <f t="shared" si="16"/>
        <v>76.5863377</v>
      </c>
      <c r="DJ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1" t="str">
        <f>VLOOKUP(A172,'Données projet'!$A$165:$I$185,2,0)</f>
        <v>#N/A</v>
      </c>
      <c r="DM172" s="131" t="str">
        <f>VLOOKUP(A172,'Données projet'!$A$165:$I$185,9,0)</f>
        <v>#N/A</v>
      </c>
      <c r="DN172" s="131" t="str">
        <f t="array" ref="DN172">INDEX(DM:DM,MIN(IF(ISNUMBER(DM172:DM368),ROW(DM172:DM368),"")))</f>
        <v/>
      </c>
      <c r="DO172" s="138">
        <f>IF('Données projet'!$A$166&gt;35,DO171+DN172-DW171,IF(A172&lt;'Données projet'!$A$166,$DL$205^A172,IF(A172='Données projet'!$A$166,'Données projet'!$B$166,DO171+DN172-DW171)))</f>
        <v>0</v>
      </c>
      <c r="DP172" s="138">
        <f>DO172*VLOOKUP('Données projet'!$B$14,'Paramètres'!$A$1:$I$89,3,0)*VLOOKUP('Données projet'!$B$14,'Paramètres'!$A$1:$I$89,5,0)</f>
        <v>0</v>
      </c>
      <c r="DQ172" s="130" t="str">
        <f t="shared" si="44"/>
        <v>#NUM!</v>
      </c>
      <c r="DR172" s="141" t="str">
        <f t="shared" si="17"/>
        <v>#NUM!</v>
      </c>
      <c r="DS172" s="133" t="str">
        <f t="shared" si="18"/>
        <v>#NUM!</v>
      </c>
      <c r="DT172" s="133">
        <f>AVERAGE(OFFSET($DS$3,0,0,'Données projet'!$E$14+1,1))-AVERAGE(OFFSET($H$3,0,0,'Données projet'!$E$14+1,1))</f>
        <v>287.9334714</v>
      </c>
      <c r="DU172" s="133">
        <f t="shared" si="45"/>
        <v>156.6796502</v>
      </c>
      <c r="DV172" s="134">
        <f>IF(ISNA(VLOOKUP(A172,'Données projet'!$A$165:$I$185,3,0)),0,VLOOKUP(A172,'Données projet'!$A$165:$I$185,3,0))</f>
        <v>0</v>
      </c>
      <c r="DW172" s="134">
        <f>IF(ISNA(VLOOKUP(A172,'Données projet'!$A$165:$I$185,4,0)),0,VLOOKUP(A172,'Données projet'!$A$165:$I$185,4,0))</f>
        <v>0</v>
      </c>
      <c r="DX172" s="135">
        <f>IF(ISNA(VLOOKUP(A172,'Données projet'!$A$165:$I$185,5,0)),0%,VLOOKUP(A172,'Données projet'!$A$165:$I$185,5,0)*VLOOKUP('Données projet'!$B$14,'Paramètres'!$A$1:$I$89,7,0))</f>
        <v>0</v>
      </c>
      <c r="DY172" s="135">
        <f>IF(ISNA(VLOOKUP(A172,'Données projet'!$A$165:$I$185,6,0)),0%,VLOOKUP(A172,'Données projet'!$A$165:$I$185,6,0)*VLOOKUP('Données projet'!$B$14,'Paramètres'!$A$1:$I$89,7,0))</f>
        <v>0</v>
      </c>
      <c r="DZ172" s="135">
        <f>IF(ISNA(VLOOKUP(A172,'Données projet'!$A$165:$I$185,7,0)),0%,VLOOKUP(A172,'Données projet'!$A$165:$I$185,7,0))</f>
        <v>0</v>
      </c>
      <c r="EA172" s="142">
        <f>EXP(-LN(2)/35)*EA171+(1-EXP(-LN(2)/35))/(LN(2)/35)*DW172*DX172*VLOOKUP('Données projet'!$B$14,'Paramètres'!$A$1:$I$89,3,0)*0.475*44/12</f>
        <v>88.97165315</v>
      </c>
      <c r="EB172" s="142">
        <f>EXP(-LN(2)/25)*EB171+(1-EXP(-LN(2)/25))/(LN(2)/25)*Calculateur!DW172*Calculateur!DY172*VLOOKUP('Données projet'!$B$14,'Paramètres'!$A$1:$I$89,3,0)*0.475*44/12</f>
        <v>0</v>
      </c>
      <c r="EC172" s="142">
        <f>EXP(-LN(2)/2)*EC171+(1-EXP(-LN(2)/2))/(LN(2)/2)*DW172*DZ172*VLOOKUP('Données projet'!$B$14,'Paramètres'!$A$1:$I$89,3,0)*0.475*44/12</f>
        <v>0</v>
      </c>
      <c r="ED172" s="143">
        <f t="shared" si="19"/>
        <v>88.97165315</v>
      </c>
      <c r="EE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1" t="str">
        <f>VLOOKUP(A172,'Données projet'!$A$191:$I$211,2,0)</f>
        <v>#N/A</v>
      </c>
      <c r="EH172" s="131" t="str">
        <f>VLOOKUP(A172,'Données projet'!$A$191:$I$211,9,0)</f>
        <v>#N/A</v>
      </c>
      <c r="EI172" s="131" t="str">
        <f t="array" ref="EI172">INDEX(EH:EH,MIN(IF(ISNUMBER(EH172:EH368),ROW(EH172:EH368),"")))</f>
        <v/>
      </c>
      <c r="EJ172" s="138">
        <f>IF('Données projet'!$A$192&gt;35,EJ171+EI172-ER171,IF(A172&lt;'Données projet'!$A$192,$EG$205^A172,IF(A172='Données projet'!$A$192,'Données projet'!$B$192,EJ171+EI172-ER171)))</f>
        <v>0</v>
      </c>
      <c r="EK172" s="138">
        <f>EJ172*VLOOKUP('Données projet'!$B$15,'Paramètres'!$A$1:$I$89,3,0)*VLOOKUP('Données projet'!$B$15,'Paramètres'!$A$1:$I$89,5,0)</f>
        <v>0</v>
      </c>
      <c r="EL172" s="130" t="str">
        <f t="shared" si="46"/>
        <v>#NUM!</v>
      </c>
      <c r="EM172" s="141" t="str">
        <f t="shared" si="20"/>
        <v>#NUM!</v>
      </c>
      <c r="EN172" s="133" t="str">
        <f t="shared" si="21"/>
        <v>#NUM!</v>
      </c>
      <c r="EO172" s="133">
        <f>AVERAGE(OFFSET($EN$3,0,0,'Données projet'!$E$15+1,1))-AVERAGE(OFFSET($H$3,0,0,'Données projet'!$E$15+1,1))</f>
        <v>130.3193339</v>
      </c>
      <c r="EP172" s="133">
        <f t="shared" si="47"/>
        <v>82.22784365</v>
      </c>
      <c r="EQ172" s="134">
        <f>IF(ISNA(VLOOKUP(A172,'Données projet'!$A$191:$I$211,3,0)),0,VLOOKUP(A172,'Données projet'!$A$191:$I$211,3,0))</f>
        <v>0</v>
      </c>
      <c r="ER172" s="134">
        <f>IF(ISNA(VLOOKUP(A172,'Données projet'!$A$191:$I$211,4,0)),0,VLOOKUP(A172,'Données projet'!$A$191:$I$211,4,0))</f>
        <v>0</v>
      </c>
      <c r="ES172" s="135">
        <f>IF(ISNA(VLOOKUP(A172,'Données projet'!$A$191:$I$211,5,0)),0%,VLOOKUP(A172,'Données projet'!$A$191:$I$211,5,0)*VLOOKUP('Données projet'!$B$15,'Paramètres'!$A$1:$I$89,7,0))</f>
        <v>0</v>
      </c>
      <c r="ET172" s="135">
        <f>IF(ISNA(VLOOKUP(A172,'Données projet'!$A$191:$I$211,6,0)),0%,VLOOKUP(A172,'Données projet'!$A$191:$I$211,6,0)*VLOOKUP('Données projet'!$B$15,'Paramètres'!$A$1:$I$89,7,0))</f>
        <v>0</v>
      </c>
      <c r="EU172" s="135">
        <f>IF(ISNA(VLOOKUP(A172,'Données projet'!$A$191:$I$211,7,0)),0%,VLOOKUP(A172,'Données projet'!$A$191:$I$211,7,0))</f>
        <v>0</v>
      </c>
      <c r="EV172" s="142">
        <f>EXP(-LN(2)/35)*EV171+(1-EXP(-LN(2)/35))/(LN(2)/35)*ER172*ES172*VLOOKUP('Données projet'!$B$15,'Paramètres'!$A$1:$I$89,3,0)*0.475*44/12</f>
        <v>18.23356954</v>
      </c>
      <c r="EW172" s="142">
        <f>EXP(-LN(2)/25)*EW171+(1-EXP(-LN(2)/25))/(LN(2)/25)*Calculateur!ER172*Calculateur!ET172*VLOOKUP('Données projet'!$B$15,'Paramètres'!$A$1:$I$89,3,0)*0.475*44/12</f>
        <v>0</v>
      </c>
      <c r="EX172" s="142">
        <f>EXP(-LN(2)/2)*EX171+(1-EXP(-LN(2)/2))/(LN(2)/2)*ER172*EU172*VLOOKUP('Données projet'!$B$15,'Paramètres'!$A$1:$I$89,3,0)*0.475*44/12</f>
        <v>0</v>
      </c>
      <c r="EY172" s="143">
        <f t="shared" si="22"/>
        <v>18.23356954</v>
      </c>
      <c r="EZ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1" t="str">
        <f>VLOOKUP(A172,'Données projet'!$A$217:$I$237,2,0)</f>
        <v>#N/A</v>
      </c>
      <c r="FC172" s="131" t="str">
        <f>VLOOKUP(A172,'Données projet'!$A$217:$I$237,9,0)</f>
        <v>#N/A</v>
      </c>
      <c r="FD172" s="131" t="str">
        <f t="array" ref="FD172">INDEX(FC:FC,MIN(IF(ISNUMBER(FC172:FC368),ROW(FC172:FC368),"")))</f>
        <v/>
      </c>
      <c r="FE172" s="130">
        <f>IF('Données projet'!$A$218&gt;35,FE171+FD172-FM171,IF(A172&lt;'Données projet'!$A$218,$FB$205^A172,IF(A172='Données projet'!$A$218,'Données projet'!$B$218,FE171+FD172-FM171)))</f>
        <v>0</v>
      </c>
      <c r="FF172" s="138">
        <f>FE172*VLOOKUP('Données projet'!$B$16,'Paramètres'!$A$1:$I$89,3,0)*VLOOKUP('Données projet'!$B$16,'Paramètres'!$A$1:$I$89,5,0)</f>
        <v>0</v>
      </c>
      <c r="FG172" s="130">
        <f t="shared" si="48"/>
        <v>0</v>
      </c>
      <c r="FH172" s="141">
        <f t="shared" si="23"/>
        <v>0</v>
      </c>
      <c r="FI172" s="133">
        <f t="shared" si="24"/>
        <v>293.3333333</v>
      </c>
      <c r="FJ172" s="133">
        <f>AVERAGE(OFFSET($FI$3,0,0,'Données projet'!$E$16+1,1))-AVERAGE(OFFSET($H$3,0,0,'Données projet'!$E$16+1,1))</f>
        <v>305.6252353</v>
      </c>
      <c r="FK172" s="133">
        <f t="shared" si="49"/>
        <v>331.397916</v>
      </c>
      <c r="FL172" s="134">
        <f>IF(ISNA(VLOOKUP(A172,'Données projet'!$A$217:$I$237,3,0)),0,VLOOKUP(A172,'Données projet'!$A$217:$I$237,3,0))</f>
        <v>0</v>
      </c>
      <c r="FM172" s="134">
        <f>IF(ISNA(VLOOKUP(A172,'Données projet'!$A$217:$I$237,4,0)),0,VLOOKUP(A172,'Données projet'!$A$217:$I$237,4,0))</f>
        <v>0</v>
      </c>
      <c r="FN172" s="135">
        <f>IF(ISNA(VLOOKUP(A172,'Données projet'!$A$217:$I$237,5,0)),0%,VLOOKUP(A172,'Données projet'!$A$217:$I$237,5,0)*VLOOKUP('Données projet'!$B$16,'Paramètres'!$A$1:$I$89,7,0))</f>
        <v>0</v>
      </c>
      <c r="FO172" s="135">
        <f>IF(ISNA(VLOOKUP(A172,'Données projet'!$A$217:$I$237,6,0)),0%,VLOOKUP(A172,'Données projet'!$A$217:$I$237,6,0)*VLOOKUP('Données projet'!$B$16,'Paramètres'!$A$1:$I$89,7,0))</f>
        <v>0</v>
      </c>
      <c r="FP172" s="135">
        <f>IF(ISNA(VLOOKUP(A172,'Données projet'!$A$217:$I$237,7,0)),0%,VLOOKUP(A172,'Données projet'!$A$217:$I$237,7,0))</f>
        <v>0</v>
      </c>
      <c r="FQ172" s="142">
        <f>EXP(-LN(2)/35)*FQ171+(1-EXP(-LN(2)/35))/(LN(2)/35)*FM172*FN172*VLOOKUP('Données projet'!$B$16,'Paramètres'!$A$1:$I$89,3,0)*0.475*44/12</f>
        <v>11.35276531</v>
      </c>
      <c r="FR172" s="142">
        <f>EXP(-LN(2)/25)*FR171+(1-EXP(-LN(2)/25))/(LN(2)/25)*Calculateur!FM172*Calculateur!FO172*VLOOKUP('Données projet'!$B$16,'Paramètres'!$A$1:$I$89,3,0)*0.475*44/12</f>
        <v>0</v>
      </c>
      <c r="FS172" s="142">
        <f>EXP(-LN(2)/2)*FS171+(1-EXP(-LN(2)/2))/(LN(2)/2)*FM172*FP172*VLOOKUP('Données projet'!$B$16,'Paramètres'!$A$1:$I$89,3,0)*0.475*44/12</f>
        <v>0</v>
      </c>
      <c r="FT172" s="143">
        <f t="shared" si="25"/>
        <v>11.35276531</v>
      </c>
      <c r="FU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1" t="str">
        <f>VLOOKUP(A172,'Données projet'!$A$243:$I$263,2,0)</f>
        <v>#N/A</v>
      </c>
      <c r="FX172" s="131" t="str">
        <f>VLOOKUP(A172,'Données projet'!$A$243:$I$263,9,0)</f>
        <v>#N/A</v>
      </c>
      <c r="FY172" s="131" t="str">
        <f t="array" ref="FY172">INDEX(FX:FX,MIN(IF(ISNUMBER(FX172:FX368),ROW(FX172:FX368),"")))</f>
        <v/>
      </c>
      <c r="FZ172" s="138">
        <f>IF('Données projet'!$A$244&gt;35,FZ171+FY172-GH171,IF(A172&lt;'Données projet'!$A$244,$FW$205^A172,IF(A172='Données projet'!$A$244,'Données projet'!$B$244,FZ171+FY172-GH171)))</f>
        <v>0</v>
      </c>
      <c r="GA172" s="138">
        <f>FZ172*VLOOKUP('Données projet'!$B$17,'Paramètres'!$A$1:$I$89,3,0)*VLOOKUP('Données projet'!$B$17,'Paramètres'!$A$1:$I$89,5,0)</f>
        <v>0</v>
      </c>
      <c r="GB172" s="130">
        <f t="shared" si="50"/>
        <v>0</v>
      </c>
      <c r="GC172" s="141">
        <f t="shared" si="26"/>
        <v>0</v>
      </c>
      <c r="GD172" s="133">
        <f t="shared" si="27"/>
        <v>293.3333333</v>
      </c>
      <c r="GE172" s="133">
        <f>AVERAGE(OFFSET($GD$3,0,0,'Données projet'!$E$17+1,1))-AVERAGE(OFFSET($H$3,0,0,'Données projet'!$E$17+1,1))</f>
        <v>118.7368745</v>
      </c>
      <c r="GF172" s="133">
        <f t="shared" si="51"/>
        <v>135.1233677</v>
      </c>
      <c r="GG172" s="134">
        <f>IF(ISNA(VLOOKUP(A172,'Données projet'!$A$243:$I$263,3,0)),0,VLOOKUP(A172,'Données projet'!$A$243:$I$263,3,0))</f>
        <v>0</v>
      </c>
      <c r="GH172" s="134">
        <f>IF(ISNA(VLOOKUP(A172,'Données projet'!$A$243:$I$263,4,0)),0,VLOOKUP(A172,'Données projet'!$A$243:$I$263,4,0))</f>
        <v>0</v>
      </c>
      <c r="GI172" s="135">
        <f>IF(ISNA(VLOOKUP(A172,'Données projet'!$A$243:$I$263,5,0)),0%,VLOOKUP(A172,'Données projet'!$A$243:$I$263,5,0)*VLOOKUP('Données projet'!$B$17,'Paramètres'!$A$1:$I$89,7,0))</f>
        <v>0</v>
      </c>
      <c r="GJ172" s="135">
        <f>IF(ISNA(VLOOKUP(A172,'Données projet'!$A$243:$I$263,6,0)),0%,VLOOKUP(A172,'Données projet'!$A$243:$I$263,6,0)*VLOOKUP('Données projet'!$B$17,'Paramètres'!$A$1:$I$89,7,0))</f>
        <v>0</v>
      </c>
      <c r="GK172" s="135">
        <f>IF(ISNA(VLOOKUP(A172,'Données projet'!$A$243:$I$263,7,0)),0%,VLOOKUP(A172,'Données projet'!$A$243:$I$263,7,0))</f>
        <v>0</v>
      </c>
      <c r="GL172" s="142">
        <f>EXP(-LN(2)/35)*GL171+(1-EXP(-LN(2)/35))/(LN(2)/35)*GH172*GI172*VLOOKUP('Données projet'!$B$17,'Paramètres'!$A$1:$I$89,3,0)*0.475*44/12</f>
        <v>11.99416144</v>
      </c>
      <c r="GM172" s="142">
        <f>EXP(-LN(2)/25)*GM171+(1-EXP(-LN(2)/25))/(LN(2)/25)*Calculateur!GH172*Calculateur!GJ172*VLOOKUP('Données projet'!$B$17,'Paramètres'!$A$1:$I$89,3,0)*0.475*44/12</f>
        <v>0</v>
      </c>
      <c r="GN172" s="142">
        <f>EXP(-LN(2)/2)*GN171+(1-EXP(-LN(2)/2))/(LN(2)/2)*GH172*GK172*VLOOKUP('Données projet'!$B$17,'Paramètres'!$A$1:$I$89,3,0)*0.475*44/12</f>
        <v>0</v>
      </c>
      <c r="GO172" s="142">
        <f t="shared" si="28"/>
        <v>11.99416144</v>
      </c>
      <c r="GP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1" t="str">
        <f>VLOOKUP(A172,'Données projet'!$A$269:$I$289,2,0)</f>
        <v>#N/A</v>
      </c>
      <c r="GS172" s="131" t="str">
        <f>VLOOKUP(A172,'Données projet'!$A$269:$I$289,9,0)</f>
        <v>#N/A</v>
      </c>
      <c r="GT172" s="131" t="str">
        <f t="array" ref="GT172">INDEX(GS:GS,MIN(IF(ISNUMBER(GS172:GS368),ROW(GS172:GS368),"")))</f>
        <v/>
      </c>
      <c r="GU172" s="138">
        <f>IF('Données projet'!$A$270&gt;35,GU171+GT172-HC171,IF(A172&lt;'Données projet'!$A$270,$GR$205^A172,IF(A172='Données projet'!$A$270,'Données projet'!$B$270,GU171+GT172-HC171)))</f>
        <v>0</v>
      </c>
      <c r="GV172" s="138">
        <f>GU172*VLOOKUP('Données projet'!$B$18,'Paramètres'!$A$1:$I$89,3,0)*VLOOKUP('Données projet'!$B$18,'Paramètres'!$A$1:$I$89,5,0)</f>
        <v>0</v>
      </c>
      <c r="GW172" s="130" t="str">
        <f t="shared" si="52"/>
        <v>#NUM!</v>
      </c>
      <c r="GX172" s="141" t="str">
        <f t="shared" si="29"/>
        <v>#NUM!</v>
      </c>
      <c r="GY172" s="133" t="str">
        <f t="shared" si="30"/>
        <v>#NUM!</v>
      </c>
      <c r="GZ172" s="133">
        <f>AVERAGE(OFFSET($GY$3,0,0,'Données projet'!$E$18+1,1))-AVERAGE(OFFSET($H$3,0,0,'Données projet'!$E$18+1,1))</f>
        <v>100.5427875</v>
      </c>
      <c r="HA172" s="133">
        <f t="shared" si="53"/>
        <v>92.28663609</v>
      </c>
      <c r="HB172" s="134">
        <f>IF(ISNA(VLOOKUP(A172,'Données projet'!$A$269:$I$289,3,0)),0,VLOOKUP(A172,'Données projet'!$A$269:$I$289,3,0))</f>
        <v>0</v>
      </c>
      <c r="HC172" s="134">
        <f>IF(ISNA(VLOOKUP(A172,'Données projet'!$A$269:$I$289,4,0)),0,VLOOKUP(A172,'Données projet'!$A$269:$I$289,4,0))</f>
        <v>0</v>
      </c>
      <c r="HD172" s="135">
        <f>IF(ISNA(VLOOKUP(A172,'Données projet'!$A$269:$I$289,5,0)),0%,VLOOKUP(A172,'Données projet'!$A$269:$I$289,5,0)*VLOOKUP('Données projet'!$B$18,'Paramètres'!$A$1:$I$89,7,0))</f>
        <v>0</v>
      </c>
      <c r="HE172" s="135">
        <f>IF(ISNA(VLOOKUP(A172,'Données projet'!$A$269:$I$289,6,0)),0%,VLOOKUP(A172,'Données projet'!$A$269:$I$289,6,0)*VLOOKUP('Données projet'!$B$18,'Paramètres'!$A$1:$I$89,7,0))</f>
        <v>0</v>
      </c>
      <c r="HF172" s="135">
        <f>IF(ISNA(VLOOKUP(A172,'Données projet'!$A$269:$I$289,7,0)),0%,VLOOKUP(A172,'Données projet'!$A$269:$I$289,7,0))</f>
        <v>0</v>
      </c>
      <c r="HG172" s="142">
        <f>EXP(-LN(2)/35)*HG171+(1-EXP(-LN(2)/35))/(LN(2)/35)*HC172*HD172*VLOOKUP('Données projet'!$B$18,'Paramètres'!$A$1:$I$89,3,0)*0.475*44/12</f>
        <v>8.16777091</v>
      </c>
      <c r="HH172" s="142">
        <f>EXP(-LN(2)/25)*HH171+(1-EXP(-LN(2)/25))/(LN(2)/25)*Calculateur!HC172*Calculateur!HE172*VLOOKUP('Données projet'!$B$18,'Paramètres'!$A$1:$I$89,3,0)*0.475*44/12</f>
        <v>0</v>
      </c>
      <c r="HI172" s="142">
        <f>EXP(-LN(2)/2)*HI171+(1-EXP(-LN(2)/2))/(LN(2)/2)*HC172*HF172*VLOOKUP('Données projet'!$B$18,'Paramètres'!$A$1:$I$89,3,0)*0.475*44/12</f>
        <v>0</v>
      </c>
      <c r="HJ172" s="143">
        <f t="shared" si="31"/>
        <v>8.16777091</v>
      </c>
    </row>
    <row r="173" ht="15.75" customHeight="1">
      <c r="A173" s="125">
        <f t="shared" si="32"/>
        <v>170</v>
      </c>
      <c r="B173" s="126">
        <f>'Scénario référence'!$B$16*5+'Scénario référence'!$B$17*0+'Scénario référence'!$B$18*5</f>
        <v>0</v>
      </c>
      <c r="C173" s="140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92.82</v>
      </c>
      <c r="D173" s="127">
        <f t="shared" si="33"/>
        <v>25.24411506</v>
      </c>
      <c r="E17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7">
        <f>IF(OR('Scénario référence'!$F$8&gt;0,'Scénario référence'!$F$9&gt;0),('Scénario référence'!$F$8+'Scénario référence'!$F$9)*10,0)</f>
        <v>10</v>
      </c>
      <c r="G173" s="127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</v>
      </c>
      <c r="H173" s="128">
        <f t="shared" si="1"/>
        <v>498.9616671</v>
      </c>
      <c r="I173" s="12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1" t="str">
        <f>VLOOKUP(A173,'Données projet'!$A$35:$I$55,2,0)</f>
        <v>#N/A</v>
      </c>
      <c r="L173" s="131" t="str">
        <f>VLOOKUP(A173,'Données projet'!$A$35:$I$55,9,0)</f>
        <v>#N/A</v>
      </c>
      <c r="M173" s="131" t="str">
        <f t="array" ref="M173">INDEX(L:L,MIN(IF(ISNUMBER(L173:L369),ROW(L173:L369),"")))</f>
        <v/>
      </c>
      <c r="N173" s="130">
        <f>IF('Données projet'!$A$36&gt;35,N172+M173-V172,IF(A173&lt;'Données projet'!$A$36,$K$205^A173,IF(A173='Données projet'!$A$36,'Données projet'!$B$36,N172+M173-V172)))</f>
        <v>0</v>
      </c>
      <c r="O173" s="130">
        <f>N173*VLOOKUP('Données projet'!$B$9,'Paramètres'!$A$1:$I$89,3,0)*VLOOKUP('Données projet'!$B$9,'Paramètres'!$A$1:$I$89,5,0)</f>
        <v>0</v>
      </c>
      <c r="P173" s="130">
        <f t="shared" si="34"/>
        <v>0</v>
      </c>
      <c r="Q173" s="141">
        <f t="shared" si="2"/>
        <v>0</v>
      </c>
      <c r="R173" s="133">
        <f t="shared" si="3"/>
        <v>293.3333333</v>
      </c>
      <c r="S173" s="133">
        <f>AVERAGE(OFFSET($R$3,0,0,'Données projet'!$E$9+1,1))-AVERAGE(OFFSET($H$3,0,0,'Données projet'!$E$9+1,1))</f>
        <v>126.9946492</v>
      </c>
      <c r="T173" s="133">
        <f t="shared" si="35"/>
        <v>140.039049</v>
      </c>
      <c r="U173" s="134">
        <f>IF(ISNA(VLOOKUP(A173,'Données projet'!$A$35:$I$55,3,0)),0,VLOOKUP(A173,'Données projet'!$A$35:$I$55,3,0))</f>
        <v>0</v>
      </c>
      <c r="V173" s="134">
        <f>IF(ISNA(VLOOKUP(A173,'Données projet'!$A$35:$I$55,4,0)),0,VLOOKUP(A173,'Données projet'!$A$35:$I$55,4,0))</f>
        <v>0</v>
      </c>
      <c r="W173" s="135">
        <f>IF(ISNA(VLOOKUP(A173,'Données projet'!$A$35:$I$55,5,0)),0%,VLOOKUP(A173,'Données projet'!$A$35:$I$55,5,0)*VLOOKUP('Données projet'!$B$9,'Paramètres'!$A$1:$I$89,7,0))</f>
        <v>0</v>
      </c>
      <c r="X173" s="135">
        <f>IF(ISNA(VLOOKUP(A173,'Données projet'!$A$35:$I$55,6,0)),0%,VLOOKUP(A173,'Données projet'!$A$35:$I$55,6,0)*VLOOKUP('Données projet'!$B$9,'Paramètres'!$A$1:$I$89,7,0))</f>
        <v>0</v>
      </c>
      <c r="Y173" s="135">
        <f>IF(ISNA(VLOOKUP(A173,'Données projet'!$A$35:$I$55,7,0)),0%,VLOOKUP(A173,'Données projet'!$A$35:$I$55,7,0))</f>
        <v>0</v>
      </c>
      <c r="Z173" s="142">
        <f>EXP(-LN(2)/35)*Z172+(1-EXP(-LN(2)/35))/(LN(2)/35)*V173*W173*VLOOKUP('Données projet'!$B$9,'Paramètres'!$A$1:$I$89,3,0)*0.475*44/12</f>
        <v>12.02680182</v>
      </c>
      <c r="AA173" s="142">
        <f>EXP(-LN(2)/25)*AA172+(1-EXP(-LN(2)/25))/(LN(2)/25)*Calculateur!V173*Calculateur!X173*VLOOKUP('Données projet'!$B$9,'Paramètres'!$A$1:$I$89,3,0)*0.475*44/12</f>
        <v>1.100725089</v>
      </c>
      <c r="AB173" s="142">
        <f>EXP(-LN(2)/2)*AB172+(1-EXP(-LN(2)/2))/(LN(2)/2)*V173*Y173*VLOOKUP('Données projet'!$B$9,'Paramètres'!$A$1:$I$89,3,0)*0.475*44/12</f>
        <v>0</v>
      </c>
      <c r="AC173" s="143">
        <f t="shared" si="4"/>
        <v>13.12752691</v>
      </c>
      <c r="AD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1" t="str">
        <f>VLOOKUP(A173,'Données projet'!$A$61:$I$81,2,0)</f>
        <v>#N/A</v>
      </c>
      <c r="AG173" s="131" t="str">
        <f>VLOOKUP(A173,'Données projet'!$A$61:$I$81,9,0)</f>
        <v>#N/A</v>
      </c>
      <c r="AH173" s="131" t="str">
        <f t="array" ref="AH173">INDEX(AG:AG,MIN(IF(ISNUMBER(AG173:AG369),ROW(AG173:AG369),"")))</f>
        <v/>
      </c>
      <c r="AI173" s="130">
        <f>IF('Données projet'!$A$62&gt;35,AI172+AH173-AQ172,IF(A173&lt;'Données projet'!$A$62,$AF$205^A173,IF(A173='Données projet'!$A$62,'Données projet'!$B$62,AI172+AH173-AQ172)))</f>
        <v>0</v>
      </c>
      <c r="AJ173" s="130">
        <f>AI173*VLOOKUP('Données projet'!$B$10,'Paramètres'!$A$1:$I$89,3,0)*VLOOKUP('Données projet'!$B$10,'Paramètres'!$A$1:$I$89,5,0)</f>
        <v>0</v>
      </c>
      <c r="AK173" s="130" t="str">
        <f t="shared" si="36"/>
        <v>#NUM!</v>
      </c>
      <c r="AL173" s="141" t="str">
        <f t="shared" si="5"/>
        <v>#NUM!</v>
      </c>
      <c r="AM173" s="133" t="str">
        <f t="shared" si="6"/>
        <v>#NUM!</v>
      </c>
      <c r="AN173" s="133">
        <f>AVERAGE(OFFSET($AM$3,0,0,'Données projet'!$E$10+1,1))-AVERAGE(OFFSET($H$3,0,0,'Données projet'!$E$10+1,1))</f>
        <v>196.874484</v>
      </c>
      <c r="AO173" s="133">
        <f t="shared" si="37"/>
        <v>217.5750859</v>
      </c>
      <c r="AP173" s="134">
        <f>IF(ISNA(VLOOKUP(A173,'Données projet'!$A$61:$I$81,3,0)),0,VLOOKUP(A173,'Données projet'!$A$61:$I$81,3,0))</f>
        <v>0</v>
      </c>
      <c r="AQ173" s="134">
        <f>IF(ISNA(VLOOKUP(A173,'Données projet'!$A$61:$I$81,4,0)),0,VLOOKUP(A173,'Données projet'!$A$61:$I$81,4,0))</f>
        <v>0</v>
      </c>
      <c r="AR173" s="135">
        <f>IF(ISNA(VLOOKUP(A173,'Données projet'!$A$61:$I$81,5,0)),0%,VLOOKUP(A173,'Données projet'!$A$61:$I$81,5,0)*VLOOKUP('Données projet'!$B$10,'Paramètres'!$A$1:$I$89,7,0))</f>
        <v>0</v>
      </c>
      <c r="AS173" s="135">
        <f>IF(ISNA(VLOOKUP(A173,'Données projet'!$A$61:$I$81,6,0)),0%,VLOOKUP(A173,'Données projet'!$A$61:$I$81,6,0)*VLOOKUP('Données projet'!$B$10,'Paramètres'!$A$1:$I$89,7,0))</f>
        <v>0</v>
      </c>
      <c r="AT173" s="135">
        <f>IF(ISNA(VLOOKUP(A173,'Données projet'!$A$61:$I$81,7,0)),0%,VLOOKUP(A173,'Données projet'!$A$61:$I$81,7,0))</f>
        <v>0</v>
      </c>
      <c r="AU173" s="142">
        <f>EXP(-LN(2)/35)*AU172+(1-EXP(-LN(2)/35))/(LN(2)/35)*AQ173*AR173*VLOOKUP('Données projet'!$B$10,'Paramètres'!$A$1:$I$89,3,0)*0.475*44/12</f>
        <v>16.71691292</v>
      </c>
      <c r="AV173" s="142">
        <f>EXP(-LN(2)/25)*AV172+(1-EXP(-LN(2)/25))/(LN(2)/25)*Calculateur!AQ173*Calculateur!AS173*VLOOKUP('Données projet'!$B$10,'Paramètres'!$A$1:$I$89,3,0)*0.475*44/12</f>
        <v>1.692366294</v>
      </c>
      <c r="AW173" s="142">
        <f>EXP(-LN(2)/2)*AW172+(1-EXP(-LN(2)/2))/(LN(2)/2)*AQ173*AT173*VLOOKUP('Données projet'!$B$10,'Paramètres'!$A$1:$I$89,3,0)*0.475*44/12</f>
        <v>0</v>
      </c>
      <c r="AX173" s="142">
        <f t="shared" si="7"/>
        <v>18.40927922</v>
      </c>
      <c r="AY173" s="13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1" t="str">
        <f>VLOOKUP(A173,'Données projet'!$A$87:$I$107,2,0)</f>
        <v>#N/A</v>
      </c>
      <c r="BB173" s="131" t="str">
        <f>VLOOKUP(A173,'Données projet'!$A$87:$I$107,9,0)</f>
        <v>#N/A</v>
      </c>
      <c r="BC173" s="131" t="str">
        <f t="array" ref="BC173">INDEX(BB:BB,MIN(IF(ISNUMBER(BB173:BB369),ROW(BB173:BB369),"")))</f>
        <v/>
      </c>
      <c r="BD173" s="130">
        <f>IF('Données projet'!$A$88&gt;35,BD172+BC173-BL172,IF(A173&lt;'Données projet'!$A$88,$BA$205^A173,IF(A173='Données projet'!$A$88,'Données projet'!$B$88,BD172+BC173-BL172)))</f>
        <v>0</v>
      </c>
      <c r="BE173" s="130">
        <f>BD173*VLOOKUP('Données projet'!$B$11,'Paramètres'!$A$1:$I$89,3,0)*VLOOKUP('Données projet'!$B$11,'Paramètres'!$A$1:$I$89,5,0)</f>
        <v>0</v>
      </c>
      <c r="BF173" s="130" t="str">
        <f t="shared" si="38"/>
        <v>#NUM!</v>
      </c>
      <c r="BG173" s="141" t="str">
        <f t="shared" si="8"/>
        <v>#NUM!</v>
      </c>
      <c r="BH173" s="133" t="str">
        <f t="shared" si="9"/>
        <v>#NUM!</v>
      </c>
      <c r="BI173" s="133">
        <f>AVERAGE(OFFSET($BH$3,0,0,'Données projet'!$E$11+1,1))-AVERAGE(OFFSET($H$3,0,0,'Données projet'!$E$11+1,1))</f>
        <v>134.0948534</v>
      </c>
      <c r="BJ173" s="133">
        <f t="shared" si="39"/>
        <v>108.4102536</v>
      </c>
      <c r="BK173" s="134">
        <f>IF(ISNA(VLOOKUP(A173,'Données projet'!$A$87:$I$107,3,0)),0,VLOOKUP(A173,'Données projet'!$A$87:$I$107,3,0))</f>
        <v>0</v>
      </c>
      <c r="BL173" s="134">
        <f>IF(ISNA(VLOOKUP(A173,'Données projet'!$A$87:$I$107,4,0)),0,VLOOKUP(A173,'Données projet'!$A$87:$I$107,4,0))</f>
        <v>0</v>
      </c>
      <c r="BM173" s="135">
        <f>IF(ISNA(VLOOKUP(A173,'Données projet'!$A$87:$I$107,5,0)),0%,VLOOKUP(A173,'Données projet'!$A$87:$I$107,5,0)*VLOOKUP('Données projet'!$B$11,'Paramètres'!$A$1:$I$89,7,0))</f>
        <v>0</v>
      </c>
      <c r="BN173" s="135">
        <f>IF(ISNA(VLOOKUP(A173,'Données projet'!$A$87:$I$107,6,0)),0%,VLOOKUP(A173,'Données projet'!$A$87:$I$107,6,0)*VLOOKUP('Données projet'!$B$11,'Paramètres'!$A$1:$I$89,7,0))</f>
        <v>0</v>
      </c>
      <c r="BO173" s="135">
        <f>IF(ISNA(VLOOKUP(A173,'Données projet'!$A$87:$I$107,7,0)),0%,VLOOKUP(A173,'Données projet'!$A$87:$I$107,7,0))</f>
        <v>0</v>
      </c>
      <c r="BP173" s="142">
        <f>EXP(-LN(2)/35)*BP172+(1-EXP(-LN(2)/35))/(LN(2)/35)*BL173*BM173*VLOOKUP('Données projet'!$B$11,'Paramètres'!$A$1:$I$89,3,0)*0.475*44/12</f>
        <v>23.1226126</v>
      </c>
      <c r="BQ173" s="142">
        <f>EXP(-LN(2)/25)*BQ172+(1-EXP(-LN(2)/25))/(LN(2)/25)*Calculateur!BL173*Calculateur!BN173*VLOOKUP('Données projet'!$B$11,'Paramètres'!$A$1:$I$89,3,0)*0.475*44/12</f>
        <v>1.067546112</v>
      </c>
      <c r="BR173" s="142">
        <f>EXP(-LN(2)/2)*BR172+(1-EXP(-LN(2)/2))/(LN(2)/2)*BL173*BO173*VLOOKUP('Données projet'!$B$11,'Paramètres'!$A$1:$I$89,3,0)*0.475*44/12</f>
        <v>0</v>
      </c>
      <c r="BS173" s="143">
        <f t="shared" si="10"/>
        <v>24.19015871</v>
      </c>
      <c r="BT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1" t="str">
        <f>VLOOKUP(A173,'Données projet'!$A$113:$I$133,2,0)</f>
        <v>#N/A</v>
      </c>
      <c r="BW173" s="131" t="str">
        <f>VLOOKUP(A173,'Données projet'!$A$113:$I$133,9,0)</f>
        <v>#N/A</v>
      </c>
      <c r="BX173" s="131" t="str">
        <f t="array" ref="BX173">INDEX(BW:BW,MIN(IF(ISNUMBER(BW173:BW369),ROW(BW173:BW369),"")))</f>
        <v/>
      </c>
      <c r="BY173" s="130">
        <f>IF('Données projet'!$A$114&gt;35,BY172+BX173-CG172,IF(A173&lt;'Données projet'!$A$114,$BV$205^A173,IF(A173='Données projet'!$A$114,'Données projet'!$B$114,BY172+BX173-CG172)))</f>
        <v>0</v>
      </c>
      <c r="BZ173" s="130">
        <f>BY173*VLOOKUP('Données projet'!$B$12,'Paramètres'!$A$1:$I$89,3,0)*VLOOKUP('Données projet'!$B$12,'Paramètres'!$A$1:$I$89,5,0)</f>
        <v>0</v>
      </c>
      <c r="CA173" s="130" t="str">
        <f t="shared" si="40"/>
        <v>#NUM!</v>
      </c>
      <c r="CB173" s="141" t="str">
        <f t="shared" si="11"/>
        <v>#NUM!</v>
      </c>
      <c r="CC173" s="133" t="str">
        <f t="shared" si="12"/>
        <v>#NUM!</v>
      </c>
      <c r="CD173" s="133">
        <f>AVERAGE(OFFSET($CC$3,0,0,'Données projet'!$E$12+1,1))-AVERAGE(OFFSET($H$3,0,0,'Données projet'!$E$12+1,1))</f>
        <v>258.1672054</v>
      </c>
      <c r="CE173" s="133">
        <f t="shared" si="41"/>
        <v>296.0724261</v>
      </c>
      <c r="CF173" s="134">
        <f>IF(ISNA(VLOOKUP(A173,'Données projet'!$A$113:$I$133,3,0)),0,VLOOKUP(A173,'Données projet'!$A$113:$I$133,3,0))</f>
        <v>0</v>
      </c>
      <c r="CG173" s="134">
        <f>IF(ISNA(VLOOKUP(A173,'Données projet'!$A$113:$I$133,4,0)),0,VLOOKUP(A173,'Données projet'!$A$113:$I$133,4,0))</f>
        <v>0</v>
      </c>
      <c r="CH173" s="135">
        <f>IF(ISNA(VLOOKUP(A173,'Données projet'!$A$113:$I$133,5,0)),0%,VLOOKUP(A173,'Données projet'!$A$113:$I$133,5,0)*VLOOKUP('Données projet'!$B$12,'Paramètres'!$A$1:$I$89,7,0))</f>
        <v>0</v>
      </c>
      <c r="CI173" s="135">
        <f>IF(ISNA(VLOOKUP(A173,'Données projet'!$A$113:$I$133,6,0)),0%,VLOOKUP(A173,'Données projet'!$A$113:$I$133,6,0)*VLOOKUP('Données projet'!$B$12,'Paramètres'!$A$1:$I$89,7,0))</f>
        <v>0</v>
      </c>
      <c r="CJ173" s="135">
        <f>IF(ISNA(VLOOKUP(A173,'Données projet'!$A$113:$I$133,7,0)),0%,VLOOKUP(A173,'Données projet'!$A$113:$I$133,7,0))</f>
        <v>0</v>
      </c>
      <c r="CK173" s="142">
        <f>EXP(-LN(2)/35)*CK172+(1-EXP(-LN(2)/35))/(LN(2)/35)*CG173*CH173*VLOOKUP('Données projet'!$B$12,'Paramètres'!$A$1:$I$89,3,0)*0.475*44/12</f>
        <v>29.23405582</v>
      </c>
      <c r="CL173" s="142">
        <f>EXP(-LN(2)/25)*CL172+(1-EXP(-LN(2)/25))/(LN(2)/25)*Calculateur!CG173*Calculateur!CI173*VLOOKUP('Données projet'!$B$12,'Paramètres'!$A$1:$I$89,3,0)*0.475*44/12</f>
        <v>1.872536481</v>
      </c>
      <c r="CM173" s="142">
        <f>EXP(-LN(2)/2)*CM172+(1-EXP(-LN(2)/2))/(LN(2)/2)*CG173*CJ173*VLOOKUP('Données projet'!$B$12,'Paramètres'!$A$1:$I$89,3,0)*0.475*44/12</f>
        <v>0</v>
      </c>
      <c r="CN173" s="143">
        <f t="shared" si="13"/>
        <v>31.1065923</v>
      </c>
      <c r="CO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1" t="str">
        <f>VLOOKUP(A173,'Données projet'!$A$139:$I$159,2,0)</f>
        <v>#N/A</v>
      </c>
      <c r="CR173" s="131" t="str">
        <f>VLOOKUP(A173,'Données projet'!$A$139:$I$159,9,0)</f>
        <v>#N/A</v>
      </c>
      <c r="CS173" s="131" t="str">
        <f t="array" ref="CS173">INDEX(CR:CR,MIN(IF(ISNUMBER(CR173:CR369),ROW(CR173:CR369),"")))</f>
        <v/>
      </c>
      <c r="CT173" s="138">
        <f>IF('Données projet'!$A$140&gt;35,CT172+CS173-DB172,IF(A173&lt;'Données projet'!$A$140,$CQ$205^A173,IF(A173='Données projet'!$A$140,'Données projet'!$B$140,CT172+CS173-DB172)))</f>
        <v>0</v>
      </c>
      <c r="CU173" s="138">
        <f>CT173*VLOOKUP('Données projet'!$B$13,'Paramètres'!$A$1:$I$89,3,0)*VLOOKUP('Données projet'!$B$13,'Paramètres'!$A$1:$I$89,5,0)</f>
        <v>0</v>
      </c>
      <c r="CV173" s="130" t="str">
        <f t="shared" si="42"/>
        <v>#NUM!</v>
      </c>
      <c r="CW173" s="141" t="str">
        <f t="shared" si="14"/>
        <v>#NUM!</v>
      </c>
      <c r="CX173" s="133" t="str">
        <f t="shared" si="15"/>
        <v>#NUM!</v>
      </c>
      <c r="CY173" s="133">
        <f>AVERAGE(OFFSET($CX$3,0,0,'Données projet'!$E$13+1,1))-AVERAGE(OFFSET($H$3,0,0,'Données projet'!$E$13+1,1))</f>
        <v>223.783507</v>
      </c>
      <c r="CZ173" s="133">
        <f t="shared" si="43"/>
        <v>84.92349117</v>
      </c>
      <c r="DA173" s="134">
        <f>IF(ISNA(VLOOKUP(A173,'Données projet'!$A$139:$I$159,3,0)),0,VLOOKUP(A173,'Données projet'!$A$139:$I$159,3,0))</f>
        <v>0</v>
      </c>
      <c r="DB173" s="134">
        <f>IF(ISNA(VLOOKUP(A173,'Données projet'!$A$139:$I$159,4,0)),0,VLOOKUP(A173,'Données projet'!$A$139:$I$159,4,0))</f>
        <v>0</v>
      </c>
      <c r="DC173" s="135">
        <f>IF(ISNA(VLOOKUP(A173,'Données projet'!$A$139:$I$159,5,0)),0%,VLOOKUP(A173,'Données projet'!$A$139:$I$159,5,0)*VLOOKUP('Données projet'!$B$13,'Paramètres'!$A$1:$I$89,7,0))</f>
        <v>0</v>
      </c>
      <c r="DD173" s="135">
        <f>IF(ISNA(VLOOKUP(A173,'Données projet'!$A$139:$I$159,6,0)),0%,VLOOKUP(A173,'Données projet'!$A$139:$I$159,6,0)*VLOOKUP('Données projet'!$B$13,'Paramètres'!$A$1:$I$89,7,0))</f>
        <v>0</v>
      </c>
      <c r="DE173" s="135">
        <f>IF(ISNA(VLOOKUP(A173,'Données projet'!$A$139:$I$159,7,0)),0%,VLOOKUP(A173,'Données projet'!$A$139:$I$159,7,0))</f>
        <v>0</v>
      </c>
      <c r="DF173" s="142">
        <f>EXP(-LN(2)/35)*DF172+(1-EXP(-LN(2)/35))/(LN(2)/35)*DB173*DC173*VLOOKUP('Données projet'!$B$13,'Paramètres'!$A$1:$I$89,3,0)*0.475*44/12</f>
        <v>75.08452633</v>
      </c>
      <c r="DG173" s="142">
        <f>EXP(-LN(2)/25)*DG172+(1-EXP(-LN(2)/25))/(LN(2)/25)*Calculateur!DB173*Calculateur!DD173*VLOOKUP('Données projet'!$B$13,'Paramètres'!$A$1:$I$89,3,0)*0.475*44/12</f>
        <v>0</v>
      </c>
      <c r="DH173" s="142">
        <f>EXP(-LN(2)/2)*DH172+(1-EXP(-LN(2)/2))/(LN(2)/2)*DB173*DE173*VLOOKUP('Données projet'!$B$13,'Paramètres'!$A$1:$I$89,3,0)*0.475*44/12</f>
        <v>0</v>
      </c>
      <c r="DI173" s="143">
        <f t="shared" si="16"/>
        <v>75.08452633</v>
      </c>
      <c r="DJ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1" t="str">
        <f>VLOOKUP(A173,'Données projet'!$A$165:$I$185,2,0)</f>
        <v>#N/A</v>
      </c>
      <c r="DM173" s="131" t="str">
        <f>VLOOKUP(A173,'Données projet'!$A$165:$I$185,9,0)</f>
        <v>#N/A</v>
      </c>
      <c r="DN173" s="131" t="str">
        <f t="array" ref="DN173">INDEX(DM:DM,MIN(IF(ISNUMBER(DM173:DM369),ROW(DM173:DM369),"")))</f>
        <v/>
      </c>
      <c r="DO173" s="138">
        <f>IF('Données projet'!$A$166&gt;35,DO172+DN173-DW172,IF(A173&lt;'Données projet'!$A$166,$DL$205^A173,IF(A173='Données projet'!$A$166,'Données projet'!$B$166,DO172+DN173-DW172)))</f>
        <v>0</v>
      </c>
      <c r="DP173" s="138">
        <f>DO173*VLOOKUP('Données projet'!$B$14,'Paramètres'!$A$1:$I$89,3,0)*VLOOKUP('Données projet'!$B$14,'Paramètres'!$A$1:$I$89,5,0)</f>
        <v>0</v>
      </c>
      <c r="DQ173" s="130" t="str">
        <f t="shared" si="44"/>
        <v>#NUM!</v>
      </c>
      <c r="DR173" s="141" t="str">
        <f t="shared" si="17"/>
        <v>#NUM!</v>
      </c>
      <c r="DS173" s="133" t="str">
        <f t="shared" si="18"/>
        <v>#NUM!</v>
      </c>
      <c r="DT173" s="133">
        <f>AVERAGE(OFFSET($DS$3,0,0,'Données projet'!$E$14+1,1))-AVERAGE(OFFSET($H$3,0,0,'Données projet'!$E$14+1,1))</f>
        <v>287.9334714</v>
      </c>
      <c r="DU173" s="133">
        <f t="shared" si="45"/>
        <v>156.6796502</v>
      </c>
      <c r="DV173" s="134">
        <f>IF(ISNA(VLOOKUP(A173,'Données projet'!$A$165:$I$185,3,0)),0,VLOOKUP(A173,'Données projet'!$A$165:$I$185,3,0))</f>
        <v>0</v>
      </c>
      <c r="DW173" s="134">
        <f>IF(ISNA(VLOOKUP(A173,'Données projet'!$A$165:$I$185,4,0)),0,VLOOKUP(A173,'Données projet'!$A$165:$I$185,4,0))</f>
        <v>0</v>
      </c>
      <c r="DX173" s="135">
        <f>IF(ISNA(VLOOKUP(A173,'Données projet'!$A$165:$I$185,5,0)),0%,VLOOKUP(A173,'Données projet'!$A$165:$I$185,5,0)*VLOOKUP('Données projet'!$B$14,'Paramètres'!$A$1:$I$89,7,0))</f>
        <v>0</v>
      </c>
      <c r="DY173" s="135">
        <f>IF(ISNA(VLOOKUP(A173,'Données projet'!$A$165:$I$185,6,0)),0%,VLOOKUP(A173,'Données projet'!$A$165:$I$185,6,0)*VLOOKUP('Données projet'!$B$14,'Paramètres'!$A$1:$I$89,7,0))</f>
        <v>0</v>
      </c>
      <c r="DZ173" s="135">
        <f>IF(ISNA(VLOOKUP(A173,'Données projet'!$A$165:$I$185,7,0)),0%,VLOOKUP(A173,'Données projet'!$A$165:$I$185,7,0))</f>
        <v>0</v>
      </c>
      <c r="EA173" s="142">
        <f>EXP(-LN(2)/35)*EA172+(1-EXP(-LN(2)/35))/(LN(2)/35)*DW173*DX173*VLOOKUP('Données projet'!$B$14,'Paramètres'!$A$1:$I$89,3,0)*0.475*44/12</f>
        <v>87.2269733</v>
      </c>
      <c r="EB173" s="142">
        <f>EXP(-LN(2)/25)*EB172+(1-EXP(-LN(2)/25))/(LN(2)/25)*Calculateur!DW173*Calculateur!DY173*VLOOKUP('Données projet'!$B$14,'Paramètres'!$A$1:$I$89,3,0)*0.475*44/12</f>
        <v>0</v>
      </c>
      <c r="EC173" s="142">
        <f>EXP(-LN(2)/2)*EC172+(1-EXP(-LN(2)/2))/(LN(2)/2)*DW173*DZ173*VLOOKUP('Données projet'!$B$14,'Paramètres'!$A$1:$I$89,3,0)*0.475*44/12</f>
        <v>0</v>
      </c>
      <c r="ED173" s="143">
        <f t="shared" si="19"/>
        <v>87.2269733</v>
      </c>
      <c r="EE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1" t="str">
        <f>VLOOKUP(A173,'Données projet'!$A$191:$I$211,2,0)</f>
        <v>#N/A</v>
      </c>
      <c r="EH173" s="131" t="str">
        <f>VLOOKUP(A173,'Données projet'!$A$191:$I$211,9,0)</f>
        <v>#N/A</v>
      </c>
      <c r="EI173" s="131" t="str">
        <f t="array" ref="EI173">INDEX(EH:EH,MIN(IF(ISNUMBER(EH173:EH369),ROW(EH173:EH369),"")))</f>
        <v/>
      </c>
      <c r="EJ173" s="138">
        <f>IF('Données projet'!$A$192&gt;35,EJ172+EI173-ER172,IF(A173&lt;'Données projet'!$A$192,$EG$205^A173,IF(A173='Données projet'!$A$192,'Données projet'!$B$192,EJ172+EI173-ER172)))</f>
        <v>0</v>
      </c>
      <c r="EK173" s="138">
        <f>EJ173*VLOOKUP('Données projet'!$B$15,'Paramètres'!$A$1:$I$89,3,0)*VLOOKUP('Données projet'!$B$15,'Paramètres'!$A$1:$I$89,5,0)</f>
        <v>0</v>
      </c>
      <c r="EL173" s="130" t="str">
        <f t="shared" si="46"/>
        <v>#NUM!</v>
      </c>
      <c r="EM173" s="141" t="str">
        <f t="shared" si="20"/>
        <v>#NUM!</v>
      </c>
      <c r="EN173" s="133" t="str">
        <f t="shared" si="21"/>
        <v>#NUM!</v>
      </c>
      <c r="EO173" s="133">
        <f>AVERAGE(OFFSET($EN$3,0,0,'Données projet'!$E$15+1,1))-AVERAGE(OFFSET($H$3,0,0,'Données projet'!$E$15+1,1))</f>
        <v>130.3193339</v>
      </c>
      <c r="EP173" s="133">
        <f t="shared" si="47"/>
        <v>82.22784365</v>
      </c>
      <c r="EQ173" s="134">
        <f>IF(ISNA(VLOOKUP(A173,'Données projet'!$A$191:$I$211,3,0)),0,VLOOKUP(A173,'Données projet'!$A$191:$I$211,3,0))</f>
        <v>0</v>
      </c>
      <c r="ER173" s="134">
        <f>IF(ISNA(VLOOKUP(A173,'Données projet'!$A$191:$I$211,4,0)),0,VLOOKUP(A173,'Données projet'!$A$191:$I$211,4,0))</f>
        <v>0</v>
      </c>
      <c r="ES173" s="135">
        <f>IF(ISNA(VLOOKUP(A173,'Données projet'!$A$191:$I$211,5,0)),0%,VLOOKUP(A173,'Données projet'!$A$191:$I$211,5,0)*VLOOKUP('Données projet'!$B$15,'Paramètres'!$A$1:$I$89,7,0))</f>
        <v>0</v>
      </c>
      <c r="ET173" s="135">
        <f>IF(ISNA(VLOOKUP(A173,'Données projet'!$A$191:$I$211,6,0)),0%,VLOOKUP(A173,'Données projet'!$A$191:$I$211,6,0)*VLOOKUP('Données projet'!$B$15,'Paramètres'!$A$1:$I$89,7,0))</f>
        <v>0</v>
      </c>
      <c r="EU173" s="135">
        <f>IF(ISNA(VLOOKUP(A173,'Données projet'!$A$191:$I$211,7,0)),0%,VLOOKUP(A173,'Données projet'!$A$191:$I$211,7,0))</f>
        <v>0</v>
      </c>
      <c r="EV173" s="142">
        <f>EXP(-LN(2)/35)*EV172+(1-EXP(-LN(2)/35))/(LN(2)/35)*ER173*ES173*VLOOKUP('Données projet'!$B$15,'Paramètres'!$A$1:$I$89,3,0)*0.475*44/12</f>
        <v>17.87602036</v>
      </c>
      <c r="EW173" s="142">
        <f>EXP(-LN(2)/25)*EW172+(1-EXP(-LN(2)/25))/(LN(2)/25)*Calculateur!ER173*Calculateur!ET173*VLOOKUP('Données projet'!$B$15,'Paramètres'!$A$1:$I$89,3,0)*0.475*44/12</f>
        <v>0</v>
      </c>
      <c r="EX173" s="142">
        <f>EXP(-LN(2)/2)*EX172+(1-EXP(-LN(2)/2))/(LN(2)/2)*ER173*EU173*VLOOKUP('Données projet'!$B$15,'Paramètres'!$A$1:$I$89,3,0)*0.475*44/12</f>
        <v>0</v>
      </c>
      <c r="EY173" s="143">
        <f t="shared" si="22"/>
        <v>17.87602036</v>
      </c>
      <c r="EZ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1" t="str">
        <f>VLOOKUP(A173,'Données projet'!$A$217:$I$237,2,0)</f>
        <v>#N/A</v>
      </c>
      <c r="FC173" s="131" t="str">
        <f>VLOOKUP(A173,'Données projet'!$A$217:$I$237,9,0)</f>
        <v>#N/A</v>
      </c>
      <c r="FD173" s="131" t="str">
        <f t="array" ref="FD173">INDEX(FC:FC,MIN(IF(ISNUMBER(FC173:FC369),ROW(FC173:FC369),"")))</f>
        <v/>
      </c>
      <c r="FE173" s="130">
        <f>IF('Données projet'!$A$218&gt;35,FE172+FD173-FM172,IF(A173&lt;'Données projet'!$A$218,$FB$205^A173,IF(A173='Données projet'!$A$218,'Données projet'!$B$218,FE172+FD173-FM172)))</f>
        <v>0</v>
      </c>
      <c r="FF173" s="138">
        <f>FE173*VLOOKUP('Données projet'!$B$16,'Paramètres'!$A$1:$I$89,3,0)*VLOOKUP('Données projet'!$B$16,'Paramètres'!$A$1:$I$89,5,0)</f>
        <v>0</v>
      </c>
      <c r="FG173" s="130">
        <f t="shared" si="48"/>
        <v>0</v>
      </c>
      <c r="FH173" s="141">
        <f t="shared" si="23"/>
        <v>0</v>
      </c>
      <c r="FI173" s="133">
        <f t="shared" si="24"/>
        <v>293.3333333</v>
      </c>
      <c r="FJ173" s="133">
        <f>AVERAGE(OFFSET($FI$3,0,0,'Données projet'!$E$16+1,1))-AVERAGE(OFFSET($H$3,0,0,'Données projet'!$E$16+1,1))</f>
        <v>305.6252353</v>
      </c>
      <c r="FK173" s="133">
        <f t="shared" si="49"/>
        <v>331.397916</v>
      </c>
      <c r="FL173" s="134">
        <f>IF(ISNA(VLOOKUP(A173,'Données projet'!$A$217:$I$237,3,0)),0,VLOOKUP(A173,'Données projet'!$A$217:$I$237,3,0))</f>
        <v>0</v>
      </c>
      <c r="FM173" s="134">
        <f>IF(ISNA(VLOOKUP(A173,'Données projet'!$A$217:$I$237,4,0)),0,VLOOKUP(A173,'Données projet'!$A$217:$I$237,4,0))</f>
        <v>0</v>
      </c>
      <c r="FN173" s="135">
        <f>IF(ISNA(VLOOKUP(A173,'Données projet'!$A$217:$I$237,5,0)),0%,VLOOKUP(A173,'Données projet'!$A$217:$I$237,5,0)*VLOOKUP('Données projet'!$B$16,'Paramètres'!$A$1:$I$89,7,0))</f>
        <v>0</v>
      </c>
      <c r="FO173" s="135">
        <f>IF(ISNA(VLOOKUP(A173,'Données projet'!$A$217:$I$237,6,0)),0%,VLOOKUP(A173,'Données projet'!$A$217:$I$237,6,0)*VLOOKUP('Données projet'!$B$16,'Paramètres'!$A$1:$I$89,7,0))</f>
        <v>0</v>
      </c>
      <c r="FP173" s="135">
        <f>IF(ISNA(VLOOKUP(A173,'Données projet'!$A$217:$I$237,7,0)),0%,VLOOKUP(A173,'Données projet'!$A$217:$I$237,7,0))</f>
        <v>0</v>
      </c>
      <c r="FQ173" s="142">
        <f>EXP(-LN(2)/35)*FQ172+(1-EXP(-LN(2)/35))/(LN(2)/35)*FM173*FN173*VLOOKUP('Données projet'!$B$16,'Paramètres'!$A$1:$I$89,3,0)*0.475*44/12</f>
        <v>11.13014451</v>
      </c>
      <c r="FR173" s="142">
        <f>EXP(-LN(2)/25)*FR172+(1-EXP(-LN(2)/25))/(LN(2)/25)*Calculateur!FM173*Calculateur!FO173*VLOOKUP('Données projet'!$B$16,'Paramètres'!$A$1:$I$89,3,0)*0.475*44/12</f>
        <v>0</v>
      </c>
      <c r="FS173" s="142">
        <f>EXP(-LN(2)/2)*FS172+(1-EXP(-LN(2)/2))/(LN(2)/2)*FM173*FP173*VLOOKUP('Données projet'!$B$16,'Paramètres'!$A$1:$I$89,3,0)*0.475*44/12</f>
        <v>0</v>
      </c>
      <c r="FT173" s="143">
        <f t="shared" si="25"/>
        <v>11.13014451</v>
      </c>
      <c r="FU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1" t="str">
        <f>VLOOKUP(A173,'Données projet'!$A$243:$I$263,2,0)</f>
        <v>#N/A</v>
      </c>
      <c r="FX173" s="131" t="str">
        <f>VLOOKUP(A173,'Données projet'!$A$243:$I$263,9,0)</f>
        <v>#N/A</v>
      </c>
      <c r="FY173" s="131" t="str">
        <f t="array" ref="FY173">INDEX(FX:FX,MIN(IF(ISNUMBER(FX173:FX369),ROW(FX173:FX369),"")))</f>
        <v/>
      </c>
      <c r="FZ173" s="138">
        <f>IF('Données projet'!$A$244&gt;35,FZ172+FY173-GH172,IF(A173&lt;'Données projet'!$A$244,$FW$205^A173,IF(A173='Données projet'!$A$244,'Données projet'!$B$244,FZ172+FY173-GH172)))</f>
        <v>0</v>
      </c>
      <c r="GA173" s="138">
        <f>FZ173*VLOOKUP('Données projet'!$B$17,'Paramètres'!$A$1:$I$89,3,0)*VLOOKUP('Données projet'!$B$17,'Paramètres'!$A$1:$I$89,5,0)</f>
        <v>0</v>
      </c>
      <c r="GB173" s="130">
        <f t="shared" si="50"/>
        <v>0</v>
      </c>
      <c r="GC173" s="141">
        <f t="shared" si="26"/>
        <v>0</v>
      </c>
      <c r="GD173" s="133">
        <f t="shared" si="27"/>
        <v>293.3333333</v>
      </c>
      <c r="GE173" s="133">
        <f>AVERAGE(OFFSET($GD$3,0,0,'Données projet'!$E$17+1,1))-AVERAGE(OFFSET($H$3,0,0,'Données projet'!$E$17+1,1))</f>
        <v>118.7368745</v>
      </c>
      <c r="GF173" s="133">
        <f t="shared" si="51"/>
        <v>135.1233677</v>
      </c>
      <c r="GG173" s="134">
        <f>IF(ISNA(VLOOKUP(A173,'Données projet'!$A$243:$I$263,3,0)),0,VLOOKUP(A173,'Données projet'!$A$243:$I$263,3,0))</f>
        <v>0</v>
      </c>
      <c r="GH173" s="134">
        <f>IF(ISNA(VLOOKUP(A173,'Données projet'!$A$243:$I$263,4,0)),0,VLOOKUP(A173,'Données projet'!$A$243:$I$263,4,0))</f>
        <v>0</v>
      </c>
      <c r="GI173" s="135">
        <f>IF(ISNA(VLOOKUP(A173,'Données projet'!$A$243:$I$263,5,0)),0%,VLOOKUP(A173,'Données projet'!$A$243:$I$263,5,0)*VLOOKUP('Données projet'!$B$17,'Paramètres'!$A$1:$I$89,7,0))</f>
        <v>0</v>
      </c>
      <c r="GJ173" s="135">
        <f>IF(ISNA(VLOOKUP(A173,'Données projet'!$A$243:$I$263,6,0)),0%,VLOOKUP(A173,'Données projet'!$A$243:$I$263,6,0)*VLOOKUP('Données projet'!$B$17,'Paramètres'!$A$1:$I$89,7,0))</f>
        <v>0</v>
      </c>
      <c r="GK173" s="135">
        <f>IF(ISNA(VLOOKUP(A173,'Données projet'!$A$243:$I$263,7,0)),0%,VLOOKUP(A173,'Données projet'!$A$243:$I$263,7,0))</f>
        <v>0</v>
      </c>
      <c r="GL173" s="142">
        <f>EXP(-LN(2)/35)*GL172+(1-EXP(-LN(2)/35))/(LN(2)/35)*GH173*GI173*VLOOKUP('Données projet'!$B$17,'Paramètres'!$A$1:$I$89,3,0)*0.475*44/12</f>
        <v>11.75896325</v>
      </c>
      <c r="GM173" s="142">
        <f>EXP(-LN(2)/25)*GM172+(1-EXP(-LN(2)/25))/(LN(2)/25)*Calculateur!GH173*Calculateur!GJ173*VLOOKUP('Données projet'!$B$17,'Paramètres'!$A$1:$I$89,3,0)*0.475*44/12</f>
        <v>0</v>
      </c>
      <c r="GN173" s="142">
        <f>EXP(-LN(2)/2)*GN172+(1-EXP(-LN(2)/2))/(LN(2)/2)*GH173*GK173*VLOOKUP('Données projet'!$B$17,'Paramètres'!$A$1:$I$89,3,0)*0.475*44/12</f>
        <v>0</v>
      </c>
      <c r="GO173" s="142">
        <f t="shared" si="28"/>
        <v>11.75896325</v>
      </c>
      <c r="GP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1" t="str">
        <f>VLOOKUP(A173,'Données projet'!$A$269:$I$289,2,0)</f>
        <v>#N/A</v>
      </c>
      <c r="GS173" s="131" t="str">
        <f>VLOOKUP(A173,'Données projet'!$A$269:$I$289,9,0)</f>
        <v>#N/A</v>
      </c>
      <c r="GT173" s="131" t="str">
        <f t="array" ref="GT173">INDEX(GS:GS,MIN(IF(ISNUMBER(GS173:GS369),ROW(GS173:GS369),"")))</f>
        <v/>
      </c>
      <c r="GU173" s="138">
        <f>IF('Données projet'!$A$270&gt;35,GU172+GT173-HC172,IF(A173&lt;'Données projet'!$A$270,$GR$205^A173,IF(A173='Données projet'!$A$270,'Données projet'!$B$270,GU172+GT173-HC172)))</f>
        <v>0</v>
      </c>
      <c r="GV173" s="138">
        <f>GU173*VLOOKUP('Données projet'!$B$18,'Paramètres'!$A$1:$I$89,3,0)*VLOOKUP('Données projet'!$B$18,'Paramètres'!$A$1:$I$89,5,0)</f>
        <v>0</v>
      </c>
      <c r="GW173" s="130" t="str">
        <f t="shared" si="52"/>
        <v>#NUM!</v>
      </c>
      <c r="GX173" s="141" t="str">
        <f t="shared" si="29"/>
        <v>#NUM!</v>
      </c>
      <c r="GY173" s="133" t="str">
        <f t="shared" si="30"/>
        <v>#NUM!</v>
      </c>
      <c r="GZ173" s="133">
        <f>AVERAGE(OFFSET($GY$3,0,0,'Données projet'!$E$18+1,1))-AVERAGE(OFFSET($H$3,0,0,'Données projet'!$E$18+1,1))</f>
        <v>100.5427875</v>
      </c>
      <c r="HA173" s="133">
        <f t="shared" si="53"/>
        <v>92.28663609</v>
      </c>
      <c r="HB173" s="134">
        <f>IF(ISNA(VLOOKUP(A173,'Données projet'!$A$269:$I$289,3,0)),0,VLOOKUP(A173,'Données projet'!$A$269:$I$289,3,0))</f>
        <v>0</v>
      </c>
      <c r="HC173" s="134">
        <f>IF(ISNA(VLOOKUP(A173,'Données projet'!$A$269:$I$289,4,0)),0,VLOOKUP(A173,'Données projet'!$A$269:$I$289,4,0))</f>
        <v>0</v>
      </c>
      <c r="HD173" s="135">
        <f>IF(ISNA(VLOOKUP(A173,'Données projet'!$A$269:$I$289,5,0)),0%,VLOOKUP(A173,'Données projet'!$A$269:$I$289,5,0)*VLOOKUP('Données projet'!$B$18,'Paramètres'!$A$1:$I$89,7,0))</f>
        <v>0</v>
      </c>
      <c r="HE173" s="135">
        <f>IF(ISNA(VLOOKUP(A173,'Données projet'!$A$269:$I$289,6,0)),0%,VLOOKUP(A173,'Données projet'!$A$269:$I$289,6,0)*VLOOKUP('Données projet'!$B$18,'Paramètres'!$A$1:$I$89,7,0))</f>
        <v>0</v>
      </c>
      <c r="HF173" s="135">
        <f>IF(ISNA(VLOOKUP(A173,'Données projet'!$A$269:$I$289,7,0)),0%,VLOOKUP(A173,'Données projet'!$A$269:$I$289,7,0))</f>
        <v>0</v>
      </c>
      <c r="HG173" s="142">
        <f>EXP(-LN(2)/35)*HG172+(1-EXP(-LN(2)/35))/(LN(2)/35)*HC173*HD173*VLOOKUP('Données projet'!$B$18,'Paramètres'!$A$1:$I$89,3,0)*0.475*44/12</f>
        <v>8.007605905</v>
      </c>
      <c r="HH173" s="142">
        <f>EXP(-LN(2)/25)*HH172+(1-EXP(-LN(2)/25))/(LN(2)/25)*Calculateur!HC173*Calculateur!HE173*VLOOKUP('Données projet'!$B$18,'Paramètres'!$A$1:$I$89,3,0)*0.475*44/12</f>
        <v>0</v>
      </c>
      <c r="HI173" s="142">
        <f>EXP(-LN(2)/2)*HI172+(1-EXP(-LN(2)/2))/(LN(2)/2)*HC173*HF173*VLOOKUP('Données projet'!$B$18,'Paramètres'!$A$1:$I$89,3,0)*0.475*44/12</f>
        <v>0</v>
      </c>
      <c r="HJ173" s="143">
        <f t="shared" si="31"/>
        <v>8.007605905</v>
      </c>
    </row>
    <row r="174" ht="15.75" customHeight="1">
      <c r="A174" s="125">
        <f t="shared" si="32"/>
        <v>171</v>
      </c>
      <c r="B174" s="126">
        <f>'Scénario référence'!$B$16*5+'Scénario référence'!$B$17*0+'Scénario référence'!$B$18*5</f>
        <v>0</v>
      </c>
      <c r="C174" s="140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93.366</v>
      </c>
      <c r="D174" s="127">
        <f t="shared" si="33"/>
        <v>25.37528023</v>
      </c>
      <c r="E17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7">
        <f>IF(OR('Scénario référence'!$F$8&gt;0,'Scénario référence'!$F$9&gt;0),('Scénario référence'!$F$8+'Scénario référence'!$F$9)*10,0)</f>
        <v>10</v>
      </c>
      <c r="G174" s="127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916.5993562</v>
      </c>
      <c r="H174" s="128">
        <f t="shared" si="1"/>
        <v>500.1410631</v>
      </c>
      <c r="I174" s="12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1" t="str">
        <f>VLOOKUP(A174,'Données projet'!$A$35:$I$55,2,0)</f>
        <v>#N/A</v>
      </c>
      <c r="L174" s="131" t="str">
        <f>VLOOKUP(A174,'Données projet'!$A$35:$I$55,9,0)</f>
        <v>#N/A</v>
      </c>
      <c r="M174" s="131" t="str">
        <f t="array" ref="M174">INDEX(L:L,MIN(IF(ISNUMBER(L174:L370),ROW(L174:L370),"")))</f>
        <v/>
      </c>
      <c r="N174" s="130">
        <f>IF('Données projet'!$A$36&gt;35,N173+M174-V173,IF(A174&lt;'Données projet'!$A$36,$K$205^A174,IF(A174='Données projet'!$A$36,'Données projet'!$B$36,N173+M174-V173)))</f>
        <v>0</v>
      </c>
      <c r="O174" s="130">
        <f>N174*VLOOKUP('Données projet'!$B$9,'Paramètres'!$A$1:$I$89,3,0)*VLOOKUP('Données projet'!$B$9,'Paramètres'!$A$1:$I$89,5,0)</f>
        <v>0</v>
      </c>
      <c r="P174" s="130">
        <f t="shared" si="34"/>
        <v>0</v>
      </c>
      <c r="Q174" s="141">
        <f t="shared" si="2"/>
        <v>0</v>
      </c>
      <c r="R174" s="133">
        <f t="shared" si="3"/>
        <v>293.3333333</v>
      </c>
      <c r="S174" s="133">
        <f>AVERAGE(OFFSET($R$3,0,0,'Données projet'!$E$9+1,1))-AVERAGE(OFFSET($H$3,0,0,'Données projet'!$E$9+1,1))</f>
        <v>126.9946492</v>
      </c>
      <c r="T174" s="133">
        <f t="shared" si="35"/>
        <v>140.039049</v>
      </c>
      <c r="U174" s="134">
        <f>IF(ISNA(VLOOKUP(A174,'Données projet'!$A$35:$I$55,3,0)),0,VLOOKUP(A174,'Données projet'!$A$35:$I$55,3,0))</f>
        <v>0</v>
      </c>
      <c r="V174" s="134">
        <f>IF(ISNA(VLOOKUP(A174,'Données projet'!$A$35:$I$55,4,0)),0,VLOOKUP(A174,'Données projet'!$A$35:$I$55,4,0))</f>
        <v>0</v>
      </c>
      <c r="W174" s="135">
        <f>IF(ISNA(VLOOKUP(A174,'Données projet'!$A$35:$I$55,5,0)),0%,VLOOKUP(A174,'Données projet'!$A$35:$I$55,5,0)*VLOOKUP('Données projet'!$B$9,'Paramètres'!$A$1:$I$89,7,0))</f>
        <v>0</v>
      </c>
      <c r="X174" s="135">
        <f>IF(ISNA(VLOOKUP(A174,'Données projet'!$A$35:$I$55,6,0)),0%,VLOOKUP(A174,'Données projet'!$A$35:$I$55,6,0)*VLOOKUP('Données projet'!$B$9,'Paramètres'!$A$1:$I$89,7,0))</f>
        <v>0</v>
      </c>
      <c r="Y174" s="135">
        <f>IF(ISNA(VLOOKUP(A174,'Données projet'!$A$35:$I$55,7,0)),0%,VLOOKUP(A174,'Données projet'!$A$35:$I$55,7,0))</f>
        <v>0</v>
      </c>
      <c r="Z174" s="142">
        <f>EXP(-LN(2)/35)*Z173+(1-EXP(-LN(2)/35))/(LN(2)/35)*V174*W174*VLOOKUP('Données projet'!$B$9,'Paramètres'!$A$1:$I$89,3,0)*0.475*44/12</f>
        <v>11.79096357</v>
      </c>
      <c r="AA174" s="142">
        <f>EXP(-LN(2)/25)*AA173+(1-EXP(-LN(2)/25))/(LN(2)/25)*Calculateur!V174*Calculateur!X174*VLOOKUP('Données projet'!$B$9,'Paramètres'!$A$1:$I$89,3,0)*0.475*44/12</f>
        <v>1.070625703</v>
      </c>
      <c r="AB174" s="142">
        <f>EXP(-LN(2)/2)*AB173+(1-EXP(-LN(2)/2))/(LN(2)/2)*V174*Y174*VLOOKUP('Données projet'!$B$9,'Paramètres'!$A$1:$I$89,3,0)*0.475*44/12</f>
        <v>0</v>
      </c>
      <c r="AC174" s="143">
        <f t="shared" si="4"/>
        <v>12.86158927</v>
      </c>
      <c r="AD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1" t="str">
        <f>VLOOKUP(A174,'Données projet'!$A$61:$I$81,2,0)</f>
        <v>#N/A</v>
      </c>
      <c r="AG174" s="131" t="str">
        <f>VLOOKUP(A174,'Données projet'!$A$61:$I$81,9,0)</f>
        <v>#N/A</v>
      </c>
      <c r="AH174" s="131" t="str">
        <f t="array" ref="AH174">INDEX(AG:AG,MIN(IF(ISNUMBER(AG174:AG370),ROW(AG174:AG370),"")))</f>
        <v/>
      </c>
      <c r="AI174" s="130">
        <f>IF('Données projet'!$A$62&gt;35,AI173+AH174-AQ173,IF(A174&lt;'Données projet'!$A$62,$AF$205^A174,IF(A174='Données projet'!$A$62,'Données projet'!$B$62,AI173+AH174-AQ173)))</f>
        <v>0</v>
      </c>
      <c r="AJ174" s="130">
        <f>AI174*VLOOKUP('Données projet'!$B$10,'Paramètres'!$A$1:$I$89,3,0)*VLOOKUP('Données projet'!$B$10,'Paramètres'!$A$1:$I$89,5,0)</f>
        <v>0</v>
      </c>
      <c r="AK174" s="130" t="str">
        <f t="shared" si="36"/>
        <v>#NUM!</v>
      </c>
      <c r="AL174" s="141" t="str">
        <f t="shared" si="5"/>
        <v>#NUM!</v>
      </c>
      <c r="AM174" s="133" t="str">
        <f t="shared" si="6"/>
        <v>#NUM!</v>
      </c>
      <c r="AN174" s="133">
        <f>AVERAGE(OFFSET($AM$3,0,0,'Données projet'!$E$10+1,1))-AVERAGE(OFFSET($H$3,0,0,'Données projet'!$E$10+1,1))</f>
        <v>196.874484</v>
      </c>
      <c r="AO174" s="133">
        <f t="shared" si="37"/>
        <v>217.5750859</v>
      </c>
      <c r="AP174" s="134">
        <f>IF(ISNA(VLOOKUP(A174,'Données projet'!$A$61:$I$81,3,0)),0,VLOOKUP(A174,'Données projet'!$A$61:$I$81,3,0))</f>
        <v>0</v>
      </c>
      <c r="AQ174" s="134">
        <f>IF(ISNA(VLOOKUP(A174,'Données projet'!$A$61:$I$81,4,0)),0,VLOOKUP(A174,'Données projet'!$A$61:$I$81,4,0))</f>
        <v>0</v>
      </c>
      <c r="AR174" s="135">
        <f>IF(ISNA(VLOOKUP(A174,'Données projet'!$A$61:$I$81,5,0)),0%,VLOOKUP(A174,'Données projet'!$A$61:$I$81,5,0)*VLOOKUP('Données projet'!$B$10,'Paramètres'!$A$1:$I$89,7,0))</f>
        <v>0</v>
      </c>
      <c r="AS174" s="135">
        <f>IF(ISNA(VLOOKUP(A174,'Données projet'!$A$61:$I$81,6,0)),0%,VLOOKUP(A174,'Données projet'!$A$61:$I$81,6,0)*VLOOKUP('Données projet'!$B$10,'Paramètres'!$A$1:$I$89,7,0))</f>
        <v>0</v>
      </c>
      <c r="AT174" s="135">
        <f>IF(ISNA(VLOOKUP(A174,'Données projet'!$A$61:$I$81,7,0)),0%,VLOOKUP(A174,'Données projet'!$A$61:$I$81,7,0))</f>
        <v>0</v>
      </c>
      <c r="AU174" s="142">
        <f>EXP(-LN(2)/35)*AU173+(1-EXP(-LN(2)/35))/(LN(2)/35)*AQ174*AR174*VLOOKUP('Données projet'!$B$10,'Paramètres'!$A$1:$I$89,3,0)*0.475*44/12</f>
        <v>16.38910446</v>
      </c>
      <c r="AV174" s="142">
        <f>EXP(-LN(2)/25)*AV173+(1-EXP(-LN(2)/25))/(LN(2)/25)*Calculateur!AQ174*Calculateur!AS174*VLOOKUP('Données projet'!$B$10,'Paramètres'!$A$1:$I$89,3,0)*0.475*44/12</f>
        <v>1.646088449</v>
      </c>
      <c r="AW174" s="142">
        <f>EXP(-LN(2)/2)*AW173+(1-EXP(-LN(2)/2))/(LN(2)/2)*AQ174*AT174*VLOOKUP('Données projet'!$B$10,'Paramètres'!$A$1:$I$89,3,0)*0.475*44/12</f>
        <v>0</v>
      </c>
      <c r="AX174" s="142">
        <f t="shared" si="7"/>
        <v>18.0351929</v>
      </c>
      <c r="AY174" s="13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1" t="str">
        <f>VLOOKUP(A174,'Données projet'!$A$87:$I$107,2,0)</f>
        <v>#N/A</v>
      </c>
      <c r="BB174" s="131" t="str">
        <f>VLOOKUP(A174,'Données projet'!$A$87:$I$107,9,0)</f>
        <v>#N/A</v>
      </c>
      <c r="BC174" s="131" t="str">
        <f t="array" ref="BC174">INDEX(BB:BB,MIN(IF(ISNUMBER(BB174:BB370),ROW(BB174:BB370),"")))</f>
        <v/>
      </c>
      <c r="BD174" s="130">
        <f>IF('Données projet'!$A$88&gt;35,BD173+BC174-BL173,IF(A174&lt;'Données projet'!$A$88,$BA$205^A174,IF(A174='Données projet'!$A$88,'Données projet'!$B$88,BD173+BC174-BL173)))</f>
        <v>0</v>
      </c>
      <c r="BE174" s="130">
        <f>BD174*VLOOKUP('Données projet'!$B$11,'Paramètres'!$A$1:$I$89,3,0)*VLOOKUP('Données projet'!$B$11,'Paramètres'!$A$1:$I$89,5,0)</f>
        <v>0</v>
      </c>
      <c r="BF174" s="130" t="str">
        <f t="shared" si="38"/>
        <v>#NUM!</v>
      </c>
      <c r="BG174" s="141" t="str">
        <f t="shared" si="8"/>
        <v>#NUM!</v>
      </c>
      <c r="BH174" s="133" t="str">
        <f t="shared" si="9"/>
        <v>#NUM!</v>
      </c>
      <c r="BI174" s="133">
        <f>AVERAGE(OFFSET($BH$3,0,0,'Données projet'!$E$11+1,1))-AVERAGE(OFFSET($H$3,0,0,'Données projet'!$E$11+1,1))</f>
        <v>134.0948534</v>
      </c>
      <c r="BJ174" s="133">
        <f t="shared" si="39"/>
        <v>108.4102536</v>
      </c>
      <c r="BK174" s="134">
        <f>IF(ISNA(VLOOKUP(A174,'Données projet'!$A$87:$I$107,3,0)),0,VLOOKUP(A174,'Données projet'!$A$87:$I$107,3,0))</f>
        <v>0</v>
      </c>
      <c r="BL174" s="134">
        <f>IF(ISNA(VLOOKUP(A174,'Données projet'!$A$87:$I$107,4,0)),0,VLOOKUP(A174,'Données projet'!$A$87:$I$107,4,0))</f>
        <v>0</v>
      </c>
      <c r="BM174" s="135">
        <f>IF(ISNA(VLOOKUP(A174,'Données projet'!$A$87:$I$107,5,0)),0%,VLOOKUP(A174,'Données projet'!$A$87:$I$107,5,0)*VLOOKUP('Données projet'!$B$11,'Paramètres'!$A$1:$I$89,7,0))</f>
        <v>0</v>
      </c>
      <c r="BN174" s="135">
        <f>IF(ISNA(VLOOKUP(A174,'Données projet'!$A$87:$I$107,6,0)),0%,VLOOKUP(A174,'Données projet'!$A$87:$I$107,6,0)*VLOOKUP('Données projet'!$B$11,'Paramètres'!$A$1:$I$89,7,0))</f>
        <v>0</v>
      </c>
      <c r="BO174" s="135">
        <f>IF(ISNA(VLOOKUP(A174,'Données projet'!$A$87:$I$107,7,0)),0%,VLOOKUP(A174,'Données projet'!$A$87:$I$107,7,0))</f>
        <v>0</v>
      </c>
      <c r="BP174" s="142">
        <f>EXP(-LN(2)/35)*BP173+(1-EXP(-LN(2)/35))/(LN(2)/35)*BL174*BM174*VLOOKUP('Données projet'!$B$11,'Paramètres'!$A$1:$I$89,3,0)*0.475*44/12</f>
        <v>22.66919227</v>
      </c>
      <c r="BQ174" s="142">
        <f>EXP(-LN(2)/25)*BQ173+(1-EXP(-LN(2)/25))/(LN(2)/25)*Calculateur!BL174*Calculateur!BN174*VLOOKUP('Données projet'!$B$11,'Paramètres'!$A$1:$I$89,3,0)*0.475*44/12</f>
        <v>1.038354007</v>
      </c>
      <c r="BR174" s="142">
        <f>EXP(-LN(2)/2)*BR173+(1-EXP(-LN(2)/2))/(LN(2)/2)*BL174*BO174*VLOOKUP('Données projet'!$B$11,'Paramètres'!$A$1:$I$89,3,0)*0.475*44/12</f>
        <v>0</v>
      </c>
      <c r="BS174" s="143">
        <f t="shared" si="10"/>
        <v>23.70754627</v>
      </c>
      <c r="BT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1" t="str">
        <f>VLOOKUP(A174,'Données projet'!$A$113:$I$133,2,0)</f>
        <v>#N/A</v>
      </c>
      <c r="BW174" s="131" t="str">
        <f>VLOOKUP(A174,'Données projet'!$A$113:$I$133,9,0)</f>
        <v>#N/A</v>
      </c>
      <c r="BX174" s="131" t="str">
        <f t="array" ref="BX174">INDEX(BW:BW,MIN(IF(ISNUMBER(BW174:BW370),ROW(BW174:BW370),"")))</f>
        <v/>
      </c>
      <c r="BY174" s="130">
        <f>IF('Données projet'!$A$114&gt;35,BY173+BX174-CG173,IF(A174&lt;'Données projet'!$A$114,$BV$205^A174,IF(A174='Données projet'!$A$114,'Données projet'!$B$114,BY173+BX174-CG173)))</f>
        <v>0</v>
      </c>
      <c r="BZ174" s="130">
        <f>BY174*VLOOKUP('Données projet'!$B$12,'Paramètres'!$A$1:$I$89,3,0)*VLOOKUP('Données projet'!$B$12,'Paramètres'!$A$1:$I$89,5,0)</f>
        <v>0</v>
      </c>
      <c r="CA174" s="130" t="str">
        <f t="shared" si="40"/>
        <v>#NUM!</v>
      </c>
      <c r="CB174" s="141" t="str">
        <f t="shared" si="11"/>
        <v>#NUM!</v>
      </c>
      <c r="CC174" s="133" t="str">
        <f t="shared" si="12"/>
        <v>#NUM!</v>
      </c>
      <c r="CD174" s="133">
        <f>AVERAGE(OFFSET($CC$3,0,0,'Données projet'!$E$12+1,1))-AVERAGE(OFFSET($H$3,0,0,'Données projet'!$E$12+1,1))</f>
        <v>258.1672054</v>
      </c>
      <c r="CE174" s="133">
        <f t="shared" si="41"/>
        <v>296.0724261</v>
      </c>
      <c r="CF174" s="134">
        <f>IF(ISNA(VLOOKUP(A174,'Données projet'!$A$113:$I$133,3,0)),0,VLOOKUP(A174,'Données projet'!$A$113:$I$133,3,0))</f>
        <v>0</v>
      </c>
      <c r="CG174" s="134">
        <f>IF(ISNA(VLOOKUP(A174,'Données projet'!$A$113:$I$133,4,0)),0,VLOOKUP(A174,'Données projet'!$A$113:$I$133,4,0))</f>
        <v>0</v>
      </c>
      <c r="CH174" s="135">
        <f>IF(ISNA(VLOOKUP(A174,'Données projet'!$A$113:$I$133,5,0)),0%,VLOOKUP(A174,'Données projet'!$A$113:$I$133,5,0)*VLOOKUP('Données projet'!$B$12,'Paramètres'!$A$1:$I$89,7,0))</f>
        <v>0</v>
      </c>
      <c r="CI174" s="135">
        <f>IF(ISNA(VLOOKUP(A174,'Données projet'!$A$113:$I$133,6,0)),0%,VLOOKUP(A174,'Données projet'!$A$113:$I$133,6,0)*VLOOKUP('Données projet'!$B$12,'Paramètres'!$A$1:$I$89,7,0))</f>
        <v>0</v>
      </c>
      <c r="CJ174" s="135">
        <f>IF(ISNA(VLOOKUP(A174,'Données projet'!$A$113:$I$133,7,0)),0%,VLOOKUP(A174,'Données projet'!$A$113:$I$133,7,0))</f>
        <v>0</v>
      </c>
      <c r="CK174" s="142">
        <f>EXP(-LN(2)/35)*CK173+(1-EXP(-LN(2)/35))/(LN(2)/35)*CG174*CH174*VLOOKUP('Données projet'!$B$12,'Paramètres'!$A$1:$I$89,3,0)*0.475*44/12</f>
        <v>28.66079381</v>
      </c>
      <c r="CL174" s="142">
        <f>EXP(-LN(2)/25)*CL173+(1-EXP(-LN(2)/25))/(LN(2)/25)*Calculateur!CG174*Calculateur!CI174*VLOOKUP('Données projet'!$B$12,'Paramètres'!$A$1:$I$89,3,0)*0.475*44/12</f>
        <v>1.821331873</v>
      </c>
      <c r="CM174" s="142">
        <f>EXP(-LN(2)/2)*CM173+(1-EXP(-LN(2)/2))/(LN(2)/2)*CG174*CJ174*VLOOKUP('Données projet'!$B$12,'Paramètres'!$A$1:$I$89,3,0)*0.475*44/12</f>
        <v>0</v>
      </c>
      <c r="CN174" s="143">
        <f t="shared" si="13"/>
        <v>30.48212569</v>
      </c>
      <c r="CO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1" t="str">
        <f>VLOOKUP(A174,'Données projet'!$A$139:$I$159,2,0)</f>
        <v>#N/A</v>
      </c>
      <c r="CR174" s="131" t="str">
        <f>VLOOKUP(A174,'Données projet'!$A$139:$I$159,9,0)</f>
        <v>#N/A</v>
      </c>
      <c r="CS174" s="131" t="str">
        <f t="array" ref="CS174">INDEX(CR:CR,MIN(IF(ISNUMBER(CR174:CR370),ROW(CR174:CR370),"")))</f>
        <v/>
      </c>
      <c r="CT174" s="138">
        <f>IF('Données projet'!$A$140&gt;35,CT173+CS174-DB173,IF(A174&lt;'Données projet'!$A$140,$CQ$205^A174,IF(A174='Données projet'!$A$140,'Données projet'!$B$140,CT173+CS174-DB173)))</f>
        <v>0</v>
      </c>
      <c r="CU174" s="138">
        <f>CT174*VLOOKUP('Données projet'!$B$13,'Paramètres'!$A$1:$I$89,3,0)*VLOOKUP('Données projet'!$B$13,'Paramètres'!$A$1:$I$89,5,0)</f>
        <v>0</v>
      </c>
      <c r="CV174" s="130" t="str">
        <f t="shared" si="42"/>
        <v>#NUM!</v>
      </c>
      <c r="CW174" s="141" t="str">
        <f t="shared" si="14"/>
        <v>#NUM!</v>
      </c>
      <c r="CX174" s="133" t="str">
        <f t="shared" si="15"/>
        <v>#NUM!</v>
      </c>
      <c r="CY174" s="133">
        <f>AVERAGE(OFFSET($CX$3,0,0,'Données projet'!$E$13+1,1))-AVERAGE(OFFSET($H$3,0,0,'Données projet'!$E$13+1,1))</f>
        <v>223.783507</v>
      </c>
      <c r="CZ174" s="133">
        <f t="shared" si="43"/>
        <v>84.92349117</v>
      </c>
      <c r="DA174" s="134">
        <f>IF(ISNA(VLOOKUP(A174,'Données projet'!$A$139:$I$159,3,0)),0,VLOOKUP(A174,'Données projet'!$A$139:$I$159,3,0))</f>
        <v>0</v>
      </c>
      <c r="DB174" s="134">
        <f>IF(ISNA(VLOOKUP(A174,'Données projet'!$A$139:$I$159,4,0)),0,VLOOKUP(A174,'Données projet'!$A$139:$I$159,4,0))</f>
        <v>0</v>
      </c>
      <c r="DC174" s="135">
        <f>IF(ISNA(VLOOKUP(A174,'Données projet'!$A$139:$I$159,5,0)),0%,VLOOKUP(A174,'Données projet'!$A$139:$I$159,5,0)*VLOOKUP('Données projet'!$B$13,'Paramètres'!$A$1:$I$89,7,0))</f>
        <v>0</v>
      </c>
      <c r="DD174" s="135">
        <f>IF(ISNA(VLOOKUP(A174,'Données projet'!$A$139:$I$159,6,0)),0%,VLOOKUP(A174,'Données projet'!$A$139:$I$159,6,0)*VLOOKUP('Données projet'!$B$13,'Paramètres'!$A$1:$I$89,7,0))</f>
        <v>0</v>
      </c>
      <c r="DE174" s="135">
        <f>IF(ISNA(VLOOKUP(A174,'Données projet'!$A$139:$I$159,7,0)),0%,VLOOKUP(A174,'Données projet'!$A$139:$I$159,7,0))</f>
        <v>0</v>
      </c>
      <c r="DF174" s="142">
        <f>EXP(-LN(2)/35)*DF173+(1-EXP(-LN(2)/35))/(LN(2)/35)*DB174*DC174*VLOOKUP('Données projet'!$B$13,'Paramètres'!$A$1:$I$89,3,0)*0.475*44/12</f>
        <v>73.61216457</v>
      </c>
      <c r="DG174" s="142">
        <f>EXP(-LN(2)/25)*DG173+(1-EXP(-LN(2)/25))/(LN(2)/25)*Calculateur!DB174*Calculateur!DD174*VLOOKUP('Données projet'!$B$13,'Paramètres'!$A$1:$I$89,3,0)*0.475*44/12</f>
        <v>0</v>
      </c>
      <c r="DH174" s="142">
        <f>EXP(-LN(2)/2)*DH173+(1-EXP(-LN(2)/2))/(LN(2)/2)*DB174*DE174*VLOOKUP('Données projet'!$B$13,'Paramètres'!$A$1:$I$89,3,0)*0.475*44/12</f>
        <v>0</v>
      </c>
      <c r="DI174" s="143">
        <f t="shared" si="16"/>
        <v>73.61216457</v>
      </c>
      <c r="DJ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1" t="str">
        <f>VLOOKUP(A174,'Données projet'!$A$165:$I$185,2,0)</f>
        <v>#N/A</v>
      </c>
      <c r="DM174" s="131" t="str">
        <f>VLOOKUP(A174,'Données projet'!$A$165:$I$185,9,0)</f>
        <v>#N/A</v>
      </c>
      <c r="DN174" s="131" t="str">
        <f t="array" ref="DN174">INDEX(DM:DM,MIN(IF(ISNUMBER(DM174:DM370),ROW(DM174:DM370),"")))</f>
        <v/>
      </c>
      <c r="DO174" s="138">
        <f>IF('Données projet'!$A$166&gt;35,DO173+DN174-DW173,IF(A174&lt;'Données projet'!$A$166,$DL$205^A174,IF(A174='Données projet'!$A$166,'Données projet'!$B$166,DO173+DN174-DW173)))</f>
        <v>0</v>
      </c>
      <c r="DP174" s="138">
        <f>DO174*VLOOKUP('Données projet'!$B$14,'Paramètres'!$A$1:$I$89,3,0)*VLOOKUP('Données projet'!$B$14,'Paramètres'!$A$1:$I$89,5,0)</f>
        <v>0</v>
      </c>
      <c r="DQ174" s="130" t="str">
        <f t="shared" si="44"/>
        <v>#NUM!</v>
      </c>
      <c r="DR174" s="141" t="str">
        <f t="shared" si="17"/>
        <v>#NUM!</v>
      </c>
      <c r="DS174" s="133" t="str">
        <f t="shared" si="18"/>
        <v>#NUM!</v>
      </c>
      <c r="DT174" s="133">
        <f>AVERAGE(OFFSET($DS$3,0,0,'Données projet'!$E$14+1,1))-AVERAGE(OFFSET($H$3,0,0,'Données projet'!$E$14+1,1))</f>
        <v>287.9334714</v>
      </c>
      <c r="DU174" s="133">
        <f t="shared" si="45"/>
        <v>156.6796502</v>
      </c>
      <c r="DV174" s="134">
        <f>IF(ISNA(VLOOKUP(A174,'Données projet'!$A$165:$I$185,3,0)),0,VLOOKUP(A174,'Données projet'!$A$165:$I$185,3,0))</f>
        <v>0</v>
      </c>
      <c r="DW174" s="134">
        <f>IF(ISNA(VLOOKUP(A174,'Données projet'!$A$165:$I$185,4,0)),0,VLOOKUP(A174,'Données projet'!$A$165:$I$185,4,0))</f>
        <v>0</v>
      </c>
      <c r="DX174" s="135">
        <f>IF(ISNA(VLOOKUP(A174,'Données projet'!$A$165:$I$185,5,0)),0%,VLOOKUP(A174,'Données projet'!$A$165:$I$185,5,0)*VLOOKUP('Données projet'!$B$14,'Paramètres'!$A$1:$I$89,7,0))</f>
        <v>0</v>
      </c>
      <c r="DY174" s="135">
        <f>IF(ISNA(VLOOKUP(A174,'Données projet'!$A$165:$I$185,6,0)),0%,VLOOKUP(A174,'Données projet'!$A$165:$I$185,6,0)*VLOOKUP('Données projet'!$B$14,'Paramètres'!$A$1:$I$89,7,0))</f>
        <v>0</v>
      </c>
      <c r="DZ174" s="135">
        <f>IF(ISNA(VLOOKUP(A174,'Données projet'!$A$165:$I$185,7,0)),0%,VLOOKUP(A174,'Données projet'!$A$165:$I$185,7,0))</f>
        <v>0</v>
      </c>
      <c r="EA174" s="142">
        <f>EXP(-LN(2)/35)*EA173+(1-EXP(-LN(2)/35))/(LN(2)/35)*DW174*DX174*VLOOKUP('Données projet'!$B$14,'Paramètres'!$A$1:$I$89,3,0)*0.475*44/12</f>
        <v>85.51650556</v>
      </c>
      <c r="EB174" s="142">
        <f>EXP(-LN(2)/25)*EB173+(1-EXP(-LN(2)/25))/(LN(2)/25)*Calculateur!DW174*Calculateur!DY174*VLOOKUP('Données projet'!$B$14,'Paramètres'!$A$1:$I$89,3,0)*0.475*44/12</f>
        <v>0</v>
      </c>
      <c r="EC174" s="142">
        <f>EXP(-LN(2)/2)*EC173+(1-EXP(-LN(2)/2))/(LN(2)/2)*DW174*DZ174*VLOOKUP('Données projet'!$B$14,'Paramètres'!$A$1:$I$89,3,0)*0.475*44/12</f>
        <v>0</v>
      </c>
      <c r="ED174" s="143">
        <f t="shared" si="19"/>
        <v>85.51650556</v>
      </c>
      <c r="EE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1" t="str">
        <f>VLOOKUP(A174,'Données projet'!$A$191:$I$211,2,0)</f>
        <v>#N/A</v>
      </c>
      <c r="EH174" s="131" t="str">
        <f>VLOOKUP(A174,'Données projet'!$A$191:$I$211,9,0)</f>
        <v>#N/A</v>
      </c>
      <c r="EI174" s="131" t="str">
        <f t="array" ref="EI174">INDEX(EH:EH,MIN(IF(ISNUMBER(EH174:EH370),ROW(EH174:EH370),"")))</f>
        <v/>
      </c>
      <c r="EJ174" s="138">
        <f>IF('Données projet'!$A$192&gt;35,EJ173+EI174-ER173,IF(A174&lt;'Données projet'!$A$192,$EG$205^A174,IF(A174='Données projet'!$A$192,'Données projet'!$B$192,EJ173+EI174-ER173)))</f>
        <v>0</v>
      </c>
      <c r="EK174" s="138">
        <f>EJ174*VLOOKUP('Données projet'!$B$15,'Paramètres'!$A$1:$I$89,3,0)*VLOOKUP('Données projet'!$B$15,'Paramètres'!$A$1:$I$89,5,0)</f>
        <v>0</v>
      </c>
      <c r="EL174" s="130" t="str">
        <f t="shared" si="46"/>
        <v>#NUM!</v>
      </c>
      <c r="EM174" s="141" t="str">
        <f t="shared" si="20"/>
        <v>#NUM!</v>
      </c>
      <c r="EN174" s="133" t="str">
        <f t="shared" si="21"/>
        <v>#NUM!</v>
      </c>
      <c r="EO174" s="133">
        <f>AVERAGE(OFFSET($EN$3,0,0,'Données projet'!$E$15+1,1))-AVERAGE(OFFSET($H$3,0,0,'Données projet'!$E$15+1,1))</f>
        <v>130.3193339</v>
      </c>
      <c r="EP174" s="133">
        <f t="shared" si="47"/>
        <v>82.22784365</v>
      </c>
      <c r="EQ174" s="134">
        <f>IF(ISNA(VLOOKUP(A174,'Données projet'!$A$191:$I$211,3,0)),0,VLOOKUP(A174,'Données projet'!$A$191:$I$211,3,0))</f>
        <v>0</v>
      </c>
      <c r="ER174" s="134">
        <f>IF(ISNA(VLOOKUP(A174,'Données projet'!$A$191:$I$211,4,0)),0,VLOOKUP(A174,'Données projet'!$A$191:$I$211,4,0))</f>
        <v>0</v>
      </c>
      <c r="ES174" s="135">
        <f>IF(ISNA(VLOOKUP(A174,'Données projet'!$A$191:$I$211,5,0)),0%,VLOOKUP(A174,'Données projet'!$A$191:$I$211,5,0)*VLOOKUP('Données projet'!$B$15,'Paramètres'!$A$1:$I$89,7,0))</f>
        <v>0</v>
      </c>
      <c r="ET174" s="135">
        <f>IF(ISNA(VLOOKUP(A174,'Données projet'!$A$191:$I$211,6,0)),0%,VLOOKUP(A174,'Données projet'!$A$191:$I$211,6,0)*VLOOKUP('Données projet'!$B$15,'Paramètres'!$A$1:$I$89,7,0))</f>
        <v>0</v>
      </c>
      <c r="EU174" s="135">
        <f>IF(ISNA(VLOOKUP(A174,'Données projet'!$A$191:$I$211,7,0)),0%,VLOOKUP(A174,'Données projet'!$A$191:$I$211,7,0))</f>
        <v>0</v>
      </c>
      <c r="EV174" s="142">
        <f>EXP(-LN(2)/35)*EV173+(1-EXP(-LN(2)/35))/(LN(2)/35)*ER174*ES174*VLOOKUP('Données projet'!$B$15,'Paramètres'!$A$1:$I$89,3,0)*0.475*44/12</f>
        <v>17.5254825</v>
      </c>
      <c r="EW174" s="142">
        <f>EXP(-LN(2)/25)*EW173+(1-EXP(-LN(2)/25))/(LN(2)/25)*Calculateur!ER174*Calculateur!ET174*VLOOKUP('Données projet'!$B$15,'Paramètres'!$A$1:$I$89,3,0)*0.475*44/12</f>
        <v>0</v>
      </c>
      <c r="EX174" s="142">
        <f>EXP(-LN(2)/2)*EX173+(1-EXP(-LN(2)/2))/(LN(2)/2)*ER174*EU174*VLOOKUP('Données projet'!$B$15,'Paramètres'!$A$1:$I$89,3,0)*0.475*44/12</f>
        <v>0</v>
      </c>
      <c r="EY174" s="143">
        <f t="shared" si="22"/>
        <v>17.5254825</v>
      </c>
      <c r="EZ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1" t="str">
        <f>VLOOKUP(A174,'Données projet'!$A$217:$I$237,2,0)</f>
        <v>#N/A</v>
      </c>
      <c r="FC174" s="131" t="str">
        <f>VLOOKUP(A174,'Données projet'!$A$217:$I$237,9,0)</f>
        <v>#N/A</v>
      </c>
      <c r="FD174" s="131" t="str">
        <f t="array" ref="FD174">INDEX(FC:FC,MIN(IF(ISNUMBER(FC174:FC370),ROW(FC174:FC370),"")))</f>
        <v/>
      </c>
      <c r="FE174" s="130">
        <f>IF('Données projet'!$A$218&gt;35,FE173+FD174-FM173,IF(A174&lt;'Données projet'!$A$218,$FB$205^A174,IF(A174='Données projet'!$A$218,'Données projet'!$B$218,FE173+FD174-FM173)))</f>
        <v>0</v>
      </c>
      <c r="FF174" s="138">
        <f>FE174*VLOOKUP('Données projet'!$B$16,'Paramètres'!$A$1:$I$89,3,0)*VLOOKUP('Données projet'!$B$16,'Paramètres'!$A$1:$I$89,5,0)</f>
        <v>0</v>
      </c>
      <c r="FG174" s="130">
        <f t="shared" si="48"/>
        <v>0</v>
      </c>
      <c r="FH174" s="141">
        <f t="shared" si="23"/>
        <v>0</v>
      </c>
      <c r="FI174" s="133">
        <f t="shared" si="24"/>
        <v>293.3333333</v>
      </c>
      <c r="FJ174" s="133">
        <f>AVERAGE(OFFSET($FI$3,0,0,'Données projet'!$E$16+1,1))-AVERAGE(OFFSET($H$3,0,0,'Données projet'!$E$16+1,1))</f>
        <v>305.6252353</v>
      </c>
      <c r="FK174" s="133">
        <f t="shared" si="49"/>
        <v>331.397916</v>
      </c>
      <c r="FL174" s="134">
        <f>IF(ISNA(VLOOKUP(A174,'Données projet'!$A$217:$I$237,3,0)),0,VLOOKUP(A174,'Données projet'!$A$217:$I$237,3,0))</f>
        <v>0</v>
      </c>
      <c r="FM174" s="134">
        <f>IF(ISNA(VLOOKUP(A174,'Données projet'!$A$217:$I$237,4,0)),0,VLOOKUP(A174,'Données projet'!$A$217:$I$237,4,0))</f>
        <v>0</v>
      </c>
      <c r="FN174" s="135">
        <f>IF(ISNA(VLOOKUP(A174,'Données projet'!$A$217:$I$237,5,0)),0%,VLOOKUP(A174,'Données projet'!$A$217:$I$237,5,0)*VLOOKUP('Données projet'!$B$16,'Paramètres'!$A$1:$I$89,7,0))</f>
        <v>0</v>
      </c>
      <c r="FO174" s="135">
        <f>IF(ISNA(VLOOKUP(A174,'Données projet'!$A$217:$I$237,6,0)),0%,VLOOKUP(A174,'Données projet'!$A$217:$I$237,6,0)*VLOOKUP('Données projet'!$B$16,'Paramètres'!$A$1:$I$89,7,0))</f>
        <v>0</v>
      </c>
      <c r="FP174" s="135">
        <f>IF(ISNA(VLOOKUP(A174,'Données projet'!$A$217:$I$237,7,0)),0%,VLOOKUP(A174,'Données projet'!$A$217:$I$237,7,0))</f>
        <v>0</v>
      </c>
      <c r="FQ174" s="142">
        <f>EXP(-LN(2)/35)*FQ173+(1-EXP(-LN(2)/35))/(LN(2)/35)*FM174*FN174*VLOOKUP('Données projet'!$B$16,'Paramètres'!$A$1:$I$89,3,0)*0.475*44/12</f>
        <v>10.91188916</v>
      </c>
      <c r="FR174" s="142">
        <f>EXP(-LN(2)/25)*FR173+(1-EXP(-LN(2)/25))/(LN(2)/25)*Calculateur!FM174*Calculateur!FO174*VLOOKUP('Données projet'!$B$16,'Paramètres'!$A$1:$I$89,3,0)*0.475*44/12</f>
        <v>0</v>
      </c>
      <c r="FS174" s="142">
        <f>EXP(-LN(2)/2)*FS173+(1-EXP(-LN(2)/2))/(LN(2)/2)*FM174*FP174*VLOOKUP('Données projet'!$B$16,'Paramètres'!$A$1:$I$89,3,0)*0.475*44/12</f>
        <v>0</v>
      </c>
      <c r="FT174" s="143">
        <f t="shared" si="25"/>
        <v>10.91188916</v>
      </c>
      <c r="FU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1" t="str">
        <f>VLOOKUP(A174,'Données projet'!$A$243:$I$263,2,0)</f>
        <v>#N/A</v>
      </c>
      <c r="FX174" s="131" t="str">
        <f>VLOOKUP(A174,'Données projet'!$A$243:$I$263,9,0)</f>
        <v>#N/A</v>
      </c>
      <c r="FY174" s="131" t="str">
        <f t="array" ref="FY174">INDEX(FX:FX,MIN(IF(ISNUMBER(FX174:FX370),ROW(FX174:FX370),"")))</f>
        <v/>
      </c>
      <c r="FZ174" s="138">
        <f>IF('Données projet'!$A$244&gt;35,FZ173+FY174-GH173,IF(A174&lt;'Données projet'!$A$244,$FW$205^A174,IF(A174='Données projet'!$A$244,'Données projet'!$B$244,FZ173+FY174-GH173)))</f>
        <v>0</v>
      </c>
      <c r="GA174" s="138">
        <f>FZ174*VLOOKUP('Données projet'!$B$17,'Paramètres'!$A$1:$I$89,3,0)*VLOOKUP('Données projet'!$B$17,'Paramètres'!$A$1:$I$89,5,0)</f>
        <v>0</v>
      </c>
      <c r="GB174" s="130">
        <f t="shared" si="50"/>
        <v>0</v>
      </c>
      <c r="GC174" s="141">
        <f t="shared" si="26"/>
        <v>0</v>
      </c>
      <c r="GD174" s="133">
        <f t="shared" si="27"/>
        <v>293.3333333</v>
      </c>
      <c r="GE174" s="133">
        <f>AVERAGE(OFFSET($GD$3,0,0,'Données projet'!$E$17+1,1))-AVERAGE(OFFSET($H$3,0,0,'Données projet'!$E$17+1,1))</f>
        <v>118.7368745</v>
      </c>
      <c r="GF174" s="133">
        <f t="shared" si="51"/>
        <v>135.1233677</v>
      </c>
      <c r="GG174" s="134">
        <f>IF(ISNA(VLOOKUP(A174,'Données projet'!$A$243:$I$263,3,0)),0,VLOOKUP(A174,'Données projet'!$A$243:$I$263,3,0))</f>
        <v>0</v>
      </c>
      <c r="GH174" s="134">
        <f>IF(ISNA(VLOOKUP(A174,'Données projet'!$A$243:$I$263,4,0)),0,VLOOKUP(A174,'Données projet'!$A$243:$I$263,4,0))</f>
        <v>0</v>
      </c>
      <c r="GI174" s="135">
        <f>IF(ISNA(VLOOKUP(A174,'Données projet'!$A$243:$I$263,5,0)),0%,VLOOKUP(A174,'Données projet'!$A$243:$I$263,5,0)*VLOOKUP('Données projet'!$B$17,'Paramètres'!$A$1:$I$89,7,0))</f>
        <v>0</v>
      </c>
      <c r="GJ174" s="135">
        <f>IF(ISNA(VLOOKUP(A174,'Données projet'!$A$243:$I$263,6,0)),0%,VLOOKUP(A174,'Données projet'!$A$243:$I$263,6,0)*VLOOKUP('Données projet'!$B$17,'Paramètres'!$A$1:$I$89,7,0))</f>
        <v>0</v>
      </c>
      <c r="GK174" s="135">
        <f>IF(ISNA(VLOOKUP(A174,'Données projet'!$A$243:$I$263,7,0)),0%,VLOOKUP(A174,'Données projet'!$A$243:$I$263,7,0))</f>
        <v>0</v>
      </c>
      <c r="GL174" s="142">
        <f>EXP(-LN(2)/35)*GL173+(1-EXP(-LN(2)/35))/(LN(2)/35)*GH174*GI174*VLOOKUP('Données projet'!$B$17,'Paramètres'!$A$1:$I$89,3,0)*0.475*44/12</f>
        <v>11.52837715</v>
      </c>
      <c r="GM174" s="142">
        <f>EXP(-LN(2)/25)*GM173+(1-EXP(-LN(2)/25))/(LN(2)/25)*Calculateur!GH174*Calculateur!GJ174*VLOOKUP('Données projet'!$B$17,'Paramètres'!$A$1:$I$89,3,0)*0.475*44/12</f>
        <v>0</v>
      </c>
      <c r="GN174" s="142">
        <f>EXP(-LN(2)/2)*GN173+(1-EXP(-LN(2)/2))/(LN(2)/2)*GH174*GK174*VLOOKUP('Données projet'!$B$17,'Paramètres'!$A$1:$I$89,3,0)*0.475*44/12</f>
        <v>0</v>
      </c>
      <c r="GO174" s="142">
        <f t="shared" si="28"/>
        <v>11.52837715</v>
      </c>
      <c r="GP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1" t="str">
        <f>VLOOKUP(A174,'Données projet'!$A$269:$I$289,2,0)</f>
        <v>#N/A</v>
      </c>
      <c r="GS174" s="131" t="str">
        <f>VLOOKUP(A174,'Données projet'!$A$269:$I$289,9,0)</f>
        <v>#N/A</v>
      </c>
      <c r="GT174" s="131" t="str">
        <f t="array" ref="GT174">INDEX(GS:GS,MIN(IF(ISNUMBER(GS174:GS370),ROW(GS174:GS370),"")))</f>
        <v/>
      </c>
      <c r="GU174" s="138">
        <f>IF('Données projet'!$A$270&gt;35,GU173+GT174-HC173,IF(A174&lt;'Données projet'!$A$270,$GR$205^A174,IF(A174='Données projet'!$A$270,'Données projet'!$B$270,GU173+GT174-HC173)))</f>
        <v>0</v>
      </c>
      <c r="GV174" s="138">
        <f>GU174*VLOOKUP('Données projet'!$B$18,'Paramètres'!$A$1:$I$89,3,0)*VLOOKUP('Données projet'!$B$18,'Paramètres'!$A$1:$I$89,5,0)</f>
        <v>0</v>
      </c>
      <c r="GW174" s="130" t="str">
        <f t="shared" si="52"/>
        <v>#NUM!</v>
      </c>
      <c r="GX174" s="141" t="str">
        <f t="shared" si="29"/>
        <v>#NUM!</v>
      </c>
      <c r="GY174" s="133" t="str">
        <f t="shared" si="30"/>
        <v>#NUM!</v>
      </c>
      <c r="GZ174" s="133">
        <f>AVERAGE(OFFSET($GY$3,0,0,'Données projet'!$E$18+1,1))-AVERAGE(OFFSET($H$3,0,0,'Données projet'!$E$18+1,1))</f>
        <v>100.5427875</v>
      </c>
      <c r="HA174" s="133">
        <f t="shared" si="53"/>
        <v>92.28663609</v>
      </c>
      <c r="HB174" s="134">
        <f>IF(ISNA(VLOOKUP(A174,'Données projet'!$A$269:$I$289,3,0)),0,VLOOKUP(A174,'Données projet'!$A$269:$I$289,3,0))</f>
        <v>0</v>
      </c>
      <c r="HC174" s="134">
        <f>IF(ISNA(VLOOKUP(A174,'Données projet'!$A$269:$I$289,4,0)),0,VLOOKUP(A174,'Données projet'!$A$269:$I$289,4,0))</f>
        <v>0</v>
      </c>
      <c r="HD174" s="135">
        <f>IF(ISNA(VLOOKUP(A174,'Données projet'!$A$269:$I$289,5,0)),0%,VLOOKUP(A174,'Données projet'!$A$269:$I$289,5,0)*VLOOKUP('Données projet'!$B$18,'Paramètres'!$A$1:$I$89,7,0))</f>
        <v>0</v>
      </c>
      <c r="HE174" s="135">
        <f>IF(ISNA(VLOOKUP(A174,'Données projet'!$A$269:$I$289,6,0)),0%,VLOOKUP(A174,'Données projet'!$A$269:$I$289,6,0)*VLOOKUP('Données projet'!$B$18,'Paramètres'!$A$1:$I$89,7,0))</f>
        <v>0</v>
      </c>
      <c r="HF174" s="135">
        <f>IF(ISNA(VLOOKUP(A174,'Données projet'!$A$269:$I$289,7,0)),0%,VLOOKUP(A174,'Données projet'!$A$269:$I$289,7,0))</f>
        <v>0</v>
      </c>
      <c r="HG174" s="142">
        <f>EXP(-LN(2)/35)*HG173+(1-EXP(-LN(2)/35))/(LN(2)/35)*HC174*HD174*VLOOKUP('Données projet'!$B$18,'Paramètres'!$A$1:$I$89,3,0)*0.475*44/12</f>
        <v>7.850581637</v>
      </c>
      <c r="HH174" s="142">
        <f>EXP(-LN(2)/25)*HH173+(1-EXP(-LN(2)/25))/(LN(2)/25)*Calculateur!HC174*Calculateur!HE174*VLOOKUP('Données projet'!$B$18,'Paramètres'!$A$1:$I$89,3,0)*0.475*44/12</f>
        <v>0</v>
      </c>
      <c r="HI174" s="142">
        <f>EXP(-LN(2)/2)*HI173+(1-EXP(-LN(2)/2))/(LN(2)/2)*HC174*HF174*VLOOKUP('Données projet'!$B$18,'Paramètres'!$A$1:$I$89,3,0)*0.475*44/12</f>
        <v>0</v>
      </c>
      <c r="HJ174" s="143">
        <f t="shared" si="31"/>
        <v>7.850581637</v>
      </c>
    </row>
    <row r="175" ht="15.75" customHeight="1">
      <c r="A175" s="125">
        <f t="shared" si="32"/>
        <v>172</v>
      </c>
      <c r="B175" s="126">
        <f>'Scénario référence'!$B$16*5+'Scénario référence'!$B$17*0+'Scénario référence'!$B$18*5</f>
        <v>0</v>
      </c>
      <c r="C175" s="140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93.912</v>
      </c>
      <c r="D175" s="127">
        <f t="shared" si="33"/>
        <v>25.50635616</v>
      </c>
      <c r="E17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7">
        <f>IF(OR('Scénario référence'!$F$8&gt;0,'Scénario référence'!$F$9&gt;0),('Scénario référence'!$F$8+'Scénario référence'!$F$9)*10,0)</f>
        <v>10</v>
      </c>
      <c r="G175" s="127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921.8259072</v>
      </c>
      <c r="H175" s="128">
        <f t="shared" si="1"/>
        <v>501.3203036</v>
      </c>
      <c r="I175" s="12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1" t="str">
        <f>VLOOKUP(A175,'Données projet'!$A$35:$I$55,2,0)</f>
        <v>#N/A</v>
      </c>
      <c r="L175" s="131" t="str">
        <f>VLOOKUP(A175,'Données projet'!$A$35:$I$55,9,0)</f>
        <v>#N/A</v>
      </c>
      <c r="M175" s="131" t="str">
        <f t="array" ref="M175">INDEX(L:L,MIN(IF(ISNUMBER(L175:L371),ROW(L175:L371),"")))</f>
        <v/>
      </c>
      <c r="N175" s="130">
        <f>IF('Données projet'!$A$36&gt;35,N174+M175-V174,IF(A175&lt;'Données projet'!$A$36,$K$205^A175,IF(A175='Données projet'!$A$36,'Données projet'!$B$36,N174+M175-V174)))</f>
        <v>0</v>
      </c>
      <c r="O175" s="130">
        <f>N175*VLOOKUP('Données projet'!$B$9,'Paramètres'!$A$1:$I$89,3,0)*VLOOKUP('Données projet'!$B$9,'Paramètres'!$A$1:$I$89,5,0)</f>
        <v>0</v>
      </c>
      <c r="P175" s="130">
        <f t="shared" si="34"/>
        <v>0</v>
      </c>
      <c r="Q175" s="141">
        <f t="shared" si="2"/>
        <v>0</v>
      </c>
      <c r="R175" s="133">
        <f t="shared" si="3"/>
        <v>293.3333333</v>
      </c>
      <c r="S175" s="133">
        <f>AVERAGE(OFFSET($R$3,0,0,'Données projet'!$E$9+1,1))-AVERAGE(OFFSET($H$3,0,0,'Données projet'!$E$9+1,1))</f>
        <v>126.9946492</v>
      </c>
      <c r="T175" s="133">
        <f t="shared" si="35"/>
        <v>140.039049</v>
      </c>
      <c r="U175" s="134">
        <f>IF(ISNA(VLOOKUP(A175,'Données projet'!$A$35:$I$55,3,0)),0,VLOOKUP(A175,'Données projet'!$A$35:$I$55,3,0))</f>
        <v>0</v>
      </c>
      <c r="V175" s="134">
        <f>IF(ISNA(VLOOKUP(A175,'Données projet'!$A$35:$I$55,4,0)),0,VLOOKUP(A175,'Données projet'!$A$35:$I$55,4,0))</f>
        <v>0</v>
      </c>
      <c r="W175" s="135">
        <f>IF(ISNA(VLOOKUP(A175,'Données projet'!$A$35:$I$55,5,0)),0%,VLOOKUP(A175,'Données projet'!$A$35:$I$55,5,0)*VLOOKUP('Données projet'!$B$9,'Paramètres'!$A$1:$I$89,7,0))</f>
        <v>0</v>
      </c>
      <c r="X175" s="135">
        <f>IF(ISNA(VLOOKUP(A175,'Données projet'!$A$35:$I$55,6,0)),0%,VLOOKUP(A175,'Données projet'!$A$35:$I$55,6,0)*VLOOKUP('Données projet'!$B$9,'Paramètres'!$A$1:$I$89,7,0))</f>
        <v>0</v>
      </c>
      <c r="Y175" s="135">
        <f>IF(ISNA(VLOOKUP(A175,'Données projet'!$A$35:$I$55,7,0)),0%,VLOOKUP(A175,'Données projet'!$A$35:$I$55,7,0))</f>
        <v>0</v>
      </c>
      <c r="Z175" s="142">
        <f>EXP(-LN(2)/35)*Z174+(1-EXP(-LN(2)/35))/(LN(2)/35)*V175*W175*VLOOKUP('Données projet'!$B$9,'Paramètres'!$A$1:$I$89,3,0)*0.475*44/12</f>
        <v>11.55974997</v>
      </c>
      <c r="AA175" s="142">
        <f>EXP(-LN(2)/25)*AA174+(1-EXP(-LN(2)/25))/(LN(2)/25)*Calculateur!V175*Calculateur!X175*VLOOKUP('Données projet'!$B$9,'Paramètres'!$A$1:$I$89,3,0)*0.475*44/12</f>
        <v>1.041349387</v>
      </c>
      <c r="AB175" s="142">
        <f>EXP(-LN(2)/2)*AB174+(1-EXP(-LN(2)/2))/(LN(2)/2)*V175*Y175*VLOOKUP('Données projet'!$B$9,'Paramètres'!$A$1:$I$89,3,0)*0.475*44/12</f>
        <v>0</v>
      </c>
      <c r="AC175" s="143">
        <f t="shared" si="4"/>
        <v>12.60109935</v>
      </c>
      <c r="AD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1" t="str">
        <f>VLOOKUP(A175,'Données projet'!$A$61:$I$81,2,0)</f>
        <v>#N/A</v>
      </c>
      <c r="AG175" s="131" t="str">
        <f>VLOOKUP(A175,'Données projet'!$A$61:$I$81,9,0)</f>
        <v>#N/A</v>
      </c>
      <c r="AH175" s="131" t="str">
        <f t="array" ref="AH175">INDEX(AG:AG,MIN(IF(ISNUMBER(AG175:AG371),ROW(AG175:AG371),"")))</f>
        <v/>
      </c>
      <c r="AI175" s="130">
        <f>IF('Données projet'!$A$62&gt;35,AI174+AH175-AQ174,IF(A175&lt;'Données projet'!$A$62,$AF$205^A175,IF(A175='Données projet'!$A$62,'Données projet'!$B$62,AI174+AH175-AQ174)))</f>
        <v>0</v>
      </c>
      <c r="AJ175" s="130">
        <f>AI175*VLOOKUP('Données projet'!$B$10,'Paramètres'!$A$1:$I$89,3,0)*VLOOKUP('Données projet'!$B$10,'Paramètres'!$A$1:$I$89,5,0)</f>
        <v>0</v>
      </c>
      <c r="AK175" s="130" t="str">
        <f t="shared" si="36"/>
        <v>#NUM!</v>
      </c>
      <c r="AL175" s="141" t="str">
        <f t="shared" si="5"/>
        <v>#NUM!</v>
      </c>
      <c r="AM175" s="133" t="str">
        <f t="shared" si="6"/>
        <v>#NUM!</v>
      </c>
      <c r="AN175" s="133">
        <f>AVERAGE(OFFSET($AM$3,0,0,'Données projet'!$E$10+1,1))-AVERAGE(OFFSET($H$3,0,0,'Données projet'!$E$10+1,1))</f>
        <v>196.874484</v>
      </c>
      <c r="AO175" s="133">
        <f t="shared" si="37"/>
        <v>217.5750859</v>
      </c>
      <c r="AP175" s="134">
        <f>IF(ISNA(VLOOKUP(A175,'Données projet'!$A$61:$I$81,3,0)),0,VLOOKUP(A175,'Données projet'!$A$61:$I$81,3,0))</f>
        <v>0</v>
      </c>
      <c r="AQ175" s="134">
        <f>IF(ISNA(VLOOKUP(A175,'Données projet'!$A$61:$I$81,4,0)),0,VLOOKUP(A175,'Données projet'!$A$61:$I$81,4,0))</f>
        <v>0</v>
      </c>
      <c r="AR175" s="135">
        <f>IF(ISNA(VLOOKUP(A175,'Données projet'!$A$61:$I$81,5,0)),0%,VLOOKUP(A175,'Données projet'!$A$61:$I$81,5,0)*VLOOKUP('Données projet'!$B$10,'Paramètres'!$A$1:$I$89,7,0))</f>
        <v>0</v>
      </c>
      <c r="AS175" s="135">
        <f>IF(ISNA(VLOOKUP(A175,'Données projet'!$A$61:$I$81,6,0)),0%,VLOOKUP(A175,'Données projet'!$A$61:$I$81,6,0)*VLOOKUP('Données projet'!$B$10,'Paramètres'!$A$1:$I$89,7,0))</f>
        <v>0</v>
      </c>
      <c r="AT175" s="135">
        <f>IF(ISNA(VLOOKUP(A175,'Données projet'!$A$61:$I$81,7,0)),0%,VLOOKUP(A175,'Données projet'!$A$61:$I$81,7,0))</f>
        <v>0</v>
      </c>
      <c r="AU175" s="142">
        <f>EXP(-LN(2)/35)*AU174+(1-EXP(-LN(2)/35))/(LN(2)/35)*AQ175*AR175*VLOOKUP('Données projet'!$B$10,'Paramètres'!$A$1:$I$89,3,0)*0.475*44/12</f>
        <v>16.06772411</v>
      </c>
      <c r="AV175" s="142">
        <f>EXP(-LN(2)/25)*AV174+(1-EXP(-LN(2)/25))/(LN(2)/25)*Calculateur!AQ175*Calculateur!AS175*VLOOKUP('Données projet'!$B$10,'Paramètres'!$A$1:$I$89,3,0)*0.475*44/12</f>
        <v>1.601076074</v>
      </c>
      <c r="AW175" s="142">
        <f>EXP(-LN(2)/2)*AW174+(1-EXP(-LN(2)/2))/(LN(2)/2)*AQ175*AT175*VLOOKUP('Données projet'!$B$10,'Paramètres'!$A$1:$I$89,3,0)*0.475*44/12</f>
        <v>0</v>
      </c>
      <c r="AX175" s="142">
        <f t="shared" si="7"/>
        <v>17.66880019</v>
      </c>
      <c r="AY175" s="13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1" t="str">
        <f>VLOOKUP(A175,'Données projet'!$A$87:$I$107,2,0)</f>
        <v>#N/A</v>
      </c>
      <c r="BB175" s="131" t="str">
        <f>VLOOKUP(A175,'Données projet'!$A$87:$I$107,9,0)</f>
        <v>#N/A</v>
      </c>
      <c r="BC175" s="131" t="str">
        <f t="array" ref="BC175">INDEX(BB:BB,MIN(IF(ISNUMBER(BB175:BB371),ROW(BB175:BB371),"")))</f>
        <v/>
      </c>
      <c r="BD175" s="130">
        <f>IF('Données projet'!$A$88&gt;35,BD174+BC175-BL174,IF(A175&lt;'Données projet'!$A$88,$BA$205^A175,IF(A175='Données projet'!$A$88,'Données projet'!$B$88,BD174+BC175-BL174)))</f>
        <v>0</v>
      </c>
      <c r="BE175" s="130">
        <f>BD175*VLOOKUP('Données projet'!$B$11,'Paramètres'!$A$1:$I$89,3,0)*VLOOKUP('Données projet'!$B$11,'Paramètres'!$A$1:$I$89,5,0)</f>
        <v>0</v>
      </c>
      <c r="BF175" s="130" t="str">
        <f t="shared" si="38"/>
        <v>#NUM!</v>
      </c>
      <c r="BG175" s="141" t="str">
        <f t="shared" si="8"/>
        <v>#NUM!</v>
      </c>
      <c r="BH175" s="133" t="str">
        <f t="shared" si="9"/>
        <v>#NUM!</v>
      </c>
      <c r="BI175" s="133">
        <f>AVERAGE(OFFSET($BH$3,0,0,'Données projet'!$E$11+1,1))-AVERAGE(OFFSET($H$3,0,0,'Données projet'!$E$11+1,1))</f>
        <v>134.0948534</v>
      </c>
      <c r="BJ175" s="133">
        <f t="shared" si="39"/>
        <v>108.4102536</v>
      </c>
      <c r="BK175" s="134">
        <f>IF(ISNA(VLOOKUP(A175,'Données projet'!$A$87:$I$107,3,0)),0,VLOOKUP(A175,'Données projet'!$A$87:$I$107,3,0))</f>
        <v>0</v>
      </c>
      <c r="BL175" s="134">
        <f>IF(ISNA(VLOOKUP(A175,'Données projet'!$A$87:$I$107,4,0)),0,VLOOKUP(A175,'Données projet'!$A$87:$I$107,4,0))</f>
        <v>0</v>
      </c>
      <c r="BM175" s="135">
        <f>IF(ISNA(VLOOKUP(A175,'Données projet'!$A$87:$I$107,5,0)),0%,VLOOKUP(A175,'Données projet'!$A$87:$I$107,5,0)*VLOOKUP('Données projet'!$B$11,'Paramètres'!$A$1:$I$89,7,0))</f>
        <v>0</v>
      </c>
      <c r="BN175" s="135">
        <f>IF(ISNA(VLOOKUP(A175,'Données projet'!$A$87:$I$107,6,0)),0%,VLOOKUP(A175,'Données projet'!$A$87:$I$107,6,0)*VLOOKUP('Données projet'!$B$11,'Paramètres'!$A$1:$I$89,7,0))</f>
        <v>0</v>
      </c>
      <c r="BO175" s="135">
        <f>IF(ISNA(VLOOKUP(A175,'Données projet'!$A$87:$I$107,7,0)),0%,VLOOKUP(A175,'Données projet'!$A$87:$I$107,7,0))</f>
        <v>0</v>
      </c>
      <c r="BP175" s="142">
        <f>EXP(-LN(2)/35)*BP174+(1-EXP(-LN(2)/35))/(LN(2)/35)*BL175*BM175*VLOOKUP('Données projet'!$B$11,'Paramètres'!$A$1:$I$89,3,0)*0.475*44/12</f>
        <v>22.22466323</v>
      </c>
      <c r="BQ175" s="142">
        <f>EXP(-LN(2)/25)*BQ174+(1-EXP(-LN(2)/25))/(LN(2)/25)*Calculateur!BL175*Calculateur!BN175*VLOOKUP('Données projet'!$B$11,'Paramètres'!$A$1:$I$89,3,0)*0.475*44/12</f>
        <v>1.009960162</v>
      </c>
      <c r="BR175" s="142">
        <f>EXP(-LN(2)/2)*BR174+(1-EXP(-LN(2)/2))/(LN(2)/2)*BL175*BO175*VLOOKUP('Données projet'!$B$11,'Paramètres'!$A$1:$I$89,3,0)*0.475*44/12</f>
        <v>0</v>
      </c>
      <c r="BS175" s="143">
        <f t="shared" si="10"/>
        <v>23.23462339</v>
      </c>
      <c r="BT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1" t="str">
        <f>VLOOKUP(A175,'Données projet'!$A$113:$I$133,2,0)</f>
        <v>#N/A</v>
      </c>
      <c r="BW175" s="131" t="str">
        <f>VLOOKUP(A175,'Données projet'!$A$113:$I$133,9,0)</f>
        <v>#N/A</v>
      </c>
      <c r="BX175" s="131" t="str">
        <f t="array" ref="BX175">INDEX(BW:BW,MIN(IF(ISNUMBER(BW175:BW371),ROW(BW175:BW371),"")))</f>
        <v/>
      </c>
      <c r="BY175" s="130">
        <f>IF('Données projet'!$A$114&gt;35,BY174+BX175-CG174,IF(A175&lt;'Données projet'!$A$114,$BV$205^A175,IF(A175='Données projet'!$A$114,'Données projet'!$B$114,BY174+BX175-CG174)))</f>
        <v>0</v>
      </c>
      <c r="BZ175" s="130">
        <f>BY175*VLOOKUP('Données projet'!$B$12,'Paramètres'!$A$1:$I$89,3,0)*VLOOKUP('Données projet'!$B$12,'Paramètres'!$A$1:$I$89,5,0)</f>
        <v>0</v>
      </c>
      <c r="CA175" s="130" t="str">
        <f t="shared" si="40"/>
        <v>#NUM!</v>
      </c>
      <c r="CB175" s="141" t="str">
        <f t="shared" si="11"/>
        <v>#NUM!</v>
      </c>
      <c r="CC175" s="133" t="str">
        <f t="shared" si="12"/>
        <v>#NUM!</v>
      </c>
      <c r="CD175" s="133">
        <f>AVERAGE(OFFSET($CC$3,0,0,'Données projet'!$E$12+1,1))-AVERAGE(OFFSET($H$3,0,0,'Données projet'!$E$12+1,1))</f>
        <v>258.1672054</v>
      </c>
      <c r="CE175" s="133">
        <f t="shared" si="41"/>
        <v>296.0724261</v>
      </c>
      <c r="CF175" s="134">
        <f>IF(ISNA(VLOOKUP(A175,'Données projet'!$A$113:$I$133,3,0)),0,VLOOKUP(A175,'Données projet'!$A$113:$I$133,3,0))</f>
        <v>0</v>
      </c>
      <c r="CG175" s="134">
        <f>IF(ISNA(VLOOKUP(A175,'Données projet'!$A$113:$I$133,4,0)),0,VLOOKUP(A175,'Données projet'!$A$113:$I$133,4,0))</f>
        <v>0</v>
      </c>
      <c r="CH175" s="135">
        <f>IF(ISNA(VLOOKUP(A175,'Données projet'!$A$113:$I$133,5,0)),0%,VLOOKUP(A175,'Données projet'!$A$113:$I$133,5,0)*VLOOKUP('Données projet'!$B$12,'Paramètres'!$A$1:$I$89,7,0))</f>
        <v>0</v>
      </c>
      <c r="CI175" s="135">
        <f>IF(ISNA(VLOOKUP(A175,'Données projet'!$A$113:$I$133,6,0)),0%,VLOOKUP(A175,'Données projet'!$A$113:$I$133,6,0)*VLOOKUP('Données projet'!$B$12,'Paramètres'!$A$1:$I$89,7,0))</f>
        <v>0</v>
      </c>
      <c r="CJ175" s="135">
        <f>IF(ISNA(VLOOKUP(A175,'Données projet'!$A$113:$I$133,7,0)),0%,VLOOKUP(A175,'Données projet'!$A$113:$I$133,7,0))</f>
        <v>0</v>
      </c>
      <c r="CK175" s="142">
        <f>EXP(-LN(2)/35)*CK174+(1-EXP(-LN(2)/35))/(LN(2)/35)*CG175*CH175*VLOOKUP('Données projet'!$B$12,'Paramètres'!$A$1:$I$89,3,0)*0.475*44/12</f>
        <v>28.09877313</v>
      </c>
      <c r="CL175" s="142">
        <f>EXP(-LN(2)/25)*CL174+(1-EXP(-LN(2)/25))/(LN(2)/25)*Calculateur!CG175*Calculateur!CI175*VLOOKUP('Données projet'!$B$12,'Paramètres'!$A$1:$I$89,3,0)*0.475*44/12</f>
        <v>1.771527457</v>
      </c>
      <c r="CM175" s="142">
        <f>EXP(-LN(2)/2)*CM174+(1-EXP(-LN(2)/2))/(LN(2)/2)*CG175*CJ175*VLOOKUP('Données projet'!$B$12,'Paramètres'!$A$1:$I$89,3,0)*0.475*44/12</f>
        <v>0</v>
      </c>
      <c r="CN175" s="143">
        <f t="shared" si="13"/>
        <v>29.87030058</v>
      </c>
      <c r="CO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1" t="str">
        <f>VLOOKUP(A175,'Données projet'!$A$139:$I$159,2,0)</f>
        <v>#N/A</v>
      </c>
      <c r="CR175" s="131" t="str">
        <f>VLOOKUP(A175,'Données projet'!$A$139:$I$159,9,0)</f>
        <v>#N/A</v>
      </c>
      <c r="CS175" s="131" t="str">
        <f t="array" ref="CS175">INDEX(CR:CR,MIN(IF(ISNUMBER(CR175:CR371),ROW(CR175:CR371),"")))</f>
        <v/>
      </c>
      <c r="CT175" s="138">
        <f>IF('Données projet'!$A$140&gt;35,CT174+CS175-DB174,IF(A175&lt;'Données projet'!$A$140,$CQ$205^A175,IF(A175='Données projet'!$A$140,'Données projet'!$B$140,CT174+CS175-DB174)))</f>
        <v>0</v>
      </c>
      <c r="CU175" s="138">
        <f>CT175*VLOOKUP('Données projet'!$B$13,'Paramètres'!$A$1:$I$89,3,0)*VLOOKUP('Données projet'!$B$13,'Paramètres'!$A$1:$I$89,5,0)</f>
        <v>0</v>
      </c>
      <c r="CV175" s="130" t="str">
        <f t="shared" si="42"/>
        <v>#NUM!</v>
      </c>
      <c r="CW175" s="141" t="str">
        <f t="shared" si="14"/>
        <v>#NUM!</v>
      </c>
      <c r="CX175" s="133" t="str">
        <f t="shared" si="15"/>
        <v>#NUM!</v>
      </c>
      <c r="CY175" s="133">
        <f>AVERAGE(OFFSET($CX$3,0,0,'Données projet'!$E$13+1,1))-AVERAGE(OFFSET($H$3,0,0,'Données projet'!$E$13+1,1))</f>
        <v>223.783507</v>
      </c>
      <c r="CZ175" s="133">
        <f t="shared" si="43"/>
        <v>84.92349117</v>
      </c>
      <c r="DA175" s="134">
        <f>IF(ISNA(VLOOKUP(A175,'Données projet'!$A$139:$I$159,3,0)),0,VLOOKUP(A175,'Données projet'!$A$139:$I$159,3,0))</f>
        <v>0</v>
      </c>
      <c r="DB175" s="134">
        <f>IF(ISNA(VLOOKUP(A175,'Données projet'!$A$139:$I$159,4,0)),0,VLOOKUP(A175,'Données projet'!$A$139:$I$159,4,0))</f>
        <v>0</v>
      </c>
      <c r="DC175" s="135">
        <f>IF(ISNA(VLOOKUP(A175,'Données projet'!$A$139:$I$159,5,0)),0%,VLOOKUP(A175,'Données projet'!$A$139:$I$159,5,0)*VLOOKUP('Données projet'!$B$13,'Paramètres'!$A$1:$I$89,7,0))</f>
        <v>0</v>
      </c>
      <c r="DD175" s="135">
        <f>IF(ISNA(VLOOKUP(A175,'Données projet'!$A$139:$I$159,6,0)),0%,VLOOKUP(A175,'Données projet'!$A$139:$I$159,6,0)*VLOOKUP('Données projet'!$B$13,'Paramètres'!$A$1:$I$89,7,0))</f>
        <v>0</v>
      </c>
      <c r="DE175" s="135">
        <f>IF(ISNA(VLOOKUP(A175,'Données projet'!$A$139:$I$159,7,0)),0%,VLOOKUP(A175,'Données projet'!$A$139:$I$159,7,0))</f>
        <v>0</v>
      </c>
      <c r="DF175" s="142">
        <f>EXP(-LN(2)/35)*DF174+(1-EXP(-LN(2)/35))/(LN(2)/35)*DB175*DC175*VLOOKUP('Données projet'!$B$13,'Paramètres'!$A$1:$I$89,3,0)*0.475*44/12</f>
        <v>72.16867492</v>
      </c>
      <c r="DG175" s="142">
        <f>EXP(-LN(2)/25)*DG174+(1-EXP(-LN(2)/25))/(LN(2)/25)*Calculateur!DB175*Calculateur!DD175*VLOOKUP('Données projet'!$B$13,'Paramètres'!$A$1:$I$89,3,0)*0.475*44/12</f>
        <v>0</v>
      </c>
      <c r="DH175" s="142">
        <f>EXP(-LN(2)/2)*DH174+(1-EXP(-LN(2)/2))/(LN(2)/2)*DB175*DE175*VLOOKUP('Données projet'!$B$13,'Paramètres'!$A$1:$I$89,3,0)*0.475*44/12</f>
        <v>0</v>
      </c>
      <c r="DI175" s="143">
        <f t="shared" si="16"/>
        <v>72.16867492</v>
      </c>
      <c r="DJ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1" t="str">
        <f>VLOOKUP(A175,'Données projet'!$A$165:$I$185,2,0)</f>
        <v>#N/A</v>
      </c>
      <c r="DM175" s="131" t="str">
        <f>VLOOKUP(A175,'Données projet'!$A$165:$I$185,9,0)</f>
        <v>#N/A</v>
      </c>
      <c r="DN175" s="131" t="str">
        <f t="array" ref="DN175">INDEX(DM:DM,MIN(IF(ISNUMBER(DM175:DM371),ROW(DM175:DM371),"")))</f>
        <v/>
      </c>
      <c r="DO175" s="138">
        <f>IF('Données projet'!$A$166&gt;35,DO174+DN175-DW174,IF(A175&lt;'Données projet'!$A$166,$DL$205^A175,IF(A175='Données projet'!$A$166,'Données projet'!$B$166,DO174+DN175-DW174)))</f>
        <v>0</v>
      </c>
      <c r="DP175" s="138">
        <f>DO175*VLOOKUP('Données projet'!$B$14,'Paramètres'!$A$1:$I$89,3,0)*VLOOKUP('Données projet'!$B$14,'Paramètres'!$A$1:$I$89,5,0)</f>
        <v>0</v>
      </c>
      <c r="DQ175" s="130" t="str">
        <f t="shared" si="44"/>
        <v>#NUM!</v>
      </c>
      <c r="DR175" s="141" t="str">
        <f t="shared" si="17"/>
        <v>#NUM!</v>
      </c>
      <c r="DS175" s="133" t="str">
        <f t="shared" si="18"/>
        <v>#NUM!</v>
      </c>
      <c r="DT175" s="133">
        <f>AVERAGE(OFFSET($DS$3,0,0,'Données projet'!$E$14+1,1))-AVERAGE(OFFSET($H$3,0,0,'Données projet'!$E$14+1,1))</f>
        <v>287.9334714</v>
      </c>
      <c r="DU175" s="133">
        <f t="shared" si="45"/>
        <v>156.6796502</v>
      </c>
      <c r="DV175" s="134">
        <f>IF(ISNA(VLOOKUP(A175,'Données projet'!$A$165:$I$185,3,0)),0,VLOOKUP(A175,'Données projet'!$A$165:$I$185,3,0))</f>
        <v>0</v>
      </c>
      <c r="DW175" s="134">
        <f>IF(ISNA(VLOOKUP(A175,'Données projet'!$A$165:$I$185,4,0)),0,VLOOKUP(A175,'Données projet'!$A$165:$I$185,4,0))</f>
        <v>0</v>
      </c>
      <c r="DX175" s="135">
        <f>IF(ISNA(VLOOKUP(A175,'Données projet'!$A$165:$I$185,5,0)),0%,VLOOKUP(A175,'Données projet'!$A$165:$I$185,5,0)*VLOOKUP('Données projet'!$B$14,'Paramètres'!$A$1:$I$89,7,0))</f>
        <v>0</v>
      </c>
      <c r="DY175" s="135">
        <f>IF(ISNA(VLOOKUP(A175,'Données projet'!$A$165:$I$185,6,0)),0%,VLOOKUP(A175,'Données projet'!$A$165:$I$185,6,0)*VLOOKUP('Données projet'!$B$14,'Paramètres'!$A$1:$I$89,7,0))</f>
        <v>0</v>
      </c>
      <c r="DZ175" s="135">
        <f>IF(ISNA(VLOOKUP(A175,'Données projet'!$A$165:$I$185,7,0)),0%,VLOOKUP(A175,'Données projet'!$A$165:$I$185,7,0))</f>
        <v>0</v>
      </c>
      <c r="EA175" s="142">
        <f>EXP(-LN(2)/35)*EA174+(1-EXP(-LN(2)/35))/(LN(2)/35)*DW175*DX175*VLOOKUP('Données projet'!$B$14,'Paramètres'!$A$1:$I$89,3,0)*0.475*44/12</f>
        <v>83.83957905</v>
      </c>
      <c r="EB175" s="142">
        <f>EXP(-LN(2)/25)*EB174+(1-EXP(-LN(2)/25))/(LN(2)/25)*Calculateur!DW175*Calculateur!DY175*VLOOKUP('Données projet'!$B$14,'Paramètres'!$A$1:$I$89,3,0)*0.475*44/12</f>
        <v>0</v>
      </c>
      <c r="EC175" s="142">
        <f>EXP(-LN(2)/2)*EC174+(1-EXP(-LN(2)/2))/(LN(2)/2)*DW175*DZ175*VLOOKUP('Données projet'!$B$14,'Paramètres'!$A$1:$I$89,3,0)*0.475*44/12</f>
        <v>0</v>
      </c>
      <c r="ED175" s="143">
        <f t="shared" si="19"/>
        <v>83.83957905</v>
      </c>
      <c r="EE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1" t="str">
        <f>VLOOKUP(A175,'Données projet'!$A$191:$I$211,2,0)</f>
        <v>#N/A</v>
      </c>
      <c r="EH175" s="131" t="str">
        <f>VLOOKUP(A175,'Données projet'!$A$191:$I$211,9,0)</f>
        <v>#N/A</v>
      </c>
      <c r="EI175" s="131" t="str">
        <f t="array" ref="EI175">INDEX(EH:EH,MIN(IF(ISNUMBER(EH175:EH371),ROW(EH175:EH371),"")))</f>
        <v/>
      </c>
      <c r="EJ175" s="138">
        <f>IF('Données projet'!$A$192&gt;35,EJ174+EI175-ER174,IF(A175&lt;'Données projet'!$A$192,$EG$205^A175,IF(A175='Données projet'!$A$192,'Données projet'!$B$192,EJ174+EI175-ER174)))</f>
        <v>0</v>
      </c>
      <c r="EK175" s="138">
        <f>EJ175*VLOOKUP('Données projet'!$B$15,'Paramètres'!$A$1:$I$89,3,0)*VLOOKUP('Données projet'!$B$15,'Paramètres'!$A$1:$I$89,5,0)</f>
        <v>0</v>
      </c>
      <c r="EL175" s="130" t="str">
        <f t="shared" si="46"/>
        <v>#NUM!</v>
      </c>
      <c r="EM175" s="141" t="str">
        <f t="shared" si="20"/>
        <v>#NUM!</v>
      </c>
      <c r="EN175" s="133" t="str">
        <f t="shared" si="21"/>
        <v>#NUM!</v>
      </c>
      <c r="EO175" s="133">
        <f>AVERAGE(OFFSET($EN$3,0,0,'Données projet'!$E$15+1,1))-AVERAGE(OFFSET($H$3,0,0,'Données projet'!$E$15+1,1))</f>
        <v>130.3193339</v>
      </c>
      <c r="EP175" s="133">
        <f t="shared" si="47"/>
        <v>82.22784365</v>
      </c>
      <c r="EQ175" s="134">
        <f>IF(ISNA(VLOOKUP(A175,'Données projet'!$A$191:$I$211,3,0)),0,VLOOKUP(A175,'Données projet'!$A$191:$I$211,3,0))</f>
        <v>0</v>
      </c>
      <c r="ER175" s="134">
        <f>IF(ISNA(VLOOKUP(A175,'Données projet'!$A$191:$I$211,4,0)),0,VLOOKUP(A175,'Données projet'!$A$191:$I$211,4,0))</f>
        <v>0</v>
      </c>
      <c r="ES175" s="135">
        <f>IF(ISNA(VLOOKUP(A175,'Données projet'!$A$191:$I$211,5,0)),0%,VLOOKUP(A175,'Données projet'!$A$191:$I$211,5,0)*VLOOKUP('Données projet'!$B$15,'Paramètres'!$A$1:$I$89,7,0))</f>
        <v>0</v>
      </c>
      <c r="ET175" s="135">
        <f>IF(ISNA(VLOOKUP(A175,'Données projet'!$A$191:$I$211,6,0)),0%,VLOOKUP(A175,'Données projet'!$A$191:$I$211,6,0)*VLOOKUP('Données projet'!$B$15,'Paramètres'!$A$1:$I$89,7,0))</f>
        <v>0</v>
      </c>
      <c r="EU175" s="135">
        <f>IF(ISNA(VLOOKUP(A175,'Données projet'!$A$191:$I$211,7,0)),0%,VLOOKUP(A175,'Données projet'!$A$191:$I$211,7,0))</f>
        <v>0</v>
      </c>
      <c r="EV175" s="142">
        <f>EXP(-LN(2)/35)*EV174+(1-EXP(-LN(2)/35))/(LN(2)/35)*ER175*ES175*VLOOKUP('Données projet'!$B$15,'Paramètres'!$A$1:$I$89,3,0)*0.475*44/12</f>
        <v>17.18181848</v>
      </c>
      <c r="EW175" s="142">
        <f>EXP(-LN(2)/25)*EW174+(1-EXP(-LN(2)/25))/(LN(2)/25)*Calculateur!ER175*Calculateur!ET175*VLOOKUP('Données projet'!$B$15,'Paramètres'!$A$1:$I$89,3,0)*0.475*44/12</f>
        <v>0</v>
      </c>
      <c r="EX175" s="142">
        <f>EXP(-LN(2)/2)*EX174+(1-EXP(-LN(2)/2))/(LN(2)/2)*ER175*EU175*VLOOKUP('Données projet'!$B$15,'Paramètres'!$A$1:$I$89,3,0)*0.475*44/12</f>
        <v>0</v>
      </c>
      <c r="EY175" s="143">
        <f t="shared" si="22"/>
        <v>17.18181848</v>
      </c>
      <c r="EZ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1" t="str">
        <f>VLOOKUP(A175,'Données projet'!$A$217:$I$237,2,0)</f>
        <v>#N/A</v>
      </c>
      <c r="FC175" s="131" t="str">
        <f>VLOOKUP(A175,'Données projet'!$A$217:$I$237,9,0)</f>
        <v>#N/A</v>
      </c>
      <c r="FD175" s="131" t="str">
        <f t="array" ref="FD175">INDEX(FC:FC,MIN(IF(ISNUMBER(FC175:FC371),ROW(FC175:FC371),"")))</f>
        <v/>
      </c>
      <c r="FE175" s="130">
        <f>IF('Données projet'!$A$218&gt;35,FE174+FD175-FM174,IF(A175&lt;'Données projet'!$A$218,$FB$205^A175,IF(A175='Données projet'!$A$218,'Données projet'!$B$218,FE174+FD175-FM174)))</f>
        <v>0</v>
      </c>
      <c r="FF175" s="138">
        <f>FE175*VLOOKUP('Données projet'!$B$16,'Paramètres'!$A$1:$I$89,3,0)*VLOOKUP('Données projet'!$B$16,'Paramètres'!$A$1:$I$89,5,0)</f>
        <v>0</v>
      </c>
      <c r="FG175" s="130">
        <f t="shared" si="48"/>
        <v>0</v>
      </c>
      <c r="FH175" s="141">
        <f t="shared" si="23"/>
        <v>0</v>
      </c>
      <c r="FI175" s="133">
        <f t="shared" si="24"/>
        <v>293.3333333</v>
      </c>
      <c r="FJ175" s="133">
        <f>AVERAGE(OFFSET($FI$3,0,0,'Données projet'!$E$16+1,1))-AVERAGE(OFFSET($H$3,0,0,'Données projet'!$E$16+1,1))</f>
        <v>305.6252353</v>
      </c>
      <c r="FK175" s="133">
        <f t="shared" si="49"/>
        <v>331.397916</v>
      </c>
      <c r="FL175" s="134">
        <f>IF(ISNA(VLOOKUP(A175,'Données projet'!$A$217:$I$237,3,0)),0,VLOOKUP(A175,'Données projet'!$A$217:$I$237,3,0))</f>
        <v>0</v>
      </c>
      <c r="FM175" s="134">
        <f>IF(ISNA(VLOOKUP(A175,'Données projet'!$A$217:$I$237,4,0)),0,VLOOKUP(A175,'Données projet'!$A$217:$I$237,4,0))</f>
        <v>0</v>
      </c>
      <c r="FN175" s="135">
        <f>IF(ISNA(VLOOKUP(A175,'Données projet'!$A$217:$I$237,5,0)),0%,VLOOKUP(A175,'Données projet'!$A$217:$I$237,5,0)*VLOOKUP('Données projet'!$B$16,'Paramètres'!$A$1:$I$89,7,0))</f>
        <v>0</v>
      </c>
      <c r="FO175" s="135">
        <f>IF(ISNA(VLOOKUP(A175,'Données projet'!$A$217:$I$237,6,0)),0%,VLOOKUP(A175,'Données projet'!$A$217:$I$237,6,0)*VLOOKUP('Données projet'!$B$16,'Paramètres'!$A$1:$I$89,7,0))</f>
        <v>0</v>
      </c>
      <c r="FP175" s="135">
        <f>IF(ISNA(VLOOKUP(A175,'Données projet'!$A$217:$I$237,7,0)),0%,VLOOKUP(A175,'Données projet'!$A$217:$I$237,7,0))</f>
        <v>0</v>
      </c>
      <c r="FQ175" s="142">
        <f>EXP(-LN(2)/35)*FQ174+(1-EXP(-LN(2)/35))/(LN(2)/35)*FM175*FN175*VLOOKUP('Données projet'!$B$16,'Paramètres'!$A$1:$I$89,3,0)*0.475*44/12</f>
        <v>10.69791367</v>
      </c>
      <c r="FR175" s="142">
        <f>EXP(-LN(2)/25)*FR174+(1-EXP(-LN(2)/25))/(LN(2)/25)*Calculateur!FM175*Calculateur!FO175*VLOOKUP('Données projet'!$B$16,'Paramètres'!$A$1:$I$89,3,0)*0.475*44/12</f>
        <v>0</v>
      </c>
      <c r="FS175" s="142">
        <f>EXP(-LN(2)/2)*FS174+(1-EXP(-LN(2)/2))/(LN(2)/2)*FM175*FP175*VLOOKUP('Données projet'!$B$16,'Paramètres'!$A$1:$I$89,3,0)*0.475*44/12</f>
        <v>0</v>
      </c>
      <c r="FT175" s="143">
        <f t="shared" si="25"/>
        <v>10.69791367</v>
      </c>
      <c r="FU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1" t="str">
        <f>VLOOKUP(A175,'Données projet'!$A$243:$I$263,2,0)</f>
        <v>#N/A</v>
      </c>
      <c r="FX175" s="131" t="str">
        <f>VLOOKUP(A175,'Données projet'!$A$243:$I$263,9,0)</f>
        <v>#N/A</v>
      </c>
      <c r="FY175" s="131" t="str">
        <f t="array" ref="FY175">INDEX(FX:FX,MIN(IF(ISNUMBER(FX175:FX371),ROW(FX175:FX371),"")))</f>
        <v/>
      </c>
      <c r="FZ175" s="138">
        <f>IF('Données projet'!$A$244&gt;35,FZ174+FY175-GH174,IF(A175&lt;'Données projet'!$A$244,$FW$205^A175,IF(A175='Données projet'!$A$244,'Données projet'!$B$244,FZ174+FY175-GH174)))</f>
        <v>0</v>
      </c>
      <c r="GA175" s="138">
        <f>FZ175*VLOOKUP('Données projet'!$B$17,'Paramètres'!$A$1:$I$89,3,0)*VLOOKUP('Données projet'!$B$17,'Paramètres'!$A$1:$I$89,5,0)</f>
        <v>0</v>
      </c>
      <c r="GB175" s="130">
        <f t="shared" si="50"/>
        <v>0</v>
      </c>
      <c r="GC175" s="141">
        <f t="shared" si="26"/>
        <v>0</v>
      </c>
      <c r="GD175" s="133">
        <f t="shared" si="27"/>
        <v>293.3333333</v>
      </c>
      <c r="GE175" s="133">
        <f>AVERAGE(OFFSET($GD$3,0,0,'Données projet'!$E$17+1,1))-AVERAGE(OFFSET($H$3,0,0,'Données projet'!$E$17+1,1))</f>
        <v>118.7368745</v>
      </c>
      <c r="GF175" s="133">
        <f t="shared" si="51"/>
        <v>135.1233677</v>
      </c>
      <c r="GG175" s="134">
        <f>IF(ISNA(VLOOKUP(A175,'Données projet'!$A$243:$I$263,3,0)),0,VLOOKUP(A175,'Données projet'!$A$243:$I$263,3,0))</f>
        <v>0</v>
      </c>
      <c r="GH175" s="134">
        <f>IF(ISNA(VLOOKUP(A175,'Données projet'!$A$243:$I$263,4,0)),0,VLOOKUP(A175,'Données projet'!$A$243:$I$263,4,0))</f>
        <v>0</v>
      </c>
      <c r="GI175" s="135">
        <f>IF(ISNA(VLOOKUP(A175,'Données projet'!$A$243:$I$263,5,0)),0%,VLOOKUP(A175,'Données projet'!$A$243:$I$263,5,0)*VLOOKUP('Données projet'!$B$17,'Paramètres'!$A$1:$I$89,7,0))</f>
        <v>0</v>
      </c>
      <c r="GJ175" s="135">
        <f>IF(ISNA(VLOOKUP(A175,'Données projet'!$A$243:$I$263,6,0)),0%,VLOOKUP(A175,'Données projet'!$A$243:$I$263,6,0)*VLOOKUP('Données projet'!$B$17,'Paramètres'!$A$1:$I$89,7,0))</f>
        <v>0</v>
      </c>
      <c r="GK175" s="135">
        <f>IF(ISNA(VLOOKUP(A175,'Données projet'!$A$243:$I$263,7,0)),0%,VLOOKUP(A175,'Données projet'!$A$243:$I$263,7,0))</f>
        <v>0</v>
      </c>
      <c r="GL175" s="142">
        <f>EXP(-LN(2)/35)*GL174+(1-EXP(-LN(2)/35))/(LN(2)/35)*GH175*GI175*VLOOKUP('Données projet'!$B$17,'Paramètres'!$A$1:$I$89,3,0)*0.475*44/12</f>
        <v>11.30231271</v>
      </c>
      <c r="GM175" s="142">
        <f>EXP(-LN(2)/25)*GM174+(1-EXP(-LN(2)/25))/(LN(2)/25)*Calculateur!GH175*Calculateur!GJ175*VLOOKUP('Données projet'!$B$17,'Paramètres'!$A$1:$I$89,3,0)*0.475*44/12</f>
        <v>0</v>
      </c>
      <c r="GN175" s="142">
        <f>EXP(-LN(2)/2)*GN174+(1-EXP(-LN(2)/2))/(LN(2)/2)*GH175*GK175*VLOOKUP('Données projet'!$B$17,'Paramètres'!$A$1:$I$89,3,0)*0.475*44/12</f>
        <v>0</v>
      </c>
      <c r="GO175" s="142">
        <f t="shared" si="28"/>
        <v>11.30231271</v>
      </c>
      <c r="GP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1" t="str">
        <f>VLOOKUP(A175,'Données projet'!$A$269:$I$289,2,0)</f>
        <v>#N/A</v>
      </c>
      <c r="GS175" s="131" t="str">
        <f>VLOOKUP(A175,'Données projet'!$A$269:$I$289,9,0)</f>
        <v>#N/A</v>
      </c>
      <c r="GT175" s="131" t="str">
        <f t="array" ref="GT175">INDEX(GS:GS,MIN(IF(ISNUMBER(GS175:GS371),ROW(GS175:GS371),"")))</f>
        <v/>
      </c>
      <c r="GU175" s="138">
        <f>IF('Données projet'!$A$270&gt;35,GU174+GT175-HC174,IF(A175&lt;'Données projet'!$A$270,$GR$205^A175,IF(A175='Données projet'!$A$270,'Données projet'!$B$270,GU174+GT175-HC174)))</f>
        <v>0</v>
      </c>
      <c r="GV175" s="138">
        <f>GU175*VLOOKUP('Données projet'!$B$18,'Paramètres'!$A$1:$I$89,3,0)*VLOOKUP('Données projet'!$B$18,'Paramètres'!$A$1:$I$89,5,0)</f>
        <v>0</v>
      </c>
      <c r="GW175" s="130" t="str">
        <f t="shared" si="52"/>
        <v>#NUM!</v>
      </c>
      <c r="GX175" s="141" t="str">
        <f t="shared" si="29"/>
        <v>#NUM!</v>
      </c>
      <c r="GY175" s="133" t="str">
        <f t="shared" si="30"/>
        <v>#NUM!</v>
      </c>
      <c r="GZ175" s="133">
        <f>AVERAGE(OFFSET($GY$3,0,0,'Données projet'!$E$18+1,1))-AVERAGE(OFFSET($H$3,0,0,'Données projet'!$E$18+1,1))</f>
        <v>100.5427875</v>
      </c>
      <c r="HA175" s="133">
        <f t="shared" si="53"/>
        <v>92.28663609</v>
      </c>
      <c r="HB175" s="134">
        <f>IF(ISNA(VLOOKUP(A175,'Données projet'!$A$269:$I$289,3,0)),0,VLOOKUP(A175,'Données projet'!$A$269:$I$289,3,0))</f>
        <v>0</v>
      </c>
      <c r="HC175" s="134">
        <f>IF(ISNA(VLOOKUP(A175,'Données projet'!$A$269:$I$289,4,0)),0,VLOOKUP(A175,'Données projet'!$A$269:$I$289,4,0))</f>
        <v>0</v>
      </c>
      <c r="HD175" s="135">
        <f>IF(ISNA(VLOOKUP(A175,'Données projet'!$A$269:$I$289,5,0)),0%,VLOOKUP(A175,'Données projet'!$A$269:$I$289,5,0)*VLOOKUP('Données projet'!$B$18,'Paramètres'!$A$1:$I$89,7,0))</f>
        <v>0</v>
      </c>
      <c r="HE175" s="135">
        <f>IF(ISNA(VLOOKUP(A175,'Données projet'!$A$269:$I$289,6,0)),0%,VLOOKUP(A175,'Données projet'!$A$269:$I$289,6,0)*VLOOKUP('Données projet'!$B$18,'Paramètres'!$A$1:$I$89,7,0))</f>
        <v>0</v>
      </c>
      <c r="HF175" s="135">
        <f>IF(ISNA(VLOOKUP(A175,'Données projet'!$A$269:$I$289,7,0)),0%,VLOOKUP(A175,'Données projet'!$A$269:$I$289,7,0))</f>
        <v>0</v>
      </c>
      <c r="HG175" s="142">
        <f>EXP(-LN(2)/35)*HG174+(1-EXP(-LN(2)/35))/(LN(2)/35)*HC175*HD175*VLOOKUP('Données projet'!$B$18,'Paramètres'!$A$1:$I$89,3,0)*0.475*44/12</f>
        <v>7.69663652</v>
      </c>
      <c r="HH175" s="142">
        <f>EXP(-LN(2)/25)*HH174+(1-EXP(-LN(2)/25))/(LN(2)/25)*Calculateur!HC175*Calculateur!HE175*VLOOKUP('Données projet'!$B$18,'Paramètres'!$A$1:$I$89,3,0)*0.475*44/12</f>
        <v>0</v>
      </c>
      <c r="HI175" s="142">
        <f>EXP(-LN(2)/2)*HI174+(1-EXP(-LN(2)/2))/(LN(2)/2)*HC175*HF175*VLOOKUP('Données projet'!$B$18,'Paramètres'!$A$1:$I$89,3,0)*0.475*44/12</f>
        <v>0</v>
      </c>
      <c r="HJ175" s="143">
        <f t="shared" si="31"/>
        <v>7.69663652</v>
      </c>
    </row>
    <row r="176" ht="15.75" customHeight="1">
      <c r="A176" s="125">
        <f t="shared" si="32"/>
        <v>173</v>
      </c>
      <c r="B176" s="126">
        <f>'Scénario référence'!$B$16*5+'Scénario référence'!$B$17*0+'Scénario référence'!$B$18*5</f>
        <v>0</v>
      </c>
      <c r="C176" s="140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94.458</v>
      </c>
      <c r="D176" s="127">
        <f t="shared" si="33"/>
        <v>25.63734341</v>
      </c>
      <c r="E17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7">
        <f>IF(OR('Scénario référence'!$F$8&gt;0,'Scénario référence'!$F$9&gt;0),('Scénario référence'!$F$8+'Scénario référence'!$F$9)*10,0)</f>
        <v>10</v>
      </c>
      <c r="G176" s="127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927.0517737</v>
      </c>
      <c r="H176" s="128">
        <f t="shared" si="1"/>
        <v>502.4993898</v>
      </c>
      <c r="I176" s="12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1" t="str">
        <f>VLOOKUP(A176,'Données projet'!$A$35:$I$55,2,0)</f>
        <v>#N/A</v>
      </c>
      <c r="L176" s="131" t="str">
        <f>VLOOKUP(A176,'Données projet'!$A$35:$I$55,9,0)</f>
        <v>#N/A</v>
      </c>
      <c r="M176" s="131" t="str">
        <f t="array" ref="M176">INDEX(L:L,MIN(IF(ISNUMBER(L176:L372),ROW(L176:L372),"")))</f>
        <v/>
      </c>
      <c r="N176" s="130">
        <f>IF('Données projet'!$A$36&gt;35,N175+M176-V175,IF(A176&lt;'Données projet'!$A$36,$K$205^A176,IF(A176='Données projet'!$A$36,'Données projet'!$B$36,N175+M176-V175)))</f>
        <v>0</v>
      </c>
      <c r="O176" s="130">
        <f>N176*VLOOKUP('Données projet'!$B$9,'Paramètres'!$A$1:$I$89,3,0)*VLOOKUP('Données projet'!$B$9,'Paramètres'!$A$1:$I$89,5,0)</f>
        <v>0</v>
      </c>
      <c r="P176" s="130">
        <f t="shared" si="34"/>
        <v>0</v>
      </c>
      <c r="Q176" s="141">
        <f t="shared" si="2"/>
        <v>0</v>
      </c>
      <c r="R176" s="133">
        <f t="shared" si="3"/>
        <v>293.3333333</v>
      </c>
      <c r="S176" s="133">
        <f>AVERAGE(OFFSET($R$3,0,0,'Données projet'!$E$9+1,1))-AVERAGE(OFFSET($H$3,0,0,'Données projet'!$E$9+1,1))</f>
        <v>126.9946492</v>
      </c>
      <c r="T176" s="133">
        <f t="shared" si="35"/>
        <v>140.039049</v>
      </c>
      <c r="U176" s="134">
        <f>IF(ISNA(VLOOKUP(A176,'Données projet'!$A$35:$I$55,3,0)),0,VLOOKUP(A176,'Données projet'!$A$35:$I$55,3,0))</f>
        <v>0</v>
      </c>
      <c r="V176" s="134">
        <f>IF(ISNA(VLOOKUP(A176,'Données projet'!$A$35:$I$55,4,0)),0,VLOOKUP(A176,'Données projet'!$A$35:$I$55,4,0))</f>
        <v>0</v>
      </c>
      <c r="W176" s="135">
        <f>IF(ISNA(VLOOKUP(A176,'Données projet'!$A$35:$I$55,5,0)),0%,VLOOKUP(A176,'Données projet'!$A$35:$I$55,5,0)*VLOOKUP('Données projet'!$B$9,'Paramètres'!$A$1:$I$89,7,0))</f>
        <v>0</v>
      </c>
      <c r="X176" s="135">
        <f>IF(ISNA(VLOOKUP(A176,'Données projet'!$A$35:$I$55,6,0)),0%,VLOOKUP(A176,'Données projet'!$A$35:$I$55,6,0)*VLOOKUP('Données projet'!$B$9,'Paramètres'!$A$1:$I$89,7,0))</f>
        <v>0</v>
      </c>
      <c r="Y176" s="135">
        <f>IF(ISNA(VLOOKUP(A176,'Données projet'!$A$35:$I$55,7,0)),0%,VLOOKUP(A176,'Données projet'!$A$35:$I$55,7,0))</f>
        <v>0</v>
      </c>
      <c r="Z176" s="142">
        <f>EXP(-LN(2)/35)*Z175+(1-EXP(-LN(2)/35))/(LN(2)/35)*V176*W176*VLOOKUP('Données projet'!$B$9,'Paramètres'!$A$1:$I$89,3,0)*0.475*44/12</f>
        <v>11.33307032</v>
      </c>
      <c r="AA176" s="142">
        <f>EXP(-LN(2)/25)*AA175+(1-EXP(-LN(2)/25))/(LN(2)/25)*Calculateur!V176*Calculateur!X176*VLOOKUP('Données projet'!$B$9,'Paramètres'!$A$1:$I$89,3,0)*0.475*44/12</f>
        <v>1.012873633</v>
      </c>
      <c r="AB176" s="142">
        <f>EXP(-LN(2)/2)*AB175+(1-EXP(-LN(2)/2))/(LN(2)/2)*V176*Y176*VLOOKUP('Données projet'!$B$9,'Paramètres'!$A$1:$I$89,3,0)*0.475*44/12</f>
        <v>0</v>
      </c>
      <c r="AC176" s="143">
        <f t="shared" si="4"/>
        <v>12.34594395</v>
      </c>
      <c r="AD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1" t="str">
        <f>VLOOKUP(A176,'Données projet'!$A$61:$I$81,2,0)</f>
        <v>#N/A</v>
      </c>
      <c r="AG176" s="131" t="str">
        <f>VLOOKUP(A176,'Données projet'!$A$61:$I$81,9,0)</f>
        <v>#N/A</v>
      </c>
      <c r="AH176" s="131" t="str">
        <f t="array" ref="AH176">INDEX(AG:AG,MIN(IF(ISNUMBER(AG176:AG372),ROW(AG176:AG372),"")))</f>
        <v/>
      </c>
      <c r="AI176" s="130">
        <f>IF('Données projet'!$A$62&gt;35,AI175+AH176-AQ175,IF(A176&lt;'Données projet'!$A$62,$AF$205^A176,IF(A176='Données projet'!$A$62,'Données projet'!$B$62,AI175+AH176-AQ175)))</f>
        <v>0</v>
      </c>
      <c r="AJ176" s="130">
        <f>AI176*VLOOKUP('Données projet'!$B$10,'Paramètres'!$A$1:$I$89,3,0)*VLOOKUP('Données projet'!$B$10,'Paramètres'!$A$1:$I$89,5,0)</f>
        <v>0</v>
      </c>
      <c r="AK176" s="130" t="str">
        <f t="shared" si="36"/>
        <v>#NUM!</v>
      </c>
      <c r="AL176" s="141" t="str">
        <f t="shared" si="5"/>
        <v>#NUM!</v>
      </c>
      <c r="AM176" s="133" t="str">
        <f t="shared" si="6"/>
        <v>#NUM!</v>
      </c>
      <c r="AN176" s="133">
        <f>AVERAGE(OFFSET($AM$3,0,0,'Données projet'!$E$10+1,1))-AVERAGE(OFFSET($H$3,0,0,'Données projet'!$E$10+1,1))</f>
        <v>196.874484</v>
      </c>
      <c r="AO176" s="133">
        <f t="shared" si="37"/>
        <v>217.5750859</v>
      </c>
      <c r="AP176" s="134">
        <f>IF(ISNA(VLOOKUP(A176,'Données projet'!$A$61:$I$81,3,0)),0,VLOOKUP(A176,'Données projet'!$A$61:$I$81,3,0))</f>
        <v>0</v>
      </c>
      <c r="AQ176" s="134">
        <f>IF(ISNA(VLOOKUP(A176,'Données projet'!$A$61:$I$81,4,0)),0,VLOOKUP(A176,'Données projet'!$A$61:$I$81,4,0))</f>
        <v>0</v>
      </c>
      <c r="AR176" s="135">
        <f>IF(ISNA(VLOOKUP(A176,'Données projet'!$A$61:$I$81,5,0)),0%,VLOOKUP(A176,'Données projet'!$A$61:$I$81,5,0)*VLOOKUP('Données projet'!$B$10,'Paramètres'!$A$1:$I$89,7,0))</f>
        <v>0</v>
      </c>
      <c r="AS176" s="135">
        <f>IF(ISNA(VLOOKUP(A176,'Données projet'!$A$61:$I$81,6,0)),0%,VLOOKUP(A176,'Données projet'!$A$61:$I$81,6,0)*VLOOKUP('Données projet'!$B$10,'Paramètres'!$A$1:$I$89,7,0))</f>
        <v>0</v>
      </c>
      <c r="AT176" s="135">
        <f>IF(ISNA(VLOOKUP(A176,'Données projet'!$A$61:$I$81,7,0)),0%,VLOOKUP(A176,'Données projet'!$A$61:$I$81,7,0))</f>
        <v>0</v>
      </c>
      <c r="AU176" s="142">
        <f>EXP(-LN(2)/35)*AU175+(1-EXP(-LN(2)/35))/(LN(2)/35)*AQ176*AR176*VLOOKUP('Données projet'!$B$10,'Paramètres'!$A$1:$I$89,3,0)*0.475*44/12</f>
        <v>15.75264584</v>
      </c>
      <c r="AV176" s="142">
        <f>EXP(-LN(2)/25)*AV175+(1-EXP(-LN(2)/25))/(LN(2)/25)*Calculateur!AQ176*Calculateur!AS176*VLOOKUP('Données projet'!$B$10,'Paramètres'!$A$1:$I$89,3,0)*0.475*44/12</f>
        <v>1.557294564</v>
      </c>
      <c r="AW176" s="142">
        <f>EXP(-LN(2)/2)*AW175+(1-EXP(-LN(2)/2))/(LN(2)/2)*AQ176*AT176*VLOOKUP('Données projet'!$B$10,'Paramètres'!$A$1:$I$89,3,0)*0.475*44/12</f>
        <v>0</v>
      </c>
      <c r="AX176" s="142">
        <f t="shared" si="7"/>
        <v>17.30994041</v>
      </c>
      <c r="AY176" s="13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1" t="str">
        <f>VLOOKUP(A176,'Données projet'!$A$87:$I$107,2,0)</f>
        <v>#N/A</v>
      </c>
      <c r="BB176" s="131" t="str">
        <f>VLOOKUP(A176,'Données projet'!$A$87:$I$107,9,0)</f>
        <v>#N/A</v>
      </c>
      <c r="BC176" s="131" t="str">
        <f t="array" ref="BC176">INDEX(BB:BB,MIN(IF(ISNUMBER(BB176:BB372),ROW(BB176:BB372),"")))</f>
        <v/>
      </c>
      <c r="BD176" s="130">
        <f>IF('Données projet'!$A$88&gt;35,BD175+BC176-BL175,IF(A176&lt;'Données projet'!$A$88,$BA$205^A176,IF(A176='Données projet'!$A$88,'Données projet'!$B$88,BD175+BC176-BL175)))</f>
        <v>0</v>
      </c>
      <c r="BE176" s="130">
        <f>BD176*VLOOKUP('Données projet'!$B$11,'Paramètres'!$A$1:$I$89,3,0)*VLOOKUP('Données projet'!$B$11,'Paramètres'!$A$1:$I$89,5,0)</f>
        <v>0</v>
      </c>
      <c r="BF176" s="130" t="str">
        <f t="shared" si="38"/>
        <v>#NUM!</v>
      </c>
      <c r="BG176" s="141" t="str">
        <f t="shared" si="8"/>
        <v>#NUM!</v>
      </c>
      <c r="BH176" s="133" t="str">
        <f t="shared" si="9"/>
        <v>#NUM!</v>
      </c>
      <c r="BI176" s="133">
        <f>AVERAGE(OFFSET($BH$3,0,0,'Données projet'!$E$11+1,1))-AVERAGE(OFFSET($H$3,0,0,'Données projet'!$E$11+1,1))</f>
        <v>134.0948534</v>
      </c>
      <c r="BJ176" s="133">
        <f t="shared" si="39"/>
        <v>108.4102536</v>
      </c>
      <c r="BK176" s="134">
        <f>IF(ISNA(VLOOKUP(A176,'Données projet'!$A$87:$I$107,3,0)),0,VLOOKUP(A176,'Données projet'!$A$87:$I$107,3,0))</f>
        <v>0</v>
      </c>
      <c r="BL176" s="134">
        <f>IF(ISNA(VLOOKUP(A176,'Données projet'!$A$87:$I$107,4,0)),0,VLOOKUP(A176,'Données projet'!$A$87:$I$107,4,0))</f>
        <v>0</v>
      </c>
      <c r="BM176" s="135">
        <f>IF(ISNA(VLOOKUP(A176,'Données projet'!$A$87:$I$107,5,0)),0%,VLOOKUP(A176,'Données projet'!$A$87:$I$107,5,0)*VLOOKUP('Données projet'!$B$11,'Paramètres'!$A$1:$I$89,7,0))</f>
        <v>0</v>
      </c>
      <c r="BN176" s="135">
        <f>IF(ISNA(VLOOKUP(A176,'Données projet'!$A$87:$I$107,6,0)),0%,VLOOKUP(A176,'Données projet'!$A$87:$I$107,6,0)*VLOOKUP('Données projet'!$B$11,'Paramètres'!$A$1:$I$89,7,0))</f>
        <v>0</v>
      </c>
      <c r="BO176" s="135">
        <f>IF(ISNA(VLOOKUP(A176,'Données projet'!$A$87:$I$107,7,0)),0%,VLOOKUP(A176,'Données projet'!$A$87:$I$107,7,0))</f>
        <v>0</v>
      </c>
      <c r="BP176" s="142">
        <f>EXP(-LN(2)/35)*BP175+(1-EXP(-LN(2)/35))/(LN(2)/35)*BL176*BM176*VLOOKUP('Données projet'!$B$11,'Paramètres'!$A$1:$I$89,3,0)*0.475*44/12</f>
        <v>21.78885114</v>
      </c>
      <c r="BQ176" s="142">
        <f>EXP(-LN(2)/25)*BQ175+(1-EXP(-LN(2)/25))/(LN(2)/25)*Calculateur!BL176*Calculateur!BN176*VLOOKUP('Données projet'!$B$11,'Paramètres'!$A$1:$I$89,3,0)*0.475*44/12</f>
        <v>0.9823427483</v>
      </c>
      <c r="BR176" s="142">
        <f>EXP(-LN(2)/2)*BR175+(1-EXP(-LN(2)/2))/(LN(2)/2)*BL176*BO176*VLOOKUP('Données projet'!$B$11,'Paramètres'!$A$1:$I$89,3,0)*0.475*44/12</f>
        <v>0</v>
      </c>
      <c r="BS176" s="143">
        <f t="shared" si="10"/>
        <v>22.77119389</v>
      </c>
      <c r="BT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1" t="str">
        <f>VLOOKUP(A176,'Données projet'!$A$113:$I$133,2,0)</f>
        <v>#N/A</v>
      </c>
      <c r="BW176" s="131" t="str">
        <f>VLOOKUP(A176,'Données projet'!$A$113:$I$133,9,0)</f>
        <v>#N/A</v>
      </c>
      <c r="BX176" s="131" t="str">
        <f t="array" ref="BX176">INDEX(BW:BW,MIN(IF(ISNUMBER(BW176:BW372),ROW(BW176:BW372),"")))</f>
        <v/>
      </c>
      <c r="BY176" s="130">
        <f>IF('Données projet'!$A$114&gt;35,BY175+BX176-CG175,IF(A176&lt;'Données projet'!$A$114,$BV$205^A176,IF(A176='Données projet'!$A$114,'Données projet'!$B$114,BY175+BX176-CG175)))</f>
        <v>0</v>
      </c>
      <c r="BZ176" s="130">
        <f>BY176*VLOOKUP('Données projet'!$B$12,'Paramètres'!$A$1:$I$89,3,0)*VLOOKUP('Données projet'!$B$12,'Paramètres'!$A$1:$I$89,5,0)</f>
        <v>0</v>
      </c>
      <c r="CA176" s="130" t="str">
        <f t="shared" si="40"/>
        <v>#NUM!</v>
      </c>
      <c r="CB176" s="141" t="str">
        <f t="shared" si="11"/>
        <v>#NUM!</v>
      </c>
      <c r="CC176" s="133" t="str">
        <f t="shared" si="12"/>
        <v>#NUM!</v>
      </c>
      <c r="CD176" s="133">
        <f>AVERAGE(OFFSET($CC$3,0,0,'Données projet'!$E$12+1,1))-AVERAGE(OFFSET($H$3,0,0,'Données projet'!$E$12+1,1))</f>
        <v>258.1672054</v>
      </c>
      <c r="CE176" s="133">
        <f t="shared" si="41"/>
        <v>296.0724261</v>
      </c>
      <c r="CF176" s="134">
        <f>IF(ISNA(VLOOKUP(A176,'Données projet'!$A$113:$I$133,3,0)),0,VLOOKUP(A176,'Données projet'!$A$113:$I$133,3,0))</f>
        <v>0</v>
      </c>
      <c r="CG176" s="134">
        <f>IF(ISNA(VLOOKUP(A176,'Données projet'!$A$113:$I$133,4,0)),0,VLOOKUP(A176,'Données projet'!$A$113:$I$133,4,0))</f>
        <v>0</v>
      </c>
      <c r="CH176" s="135">
        <f>IF(ISNA(VLOOKUP(A176,'Données projet'!$A$113:$I$133,5,0)),0%,VLOOKUP(A176,'Données projet'!$A$113:$I$133,5,0)*VLOOKUP('Données projet'!$B$12,'Paramètres'!$A$1:$I$89,7,0))</f>
        <v>0</v>
      </c>
      <c r="CI176" s="135">
        <f>IF(ISNA(VLOOKUP(A176,'Données projet'!$A$113:$I$133,6,0)),0%,VLOOKUP(A176,'Données projet'!$A$113:$I$133,6,0)*VLOOKUP('Données projet'!$B$12,'Paramètres'!$A$1:$I$89,7,0))</f>
        <v>0</v>
      </c>
      <c r="CJ176" s="135">
        <f>IF(ISNA(VLOOKUP(A176,'Données projet'!$A$113:$I$133,7,0)),0%,VLOOKUP(A176,'Données projet'!$A$113:$I$133,7,0))</f>
        <v>0</v>
      </c>
      <c r="CK176" s="142">
        <f>EXP(-LN(2)/35)*CK175+(1-EXP(-LN(2)/35))/(LN(2)/35)*CG176*CH176*VLOOKUP('Données projet'!$B$12,'Paramètres'!$A$1:$I$89,3,0)*0.475*44/12</f>
        <v>27.54777333</v>
      </c>
      <c r="CL176" s="142">
        <f>EXP(-LN(2)/25)*CL175+(1-EXP(-LN(2)/25))/(LN(2)/25)*Calculateur!CG176*Calculateur!CI176*VLOOKUP('Données projet'!$B$12,'Paramètres'!$A$1:$I$89,3,0)*0.475*44/12</f>
        <v>1.723084945</v>
      </c>
      <c r="CM176" s="142">
        <f>EXP(-LN(2)/2)*CM175+(1-EXP(-LN(2)/2))/(LN(2)/2)*CG176*CJ176*VLOOKUP('Données projet'!$B$12,'Paramètres'!$A$1:$I$89,3,0)*0.475*44/12</f>
        <v>0</v>
      </c>
      <c r="CN176" s="143">
        <f t="shared" si="13"/>
        <v>29.27085827</v>
      </c>
      <c r="CO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1" t="str">
        <f>VLOOKUP(A176,'Données projet'!$A$139:$I$159,2,0)</f>
        <v>#N/A</v>
      </c>
      <c r="CR176" s="131" t="str">
        <f>VLOOKUP(A176,'Données projet'!$A$139:$I$159,9,0)</f>
        <v>#N/A</v>
      </c>
      <c r="CS176" s="131" t="str">
        <f t="array" ref="CS176">INDEX(CR:CR,MIN(IF(ISNUMBER(CR176:CR372),ROW(CR176:CR372),"")))</f>
        <v/>
      </c>
      <c r="CT176" s="138">
        <f>IF('Données projet'!$A$140&gt;35,CT175+CS176-DB175,IF(A176&lt;'Données projet'!$A$140,$CQ$205^A176,IF(A176='Données projet'!$A$140,'Données projet'!$B$140,CT175+CS176-DB175)))</f>
        <v>0</v>
      </c>
      <c r="CU176" s="138">
        <f>CT176*VLOOKUP('Données projet'!$B$13,'Paramètres'!$A$1:$I$89,3,0)*VLOOKUP('Données projet'!$B$13,'Paramètres'!$A$1:$I$89,5,0)</f>
        <v>0</v>
      </c>
      <c r="CV176" s="130" t="str">
        <f t="shared" si="42"/>
        <v>#NUM!</v>
      </c>
      <c r="CW176" s="141" t="str">
        <f t="shared" si="14"/>
        <v>#NUM!</v>
      </c>
      <c r="CX176" s="133" t="str">
        <f t="shared" si="15"/>
        <v>#NUM!</v>
      </c>
      <c r="CY176" s="133">
        <f>AVERAGE(OFFSET($CX$3,0,0,'Données projet'!$E$13+1,1))-AVERAGE(OFFSET($H$3,0,0,'Données projet'!$E$13+1,1))</f>
        <v>223.783507</v>
      </c>
      <c r="CZ176" s="133">
        <f t="shared" si="43"/>
        <v>84.92349117</v>
      </c>
      <c r="DA176" s="134">
        <f>IF(ISNA(VLOOKUP(A176,'Données projet'!$A$139:$I$159,3,0)),0,VLOOKUP(A176,'Données projet'!$A$139:$I$159,3,0))</f>
        <v>0</v>
      </c>
      <c r="DB176" s="134">
        <f>IF(ISNA(VLOOKUP(A176,'Données projet'!$A$139:$I$159,4,0)),0,VLOOKUP(A176,'Données projet'!$A$139:$I$159,4,0))</f>
        <v>0</v>
      </c>
      <c r="DC176" s="135">
        <f>IF(ISNA(VLOOKUP(A176,'Données projet'!$A$139:$I$159,5,0)),0%,VLOOKUP(A176,'Données projet'!$A$139:$I$159,5,0)*VLOOKUP('Données projet'!$B$13,'Paramètres'!$A$1:$I$89,7,0))</f>
        <v>0</v>
      </c>
      <c r="DD176" s="135">
        <f>IF(ISNA(VLOOKUP(A176,'Données projet'!$A$139:$I$159,6,0)),0%,VLOOKUP(A176,'Données projet'!$A$139:$I$159,6,0)*VLOOKUP('Données projet'!$B$13,'Paramètres'!$A$1:$I$89,7,0))</f>
        <v>0</v>
      </c>
      <c r="DE176" s="135">
        <f>IF(ISNA(VLOOKUP(A176,'Données projet'!$A$139:$I$159,7,0)),0%,VLOOKUP(A176,'Données projet'!$A$139:$I$159,7,0))</f>
        <v>0</v>
      </c>
      <c r="DF176" s="142">
        <f>EXP(-LN(2)/35)*DF175+(1-EXP(-LN(2)/35))/(LN(2)/35)*DB176*DC176*VLOOKUP('Données projet'!$B$13,'Paramètres'!$A$1:$I$89,3,0)*0.475*44/12</f>
        <v>70.75349122</v>
      </c>
      <c r="DG176" s="142">
        <f>EXP(-LN(2)/25)*DG175+(1-EXP(-LN(2)/25))/(LN(2)/25)*Calculateur!DB176*Calculateur!DD176*VLOOKUP('Données projet'!$B$13,'Paramètres'!$A$1:$I$89,3,0)*0.475*44/12</f>
        <v>0</v>
      </c>
      <c r="DH176" s="142">
        <f>EXP(-LN(2)/2)*DH175+(1-EXP(-LN(2)/2))/(LN(2)/2)*DB176*DE176*VLOOKUP('Données projet'!$B$13,'Paramètres'!$A$1:$I$89,3,0)*0.475*44/12</f>
        <v>0</v>
      </c>
      <c r="DI176" s="143">
        <f t="shared" si="16"/>
        <v>70.75349122</v>
      </c>
      <c r="DJ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1" t="str">
        <f>VLOOKUP(A176,'Données projet'!$A$165:$I$185,2,0)</f>
        <v>#N/A</v>
      </c>
      <c r="DM176" s="131" t="str">
        <f>VLOOKUP(A176,'Données projet'!$A$165:$I$185,9,0)</f>
        <v>#N/A</v>
      </c>
      <c r="DN176" s="131" t="str">
        <f t="array" ref="DN176">INDEX(DM:DM,MIN(IF(ISNUMBER(DM176:DM372),ROW(DM176:DM372),"")))</f>
        <v/>
      </c>
      <c r="DO176" s="138">
        <f>IF('Données projet'!$A$166&gt;35,DO175+DN176-DW175,IF(A176&lt;'Données projet'!$A$166,$DL$205^A176,IF(A176='Données projet'!$A$166,'Données projet'!$B$166,DO175+DN176-DW175)))</f>
        <v>0</v>
      </c>
      <c r="DP176" s="138">
        <f>DO176*VLOOKUP('Données projet'!$B$14,'Paramètres'!$A$1:$I$89,3,0)*VLOOKUP('Données projet'!$B$14,'Paramètres'!$A$1:$I$89,5,0)</f>
        <v>0</v>
      </c>
      <c r="DQ176" s="130" t="str">
        <f t="shared" si="44"/>
        <v>#NUM!</v>
      </c>
      <c r="DR176" s="141" t="str">
        <f t="shared" si="17"/>
        <v>#NUM!</v>
      </c>
      <c r="DS176" s="133" t="str">
        <f t="shared" si="18"/>
        <v>#NUM!</v>
      </c>
      <c r="DT176" s="133">
        <f>AVERAGE(OFFSET($DS$3,0,0,'Données projet'!$E$14+1,1))-AVERAGE(OFFSET($H$3,0,0,'Données projet'!$E$14+1,1))</f>
        <v>287.9334714</v>
      </c>
      <c r="DU176" s="133">
        <f t="shared" si="45"/>
        <v>156.6796502</v>
      </c>
      <c r="DV176" s="134">
        <f>IF(ISNA(VLOOKUP(A176,'Données projet'!$A$165:$I$185,3,0)),0,VLOOKUP(A176,'Données projet'!$A$165:$I$185,3,0))</f>
        <v>0</v>
      </c>
      <c r="DW176" s="134">
        <f>IF(ISNA(VLOOKUP(A176,'Données projet'!$A$165:$I$185,4,0)),0,VLOOKUP(A176,'Données projet'!$A$165:$I$185,4,0))</f>
        <v>0</v>
      </c>
      <c r="DX176" s="135">
        <f>IF(ISNA(VLOOKUP(A176,'Données projet'!$A$165:$I$185,5,0)),0%,VLOOKUP(A176,'Données projet'!$A$165:$I$185,5,0)*VLOOKUP('Données projet'!$B$14,'Paramètres'!$A$1:$I$89,7,0))</f>
        <v>0</v>
      </c>
      <c r="DY176" s="135">
        <f>IF(ISNA(VLOOKUP(A176,'Données projet'!$A$165:$I$185,6,0)),0%,VLOOKUP(A176,'Données projet'!$A$165:$I$185,6,0)*VLOOKUP('Données projet'!$B$14,'Paramètres'!$A$1:$I$89,7,0))</f>
        <v>0</v>
      </c>
      <c r="DZ176" s="135">
        <f>IF(ISNA(VLOOKUP(A176,'Données projet'!$A$165:$I$185,7,0)),0%,VLOOKUP(A176,'Données projet'!$A$165:$I$185,7,0))</f>
        <v>0</v>
      </c>
      <c r="EA176" s="142">
        <f>EXP(-LN(2)/35)*EA175+(1-EXP(-LN(2)/35))/(LN(2)/35)*DW176*DX176*VLOOKUP('Données projet'!$B$14,'Paramètres'!$A$1:$I$89,3,0)*0.475*44/12</f>
        <v>82.19553604</v>
      </c>
      <c r="EB176" s="142">
        <f>EXP(-LN(2)/25)*EB175+(1-EXP(-LN(2)/25))/(LN(2)/25)*Calculateur!DW176*Calculateur!DY176*VLOOKUP('Données projet'!$B$14,'Paramètres'!$A$1:$I$89,3,0)*0.475*44/12</f>
        <v>0</v>
      </c>
      <c r="EC176" s="142">
        <f>EXP(-LN(2)/2)*EC175+(1-EXP(-LN(2)/2))/(LN(2)/2)*DW176*DZ176*VLOOKUP('Données projet'!$B$14,'Paramètres'!$A$1:$I$89,3,0)*0.475*44/12</f>
        <v>0</v>
      </c>
      <c r="ED176" s="143">
        <f t="shared" si="19"/>
        <v>82.19553604</v>
      </c>
      <c r="EE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1" t="str">
        <f>VLOOKUP(A176,'Données projet'!$A$191:$I$211,2,0)</f>
        <v>#N/A</v>
      </c>
      <c r="EH176" s="131" t="str">
        <f>VLOOKUP(A176,'Données projet'!$A$191:$I$211,9,0)</f>
        <v>#N/A</v>
      </c>
      <c r="EI176" s="131" t="str">
        <f t="array" ref="EI176">INDEX(EH:EH,MIN(IF(ISNUMBER(EH176:EH372),ROW(EH176:EH372),"")))</f>
        <v/>
      </c>
      <c r="EJ176" s="138">
        <f>IF('Données projet'!$A$192&gt;35,EJ175+EI176-ER175,IF(A176&lt;'Données projet'!$A$192,$EG$205^A176,IF(A176='Données projet'!$A$192,'Données projet'!$B$192,EJ175+EI176-ER175)))</f>
        <v>0</v>
      </c>
      <c r="EK176" s="138">
        <f>EJ176*VLOOKUP('Données projet'!$B$15,'Paramètres'!$A$1:$I$89,3,0)*VLOOKUP('Données projet'!$B$15,'Paramètres'!$A$1:$I$89,5,0)</f>
        <v>0</v>
      </c>
      <c r="EL176" s="130" t="str">
        <f t="shared" si="46"/>
        <v>#NUM!</v>
      </c>
      <c r="EM176" s="141" t="str">
        <f t="shared" si="20"/>
        <v>#NUM!</v>
      </c>
      <c r="EN176" s="133" t="str">
        <f t="shared" si="21"/>
        <v>#NUM!</v>
      </c>
      <c r="EO176" s="133">
        <f>AVERAGE(OFFSET($EN$3,0,0,'Données projet'!$E$15+1,1))-AVERAGE(OFFSET($H$3,0,0,'Données projet'!$E$15+1,1))</f>
        <v>130.3193339</v>
      </c>
      <c r="EP176" s="133">
        <f t="shared" si="47"/>
        <v>82.22784365</v>
      </c>
      <c r="EQ176" s="134">
        <f>IF(ISNA(VLOOKUP(A176,'Données projet'!$A$191:$I$211,3,0)),0,VLOOKUP(A176,'Données projet'!$A$191:$I$211,3,0))</f>
        <v>0</v>
      </c>
      <c r="ER176" s="134">
        <f>IF(ISNA(VLOOKUP(A176,'Données projet'!$A$191:$I$211,4,0)),0,VLOOKUP(A176,'Données projet'!$A$191:$I$211,4,0))</f>
        <v>0</v>
      </c>
      <c r="ES176" s="135">
        <f>IF(ISNA(VLOOKUP(A176,'Données projet'!$A$191:$I$211,5,0)),0%,VLOOKUP(A176,'Données projet'!$A$191:$I$211,5,0)*VLOOKUP('Données projet'!$B$15,'Paramètres'!$A$1:$I$89,7,0))</f>
        <v>0</v>
      </c>
      <c r="ET176" s="135">
        <f>IF(ISNA(VLOOKUP(A176,'Données projet'!$A$191:$I$211,6,0)),0%,VLOOKUP(A176,'Données projet'!$A$191:$I$211,6,0)*VLOOKUP('Données projet'!$B$15,'Paramètres'!$A$1:$I$89,7,0))</f>
        <v>0</v>
      </c>
      <c r="EU176" s="135">
        <f>IF(ISNA(VLOOKUP(A176,'Données projet'!$A$191:$I$211,7,0)),0%,VLOOKUP(A176,'Données projet'!$A$191:$I$211,7,0))</f>
        <v>0</v>
      </c>
      <c r="EV176" s="142">
        <f>EXP(-LN(2)/35)*EV175+(1-EXP(-LN(2)/35))/(LN(2)/35)*ER176*ES176*VLOOKUP('Données projet'!$B$15,'Paramètres'!$A$1:$I$89,3,0)*0.475*44/12</f>
        <v>16.8448935</v>
      </c>
      <c r="EW176" s="142">
        <f>EXP(-LN(2)/25)*EW175+(1-EXP(-LN(2)/25))/(LN(2)/25)*Calculateur!ER176*Calculateur!ET176*VLOOKUP('Données projet'!$B$15,'Paramètres'!$A$1:$I$89,3,0)*0.475*44/12</f>
        <v>0</v>
      </c>
      <c r="EX176" s="142">
        <f>EXP(-LN(2)/2)*EX175+(1-EXP(-LN(2)/2))/(LN(2)/2)*ER176*EU176*VLOOKUP('Données projet'!$B$15,'Paramètres'!$A$1:$I$89,3,0)*0.475*44/12</f>
        <v>0</v>
      </c>
      <c r="EY176" s="143">
        <f t="shared" si="22"/>
        <v>16.8448935</v>
      </c>
      <c r="EZ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1" t="str">
        <f>VLOOKUP(A176,'Données projet'!$A$217:$I$237,2,0)</f>
        <v>#N/A</v>
      </c>
      <c r="FC176" s="131" t="str">
        <f>VLOOKUP(A176,'Données projet'!$A$217:$I$237,9,0)</f>
        <v>#N/A</v>
      </c>
      <c r="FD176" s="131" t="str">
        <f t="array" ref="FD176">INDEX(FC:FC,MIN(IF(ISNUMBER(FC176:FC372),ROW(FC176:FC372),"")))</f>
        <v/>
      </c>
      <c r="FE176" s="130">
        <f>IF('Données projet'!$A$218&gt;35,FE175+FD176-FM175,IF(A176&lt;'Données projet'!$A$218,$FB$205^A176,IF(A176='Données projet'!$A$218,'Données projet'!$B$218,FE175+FD176-FM175)))</f>
        <v>0</v>
      </c>
      <c r="FF176" s="138">
        <f>FE176*VLOOKUP('Données projet'!$B$16,'Paramètres'!$A$1:$I$89,3,0)*VLOOKUP('Données projet'!$B$16,'Paramètres'!$A$1:$I$89,5,0)</f>
        <v>0</v>
      </c>
      <c r="FG176" s="130">
        <f t="shared" si="48"/>
        <v>0</v>
      </c>
      <c r="FH176" s="141">
        <f t="shared" si="23"/>
        <v>0</v>
      </c>
      <c r="FI176" s="133">
        <f t="shared" si="24"/>
        <v>293.3333333</v>
      </c>
      <c r="FJ176" s="133">
        <f>AVERAGE(OFFSET($FI$3,0,0,'Données projet'!$E$16+1,1))-AVERAGE(OFFSET($H$3,0,0,'Données projet'!$E$16+1,1))</f>
        <v>305.6252353</v>
      </c>
      <c r="FK176" s="133">
        <f t="shared" si="49"/>
        <v>331.397916</v>
      </c>
      <c r="FL176" s="134">
        <f>IF(ISNA(VLOOKUP(A176,'Données projet'!$A$217:$I$237,3,0)),0,VLOOKUP(A176,'Données projet'!$A$217:$I$237,3,0))</f>
        <v>0</v>
      </c>
      <c r="FM176" s="134">
        <f>IF(ISNA(VLOOKUP(A176,'Données projet'!$A$217:$I$237,4,0)),0,VLOOKUP(A176,'Données projet'!$A$217:$I$237,4,0))</f>
        <v>0</v>
      </c>
      <c r="FN176" s="135">
        <f>IF(ISNA(VLOOKUP(A176,'Données projet'!$A$217:$I$237,5,0)),0%,VLOOKUP(A176,'Données projet'!$A$217:$I$237,5,0)*VLOOKUP('Données projet'!$B$16,'Paramètres'!$A$1:$I$89,7,0))</f>
        <v>0</v>
      </c>
      <c r="FO176" s="135">
        <f>IF(ISNA(VLOOKUP(A176,'Données projet'!$A$217:$I$237,6,0)),0%,VLOOKUP(A176,'Données projet'!$A$217:$I$237,6,0)*VLOOKUP('Données projet'!$B$16,'Paramètres'!$A$1:$I$89,7,0))</f>
        <v>0</v>
      </c>
      <c r="FP176" s="135">
        <f>IF(ISNA(VLOOKUP(A176,'Données projet'!$A$217:$I$237,7,0)),0%,VLOOKUP(A176,'Données projet'!$A$217:$I$237,7,0))</f>
        <v>0</v>
      </c>
      <c r="FQ176" s="142">
        <f>EXP(-LN(2)/35)*FQ175+(1-EXP(-LN(2)/35))/(LN(2)/35)*FM176*FN176*VLOOKUP('Données projet'!$B$16,'Paramètres'!$A$1:$I$89,3,0)*0.475*44/12</f>
        <v>10.48813411</v>
      </c>
      <c r="FR176" s="142">
        <f>EXP(-LN(2)/25)*FR175+(1-EXP(-LN(2)/25))/(LN(2)/25)*Calculateur!FM176*Calculateur!FO176*VLOOKUP('Données projet'!$B$16,'Paramètres'!$A$1:$I$89,3,0)*0.475*44/12</f>
        <v>0</v>
      </c>
      <c r="FS176" s="142">
        <f>EXP(-LN(2)/2)*FS175+(1-EXP(-LN(2)/2))/(LN(2)/2)*FM176*FP176*VLOOKUP('Données projet'!$B$16,'Paramètres'!$A$1:$I$89,3,0)*0.475*44/12</f>
        <v>0</v>
      </c>
      <c r="FT176" s="143">
        <f t="shared" si="25"/>
        <v>10.48813411</v>
      </c>
      <c r="FU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1" t="str">
        <f>VLOOKUP(A176,'Données projet'!$A$243:$I$263,2,0)</f>
        <v>#N/A</v>
      </c>
      <c r="FX176" s="131" t="str">
        <f>VLOOKUP(A176,'Données projet'!$A$243:$I$263,9,0)</f>
        <v>#N/A</v>
      </c>
      <c r="FY176" s="131" t="str">
        <f t="array" ref="FY176">INDEX(FX:FX,MIN(IF(ISNUMBER(FX176:FX372),ROW(FX176:FX372),"")))</f>
        <v/>
      </c>
      <c r="FZ176" s="138">
        <f>IF('Données projet'!$A$244&gt;35,FZ175+FY176-GH175,IF(A176&lt;'Données projet'!$A$244,$FW$205^A176,IF(A176='Données projet'!$A$244,'Données projet'!$B$244,FZ175+FY176-GH175)))</f>
        <v>0</v>
      </c>
      <c r="GA176" s="138">
        <f>FZ176*VLOOKUP('Données projet'!$B$17,'Paramètres'!$A$1:$I$89,3,0)*VLOOKUP('Données projet'!$B$17,'Paramètres'!$A$1:$I$89,5,0)</f>
        <v>0</v>
      </c>
      <c r="GB176" s="130">
        <f t="shared" si="50"/>
        <v>0</v>
      </c>
      <c r="GC176" s="141">
        <f t="shared" si="26"/>
        <v>0</v>
      </c>
      <c r="GD176" s="133">
        <f t="shared" si="27"/>
        <v>293.3333333</v>
      </c>
      <c r="GE176" s="133">
        <f>AVERAGE(OFFSET($GD$3,0,0,'Données projet'!$E$17+1,1))-AVERAGE(OFFSET($H$3,0,0,'Données projet'!$E$17+1,1))</f>
        <v>118.7368745</v>
      </c>
      <c r="GF176" s="133">
        <f t="shared" si="51"/>
        <v>135.1233677</v>
      </c>
      <c r="GG176" s="134">
        <f>IF(ISNA(VLOOKUP(A176,'Données projet'!$A$243:$I$263,3,0)),0,VLOOKUP(A176,'Données projet'!$A$243:$I$263,3,0))</f>
        <v>0</v>
      </c>
      <c r="GH176" s="134">
        <f>IF(ISNA(VLOOKUP(A176,'Données projet'!$A$243:$I$263,4,0)),0,VLOOKUP(A176,'Données projet'!$A$243:$I$263,4,0))</f>
        <v>0</v>
      </c>
      <c r="GI176" s="135">
        <f>IF(ISNA(VLOOKUP(A176,'Données projet'!$A$243:$I$263,5,0)),0%,VLOOKUP(A176,'Données projet'!$A$243:$I$263,5,0)*VLOOKUP('Données projet'!$B$17,'Paramètres'!$A$1:$I$89,7,0))</f>
        <v>0</v>
      </c>
      <c r="GJ176" s="135">
        <f>IF(ISNA(VLOOKUP(A176,'Données projet'!$A$243:$I$263,6,0)),0%,VLOOKUP(A176,'Données projet'!$A$243:$I$263,6,0)*VLOOKUP('Données projet'!$B$17,'Paramètres'!$A$1:$I$89,7,0))</f>
        <v>0</v>
      </c>
      <c r="GK176" s="135">
        <f>IF(ISNA(VLOOKUP(A176,'Données projet'!$A$243:$I$263,7,0)),0%,VLOOKUP(A176,'Données projet'!$A$243:$I$263,7,0))</f>
        <v>0</v>
      </c>
      <c r="GL176" s="142">
        <f>EXP(-LN(2)/35)*GL175+(1-EXP(-LN(2)/35))/(LN(2)/35)*GH176*GI176*VLOOKUP('Données projet'!$B$17,'Paramètres'!$A$1:$I$89,3,0)*0.475*44/12</f>
        <v>11.08068125</v>
      </c>
      <c r="GM176" s="142">
        <f>EXP(-LN(2)/25)*GM175+(1-EXP(-LN(2)/25))/(LN(2)/25)*Calculateur!GH176*Calculateur!GJ176*VLOOKUP('Données projet'!$B$17,'Paramètres'!$A$1:$I$89,3,0)*0.475*44/12</f>
        <v>0</v>
      </c>
      <c r="GN176" s="142">
        <f>EXP(-LN(2)/2)*GN175+(1-EXP(-LN(2)/2))/(LN(2)/2)*GH176*GK176*VLOOKUP('Données projet'!$B$17,'Paramètres'!$A$1:$I$89,3,0)*0.475*44/12</f>
        <v>0</v>
      </c>
      <c r="GO176" s="142">
        <f t="shared" si="28"/>
        <v>11.08068125</v>
      </c>
      <c r="GP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1" t="str">
        <f>VLOOKUP(A176,'Données projet'!$A$269:$I$289,2,0)</f>
        <v>#N/A</v>
      </c>
      <c r="GS176" s="131" t="str">
        <f>VLOOKUP(A176,'Données projet'!$A$269:$I$289,9,0)</f>
        <v>#N/A</v>
      </c>
      <c r="GT176" s="131" t="str">
        <f t="array" ref="GT176">INDEX(GS:GS,MIN(IF(ISNUMBER(GS176:GS372),ROW(GS176:GS372),"")))</f>
        <v/>
      </c>
      <c r="GU176" s="138">
        <f>IF('Données projet'!$A$270&gt;35,GU175+GT176-HC175,IF(A176&lt;'Données projet'!$A$270,$GR$205^A176,IF(A176='Données projet'!$A$270,'Données projet'!$B$270,GU175+GT176-HC175)))</f>
        <v>0</v>
      </c>
      <c r="GV176" s="138">
        <f>GU176*VLOOKUP('Données projet'!$B$18,'Paramètres'!$A$1:$I$89,3,0)*VLOOKUP('Données projet'!$B$18,'Paramètres'!$A$1:$I$89,5,0)</f>
        <v>0</v>
      </c>
      <c r="GW176" s="130" t="str">
        <f t="shared" si="52"/>
        <v>#NUM!</v>
      </c>
      <c r="GX176" s="141" t="str">
        <f t="shared" si="29"/>
        <v>#NUM!</v>
      </c>
      <c r="GY176" s="133" t="str">
        <f t="shared" si="30"/>
        <v>#NUM!</v>
      </c>
      <c r="GZ176" s="133">
        <f>AVERAGE(OFFSET($GY$3,0,0,'Données projet'!$E$18+1,1))-AVERAGE(OFFSET($H$3,0,0,'Données projet'!$E$18+1,1))</f>
        <v>100.5427875</v>
      </c>
      <c r="HA176" s="133">
        <f t="shared" si="53"/>
        <v>92.28663609</v>
      </c>
      <c r="HB176" s="134">
        <f>IF(ISNA(VLOOKUP(A176,'Données projet'!$A$269:$I$289,3,0)),0,VLOOKUP(A176,'Données projet'!$A$269:$I$289,3,0))</f>
        <v>0</v>
      </c>
      <c r="HC176" s="134">
        <f>IF(ISNA(VLOOKUP(A176,'Données projet'!$A$269:$I$289,4,0)),0,VLOOKUP(A176,'Données projet'!$A$269:$I$289,4,0))</f>
        <v>0</v>
      </c>
      <c r="HD176" s="135">
        <f>IF(ISNA(VLOOKUP(A176,'Données projet'!$A$269:$I$289,5,0)),0%,VLOOKUP(A176,'Données projet'!$A$269:$I$289,5,0)*VLOOKUP('Données projet'!$B$18,'Paramètres'!$A$1:$I$89,7,0))</f>
        <v>0</v>
      </c>
      <c r="HE176" s="135">
        <f>IF(ISNA(VLOOKUP(A176,'Données projet'!$A$269:$I$289,6,0)),0%,VLOOKUP(A176,'Données projet'!$A$269:$I$289,6,0)*VLOOKUP('Données projet'!$B$18,'Paramètres'!$A$1:$I$89,7,0))</f>
        <v>0</v>
      </c>
      <c r="HF176" s="135">
        <f>IF(ISNA(VLOOKUP(A176,'Données projet'!$A$269:$I$289,7,0)),0%,VLOOKUP(A176,'Données projet'!$A$269:$I$289,7,0))</f>
        <v>0</v>
      </c>
      <c r="HG176" s="142">
        <f>EXP(-LN(2)/35)*HG175+(1-EXP(-LN(2)/35))/(LN(2)/35)*HC176*HD176*VLOOKUP('Données projet'!$B$18,'Paramètres'!$A$1:$I$89,3,0)*0.475*44/12</f>
        <v>7.545710172</v>
      </c>
      <c r="HH176" s="142">
        <f>EXP(-LN(2)/25)*HH175+(1-EXP(-LN(2)/25))/(LN(2)/25)*Calculateur!HC176*Calculateur!HE176*VLOOKUP('Données projet'!$B$18,'Paramètres'!$A$1:$I$89,3,0)*0.475*44/12</f>
        <v>0</v>
      </c>
      <c r="HI176" s="142">
        <f>EXP(-LN(2)/2)*HI175+(1-EXP(-LN(2)/2))/(LN(2)/2)*HC176*HF176*VLOOKUP('Données projet'!$B$18,'Paramètres'!$A$1:$I$89,3,0)*0.475*44/12</f>
        <v>0</v>
      </c>
      <c r="HJ176" s="143">
        <f t="shared" si="31"/>
        <v>7.545710172</v>
      </c>
    </row>
    <row r="177" ht="15.75" customHeight="1">
      <c r="A177" s="125">
        <f t="shared" si="32"/>
        <v>174</v>
      </c>
      <c r="B177" s="126">
        <f>'Scénario référence'!$B$16*5+'Scénario référence'!$B$17*0+'Scénario référence'!$B$18*5</f>
        <v>0</v>
      </c>
      <c r="C177" s="140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77" s="127">
        <f t="shared" si="33"/>
        <v>25.76824255</v>
      </c>
      <c r="E17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7">
        <f>IF(OR('Scénario référence'!$F$8&gt;0,'Scénario référence'!$F$9&gt;0),('Scénario référence'!$F$8+'Scénario référence'!$F$9)*10,0)</f>
        <v>10</v>
      </c>
      <c r="G177" s="127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</v>
      </c>
      <c r="H177" s="128">
        <f t="shared" si="1"/>
        <v>503.6783224</v>
      </c>
      <c r="I177" s="12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1" t="str">
        <f>VLOOKUP(A177,'Données projet'!$A$35:$I$55,2,0)</f>
        <v>#N/A</v>
      </c>
      <c r="L177" s="131" t="str">
        <f>VLOOKUP(A177,'Données projet'!$A$35:$I$55,9,0)</f>
        <v>#N/A</v>
      </c>
      <c r="M177" s="131" t="str">
        <f t="array" ref="M177">INDEX(L:L,MIN(IF(ISNUMBER(L177:L373),ROW(L177:L373),"")))</f>
        <v/>
      </c>
      <c r="N177" s="130">
        <f>IF('Données projet'!$A$36&gt;35,N176+M177-V176,IF(A177&lt;'Données projet'!$A$36,$K$205^A177,IF(A177='Données projet'!$A$36,'Données projet'!$B$36,N176+M177-V176)))</f>
        <v>0</v>
      </c>
      <c r="O177" s="130">
        <f>N177*VLOOKUP('Données projet'!$B$9,'Paramètres'!$A$1:$I$89,3,0)*VLOOKUP('Données projet'!$B$9,'Paramètres'!$A$1:$I$89,5,0)</f>
        <v>0</v>
      </c>
      <c r="P177" s="130">
        <f t="shared" si="34"/>
        <v>0</v>
      </c>
      <c r="Q177" s="141">
        <f t="shared" si="2"/>
        <v>0</v>
      </c>
      <c r="R177" s="133">
        <f t="shared" si="3"/>
        <v>293.3333333</v>
      </c>
      <c r="S177" s="133">
        <f>AVERAGE(OFFSET($R$3,0,0,'Données projet'!$E$9+1,1))-AVERAGE(OFFSET($H$3,0,0,'Données projet'!$E$9+1,1))</f>
        <v>126.9946492</v>
      </c>
      <c r="T177" s="133">
        <f t="shared" si="35"/>
        <v>140.039049</v>
      </c>
      <c r="U177" s="134">
        <f>IF(ISNA(VLOOKUP(A177,'Données projet'!$A$35:$I$55,3,0)),0,VLOOKUP(A177,'Données projet'!$A$35:$I$55,3,0))</f>
        <v>0</v>
      </c>
      <c r="V177" s="134">
        <f>IF(ISNA(VLOOKUP(A177,'Données projet'!$A$35:$I$55,4,0)),0,VLOOKUP(A177,'Données projet'!$A$35:$I$55,4,0))</f>
        <v>0</v>
      </c>
      <c r="W177" s="135">
        <f>IF(ISNA(VLOOKUP(A177,'Données projet'!$A$35:$I$55,5,0)),0%,VLOOKUP(A177,'Données projet'!$A$35:$I$55,5,0)*VLOOKUP('Données projet'!$B$9,'Paramètres'!$A$1:$I$89,7,0))</f>
        <v>0</v>
      </c>
      <c r="X177" s="135">
        <f>IF(ISNA(VLOOKUP(A177,'Données projet'!$A$35:$I$55,6,0)),0%,VLOOKUP(A177,'Données projet'!$A$35:$I$55,6,0)*VLOOKUP('Données projet'!$B$9,'Paramètres'!$A$1:$I$89,7,0))</f>
        <v>0</v>
      </c>
      <c r="Y177" s="135">
        <f>IF(ISNA(VLOOKUP(A177,'Données projet'!$A$35:$I$55,7,0)),0%,VLOOKUP(A177,'Données projet'!$A$35:$I$55,7,0))</f>
        <v>0</v>
      </c>
      <c r="Z177" s="142">
        <f>EXP(-LN(2)/35)*Z176+(1-EXP(-LN(2)/35))/(LN(2)/35)*V177*W177*VLOOKUP('Données projet'!$B$9,'Paramètres'!$A$1:$I$89,3,0)*0.475*44/12</f>
        <v>11.11083572</v>
      </c>
      <c r="AA177" s="142">
        <f>EXP(-LN(2)/25)*AA176+(1-EXP(-LN(2)/25))/(LN(2)/25)*Calculateur!V177*Calculateur!X177*VLOOKUP('Données projet'!$B$9,'Paramètres'!$A$1:$I$89,3,0)*0.475*44/12</f>
        <v>0.9851765505</v>
      </c>
      <c r="AB177" s="142">
        <f>EXP(-LN(2)/2)*AB176+(1-EXP(-LN(2)/2))/(LN(2)/2)*V177*Y177*VLOOKUP('Données projet'!$B$9,'Paramètres'!$A$1:$I$89,3,0)*0.475*44/12</f>
        <v>0</v>
      </c>
      <c r="AC177" s="143">
        <f t="shared" si="4"/>
        <v>12.09601227</v>
      </c>
      <c r="AD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1" t="str">
        <f>VLOOKUP(A177,'Données projet'!$A$61:$I$81,2,0)</f>
        <v>#N/A</v>
      </c>
      <c r="AG177" s="131" t="str">
        <f>VLOOKUP(A177,'Données projet'!$A$61:$I$81,9,0)</f>
        <v>#N/A</v>
      </c>
      <c r="AH177" s="131" t="str">
        <f t="array" ref="AH177">INDEX(AG:AG,MIN(IF(ISNUMBER(AG177:AG373),ROW(AG177:AG373),"")))</f>
        <v/>
      </c>
      <c r="AI177" s="130">
        <f>IF('Données projet'!$A$62&gt;35,AI176+AH177-AQ176,IF(A177&lt;'Données projet'!$A$62,$AF$205^A177,IF(A177='Données projet'!$A$62,'Données projet'!$B$62,AI176+AH177-AQ176)))</f>
        <v>0</v>
      </c>
      <c r="AJ177" s="130">
        <f>AI177*VLOOKUP('Données projet'!$B$10,'Paramètres'!$A$1:$I$89,3,0)*VLOOKUP('Données projet'!$B$10,'Paramètres'!$A$1:$I$89,5,0)</f>
        <v>0</v>
      </c>
      <c r="AK177" s="130" t="str">
        <f t="shared" si="36"/>
        <v>#NUM!</v>
      </c>
      <c r="AL177" s="141" t="str">
        <f t="shared" si="5"/>
        <v>#NUM!</v>
      </c>
      <c r="AM177" s="133" t="str">
        <f t="shared" si="6"/>
        <v>#NUM!</v>
      </c>
      <c r="AN177" s="133">
        <f>AVERAGE(OFFSET($AM$3,0,0,'Données projet'!$E$10+1,1))-AVERAGE(OFFSET($H$3,0,0,'Données projet'!$E$10+1,1))</f>
        <v>196.874484</v>
      </c>
      <c r="AO177" s="133">
        <f t="shared" si="37"/>
        <v>217.5750859</v>
      </c>
      <c r="AP177" s="134">
        <f>IF(ISNA(VLOOKUP(A177,'Données projet'!$A$61:$I$81,3,0)),0,VLOOKUP(A177,'Données projet'!$A$61:$I$81,3,0))</f>
        <v>0</v>
      </c>
      <c r="AQ177" s="134">
        <f>IF(ISNA(VLOOKUP(A177,'Données projet'!$A$61:$I$81,4,0)),0,VLOOKUP(A177,'Données projet'!$A$61:$I$81,4,0))</f>
        <v>0</v>
      </c>
      <c r="AR177" s="135">
        <f>IF(ISNA(VLOOKUP(A177,'Données projet'!$A$61:$I$81,5,0)),0%,VLOOKUP(A177,'Données projet'!$A$61:$I$81,5,0)*VLOOKUP('Données projet'!$B$10,'Paramètres'!$A$1:$I$89,7,0))</f>
        <v>0</v>
      </c>
      <c r="AS177" s="135">
        <f>IF(ISNA(VLOOKUP(A177,'Données projet'!$A$61:$I$81,6,0)),0%,VLOOKUP(A177,'Données projet'!$A$61:$I$81,6,0)*VLOOKUP('Données projet'!$B$10,'Paramètres'!$A$1:$I$89,7,0))</f>
        <v>0</v>
      </c>
      <c r="AT177" s="135">
        <f>IF(ISNA(VLOOKUP(A177,'Données projet'!$A$61:$I$81,7,0)),0%,VLOOKUP(A177,'Données projet'!$A$61:$I$81,7,0))</f>
        <v>0</v>
      </c>
      <c r="AU177" s="142">
        <f>EXP(-LN(2)/35)*AU176+(1-EXP(-LN(2)/35))/(LN(2)/35)*AQ177*AR177*VLOOKUP('Données projet'!$B$10,'Paramètres'!$A$1:$I$89,3,0)*0.475*44/12</f>
        <v>15.44374607</v>
      </c>
      <c r="AV177" s="142">
        <f>EXP(-LN(2)/25)*AV176+(1-EXP(-LN(2)/25))/(LN(2)/25)*Calculateur!AQ177*Calculateur!AS177*VLOOKUP('Données projet'!$B$10,'Paramètres'!$A$1:$I$89,3,0)*0.475*44/12</f>
        <v>1.514710263</v>
      </c>
      <c r="AW177" s="142">
        <f>EXP(-LN(2)/2)*AW176+(1-EXP(-LN(2)/2))/(LN(2)/2)*AQ177*AT177*VLOOKUP('Données projet'!$B$10,'Paramètres'!$A$1:$I$89,3,0)*0.475*44/12</f>
        <v>0</v>
      </c>
      <c r="AX177" s="142">
        <f t="shared" si="7"/>
        <v>16.95845633</v>
      </c>
      <c r="AY177" s="13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1" t="str">
        <f>VLOOKUP(A177,'Données projet'!$A$87:$I$107,2,0)</f>
        <v>#N/A</v>
      </c>
      <c r="BB177" s="131" t="str">
        <f>VLOOKUP(A177,'Données projet'!$A$87:$I$107,9,0)</f>
        <v>#N/A</v>
      </c>
      <c r="BC177" s="131" t="str">
        <f t="array" ref="BC177">INDEX(BB:BB,MIN(IF(ISNUMBER(BB177:BB373),ROW(BB177:BB373),"")))</f>
        <v/>
      </c>
      <c r="BD177" s="130">
        <f>IF('Données projet'!$A$88&gt;35,BD176+BC177-BL176,IF(A177&lt;'Données projet'!$A$88,$BA$205^A177,IF(A177='Données projet'!$A$88,'Données projet'!$B$88,BD176+BC177-BL176)))</f>
        <v>0</v>
      </c>
      <c r="BE177" s="130">
        <f>BD177*VLOOKUP('Données projet'!$B$11,'Paramètres'!$A$1:$I$89,3,0)*VLOOKUP('Données projet'!$B$11,'Paramètres'!$A$1:$I$89,5,0)</f>
        <v>0</v>
      </c>
      <c r="BF177" s="130" t="str">
        <f t="shared" si="38"/>
        <v>#NUM!</v>
      </c>
      <c r="BG177" s="141" t="str">
        <f t="shared" si="8"/>
        <v>#NUM!</v>
      </c>
      <c r="BH177" s="133" t="str">
        <f t="shared" si="9"/>
        <v>#NUM!</v>
      </c>
      <c r="BI177" s="133">
        <f>AVERAGE(OFFSET($BH$3,0,0,'Données projet'!$E$11+1,1))-AVERAGE(OFFSET($H$3,0,0,'Données projet'!$E$11+1,1))</f>
        <v>134.0948534</v>
      </c>
      <c r="BJ177" s="133">
        <f t="shared" si="39"/>
        <v>108.4102536</v>
      </c>
      <c r="BK177" s="134">
        <f>IF(ISNA(VLOOKUP(A177,'Données projet'!$A$87:$I$107,3,0)),0,VLOOKUP(A177,'Données projet'!$A$87:$I$107,3,0))</f>
        <v>0</v>
      </c>
      <c r="BL177" s="134">
        <f>IF(ISNA(VLOOKUP(A177,'Données projet'!$A$87:$I$107,4,0)),0,VLOOKUP(A177,'Données projet'!$A$87:$I$107,4,0))</f>
        <v>0</v>
      </c>
      <c r="BM177" s="135">
        <f>IF(ISNA(VLOOKUP(A177,'Données projet'!$A$87:$I$107,5,0)),0%,VLOOKUP(A177,'Données projet'!$A$87:$I$107,5,0)*VLOOKUP('Données projet'!$B$11,'Paramètres'!$A$1:$I$89,7,0))</f>
        <v>0</v>
      </c>
      <c r="BN177" s="135">
        <f>IF(ISNA(VLOOKUP(A177,'Données projet'!$A$87:$I$107,6,0)),0%,VLOOKUP(A177,'Données projet'!$A$87:$I$107,6,0)*VLOOKUP('Données projet'!$B$11,'Paramètres'!$A$1:$I$89,7,0))</f>
        <v>0</v>
      </c>
      <c r="BO177" s="135">
        <f>IF(ISNA(VLOOKUP(A177,'Données projet'!$A$87:$I$107,7,0)),0%,VLOOKUP(A177,'Données projet'!$A$87:$I$107,7,0))</f>
        <v>0</v>
      </c>
      <c r="BP177" s="142">
        <f>EXP(-LN(2)/35)*BP176+(1-EXP(-LN(2)/35))/(LN(2)/35)*BL177*BM177*VLOOKUP('Données projet'!$B$11,'Paramètres'!$A$1:$I$89,3,0)*0.475*44/12</f>
        <v>21.36158506</v>
      </c>
      <c r="BQ177" s="142">
        <f>EXP(-LN(2)/25)*BQ176+(1-EXP(-LN(2)/25))/(LN(2)/25)*Calculateur!BL177*Calculateur!BN177*VLOOKUP('Données projet'!$B$11,'Paramètres'!$A$1:$I$89,3,0)*0.475*44/12</f>
        <v>0.9554805342</v>
      </c>
      <c r="BR177" s="142">
        <f>EXP(-LN(2)/2)*BR176+(1-EXP(-LN(2)/2))/(LN(2)/2)*BL177*BO177*VLOOKUP('Données projet'!$B$11,'Paramètres'!$A$1:$I$89,3,0)*0.475*44/12</f>
        <v>0</v>
      </c>
      <c r="BS177" s="143">
        <f t="shared" si="10"/>
        <v>22.31706559</v>
      </c>
      <c r="BT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1" t="str">
        <f>VLOOKUP(A177,'Données projet'!$A$113:$I$133,2,0)</f>
        <v>#N/A</v>
      </c>
      <c r="BW177" s="131" t="str">
        <f>VLOOKUP(A177,'Données projet'!$A$113:$I$133,9,0)</f>
        <v>#N/A</v>
      </c>
      <c r="BX177" s="131" t="str">
        <f t="array" ref="BX177">INDEX(BW:BW,MIN(IF(ISNUMBER(BW177:BW373),ROW(BW177:BW373),"")))</f>
        <v/>
      </c>
      <c r="BY177" s="130">
        <f>IF('Données projet'!$A$114&gt;35,BY176+BX177-CG176,IF(A177&lt;'Données projet'!$A$114,$BV$205^A177,IF(A177='Données projet'!$A$114,'Données projet'!$B$114,BY176+BX177-CG176)))</f>
        <v>0</v>
      </c>
      <c r="BZ177" s="130">
        <f>BY177*VLOOKUP('Données projet'!$B$12,'Paramètres'!$A$1:$I$89,3,0)*VLOOKUP('Données projet'!$B$12,'Paramètres'!$A$1:$I$89,5,0)</f>
        <v>0</v>
      </c>
      <c r="CA177" s="130" t="str">
        <f t="shared" si="40"/>
        <v>#NUM!</v>
      </c>
      <c r="CB177" s="141" t="str">
        <f t="shared" si="11"/>
        <v>#NUM!</v>
      </c>
      <c r="CC177" s="133" t="str">
        <f t="shared" si="12"/>
        <v>#NUM!</v>
      </c>
      <c r="CD177" s="133">
        <f>AVERAGE(OFFSET($CC$3,0,0,'Données projet'!$E$12+1,1))-AVERAGE(OFFSET($H$3,0,0,'Données projet'!$E$12+1,1))</f>
        <v>258.1672054</v>
      </c>
      <c r="CE177" s="133">
        <f t="shared" si="41"/>
        <v>296.0724261</v>
      </c>
      <c r="CF177" s="134">
        <f>IF(ISNA(VLOOKUP(A177,'Données projet'!$A$113:$I$133,3,0)),0,VLOOKUP(A177,'Données projet'!$A$113:$I$133,3,0))</f>
        <v>0</v>
      </c>
      <c r="CG177" s="134">
        <f>IF(ISNA(VLOOKUP(A177,'Données projet'!$A$113:$I$133,4,0)),0,VLOOKUP(A177,'Données projet'!$A$113:$I$133,4,0))</f>
        <v>0</v>
      </c>
      <c r="CH177" s="135">
        <f>IF(ISNA(VLOOKUP(A177,'Données projet'!$A$113:$I$133,5,0)),0%,VLOOKUP(A177,'Données projet'!$A$113:$I$133,5,0)*VLOOKUP('Données projet'!$B$12,'Paramètres'!$A$1:$I$89,7,0))</f>
        <v>0</v>
      </c>
      <c r="CI177" s="135">
        <f>IF(ISNA(VLOOKUP(A177,'Données projet'!$A$113:$I$133,6,0)),0%,VLOOKUP(A177,'Données projet'!$A$113:$I$133,6,0)*VLOOKUP('Données projet'!$B$12,'Paramètres'!$A$1:$I$89,7,0))</f>
        <v>0</v>
      </c>
      <c r="CJ177" s="135">
        <f>IF(ISNA(VLOOKUP(A177,'Données projet'!$A$113:$I$133,7,0)),0%,VLOOKUP(A177,'Données projet'!$A$113:$I$133,7,0))</f>
        <v>0</v>
      </c>
      <c r="CK177" s="142">
        <f>EXP(-LN(2)/35)*CK176+(1-EXP(-LN(2)/35))/(LN(2)/35)*CG177*CH177*VLOOKUP('Données projet'!$B$12,'Paramètres'!$A$1:$I$89,3,0)*0.475*44/12</f>
        <v>27.00757829</v>
      </c>
      <c r="CL177" s="142">
        <f>EXP(-LN(2)/25)*CL176+(1-EXP(-LN(2)/25))/(LN(2)/25)*Calculateur!CG177*Calculateur!CI177*VLOOKUP('Données projet'!$B$12,'Paramètres'!$A$1:$I$89,3,0)*0.475*44/12</f>
        <v>1.675967097</v>
      </c>
      <c r="CM177" s="142">
        <f>EXP(-LN(2)/2)*CM176+(1-EXP(-LN(2)/2))/(LN(2)/2)*CG177*CJ177*VLOOKUP('Données projet'!$B$12,'Paramètres'!$A$1:$I$89,3,0)*0.475*44/12</f>
        <v>0</v>
      </c>
      <c r="CN177" s="143">
        <f t="shared" si="13"/>
        <v>28.68354539</v>
      </c>
      <c r="CO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1" t="str">
        <f>VLOOKUP(A177,'Données projet'!$A$139:$I$159,2,0)</f>
        <v>#N/A</v>
      </c>
      <c r="CR177" s="131" t="str">
        <f>VLOOKUP(A177,'Données projet'!$A$139:$I$159,9,0)</f>
        <v>#N/A</v>
      </c>
      <c r="CS177" s="131" t="str">
        <f t="array" ref="CS177">INDEX(CR:CR,MIN(IF(ISNUMBER(CR177:CR373),ROW(CR177:CR373),"")))</f>
        <v/>
      </c>
      <c r="CT177" s="138">
        <f>IF('Données projet'!$A$140&gt;35,CT176+CS177-DB176,IF(A177&lt;'Données projet'!$A$140,$CQ$205^A177,IF(A177='Données projet'!$A$140,'Données projet'!$B$140,CT176+CS177-DB176)))</f>
        <v>0</v>
      </c>
      <c r="CU177" s="138">
        <f>CT177*VLOOKUP('Données projet'!$B$13,'Paramètres'!$A$1:$I$89,3,0)*VLOOKUP('Données projet'!$B$13,'Paramètres'!$A$1:$I$89,5,0)</f>
        <v>0</v>
      </c>
      <c r="CV177" s="130" t="str">
        <f t="shared" si="42"/>
        <v>#NUM!</v>
      </c>
      <c r="CW177" s="141" t="str">
        <f t="shared" si="14"/>
        <v>#NUM!</v>
      </c>
      <c r="CX177" s="133" t="str">
        <f t="shared" si="15"/>
        <v>#NUM!</v>
      </c>
      <c r="CY177" s="133">
        <f>AVERAGE(OFFSET($CX$3,0,0,'Données projet'!$E$13+1,1))-AVERAGE(OFFSET($H$3,0,0,'Données projet'!$E$13+1,1))</f>
        <v>223.783507</v>
      </c>
      <c r="CZ177" s="133">
        <f t="shared" si="43"/>
        <v>84.92349117</v>
      </c>
      <c r="DA177" s="134">
        <f>IF(ISNA(VLOOKUP(A177,'Données projet'!$A$139:$I$159,3,0)),0,VLOOKUP(A177,'Données projet'!$A$139:$I$159,3,0))</f>
        <v>0</v>
      </c>
      <c r="DB177" s="134">
        <f>IF(ISNA(VLOOKUP(A177,'Données projet'!$A$139:$I$159,4,0)),0,VLOOKUP(A177,'Données projet'!$A$139:$I$159,4,0))</f>
        <v>0</v>
      </c>
      <c r="DC177" s="135">
        <f>IF(ISNA(VLOOKUP(A177,'Données projet'!$A$139:$I$159,5,0)),0%,VLOOKUP(A177,'Données projet'!$A$139:$I$159,5,0)*VLOOKUP('Données projet'!$B$13,'Paramètres'!$A$1:$I$89,7,0))</f>
        <v>0</v>
      </c>
      <c r="DD177" s="135">
        <f>IF(ISNA(VLOOKUP(A177,'Données projet'!$A$139:$I$159,6,0)),0%,VLOOKUP(A177,'Données projet'!$A$139:$I$159,6,0)*VLOOKUP('Données projet'!$B$13,'Paramètres'!$A$1:$I$89,7,0))</f>
        <v>0</v>
      </c>
      <c r="DE177" s="135">
        <f>IF(ISNA(VLOOKUP(A177,'Données projet'!$A$139:$I$159,7,0)),0%,VLOOKUP(A177,'Données projet'!$A$139:$I$159,7,0))</f>
        <v>0</v>
      </c>
      <c r="DF177" s="142">
        <f>EXP(-LN(2)/35)*DF176+(1-EXP(-LN(2)/35))/(LN(2)/35)*DB177*DC177*VLOOKUP('Données projet'!$B$13,'Paramètres'!$A$1:$I$89,3,0)*0.475*44/12</f>
        <v>69.36605842</v>
      </c>
      <c r="DG177" s="142">
        <f>EXP(-LN(2)/25)*DG176+(1-EXP(-LN(2)/25))/(LN(2)/25)*Calculateur!DB177*Calculateur!DD177*VLOOKUP('Données projet'!$B$13,'Paramètres'!$A$1:$I$89,3,0)*0.475*44/12</f>
        <v>0</v>
      </c>
      <c r="DH177" s="142">
        <f>EXP(-LN(2)/2)*DH176+(1-EXP(-LN(2)/2))/(LN(2)/2)*DB177*DE177*VLOOKUP('Données projet'!$B$13,'Paramètres'!$A$1:$I$89,3,0)*0.475*44/12</f>
        <v>0</v>
      </c>
      <c r="DI177" s="143">
        <f t="shared" si="16"/>
        <v>69.36605842</v>
      </c>
      <c r="DJ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1" t="str">
        <f>VLOOKUP(A177,'Données projet'!$A$165:$I$185,2,0)</f>
        <v>#N/A</v>
      </c>
      <c r="DM177" s="131" t="str">
        <f>VLOOKUP(A177,'Données projet'!$A$165:$I$185,9,0)</f>
        <v>#N/A</v>
      </c>
      <c r="DN177" s="131" t="str">
        <f t="array" ref="DN177">INDEX(DM:DM,MIN(IF(ISNUMBER(DM177:DM373),ROW(DM177:DM373),"")))</f>
        <v/>
      </c>
      <c r="DO177" s="138">
        <f>IF('Données projet'!$A$166&gt;35,DO176+DN177-DW176,IF(A177&lt;'Données projet'!$A$166,$DL$205^A177,IF(A177='Données projet'!$A$166,'Données projet'!$B$166,DO176+DN177-DW176)))</f>
        <v>0</v>
      </c>
      <c r="DP177" s="138">
        <f>DO177*VLOOKUP('Données projet'!$B$14,'Paramètres'!$A$1:$I$89,3,0)*VLOOKUP('Données projet'!$B$14,'Paramètres'!$A$1:$I$89,5,0)</f>
        <v>0</v>
      </c>
      <c r="DQ177" s="130" t="str">
        <f t="shared" si="44"/>
        <v>#NUM!</v>
      </c>
      <c r="DR177" s="141" t="str">
        <f t="shared" si="17"/>
        <v>#NUM!</v>
      </c>
      <c r="DS177" s="133" t="str">
        <f t="shared" si="18"/>
        <v>#NUM!</v>
      </c>
      <c r="DT177" s="133">
        <f>AVERAGE(OFFSET($DS$3,0,0,'Données projet'!$E$14+1,1))-AVERAGE(OFFSET($H$3,0,0,'Données projet'!$E$14+1,1))</f>
        <v>287.9334714</v>
      </c>
      <c r="DU177" s="133">
        <f t="shared" si="45"/>
        <v>156.6796502</v>
      </c>
      <c r="DV177" s="134">
        <f>IF(ISNA(VLOOKUP(A177,'Données projet'!$A$165:$I$185,3,0)),0,VLOOKUP(A177,'Données projet'!$A$165:$I$185,3,0))</f>
        <v>0</v>
      </c>
      <c r="DW177" s="134">
        <f>IF(ISNA(VLOOKUP(A177,'Données projet'!$A$165:$I$185,4,0)),0,VLOOKUP(A177,'Données projet'!$A$165:$I$185,4,0))</f>
        <v>0</v>
      </c>
      <c r="DX177" s="135">
        <f>IF(ISNA(VLOOKUP(A177,'Données projet'!$A$165:$I$185,5,0)),0%,VLOOKUP(A177,'Données projet'!$A$165:$I$185,5,0)*VLOOKUP('Données projet'!$B$14,'Paramètres'!$A$1:$I$89,7,0))</f>
        <v>0</v>
      </c>
      <c r="DY177" s="135">
        <f>IF(ISNA(VLOOKUP(A177,'Données projet'!$A$165:$I$185,6,0)),0%,VLOOKUP(A177,'Données projet'!$A$165:$I$185,6,0)*VLOOKUP('Données projet'!$B$14,'Paramètres'!$A$1:$I$89,7,0))</f>
        <v>0</v>
      </c>
      <c r="DZ177" s="135">
        <f>IF(ISNA(VLOOKUP(A177,'Données projet'!$A$165:$I$185,7,0)),0%,VLOOKUP(A177,'Données projet'!$A$165:$I$185,7,0))</f>
        <v>0</v>
      </c>
      <c r="EA177" s="142">
        <f>EXP(-LN(2)/35)*EA176+(1-EXP(-LN(2)/35))/(LN(2)/35)*DW177*DX177*VLOOKUP('Données projet'!$B$14,'Paramètres'!$A$1:$I$89,3,0)*0.475*44/12</f>
        <v>80.58373171</v>
      </c>
      <c r="EB177" s="142">
        <f>EXP(-LN(2)/25)*EB176+(1-EXP(-LN(2)/25))/(LN(2)/25)*Calculateur!DW177*Calculateur!DY177*VLOOKUP('Données projet'!$B$14,'Paramètres'!$A$1:$I$89,3,0)*0.475*44/12</f>
        <v>0</v>
      </c>
      <c r="EC177" s="142">
        <f>EXP(-LN(2)/2)*EC176+(1-EXP(-LN(2)/2))/(LN(2)/2)*DW177*DZ177*VLOOKUP('Données projet'!$B$14,'Paramètres'!$A$1:$I$89,3,0)*0.475*44/12</f>
        <v>0</v>
      </c>
      <c r="ED177" s="143">
        <f t="shared" si="19"/>
        <v>80.58373171</v>
      </c>
      <c r="EE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1" t="str">
        <f>VLOOKUP(A177,'Données projet'!$A$191:$I$211,2,0)</f>
        <v>#N/A</v>
      </c>
      <c r="EH177" s="131" t="str">
        <f>VLOOKUP(A177,'Données projet'!$A$191:$I$211,9,0)</f>
        <v>#N/A</v>
      </c>
      <c r="EI177" s="131" t="str">
        <f t="array" ref="EI177">INDEX(EH:EH,MIN(IF(ISNUMBER(EH177:EH373),ROW(EH177:EH373),"")))</f>
        <v/>
      </c>
      <c r="EJ177" s="138">
        <f>IF('Données projet'!$A$192&gt;35,EJ176+EI177-ER176,IF(A177&lt;'Données projet'!$A$192,$EG$205^A177,IF(A177='Données projet'!$A$192,'Données projet'!$B$192,EJ176+EI177-ER176)))</f>
        <v>0</v>
      </c>
      <c r="EK177" s="138">
        <f>EJ177*VLOOKUP('Données projet'!$B$15,'Paramètres'!$A$1:$I$89,3,0)*VLOOKUP('Données projet'!$B$15,'Paramètres'!$A$1:$I$89,5,0)</f>
        <v>0</v>
      </c>
      <c r="EL177" s="130" t="str">
        <f t="shared" si="46"/>
        <v>#NUM!</v>
      </c>
      <c r="EM177" s="141" t="str">
        <f t="shared" si="20"/>
        <v>#NUM!</v>
      </c>
      <c r="EN177" s="133" t="str">
        <f t="shared" si="21"/>
        <v>#NUM!</v>
      </c>
      <c r="EO177" s="133">
        <f>AVERAGE(OFFSET($EN$3,0,0,'Données projet'!$E$15+1,1))-AVERAGE(OFFSET($H$3,0,0,'Données projet'!$E$15+1,1))</f>
        <v>130.3193339</v>
      </c>
      <c r="EP177" s="133">
        <f t="shared" si="47"/>
        <v>82.22784365</v>
      </c>
      <c r="EQ177" s="134">
        <f>IF(ISNA(VLOOKUP(A177,'Données projet'!$A$191:$I$211,3,0)),0,VLOOKUP(A177,'Données projet'!$A$191:$I$211,3,0))</f>
        <v>0</v>
      </c>
      <c r="ER177" s="134">
        <f>IF(ISNA(VLOOKUP(A177,'Données projet'!$A$191:$I$211,4,0)),0,VLOOKUP(A177,'Données projet'!$A$191:$I$211,4,0))</f>
        <v>0</v>
      </c>
      <c r="ES177" s="135">
        <f>IF(ISNA(VLOOKUP(A177,'Données projet'!$A$191:$I$211,5,0)),0%,VLOOKUP(A177,'Données projet'!$A$191:$I$211,5,0)*VLOOKUP('Données projet'!$B$15,'Paramètres'!$A$1:$I$89,7,0))</f>
        <v>0</v>
      </c>
      <c r="ET177" s="135">
        <f>IF(ISNA(VLOOKUP(A177,'Données projet'!$A$191:$I$211,6,0)),0%,VLOOKUP(A177,'Données projet'!$A$191:$I$211,6,0)*VLOOKUP('Données projet'!$B$15,'Paramètres'!$A$1:$I$89,7,0))</f>
        <v>0</v>
      </c>
      <c r="EU177" s="135">
        <f>IF(ISNA(VLOOKUP(A177,'Données projet'!$A$191:$I$211,7,0)),0%,VLOOKUP(A177,'Données projet'!$A$191:$I$211,7,0))</f>
        <v>0</v>
      </c>
      <c r="EV177" s="142">
        <f>EXP(-LN(2)/35)*EV176+(1-EXP(-LN(2)/35))/(LN(2)/35)*ER177*ES177*VLOOKUP('Données projet'!$B$15,'Paramètres'!$A$1:$I$89,3,0)*0.475*44/12</f>
        <v>16.51457541</v>
      </c>
      <c r="EW177" s="142">
        <f>EXP(-LN(2)/25)*EW176+(1-EXP(-LN(2)/25))/(LN(2)/25)*Calculateur!ER177*Calculateur!ET177*VLOOKUP('Données projet'!$B$15,'Paramètres'!$A$1:$I$89,3,0)*0.475*44/12</f>
        <v>0</v>
      </c>
      <c r="EX177" s="142">
        <f>EXP(-LN(2)/2)*EX176+(1-EXP(-LN(2)/2))/(LN(2)/2)*ER177*EU177*VLOOKUP('Données projet'!$B$15,'Paramètres'!$A$1:$I$89,3,0)*0.475*44/12</f>
        <v>0</v>
      </c>
      <c r="EY177" s="143">
        <f t="shared" si="22"/>
        <v>16.51457541</v>
      </c>
      <c r="EZ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1" t="str">
        <f>VLOOKUP(A177,'Données projet'!$A$217:$I$237,2,0)</f>
        <v>#N/A</v>
      </c>
      <c r="FC177" s="131" t="str">
        <f>VLOOKUP(A177,'Données projet'!$A$217:$I$237,9,0)</f>
        <v>#N/A</v>
      </c>
      <c r="FD177" s="131" t="str">
        <f t="array" ref="FD177">INDEX(FC:FC,MIN(IF(ISNUMBER(FC177:FC373),ROW(FC177:FC373),"")))</f>
        <v/>
      </c>
      <c r="FE177" s="130">
        <f>IF('Données projet'!$A$218&gt;35,FE176+FD177-FM176,IF(A177&lt;'Données projet'!$A$218,$FB$205^A177,IF(A177='Données projet'!$A$218,'Données projet'!$B$218,FE176+FD177-FM176)))</f>
        <v>0</v>
      </c>
      <c r="FF177" s="138">
        <f>FE177*VLOOKUP('Données projet'!$B$16,'Paramètres'!$A$1:$I$89,3,0)*VLOOKUP('Données projet'!$B$16,'Paramètres'!$A$1:$I$89,5,0)</f>
        <v>0</v>
      </c>
      <c r="FG177" s="130">
        <f t="shared" si="48"/>
        <v>0</v>
      </c>
      <c r="FH177" s="141">
        <f t="shared" si="23"/>
        <v>0</v>
      </c>
      <c r="FI177" s="133">
        <f t="shared" si="24"/>
        <v>293.3333333</v>
      </c>
      <c r="FJ177" s="133">
        <f>AVERAGE(OFFSET($FI$3,0,0,'Données projet'!$E$16+1,1))-AVERAGE(OFFSET($H$3,0,0,'Données projet'!$E$16+1,1))</f>
        <v>305.6252353</v>
      </c>
      <c r="FK177" s="133">
        <f t="shared" si="49"/>
        <v>331.397916</v>
      </c>
      <c r="FL177" s="134">
        <f>IF(ISNA(VLOOKUP(A177,'Données projet'!$A$217:$I$237,3,0)),0,VLOOKUP(A177,'Données projet'!$A$217:$I$237,3,0))</f>
        <v>0</v>
      </c>
      <c r="FM177" s="134">
        <f>IF(ISNA(VLOOKUP(A177,'Données projet'!$A$217:$I$237,4,0)),0,VLOOKUP(A177,'Données projet'!$A$217:$I$237,4,0))</f>
        <v>0</v>
      </c>
      <c r="FN177" s="135">
        <f>IF(ISNA(VLOOKUP(A177,'Données projet'!$A$217:$I$237,5,0)),0%,VLOOKUP(A177,'Données projet'!$A$217:$I$237,5,0)*VLOOKUP('Données projet'!$B$16,'Paramètres'!$A$1:$I$89,7,0))</f>
        <v>0</v>
      </c>
      <c r="FO177" s="135">
        <f>IF(ISNA(VLOOKUP(A177,'Données projet'!$A$217:$I$237,6,0)),0%,VLOOKUP(A177,'Données projet'!$A$217:$I$237,6,0)*VLOOKUP('Données projet'!$B$16,'Paramètres'!$A$1:$I$89,7,0))</f>
        <v>0</v>
      </c>
      <c r="FP177" s="135">
        <f>IF(ISNA(VLOOKUP(A177,'Données projet'!$A$217:$I$237,7,0)),0%,VLOOKUP(A177,'Données projet'!$A$217:$I$237,7,0))</f>
        <v>0</v>
      </c>
      <c r="FQ177" s="142">
        <f>EXP(-LN(2)/35)*FQ176+(1-EXP(-LN(2)/35))/(LN(2)/35)*FM177*FN177*VLOOKUP('Données projet'!$B$16,'Paramètres'!$A$1:$I$89,3,0)*0.475*44/12</f>
        <v>10.2824682</v>
      </c>
      <c r="FR177" s="142">
        <f>EXP(-LN(2)/25)*FR176+(1-EXP(-LN(2)/25))/(LN(2)/25)*Calculateur!FM177*Calculateur!FO177*VLOOKUP('Données projet'!$B$16,'Paramètres'!$A$1:$I$89,3,0)*0.475*44/12</f>
        <v>0</v>
      </c>
      <c r="FS177" s="142">
        <f>EXP(-LN(2)/2)*FS176+(1-EXP(-LN(2)/2))/(LN(2)/2)*FM177*FP177*VLOOKUP('Données projet'!$B$16,'Paramètres'!$A$1:$I$89,3,0)*0.475*44/12</f>
        <v>0</v>
      </c>
      <c r="FT177" s="143">
        <f t="shared" si="25"/>
        <v>10.2824682</v>
      </c>
      <c r="FU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1" t="str">
        <f>VLOOKUP(A177,'Données projet'!$A$243:$I$263,2,0)</f>
        <v>#N/A</v>
      </c>
      <c r="FX177" s="131" t="str">
        <f>VLOOKUP(A177,'Données projet'!$A$243:$I$263,9,0)</f>
        <v>#N/A</v>
      </c>
      <c r="FY177" s="131" t="str">
        <f t="array" ref="FY177">INDEX(FX:FX,MIN(IF(ISNUMBER(FX177:FX373),ROW(FX177:FX373),"")))</f>
        <v/>
      </c>
      <c r="FZ177" s="138">
        <f>IF('Données projet'!$A$244&gt;35,FZ176+FY177-GH176,IF(A177&lt;'Données projet'!$A$244,$FW$205^A177,IF(A177='Données projet'!$A$244,'Données projet'!$B$244,FZ176+FY177-GH176)))</f>
        <v>0</v>
      </c>
      <c r="GA177" s="138">
        <f>FZ177*VLOOKUP('Données projet'!$B$17,'Paramètres'!$A$1:$I$89,3,0)*VLOOKUP('Données projet'!$B$17,'Paramètres'!$A$1:$I$89,5,0)</f>
        <v>0</v>
      </c>
      <c r="GB177" s="130">
        <f t="shared" si="50"/>
        <v>0</v>
      </c>
      <c r="GC177" s="141">
        <f t="shared" si="26"/>
        <v>0</v>
      </c>
      <c r="GD177" s="133">
        <f t="shared" si="27"/>
        <v>293.3333333</v>
      </c>
      <c r="GE177" s="133">
        <f>AVERAGE(OFFSET($GD$3,0,0,'Données projet'!$E$17+1,1))-AVERAGE(OFFSET($H$3,0,0,'Données projet'!$E$17+1,1))</f>
        <v>118.7368745</v>
      </c>
      <c r="GF177" s="133">
        <f t="shared" si="51"/>
        <v>135.1233677</v>
      </c>
      <c r="GG177" s="134">
        <f>IF(ISNA(VLOOKUP(A177,'Données projet'!$A$243:$I$263,3,0)),0,VLOOKUP(A177,'Données projet'!$A$243:$I$263,3,0))</f>
        <v>0</v>
      </c>
      <c r="GH177" s="134">
        <f>IF(ISNA(VLOOKUP(A177,'Données projet'!$A$243:$I$263,4,0)),0,VLOOKUP(A177,'Données projet'!$A$243:$I$263,4,0))</f>
        <v>0</v>
      </c>
      <c r="GI177" s="135">
        <f>IF(ISNA(VLOOKUP(A177,'Données projet'!$A$243:$I$263,5,0)),0%,VLOOKUP(A177,'Données projet'!$A$243:$I$263,5,0)*VLOOKUP('Données projet'!$B$17,'Paramètres'!$A$1:$I$89,7,0))</f>
        <v>0</v>
      </c>
      <c r="GJ177" s="135">
        <f>IF(ISNA(VLOOKUP(A177,'Données projet'!$A$243:$I$263,6,0)),0%,VLOOKUP(A177,'Données projet'!$A$243:$I$263,6,0)*VLOOKUP('Données projet'!$B$17,'Paramètres'!$A$1:$I$89,7,0))</f>
        <v>0</v>
      </c>
      <c r="GK177" s="135">
        <f>IF(ISNA(VLOOKUP(A177,'Données projet'!$A$243:$I$263,7,0)),0%,VLOOKUP(A177,'Données projet'!$A$243:$I$263,7,0))</f>
        <v>0</v>
      </c>
      <c r="GL177" s="142">
        <f>EXP(-LN(2)/35)*GL176+(1-EXP(-LN(2)/35))/(LN(2)/35)*GH177*GI177*VLOOKUP('Données projet'!$B$17,'Paramètres'!$A$1:$I$89,3,0)*0.475*44/12</f>
        <v>10.86339585</v>
      </c>
      <c r="GM177" s="142">
        <f>EXP(-LN(2)/25)*GM176+(1-EXP(-LN(2)/25))/(LN(2)/25)*Calculateur!GH177*Calculateur!GJ177*VLOOKUP('Données projet'!$B$17,'Paramètres'!$A$1:$I$89,3,0)*0.475*44/12</f>
        <v>0</v>
      </c>
      <c r="GN177" s="142">
        <f>EXP(-LN(2)/2)*GN176+(1-EXP(-LN(2)/2))/(LN(2)/2)*GH177*GK177*VLOOKUP('Données projet'!$B$17,'Paramètres'!$A$1:$I$89,3,0)*0.475*44/12</f>
        <v>0</v>
      </c>
      <c r="GO177" s="142">
        <f t="shared" si="28"/>
        <v>10.86339585</v>
      </c>
      <c r="GP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1" t="str">
        <f>VLOOKUP(A177,'Données projet'!$A$269:$I$289,2,0)</f>
        <v>#N/A</v>
      </c>
      <c r="GS177" s="131" t="str">
        <f>VLOOKUP(A177,'Données projet'!$A$269:$I$289,9,0)</f>
        <v>#N/A</v>
      </c>
      <c r="GT177" s="131" t="str">
        <f t="array" ref="GT177">INDEX(GS:GS,MIN(IF(ISNUMBER(GS177:GS373),ROW(GS177:GS373),"")))</f>
        <v/>
      </c>
      <c r="GU177" s="138">
        <f>IF('Données projet'!$A$270&gt;35,GU176+GT177-HC176,IF(A177&lt;'Données projet'!$A$270,$GR$205^A177,IF(A177='Données projet'!$A$270,'Données projet'!$B$270,GU176+GT177-HC176)))</f>
        <v>0</v>
      </c>
      <c r="GV177" s="138">
        <f>GU177*VLOOKUP('Données projet'!$B$18,'Paramètres'!$A$1:$I$89,3,0)*VLOOKUP('Données projet'!$B$18,'Paramètres'!$A$1:$I$89,5,0)</f>
        <v>0</v>
      </c>
      <c r="GW177" s="130" t="str">
        <f t="shared" si="52"/>
        <v>#NUM!</v>
      </c>
      <c r="GX177" s="141" t="str">
        <f t="shared" si="29"/>
        <v>#NUM!</v>
      </c>
      <c r="GY177" s="133" t="str">
        <f t="shared" si="30"/>
        <v>#NUM!</v>
      </c>
      <c r="GZ177" s="133">
        <f>AVERAGE(OFFSET($GY$3,0,0,'Données projet'!$E$18+1,1))-AVERAGE(OFFSET($H$3,0,0,'Données projet'!$E$18+1,1))</f>
        <v>100.5427875</v>
      </c>
      <c r="HA177" s="133">
        <f t="shared" si="53"/>
        <v>92.28663609</v>
      </c>
      <c r="HB177" s="134">
        <f>IF(ISNA(VLOOKUP(A177,'Données projet'!$A$269:$I$289,3,0)),0,VLOOKUP(A177,'Données projet'!$A$269:$I$289,3,0))</f>
        <v>0</v>
      </c>
      <c r="HC177" s="134">
        <f>IF(ISNA(VLOOKUP(A177,'Données projet'!$A$269:$I$289,4,0)),0,VLOOKUP(A177,'Données projet'!$A$269:$I$289,4,0))</f>
        <v>0</v>
      </c>
      <c r="HD177" s="135">
        <f>IF(ISNA(VLOOKUP(A177,'Données projet'!$A$269:$I$289,5,0)),0%,VLOOKUP(A177,'Données projet'!$A$269:$I$289,5,0)*VLOOKUP('Données projet'!$B$18,'Paramètres'!$A$1:$I$89,7,0))</f>
        <v>0</v>
      </c>
      <c r="HE177" s="135">
        <f>IF(ISNA(VLOOKUP(A177,'Données projet'!$A$269:$I$289,6,0)),0%,VLOOKUP(A177,'Données projet'!$A$269:$I$289,6,0)*VLOOKUP('Données projet'!$B$18,'Paramètres'!$A$1:$I$89,7,0))</f>
        <v>0</v>
      </c>
      <c r="HF177" s="135">
        <f>IF(ISNA(VLOOKUP(A177,'Données projet'!$A$269:$I$289,7,0)),0%,VLOOKUP(A177,'Données projet'!$A$269:$I$289,7,0))</f>
        <v>0</v>
      </c>
      <c r="HG177" s="142">
        <f>EXP(-LN(2)/35)*HG176+(1-EXP(-LN(2)/35))/(LN(2)/35)*HC177*HD177*VLOOKUP('Données projet'!$B$18,'Paramètres'!$A$1:$I$89,3,0)*0.475*44/12</f>
        <v>7.397743398</v>
      </c>
      <c r="HH177" s="142">
        <f>EXP(-LN(2)/25)*HH176+(1-EXP(-LN(2)/25))/(LN(2)/25)*Calculateur!HC177*Calculateur!HE177*VLOOKUP('Données projet'!$B$18,'Paramètres'!$A$1:$I$89,3,0)*0.475*44/12</f>
        <v>0</v>
      </c>
      <c r="HI177" s="142">
        <f>EXP(-LN(2)/2)*HI176+(1-EXP(-LN(2)/2))/(LN(2)/2)*HC177*HF177*VLOOKUP('Données projet'!$B$18,'Paramètres'!$A$1:$I$89,3,0)*0.475*44/12</f>
        <v>0</v>
      </c>
      <c r="HJ177" s="143">
        <f t="shared" si="31"/>
        <v>7.397743398</v>
      </c>
    </row>
    <row r="178" ht="15.75" customHeight="1">
      <c r="A178" s="125">
        <f t="shared" si="32"/>
        <v>175</v>
      </c>
      <c r="B178" s="126">
        <f>'Scénario référence'!$B$16*5+'Scénario référence'!$B$17*0+'Scénario référence'!$B$18*5</f>
        <v>0</v>
      </c>
      <c r="C178" s="140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95.55</v>
      </c>
      <c r="D178" s="127">
        <f t="shared" si="33"/>
        <v>25.89905416</v>
      </c>
      <c r="E17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7">
        <f>IF(OR('Scénario référence'!$F$8&gt;0,'Scénario référence'!$F$9&gt;0),('Scénario référence'!$F$8+'Scénario référence'!$F$9)*10,0)</f>
        <v>10</v>
      </c>
      <c r="G178" s="127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937.5014707</v>
      </c>
      <c r="H178" s="128">
        <f t="shared" si="1"/>
        <v>504.8571027</v>
      </c>
      <c r="I178" s="12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1" t="str">
        <f>VLOOKUP(A178,'Données projet'!$A$35:$I$55,2,0)</f>
        <v>#N/A</v>
      </c>
      <c r="L178" s="131" t="str">
        <f>VLOOKUP(A178,'Données projet'!$A$35:$I$55,9,0)</f>
        <v>#N/A</v>
      </c>
      <c r="M178" s="131" t="str">
        <f t="array" ref="M178">INDEX(L:L,MIN(IF(ISNUMBER(L178:L374),ROW(L178:L374),"")))</f>
        <v/>
      </c>
      <c r="N178" s="130">
        <f>IF('Données projet'!$A$36&gt;35,N177+M178-V177,IF(A178&lt;'Données projet'!$A$36,$K$205^A178,IF(A178='Données projet'!$A$36,'Données projet'!$B$36,N177+M178-V177)))</f>
        <v>0</v>
      </c>
      <c r="O178" s="130">
        <f>N178*VLOOKUP('Données projet'!$B$9,'Paramètres'!$A$1:$I$89,3,0)*VLOOKUP('Données projet'!$B$9,'Paramètres'!$A$1:$I$89,5,0)</f>
        <v>0</v>
      </c>
      <c r="P178" s="130">
        <f t="shared" si="34"/>
        <v>0</v>
      </c>
      <c r="Q178" s="141">
        <f t="shared" si="2"/>
        <v>0</v>
      </c>
      <c r="R178" s="133">
        <f t="shared" si="3"/>
        <v>293.3333333</v>
      </c>
      <c r="S178" s="133">
        <f>AVERAGE(OFFSET($R$3,0,0,'Données projet'!$E$9+1,1))-AVERAGE(OFFSET($H$3,0,0,'Données projet'!$E$9+1,1))</f>
        <v>126.9946492</v>
      </c>
      <c r="T178" s="133">
        <f t="shared" si="35"/>
        <v>140.039049</v>
      </c>
      <c r="U178" s="134">
        <f>IF(ISNA(VLOOKUP(A178,'Données projet'!$A$35:$I$55,3,0)),0,VLOOKUP(A178,'Données projet'!$A$35:$I$55,3,0))</f>
        <v>0</v>
      </c>
      <c r="V178" s="134">
        <f>IF(ISNA(VLOOKUP(A178,'Données projet'!$A$35:$I$55,4,0)),0,VLOOKUP(A178,'Données projet'!$A$35:$I$55,4,0))</f>
        <v>0</v>
      </c>
      <c r="W178" s="135">
        <f>IF(ISNA(VLOOKUP(A178,'Données projet'!$A$35:$I$55,5,0)),0%,VLOOKUP(A178,'Données projet'!$A$35:$I$55,5,0)*VLOOKUP('Données projet'!$B$9,'Paramètres'!$A$1:$I$89,7,0))</f>
        <v>0</v>
      </c>
      <c r="X178" s="135">
        <f>IF(ISNA(VLOOKUP(A178,'Données projet'!$A$35:$I$55,6,0)),0%,VLOOKUP(A178,'Données projet'!$A$35:$I$55,6,0)*VLOOKUP('Données projet'!$B$9,'Paramètres'!$A$1:$I$89,7,0))</f>
        <v>0</v>
      </c>
      <c r="Y178" s="135">
        <f>IF(ISNA(VLOOKUP(A178,'Données projet'!$A$35:$I$55,7,0)),0%,VLOOKUP(A178,'Données projet'!$A$35:$I$55,7,0))</f>
        <v>0</v>
      </c>
      <c r="Z178" s="142">
        <f>EXP(-LN(2)/35)*Z177+(1-EXP(-LN(2)/35))/(LN(2)/35)*V178*W178*VLOOKUP('Données projet'!$B$9,'Paramètres'!$A$1:$I$89,3,0)*0.475*44/12</f>
        <v>10.89295901</v>
      </c>
      <c r="AA178" s="142">
        <f>EXP(-LN(2)/25)*AA177+(1-EXP(-LN(2)/25))/(LN(2)/25)*Calculateur!V178*Calculateur!X178*VLOOKUP('Données projet'!$B$9,'Paramètres'!$A$1:$I$89,3,0)*0.475*44/12</f>
        <v>0.9582368459</v>
      </c>
      <c r="AB178" s="142">
        <f>EXP(-LN(2)/2)*AB177+(1-EXP(-LN(2)/2))/(LN(2)/2)*V178*Y178*VLOOKUP('Données projet'!$B$9,'Paramètres'!$A$1:$I$89,3,0)*0.475*44/12</f>
        <v>0</v>
      </c>
      <c r="AC178" s="143">
        <f t="shared" si="4"/>
        <v>11.85119586</v>
      </c>
      <c r="AD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1" t="str">
        <f>VLOOKUP(A178,'Données projet'!$A$61:$I$81,2,0)</f>
        <v>#N/A</v>
      </c>
      <c r="AG178" s="131" t="str">
        <f>VLOOKUP(A178,'Données projet'!$A$61:$I$81,9,0)</f>
        <v>#N/A</v>
      </c>
      <c r="AH178" s="131" t="str">
        <f t="array" ref="AH178">INDEX(AG:AG,MIN(IF(ISNUMBER(AG178:AG374),ROW(AG178:AG374),"")))</f>
        <v/>
      </c>
      <c r="AI178" s="130">
        <f>IF('Données projet'!$A$62&gt;35,AI177+AH178-AQ177,IF(A178&lt;'Données projet'!$A$62,$AF$205^A178,IF(A178='Données projet'!$A$62,'Données projet'!$B$62,AI177+AH178-AQ177)))</f>
        <v>0</v>
      </c>
      <c r="AJ178" s="130">
        <f>AI178*VLOOKUP('Données projet'!$B$10,'Paramètres'!$A$1:$I$89,3,0)*VLOOKUP('Données projet'!$B$10,'Paramètres'!$A$1:$I$89,5,0)</f>
        <v>0</v>
      </c>
      <c r="AK178" s="130" t="str">
        <f t="shared" si="36"/>
        <v>#NUM!</v>
      </c>
      <c r="AL178" s="141" t="str">
        <f t="shared" si="5"/>
        <v>#NUM!</v>
      </c>
      <c r="AM178" s="133" t="str">
        <f t="shared" si="6"/>
        <v>#NUM!</v>
      </c>
      <c r="AN178" s="133">
        <f>AVERAGE(OFFSET($AM$3,0,0,'Données projet'!$E$10+1,1))-AVERAGE(OFFSET($H$3,0,0,'Données projet'!$E$10+1,1))</f>
        <v>196.874484</v>
      </c>
      <c r="AO178" s="133">
        <f t="shared" si="37"/>
        <v>217.5750859</v>
      </c>
      <c r="AP178" s="134">
        <f>IF(ISNA(VLOOKUP(A178,'Données projet'!$A$61:$I$81,3,0)),0,VLOOKUP(A178,'Données projet'!$A$61:$I$81,3,0))</f>
        <v>0</v>
      </c>
      <c r="AQ178" s="134">
        <f>IF(ISNA(VLOOKUP(A178,'Données projet'!$A$61:$I$81,4,0)),0,VLOOKUP(A178,'Données projet'!$A$61:$I$81,4,0))</f>
        <v>0</v>
      </c>
      <c r="AR178" s="135">
        <f>IF(ISNA(VLOOKUP(A178,'Données projet'!$A$61:$I$81,5,0)),0%,VLOOKUP(A178,'Données projet'!$A$61:$I$81,5,0)*VLOOKUP('Données projet'!$B$10,'Paramètres'!$A$1:$I$89,7,0))</f>
        <v>0</v>
      </c>
      <c r="AS178" s="135">
        <f>IF(ISNA(VLOOKUP(A178,'Données projet'!$A$61:$I$81,6,0)),0%,VLOOKUP(A178,'Données projet'!$A$61:$I$81,6,0)*VLOOKUP('Données projet'!$B$10,'Paramètres'!$A$1:$I$89,7,0))</f>
        <v>0</v>
      </c>
      <c r="AT178" s="135">
        <f>IF(ISNA(VLOOKUP(A178,'Données projet'!$A$61:$I$81,7,0)),0%,VLOOKUP(A178,'Données projet'!$A$61:$I$81,7,0))</f>
        <v>0</v>
      </c>
      <c r="AU178" s="142">
        <f>EXP(-LN(2)/35)*AU177+(1-EXP(-LN(2)/35))/(LN(2)/35)*AQ178*AR178*VLOOKUP('Données projet'!$B$10,'Paramètres'!$A$1:$I$89,3,0)*0.475*44/12</f>
        <v>15.14090363</v>
      </c>
      <c r="AV178" s="142">
        <f>EXP(-LN(2)/25)*AV177+(1-EXP(-LN(2)/25))/(LN(2)/25)*Calculateur!AQ178*Calculateur!AS178*VLOOKUP('Données projet'!$B$10,'Paramètres'!$A$1:$I$89,3,0)*0.475*44/12</f>
        <v>1.473290431</v>
      </c>
      <c r="AW178" s="142">
        <f>EXP(-LN(2)/2)*AW177+(1-EXP(-LN(2)/2))/(LN(2)/2)*AQ178*AT178*VLOOKUP('Données projet'!$B$10,'Paramètres'!$A$1:$I$89,3,0)*0.475*44/12</f>
        <v>0</v>
      </c>
      <c r="AX178" s="142">
        <f t="shared" si="7"/>
        <v>16.61419406</v>
      </c>
      <c r="AY178" s="13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1" t="str">
        <f>VLOOKUP(A178,'Données projet'!$A$87:$I$107,2,0)</f>
        <v>#N/A</v>
      </c>
      <c r="BB178" s="131" t="str">
        <f>VLOOKUP(A178,'Données projet'!$A$87:$I$107,9,0)</f>
        <v>#N/A</v>
      </c>
      <c r="BC178" s="131" t="str">
        <f t="array" ref="BC178">INDEX(BB:BB,MIN(IF(ISNUMBER(BB178:BB374),ROW(BB178:BB374),"")))</f>
        <v/>
      </c>
      <c r="BD178" s="130">
        <f>IF('Données projet'!$A$88&gt;35,BD177+BC178-BL177,IF(A178&lt;'Données projet'!$A$88,$BA$205^A178,IF(A178='Données projet'!$A$88,'Données projet'!$B$88,BD177+BC178-BL177)))</f>
        <v>0</v>
      </c>
      <c r="BE178" s="130">
        <f>BD178*VLOOKUP('Données projet'!$B$11,'Paramètres'!$A$1:$I$89,3,0)*VLOOKUP('Données projet'!$B$11,'Paramètres'!$A$1:$I$89,5,0)</f>
        <v>0</v>
      </c>
      <c r="BF178" s="130" t="str">
        <f t="shared" si="38"/>
        <v>#NUM!</v>
      </c>
      <c r="BG178" s="141" t="str">
        <f t="shared" si="8"/>
        <v>#NUM!</v>
      </c>
      <c r="BH178" s="133" t="str">
        <f t="shared" si="9"/>
        <v>#NUM!</v>
      </c>
      <c r="BI178" s="133">
        <f>AVERAGE(OFFSET($BH$3,0,0,'Données projet'!$E$11+1,1))-AVERAGE(OFFSET($H$3,0,0,'Données projet'!$E$11+1,1))</f>
        <v>134.0948534</v>
      </c>
      <c r="BJ178" s="133">
        <f t="shared" si="39"/>
        <v>108.4102536</v>
      </c>
      <c r="BK178" s="134">
        <f>IF(ISNA(VLOOKUP(A178,'Données projet'!$A$87:$I$107,3,0)),0,VLOOKUP(A178,'Données projet'!$A$87:$I$107,3,0))</f>
        <v>0</v>
      </c>
      <c r="BL178" s="134">
        <f>IF(ISNA(VLOOKUP(A178,'Données projet'!$A$87:$I$107,4,0)),0,VLOOKUP(A178,'Données projet'!$A$87:$I$107,4,0))</f>
        <v>0</v>
      </c>
      <c r="BM178" s="135">
        <f>IF(ISNA(VLOOKUP(A178,'Données projet'!$A$87:$I$107,5,0)),0%,VLOOKUP(A178,'Données projet'!$A$87:$I$107,5,0)*VLOOKUP('Données projet'!$B$11,'Paramètres'!$A$1:$I$89,7,0))</f>
        <v>0</v>
      </c>
      <c r="BN178" s="135">
        <f>IF(ISNA(VLOOKUP(A178,'Données projet'!$A$87:$I$107,6,0)),0%,VLOOKUP(A178,'Données projet'!$A$87:$I$107,6,0)*VLOOKUP('Données projet'!$B$11,'Paramètres'!$A$1:$I$89,7,0))</f>
        <v>0</v>
      </c>
      <c r="BO178" s="135">
        <f>IF(ISNA(VLOOKUP(A178,'Données projet'!$A$87:$I$107,7,0)),0%,VLOOKUP(A178,'Données projet'!$A$87:$I$107,7,0))</f>
        <v>0</v>
      </c>
      <c r="BP178" s="142">
        <f>EXP(-LN(2)/35)*BP177+(1-EXP(-LN(2)/35))/(LN(2)/35)*BL178*BM178*VLOOKUP('Données projet'!$B$11,'Paramètres'!$A$1:$I$89,3,0)*0.475*44/12</f>
        <v>20.94269741</v>
      </c>
      <c r="BQ178" s="142">
        <f>EXP(-LN(2)/25)*BQ177+(1-EXP(-LN(2)/25))/(LN(2)/25)*Calculateur!BL178*Calculateur!BN178*VLOOKUP('Données projet'!$B$11,'Paramètres'!$A$1:$I$89,3,0)*0.475*44/12</f>
        <v>0.9293528687</v>
      </c>
      <c r="BR178" s="142">
        <f>EXP(-LN(2)/2)*BR177+(1-EXP(-LN(2)/2))/(LN(2)/2)*BL178*BO178*VLOOKUP('Données projet'!$B$11,'Paramètres'!$A$1:$I$89,3,0)*0.475*44/12</f>
        <v>0</v>
      </c>
      <c r="BS178" s="143">
        <f t="shared" si="10"/>
        <v>21.87205028</v>
      </c>
      <c r="BT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1" t="str">
        <f>VLOOKUP(A178,'Données projet'!$A$113:$I$133,2,0)</f>
        <v>#N/A</v>
      </c>
      <c r="BW178" s="131" t="str">
        <f>VLOOKUP(A178,'Données projet'!$A$113:$I$133,9,0)</f>
        <v>#N/A</v>
      </c>
      <c r="BX178" s="131" t="str">
        <f t="array" ref="BX178">INDEX(BW:BW,MIN(IF(ISNUMBER(BW178:BW374),ROW(BW178:BW374),"")))</f>
        <v/>
      </c>
      <c r="BY178" s="130">
        <f>IF('Données projet'!$A$114&gt;35,BY177+BX178-CG177,IF(A178&lt;'Données projet'!$A$114,$BV$205^A178,IF(A178='Données projet'!$A$114,'Données projet'!$B$114,BY177+BX178-CG177)))</f>
        <v>0</v>
      </c>
      <c r="BZ178" s="130">
        <f>BY178*VLOOKUP('Données projet'!$B$12,'Paramètres'!$A$1:$I$89,3,0)*VLOOKUP('Données projet'!$B$12,'Paramètres'!$A$1:$I$89,5,0)</f>
        <v>0</v>
      </c>
      <c r="CA178" s="130" t="str">
        <f t="shared" si="40"/>
        <v>#NUM!</v>
      </c>
      <c r="CB178" s="141" t="str">
        <f t="shared" si="11"/>
        <v>#NUM!</v>
      </c>
      <c r="CC178" s="133" t="str">
        <f t="shared" si="12"/>
        <v>#NUM!</v>
      </c>
      <c r="CD178" s="133">
        <f>AVERAGE(OFFSET($CC$3,0,0,'Données projet'!$E$12+1,1))-AVERAGE(OFFSET($H$3,0,0,'Données projet'!$E$12+1,1))</f>
        <v>258.1672054</v>
      </c>
      <c r="CE178" s="133">
        <f t="shared" si="41"/>
        <v>296.0724261</v>
      </c>
      <c r="CF178" s="134">
        <f>IF(ISNA(VLOOKUP(A178,'Données projet'!$A$113:$I$133,3,0)),0,VLOOKUP(A178,'Données projet'!$A$113:$I$133,3,0))</f>
        <v>0</v>
      </c>
      <c r="CG178" s="134">
        <f>IF(ISNA(VLOOKUP(A178,'Données projet'!$A$113:$I$133,4,0)),0,VLOOKUP(A178,'Données projet'!$A$113:$I$133,4,0))</f>
        <v>0</v>
      </c>
      <c r="CH178" s="135">
        <f>IF(ISNA(VLOOKUP(A178,'Données projet'!$A$113:$I$133,5,0)),0%,VLOOKUP(A178,'Données projet'!$A$113:$I$133,5,0)*VLOOKUP('Données projet'!$B$12,'Paramètres'!$A$1:$I$89,7,0))</f>
        <v>0</v>
      </c>
      <c r="CI178" s="135">
        <f>IF(ISNA(VLOOKUP(A178,'Données projet'!$A$113:$I$133,6,0)),0%,VLOOKUP(A178,'Données projet'!$A$113:$I$133,6,0)*VLOOKUP('Données projet'!$B$12,'Paramètres'!$A$1:$I$89,7,0))</f>
        <v>0</v>
      </c>
      <c r="CJ178" s="135">
        <f>IF(ISNA(VLOOKUP(A178,'Données projet'!$A$113:$I$133,7,0)),0%,VLOOKUP(A178,'Données projet'!$A$113:$I$133,7,0))</f>
        <v>0</v>
      </c>
      <c r="CK178" s="142">
        <f>EXP(-LN(2)/35)*CK177+(1-EXP(-LN(2)/35))/(LN(2)/35)*CG178*CH178*VLOOKUP('Données projet'!$B$12,'Paramètres'!$A$1:$I$89,3,0)*0.475*44/12</f>
        <v>26.47797616</v>
      </c>
      <c r="CL178" s="142">
        <f>EXP(-LN(2)/25)*CL177+(1-EXP(-LN(2)/25))/(LN(2)/25)*Calculateur!CG178*Calculateur!CI178*VLOOKUP('Données projet'!$B$12,'Paramètres'!$A$1:$I$89,3,0)*0.475*44/12</f>
        <v>1.630137689</v>
      </c>
      <c r="CM178" s="142">
        <f>EXP(-LN(2)/2)*CM177+(1-EXP(-LN(2)/2))/(LN(2)/2)*CG178*CJ178*VLOOKUP('Données projet'!$B$12,'Paramètres'!$A$1:$I$89,3,0)*0.475*44/12</f>
        <v>0</v>
      </c>
      <c r="CN178" s="143">
        <f t="shared" si="13"/>
        <v>28.10811384</v>
      </c>
      <c r="CO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1" t="str">
        <f>VLOOKUP(A178,'Données projet'!$A$139:$I$159,2,0)</f>
        <v>#N/A</v>
      </c>
      <c r="CR178" s="131" t="str">
        <f>VLOOKUP(A178,'Données projet'!$A$139:$I$159,9,0)</f>
        <v>#N/A</v>
      </c>
      <c r="CS178" s="131" t="str">
        <f t="array" ref="CS178">INDEX(CR:CR,MIN(IF(ISNUMBER(CR178:CR374),ROW(CR178:CR374),"")))</f>
        <v/>
      </c>
      <c r="CT178" s="138">
        <f>IF('Données projet'!$A$140&gt;35,CT177+CS178-DB177,IF(A178&lt;'Données projet'!$A$140,$CQ$205^A178,IF(A178='Données projet'!$A$140,'Données projet'!$B$140,CT177+CS178-DB177)))</f>
        <v>0</v>
      </c>
      <c r="CU178" s="138">
        <f>CT178*VLOOKUP('Données projet'!$B$13,'Paramètres'!$A$1:$I$89,3,0)*VLOOKUP('Données projet'!$B$13,'Paramètres'!$A$1:$I$89,5,0)</f>
        <v>0</v>
      </c>
      <c r="CV178" s="130" t="str">
        <f t="shared" si="42"/>
        <v>#NUM!</v>
      </c>
      <c r="CW178" s="141" t="str">
        <f t="shared" si="14"/>
        <v>#NUM!</v>
      </c>
      <c r="CX178" s="133" t="str">
        <f t="shared" si="15"/>
        <v>#NUM!</v>
      </c>
      <c r="CY178" s="133">
        <f>AVERAGE(OFFSET($CX$3,0,0,'Données projet'!$E$13+1,1))-AVERAGE(OFFSET($H$3,0,0,'Données projet'!$E$13+1,1))</f>
        <v>223.783507</v>
      </c>
      <c r="CZ178" s="133">
        <f t="shared" si="43"/>
        <v>84.92349117</v>
      </c>
      <c r="DA178" s="134">
        <f>IF(ISNA(VLOOKUP(A178,'Données projet'!$A$139:$I$159,3,0)),0,VLOOKUP(A178,'Données projet'!$A$139:$I$159,3,0))</f>
        <v>0</v>
      </c>
      <c r="DB178" s="134">
        <f>IF(ISNA(VLOOKUP(A178,'Données projet'!$A$139:$I$159,4,0)),0,VLOOKUP(A178,'Données projet'!$A$139:$I$159,4,0))</f>
        <v>0</v>
      </c>
      <c r="DC178" s="135">
        <f>IF(ISNA(VLOOKUP(A178,'Données projet'!$A$139:$I$159,5,0)),0%,VLOOKUP(A178,'Données projet'!$A$139:$I$159,5,0)*VLOOKUP('Données projet'!$B$13,'Paramètres'!$A$1:$I$89,7,0))</f>
        <v>0</v>
      </c>
      <c r="DD178" s="135">
        <f>IF(ISNA(VLOOKUP(A178,'Données projet'!$A$139:$I$159,6,0)),0%,VLOOKUP(A178,'Données projet'!$A$139:$I$159,6,0)*VLOOKUP('Données projet'!$B$13,'Paramètres'!$A$1:$I$89,7,0))</f>
        <v>0</v>
      </c>
      <c r="DE178" s="135">
        <f>IF(ISNA(VLOOKUP(A178,'Données projet'!$A$139:$I$159,7,0)),0%,VLOOKUP(A178,'Données projet'!$A$139:$I$159,7,0))</f>
        <v>0</v>
      </c>
      <c r="DF178" s="142">
        <f>EXP(-LN(2)/35)*DF177+(1-EXP(-LN(2)/35))/(LN(2)/35)*DB178*DC178*VLOOKUP('Données projet'!$B$13,'Paramètres'!$A$1:$I$89,3,0)*0.475*44/12</f>
        <v>68.00583232</v>
      </c>
      <c r="DG178" s="142">
        <f>EXP(-LN(2)/25)*DG177+(1-EXP(-LN(2)/25))/(LN(2)/25)*Calculateur!DB178*Calculateur!DD178*VLOOKUP('Données projet'!$B$13,'Paramètres'!$A$1:$I$89,3,0)*0.475*44/12</f>
        <v>0</v>
      </c>
      <c r="DH178" s="142">
        <f>EXP(-LN(2)/2)*DH177+(1-EXP(-LN(2)/2))/(LN(2)/2)*DB178*DE178*VLOOKUP('Données projet'!$B$13,'Paramètres'!$A$1:$I$89,3,0)*0.475*44/12</f>
        <v>0</v>
      </c>
      <c r="DI178" s="143">
        <f t="shared" si="16"/>
        <v>68.00583232</v>
      </c>
      <c r="DJ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1" t="str">
        <f>VLOOKUP(A178,'Données projet'!$A$165:$I$185,2,0)</f>
        <v>#N/A</v>
      </c>
      <c r="DM178" s="131" t="str">
        <f>VLOOKUP(A178,'Données projet'!$A$165:$I$185,9,0)</f>
        <v>#N/A</v>
      </c>
      <c r="DN178" s="131" t="str">
        <f t="array" ref="DN178">INDEX(DM:DM,MIN(IF(ISNUMBER(DM178:DM374),ROW(DM178:DM374),"")))</f>
        <v/>
      </c>
      <c r="DO178" s="138">
        <f>IF('Données projet'!$A$166&gt;35,DO177+DN178-DW177,IF(A178&lt;'Données projet'!$A$166,$DL$205^A178,IF(A178='Données projet'!$A$166,'Données projet'!$B$166,DO177+DN178-DW177)))</f>
        <v>0</v>
      </c>
      <c r="DP178" s="138">
        <f>DO178*VLOOKUP('Données projet'!$B$14,'Paramètres'!$A$1:$I$89,3,0)*VLOOKUP('Données projet'!$B$14,'Paramètres'!$A$1:$I$89,5,0)</f>
        <v>0</v>
      </c>
      <c r="DQ178" s="130" t="str">
        <f t="shared" si="44"/>
        <v>#NUM!</v>
      </c>
      <c r="DR178" s="141" t="str">
        <f t="shared" si="17"/>
        <v>#NUM!</v>
      </c>
      <c r="DS178" s="133" t="str">
        <f t="shared" si="18"/>
        <v>#NUM!</v>
      </c>
      <c r="DT178" s="133">
        <f>AVERAGE(OFFSET($DS$3,0,0,'Données projet'!$E$14+1,1))-AVERAGE(OFFSET($H$3,0,0,'Données projet'!$E$14+1,1))</f>
        <v>287.9334714</v>
      </c>
      <c r="DU178" s="133">
        <f t="shared" si="45"/>
        <v>156.6796502</v>
      </c>
      <c r="DV178" s="134">
        <f>IF(ISNA(VLOOKUP(A178,'Données projet'!$A$165:$I$185,3,0)),0,VLOOKUP(A178,'Données projet'!$A$165:$I$185,3,0))</f>
        <v>0</v>
      </c>
      <c r="DW178" s="134">
        <f>IF(ISNA(VLOOKUP(A178,'Données projet'!$A$165:$I$185,4,0)),0,VLOOKUP(A178,'Données projet'!$A$165:$I$185,4,0))</f>
        <v>0</v>
      </c>
      <c r="DX178" s="135">
        <f>IF(ISNA(VLOOKUP(A178,'Données projet'!$A$165:$I$185,5,0)),0%,VLOOKUP(A178,'Données projet'!$A$165:$I$185,5,0)*VLOOKUP('Données projet'!$B$14,'Paramètres'!$A$1:$I$89,7,0))</f>
        <v>0</v>
      </c>
      <c r="DY178" s="135">
        <f>IF(ISNA(VLOOKUP(A178,'Données projet'!$A$165:$I$185,6,0)),0%,VLOOKUP(A178,'Données projet'!$A$165:$I$185,6,0)*VLOOKUP('Données projet'!$B$14,'Paramètres'!$A$1:$I$89,7,0))</f>
        <v>0</v>
      </c>
      <c r="DZ178" s="135">
        <f>IF(ISNA(VLOOKUP(A178,'Données projet'!$A$165:$I$185,7,0)),0%,VLOOKUP(A178,'Données projet'!$A$165:$I$185,7,0))</f>
        <v>0</v>
      </c>
      <c r="EA178" s="142">
        <f>EXP(-LN(2)/35)*EA177+(1-EXP(-LN(2)/35))/(LN(2)/35)*DW178*DX178*VLOOKUP('Données projet'!$B$14,'Paramètres'!$A$1:$I$89,3,0)*0.475*44/12</f>
        <v>79.00353388</v>
      </c>
      <c r="EB178" s="142">
        <f>EXP(-LN(2)/25)*EB177+(1-EXP(-LN(2)/25))/(LN(2)/25)*Calculateur!DW178*Calculateur!DY178*VLOOKUP('Données projet'!$B$14,'Paramètres'!$A$1:$I$89,3,0)*0.475*44/12</f>
        <v>0</v>
      </c>
      <c r="EC178" s="142">
        <f>EXP(-LN(2)/2)*EC177+(1-EXP(-LN(2)/2))/(LN(2)/2)*DW178*DZ178*VLOOKUP('Données projet'!$B$14,'Paramètres'!$A$1:$I$89,3,0)*0.475*44/12</f>
        <v>0</v>
      </c>
      <c r="ED178" s="143">
        <f t="shared" si="19"/>
        <v>79.00353388</v>
      </c>
      <c r="EE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1" t="str">
        <f>VLOOKUP(A178,'Données projet'!$A$191:$I$211,2,0)</f>
        <v>#N/A</v>
      </c>
      <c r="EH178" s="131" t="str">
        <f>VLOOKUP(A178,'Données projet'!$A$191:$I$211,9,0)</f>
        <v>#N/A</v>
      </c>
      <c r="EI178" s="131" t="str">
        <f t="array" ref="EI178">INDEX(EH:EH,MIN(IF(ISNUMBER(EH178:EH374),ROW(EH178:EH374),"")))</f>
        <v/>
      </c>
      <c r="EJ178" s="138">
        <f>IF('Données projet'!$A$192&gt;35,EJ177+EI178-ER177,IF(A178&lt;'Données projet'!$A$192,$EG$205^A178,IF(A178='Données projet'!$A$192,'Données projet'!$B$192,EJ177+EI178-ER177)))</f>
        <v>0</v>
      </c>
      <c r="EK178" s="138">
        <f>EJ178*VLOOKUP('Données projet'!$B$15,'Paramètres'!$A$1:$I$89,3,0)*VLOOKUP('Données projet'!$B$15,'Paramètres'!$A$1:$I$89,5,0)</f>
        <v>0</v>
      </c>
      <c r="EL178" s="130" t="str">
        <f t="shared" si="46"/>
        <v>#NUM!</v>
      </c>
      <c r="EM178" s="141" t="str">
        <f t="shared" si="20"/>
        <v>#NUM!</v>
      </c>
      <c r="EN178" s="133" t="str">
        <f t="shared" si="21"/>
        <v>#NUM!</v>
      </c>
      <c r="EO178" s="133">
        <f>AVERAGE(OFFSET($EN$3,0,0,'Données projet'!$E$15+1,1))-AVERAGE(OFFSET($H$3,0,0,'Données projet'!$E$15+1,1))</f>
        <v>130.3193339</v>
      </c>
      <c r="EP178" s="133">
        <f t="shared" si="47"/>
        <v>82.22784365</v>
      </c>
      <c r="EQ178" s="134">
        <f>IF(ISNA(VLOOKUP(A178,'Données projet'!$A$191:$I$211,3,0)),0,VLOOKUP(A178,'Données projet'!$A$191:$I$211,3,0))</f>
        <v>0</v>
      </c>
      <c r="ER178" s="134">
        <f>IF(ISNA(VLOOKUP(A178,'Données projet'!$A$191:$I$211,4,0)),0,VLOOKUP(A178,'Données projet'!$A$191:$I$211,4,0))</f>
        <v>0</v>
      </c>
      <c r="ES178" s="135">
        <f>IF(ISNA(VLOOKUP(A178,'Données projet'!$A$191:$I$211,5,0)),0%,VLOOKUP(A178,'Données projet'!$A$191:$I$211,5,0)*VLOOKUP('Données projet'!$B$15,'Paramètres'!$A$1:$I$89,7,0))</f>
        <v>0</v>
      </c>
      <c r="ET178" s="135">
        <f>IF(ISNA(VLOOKUP(A178,'Données projet'!$A$191:$I$211,6,0)),0%,VLOOKUP(A178,'Données projet'!$A$191:$I$211,6,0)*VLOOKUP('Données projet'!$B$15,'Paramètres'!$A$1:$I$89,7,0))</f>
        <v>0</v>
      </c>
      <c r="EU178" s="135">
        <f>IF(ISNA(VLOOKUP(A178,'Données projet'!$A$191:$I$211,7,0)),0%,VLOOKUP(A178,'Données projet'!$A$191:$I$211,7,0))</f>
        <v>0</v>
      </c>
      <c r="EV178" s="142">
        <f>EXP(-LN(2)/35)*EV177+(1-EXP(-LN(2)/35))/(LN(2)/35)*ER178*ES178*VLOOKUP('Données projet'!$B$15,'Paramètres'!$A$1:$I$89,3,0)*0.475*44/12</f>
        <v>16.19073466</v>
      </c>
      <c r="EW178" s="142">
        <f>EXP(-LN(2)/25)*EW177+(1-EXP(-LN(2)/25))/(LN(2)/25)*Calculateur!ER178*Calculateur!ET178*VLOOKUP('Données projet'!$B$15,'Paramètres'!$A$1:$I$89,3,0)*0.475*44/12</f>
        <v>0</v>
      </c>
      <c r="EX178" s="142">
        <f>EXP(-LN(2)/2)*EX177+(1-EXP(-LN(2)/2))/(LN(2)/2)*ER178*EU178*VLOOKUP('Données projet'!$B$15,'Paramètres'!$A$1:$I$89,3,0)*0.475*44/12</f>
        <v>0</v>
      </c>
      <c r="EY178" s="143">
        <f t="shared" si="22"/>
        <v>16.19073466</v>
      </c>
      <c r="EZ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1" t="str">
        <f>VLOOKUP(A178,'Données projet'!$A$217:$I$237,2,0)</f>
        <v>#N/A</v>
      </c>
      <c r="FC178" s="131" t="str">
        <f>VLOOKUP(A178,'Données projet'!$A$217:$I$237,9,0)</f>
        <v>#N/A</v>
      </c>
      <c r="FD178" s="131" t="str">
        <f t="array" ref="FD178">INDEX(FC:FC,MIN(IF(ISNUMBER(FC178:FC374),ROW(FC178:FC374),"")))</f>
        <v/>
      </c>
      <c r="FE178" s="130">
        <f>IF('Données projet'!$A$218&gt;35,FE177+FD178-FM177,IF(A178&lt;'Données projet'!$A$218,$FB$205^A178,IF(A178='Données projet'!$A$218,'Données projet'!$B$218,FE177+FD178-FM177)))</f>
        <v>0</v>
      </c>
      <c r="FF178" s="138">
        <f>FE178*VLOOKUP('Données projet'!$B$16,'Paramètres'!$A$1:$I$89,3,0)*VLOOKUP('Données projet'!$B$16,'Paramètres'!$A$1:$I$89,5,0)</f>
        <v>0</v>
      </c>
      <c r="FG178" s="130">
        <f t="shared" si="48"/>
        <v>0</v>
      </c>
      <c r="FH178" s="141">
        <f t="shared" si="23"/>
        <v>0</v>
      </c>
      <c r="FI178" s="133">
        <f t="shared" si="24"/>
        <v>293.3333333</v>
      </c>
      <c r="FJ178" s="133">
        <f>AVERAGE(OFFSET($FI$3,0,0,'Données projet'!$E$16+1,1))-AVERAGE(OFFSET($H$3,0,0,'Données projet'!$E$16+1,1))</f>
        <v>305.6252353</v>
      </c>
      <c r="FK178" s="133">
        <f t="shared" si="49"/>
        <v>331.397916</v>
      </c>
      <c r="FL178" s="134">
        <f>IF(ISNA(VLOOKUP(A178,'Données projet'!$A$217:$I$237,3,0)),0,VLOOKUP(A178,'Données projet'!$A$217:$I$237,3,0))</f>
        <v>0</v>
      </c>
      <c r="FM178" s="134">
        <f>IF(ISNA(VLOOKUP(A178,'Données projet'!$A$217:$I$237,4,0)),0,VLOOKUP(A178,'Données projet'!$A$217:$I$237,4,0))</f>
        <v>0</v>
      </c>
      <c r="FN178" s="135">
        <f>IF(ISNA(VLOOKUP(A178,'Données projet'!$A$217:$I$237,5,0)),0%,VLOOKUP(A178,'Données projet'!$A$217:$I$237,5,0)*VLOOKUP('Données projet'!$B$16,'Paramètres'!$A$1:$I$89,7,0))</f>
        <v>0</v>
      </c>
      <c r="FO178" s="135">
        <f>IF(ISNA(VLOOKUP(A178,'Données projet'!$A$217:$I$237,6,0)),0%,VLOOKUP(A178,'Données projet'!$A$217:$I$237,6,0)*VLOOKUP('Données projet'!$B$16,'Paramètres'!$A$1:$I$89,7,0))</f>
        <v>0</v>
      </c>
      <c r="FP178" s="135">
        <f>IF(ISNA(VLOOKUP(A178,'Données projet'!$A$217:$I$237,7,0)),0%,VLOOKUP(A178,'Données projet'!$A$217:$I$237,7,0))</f>
        <v>0</v>
      </c>
      <c r="FQ178" s="142">
        <f>EXP(-LN(2)/35)*FQ177+(1-EXP(-LN(2)/35))/(LN(2)/35)*FM178*FN178*VLOOKUP('Données projet'!$B$16,'Paramètres'!$A$1:$I$89,3,0)*0.475*44/12</f>
        <v>10.08083527</v>
      </c>
      <c r="FR178" s="142">
        <f>EXP(-LN(2)/25)*FR177+(1-EXP(-LN(2)/25))/(LN(2)/25)*Calculateur!FM178*Calculateur!FO178*VLOOKUP('Données projet'!$B$16,'Paramètres'!$A$1:$I$89,3,0)*0.475*44/12</f>
        <v>0</v>
      </c>
      <c r="FS178" s="142">
        <f>EXP(-LN(2)/2)*FS177+(1-EXP(-LN(2)/2))/(LN(2)/2)*FM178*FP178*VLOOKUP('Données projet'!$B$16,'Paramètres'!$A$1:$I$89,3,0)*0.475*44/12</f>
        <v>0</v>
      </c>
      <c r="FT178" s="143">
        <f t="shared" si="25"/>
        <v>10.08083527</v>
      </c>
      <c r="FU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1" t="str">
        <f>VLOOKUP(A178,'Données projet'!$A$243:$I$263,2,0)</f>
        <v>#N/A</v>
      </c>
      <c r="FX178" s="131" t="str">
        <f>VLOOKUP(A178,'Données projet'!$A$243:$I$263,9,0)</f>
        <v>#N/A</v>
      </c>
      <c r="FY178" s="131" t="str">
        <f t="array" ref="FY178">INDEX(FX:FX,MIN(IF(ISNUMBER(FX178:FX374),ROW(FX178:FX374),"")))</f>
        <v/>
      </c>
      <c r="FZ178" s="138">
        <f>IF('Données projet'!$A$244&gt;35,FZ177+FY178-GH177,IF(A178&lt;'Données projet'!$A$244,$FW$205^A178,IF(A178='Données projet'!$A$244,'Données projet'!$B$244,FZ177+FY178-GH177)))</f>
        <v>0</v>
      </c>
      <c r="GA178" s="138">
        <f>FZ178*VLOOKUP('Données projet'!$B$17,'Paramètres'!$A$1:$I$89,3,0)*VLOOKUP('Données projet'!$B$17,'Paramètres'!$A$1:$I$89,5,0)</f>
        <v>0</v>
      </c>
      <c r="GB178" s="130">
        <f t="shared" si="50"/>
        <v>0</v>
      </c>
      <c r="GC178" s="141">
        <f t="shared" si="26"/>
        <v>0</v>
      </c>
      <c r="GD178" s="133">
        <f t="shared" si="27"/>
        <v>293.3333333</v>
      </c>
      <c r="GE178" s="133">
        <f>AVERAGE(OFFSET($GD$3,0,0,'Données projet'!$E$17+1,1))-AVERAGE(OFFSET($H$3,0,0,'Données projet'!$E$17+1,1))</f>
        <v>118.7368745</v>
      </c>
      <c r="GF178" s="133">
        <f t="shared" si="51"/>
        <v>135.1233677</v>
      </c>
      <c r="GG178" s="134">
        <f>IF(ISNA(VLOOKUP(A178,'Données projet'!$A$243:$I$263,3,0)),0,VLOOKUP(A178,'Données projet'!$A$243:$I$263,3,0))</f>
        <v>0</v>
      </c>
      <c r="GH178" s="134">
        <f>IF(ISNA(VLOOKUP(A178,'Données projet'!$A$243:$I$263,4,0)),0,VLOOKUP(A178,'Données projet'!$A$243:$I$263,4,0))</f>
        <v>0</v>
      </c>
      <c r="GI178" s="135">
        <f>IF(ISNA(VLOOKUP(A178,'Données projet'!$A$243:$I$263,5,0)),0%,VLOOKUP(A178,'Données projet'!$A$243:$I$263,5,0)*VLOOKUP('Données projet'!$B$17,'Paramètres'!$A$1:$I$89,7,0))</f>
        <v>0</v>
      </c>
      <c r="GJ178" s="135">
        <f>IF(ISNA(VLOOKUP(A178,'Données projet'!$A$243:$I$263,6,0)),0%,VLOOKUP(A178,'Données projet'!$A$243:$I$263,6,0)*VLOOKUP('Données projet'!$B$17,'Paramètres'!$A$1:$I$89,7,0))</f>
        <v>0</v>
      </c>
      <c r="GK178" s="135">
        <f>IF(ISNA(VLOOKUP(A178,'Données projet'!$A$243:$I$263,7,0)),0%,VLOOKUP(A178,'Données projet'!$A$243:$I$263,7,0))</f>
        <v>0</v>
      </c>
      <c r="GL178" s="142">
        <f>EXP(-LN(2)/35)*GL177+(1-EXP(-LN(2)/35))/(LN(2)/35)*GH178*GI178*VLOOKUP('Données projet'!$B$17,'Paramètres'!$A$1:$I$89,3,0)*0.475*44/12</f>
        <v>10.65037128</v>
      </c>
      <c r="GM178" s="142">
        <f>EXP(-LN(2)/25)*GM177+(1-EXP(-LN(2)/25))/(LN(2)/25)*Calculateur!GH178*Calculateur!GJ178*VLOOKUP('Données projet'!$B$17,'Paramètres'!$A$1:$I$89,3,0)*0.475*44/12</f>
        <v>0</v>
      </c>
      <c r="GN178" s="142">
        <f>EXP(-LN(2)/2)*GN177+(1-EXP(-LN(2)/2))/(LN(2)/2)*GH178*GK178*VLOOKUP('Données projet'!$B$17,'Paramètres'!$A$1:$I$89,3,0)*0.475*44/12</f>
        <v>0</v>
      </c>
      <c r="GO178" s="142">
        <f t="shared" si="28"/>
        <v>10.65037128</v>
      </c>
      <c r="GP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1" t="str">
        <f>VLOOKUP(A178,'Données projet'!$A$269:$I$289,2,0)</f>
        <v>#N/A</v>
      </c>
      <c r="GS178" s="131" t="str">
        <f>VLOOKUP(A178,'Données projet'!$A$269:$I$289,9,0)</f>
        <v>#N/A</v>
      </c>
      <c r="GT178" s="131" t="str">
        <f t="array" ref="GT178">INDEX(GS:GS,MIN(IF(ISNUMBER(GS178:GS374),ROW(GS178:GS374),"")))</f>
        <v/>
      </c>
      <c r="GU178" s="138">
        <f>IF('Données projet'!$A$270&gt;35,GU177+GT178-HC177,IF(A178&lt;'Données projet'!$A$270,$GR$205^A178,IF(A178='Données projet'!$A$270,'Données projet'!$B$270,GU177+GT178-HC177)))</f>
        <v>0</v>
      </c>
      <c r="GV178" s="138">
        <f>GU178*VLOOKUP('Données projet'!$B$18,'Paramètres'!$A$1:$I$89,3,0)*VLOOKUP('Données projet'!$B$18,'Paramètres'!$A$1:$I$89,5,0)</f>
        <v>0</v>
      </c>
      <c r="GW178" s="130" t="str">
        <f t="shared" si="52"/>
        <v>#NUM!</v>
      </c>
      <c r="GX178" s="141" t="str">
        <f t="shared" si="29"/>
        <v>#NUM!</v>
      </c>
      <c r="GY178" s="133" t="str">
        <f t="shared" si="30"/>
        <v>#NUM!</v>
      </c>
      <c r="GZ178" s="133">
        <f>AVERAGE(OFFSET($GY$3,0,0,'Données projet'!$E$18+1,1))-AVERAGE(OFFSET($H$3,0,0,'Données projet'!$E$18+1,1))</f>
        <v>100.5427875</v>
      </c>
      <c r="HA178" s="133">
        <f t="shared" si="53"/>
        <v>92.28663609</v>
      </c>
      <c r="HB178" s="134">
        <f>IF(ISNA(VLOOKUP(A178,'Données projet'!$A$269:$I$289,3,0)),0,VLOOKUP(A178,'Données projet'!$A$269:$I$289,3,0))</f>
        <v>0</v>
      </c>
      <c r="HC178" s="134">
        <f>IF(ISNA(VLOOKUP(A178,'Données projet'!$A$269:$I$289,4,0)),0,VLOOKUP(A178,'Données projet'!$A$269:$I$289,4,0))</f>
        <v>0</v>
      </c>
      <c r="HD178" s="135">
        <f>IF(ISNA(VLOOKUP(A178,'Données projet'!$A$269:$I$289,5,0)),0%,VLOOKUP(A178,'Données projet'!$A$269:$I$289,5,0)*VLOOKUP('Données projet'!$B$18,'Paramètres'!$A$1:$I$89,7,0))</f>
        <v>0</v>
      </c>
      <c r="HE178" s="135">
        <f>IF(ISNA(VLOOKUP(A178,'Données projet'!$A$269:$I$289,6,0)),0%,VLOOKUP(A178,'Données projet'!$A$269:$I$289,6,0)*VLOOKUP('Données projet'!$B$18,'Paramètres'!$A$1:$I$89,7,0))</f>
        <v>0</v>
      </c>
      <c r="HF178" s="135">
        <f>IF(ISNA(VLOOKUP(A178,'Données projet'!$A$269:$I$289,7,0)),0%,VLOOKUP(A178,'Données projet'!$A$269:$I$289,7,0))</f>
        <v>0</v>
      </c>
      <c r="HG178" s="142">
        <f>EXP(-LN(2)/35)*HG177+(1-EXP(-LN(2)/35))/(LN(2)/35)*HC178*HD178*VLOOKUP('Données projet'!$B$18,'Paramètres'!$A$1:$I$89,3,0)*0.475*44/12</f>
        <v>7.252678162</v>
      </c>
      <c r="HH178" s="142">
        <f>EXP(-LN(2)/25)*HH177+(1-EXP(-LN(2)/25))/(LN(2)/25)*Calculateur!HC178*Calculateur!HE178*VLOOKUP('Données projet'!$B$18,'Paramètres'!$A$1:$I$89,3,0)*0.475*44/12</f>
        <v>0</v>
      </c>
      <c r="HI178" s="142">
        <f>EXP(-LN(2)/2)*HI177+(1-EXP(-LN(2)/2))/(LN(2)/2)*HC178*HF178*VLOOKUP('Données projet'!$B$18,'Paramètres'!$A$1:$I$89,3,0)*0.475*44/12</f>
        <v>0</v>
      </c>
      <c r="HJ178" s="143">
        <f t="shared" si="31"/>
        <v>7.252678162</v>
      </c>
    </row>
    <row r="179" ht="15.75" customHeight="1">
      <c r="A179" s="125">
        <f t="shared" si="32"/>
        <v>176</v>
      </c>
      <c r="B179" s="126">
        <f>'Scénario référence'!$B$16*5+'Scénario référence'!$B$17*0+'Scénario référence'!$B$18*5</f>
        <v>0</v>
      </c>
      <c r="C179" s="140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96.096</v>
      </c>
      <c r="D179" s="127">
        <f t="shared" si="33"/>
        <v>26.02977878</v>
      </c>
      <c r="E17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7">
        <f>IF(OR('Scénario référence'!$F$8&gt;0,'Scénario référence'!$F$9&gt;0),('Scénario référence'!$F$8+'Scénario référence'!$F$9)*10,0)</f>
        <v>10</v>
      </c>
      <c r="G179" s="127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</v>
      </c>
      <c r="H179" s="128">
        <f t="shared" si="1"/>
        <v>506.0357314</v>
      </c>
      <c r="I179" s="12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1" t="str">
        <f>VLOOKUP(A179,'Données projet'!$A$35:$I$55,2,0)</f>
        <v>#N/A</v>
      </c>
      <c r="L179" s="131" t="str">
        <f>VLOOKUP(A179,'Données projet'!$A$35:$I$55,9,0)</f>
        <v>#N/A</v>
      </c>
      <c r="M179" s="131" t="str">
        <f t="array" ref="M179">INDEX(L:L,MIN(IF(ISNUMBER(L179:L375),ROW(L179:L375),"")))</f>
        <v/>
      </c>
      <c r="N179" s="130">
        <f>IF('Données projet'!$A$36&gt;35,N178+M179-V178,IF(A179&lt;'Données projet'!$A$36,$K$205^A179,IF(A179='Données projet'!$A$36,'Données projet'!$B$36,N178+M179-V178)))</f>
        <v>0</v>
      </c>
      <c r="O179" s="130">
        <f>N179*VLOOKUP('Données projet'!$B$9,'Paramètres'!$A$1:$I$89,3,0)*VLOOKUP('Données projet'!$B$9,'Paramètres'!$A$1:$I$89,5,0)</f>
        <v>0</v>
      </c>
      <c r="P179" s="130">
        <f t="shared" si="34"/>
        <v>0</v>
      </c>
      <c r="Q179" s="141">
        <f t="shared" si="2"/>
        <v>0</v>
      </c>
      <c r="R179" s="133">
        <f t="shared" si="3"/>
        <v>293.3333333</v>
      </c>
      <c r="S179" s="133">
        <f>AVERAGE(OFFSET($R$3,0,0,'Données projet'!$E$9+1,1))-AVERAGE(OFFSET($H$3,0,0,'Données projet'!$E$9+1,1))</f>
        <v>126.9946492</v>
      </c>
      <c r="T179" s="133">
        <f t="shared" si="35"/>
        <v>140.039049</v>
      </c>
      <c r="U179" s="134">
        <f>IF(ISNA(VLOOKUP(A179,'Données projet'!$A$35:$I$55,3,0)),0,VLOOKUP(A179,'Données projet'!$A$35:$I$55,3,0))</f>
        <v>0</v>
      </c>
      <c r="V179" s="134">
        <f>IF(ISNA(VLOOKUP(A179,'Données projet'!$A$35:$I$55,4,0)),0,VLOOKUP(A179,'Données projet'!$A$35:$I$55,4,0))</f>
        <v>0</v>
      </c>
      <c r="W179" s="135">
        <f>IF(ISNA(VLOOKUP(A179,'Données projet'!$A$35:$I$55,5,0)),0%,VLOOKUP(A179,'Données projet'!$A$35:$I$55,5,0)*VLOOKUP('Données projet'!$B$9,'Paramètres'!$A$1:$I$89,7,0))</f>
        <v>0</v>
      </c>
      <c r="X179" s="135">
        <f>IF(ISNA(VLOOKUP(A179,'Données projet'!$A$35:$I$55,6,0)),0%,VLOOKUP(A179,'Données projet'!$A$35:$I$55,6,0)*VLOOKUP('Données projet'!$B$9,'Paramètres'!$A$1:$I$89,7,0))</f>
        <v>0</v>
      </c>
      <c r="Y179" s="135">
        <f>IF(ISNA(VLOOKUP(A179,'Données projet'!$A$35:$I$55,7,0)),0%,VLOOKUP(A179,'Données projet'!$A$35:$I$55,7,0))</f>
        <v>0</v>
      </c>
      <c r="Z179" s="142">
        <f>EXP(-LN(2)/35)*Z178+(1-EXP(-LN(2)/35))/(LN(2)/35)*V179*W179*VLOOKUP('Données projet'!$B$9,'Paramètres'!$A$1:$I$89,3,0)*0.475*44/12</f>
        <v>10.67935473</v>
      </c>
      <c r="AA179" s="142">
        <f>EXP(-LN(2)/25)*AA178+(1-EXP(-LN(2)/25))/(LN(2)/25)*Calculateur!V179*Calculateur!X179*VLOOKUP('Données projet'!$B$9,'Paramètres'!$A$1:$I$89,3,0)*0.475*44/12</f>
        <v>0.932033809</v>
      </c>
      <c r="AB179" s="142">
        <f>EXP(-LN(2)/2)*AB178+(1-EXP(-LN(2)/2))/(LN(2)/2)*V179*Y179*VLOOKUP('Données projet'!$B$9,'Paramètres'!$A$1:$I$89,3,0)*0.475*44/12</f>
        <v>0</v>
      </c>
      <c r="AC179" s="143">
        <f t="shared" si="4"/>
        <v>11.61138854</v>
      </c>
      <c r="AD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1" t="str">
        <f>VLOOKUP(A179,'Données projet'!$A$61:$I$81,2,0)</f>
        <v>#N/A</v>
      </c>
      <c r="AG179" s="131" t="str">
        <f>VLOOKUP(A179,'Données projet'!$A$61:$I$81,9,0)</f>
        <v>#N/A</v>
      </c>
      <c r="AH179" s="131" t="str">
        <f t="array" ref="AH179">INDEX(AG:AG,MIN(IF(ISNUMBER(AG179:AG375),ROW(AG179:AG375),"")))</f>
        <v/>
      </c>
      <c r="AI179" s="130">
        <f>IF('Données projet'!$A$62&gt;35,AI178+AH179-AQ178,IF(A179&lt;'Données projet'!$A$62,$AF$205^A179,IF(A179='Données projet'!$A$62,'Données projet'!$B$62,AI178+AH179-AQ178)))</f>
        <v>0</v>
      </c>
      <c r="AJ179" s="130">
        <f>AI179*VLOOKUP('Données projet'!$B$10,'Paramètres'!$A$1:$I$89,3,0)*VLOOKUP('Données projet'!$B$10,'Paramètres'!$A$1:$I$89,5,0)</f>
        <v>0</v>
      </c>
      <c r="AK179" s="130" t="str">
        <f t="shared" si="36"/>
        <v>#NUM!</v>
      </c>
      <c r="AL179" s="141" t="str">
        <f t="shared" si="5"/>
        <v>#NUM!</v>
      </c>
      <c r="AM179" s="133" t="str">
        <f t="shared" si="6"/>
        <v>#NUM!</v>
      </c>
      <c r="AN179" s="133">
        <f>AVERAGE(OFFSET($AM$3,0,0,'Données projet'!$E$10+1,1))-AVERAGE(OFFSET($H$3,0,0,'Données projet'!$E$10+1,1))</f>
        <v>196.874484</v>
      </c>
      <c r="AO179" s="133">
        <f t="shared" si="37"/>
        <v>217.5750859</v>
      </c>
      <c r="AP179" s="134">
        <f>IF(ISNA(VLOOKUP(A179,'Données projet'!$A$61:$I$81,3,0)),0,VLOOKUP(A179,'Données projet'!$A$61:$I$81,3,0))</f>
        <v>0</v>
      </c>
      <c r="AQ179" s="134">
        <f>IF(ISNA(VLOOKUP(A179,'Données projet'!$A$61:$I$81,4,0)),0,VLOOKUP(A179,'Données projet'!$A$61:$I$81,4,0))</f>
        <v>0</v>
      </c>
      <c r="AR179" s="135">
        <f>IF(ISNA(VLOOKUP(A179,'Données projet'!$A$61:$I$81,5,0)),0%,VLOOKUP(A179,'Données projet'!$A$61:$I$81,5,0)*VLOOKUP('Données projet'!$B$10,'Paramètres'!$A$1:$I$89,7,0))</f>
        <v>0</v>
      </c>
      <c r="AS179" s="135">
        <f>IF(ISNA(VLOOKUP(A179,'Données projet'!$A$61:$I$81,6,0)),0%,VLOOKUP(A179,'Données projet'!$A$61:$I$81,6,0)*VLOOKUP('Données projet'!$B$10,'Paramètres'!$A$1:$I$89,7,0))</f>
        <v>0</v>
      </c>
      <c r="AT179" s="135">
        <f>IF(ISNA(VLOOKUP(A179,'Données projet'!$A$61:$I$81,7,0)),0%,VLOOKUP(A179,'Données projet'!$A$61:$I$81,7,0))</f>
        <v>0</v>
      </c>
      <c r="AU179" s="142">
        <f>EXP(-LN(2)/35)*AU178+(1-EXP(-LN(2)/35))/(LN(2)/35)*AQ179*AR179*VLOOKUP('Données projet'!$B$10,'Paramètres'!$A$1:$I$89,3,0)*0.475*44/12</f>
        <v>14.84399974</v>
      </c>
      <c r="AV179" s="142">
        <f>EXP(-LN(2)/25)*AV178+(1-EXP(-LN(2)/25))/(LN(2)/25)*Calculateur!AQ179*Calculateur!AS179*VLOOKUP('Données projet'!$B$10,'Paramètres'!$A$1:$I$89,3,0)*0.475*44/12</f>
        <v>1.433003227</v>
      </c>
      <c r="AW179" s="142">
        <f>EXP(-LN(2)/2)*AW178+(1-EXP(-LN(2)/2))/(LN(2)/2)*AQ179*AT179*VLOOKUP('Données projet'!$B$10,'Paramètres'!$A$1:$I$89,3,0)*0.475*44/12</f>
        <v>0</v>
      </c>
      <c r="AX179" s="142">
        <f t="shared" si="7"/>
        <v>16.27700297</v>
      </c>
      <c r="AY179" s="13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1" t="str">
        <f>VLOOKUP(A179,'Données projet'!$A$87:$I$107,2,0)</f>
        <v>#N/A</v>
      </c>
      <c r="BB179" s="131" t="str">
        <f>VLOOKUP(A179,'Données projet'!$A$87:$I$107,9,0)</f>
        <v>#N/A</v>
      </c>
      <c r="BC179" s="131" t="str">
        <f t="array" ref="BC179">INDEX(BB:BB,MIN(IF(ISNUMBER(BB179:BB375),ROW(BB179:BB375),"")))</f>
        <v/>
      </c>
      <c r="BD179" s="130">
        <f>IF('Données projet'!$A$88&gt;35,BD178+BC179-BL178,IF(A179&lt;'Données projet'!$A$88,$BA$205^A179,IF(A179='Données projet'!$A$88,'Données projet'!$B$88,BD178+BC179-BL178)))</f>
        <v>0</v>
      </c>
      <c r="BE179" s="130">
        <f>BD179*VLOOKUP('Données projet'!$B$11,'Paramètres'!$A$1:$I$89,3,0)*VLOOKUP('Données projet'!$B$11,'Paramètres'!$A$1:$I$89,5,0)</f>
        <v>0</v>
      </c>
      <c r="BF179" s="130" t="str">
        <f t="shared" si="38"/>
        <v>#NUM!</v>
      </c>
      <c r="BG179" s="141" t="str">
        <f t="shared" si="8"/>
        <v>#NUM!</v>
      </c>
      <c r="BH179" s="133" t="str">
        <f t="shared" si="9"/>
        <v>#NUM!</v>
      </c>
      <c r="BI179" s="133">
        <f>AVERAGE(OFFSET($BH$3,0,0,'Données projet'!$E$11+1,1))-AVERAGE(OFFSET($H$3,0,0,'Données projet'!$E$11+1,1))</f>
        <v>134.0948534</v>
      </c>
      <c r="BJ179" s="133">
        <f t="shared" si="39"/>
        <v>108.4102536</v>
      </c>
      <c r="BK179" s="134">
        <f>IF(ISNA(VLOOKUP(A179,'Données projet'!$A$87:$I$107,3,0)),0,VLOOKUP(A179,'Données projet'!$A$87:$I$107,3,0))</f>
        <v>0</v>
      </c>
      <c r="BL179" s="134">
        <f>IF(ISNA(VLOOKUP(A179,'Données projet'!$A$87:$I$107,4,0)),0,VLOOKUP(A179,'Données projet'!$A$87:$I$107,4,0))</f>
        <v>0</v>
      </c>
      <c r="BM179" s="135">
        <f>IF(ISNA(VLOOKUP(A179,'Données projet'!$A$87:$I$107,5,0)),0%,VLOOKUP(A179,'Données projet'!$A$87:$I$107,5,0)*VLOOKUP('Données projet'!$B$11,'Paramètres'!$A$1:$I$89,7,0))</f>
        <v>0</v>
      </c>
      <c r="BN179" s="135">
        <f>IF(ISNA(VLOOKUP(A179,'Données projet'!$A$87:$I$107,6,0)),0%,VLOOKUP(A179,'Données projet'!$A$87:$I$107,6,0)*VLOOKUP('Données projet'!$B$11,'Paramètres'!$A$1:$I$89,7,0))</f>
        <v>0</v>
      </c>
      <c r="BO179" s="135">
        <f>IF(ISNA(VLOOKUP(A179,'Données projet'!$A$87:$I$107,7,0)),0%,VLOOKUP(A179,'Données projet'!$A$87:$I$107,7,0))</f>
        <v>0</v>
      </c>
      <c r="BP179" s="142">
        <f>EXP(-LN(2)/35)*BP178+(1-EXP(-LN(2)/35))/(LN(2)/35)*BL179*BM179*VLOOKUP('Données projet'!$B$11,'Paramètres'!$A$1:$I$89,3,0)*0.475*44/12</f>
        <v>20.53202388</v>
      </c>
      <c r="BQ179" s="142">
        <f>EXP(-LN(2)/25)*BQ178+(1-EXP(-LN(2)/25))/(LN(2)/25)*Calculateur!BL179*Calculateur!BN179*VLOOKUP('Données projet'!$B$11,'Paramètres'!$A$1:$I$89,3,0)*0.475*44/12</f>
        <v>0.9039396657</v>
      </c>
      <c r="BR179" s="142">
        <f>EXP(-LN(2)/2)*BR178+(1-EXP(-LN(2)/2))/(LN(2)/2)*BL179*BO179*VLOOKUP('Données projet'!$B$11,'Paramètres'!$A$1:$I$89,3,0)*0.475*44/12</f>
        <v>0</v>
      </c>
      <c r="BS179" s="143">
        <f t="shared" si="10"/>
        <v>21.43596355</v>
      </c>
      <c r="BT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1" t="str">
        <f>VLOOKUP(A179,'Données projet'!$A$113:$I$133,2,0)</f>
        <v>#N/A</v>
      </c>
      <c r="BW179" s="131" t="str">
        <f>VLOOKUP(A179,'Données projet'!$A$113:$I$133,9,0)</f>
        <v>#N/A</v>
      </c>
      <c r="BX179" s="131" t="str">
        <f t="array" ref="BX179">INDEX(BW:BW,MIN(IF(ISNUMBER(BW179:BW375),ROW(BW179:BW375),"")))</f>
        <v/>
      </c>
      <c r="BY179" s="130">
        <f>IF('Données projet'!$A$114&gt;35,BY178+BX179-CG178,IF(A179&lt;'Données projet'!$A$114,$BV$205^A179,IF(A179='Données projet'!$A$114,'Données projet'!$B$114,BY178+BX179-CG178)))</f>
        <v>0</v>
      </c>
      <c r="BZ179" s="130">
        <f>BY179*VLOOKUP('Données projet'!$B$12,'Paramètres'!$A$1:$I$89,3,0)*VLOOKUP('Données projet'!$B$12,'Paramètres'!$A$1:$I$89,5,0)</f>
        <v>0</v>
      </c>
      <c r="CA179" s="130" t="str">
        <f t="shared" si="40"/>
        <v>#NUM!</v>
      </c>
      <c r="CB179" s="141" t="str">
        <f t="shared" si="11"/>
        <v>#NUM!</v>
      </c>
      <c r="CC179" s="133" t="str">
        <f t="shared" si="12"/>
        <v>#NUM!</v>
      </c>
      <c r="CD179" s="133">
        <f>AVERAGE(OFFSET($CC$3,0,0,'Données projet'!$E$12+1,1))-AVERAGE(OFFSET($H$3,0,0,'Données projet'!$E$12+1,1))</f>
        <v>258.1672054</v>
      </c>
      <c r="CE179" s="133">
        <f t="shared" si="41"/>
        <v>296.0724261</v>
      </c>
      <c r="CF179" s="134">
        <f>IF(ISNA(VLOOKUP(A179,'Données projet'!$A$113:$I$133,3,0)),0,VLOOKUP(A179,'Données projet'!$A$113:$I$133,3,0))</f>
        <v>0</v>
      </c>
      <c r="CG179" s="134">
        <f>IF(ISNA(VLOOKUP(A179,'Données projet'!$A$113:$I$133,4,0)),0,VLOOKUP(A179,'Données projet'!$A$113:$I$133,4,0))</f>
        <v>0</v>
      </c>
      <c r="CH179" s="135">
        <f>IF(ISNA(VLOOKUP(A179,'Données projet'!$A$113:$I$133,5,0)),0%,VLOOKUP(A179,'Données projet'!$A$113:$I$133,5,0)*VLOOKUP('Données projet'!$B$12,'Paramètres'!$A$1:$I$89,7,0))</f>
        <v>0</v>
      </c>
      <c r="CI179" s="135">
        <f>IF(ISNA(VLOOKUP(A179,'Données projet'!$A$113:$I$133,6,0)),0%,VLOOKUP(A179,'Données projet'!$A$113:$I$133,6,0)*VLOOKUP('Données projet'!$B$12,'Paramètres'!$A$1:$I$89,7,0))</f>
        <v>0</v>
      </c>
      <c r="CJ179" s="135">
        <f>IF(ISNA(VLOOKUP(A179,'Données projet'!$A$113:$I$133,7,0)),0%,VLOOKUP(A179,'Données projet'!$A$113:$I$133,7,0))</f>
        <v>0</v>
      </c>
      <c r="CK179" s="142">
        <f>EXP(-LN(2)/35)*CK178+(1-EXP(-LN(2)/35))/(LN(2)/35)*CG179*CH179*VLOOKUP('Données projet'!$B$12,'Paramètres'!$A$1:$I$89,3,0)*0.475*44/12</f>
        <v>25.95875919</v>
      </c>
      <c r="CL179" s="142">
        <f>EXP(-LN(2)/25)*CL178+(1-EXP(-LN(2)/25))/(LN(2)/25)*Calculateur!CG179*Calculateur!CI179*VLOOKUP('Données projet'!$B$12,'Paramètres'!$A$1:$I$89,3,0)*0.475*44/12</f>
        <v>1.585561488</v>
      </c>
      <c r="CM179" s="142">
        <f>EXP(-LN(2)/2)*CM178+(1-EXP(-LN(2)/2))/(LN(2)/2)*CG179*CJ179*VLOOKUP('Données projet'!$B$12,'Paramètres'!$A$1:$I$89,3,0)*0.475*44/12</f>
        <v>0</v>
      </c>
      <c r="CN179" s="143">
        <f t="shared" si="13"/>
        <v>27.54432068</v>
      </c>
      <c r="CO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1" t="str">
        <f>VLOOKUP(A179,'Données projet'!$A$139:$I$159,2,0)</f>
        <v>#N/A</v>
      </c>
      <c r="CR179" s="131" t="str">
        <f>VLOOKUP(A179,'Données projet'!$A$139:$I$159,9,0)</f>
        <v>#N/A</v>
      </c>
      <c r="CS179" s="131" t="str">
        <f t="array" ref="CS179">INDEX(CR:CR,MIN(IF(ISNUMBER(CR179:CR375),ROW(CR179:CR375),"")))</f>
        <v/>
      </c>
      <c r="CT179" s="138">
        <f>IF('Données projet'!$A$140&gt;35,CT178+CS179-DB178,IF(A179&lt;'Données projet'!$A$140,$CQ$205^A179,IF(A179='Données projet'!$A$140,'Données projet'!$B$140,CT178+CS179-DB178)))</f>
        <v>0</v>
      </c>
      <c r="CU179" s="138">
        <f>CT179*VLOOKUP('Données projet'!$B$13,'Paramètres'!$A$1:$I$89,3,0)*VLOOKUP('Données projet'!$B$13,'Paramètres'!$A$1:$I$89,5,0)</f>
        <v>0</v>
      </c>
      <c r="CV179" s="130" t="str">
        <f t="shared" si="42"/>
        <v>#NUM!</v>
      </c>
      <c r="CW179" s="141" t="str">
        <f t="shared" si="14"/>
        <v>#NUM!</v>
      </c>
      <c r="CX179" s="133" t="str">
        <f t="shared" si="15"/>
        <v>#NUM!</v>
      </c>
      <c r="CY179" s="133">
        <f>AVERAGE(OFFSET($CX$3,0,0,'Données projet'!$E$13+1,1))-AVERAGE(OFFSET($H$3,0,0,'Données projet'!$E$13+1,1))</f>
        <v>223.783507</v>
      </c>
      <c r="CZ179" s="133">
        <f t="shared" si="43"/>
        <v>84.92349117</v>
      </c>
      <c r="DA179" s="134">
        <f>IF(ISNA(VLOOKUP(A179,'Données projet'!$A$139:$I$159,3,0)),0,VLOOKUP(A179,'Données projet'!$A$139:$I$159,3,0))</f>
        <v>0</v>
      </c>
      <c r="DB179" s="134">
        <f>IF(ISNA(VLOOKUP(A179,'Données projet'!$A$139:$I$159,4,0)),0,VLOOKUP(A179,'Données projet'!$A$139:$I$159,4,0))</f>
        <v>0</v>
      </c>
      <c r="DC179" s="135">
        <f>IF(ISNA(VLOOKUP(A179,'Données projet'!$A$139:$I$159,5,0)),0%,VLOOKUP(A179,'Données projet'!$A$139:$I$159,5,0)*VLOOKUP('Données projet'!$B$13,'Paramètres'!$A$1:$I$89,7,0))</f>
        <v>0</v>
      </c>
      <c r="DD179" s="135">
        <f>IF(ISNA(VLOOKUP(A179,'Données projet'!$A$139:$I$159,6,0)),0%,VLOOKUP(A179,'Données projet'!$A$139:$I$159,6,0)*VLOOKUP('Données projet'!$B$13,'Paramètres'!$A$1:$I$89,7,0))</f>
        <v>0</v>
      </c>
      <c r="DE179" s="135">
        <f>IF(ISNA(VLOOKUP(A179,'Données projet'!$A$139:$I$159,7,0)),0%,VLOOKUP(A179,'Données projet'!$A$139:$I$159,7,0))</f>
        <v>0</v>
      </c>
      <c r="DF179" s="142">
        <f>EXP(-LN(2)/35)*DF178+(1-EXP(-LN(2)/35))/(LN(2)/35)*DB179*DC179*VLOOKUP('Données projet'!$B$13,'Paramètres'!$A$1:$I$89,3,0)*0.475*44/12</f>
        <v>66.67227943</v>
      </c>
      <c r="DG179" s="142">
        <f>EXP(-LN(2)/25)*DG178+(1-EXP(-LN(2)/25))/(LN(2)/25)*Calculateur!DB179*Calculateur!DD179*VLOOKUP('Données projet'!$B$13,'Paramètres'!$A$1:$I$89,3,0)*0.475*44/12</f>
        <v>0</v>
      </c>
      <c r="DH179" s="142">
        <f>EXP(-LN(2)/2)*DH178+(1-EXP(-LN(2)/2))/(LN(2)/2)*DB179*DE179*VLOOKUP('Données projet'!$B$13,'Paramètres'!$A$1:$I$89,3,0)*0.475*44/12</f>
        <v>0</v>
      </c>
      <c r="DI179" s="143">
        <f t="shared" si="16"/>
        <v>66.67227943</v>
      </c>
      <c r="DJ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1" t="str">
        <f>VLOOKUP(A179,'Données projet'!$A$165:$I$185,2,0)</f>
        <v>#N/A</v>
      </c>
      <c r="DM179" s="131" t="str">
        <f>VLOOKUP(A179,'Données projet'!$A$165:$I$185,9,0)</f>
        <v>#N/A</v>
      </c>
      <c r="DN179" s="131" t="str">
        <f t="array" ref="DN179">INDEX(DM:DM,MIN(IF(ISNUMBER(DM179:DM375),ROW(DM179:DM375),"")))</f>
        <v/>
      </c>
      <c r="DO179" s="138">
        <f>IF('Données projet'!$A$166&gt;35,DO178+DN179-DW178,IF(A179&lt;'Données projet'!$A$166,$DL$205^A179,IF(A179='Données projet'!$A$166,'Données projet'!$B$166,DO178+DN179-DW178)))</f>
        <v>0</v>
      </c>
      <c r="DP179" s="138">
        <f>DO179*VLOOKUP('Données projet'!$B$14,'Paramètres'!$A$1:$I$89,3,0)*VLOOKUP('Données projet'!$B$14,'Paramètres'!$A$1:$I$89,5,0)</f>
        <v>0</v>
      </c>
      <c r="DQ179" s="130" t="str">
        <f t="shared" si="44"/>
        <v>#NUM!</v>
      </c>
      <c r="DR179" s="141" t="str">
        <f t="shared" si="17"/>
        <v>#NUM!</v>
      </c>
      <c r="DS179" s="133" t="str">
        <f t="shared" si="18"/>
        <v>#NUM!</v>
      </c>
      <c r="DT179" s="133">
        <f>AVERAGE(OFFSET($DS$3,0,0,'Données projet'!$E$14+1,1))-AVERAGE(OFFSET($H$3,0,0,'Données projet'!$E$14+1,1))</f>
        <v>287.9334714</v>
      </c>
      <c r="DU179" s="133">
        <f t="shared" si="45"/>
        <v>156.6796502</v>
      </c>
      <c r="DV179" s="134">
        <f>IF(ISNA(VLOOKUP(A179,'Données projet'!$A$165:$I$185,3,0)),0,VLOOKUP(A179,'Données projet'!$A$165:$I$185,3,0))</f>
        <v>0</v>
      </c>
      <c r="DW179" s="134">
        <f>IF(ISNA(VLOOKUP(A179,'Données projet'!$A$165:$I$185,4,0)),0,VLOOKUP(A179,'Données projet'!$A$165:$I$185,4,0))</f>
        <v>0</v>
      </c>
      <c r="DX179" s="135">
        <f>IF(ISNA(VLOOKUP(A179,'Données projet'!$A$165:$I$185,5,0)),0%,VLOOKUP(A179,'Données projet'!$A$165:$I$185,5,0)*VLOOKUP('Données projet'!$B$14,'Paramètres'!$A$1:$I$89,7,0))</f>
        <v>0</v>
      </c>
      <c r="DY179" s="135">
        <f>IF(ISNA(VLOOKUP(A179,'Données projet'!$A$165:$I$185,6,0)),0%,VLOOKUP(A179,'Données projet'!$A$165:$I$185,6,0)*VLOOKUP('Données projet'!$B$14,'Paramètres'!$A$1:$I$89,7,0))</f>
        <v>0</v>
      </c>
      <c r="DZ179" s="135">
        <f>IF(ISNA(VLOOKUP(A179,'Données projet'!$A$165:$I$185,7,0)),0%,VLOOKUP(A179,'Données projet'!$A$165:$I$185,7,0))</f>
        <v>0</v>
      </c>
      <c r="EA179" s="142">
        <f>EXP(-LN(2)/35)*EA178+(1-EXP(-LN(2)/35))/(LN(2)/35)*DW179*DX179*VLOOKUP('Données projet'!$B$14,'Paramètres'!$A$1:$I$89,3,0)*0.475*44/12</f>
        <v>77.45432277</v>
      </c>
      <c r="EB179" s="142">
        <f>EXP(-LN(2)/25)*EB178+(1-EXP(-LN(2)/25))/(LN(2)/25)*Calculateur!DW179*Calculateur!DY179*VLOOKUP('Données projet'!$B$14,'Paramètres'!$A$1:$I$89,3,0)*0.475*44/12</f>
        <v>0</v>
      </c>
      <c r="EC179" s="142">
        <f>EXP(-LN(2)/2)*EC178+(1-EXP(-LN(2)/2))/(LN(2)/2)*DW179*DZ179*VLOOKUP('Données projet'!$B$14,'Paramètres'!$A$1:$I$89,3,0)*0.475*44/12</f>
        <v>0</v>
      </c>
      <c r="ED179" s="143">
        <f t="shared" si="19"/>
        <v>77.45432277</v>
      </c>
      <c r="EE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1" t="str">
        <f>VLOOKUP(A179,'Données projet'!$A$191:$I$211,2,0)</f>
        <v>#N/A</v>
      </c>
      <c r="EH179" s="131" t="str">
        <f>VLOOKUP(A179,'Données projet'!$A$191:$I$211,9,0)</f>
        <v>#N/A</v>
      </c>
      <c r="EI179" s="131" t="str">
        <f t="array" ref="EI179">INDEX(EH:EH,MIN(IF(ISNUMBER(EH179:EH375),ROW(EH179:EH375),"")))</f>
        <v/>
      </c>
      <c r="EJ179" s="138">
        <f>IF('Données projet'!$A$192&gt;35,EJ178+EI179-ER178,IF(A179&lt;'Données projet'!$A$192,$EG$205^A179,IF(A179='Données projet'!$A$192,'Données projet'!$B$192,EJ178+EI179-ER178)))</f>
        <v>0</v>
      </c>
      <c r="EK179" s="138">
        <f>EJ179*VLOOKUP('Données projet'!$B$15,'Paramètres'!$A$1:$I$89,3,0)*VLOOKUP('Données projet'!$B$15,'Paramètres'!$A$1:$I$89,5,0)</f>
        <v>0</v>
      </c>
      <c r="EL179" s="130" t="str">
        <f t="shared" si="46"/>
        <v>#NUM!</v>
      </c>
      <c r="EM179" s="141" t="str">
        <f t="shared" si="20"/>
        <v>#NUM!</v>
      </c>
      <c r="EN179" s="133" t="str">
        <f t="shared" si="21"/>
        <v>#NUM!</v>
      </c>
      <c r="EO179" s="133">
        <f>AVERAGE(OFFSET($EN$3,0,0,'Données projet'!$E$15+1,1))-AVERAGE(OFFSET($H$3,0,0,'Données projet'!$E$15+1,1))</f>
        <v>130.3193339</v>
      </c>
      <c r="EP179" s="133">
        <f t="shared" si="47"/>
        <v>82.22784365</v>
      </c>
      <c r="EQ179" s="134">
        <f>IF(ISNA(VLOOKUP(A179,'Données projet'!$A$191:$I$211,3,0)),0,VLOOKUP(A179,'Données projet'!$A$191:$I$211,3,0))</f>
        <v>0</v>
      </c>
      <c r="ER179" s="134">
        <f>IF(ISNA(VLOOKUP(A179,'Données projet'!$A$191:$I$211,4,0)),0,VLOOKUP(A179,'Données projet'!$A$191:$I$211,4,0))</f>
        <v>0</v>
      </c>
      <c r="ES179" s="135">
        <f>IF(ISNA(VLOOKUP(A179,'Données projet'!$A$191:$I$211,5,0)),0%,VLOOKUP(A179,'Données projet'!$A$191:$I$211,5,0)*VLOOKUP('Données projet'!$B$15,'Paramètres'!$A$1:$I$89,7,0))</f>
        <v>0</v>
      </c>
      <c r="ET179" s="135">
        <f>IF(ISNA(VLOOKUP(A179,'Données projet'!$A$191:$I$211,6,0)),0%,VLOOKUP(A179,'Données projet'!$A$191:$I$211,6,0)*VLOOKUP('Données projet'!$B$15,'Paramètres'!$A$1:$I$89,7,0))</f>
        <v>0</v>
      </c>
      <c r="EU179" s="135">
        <f>IF(ISNA(VLOOKUP(A179,'Données projet'!$A$191:$I$211,7,0)),0%,VLOOKUP(A179,'Données projet'!$A$191:$I$211,7,0))</f>
        <v>0</v>
      </c>
      <c r="EV179" s="142">
        <f>EXP(-LN(2)/35)*EV178+(1-EXP(-LN(2)/35))/(LN(2)/35)*ER179*ES179*VLOOKUP('Données projet'!$B$15,'Paramètres'!$A$1:$I$89,3,0)*0.475*44/12</f>
        <v>15.87324423</v>
      </c>
      <c r="EW179" s="142">
        <f>EXP(-LN(2)/25)*EW178+(1-EXP(-LN(2)/25))/(LN(2)/25)*Calculateur!ER179*Calculateur!ET179*VLOOKUP('Données projet'!$B$15,'Paramètres'!$A$1:$I$89,3,0)*0.475*44/12</f>
        <v>0</v>
      </c>
      <c r="EX179" s="142">
        <f>EXP(-LN(2)/2)*EX178+(1-EXP(-LN(2)/2))/(LN(2)/2)*ER179*EU179*VLOOKUP('Données projet'!$B$15,'Paramètres'!$A$1:$I$89,3,0)*0.475*44/12</f>
        <v>0</v>
      </c>
      <c r="EY179" s="143">
        <f t="shared" si="22"/>
        <v>15.87324423</v>
      </c>
      <c r="EZ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1" t="str">
        <f>VLOOKUP(A179,'Données projet'!$A$217:$I$237,2,0)</f>
        <v>#N/A</v>
      </c>
      <c r="FC179" s="131" t="str">
        <f>VLOOKUP(A179,'Données projet'!$A$217:$I$237,9,0)</f>
        <v>#N/A</v>
      </c>
      <c r="FD179" s="131" t="str">
        <f t="array" ref="FD179">INDEX(FC:FC,MIN(IF(ISNUMBER(FC179:FC375),ROW(FC179:FC375),"")))</f>
        <v/>
      </c>
      <c r="FE179" s="130">
        <f>IF('Données projet'!$A$218&gt;35,FE178+FD179-FM178,IF(A179&lt;'Données projet'!$A$218,$FB$205^A179,IF(A179='Données projet'!$A$218,'Données projet'!$B$218,FE178+FD179-FM178)))</f>
        <v>0</v>
      </c>
      <c r="FF179" s="138">
        <f>FE179*VLOOKUP('Données projet'!$B$16,'Paramètres'!$A$1:$I$89,3,0)*VLOOKUP('Données projet'!$B$16,'Paramètres'!$A$1:$I$89,5,0)</f>
        <v>0</v>
      </c>
      <c r="FG179" s="130">
        <f t="shared" si="48"/>
        <v>0</v>
      </c>
      <c r="FH179" s="141">
        <f t="shared" si="23"/>
        <v>0</v>
      </c>
      <c r="FI179" s="133">
        <f t="shared" si="24"/>
        <v>293.3333333</v>
      </c>
      <c r="FJ179" s="133">
        <f>AVERAGE(OFFSET($FI$3,0,0,'Données projet'!$E$16+1,1))-AVERAGE(OFFSET($H$3,0,0,'Données projet'!$E$16+1,1))</f>
        <v>305.6252353</v>
      </c>
      <c r="FK179" s="133">
        <f t="shared" si="49"/>
        <v>331.397916</v>
      </c>
      <c r="FL179" s="134">
        <f>IF(ISNA(VLOOKUP(A179,'Données projet'!$A$217:$I$237,3,0)),0,VLOOKUP(A179,'Données projet'!$A$217:$I$237,3,0))</f>
        <v>0</v>
      </c>
      <c r="FM179" s="134">
        <f>IF(ISNA(VLOOKUP(A179,'Données projet'!$A$217:$I$237,4,0)),0,VLOOKUP(A179,'Données projet'!$A$217:$I$237,4,0))</f>
        <v>0</v>
      </c>
      <c r="FN179" s="135">
        <f>IF(ISNA(VLOOKUP(A179,'Données projet'!$A$217:$I$237,5,0)),0%,VLOOKUP(A179,'Données projet'!$A$217:$I$237,5,0)*VLOOKUP('Données projet'!$B$16,'Paramètres'!$A$1:$I$89,7,0))</f>
        <v>0</v>
      </c>
      <c r="FO179" s="135">
        <f>IF(ISNA(VLOOKUP(A179,'Données projet'!$A$217:$I$237,6,0)),0%,VLOOKUP(A179,'Données projet'!$A$217:$I$237,6,0)*VLOOKUP('Données projet'!$B$16,'Paramètres'!$A$1:$I$89,7,0))</f>
        <v>0</v>
      </c>
      <c r="FP179" s="135">
        <f>IF(ISNA(VLOOKUP(A179,'Données projet'!$A$217:$I$237,7,0)),0%,VLOOKUP(A179,'Données projet'!$A$217:$I$237,7,0))</f>
        <v>0</v>
      </c>
      <c r="FQ179" s="142">
        <f>EXP(-LN(2)/35)*FQ178+(1-EXP(-LN(2)/35))/(LN(2)/35)*FM179*FN179*VLOOKUP('Données projet'!$B$16,'Paramètres'!$A$1:$I$89,3,0)*0.475*44/12</f>
        <v>9.883156235</v>
      </c>
      <c r="FR179" s="142">
        <f>EXP(-LN(2)/25)*FR178+(1-EXP(-LN(2)/25))/(LN(2)/25)*Calculateur!FM179*Calculateur!FO179*VLOOKUP('Données projet'!$B$16,'Paramètres'!$A$1:$I$89,3,0)*0.475*44/12</f>
        <v>0</v>
      </c>
      <c r="FS179" s="142">
        <f>EXP(-LN(2)/2)*FS178+(1-EXP(-LN(2)/2))/(LN(2)/2)*FM179*FP179*VLOOKUP('Données projet'!$B$16,'Paramètres'!$A$1:$I$89,3,0)*0.475*44/12</f>
        <v>0</v>
      </c>
      <c r="FT179" s="143">
        <f t="shared" si="25"/>
        <v>9.883156235</v>
      </c>
      <c r="FU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1" t="str">
        <f>VLOOKUP(A179,'Données projet'!$A$243:$I$263,2,0)</f>
        <v>#N/A</v>
      </c>
      <c r="FX179" s="131" t="str">
        <f>VLOOKUP(A179,'Données projet'!$A$243:$I$263,9,0)</f>
        <v>#N/A</v>
      </c>
      <c r="FY179" s="131" t="str">
        <f t="array" ref="FY179">INDEX(FX:FX,MIN(IF(ISNUMBER(FX179:FX375),ROW(FX179:FX375),"")))</f>
        <v/>
      </c>
      <c r="FZ179" s="138">
        <f>IF('Données projet'!$A$244&gt;35,FZ178+FY179-GH178,IF(A179&lt;'Données projet'!$A$244,$FW$205^A179,IF(A179='Données projet'!$A$244,'Données projet'!$B$244,FZ178+FY179-GH178)))</f>
        <v>0</v>
      </c>
      <c r="GA179" s="138">
        <f>FZ179*VLOOKUP('Données projet'!$B$17,'Paramètres'!$A$1:$I$89,3,0)*VLOOKUP('Données projet'!$B$17,'Paramètres'!$A$1:$I$89,5,0)</f>
        <v>0</v>
      </c>
      <c r="GB179" s="130">
        <f t="shared" si="50"/>
        <v>0</v>
      </c>
      <c r="GC179" s="141">
        <f t="shared" si="26"/>
        <v>0</v>
      </c>
      <c r="GD179" s="133">
        <f t="shared" si="27"/>
        <v>293.3333333</v>
      </c>
      <c r="GE179" s="133">
        <f>AVERAGE(OFFSET($GD$3,0,0,'Données projet'!$E$17+1,1))-AVERAGE(OFFSET($H$3,0,0,'Données projet'!$E$17+1,1))</f>
        <v>118.7368745</v>
      </c>
      <c r="GF179" s="133">
        <f t="shared" si="51"/>
        <v>135.1233677</v>
      </c>
      <c r="GG179" s="134">
        <f>IF(ISNA(VLOOKUP(A179,'Données projet'!$A$243:$I$263,3,0)),0,VLOOKUP(A179,'Données projet'!$A$243:$I$263,3,0))</f>
        <v>0</v>
      </c>
      <c r="GH179" s="134">
        <f>IF(ISNA(VLOOKUP(A179,'Données projet'!$A$243:$I$263,4,0)),0,VLOOKUP(A179,'Données projet'!$A$243:$I$263,4,0))</f>
        <v>0</v>
      </c>
      <c r="GI179" s="135">
        <f>IF(ISNA(VLOOKUP(A179,'Données projet'!$A$243:$I$263,5,0)),0%,VLOOKUP(A179,'Données projet'!$A$243:$I$263,5,0)*VLOOKUP('Données projet'!$B$17,'Paramètres'!$A$1:$I$89,7,0))</f>
        <v>0</v>
      </c>
      <c r="GJ179" s="135">
        <f>IF(ISNA(VLOOKUP(A179,'Données projet'!$A$243:$I$263,6,0)),0%,VLOOKUP(A179,'Données projet'!$A$243:$I$263,6,0)*VLOOKUP('Données projet'!$B$17,'Paramètres'!$A$1:$I$89,7,0))</f>
        <v>0</v>
      </c>
      <c r="GK179" s="135">
        <f>IF(ISNA(VLOOKUP(A179,'Données projet'!$A$243:$I$263,7,0)),0%,VLOOKUP(A179,'Données projet'!$A$243:$I$263,7,0))</f>
        <v>0</v>
      </c>
      <c r="GL179" s="142">
        <f>EXP(-LN(2)/35)*GL178+(1-EXP(-LN(2)/35))/(LN(2)/35)*GH179*GI179*VLOOKUP('Données projet'!$B$17,'Paramètres'!$A$1:$I$89,3,0)*0.475*44/12</f>
        <v>10.441524</v>
      </c>
      <c r="GM179" s="142">
        <f>EXP(-LN(2)/25)*GM178+(1-EXP(-LN(2)/25))/(LN(2)/25)*Calculateur!GH179*Calculateur!GJ179*VLOOKUP('Données projet'!$B$17,'Paramètres'!$A$1:$I$89,3,0)*0.475*44/12</f>
        <v>0</v>
      </c>
      <c r="GN179" s="142">
        <f>EXP(-LN(2)/2)*GN178+(1-EXP(-LN(2)/2))/(LN(2)/2)*GH179*GK179*VLOOKUP('Données projet'!$B$17,'Paramètres'!$A$1:$I$89,3,0)*0.475*44/12</f>
        <v>0</v>
      </c>
      <c r="GO179" s="142">
        <f t="shared" si="28"/>
        <v>10.441524</v>
      </c>
      <c r="GP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1" t="str">
        <f>VLOOKUP(A179,'Données projet'!$A$269:$I$289,2,0)</f>
        <v>#N/A</v>
      </c>
      <c r="GS179" s="131" t="str">
        <f>VLOOKUP(A179,'Données projet'!$A$269:$I$289,9,0)</f>
        <v>#N/A</v>
      </c>
      <c r="GT179" s="131" t="str">
        <f t="array" ref="GT179">INDEX(GS:GS,MIN(IF(ISNUMBER(GS179:GS375),ROW(GS179:GS375),"")))</f>
        <v/>
      </c>
      <c r="GU179" s="138">
        <f>IF('Données projet'!$A$270&gt;35,GU178+GT179-HC178,IF(A179&lt;'Données projet'!$A$270,$GR$205^A179,IF(A179='Données projet'!$A$270,'Données projet'!$B$270,GU178+GT179-HC178)))</f>
        <v>0</v>
      </c>
      <c r="GV179" s="138">
        <f>GU179*VLOOKUP('Données projet'!$B$18,'Paramètres'!$A$1:$I$89,3,0)*VLOOKUP('Données projet'!$B$18,'Paramètres'!$A$1:$I$89,5,0)</f>
        <v>0</v>
      </c>
      <c r="GW179" s="130" t="str">
        <f t="shared" si="52"/>
        <v>#NUM!</v>
      </c>
      <c r="GX179" s="141" t="str">
        <f t="shared" si="29"/>
        <v>#NUM!</v>
      </c>
      <c r="GY179" s="133" t="str">
        <f t="shared" si="30"/>
        <v>#NUM!</v>
      </c>
      <c r="GZ179" s="133">
        <f>AVERAGE(OFFSET($GY$3,0,0,'Données projet'!$E$18+1,1))-AVERAGE(OFFSET($H$3,0,0,'Données projet'!$E$18+1,1))</f>
        <v>100.5427875</v>
      </c>
      <c r="HA179" s="133">
        <f t="shared" si="53"/>
        <v>92.28663609</v>
      </c>
      <c r="HB179" s="134">
        <f>IF(ISNA(VLOOKUP(A179,'Données projet'!$A$269:$I$289,3,0)),0,VLOOKUP(A179,'Données projet'!$A$269:$I$289,3,0))</f>
        <v>0</v>
      </c>
      <c r="HC179" s="134">
        <f>IF(ISNA(VLOOKUP(A179,'Données projet'!$A$269:$I$289,4,0)),0,VLOOKUP(A179,'Données projet'!$A$269:$I$289,4,0))</f>
        <v>0</v>
      </c>
      <c r="HD179" s="135">
        <f>IF(ISNA(VLOOKUP(A179,'Données projet'!$A$269:$I$289,5,0)),0%,VLOOKUP(A179,'Données projet'!$A$269:$I$289,5,0)*VLOOKUP('Données projet'!$B$18,'Paramètres'!$A$1:$I$89,7,0))</f>
        <v>0</v>
      </c>
      <c r="HE179" s="135">
        <f>IF(ISNA(VLOOKUP(A179,'Données projet'!$A$269:$I$289,6,0)),0%,VLOOKUP(A179,'Données projet'!$A$269:$I$289,6,0)*VLOOKUP('Données projet'!$B$18,'Paramètres'!$A$1:$I$89,7,0))</f>
        <v>0</v>
      </c>
      <c r="HF179" s="135">
        <f>IF(ISNA(VLOOKUP(A179,'Données projet'!$A$269:$I$289,7,0)),0%,VLOOKUP(A179,'Données projet'!$A$269:$I$289,7,0))</f>
        <v>0</v>
      </c>
      <c r="HG179" s="142">
        <f>EXP(-LN(2)/35)*HG178+(1-EXP(-LN(2)/35))/(LN(2)/35)*HC179*HD179*VLOOKUP('Données projet'!$B$18,'Paramètres'!$A$1:$I$89,3,0)*0.475*44/12</f>
        <v>7.110457567</v>
      </c>
      <c r="HH179" s="142">
        <f>EXP(-LN(2)/25)*HH178+(1-EXP(-LN(2)/25))/(LN(2)/25)*Calculateur!HC179*Calculateur!HE179*VLOOKUP('Données projet'!$B$18,'Paramètres'!$A$1:$I$89,3,0)*0.475*44/12</f>
        <v>0</v>
      </c>
      <c r="HI179" s="142">
        <f>EXP(-LN(2)/2)*HI178+(1-EXP(-LN(2)/2))/(LN(2)/2)*HC179*HF179*VLOOKUP('Données projet'!$B$18,'Paramètres'!$A$1:$I$89,3,0)*0.475*44/12</f>
        <v>0</v>
      </c>
      <c r="HJ179" s="143">
        <f t="shared" si="31"/>
        <v>7.110457567</v>
      </c>
    </row>
    <row r="180" ht="15.75" customHeight="1">
      <c r="A180" s="125">
        <f t="shared" si="32"/>
        <v>177</v>
      </c>
      <c r="B180" s="126">
        <f>'Scénario référence'!$B$16*5+'Scénario référence'!$B$17*0+'Scénario référence'!$B$18*5</f>
        <v>0</v>
      </c>
      <c r="C180" s="140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96.642</v>
      </c>
      <c r="D180" s="127">
        <f t="shared" si="33"/>
        <v>26.16041698</v>
      </c>
      <c r="E18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7">
        <f>IF(OR('Scénario référence'!$F$8&gt;0,'Scénario référence'!$F$9&gt;0),('Scénario référence'!$F$8+'Scénario référence'!$F$9)*10,0)</f>
        <v>10</v>
      </c>
      <c r="G180" s="127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947.948482</v>
      </c>
      <c r="H180" s="128">
        <f t="shared" si="1"/>
        <v>507.2142096</v>
      </c>
      <c r="I180" s="12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1" t="str">
        <f>VLOOKUP(A180,'Données projet'!$A$35:$I$55,2,0)</f>
        <v>#N/A</v>
      </c>
      <c r="L180" s="131" t="str">
        <f>VLOOKUP(A180,'Données projet'!$A$35:$I$55,9,0)</f>
        <v>#N/A</v>
      </c>
      <c r="M180" s="131" t="str">
        <f t="array" ref="M180">INDEX(L:L,MIN(IF(ISNUMBER(L180:L376),ROW(L180:L376),"")))</f>
        <v/>
      </c>
      <c r="N180" s="130">
        <f>IF('Données projet'!$A$36&gt;35,N179+M180-V179,IF(A180&lt;'Données projet'!$A$36,$K$205^A180,IF(A180='Données projet'!$A$36,'Données projet'!$B$36,N179+M180-V179)))</f>
        <v>0</v>
      </c>
      <c r="O180" s="130">
        <f>N180*VLOOKUP('Données projet'!$B$9,'Paramètres'!$A$1:$I$89,3,0)*VLOOKUP('Données projet'!$B$9,'Paramètres'!$A$1:$I$89,5,0)</f>
        <v>0</v>
      </c>
      <c r="P180" s="130">
        <f t="shared" si="34"/>
        <v>0</v>
      </c>
      <c r="Q180" s="141">
        <f t="shared" si="2"/>
        <v>0</v>
      </c>
      <c r="R180" s="133">
        <f t="shared" si="3"/>
        <v>293.3333333</v>
      </c>
      <c r="S180" s="133">
        <f>AVERAGE(OFFSET($R$3,0,0,'Données projet'!$E$9+1,1))-AVERAGE(OFFSET($H$3,0,0,'Données projet'!$E$9+1,1))</f>
        <v>126.9946492</v>
      </c>
      <c r="T180" s="133">
        <f t="shared" si="35"/>
        <v>140.039049</v>
      </c>
      <c r="U180" s="134">
        <f>IF(ISNA(VLOOKUP(A180,'Données projet'!$A$35:$I$55,3,0)),0,VLOOKUP(A180,'Données projet'!$A$35:$I$55,3,0))</f>
        <v>0</v>
      </c>
      <c r="V180" s="134">
        <f>IF(ISNA(VLOOKUP(A180,'Données projet'!$A$35:$I$55,4,0)),0,VLOOKUP(A180,'Données projet'!$A$35:$I$55,4,0))</f>
        <v>0</v>
      </c>
      <c r="W180" s="135">
        <f>IF(ISNA(VLOOKUP(A180,'Données projet'!$A$35:$I$55,5,0)),0%,VLOOKUP(A180,'Données projet'!$A$35:$I$55,5,0)*VLOOKUP('Données projet'!$B$9,'Paramètres'!$A$1:$I$89,7,0))</f>
        <v>0</v>
      </c>
      <c r="X180" s="135">
        <f>IF(ISNA(VLOOKUP(A180,'Données projet'!$A$35:$I$55,6,0)),0%,VLOOKUP(A180,'Données projet'!$A$35:$I$55,6,0)*VLOOKUP('Données projet'!$B$9,'Paramètres'!$A$1:$I$89,7,0))</f>
        <v>0</v>
      </c>
      <c r="Y180" s="135">
        <f>IF(ISNA(VLOOKUP(A180,'Données projet'!$A$35:$I$55,7,0)),0%,VLOOKUP(A180,'Données projet'!$A$35:$I$55,7,0))</f>
        <v>0</v>
      </c>
      <c r="Z180" s="142">
        <f>EXP(-LN(2)/35)*Z179+(1-EXP(-LN(2)/35))/(LN(2)/35)*V180*W180*VLOOKUP('Données projet'!$B$9,'Paramètres'!$A$1:$I$89,3,0)*0.475*44/12</f>
        <v>10.4699391</v>
      </c>
      <c r="AA180" s="142">
        <f>EXP(-LN(2)/25)*AA179+(1-EXP(-LN(2)/25))/(LN(2)/25)*Calculateur!V180*Calculateur!X180*VLOOKUP('Données projet'!$B$9,'Paramètres'!$A$1:$I$89,3,0)*0.475*44/12</f>
        <v>0.9065472955</v>
      </c>
      <c r="AB180" s="142">
        <f>EXP(-LN(2)/2)*AB179+(1-EXP(-LN(2)/2))/(LN(2)/2)*V180*Y180*VLOOKUP('Données projet'!$B$9,'Paramètres'!$A$1:$I$89,3,0)*0.475*44/12</f>
        <v>0</v>
      </c>
      <c r="AC180" s="143">
        <f t="shared" si="4"/>
        <v>11.37648639</v>
      </c>
      <c r="AD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1" t="str">
        <f>VLOOKUP(A180,'Données projet'!$A$61:$I$81,2,0)</f>
        <v>#N/A</v>
      </c>
      <c r="AG180" s="131" t="str">
        <f>VLOOKUP(A180,'Données projet'!$A$61:$I$81,9,0)</f>
        <v>#N/A</v>
      </c>
      <c r="AH180" s="131" t="str">
        <f t="array" ref="AH180">INDEX(AG:AG,MIN(IF(ISNUMBER(AG180:AG376),ROW(AG180:AG376),"")))</f>
        <v/>
      </c>
      <c r="AI180" s="130">
        <f>IF('Données projet'!$A$62&gt;35,AI179+AH180-AQ179,IF(A180&lt;'Données projet'!$A$62,$AF$205^A180,IF(A180='Données projet'!$A$62,'Données projet'!$B$62,AI179+AH180-AQ179)))</f>
        <v>0</v>
      </c>
      <c r="AJ180" s="130">
        <f>AI180*VLOOKUP('Données projet'!$B$10,'Paramètres'!$A$1:$I$89,3,0)*VLOOKUP('Données projet'!$B$10,'Paramètres'!$A$1:$I$89,5,0)</f>
        <v>0</v>
      </c>
      <c r="AK180" s="130" t="str">
        <f t="shared" si="36"/>
        <v>#NUM!</v>
      </c>
      <c r="AL180" s="141" t="str">
        <f t="shared" si="5"/>
        <v>#NUM!</v>
      </c>
      <c r="AM180" s="133" t="str">
        <f t="shared" si="6"/>
        <v>#NUM!</v>
      </c>
      <c r="AN180" s="133">
        <f>AVERAGE(OFFSET($AM$3,0,0,'Données projet'!$E$10+1,1))-AVERAGE(OFFSET($H$3,0,0,'Données projet'!$E$10+1,1))</f>
        <v>196.874484</v>
      </c>
      <c r="AO180" s="133">
        <f t="shared" si="37"/>
        <v>217.5750859</v>
      </c>
      <c r="AP180" s="134">
        <f>IF(ISNA(VLOOKUP(A180,'Données projet'!$A$61:$I$81,3,0)),0,VLOOKUP(A180,'Données projet'!$A$61:$I$81,3,0))</f>
        <v>0</v>
      </c>
      <c r="AQ180" s="134">
        <f>IF(ISNA(VLOOKUP(A180,'Données projet'!$A$61:$I$81,4,0)),0,VLOOKUP(A180,'Données projet'!$A$61:$I$81,4,0))</f>
        <v>0</v>
      </c>
      <c r="AR180" s="135">
        <f>IF(ISNA(VLOOKUP(A180,'Données projet'!$A$61:$I$81,5,0)),0%,VLOOKUP(A180,'Données projet'!$A$61:$I$81,5,0)*VLOOKUP('Données projet'!$B$10,'Paramètres'!$A$1:$I$89,7,0))</f>
        <v>0</v>
      </c>
      <c r="AS180" s="135">
        <f>IF(ISNA(VLOOKUP(A180,'Données projet'!$A$61:$I$81,6,0)),0%,VLOOKUP(A180,'Données projet'!$A$61:$I$81,6,0)*VLOOKUP('Données projet'!$B$10,'Paramètres'!$A$1:$I$89,7,0))</f>
        <v>0</v>
      </c>
      <c r="AT180" s="135">
        <f>IF(ISNA(VLOOKUP(A180,'Données projet'!$A$61:$I$81,7,0)),0%,VLOOKUP(A180,'Données projet'!$A$61:$I$81,7,0))</f>
        <v>0</v>
      </c>
      <c r="AU180" s="142">
        <f>EXP(-LN(2)/35)*AU179+(1-EXP(-LN(2)/35))/(LN(2)/35)*AQ180*AR180*VLOOKUP('Données projet'!$B$10,'Paramètres'!$A$1:$I$89,3,0)*0.475*44/12</f>
        <v>14.55291796</v>
      </c>
      <c r="AV180" s="142">
        <f>EXP(-LN(2)/25)*AV179+(1-EXP(-LN(2)/25))/(LN(2)/25)*Calculateur!AQ180*Calculateur!AS180*VLOOKUP('Données projet'!$B$10,'Paramètres'!$A$1:$I$89,3,0)*0.475*44/12</f>
        <v>1.393817678</v>
      </c>
      <c r="AW180" s="142">
        <f>EXP(-LN(2)/2)*AW179+(1-EXP(-LN(2)/2))/(LN(2)/2)*AQ180*AT180*VLOOKUP('Données projet'!$B$10,'Paramètres'!$A$1:$I$89,3,0)*0.475*44/12</f>
        <v>0</v>
      </c>
      <c r="AX180" s="142">
        <f t="shared" si="7"/>
        <v>15.94673564</v>
      </c>
      <c r="AY180" s="13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1" t="str">
        <f>VLOOKUP(A180,'Données projet'!$A$87:$I$107,2,0)</f>
        <v>#N/A</v>
      </c>
      <c r="BB180" s="131" t="str">
        <f>VLOOKUP(A180,'Données projet'!$A$87:$I$107,9,0)</f>
        <v>#N/A</v>
      </c>
      <c r="BC180" s="131" t="str">
        <f t="array" ref="BC180">INDEX(BB:BB,MIN(IF(ISNUMBER(BB180:BB376),ROW(BB180:BB376),"")))</f>
        <v/>
      </c>
      <c r="BD180" s="130">
        <f>IF('Données projet'!$A$88&gt;35,BD179+BC180-BL179,IF(A180&lt;'Données projet'!$A$88,$BA$205^A180,IF(A180='Données projet'!$A$88,'Données projet'!$B$88,BD179+BC180-BL179)))</f>
        <v>0</v>
      </c>
      <c r="BE180" s="130">
        <f>BD180*VLOOKUP('Données projet'!$B$11,'Paramètres'!$A$1:$I$89,3,0)*VLOOKUP('Données projet'!$B$11,'Paramètres'!$A$1:$I$89,5,0)</f>
        <v>0</v>
      </c>
      <c r="BF180" s="130" t="str">
        <f t="shared" si="38"/>
        <v>#NUM!</v>
      </c>
      <c r="BG180" s="141" t="str">
        <f t="shared" si="8"/>
        <v>#NUM!</v>
      </c>
      <c r="BH180" s="133" t="str">
        <f t="shared" si="9"/>
        <v>#NUM!</v>
      </c>
      <c r="BI180" s="133">
        <f>AVERAGE(OFFSET($BH$3,0,0,'Données projet'!$E$11+1,1))-AVERAGE(OFFSET($H$3,0,0,'Données projet'!$E$11+1,1))</f>
        <v>134.0948534</v>
      </c>
      <c r="BJ180" s="133">
        <f t="shared" si="39"/>
        <v>108.4102536</v>
      </c>
      <c r="BK180" s="134">
        <f>IF(ISNA(VLOOKUP(A180,'Données projet'!$A$87:$I$107,3,0)),0,VLOOKUP(A180,'Données projet'!$A$87:$I$107,3,0))</f>
        <v>0</v>
      </c>
      <c r="BL180" s="134">
        <f>IF(ISNA(VLOOKUP(A180,'Données projet'!$A$87:$I$107,4,0)),0,VLOOKUP(A180,'Données projet'!$A$87:$I$107,4,0))</f>
        <v>0</v>
      </c>
      <c r="BM180" s="135">
        <f>IF(ISNA(VLOOKUP(A180,'Données projet'!$A$87:$I$107,5,0)),0%,VLOOKUP(A180,'Données projet'!$A$87:$I$107,5,0)*VLOOKUP('Données projet'!$B$11,'Paramètres'!$A$1:$I$89,7,0))</f>
        <v>0</v>
      </c>
      <c r="BN180" s="135">
        <f>IF(ISNA(VLOOKUP(A180,'Données projet'!$A$87:$I$107,6,0)),0%,VLOOKUP(A180,'Données projet'!$A$87:$I$107,6,0)*VLOOKUP('Données projet'!$B$11,'Paramètres'!$A$1:$I$89,7,0))</f>
        <v>0</v>
      </c>
      <c r="BO180" s="135">
        <f>IF(ISNA(VLOOKUP(A180,'Données projet'!$A$87:$I$107,7,0)),0%,VLOOKUP(A180,'Données projet'!$A$87:$I$107,7,0))</f>
        <v>0</v>
      </c>
      <c r="BP180" s="142">
        <f>EXP(-LN(2)/35)*BP179+(1-EXP(-LN(2)/35))/(LN(2)/35)*BL180*BM180*VLOOKUP('Données projet'!$B$11,'Paramètres'!$A$1:$I$89,3,0)*0.475*44/12</f>
        <v>20.12940342</v>
      </c>
      <c r="BQ180" s="142">
        <f>EXP(-LN(2)/25)*BQ179+(1-EXP(-LN(2)/25))/(LN(2)/25)*Calculateur!BL180*Calculateur!BN180*VLOOKUP('Données projet'!$B$11,'Paramètres'!$A$1:$I$89,3,0)*0.475*44/12</f>
        <v>0.879221388</v>
      </c>
      <c r="BR180" s="142">
        <f>EXP(-LN(2)/2)*BR179+(1-EXP(-LN(2)/2))/(LN(2)/2)*BL180*BO180*VLOOKUP('Données projet'!$B$11,'Paramètres'!$A$1:$I$89,3,0)*0.475*44/12</f>
        <v>0</v>
      </c>
      <c r="BS180" s="143">
        <f t="shared" si="10"/>
        <v>21.00862481</v>
      </c>
      <c r="BT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1" t="str">
        <f>VLOOKUP(A180,'Données projet'!$A$113:$I$133,2,0)</f>
        <v>#N/A</v>
      </c>
      <c r="BW180" s="131" t="str">
        <f>VLOOKUP(A180,'Données projet'!$A$113:$I$133,9,0)</f>
        <v>#N/A</v>
      </c>
      <c r="BX180" s="131" t="str">
        <f t="array" ref="BX180">INDEX(BW:BW,MIN(IF(ISNUMBER(BW180:BW376),ROW(BW180:BW376),"")))</f>
        <v/>
      </c>
      <c r="BY180" s="130">
        <f>IF('Données projet'!$A$114&gt;35,BY179+BX180-CG179,IF(A180&lt;'Données projet'!$A$114,$BV$205^A180,IF(A180='Données projet'!$A$114,'Données projet'!$B$114,BY179+BX180-CG179)))</f>
        <v>0</v>
      </c>
      <c r="BZ180" s="130">
        <f>BY180*VLOOKUP('Données projet'!$B$12,'Paramètres'!$A$1:$I$89,3,0)*VLOOKUP('Données projet'!$B$12,'Paramètres'!$A$1:$I$89,5,0)</f>
        <v>0</v>
      </c>
      <c r="CA180" s="130" t="str">
        <f t="shared" si="40"/>
        <v>#NUM!</v>
      </c>
      <c r="CB180" s="141" t="str">
        <f t="shared" si="11"/>
        <v>#NUM!</v>
      </c>
      <c r="CC180" s="133" t="str">
        <f t="shared" si="12"/>
        <v>#NUM!</v>
      </c>
      <c r="CD180" s="133">
        <f>AVERAGE(OFFSET($CC$3,0,0,'Données projet'!$E$12+1,1))-AVERAGE(OFFSET($H$3,0,0,'Données projet'!$E$12+1,1))</f>
        <v>258.1672054</v>
      </c>
      <c r="CE180" s="133">
        <f t="shared" si="41"/>
        <v>296.0724261</v>
      </c>
      <c r="CF180" s="134">
        <f>IF(ISNA(VLOOKUP(A180,'Données projet'!$A$113:$I$133,3,0)),0,VLOOKUP(A180,'Données projet'!$A$113:$I$133,3,0))</f>
        <v>0</v>
      </c>
      <c r="CG180" s="134">
        <f>IF(ISNA(VLOOKUP(A180,'Données projet'!$A$113:$I$133,4,0)),0,VLOOKUP(A180,'Données projet'!$A$113:$I$133,4,0))</f>
        <v>0</v>
      </c>
      <c r="CH180" s="135">
        <f>IF(ISNA(VLOOKUP(A180,'Données projet'!$A$113:$I$133,5,0)),0%,VLOOKUP(A180,'Données projet'!$A$113:$I$133,5,0)*VLOOKUP('Données projet'!$B$12,'Paramètres'!$A$1:$I$89,7,0))</f>
        <v>0</v>
      </c>
      <c r="CI180" s="135">
        <f>IF(ISNA(VLOOKUP(A180,'Données projet'!$A$113:$I$133,6,0)),0%,VLOOKUP(A180,'Données projet'!$A$113:$I$133,6,0)*VLOOKUP('Données projet'!$B$12,'Paramètres'!$A$1:$I$89,7,0))</f>
        <v>0</v>
      </c>
      <c r="CJ180" s="135">
        <f>IF(ISNA(VLOOKUP(A180,'Données projet'!$A$113:$I$133,7,0)),0%,VLOOKUP(A180,'Données projet'!$A$113:$I$133,7,0))</f>
        <v>0</v>
      </c>
      <c r="CK180" s="142">
        <f>EXP(-LN(2)/35)*CK179+(1-EXP(-LN(2)/35))/(LN(2)/35)*CG180*CH180*VLOOKUP('Données projet'!$B$12,'Paramètres'!$A$1:$I$89,3,0)*0.475*44/12</f>
        <v>25.44972376</v>
      </c>
      <c r="CL180" s="142">
        <f>EXP(-LN(2)/25)*CL179+(1-EXP(-LN(2)/25))/(LN(2)/25)*Calculateur!CG180*Calculateur!CI180*VLOOKUP('Données projet'!$B$12,'Paramètres'!$A$1:$I$89,3,0)*0.475*44/12</f>
        <v>1.542204225</v>
      </c>
      <c r="CM180" s="142">
        <f>EXP(-LN(2)/2)*CM179+(1-EXP(-LN(2)/2))/(LN(2)/2)*CG180*CJ180*VLOOKUP('Données projet'!$B$12,'Paramètres'!$A$1:$I$89,3,0)*0.475*44/12</f>
        <v>0</v>
      </c>
      <c r="CN180" s="143">
        <f t="shared" si="13"/>
        <v>26.99192798</v>
      </c>
      <c r="CO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1" t="str">
        <f>VLOOKUP(A180,'Données projet'!$A$139:$I$159,2,0)</f>
        <v>#N/A</v>
      </c>
      <c r="CR180" s="131" t="str">
        <f>VLOOKUP(A180,'Données projet'!$A$139:$I$159,9,0)</f>
        <v>#N/A</v>
      </c>
      <c r="CS180" s="131" t="str">
        <f t="array" ref="CS180">INDEX(CR:CR,MIN(IF(ISNUMBER(CR180:CR376),ROW(CR180:CR376),"")))</f>
        <v/>
      </c>
      <c r="CT180" s="138">
        <f>IF('Données projet'!$A$140&gt;35,CT179+CS180-DB179,IF(A180&lt;'Données projet'!$A$140,$CQ$205^A180,IF(A180='Données projet'!$A$140,'Données projet'!$B$140,CT179+CS180-DB179)))</f>
        <v>0</v>
      </c>
      <c r="CU180" s="138">
        <f>CT180*VLOOKUP('Données projet'!$B$13,'Paramètres'!$A$1:$I$89,3,0)*VLOOKUP('Données projet'!$B$13,'Paramètres'!$A$1:$I$89,5,0)</f>
        <v>0</v>
      </c>
      <c r="CV180" s="130" t="str">
        <f t="shared" si="42"/>
        <v>#NUM!</v>
      </c>
      <c r="CW180" s="141" t="str">
        <f t="shared" si="14"/>
        <v>#NUM!</v>
      </c>
      <c r="CX180" s="133" t="str">
        <f t="shared" si="15"/>
        <v>#NUM!</v>
      </c>
      <c r="CY180" s="133">
        <f>AVERAGE(OFFSET($CX$3,0,0,'Données projet'!$E$13+1,1))-AVERAGE(OFFSET($H$3,0,0,'Données projet'!$E$13+1,1))</f>
        <v>223.783507</v>
      </c>
      <c r="CZ180" s="133">
        <f t="shared" si="43"/>
        <v>84.92349117</v>
      </c>
      <c r="DA180" s="134">
        <f>IF(ISNA(VLOOKUP(A180,'Données projet'!$A$139:$I$159,3,0)),0,VLOOKUP(A180,'Données projet'!$A$139:$I$159,3,0))</f>
        <v>0</v>
      </c>
      <c r="DB180" s="134">
        <f>IF(ISNA(VLOOKUP(A180,'Données projet'!$A$139:$I$159,4,0)),0,VLOOKUP(A180,'Données projet'!$A$139:$I$159,4,0))</f>
        <v>0</v>
      </c>
      <c r="DC180" s="135">
        <f>IF(ISNA(VLOOKUP(A180,'Données projet'!$A$139:$I$159,5,0)),0%,VLOOKUP(A180,'Données projet'!$A$139:$I$159,5,0)*VLOOKUP('Données projet'!$B$13,'Paramètres'!$A$1:$I$89,7,0))</f>
        <v>0</v>
      </c>
      <c r="DD180" s="135">
        <f>IF(ISNA(VLOOKUP(A180,'Données projet'!$A$139:$I$159,6,0)),0%,VLOOKUP(A180,'Données projet'!$A$139:$I$159,6,0)*VLOOKUP('Données projet'!$B$13,'Paramètres'!$A$1:$I$89,7,0))</f>
        <v>0</v>
      </c>
      <c r="DE180" s="135">
        <f>IF(ISNA(VLOOKUP(A180,'Données projet'!$A$139:$I$159,7,0)),0%,VLOOKUP(A180,'Données projet'!$A$139:$I$159,7,0))</f>
        <v>0</v>
      </c>
      <c r="DF180" s="142">
        <f>EXP(-LN(2)/35)*DF179+(1-EXP(-LN(2)/35))/(LN(2)/35)*DB180*DC180*VLOOKUP('Données projet'!$B$13,'Paramètres'!$A$1:$I$89,3,0)*0.475*44/12</f>
        <v>65.36487669</v>
      </c>
      <c r="DG180" s="142">
        <f>EXP(-LN(2)/25)*DG179+(1-EXP(-LN(2)/25))/(LN(2)/25)*Calculateur!DB180*Calculateur!DD180*VLOOKUP('Données projet'!$B$13,'Paramètres'!$A$1:$I$89,3,0)*0.475*44/12</f>
        <v>0</v>
      </c>
      <c r="DH180" s="142">
        <f>EXP(-LN(2)/2)*DH179+(1-EXP(-LN(2)/2))/(LN(2)/2)*DB180*DE180*VLOOKUP('Données projet'!$B$13,'Paramètres'!$A$1:$I$89,3,0)*0.475*44/12</f>
        <v>0</v>
      </c>
      <c r="DI180" s="143">
        <f t="shared" si="16"/>
        <v>65.36487669</v>
      </c>
      <c r="DJ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1" t="str">
        <f>VLOOKUP(A180,'Données projet'!$A$165:$I$185,2,0)</f>
        <v>#N/A</v>
      </c>
      <c r="DM180" s="131" t="str">
        <f>VLOOKUP(A180,'Données projet'!$A$165:$I$185,9,0)</f>
        <v>#N/A</v>
      </c>
      <c r="DN180" s="131" t="str">
        <f t="array" ref="DN180">INDEX(DM:DM,MIN(IF(ISNUMBER(DM180:DM376),ROW(DM180:DM376),"")))</f>
        <v/>
      </c>
      <c r="DO180" s="138">
        <f>IF('Données projet'!$A$166&gt;35,DO179+DN180-DW179,IF(A180&lt;'Données projet'!$A$166,$DL$205^A180,IF(A180='Données projet'!$A$166,'Données projet'!$B$166,DO179+DN180-DW179)))</f>
        <v>0</v>
      </c>
      <c r="DP180" s="138">
        <f>DO180*VLOOKUP('Données projet'!$B$14,'Paramètres'!$A$1:$I$89,3,0)*VLOOKUP('Données projet'!$B$14,'Paramètres'!$A$1:$I$89,5,0)</f>
        <v>0</v>
      </c>
      <c r="DQ180" s="130" t="str">
        <f t="shared" si="44"/>
        <v>#NUM!</v>
      </c>
      <c r="DR180" s="141" t="str">
        <f t="shared" si="17"/>
        <v>#NUM!</v>
      </c>
      <c r="DS180" s="133" t="str">
        <f t="shared" si="18"/>
        <v>#NUM!</v>
      </c>
      <c r="DT180" s="133">
        <f>AVERAGE(OFFSET($DS$3,0,0,'Données projet'!$E$14+1,1))-AVERAGE(OFFSET($H$3,0,0,'Données projet'!$E$14+1,1))</f>
        <v>287.9334714</v>
      </c>
      <c r="DU180" s="133">
        <f t="shared" si="45"/>
        <v>156.6796502</v>
      </c>
      <c r="DV180" s="134">
        <f>IF(ISNA(VLOOKUP(A180,'Données projet'!$A$165:$I$185,3,0)),0,VLOOKUP(A180,'Données projet'!$A$165:$I$185,3,0))</f>
        <v>0</v>
      </c>
      <c r="DW180" s="134">
        <f>IF(ISNA(VLOOKUP(A180,'Données projet'!$A$165:$I$185,4,0)),0,VLOOKUP(A180,'Données projet'!$A$165:$I$185,4,0))</f>
        <v>0</v>
      </c>
      <c r="DX180" s="135">
        <f>IF(ISNA(VLOOKUP(A180,'Données projet'!$A$165:$I$185,5,0)),0%,VLOOKUP(A180,'Données projet'!$A$165:$I$185,5,0)*VLOOKUP('Données projet'!$B$14,'Paramètres'!$A$1:$I$89,7,0))</f>
        <v>0</v>
      </c>
      <c r="DY180" s="135">
        <f>IF(ISNA(VLOOKUP(A180,'Données projet'!$A$165:$I$185,6,0)),0%,VLOOKUP(A180,'Données projet'!$A$165:$I$185,6,0)*VLOOKUP('Données projet'!$B$14,'Paramètres'!$A$1:$I$89,7,0))</f>
        <v>0</v>
      </c>
      <c r="DZ180" s="135">
        <f>IF(ISNA(VLOOKUP(A180,'Données projet'!$A$165:$I$185,7,0)),0%,VLOOKUP(A180,'Données projet'!$A$165:$I$185,7,0))</f>
        <v>0</v>
      </c>
      <c r="EA180" s="142">
        <f>EXP(-LN(2)/35)*EA179+(1-EXP(-LN(2)/35))/(LN(2)/35)*DW180*DX180*VLOOKUP('Données projet'!$B$14,'Paramètres'!$A$1:$I$89,3,0)*0.475*44/12</f>
        <v>75.93549074</v>
      </c>
      <c r="EB180" s="142">
        <f>EXP(-LN(2)/25)*EB179+(1-EXP(-LN(2)/25))/(LN(2)/25)*Calculateur!DW180*Calculateur!DY180*VLOOKUP('Données projet'!$B$14,'Paramètres'!$A$1:$I$89,3,0)*0.475*44/12</f>
        <v>0</v>
      </c>
      <c r="EC180" s="142">
        <f>EXP(-LN(2)/2)*EC179+(1-EXP(-LN(2)/2))/(LN(2)/2)*DW180*DZ180*VLOOKUP('Données projet'!$B$14,'Paramètres'!$A$1:$I$89,3,0)*0.475*44/12</f>
        <v>0</v>
      </c>
      <c r="ED180" s="143">
        <f t="shared" si="19"/>
        <v>75.93549074</v>
      </c>
      <c r="EE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1" t="str">
        <f>VLOOKUP(A180,'Données projet'!$A$191:$I$211,2,0)</f>
        <v>#N/A</v>
      </c>
      <c r="EH180" s="131" t="str">
        <f>VLOOKUP(A180,'Données projet'!$A$191:$I$211,9,0)</f>
        <v>#N/A</v>
      </c>
      <c r="EI180" s="131" t="str">
        <f t="array" ref="EI180">INDEX(EH:EH,MIN(IF(ISNUMBER(EH180:EH376),ROW(EH180:EH376),"")))</f>
        <v/>
      </c>
      <c r="EJ180" s="138">
        <f>IF('Données projet'!$A$192&gt;35,EJ179+EI180-ER179,IF(A180&lt;'Données projet'!$A$192,$EG$205^A180,IF(A180='Données projet'!$A$192,'Données projet'!$B$192,EJ179+EI180-ER179)))</f>
        <v>0</v>
      </c>
      <c r="EK180" s="138">
        <f>EJ180*VLOOKUP('Données projet'!$B$15,'Paramètres'!$A$1:$I$89,3,0)*VLOOKUP('Données projet'!$B$15,'Paramètres'!$A$1:$I$89,5,0)</f>
        <v>0</v>
      </c>
      <c r="EL180" s="130" t="str">
        <f t="shared" si="46"/>
        <v>#NUM!</v>
      </c>
      <c r="EM180" s="141" t="str">
        <f t="shared" si="20"/>
        <v>#NUM!</v>
      </c>
      <c r="EN180" s="133" t="str">
        <f t="shared" si="21"/>
        <v>#NUM!</v>
      </c>
      <c r="EO180" s="133">
        <f>AVERAGE(OFFSET($EN$3,0,0,'Données projet'!$E$15+1,1))-AVERAGE(OFFSET($H$3,0,0,'Données projet'!$E$15+1,1))</f>
        <v>130.3193339</v>
      </c>
      <c r="EP180" s="133">
        <f t="shared" si="47"/>
        <v>82.22784365</v>
      </c>
      <c r="EQ180" s="134">
        <f>IF(ISNA(VLOOKUP(A180,'Données projet'!$A$191:$I$211,3,0)),0,VLOOKUP(A180,'Données projet'!$A$191:$I$211,3,0))</f>
        <v>0</v>
      </c>
      <c r="ER180" s="134">
        <f>IF(ISNA(VLOOKUP(A180,'Données projet'!$A$191:$I$211,4,0)),0,VLOOKUP(A180,'Données projet'!$A$191:$I$211,4,0))</f>
        <v>0</v>
      </c>
      <c r="ES180" s="135">
        <f>IF(ISNA(VLOOKUP(A180,'Données projet'!$A$191:$I$211,5,0)),0%,VLOOKUP(A180,'Données projet'!$A$191:$I$211,5,0)*VLOOKUP('Données projet'!$B$15,'Paramètres'!$A$1:$I$89,7,0))</f>
        <v>0</v>
      </c>
      <c r="ET180" s="135">
        <f>IF(ISNA(VLOOKUP(A180,'Données projet'!$A$191:$I$211,6,0)),0%,VLOOKUP(A180,'Données projet'!$A$191:$I$211,6,0)*VLOOKUP('Données projet'!$B$15,'Paramètres'!$A$1:$I$89,7,0))</f>
        <v>0</v>
      </c>
      <c r="EU180" s="135">
        <f>IF(ISNA(VLOOKUP(A180,'Données projet'!$A$191:$I$211,7,0)),0%,VLOOKUP(A180,'Données projet'!$A$191:$I$211,7,0))</f>
        <v>0</v>
      </c>
      <c r="EV180" s="142">
        <f>EXP(-LN(2)/35)*EV179+(1-EXP(-LN(2)/35))/(LN(2)/35)*ER180*ES180*VLOOKUP('Données projet'!$B$15,'Paramètres'!$A$1:$I$89,3,0)*0.475*44/12</f>
        <v>15.56197959</v>
      </c>
      <c r="EW180" s="142">
        <f>EXP(-LN(2)/25)*EW179+(1-EXP(-LN(2)/25))/(LN(2)/25)*Calculateur!ER180*Calculateur!ET180*VLOOKUP('Données projet'!$B$15,'Paramètres'!$A$1:$I$89,3,0)*0.475*44/12</f>
        <v>0</v>
      </c>
      <c r="EX180" s="142">
        <f>EXP(-LN(2)/2)*EX179+(1-EXP(-LN(2)/2))/(LN(2)/2)*ER180*EU180*VLOOKUP('Données projet'!$B$15,'Paramètres'!$A$1:$I$89,3,0)*0.475*44/12</f>
        <v>0</v>
      </c>
      <c r="EY180" s="143">
        <f t="shared" si="22"/>
        <v>15.56197959</v>
      </c>
      <c r="EZ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1" t="str">
        <f>VLOOKUP(A180,'Données projet'!$A$217:$I$237,2,0)</f>
        <v>#N/A</v>
      </c>
      <c r="FC180" s="131" t="str">
        <f>VLOOKUP(A180,'Données projet'!$A$217:$I$237,9,0)</f>
        <v>#N/A</v>
      </c>
      <c r="FD180" s="131" t="str">
        <f t="array" ref="FD180">INDEX(FC:FC,MIN(IF(ISNUMBER(FC180:FC376),ROW(FC180:FC376),"")))</f>
        <v/>
      </c>
      <c r="FE180" s="130">
        <f>IF('Données projet'!$A$218&gt;35,FE179+FD180-FM179,IF(A180&lt;'Données projet'!$A$218,$FB$205^A180,IF(A180='Données projet'!$A$218,'Données projet'!$B$218,FE179+FD180-FM179)))</f>
        <v>0</v>
      </c>
      <c r="FF180" s="138">
        <f>FE180*VLOOKUP('Données projet'!$B$16,'Paramètres'!$A$1:$I$89,3,0)*VLOOKUP('Données projet'!$B$16,'Paramètres'!$A$1:$I$89,5,0)</f>
        <v>0</v>
      </c>
      <c r="FG180" s="130">
        <f t="shared" si="48"/>
        <v>0</v>
      </c>
      <c r="FH180" s="141">
        <f t="shared" si="23"/>
        <v>0</v>
      </c>
      <c r="FI180" s="133">
        <f t="shared" si="24"/>
        <v>293.3333333</v>
      </c>
      <c r="FJ180" s="133">
        <f>AVERAGE(OFFSET($FI$3,0,0,'Données projet'!$E$16+1,1))-AVERAGE(OFFSET($H$3,0,0,'Données projet'!$E$16+1,1))</f>
        <v>305.6252353</v>
      </c>
      <c r="FK180" s="133">
        <f t="shared" si="49"/>
        <v>331.397916</v>
      </c>
      <c r="FL180" s="134">
        <f>IF(ISNA(VLOOKUP(A180,'Données projet'!$A$217:$I$237,3,0)),0,VLOOKUP(A180,'Données projet'!$A$217:$I$237,3,0))</f>
        <v>0</v>
      </c>
      <c r="FM180" s="134">
        <f>IF(ISNA(VLOOKUP(A180,'Données projet'!$A$217:$I$237,4,0)),0,VLOOKUP(A180,'Données projet'!$A$217:$I$237,4,0))</f>
        <v>0</v>
      </c>
      <c r="FN180" s="135">
        <f>IF(ISNA(VLOOKUP(A180,'Données projet'!$A$217:$I$237,5,0)),0%,VLOOKUP(A180,'Données projet'!$A$217:$I$237,5,0)*VLOOKUP('Données projet'!$B$16,'Paramètres'!$A$1:$I$89,7,0))</f>
        <v>0</v>
      </c>
      <c r="FO180" s="135">
        <f>IF(ISNA(VLOOKUP(A180,'Données projet'!$A$217:$I$237,6,0)),0%,VLOOKUP(A180,'Données projet'!$A$217:$I$237,6,0)*VLOOKUP('Données projet'!$B$16,'Paramètres'!$A$1:$I$89,7,0))</f>
        <v>0</v>
      </c>
      <c r="FP180" s="135">
        <f>IF(ISNA(VLOOKUP(A180,'Données projet'!$A$217:$I$237,7,0)),0%,VLOOKUP(A180,'Données projet'!$A$217:$I$237,7,0))</f>
        <v>0</v>
      </c>
      <c r="FQ180" s="142">
        <f>EXP(-LN(2)/35)*FQ179+(1-EXP(-LN(2)/35))/(LN(2)/35)*FM180*FN180*VLOOKUP('Données projet'!$B$16,'Paramètres'!$A$1:$I$89,3,0)*0.475*44/12</f>
        <v>9.689353569</v>
      </c>
      <c r="FR180" s="142">
        <f>EXP(-LN(2)/25)*FR179+(1-EXP(-LN(2)/25))/(LN(2)/25)*Calculateur!FM180*Calculateur!FO180*VLOOKUP('Données projet'!$B$16,'Paramètres'!$A$1:$I$89,3,0)*0.475*44/12</f>
        <v>0</v>
      </c>
      <c r="FS180" s="142">
        <f>EXP(-LN(2)/2)*FS179+(1-EXP(-LN(2)/2))/(LN(2)/2)*FM180*FP180*VLOOKUP('Données projet'!$B$16,'Paramètres'!$A$1:$I$89,3,0)*0.475*44/12</f>
        <v>0</v>
      </c>
      <c r="FT180" s="143">
        <f t="shared" si="25"/>
        <v>9.689353569</v>
      </c>
      <c r="FU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1" t="str">
        <f>VLOOKUP(A180,'Données projet'!$A$243:$I$263,2,0)</f>
        <v>#N/A</v>
      </c>
      <c r="FX180" s="131" t="str">
        <f>VLOOKUP(A180,'Données projet'!$A$243:$I$263,9,0)</f>
        <v>#N/A</v>
      </c>
      <c r="FY180" s="131" t="str">
        <f t="array" ref="FY180">INDEX(FX:FX,MIN(IF(ISNUMBER(FX180:FX376),ROW(FX180:FX376),"")))</f>
        <v/>
      </c>
      <c r="FZ180" s="138">
        <f>IF('Données projet'!$A$244&gt;35,FZ179+FY180-GH179,IF(A180&lt;'Données projet'!$A$244,$FW$205^A180,IF(A180='Données projet'!$A$244,'Données projet'!$B$244,FZ179+FY180-GH179)))</f>
        <v>0</v>
      </c>
      <c r="GA180" s="138">
        <f>FZ180*VLOOKUP('Données projet'!$B$17,'Paramètres'!$A$1:$I$89,3,0)*VLOOKUP('Données projet'!$B$17,'Paramètres'!$A$1:$I$89,5,0)</f>
        <v>0</v>
      </c>
      <c r="GB180" s="130">
        <f t="shared" si="50"/>
        <v>0</v>
      </c>
      <c r="GC180" s="141">
        <f t="shared" si="26"/>
        <v>0</v>
      </c>
      <c r="GD180" s="133">
        <f t="shared" si="27"/>
        <v>293.3333333</v>
      </c>
      <c r="GE180" s="133">
        <f>AVERAGE(OFFSET($GD$3,0,0,'Données projet'!$E$17+1,1))-AVERAGE(OFFSET($H$3,0,0,'Données projet'!$E$17+1,1))</f>
        <v>118.7368745</v>
      </c>
      <c r="GF180" s="133">
        <f t="shared" si="51"/>
        <v>135.1233677</v>
      </c>
      <c r="GG180" s="134">
        <f>IF(ISNA(VLOOKUP(A180,'Données projet'!$A$243:$I$263,3,0)),0,VLOOKUP(A180,'Données projet'!$A$243:$I$263,3,0))</f>
        <v>0</v>
      </c>
      <c r="GH180" s="134">
        <f>IF(ISNA(VLOOKUP(A180,'Données projet'!$A$243:$I$263,4,0)),0,VLOOKUP(A180,'Données projet'!$A$243:$I$263,4,0))</f>
        <v>0</v>
      </c>
      <c r="GI180" s="135">
        <f>IF(ISNA(VLOOKUP(A180,'Données projet'!$A$243:$I$263,5,0)),0%,VLOOKUP(A180,'Données projet'!$A$243:$I$263,5,0)*VLOOKUP('Données projet'!$B$17,'Paramètres'!$A$1:$I$89,7,0))</f>
        <v>0</v>
      </c>
      <c r="GJ180" s="135">
        <f>IF(ISNA(VLOOKUP(A180,'Données projet'!$A$243:$I$263,6,0)),0%,VLOOKUP(A180,'Données projet'!$A$243:$I$263,6,0)*VLOOKUP('Données projet'!$B$17,'Paramètres'!$A$1:$I$89,7,0))</f>
        <v>0</v>
      </c>
      <c r="GK180" s="135">
        <f>IF(ISNA(VLOOKUP(A180,'Données projet'!$A$243:$I$263,7,0)),0%,VLOOKUP(A180,'Données projet'!$A$243:$I$263,7,0))</f>
        <v>0</v>
      </c>
      <c r="GL180" s="142">
        <f>EXP(-LN(2)/35)*GL179+(1-EXP(-LN(2)/35))/(LN(2)/35)*GH180*GI180*VLOOKUP('Données projet'!$B$17,'Paramètres'!$A$1:$I$89,3,0)*0.475*44/12</f>
        <v>10.23677208</v>
      </c>
      <c r="GM180" s="142">
        <f>EXP(-LN(2)/25)*GM179+(1-EXP(-LN(2)/25))/(LN(2)/25)*Calculateur!GH180*Calculateur!GJ180*VLOOKUP('Données projet'!$B$17,'Paramètres'!$A$1:$I$89,3,0)*0.475*44/12</f>
        <v>0</v>
      </c>
      <c r="GN180" s="142">
        <f>EXP(-LN(2)/2)*GN179+(1-EXP(-LN(2)/2))/(LN(2)/2)*GH180*GK180*VLOOKUP('Données projet'!$B$17,'Paramètres'!$A$1:$I$89,3,0)*0.475*44/12</f>
        <v>0</v>
      </c>
      <c r="GO180" s="142">
        <f t="shared" si="28"/>
        <v>10.23677208</v>
      </c>
      <c r="GP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1" t="str">
        <f>VLOOKUP(A180,'Données projet'!$A$269:$I$289,2,0)</f>
        <v>#N/A</v>
      </c>
      <c r="GS180" s="131" t="str">
        <f>VLOOKUP(A180,'Données projet'!$A$269:$I$289,9,0)</f>
        <v>#N/A</v>
      </c>
      <c r="GT180" s="131" t="str">
        <f t="array" ref="GT180">INDEX(GS:GS,MIN(IF(ISNUMBER(GS180:GS376),ROW(GS180:GS376),"")))</f>
        <v/>
      </c>
      <c r="GU180" s="138">
        <f>IF('Données projet'!$A$270&gt;35,GU179+GT180-HC179,IF(A180&lt;'Données projet'!$A$270,$GR$205^A180,IF(A180='Données projet'!$A$270,'Données projet'!$B$270,GU179+GT180-HC179)))</f>
        <v>0</v>
      </c>
      <c r="GV180" s="138">
        <f>GU180*VLOOKUP('Données projet'!$B$18,'Paramètres'!$A$1:$I$89,3,0)*VLOOKUP('Données projet'!$B$18,'Paramètres'!$A$1:$I$89,5,0)</f>
        <v>0</v>
      </c>
      <c r="GW180" s="130" t="str">
        <f t="shared" si="52"/>
        <v>#NUM!</v>
      </c>
      <c r="GX180" s="141" t="str">
        <f t="shared" si="29"/>
        <v>#NUM!</v>
      </c>
      <c r="GY180" s="133" t="str">
        <f t="shared" si="30"/>
        <v>#NUM!</v>
      </c>
      <c r="GZ180" s="133">
        <f>AVERAGE(OFFSET($GY$3,0,0,'Données projet'!$E$18+1,1))-AVERAGE(OFFSET($H$3,0,0,'Données projet'!$E$18+1,1))</f>
        <v>100.5427875</v>
      </c>
      <c r="HA180" s="133">
        <f t="shared" si="53"/>
        <v>92.28663609</v>
      </c>
      <c r="HB180" s="134">
        <f>IF(ISNA(VLOOKUP(A180,'Données projet'!$A$269:$I$289,3,0)),0,VLOOKUP(A180,'Données projet'!$A$269:$I$289,3,0))</f>
        <v>0</v>
      </c>
      <c r="HC180" s="134">
        <f>IF(ISNA(VLOOKUP(A180,'Données projet'!$A$269:$I$289,4,0)),0,VLOOKUP(A180,'Données projet'!$A$269:$I$289,4,0))</f>
        <v>0</v>
      </c>
      <c r="HD180" s="135">
        <f>IF(ISNA(VLOOKUP(A180,'Données projet'!$A$269:$I$289,5,0)),0%,VLOOKUP(A180,'Données projet'!$A$269:$I$289,5,0)*VLOOKUP('Données projet'!$B$18,'Paramètres'!$A$1:$I$89,7,0))</f>
        <v>0</v>
      </c>
      <c r="HE180" s="135">
        <f>IF(ISNA(VLOOKUP(A180,'Données projet'!$A$269:$I$289,6,0)),0%,VLOOKUP(A180,'Données projet'!$A$269:$I$289,6,0)*VLOOKUP('Données projet'!$B$18,'Paramètres'!$A$1:$I$89,7,0))</f>
        <v>0</v>
      </c>
      <c r="HF180" s="135">
        <f>IF(ISNA(VLOOKUP(A180,'Données projet'!$A$269:$I$289,7,0)),0%,VLOOKUP(A180,'Données projet'!$A$269:$I$289,7,0))</f>
        <v>0</v>
      </c>
      <c r="HG180" s="142">
        <f>EXP(-LN(2)/35)*HG179+(1-EXP(-LN(2)/35))/(LN(2)/35)*HC180*HD180*VLOOKUP('Données projet'!$B$18,'Paramètres'!$A$1:$I$89,3,0)*0.475*44/12</f>
        <v>6.971025831</v>
      </c>
      <c r="HH180" s="142">
        <f>EXP(-LN(2)/25)*HH179+(1-EXP(-LN(2)/25))/(LN(2)/25)*Calculateur!HC180*Calculateur!HE180*VLOOKUP('Données projet'!$B$18,'Paramètres'!$A$1:$I$89,3,0)*0.475*44/12</f>
        <v>0</v>
      </c>
      <c r="HI180" s="142">
        <f>EXP(-LN(2)/2)*HI179+(1-EXP(-LN(2)/2))/(LN(2)/2)*HC180*HF180*VLOOKUP('Données projet'!$B$18,'Paramètres'!$A$1:$I$89,3,0)*0.475*44/12</f>
        <v>0</v>
      </c>
      <c r="HJ180" s="143">
        <f t="shared" si="31"/>
        <v>6.971025831</v>
      </c>
    </row>
    <row r="181" ht="15.75" customHeight="1">
      <c r="A181" s="125">
        <f t="shared" si="32"/>
        <v>178</v>
      </c>
      <c r="B181" s="126">
        <f>'Scénario référence'!$B$16*5+'Scénario référence'!$B$17*0+'Scénario référence'!$B$18*5</f>
        <v>0</v>
      </c>
      <c r="C181" s="140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97.188</v>
      </c>
      <c r="D181" s="127">
        <f t="shared" si="33"/>
        <v>26.2909693</v>
      </c>
      <c r="E18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7">
        <f>IF(OR('Scénario référence'!$F$8&gt;0,'Scénario référence'!$F$9&gt;0),('Scénario référence'!$F$8+'Scénario référence'!$F$9)*10,0)</f>
        <v>10</v>
      </c>
      <c r="G181" s="127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953.1709911</v>
      </c>
      <c r="H181" s="128">
        <f t="shared" si="1"/>
        <v>508.3925382</v>
      </c>
      <c r="I181" s="12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1" t="str">
        <f>VLOOKUP(A181,'Données projet'!$A$35:$I$55,2,0)</f>
        <v>#N/A</v>
      </c>
      <c r="L181" s="131" t="str">
        <f>VLOOKUP(A181,'Données projet'!$A$35:$I$55,9,0)</f>
        <v>#N/A</v>
      </c>
      <c r="M181" s="131" t="str">
        <f t="array" ref="M181">INDEX(L:L,MIN(IF(ISNUMBER(L181:L377),ROW(L181:L377),"")))</f>
        <v/>
      </c>
      <c r="N181" s="130">
        <f>IF('Données projet'!$A$36&gt;35,N180+M181-V180,IF(A181&lt;'Données projet'!$A$36,$K$205^A181,IF(A181='Données projet'!$A$36,'Données projet'!$B$36,N180+M181-V180)))</f>
        <v>0</v>
      </c>
      <c r="O181" s="130">
        <f>N181*VLOOKUP('Données projet'!$B$9,'Paramètres'!$A$1:$I$89,3,0)*VLOOKUP('Données projet'!$B$9,'Paramètres'!$A$1:$I$89,5,0)</f>
        <v>0</v>
      </c>
      <c r="P181" s="130">
        <f t="shared" si="34"/>
        <v>0</v>
      </c>
      <c r="Q181" s="141">
        <f t="shared" si="2"/>
        <v>0</v>
      </c>
      <c r="R181" s="133">
        <f t="shared" si="3"/>
        <v>293.3333333</v>
      </c>
      <c r="S181" s="133">
        <f>AVERAGE(OFFSET($R$3,0,0,'Données projet'!$E$9+1,1))-AVERAGE(OFFSET($H$3,0,0,'Données projet'!$E$9+1,1))</f>
        <v>126.9946492</v>
      </c>
      <c r="T181" s="133">
        <f t="shared" si="35"/>
        <v>140.039049</v>
      </c>
      <c r="U181" s="134">
        <f>IF(ISNA(VLOOKUP(A181,'Données projet'!$A$35:$I$55,3,0)),0,VLOOKUP(A181,'Données projet'!$A$35:$I$55,3,0))</f>
        <v>0</v>
      </c>
      <c r="V181" s="134">
        <f>IF(ISNA(VLOOKUP(A181,'Données projet'!$A$35:$I$55,4,0)),0,VLOOKUP(A181,'Données projet'!$A$35:$I$55,4,0))</f>
        <v>0</v>
      </c>
      <c r="W181" s="135">
        <f>IF(ISNA(VLOOKUP(A181,'Données projet'!$A$35:$I$55,5,0)),0%,VLOOKUP(A181,'Données projet'!$A$35:$I$55,5,0)*VLOOKUP('Données projet'!$B$9,'Paramètres'!$A$1:$I$89,7,0))</f>
        <v>0</v>
      </c>
      <c r="X181" s="135">
        <f>IF(ISNA(VLOOKUP(A181,'Données projet'!$A$35:$I$55,6,0)),0%,VLOOKUP(A181,'Données projet'!$A$35:$I$55,6,0)*VLOOKUP('Données projet'!$B$9,'Paramètres'!$A$1:$I$89,7,0))</f>
        <v>0</v>
      </c>
      <c r="Y181" s="135">
        <f>IF(ISNA(VLOOKUP(A181,'Données projet'!$A$35:$I$55,7,0)),0%,VLOOKUP(A181,'Données projet'!$A$35:$I$55,7,0))</f>
        <v>0</v>
      </c>
      <c r="Z181" s="142">
        <f>EXP(-LN(2)/35)*Z180+(1-EXP(-LN(2)/35))/(LN(2)/35)*V181*W181*VLOOKUP('Données projet'!$B$9,'Paramètres'!$A$1:$I$89,3,0)*0.475*44/12</f>
        <v>10.26462998</v>
      </c>
      <c r="AA181" s="142">
        <f>EXP(-LN(2)/25)*AA180+(1-EXP(-LN(2)/25))/(LN(2)/25)*Calculateur!V181*Calculateur!X181*VLOOKUP('Données projet'!$B$9,'Paramètres'!$A$1:$I$89,3,0)*0.475*44/12</f>
        <v>0.881757712</v>
      </c>
      <c r="AB181" s="142">
        <f>EXP(-LN(2)/2)*AB180+(1-EXP(-LN(2)/2))/(LN(2)/2)*V181*Y181*VLOOKUP('Données projet'!$B$9,'Paramètres'!$A$1:$I$89,3,0)*0.475*44/12</f>
        <v>0</v>
      </c>
      <c r="AC181" s="143">
        <f t="shared" si="4"/>
        <v>11.14638769</v>
      </c>
      <c r="AD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1" t="str">
        <f>VLOOKUP(A181,'Données projet'!$A$61:$I$81,2,0)</f>
        <v>#N/A</v>
      </c>
      <c r="AG181" s="131" t="str">
        <f>VLOOKUP(A181,'Données projet'!$A$61:$I$81,9,0)</f>
        <v>#N/A</v>
      </c>
      <c r="AH181" s="131" t="str">
        <f t="array" ref="AH181">INDEX(AG:AG,MIN(IF(ISNUMBER(AG181:AG377),ROW(AG181:AG377),"")))</f>
        <v/>
      </c>
      <c r="AI181" s="130">
        <f>IF('Données projet'!$A$62&gt;35,AI180+AH181-AQ180,IF(A181&lt;'Données projet'!$A$62,$AF$205^A181,IF(A181='Données projet'!$A$62,'Données projet'!$B$62,AI180+AH181-AQ180)))</f>
        <v>0</v>
      </c>
      <c r="AJ181" s="130">
        <f>AI181*VLOOKUP('Données projet'!$B$10,'Paramètres'!$A$1:$I$89,3,0)*VLOOKUP('Données projet'!$B$10,'Paramètres'!$A$1:$I$89,5,0)</f>
        <v>0</v>
      </c>
      <c r="AK181" s="130" t="str">
        <f t="shared" si="36"/>
        <v>#NUM!</v>
      </c>
      <c r="AL181" s="141" t="str">
        <f t="shared" si="5"/>
        <v>#NUM!</v>
      </c>
      <c r="AM181" s="133" t="str">
        <f t="shared" si="6"/>
        <v>#NUM!</v>
      </c>
      <c r="AN181" s="133">
        <f>AVERAGE(OFFSET($AM$3,0,0,'Données projet'!$E$10+1,1))-AVERAGE(OFFSET($H$3,0,0,'Données projet'!$E$10+1,1))</f>
        <v>196.874484</v>
      </c>
      <c r="AO181" s="133">
        <f t="shared" si="37"/>
        <v>217.5750859</v>
      </c>
      <c r="AP181" s="134">
        <f>IF(ISNA(VLOOKUP(A181,'Données projet'!$A$61:$I$81,3,0)),0,VLOOKUP(A181,'Données projet'!$A$61:$I$81,3,0))</f>
        <v>0</v>
      </c>
      <c r="AQ181" s="134">
        <f>IF(ISNA(VLOOKUP(A181,'Données projet'!$A$61:$I$81,4,0)),0,VLOOKUP(A181,'Données projet'!$A$61:$I$81,4,0))</f>
        <v>0</v>
      </c>
      <c r="AR181" s="135">
        <f>IF(ISNA(VLOOKUP(A181,'Données projet'!$A$61:$I$81,5,0)),0%,VLOOKUP(A181,'Données projet'!$A$61:$I$81,5,0)*VLOOKUP('Données projet'!$B$10,'Paramètres'!$A$1:$I$89,7,0))</f>
        <v>0</v>
      </c>
      <c r="AS181" s="135">
        <f>IF(ISNA(VLOOKUP(A181,'Données projet'!$A$61:$I$81,6,0)),0%,VLOOKUP(A181,'Données projet'!$A$61:$I$81,6,0)*VLOOKUP('Données projet'!$B$10,'Paramètres'!$A$1:$I$89,7,0))</f>
        <v>0</v>
      </c>
      <c r="AT181" s="135">
        <f>IF(ISNA(VLOOKUP(A181,'Données projet'!$A$61:$I$81,7,0)),0%,VLOOKUP(A181,'Données projet'!$A$61:$I$81,7,0))</f>
        <v>0</v>
      </c>
      <c r="AU181" s="142">
        <f>EXP(-LN(2)/35)*AU180+(1-EXP(-LN(2)/35))/(LN(2)/35)*AQ181*AR181*VLOOKUP('Données projet'!$B$10,'Paramètres'!$A$1:$I$89,3,0)*0.475*44/12</f>
        <v>14.26754412</v>
      </c>
      <c r="AV181" s="142">
        <f>EXP(-LN(2)/25)*AV180+(1-EXP(-LN(2)/25))/(LN(2)/25)*Calculateur!AQ181*Calculateur!AS181*VLOOKUP('Données projet'!$B$10,'Paramètres'!$A$1:$I$89,3,0)*0.475*44/12</f>
        <v>1.35570366</v>
      </c>
      <c r="AW181" s="142">
        <f>EXP(-LN(2)/2)*AW180+(1-EXP(-LN(2)/2))/(LN(2)/2)*AQ181*AT181*VLOOKUP('Données projet'!$B$10,'Paramètres'!$A$1:$I$89,3,0)*0.475*44/12</f>
        <v>0</v>
      </c>
      <c r="AX181" s="142">
        <f t="shared" si="7"/>
        <v>15.62324778</v>
      </c>
      <c r="AY181" s="13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1" t="str">
        <f>VLOOKUP(A181,'Données projet'!$A$87:$I$107,2,0)</f>
        <v>#N/A</v>
      </c>
      <c r="BB181" s="131" t="str">
        <f>VLOOKUP(A181,'Données projet'!$A$87:$I$107,9,0)</f>
        <v>#N/A</v>
      </c>
      <c r="BC181" s="131" t="str">
        <f t="array" ref="BC181">INDEX(BB:BB,MIN(IF(ISNUMBER(BB181:BB377),ROW(BB181:BB377),"")))</f>
        <v/>
      </c>
      <c r="BD181" s="130">
        <f>IF('Données projet'!$A$88&gt;35,BD180+BC181-BL180,IF(A181&lt;'Données projet'!$A$88,$BA$205^A181,IF(A181='Données projet'!$A$88,'Données projet'!$B$88,BD180+BC181-BL180)))</f>
        <v>0</v>
      </c>
      <c r="BE181" s="130">
        <f>BD181*VLOOKUP('Données projet'!$B$11,'Paramètres'!$A$1:$I$89,3,0)*VLOOKUP('Données projet'!$B$11,'Paramètres'!$A$1:$I$89,5,0)</f>
        <v>0</v>
      </c>
      <c r="BF181" s="130" t="str">
        <f t="shared" si="38"/>
        <v>#NUM!</v>
      </c>
      <c r="BG181" s="141" t="str">
        <f t="shared" si="8"/>
        <v>#NUM!</v>
      </c>
      <c r="BH181" s="133" t="str">
        <f t="shared" si="9"/>
        <v>#NUM!</v>
      </c>
      <c r="BI181" s="133">
        <f>AVERAGE(OFFSET($BH$3,0,0,'Données projet'!$E$11+1,1))-AVERAGE(OFFSET($H$3,0,0,'Données projet'!$E$11+1,1))</f>
        <v>134.0948534</v>
      </c>
      <c r="BJ181" s="133">
        <f t="shared" si="39"/>
        <v>108.4102536</v>
      </c>
      <c r="BK181" s="134">
        <f>IF(ISNA(VLOOKUP(A181,'Données projet'!$A$87:$I$107,3,0)),0,VLOOKUP(A181,'Données projet'!$A$87:$I$107,3,0))</f>
        <v>0</v>
      </c>
      <c r="BL181" s="134">
        <f>IF(ISNA(VLOOKUP(A181,'Données projet'!$A$87:$I$107,4,0)),0,VLOOKUP(A181,'Données projet'!$A$87:$I$107,4,0))</f>
        <v>0</v>
      </c>
      <c r="BM181" s="135">
        <f>IF(ISNA(VLOOKUP(A181,'Données projet'!$A$87:$I$107,5,0)),0%,VLOOKUP(A181,'Données projet'!$A$87:$I$107,5,0)*VLOOKUP('Données projet'!$B$11,'Paramètres'!$A$1:$I$89,7,0))</f>
        <v>0</v>
      </c>
      <c r="BN181" s="135">
        <f>IF(ISNA(VLOOKUP(A181,'Données projet'!$A$87:$I$107,6,0)),0%,VLOOKUP(A181,'Données projet'!$A$87:$I$107,6,0)*VLOOKUP('Données projet'!$B$11,'Paramètres'!$A$1:$I$89,7,0))</f>
        <v>0</v>
      </c>
      <c r="BO181" s="135">
        <f>IF(ISNA(VLOOKUP(A181,'Données projet'!$A$87:$I$107,7,0)),0%,VLOOKUP(A181,'Données projet'!$A$87:$I$107,7,0))</f>
        <v>0</v>
      </c>
      <c r="BP181" s="142">
        <f>EXP(-LN(2)/35)*BP180+(1-EXP(-LN(2)/35))/(LN(2)/35)*BL181*BM181*VLOOKUP('Données projet'!$B$11,'Paramètres'!$A$1:$I$89,3,0)*0.475*44/12</f>
        <v>19.7346781</v>
      </c>
      <c r="BQ181" s="142">
        <f>EXP(-LN(2)/25)*BQ180+(1-EXP(-LN(2)/25))/(LN(2)/25)*Calculateur!BL181*Calculateur!BN181*VLOOKUP('Données projet'!$B$11,'Paramètres'!$A$1:$I$89,3,0)*0.475*44/12</f>
        <v>0.8551790329</v>
      </c>
      <c r="BR181" s="142">
        <f>EXP(-LN(2)/2)*BR180+(1-EXP(-LN(2)/2))/(LN(2)/2)*BL181*BO181*VLOOKUP('Données projet'!$B$11,'Paramètres'!$A$1:$I$89,3,0)*0.475*44/12</f>
        <v>0</v>
      </c>
      <c r="BS181" s="143">
        <f t="shared" si="10"/>
        <v>20.58985713</v>
      </c>
      <c r="BT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1" t="str">
        <f>VLOOKUP(A181,'Données projet'!$A$113:$I$133,2,0)</f>
        <v>#N/A</v>
      </c>
      <c r="BW181" s="131" t="str">
        <f>VLOOKUP(A181,'Données projet'!$A$113:$I$133,9,0)</f>
        <v>#N/A</v>
      </c>
      <c r="BX181" s="131" t="str">
        <f t="array" ref="BX181">INDEX(BW:BW,MIN(IF(ISNUMBER(BW181:BW377),ROW(BW181:BW377),"")))</f>
        <v/>
      </c>
      <c r="BY181" s="130">
        <f>IF('Données projet'!$A$114&gt;35,BY180+BX181-CG180,IF(A181&lt;'Données projet'!$A$114,$BV$205^A181,IF(A181='Données projet'!$A$114,'Données projet'!$B$114,BY180+BX181-CG180)))</f>
        <v>0</v>
      </c>
      <c r="BZ181" s="130">
        <f>BY181*VLOOKUP('Données projet'!$B$12,'Paramètres'!$A$1:$I$89,3,0)*VLOOKUP('Données projet'!$B$12,'Paramètres'!$A$1:$I$89,5,0)</f>
        <v>0</v>
      </c>
      <c r="CA181" s="130" t="str">
        <f t="shared" si="40"/>
        <v>#NUM!</v>
      </c>
      <c r="CB181" s="141" t="str">
        <f t="shared" si="11"/>
        <v>#NUM!</v>
      </c>
      <c r="CC181" s="133" t="str">
        <f t="shared" si="12"/>
        <v>#NUM!</v>
      </c>
      <c r="CD181" s="133">
        <f>AVERAGE(OFFSET($CC$3,0,0,'Données projet'!$E$12+1,1))-AVERAGE(OFFSET($H$3,0,0,'Données projet'!$E$12+1,1))</f>
        <v>258.1672054</v>
      </c>
      <c r="CE181" s="133">
        <f t="shared" si="41"/>
        <v>296.0724261</v>
      </c>
      <c r="CF181" s="134">
        <f>IF(ISNA(VLOOKUP(A181,'Données projet'!$A$113:$I$133,3,0)),0,VLOOKUP(A181,'Données projet'!$A$113:$I$133,3,0))</f>
        <v>0</v>
      </c>
      <c r="CG181" s="134">
        <f>IF(ISNA(VLOOKUP(A181,'Données projet'!$A$113:$I$133,4,0)),0,VLOOKUP(A181,'Données projet'!$A$113:$I$133,4,0))</f>
        <v>0</v>
      </c>
      <c r="CH181" s="135">
        <f>IF(ISNA(VLOOKUP(A181,'Données projet'!$A$113:$I$133,5,0)),0%,VLOOKUP(A181,'Données projet'!$A$113:$I$133,5,0)*VLOOKUP('Données projet'!$B$12,'Paramètres'!$A$1:$I$89,7,0))</f>
        <v>0</v>
      </c>
      <c r="CI181" s="135">
        <f>IF(ISNA(VLOOKUP(A181,'Données projet'!$A$113:$I$133,6,0)),0%,VLOOKUP(A181,'Données projet'!$A$113:$I$133,6,0)*VLOOKUP('Données projet'!$B$12,'Paramètres'!$A$1:$I$89,7,0))</f>
        <v>0</v>
      </c>
      <c r="CJ181" s="135">
        <f>IF(ISNA(VLOOKUP(A181,'Données projet'!$A$113:$I$133,7,0)),0%,VLOOKUP(A181,'Données projet'!$A$113:$I$133,7,0))</f>
        <v>0</v>
      </c>
      <c r="CK181" s="142">
        <f>EXP(-LN(2)/35)*CK180+(1-EXP(-LN(2)/35))/(LN(2)/35)*CG181*CH181*VLOOKUP('Données projet'!$B$12,'Paramètres'!$A$1:$I$89,3,0)*0.475*44/12</f>
        <v>24.9506702</v>
      </c>
      <c r="CL181" s="142">
        <f>EXP(-LN(2)/25)*CL180+(1-EXP(-LN(2)/25))/(LN(2)/25)*Calculateur!CG181*Calculateur!CI181*VLOOKUP('Données projet'!$B$12,'Paramètres'!$A$1:$I$89,3,0)*0.475*44/12</f>
        <v>1.50003257</v>
      </c>
      <c r="CM181" s="142">
        <f>EXP(-LN(2)/2)*CM180+(1-EXP(-LN(2)/2))/(LN(2)/2)*CG181*CJ181*VLOOKUP('Données projet'!$B$12,'Paramètres'!$A$1:$I$89,3,0)*0.475*44/12</f>
        <v>0</v>
      </c>
      <c r="CN181" s="143">
        <f t="shared" si="13"/>
        <v>26.45070277</v>
      </c>
      <c r="CO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1" t="str">
        <f>VLOOKUP(A181,'Données projet'!$A$139:$I$159,2,0)</f>
        <v>#N/A</v>
      </c>
      <c r="CR181" s="131" t="str">
        <f>VLOOKUP(A181,'Données projet'!$A$139:$I$159,9,0)</f>
        <v>#N/A</v>
      </c>
      <c r="CS181" s="131" t="str">
        <f t="array" ref="CS181">INDEX(CR:CR,MIN(IF(ISNUMBER(CR181:CR377),ROW(CR181:CR377),"")))</f>
        <v/>
      </c>
      <c r="CT181" s="138">
        <f>IF('Données projet'!$A$140&gt;35,CT180+CS181-DB180,IF(A181&lt;'Données projet'!$A$140,$CQ$205^A181,IF(A181='Données projet'!$A$140,'Données projet'!$B$140,CT180+CS181-DB180)))</f>
        <v>0</v>
      </c>
      <c r="CU181" s="138">
        <f>CT181*VLOOKUP('Données projet'!$B$13,'Paramètres'!$A$1:$I$89,3,0)*VLOOKUP('Données projet'!$B$13,'Paramètres'!$A$1:$I$89,5,0)</f>
        <v>0</v>
      </c>
      <c r="CV181" s="130" t="str">
        <f t="shared" si="42"/>
        <v>#NUM!</v>
      </c>
      <c r="CW181" s="141" t="str">
        <f t="shared" si="14"/>
        <v>#NUM!</v>
      </c>
      <c r="CX181" s="133" t="str">
        <f t="shared" si="15"/>
        <v>#NUM!</v>
      </c>
      <c r="CY181" s="133">
        <f>AVERAGE(OFFSET($CX$3,0,0,'Données projet'!$E$13+1,1))-AVERAGE(OFFSET($H$3,0,0,'Données projet'!$E$13+1,1))</f>
        <v>223.783507</v>
      </c>
      <c r="CZ181" s="133">
        <f t="shared" si="43"/>
        <v>84.92349117</v>
      </c>
      <c r="DA181" s="134">
        <f>IF(ISNA(VLOOKUP(A181,'Données projet'!$A$139:$I$159,3,0)),0,VLOOKUP(A181,'Données projet'!$A$139:$I$159,3,0))</f>
        <v>0</v>
      </c>
      <c r="DB181" s="134">
        <f>IF(ISNA(VLOOKUP(A181,'Données projet'!$A$139:$I$159,4,0)),0,VLOOKUP(A181,'Données projet'!$A$139:$I$159,4,0))</f>
        <v>0</v>
      </c>
      <c r="DC181" s="135">
        <f>IF(ISNA(VLOOKUP(A181,'Données projet'!$A$139:$I$159,5,0)),0%,VLOOKUP(A181,'Données projet'!$A$139:$I$159,5,0)*VLOOKUP('Données projet'!$B$13,'Paramètres'!$A$1:$I$89,7,0))</f>
        <v>0</v>
      </c>
      <c r="DD181" s="135">
        <f>IF(ISNA(VLOOKUP(A181,'Données projet'!$A$139:$I$159,6,0)),0%,VLOOKUP(A181,'Données projet'!$A$139:$I$159,6,0)*VLOOKUP('Données projet'!$B$13,'Paramètres'!$A$1:$I$89,7,0))</f>
        <v>0</v>
      </c>
      <c r="DE181" s="135">
        <f>IF(ISNA(VLOOKUP(A181,'Données projet'!$A$139:$I$159,7,0)),0%,VLOOKUP(A181,'Données projet'!$A$139:$I$159,7,0))</f>
        <v>0</v>
      </c>
      <c r="DF181" s="142">
        <f>EXP(-LN(2)/35)*DF180+(1-EXP(-LN(2)/35))/(LN(2)/35)*DB181*DC181*VLOOKUP('Données projet'!$B$13,'Paramètres'!$A$1:$I$89,3,0)*0.475*44/12</f>
        <v>64.08311133</v>
      </c>
      <c r="DG181" s="142">
        <f>EXP(-LN(2)/25)*DG180+(1-EXP(-LN(2)/25))/(LN(2)/25)*Calculateur!DB181*Calculateur!DD181*VLOOKUP('Données projet'!$B$13,'Paramètres'!$A$1:$I$89,3,0)*0.475*44/12</f>
        <v>0</v>
      </c>
      <c r="DH181" s="142">
        <f>EXP(-LN(2)/2)*DH180+(1-EXP(-LN(2)/2))/(LN(2)/2)*DB181*DE181*VLOOKUP('Données projet'!$B$13,'Paramètres'!$A$1:$I$89,3,0)*0.475*44/12</f>
        <v>0</v>
      </c>
      <c r="DI181" s="143">
        <f t="shared" si="16"/>
        <v>64.08311133</v>
      </c>
      <c r="DJ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1" t="str">
        <f>VLOOKUP(A181,'Données projet'!$A$165:$I$185,2,0)</f>
        <v>#N/A</v>
      </c>
      <c r="DM181" s="131" t="str">
        <f>VLOOKUP(A181,'Données projet'!$A$165:$I$185,9,0)</f>
        <v>#N/A</v>
      </c>
      <c r="DN181" s="131" t="str">
        <f t="array" ref="DN181">INDEX(DM:DM,MIN(IF(ISNUMBER(DM181:DM377),ROW(DM181:DM377),"")))</f>
        <v/>
      </c>
      <c r="DO181" s="138">
        <f>IF('Données projet'!$A$166&gt;35,DO180+DN181-DW180,IF(A181&lt;'Données projet'!$A$166,$DL$205^A181,IF(A181='Données projet'!$A$166,'Données projet'!$B$166,DO180+DN181-DW180)))</f>
        <v>0</v>
      </c>
      <c r="DP181" s="138">
        <f>DO181*VLOOKUP('Données projet'!$B$14,'Paramètres'!$A$1:$I$89,3,0)*VLOOKUP('Données projet'!$B$14,'Paramètres'!$A$1:$I$89,5,0)</f>
        <v>0</v>
      </c>
      <c r="DQ181" s="130" t="str">
        <f t="shared" si="44"/>
        <v>#NUM!</v>
      </c>
      <c r="DR181" s="141" t="str">
        <f t="shared" si="17"/>
        <v>#NUM!</v>
      </c>
      <c r="DS181" s="133" t="str">
        <f t="shared" si="18"/>
        <v>#NUM!</v>
      </c>
      <c r="DT181" s="133">
        <f>AVERAGE(OFFSET($DS$3,0,0,'Données projet'!$E$14+1,1))-AVERAGE(OFFSET($H$3,0,0,'Données projet'!$E$14+1,1))</f>
        <v>287.9334714</v>
      </c>
      <c r="DU181" s="133">
        <f t="shared" si="45"/>
        <v>156.6796502</v>
      </c>
      <c r="DV181" s="134">
        <f>IF(ISNA(VLOOKUP(A181,'Données projet'!$A$165:$I$185,3,0)),0,VLOOKUP(A181,'Données projet'!$A$165:$I$185,3,0))</f>
        <v>0</v>
      </c>
      <c r="DW181" s="134">
        <f>IF(ISNA(VLOOKUP(A181,'Données projet'!$A$165:$I$185,4,0)),0,VLOOKUP(A181,'Données projet'!$A$165:$I$185,4,0))</f>
        <v>0</v>
      </c>
      <c r="DX181" s="135">
        <f>IF(ISNA(VLOOKUP(A181,'Données projet'!$A$165:$I$185,5,0)),0%,VLOOKUP(A181,'Données projet'!$A$165:$I$185,5,0)*VLOOKUP('Données projet'!$B$14,'Paramètres'!$A$1:$I$89,7,0))</f>
        <v>0</v>
      </c>
      <c r="DY181" s="135">
        <f>IF(ISNA(VLOOKUP(A181,'Données projet'!$A$165:$I$185,6,0)),0%,VLOOKUP(A181,'Données projet'!$A$165:$I$185,6,0)*VLOOKUP('Données projet'!$B$14,'Paramètres'!$A$1:$I$89,7,0))</f>
        <v>0</v>
      </c>
      <c r="DZ181" s="135">
        <f>IF(ISNA(VLOOKUP(A181,'Données projet'!$A$165:$I$185,7,0)),0%,VLOOKUP(A181,'Données projet'!$A$165:$I$185,7,0))</f>
        <v>0</v>
      </c>
      <c r="EA181" s="142">
        <f>EXP(-LN(2)/35)*EA180+(1-EXP(-LN(2)/35))/(LN(2)/35)*DW181*DX181*VLOOKUP('Données projet'!$B$14,'Paramètres'!$A$1:$I$89,3,0)*0.475*44/12</f>
        <v>74.44644209</v>
      </c>
      <c r="EB181" s="142">
        <f>EXP(-LN(2)/25)*EB180+(1-EXP(-LN(2)/25))/(LN(2)/25)*Calculateur!DW181*Calculateur!DY181*VLOOKUP('Données projet'!$B$14,'Paramètres'!$A$1:$I$89,3,0)*0.475*44/12</f>
        <v>0</v>
      </c>
      <c r="EC181" s="142">
        <f>EXP(-LN(2)/2)*EC180+(1-EXP(-LN(2)/2))/(LN(2)/2)*DW181*DZ181*VLOOKUP('Données projet'!$B$14,'Paramètres'!$A$1:$I$89,3,0)*0.475*44/12</f>
        <v>0</v>
      </c>
      <c r="ED181" s="143">
        <f t="shared" si="19"/>
        <v>74.44644209</v>
      </c>
      <c r="EE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1" t="str">
        <f>VLOOKUP(A181,'Données projet'!$A$191:$I$211,2,0)</f>
        <v>#N/A</v>
      </c>
      <c r="EH181" s="131" t="str">
        <f>VLOOKUP(A181,'Données projet'!$A$191:$I$211,9,0)</f>
        <v>#N/A</v>
      </c>
      <c r="EI181" s="131" t="str">
        <f t="array" ref="EI181">INDEX(EH:EH,MIN(IF(ISNUMBER(EH181:EH377),ROW(EH181:EH377),"")))</f>
        <v/>
      </c>
      <c r="EJ181" s="138">
        <f>IF('Données projet'!$A$192&gt;35,EJ180+EI181-ER180,IF(A181&lt;'Données projet'!$A$192,$EG$205^A181,IF(A181='Données projet'!$A$192,'Données projet'!$B$192,EJ180+EI181-ER180)))</f>
        <v>0</v>
      </c>
      <c r="EK181" s="138">
        <f>EJ181*VLOOKUP('Données projet'!$B$15,'Paramètres'!$A$1:$I$89,3,0)*VLOOKUP('Données projet'!$B$15,'Paramètres'!$A$1:$I$89,5,0)</f>
        <v>0</v>
      </c>
      <c r="EL181" s="130" t="str">
        <f t="shared" si="46"/>
        <v>#NUM!</v>
      </c>
      <c r="EM181" s="141" t="str">
        <f t="shared" si="20"/>
        <v>#NUM!</v>
      </c>
      <c r="EN181" s="133" t="str">
        <f t="shared" si="21"/>
        <v>#NUM!</v>
      </c>
      <c r="EO181" s="133">
        <f>AVERAGE(OFFSET($EN$3,0,0,'Données projet'!$E$15+1,1))-AVERAGE(OFFSET($H$3,0,0,'Données projet'!$E$15+1,1))</f>
        <v>130.3193339</v>
      </c>
      <c r="EP181" s="133">
        <f t="shared" si="47"/>
        <v>82.22784365</v>
      </c>
      <c r="EQ181" s="134">
        <f>IF(ISNA(VLOOKUP(A181,'Données projet'!$A$191:$I$211,3,0)),0,VLOOKUP(A181,'Données projet'!$A$191:$I$211,3,0))</f>
        <v>0</v>
      </c>
      <c r="ER181" s="134">
        <f>IF(ISNA(VLOOKUP(A181,'Données projet'!$A$191:$I$211,4,0)),0,VLOOKUP(A181,'Données projet'!$A$191:$I$211,4,0))</f>
        <v>0</v>
      </c>
      <c r="ES181" s="135">
        <f>IF(ISNA(VLOOKUP(A181,'Données projet'!$A$191:$I$211,5,0)),0%,VLOOKUP(A181,'Données projet'!$A$191:$I$211,5,0)*VLOOKUP('Données projet'!$B$15,'Paramètres'!$A$1:$I$89,7,0))</f>
        <v>0</v>
      </c>
      <c r="ET181" s="135">
        <f>IF(ISNA(VLOOKUP(A181,'Données projet'!$A$191:$I$211,6,0)),0%,VLOOKUP(A181,'Données projet'!$A$191:$I$211,6,0)*VLOOKUP('Données projet'!$B$15,'Paramètres'!$A$1:$I$89,7,0))</f>
        <v>0</v>
      </c>
      <c r="EU181" s="135">
        <f>IF(ISNA(VLOOKUP(A181,'Données projet'!$A$191:$I$211,7,0)),0%,VLOOKUP(A181,'Données projet'!$A$191:$I$211,7,0))</f>
        <v>0</v>
      </c>
      <c r="EV181" s="142">
        <f>EXP(-LN(2)/35)*EV180+(1-EXP(-LN(2)/35))/(LN(2)/35)*ER181*ES181*VLOOKUP('Données projet'!$B$15,'Paramètres'!$A$1:$I$89,3,0)*0.475*44/12</f>
        <v>15.25681867</v>
      </c>
      <c r="EW181" s="142">
        <f>EXP(-LN(2)/25)*EW180+(1-EXP(-LN(2)/25))/(LN(2)/25)*Calculateur!ER181*Calculateur!ET181*VLOOKUP('Données projet'!$B$15,'Paramètres'!$A$1:$I$89,3,0)*0.475*44/12</f>
        <v>0</v>
      </c>
      <c r="EX181" s="142">
        <f>EXP(-LN(2)/2)*EX180+(1-EXP(-LN(2)/2))/(LN(2)/2)*ER181*EU181*VLOOKUP('Données projet'!$B$15,'Paramètres'!$A$1:$I$89,3,0)*0.475*44/12</f>
        <v>0</v>
      </c>
      <c r="EY181" s="143">
        <f t="shared" si="22"/>
        <v>15.25681867</v>
      </c>
      <c r="EZ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1" t="str">
        <f>VLOOKUP(A181,'Données projet'!$A$217:$I$237,2,0)</f>
        <v>#N/A</v>
      </c>
      <c r="FC181" s="131" t="str">
        <f>VLOOKUP(A181,'Données projet'!$A$217:$I$237,9,0)</f>
        <v>#N/A</v>
      </c>
      <c r="FD181" s="131" t="str">
        <f t="array" ref="FD181">INDEX(FC:FC,MIN(IF(ISNUMBER(FC181:FC377),ROW(FC181:FC377),"")))</f>
        <v/>
      </c>
      <c r="FE181" s="130">
        <f>IF('Données projet'!$A$218&gt;35,FE180+FD181-FM180,IF(A181&lt;'Données projet'!$A$218,$FB$205^A181,IF(A181='Données projet'!$A$218,'Données projet'!$B$218,FE180+FD181-FM180)))</f>
        <v>0</v>
      </c>
      <c r="FF181" s="138">
        <f>FE181*VLOOKUP('Données projet'!$B$16,'Paramètres'!$A$1:$I$89,3,0)*VLOOKUP('Données projet'!$B$16,'Paramètres'!$A$1:$I$89,5,0)</f>
        <v>0</v>
      </c>
      <c r="FG181" s="130">
        <f t="shared" si="48"/>
        <v>0</v>
      </c>
      <c r="FH181" s="141">
        <f t="shared" si="23"/>
        <v>0</v>
      </c>
      <c r="FI181" s="133">
        <f t="shared" si="24"/>
        <v>293.3333333</v>
      </c>
      <c r="FJ181" s="133">
        <f>AVERAGE(OFFSET($FI$3,0,0,'Données projet'!$E$16+1,1))-AVERAGE(OFFSET($H$3,0,0,'Données projet'!$E$16+1,1))</f>
        <v>305.6252353</v>
      </c>
      <c r="FK181" s="133">
        <f t="shared" si="49"/>
        <v>331.397916</v>
      </c>
      <c r="FL181" s="134">
        <f>IF(ISNA(VLOOKUP(A181,'Données projet'!$A$217:$I$237,3,0)),0,VLOOKUP(A181,'Données projet'!$A$217:$I$237,3,0))</f>
        <v>0</v>
      </c>
      <c r="FM181" s="134">
        <f>IF(ISNA(VLOOKUP(A181,'Données projet'!$A$217:$I$237,4,0)),0,VLOOKUP(A181,'Données projet'!$A$217:$I$237,4,0))</f>
        <v>0</v>
      </c>
      <c r="FN181" s="135">
        <f>IF(ISNA(VLOOKUP(A181,'Données projet'!$A$217:$I$237,5,0)),0%,VLOOKUP(A181,'Données projet'!$A$217:$I$237,5,0)*VLOOKUP('Données projet'!$B$16,'Paramètres'!$A$1:$I$89,7,0))</f>
        <v>0</v>
      </c>
      <c r="FO181" s="135">
        <f>IF(ISNA(VLOOKUP(A181,'Données projet'!$A$217:$I$237,6,0)),0%,VLOOKUP(A181,'Données projet'!$A$217:$I$237,6,0)*VLOOKUP('Données projet'!$B$16,'Paramètres'!$A$1:$I$89,7,0))</f>
        <v>0</v>
      </c>
      <c r="FP181" s="135">
        <f>IF(ISNA(VLOOKUP(A181,'Données projet'!$A$217:$I$237,7,0)),0%,VLOOKUP(A181,'Données projet'!$A$217:$I$237,7,0))</f>
        <v>0</v>
      </c>
      <c r="FQ181" s="142">
        <f>EXP(-LN(2)/35)*FQ180+(1-EXP(-LN(2)/35))/(LN(2)/35)*FM181*FN181*VLOOKUP('Données projet'!$B$16,'Paramètres'!$A$1:$I$89,3,0)*0.475*44/12</f>
        <v>9.499351256</v>
      </c>
      <c r="FR181" s="142">
        <f>EXP(-LN(2)/25)*FR180+(1-EXP(-LN(2)/25))/(LN(2)/25)*Calculateur!FM181*Calculateur!FO181*VLOOKUP('Données projet'!$B$16,'Paramètres'!$A$1:$I$89,3,0)*0.475*44/12</f>
        <v>0</v>
      </c>
      <c r="FS181" s="142">
        <f>EXP(-LN(2)/2)*FS180+(1-EXP(-LN(2)/2))/(LN(2)/2)*FM181*FP181*VLOOKUP('Données projet'!$B$16,'Paramètres'!$A$1:$I$89,3,0)*0.475*44/12</f>
        <v>0</v>
      </c>
      <c r="FT181" s="143">
        <f t="shared" si="25"/>
        <v>9.499351256</v>
      </c>
      <c r="FU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1" t="str">
        <f>VLOOKUP(A181,'Données projet'!$A$243:$I$263,2,0)</f>
        <v>#N/A</v>
      </c>
      <c r="FX181" s="131" t="str">
        <f>VLOOKUP(A181,'Données projet'!$A$243:$I$263,9,0)</f>
        <v>#N/A</v>
      </c>
      <c r="FY181" s="131" t="str">
        <f t="array" ref="FY181">INDEX(FX:FX,MIN(IF(ISNUMBER(FX181:FX377),ROW(FX181:FX377),"")))</f>
        <v/>
      </c>
      <c r="FZ181" s="138">
        <f>IF('Données projet'!$A$244&gt;35,FZ180+FY181-GH180,IF(A181&lt;'Données projet'!$A$244,$FW$205^A181,IF(A181='Données projet'!$A$244,'Données projet'!$B$244,FZ180+FY181-GH180)))</f>
        <v>0</v>
      </c>
      <c r="GA181" s="138">
        <f>FZ181*VLOOKUP('Données projet'!$B$17,'Paramètres'!$A$1:$I$89,3,0)*VLOOKUP('Données projet'!$B$17,'Paramètres'!$A$1:$I$89,5,0)</f>
        <v>0</v>
      </c>
      <c r="GB181" s="130">
        <f t="shared" si="50"/>
        <v>0</v>
      </c>
      <c r="GC181" s="141">
        <f t="shared" si="26"/>
        <v>0</v>
      </c>
      <c r="GD181" s="133">
        <f t="shared" si="27"/>
        <v>293.3333333</v>
      </c>
      <c r="GE181" s="133">
        <f>AVERAGE(OFFSET($GD$3,0,0,'Données projet'!$E$17+1,1))-AVERAGE(OFFSET($H$3,0,0,'Données projet'!$E$17+1,1))</f>
        <v>118.7368745</v>
      </c>
      <c r="GF181" s="133">
        <f t="shared" si="51"/>
        <v>135.1233677</v>
      </c>
      <c r="GG181" s="134">
        <f>IF(ISNA(VLOOKUP(A181,'Données projet'!$A$243:$I$263,3,0)),0,VLOOKUP(A181,'Données projet'!$A$243:$I$263,3,0))</f>
        <v>0</v>
      </c>
      <c r="GH181" s="134">
        <f>IF(ISNA(VLOOKUP(A181,'Données projet'!$A$243:$I$263,4,0)),0,VLOOKUP(A181,'Données projet'!$A$243:$I$263,4,0))</f>
        <v>0</v>
      </c>
      <c r="GI181" s="135">
        <f>IF(ISNA(VLOOKUP(A181,'Données projet'!$A$243:$I$263,5,0)),0%,VLOOKUP(A181,'Données projet'!$A$243:$I$263,5,0)*VLOOKUP('Données projet'!$B$17,'Paramètres'!$A$1:$I$89,7,0))</f>
        <v>0</v>
      </c>
      <c r="GJ181" s="135">
        <f>IF(ISNA(VLOOKUP(A181,'Données projet'!$A$243:$I$263,6,0)),0%,VLOOKUP(A181,'Données projet'!$A$243:$I$263,6,0)*VLOOKUP('Données projet'!$B$17,'Paramètres'!$A$1:$I$89,7,0))</f>
        <v>0</v>
      </c>
      <c r="GK181" s="135">
        <f>IF(ISNA(VLOOKUP(A181,'Données projet'!$A$243:$I$263,7,0)),0%,VLOOKUP(A181,'Données projet'!$A$243:$I$263,7,0))</f>
        <v>0</v>
      </c>
      <c r="GL181" s="142">
        <f>EXP(-LN(2)/35)*GL180+(1-EXP(-LN(2)/35))/(LN(2)/35)*GH181*GI181*VLOOKUP('Données projet'!$B$17,'Paramètres'!$A$1:$I$89,3,0)*0.475*44/12</f>
        <v>10.03603522</v>
      </c>
      <c r="GM181" s="142">
        <f>EXP(-LN(2)/25)*GM180+(1-EXP(-LN(2)/25))/(LN(2)/25)*Calculateur!GH181*Calculateur!GJ181*VLOOKUP('Données projet'!$B$17,'Paramètres'!$A$1:$I$89,3,0)*0.475*44/12</f>
        <v>0</v>
      </c>
      <c r="GN181" s="142">
        <f>EXP(-LN(2)/2)*GN180+(1-EXP(-LN(2)/2))/(LN(2)/2)*GH181*GK181*VLOOKUP('Données projet'!$B$17,'Paramètres'!$A$1:$I$89,3,0)*0.475*44/12</f>
        <v>0</v>
      </c>
      <c r="GO181" s="142">
        <f t="shared" si="28"/>
        <v>10.03603522</v>
      </c>
      <c r="GP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1" t="str">
        <f>VLOOKUP(A181,'Données projet'!$A$269:$I$289,2,0)</f>
        <v>#N/A</v>
      </c>
      <c r="GS181" s="131" t="str">
        <f>VLOOKUP(A181,'Données projet'!$A$269:$I$289,9,0)</f>
        <v>#N/A</v>
      </c>
      <c r="GT181" s="131" t="str">
        <f t="array" ref="GT181">INDEX(GS:GS,MIN(IF(ISNUMBER(GS181:GS377),ROW(GS181:GS377),"")))</f>
        <v/>
      </c>
      <c r="GU181" s="138">
        <f>IF('Données projet'!$A$270&gt;35,GU180+GT181-HC180,IF(A181&lt;'Données projet'!$A$270,$GR$205^A181,IF(A181='Données projet'!$A$270,'Données projet'!$B$270,GU180+GT181-HC180)))</f>
        <v>0</v>
      </c>
      <c r="GV181" s="138">
        <f>GU181*VLOOKUP('Données projet'!$B$18,'Paramètres'!$A$1:$I$89,3,0)*VLOOKUP('Données projet'!$B$18,'Paramètres'!$A$1:$I$89,5,0)</f>
        <v>0</v>
      </c>
      <c r="GW181" s="130" t="str">
        <f t="shared" si="52"/>
        <v>#NUM!</v>
      </c>
      <c r="GX181" s="141" t="str">
        <f t="shared" si="29"/>
        <v>#NUM!</v>
      </c>
      <c r="GY181" s="133" t="str">
        <f t="shared" si="30"/>
        <v>#NUM!</v>
      </c>
      <c r="GZ181" s="133">
        <f>AVERAGE(OFFSET($GY$3,0,0,'Données projet'!$E$18+1,1))-AVERAGE(OFFSET($H$3,0,0,'Données projet'!$E$18+1,1))</f>
        <v>100.5427875</v>
      </c>
      <c r="HA181" s="133">
        <f t="shared" si="53"/>
        <v>92.28663609</v>
      </c>
      <c r="HB181" s="134">
        <f>IF(ISNA(VLOOKUP(A181,'Données projet'!$A$269:$I$289,3,0)),0,VLOOKUP(A181,'Données projet'!$A$269:$I$289,3,0))</f>
        <v>0</v>
      </c>
      <c r="HC181" s="134">
        <f>IF(ISNA(VLOOKUP(A181,'Données projet'!$A$269:$I$289,4,0)),0,VLOOKUP(A181,'Données projet'!$A$269:$I$289,4,0))</f>
        <v>0</v>
      </c>
      <c r="HD181" s="135">
        <f>IF(ISNA(VLOOKUP(A181,'Données projet'!$A$269:$I$289,5,0)),0%,VLOOKUP(A181,'Données projet'!$A$269:$I$289,5,0)*VLOOKUP('Données projet'!$B$18,'Paramètres'!$A$1:$I$89,7,0))</f>
        <v>0</v>
      </c>
      <c r="HE181" s="135">
        <f>IF(ISNA(VLOOKUP(A181,'Données projet'!$A$269:$I$289,6,0)),0%,VLOOKUP(A181,'Données projet'!$A$269:$I$289,6,0)*VLOOKUP('Données projet'!$B$18,'Paramètres'!$A$1:$I$89,7,0))</f>
        <v>0</v>
      </c>
      <c r="HF181" s="135">
        <f>IF(ISNA(VLOOKUP(A181,'Données projet'!$A$269:$I$289,7,0)),0%,VLOOKUP(A181,'Données projet'!$A$269:$I$289,7,0))</f>
        <v>0</v>
      </c>
      <c r="HG181" s="142">
        <f>EXP(-LN(2)/35)*HG180+(1-EXP(-LN(2)/35))/(LN(2)/35)*HC181*HD181*VLOOKUP('Données projet'!$B$18,'Paramètres'!$A$1:$I$89,3,0)*0.475*44/12</f>
        <v>6.834328266</v>
      </c>
      <c r="HH181" s="142">
        <f>EXP(-LN(2)/25)*HH180+(1-EXP(-LN(2)/25))/(LN(2)/25)*Calculateur!HC181*Calculateur!HE181*VLOOKUP('Données projet'!$B$18,'Paramètres'!$A$1:$I$89,3,0)*0.475*44/12</f>
        <v>0</v>
      </c>
      <c r="HI181" s="142">
        <f>EXP(-LN(2)/2)*HI180+(1-EXP(-LN(2)/2))/(LN(2)/2)*HC181*HF181*VLOOKUP('Données projet'!$B$18,'Paramètres'!$A$1:$I$89,3,0)*0.475*44/12</f>
        <v>0</v>
      </c>
      <c r="HJ181" s="143">
        <f t="shared" si="31"/>
        <v>6.834328266</v>
      </c>
    </row>
    <row r="182" ht="15.75" customHeight="1">
      <c r="A182" s="125">
        <f t="shared" si="32"/>
        <v>179</v>
      </c>
      <c r="B182" s="126">
        <f>'Scénario référence'!$B$16*5+'Scénario référence'!$B$17*0+'Scénario référence'!$B$18*5</f>
        <v>0</v>
      </c>
      <c r="C182" s="140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97.734</v>
      </c>
      <c r="D182" s="127">
        <f t="shared" si="33"/>
        <v>26.42143627</v>
      </c>
      <c r="E18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7">
        <f>IF(OR('Scénario référence'!$F$8&gt;0,'Scénario référence'!$F$9&gt;0),('Scénario référence'!$F$8+'Scénario référence'!$F$9)*10,0)</f>
        <v>10</v>
      </c>
      <c r="G182" s="127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958.3928414</v>
      </c>
      <c r="H182" s="128">
        <f t="shared" si="1"/>
        <v>509.5707182</v>
      </c>
      <c r="I182" s="12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1" t="str">
        <f>VLOOKUP(A182,'Données projet'!$A$35:$I$55,2,0)</f>
        <v>#N/A</v>
      </c>
      <c r="L182" s="131" t="str">
        <f>VLOOKUP(A182,'Données projet'!$A$35:$I$55,9,0)</f>
        <v>#N/A</v>
      </c>
      <c r="M182" s="131" t="str">
        <f t="array" ref="M182">INDEX(L:L,MIN(IF(ISNUMBER(L182:L378),ROW(L182:L378),"")))</f>
        <v/>
      </c>
      <c r="N182" s="130">
        <f>IF('Données projet'!$A$36&gt;35,N181+M182-V181,IF(A182&lt;'Données projet'!$A$36,$K$205^A182,IF(A182='Données projet'!$A$36,'Données projet'!$B$36,N181+M182-V181)))</f>
        <v>0</v>
      </c>
      <c r="O182" s="130">
        <f>N182*VLOOKUP('Données projet'!$B$9,'Paramètres'!$A$1:$I$89,3,0)*VLOOKUP('Données projet'!$B$9,'Paramètres'!$A$1:$I$89,5,0)</f>
        <v>0</v>
      </c>
      <c r="P182" s="130">
        <f t="shared" si="34"/>
        <v>0</v>
      </c>
      <c r="Q182" s="141">
        <f t="shared" si="2"/>
        <v>0</v>
      </c>
      <c r="R182" s="133">
        <f t="shared" si="3"/>
        <v>293.3333333</v>
      </c>
      <c r="S182" s="133">
        <f>AVERAGE(OFFSET($R$3,0,0,'Données projet'!$E$9+1,1))-AVERAGE(OFFSET($H$3,0,0,'Données projet'!$E$9+1,1))</f>
        <v>126.9946492</v>
      </c>
      <c r="T182" s="133">
        <f t="shared" si="35"/>
        <v>140.039049</v>
      </c>
      <c r="U182" s="134">
        <f>IF(ISNA(VLOOKUP(A182,'Données projet'!$A$35:$I$55,3,0)),0,VLOOKUP(A182,'Données projet'!$A$35:$I$55,3,0))</f>
        <v>0</v>
      </c>
      <c r="V182" s="134">
        <f>IF(ISNA(VLOOKUP(A182,'Données projet'!$A$35:$I$55,4,0)),0,VLOOKUP(A182,'Données projet'!$A$35:$I$55,4,0))</f>
        <v>0</v>
      </c>
      <c r="W182" s="135">
        <f>IF(ISNA(VLOOKUP(A182,'Données projet'!$A$35:$I$55,5,0)),0%,VLOOKUP(A182,'Données projet'!$A$35:$I$55,5,0)*VLOOKUP('Données projet'!$B$9,'Paramètres'!$A$1:$I$89,7,0))</f>
        <v>0</v>
      </c>
      <c r="X182" s="135">
        <f>IF(ISNA(VLOOKUP(A182,'Données projet'!$A$35:$I$55,6,0)),0%,VLOOKUP(A182,'Données projet'!$A$35:$I$55,6,0)*VLOOKUP('Données projet'!$B$9,'Paramètres'!$A$1:$I$89,7,0))</f>
        <v>0</v>
      </c>
      <c r="Y182" s="135">
        <f>IF(ISNA(VLOOKUP(A182,'Données projet'!$A$35:$I$55,7,0)),0%,VLOOKUP(A182,'Données projet'!$A$35:$I$55,7,0))</f>
        <v>0</v>
      </c>
      <c r="Z182" s="142">
        <f>EXP(-LN(2)/35)*Z181+(1-EXP(-LN(2)/35))/(LN(2)/35)*V182*W182*VLOOKUP('Données projet'!$B$9,'Paramètres'!$A$1:$I$89,3,0)*0.475*44/12</f>
        <v>10.06334685</v>
      </c>
      <c r="AA182" s="142">
        <f>EXP(-LN(2)/25)*AA181+(1-EXP(-LN(2)/25))/(LN(2)/25)*Calculateur!V182*Calculateur!X182*VLOOKUP('Données projet'!$B$9,'Paramètres'!$A$1:$I$89,3,0)*0.475*44/12</f>
        <v>0.857646001</v>
      </c>
      <c r="AB182" s="142">
        <f>EXP(-LN(2)/2)*AB181+(1-EXP(-LN(2)/2))/(LN(2)/2)*V182*Y182*VLOOKUP('Données projet'!$B$9,'Paramètres'!$A$1:$I$89,3,0)*0.475*44/12</f>
        <v>0</v>
      </c>
      <c r="AC182" s="143">
        <f t="shared" si="4"/>
        <v>10.92099285</v>
      </c>
      <c r="AD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1" t="str">
        <f>VLOOKUP(A182,'Données projet'!$A$61:$I$81,2,0)</f>
        <v>#N/A</v>
      </c>
      <c r="AG182" s="131" t="str">
        <f>VLOOKUP(A182,'Données projet'!$A$61:$I$81,9,0)</f>
        <v>#N/A</v>
      </c>
      <c r="AH182" s="131" t="str">
        <f t="array" ref="AH182">INDEX(AG:AG,MIN(IF(ISNUMBER(AG182:AG378),ROW(AG182:AG378),"")))</f>
        <v/>
      </c>
      <c r="AI182" s="130">
        <f>IF('Données projet'!$A$62&gt;35,AI181+AH182-AQ181,IF(A182&lt;'Données projet'!$A$62,$AF$205^A182,IF(A182='Données projet'!$A$62,'Données projet'!$B$62,AI181+AH182-AQ181)))</f>
        <v>0</v>
      </c>
      <c r="AJ182" s="130">
        <f>AI182*VLOOKUP('Données projet'!$B$10,'Paramètres'!$A$1:$I$89,3,0)*VLOOKUP('Données projet'!$B$10,'Paramètres'!$A$1:$I$89,5,0)</f>
        <v>0</v>
      </c>
      <c r="AK182" s="130" t="str">
        <f t="shared" si="36"/>
        <v>#NUM!</v>
      </c>
      <c r="AL182" s="141" t="str">
        <f t="shared" si="5"/>
        <v>#NUM!</v>
      </c>
      <c r="AM182" s="133" t="str">
        <f t="shared" si="6"/>
        <v>#NUM!</v>
      </c>
      <c r="AN182" s="133">
        <f>AVERAGE(OFFSET($AM$3,0,0,'Données projet'!$E$10+1,1))-AVERAGE(OFFSET($H$3,0,0,'Données projet'!$E$10+1,1))</f>
        <v>196.874484</v>
      </c>
      <c r="AO182" s="133">
        <f t="shared" si="37"/>
        <v>217.5750859</v>
      </c>
      <c r="AP182" s="134">
        <f>IF(ISNA(VLOOKUP(A182,'Données projet'!$A$61:$I$81,3,0)),0,VLOOKUP(A182,'Données projet'!$A$61:$I$81,3,0))</f>
        <v>0</v>
      </c>
      <c r="AQ182" s="134">
        <f>IF(ISNA(VLOOKUP(A182,'Données projet'!$A$61:$I$81,4,0)),0,VLOOKUP(A182,'Données projet'!$A$61:$I$81,4,0))</f>
        <v>0</v>
      </c>
      <c r="AR182" s="135">
        <f>IF(ISNA(VLOOKUP(A182,'Données projet'!$A$61:$I$81,5,0)),0%,VLOOKUP(A182,'Données projet'!$A$61:$I$81,5,0)*VLOOKUP('Données projet'!$B$10,'Paramètres'!$A$1:$I$89,7,0))</f>
        <v>0</v>
      </c>
      <c r="AS182" s="135">
        <f>IF(ISNA(VLOOKUP(A182,'Données projet'!$A$61:$I$81,6,0)),0%,VLOOKUP(A182,'Données projet'!$A$61:$I$81,6,0)*VLOOKUP('Données projet'!$B$10,'Paramètres'!$A$1:$I$89,7,0))</f>
        <v>0</v>
      </c>
      <c r="AT182" s="135">
        <f>IF(ISNA(VLOOKUP(A182,'Données projet'!$A$61:$I$81,7,0)),0%,VLOOKUP(A182,'Données projet'!$A$61:$I$81,7,0))</f>
        <v>0</v>
      </c>
      <c r="AU182" s="142">
        <f>EXP(-LN(2)/35)*AU181+(1-EXP(-LN(2)/35))/(LN(2)/35)*AQ182*AR182*VLOOKUP('Données projet'!$B$10,'Paramètres'!$A$1:$I$89,3,0)*0.475*44/12</f>
        <v>13.98776628</v>
      </c>
      <c r="AV182" s="142">
        <f>EXP(-LN(2)/25)*AV181+(1-EXP(-LN(2)/25))/(LN(2)/25)*Calculateur!AQ182*Calculateur!AS182*VLOOKUP('Données projet'!$B$10,'Paramètres'!$A$1:$I$89,3,0)*0.475*44/12</f>
        <v>1.318631872</v>
      </c>
      <c r="AW182" s="142">
        <f>EXP(-LN(2)/2)*AW181+(1-EXP(-LN(2)/2))/(LN(2)/2)*AQ182*AT182*VLOOKUP('Données projet'!$B$10,'Paramètres'!$A$1:$I$89,3,0)*0.475*44/12</f>
        <v>0</v>
      </c>
      <c r="AX182" s="142">
        <f t="shared" si="7"/>
        <v>15.30639815</v>
      </c>
      <c r="AY182" s="13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1" t="str">
        <f>VLOOKUP(A182,'Données projet'!$A$87:$I$107,2,0)</f>
        <v>#N/A</v>
      </c>
      <c r="BB182" s="131" t="str">
        <f>VLOOKUP(A182,'Données projet'!$A$87:$I$107,9,0)</f>
        <v>#N/A</v>
      </c>
      <c r="BC182" s="131" t="str">
        <f t="array" ref="BC182">INDEX(BB:BB,MIN(IF(ISNUMBER(BB182:BB378),ROW(BB182:BB378),"")))</f>
        <v/>
      </c>
      <c r="BD182" s="130">
        <f>IF('Données projet'!$A$88&gt;35,BD181+BC182-BL181,IF(A182&lt;'Données projet'!$A$88,$BA$205^A182,IF(A182='Données projet'!$A$88,'Données projet'!$B$88,BD181+BC182-BL181)))</f>
        <v>0</v>
      </c>
      <c r="BE182" s="130">
        <f>BD182*VLOOKUP('Données projet'!$B$11,'Paramètres'!$A$1:$I$89,3,0)*VLOOKUP('Données projet'!$B$11,'Paramètres'!$A$1:$I$89,5,0)</f>
        <v>0</v>
      </c>
      <c r="BF182" s="130" t="str">
        <f t="shared" si="38"/>
        <v>#NUM!</v>
      </c>
      <c r="BG182" s="141" t="str">
        <f t="shared" si="8"/>
        <v>#NUM!</v>
      </c>
      <c r="BH182" s="133" t="str">
        <f t="shared" si="9"/>
        <v>#NUM!</v>
      </c>
      <c r="BI182" s="133">
        <f>AVERAGE(OFFSET($BH$3,0,0,'Données projet'!$E$11+1,1))-AVERAGE(OFFSET($H$3,0,0,'Données projet'!$E$11+1,1))</f>
        <v>134.0948534</v>
      </c>
      <c r="BJ182" s="133">
        <f t="shared" si="39"/>
        <v>108.4102536</v>
      </c>
      <c r="BK182" s="134">
        <f>IF(ISNA(VLOOKUP(A182,'Données projet'!$A$87:$I$107,3,0)),0,VLOOKUP(A182,'Données projet'!$A$87:$I$107,3,0))</f>
        <v>0</v>
      </c>
      <c r="BL182" s="134">
        <f>IF(ISNA(VLOOKUP(A182,'Données projet'!$A$87:$I$107,4,0)),0,VLOOKUP(A182,'Données projet'!$A$87:$I$107,4,0))</f>
        <v>0</v>
      </c>
      <c r="BM182" s="135">
        <f>IF(ISNA(VLOOKUP(A182,'Données projet'!$A$87:$I$107,5,0)),0%,VLOOKUP(A182,'Données projet'!$A$87:$I$107,5,0)*VLOOKUP('Données projet'!$B$11,'Paramètres'!$A$1:$I$89,7,0))</f>
        <v>0</v>
      </c>
      <c r="BN182" s="135">
        <f>IF(ISNA(VLOOKUP(A182,'Données projet'!$A$87:$I$107,6,0)),0%,VLOOKUP(A182,'Données projet'!$A$87:$I$107,6,0)*VLOOKUP('Données projet'!$B$11,'Paramètres'!$A$1:$I$89,7,0))</f>
        <v>0</v>
      </c>
      <c r="BO182" s="135">
        <f>IF(ISNA(VLOOKUP(A182,'Données projet'!$A$87:$I$107,7,0)),0%,VLOOKUP(A182,'Données projet'!$A$87:$I$107,7,0))</f>
        <v>0</v>
      </c>
      <c r="BP182" s="142">
        <f>EXP(-LN(2)/35)*BP181+(1-EXP(-LN(2)/35))/(LN(2)/35)*BL182*BM182*VLOOKUP('Données projet'!$B$11,'Paramètres'!$A$1:$I$89,3,0)*0.475*44/12</f>
        <v>19.3476931</v>
      </c>
      <c r="BQ182" s="142">
        <f>EXP(-LN(2)/25)*BQ181+(1-EXP(-LN(2)/25))/(LN(2)/25)*Calculateur!BL182*Calculateur!BN182*VLOOKUP('Données projet'!$B$11,'Paramètres'!$A$1:$I$89,3,0)*0.475*44/12</f>
        <v>0.8317941172</v>
      </c>
      <c r="BR182" s="142">
        <f>EXP(-LN(2)/2)*BR181+(1-EXP(-LN(2)/2))/(LN(2)/2)*BL182*BO182*VLOOKUP('Données projet'!$B$11,'Paramètres'!$A$1:$I$89,3,0)*0.475*44/12</f>
        <v>0</v>
      </c>
      <c r="BS182" s="143">
        <f t="shared" si="10"/>
        <v>20.17948721</v>
      </c>
      <c r="BT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1" t="str">
        <f>VLOOKUP(A182,'Données projet'!$A$113:$I$133,2,0)</f>
        <v>#N/A</v>
      </c>
      <c r="BW182" s="131" t="str">
        <f>VLOOKUP(A182,'Données projet'!$A$113:$I$133,9,0)</f>
        <v>#N/A</v>
      </c>
      <c r="BX182" s="131" t="str">
        <f t="array" ref="BX182">INDEX(BW:BW,MIN(IF(ISNUMBER(BW182:BW378),ROW(BW182:BW378),"")))</f>
        <v/>
      </c>
      <c r="BY182" s="130">
        <f>IF('Données projet'!$A$114&gt;35,BY181+BX182-CG181,IF(A182&lt;'Données projet'!$A$114,$BV$205^A182,IF(A182='Données projet'!$A$114,'Données projet'!$B$114,BY181+BX182-CG181)))</f>
        <v>0</v>
      </c>
      <c r="BZ182" s="130">
        <f>BY182*VLOOKUP('Données projet'!$B$12,'Paramètres'!$A$1:$I$89,3,0)*VLOOKUP('Données projet'!$B$12,'Paramètres'!$A$1:$I$89,5,0)</f>
        <v>0</v>
      </c>
      <c r="CA182" s="130" t="str">
        <f t="shared" si="40"/>
        <v>#NUM!</v>
      </c>
      <c r="CB182" s="141" t="str">
        <f t="shared" si="11"/>
        <v>#NUM!</v>
      </c>
      <c r="CC182" s="133" t="str">
        <f t="shared" si="12"/>
        <v>#NUM!</v>
      </c>
      <c r="CD182" s="133">
        <f>AVERAGE(OFFSET($CC$3,0,0,'Données projet'!$E$12+1,1))-AVERAGE(OFFSET($H$3,0,0,'Données projet'!$E$12+1,1))</f>
        <v>258.1672054</v>
      </c>
      <c r="CE182" s="133">
        <f t="shared" si="41"/>
        <v>296.0724261</v>
      </c>
      <c r="CF182" s="134">
        <f>IF(ISNA(VLOOKUP(A182,'Données projet'!$A$113:$I$133,3,0)),0,VLOOKUP(A182,'Données projet'!$A$113:$I$133,3,0))</f>
        <v>0</v>
      </c>
      <c r="CG182" s="134">
        <f>IF(ISNA(VLOOKUP(A182,'Données projet'!$A$113:$I$133,4,0)),0,VLOOKUP(A182,'Données projet'!$A$113:$I$133,4,0))</f>
        <v>0</v>
      </c>
      <c r="CH182" s="135">
        <f>IF(ISNA(VLOOKUP(A182,'Données projet'!$A$113:$I$133,5,0)),0%,VLOOKUP(A182,'Données projet'!$A$113:$I$133,5,0)*VLOOKUP('Données projet'!$B$12,'Paramètres'!$A$1:$I$89,7,0))</f>
        <v>0</v>
      </c>
      <c r="CI182" s="135">
        <f>IF(ISNA(VLOOKUP(A182,'Données projet'!$A$113:$I$133,6,0)),0%,VLOOKUP(A182,'Données projet'!$A$113:$I$133,6,0)*VLOOKUP('Données projet'!$B$12,'Paramètres'!$A$1:$I$89,7,0))</f>
        <v>0</v>
      </c>
      <c r="CJ182" s="135">
        <f>IF(ISNA(VLOOKUP(A182,'Données projet'!$A$113:$I$133,7,0)),0%,VLOOKUP(A182,'Données projet'!$A$113:$I$133,7,0))</f>
        <v>0</v>
      </c>
      <c r="CK182" s="142">
        <f>EXP(-LN(2)/35)*CK181+(1-EXP(-LN(2)/35))/(LN(2)/35)*CG182*CH182*VLOOKUP('Données projet'!$B$12,'Paramètres'!$A$1:$I$89,3,0)*0.475*44/12</f>
        <v>24.46140277</v>
      </c>
      <c r="CL182" s="142">
        <f>EXP(-LN(2)/25)*CL181+(1-EXP(-LN(2)/25))/(LN(2)/25)*Calculateur!CG182*Calculateur!CI182*VLOOKUP('Données projet'!$B$12,'Paramètres'!$A$1:$I$89,3,0)*0.475*44/12</f>
        <v>1.4590141</v>
      </c>
      <c r="CM182" s="142">
        <f>EXP(-LN(2)/2)*CM181+(1-EXP(-LN(2)/2))/(LN(2)/2)*CG182*CJ182*VLOOKUP('Données projet'!$B$12,'Paramètres'!$A$1:$I$89,3,0)*0.475*44/12</f>
        <v>0</v>
      </c>
      <c r="CN182" s="143">
        <f t="shared" si="13"/>
        <v>25.92041687</v>
      </c>
      <c r="CO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1" t="str">
        <f>VLOOKUP(A182,'Données projet'!$A$139:$I$159,2,0)</f>
        <v>#N/A</v>
      </c>
      <c r="CR182" s="131" t="str">
        <f>VLOOKUP(A182,'Données projet'!$A$139:$I$159,9,0)</f>
        <v>#N/A</v>
      </c>
      <c r="CS182" s="131" t="str">
        <f t="array" ref="CS182">INDEX(CR:CR,MIN(IF(ISNUMBER(CR182:CR378),ROW(CR182:CR378),"")))</f>
        <v/>
      </c>
      <c r="CT182" s="138">
        <f>IF('Données projet'!$A$140&gt;35,CT181+CS182-DB181,IF(A182&lt;'Données projet'!$A$140,$CQ$205^A182,IF(A182='Données projet'!$A$140,'Données projet'!$B$140,CT181+CS182-DB181)))</f>
        <v>0</v>
      </c>
      <c r="CU182" s="138">
        <f>CT182*VLOOKUP('Données projet'!$B$13,'Paramètres'!$A$1:$I$89,3,0)*VLOOKUP('Données projet'!$B$13,'Paramètres'!$A$1:$I$89,5,0)</f>
        <v>0</v>
      </c>
      <c r="CV182" s="130" t="str">
        <f t="shared" si="42"/>
        <v>#NUM!</v>
      </c>
      <c r="CW182" s="141" t="str">
        <f t="shared" si="14"/>
        <v>#NUM!</v>
      </c>
      <c r="CX182" s="133" t="str">
        <f t="shared" si="15"/>
        <v>#NUM!</v>
      </c>
      <c r="CY182" s="133">
        <f>AVERAGE(OFFSET($CX$3,0,0,'Données projet'!$E$13+1,1))-AVERAGE(OFFSET($H$3,0,0,'Données projet'!$E$13+1,1))</f>
        <v>223.783507</v>
      </c>
      <c r="CZ182" s="133">
        <f t="shared" si="43"/>
        <v>84.92349117</v>
      </c>
      <c r="DA182" s="134">
        <f>IF(ISNA(VLOOKUP(A182,'Données projet'!$A$139:$I$159,3,0)),0,VLOOKUP(A182,'Données projet'!$A$139:$I$159,3,0))</f>
        <v>0</v>
      </c>
      <c r="DB182" s="134">
        <f>IF(ISNA(VLOOKUP(A182,'Données projet'!$A$139:$I$159,4,0)),0,VLOOKUP(A182,'Données projet'!$A$139:$I$159,4,0))</f>
        <v>0</v>
      </c>
      <c r="DC182" s="135">
        <f>IF(ISNA(VLOOKUP(A182,'Données projet'!$A$139:$I$159,5,0)),0%,VLOOKUP(A182,'Données projet'!$A$139:$I$159,5,0)*VLOOKUP('Données projet'!$B$13,'Paramètres'!$A$1:$I$89,7,0))</f>
        <v>0</v>
      </c>
      <c r="DD182" s="135">
        <f>IF(ISNA(VLOOKUP(A182,'Données projet'!$A$139:$I$159,6,0)),0%,VLOOKUP(A182,'Données projet'!$A$139:$I$159,6,0)*VLOOKUP('Données projet'!$B$13,'Paramètres'!$A$1:$I$89,7,0))</f>
        <v>0</v>
      </c>
      <c r="DE182" s="135">
        <f>IF(ISNA(VLOOKUP(A182,'Données projet'!$A$139:$I$159,7,0)),0%,VLOOKUP(A182,'Données projet'!$A$139:$I$159,7,0))</f>
        <v>0</v>
      </c>
      <c r="DF182" s="142">
        <f>EXP(-LN(2)/35)*DF181+(1-EXP(-LN(2)/35))/(LN(2)/35)*DB182*DC182*VLOOKUP('Données projet'!$B$13,'Paramètres'!$A$1:$I$89,3,0)*0.475*44/12</f>
        <v>62.8264806</v>
      </c>
      <c r="DG182" s="142">
        <f>EXP(-LN(2)/25)*DG181+(1-EXP(-LN(2)/25))/(LN(2)/25)*Calculateur!DB182*Calculateur!DD182*VLOOKUP('Données projet'!$B$13,'Paramètres'!$A$1:$I$89,3,0)*0.475*44/12</f>
        <v>0</v>
      </c>
      <c r="DH182" s="142">
        <f>EXP(-LN(2)/2)*DH181+(1-EXP(-LN(2)/2))/(LN(2)/2)*DB182*DE182*VLOOKUP('Données projet'!$B$13,'Paramètres'!$A$1:$I$89,3,0)*0.475*44/12</f>
        <v>0</v>
      </c>
      <c r="DI182" s="143">
        <f t="shared" si="16"/>
        <v>62.8264806</v>
      </c>
      <c r="DJ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1" t="str">
        <f>VLOOKUP(A182,'Données projet'!$A$165:$I$185,2,0)</f>
        <v>#N/A</v>
      </c>
      <c r="DM182" s="131" t="str">
        <f>VLOOKUP(A182,'Données projet'!$A$165:$I$185,9,0)</f>
        <v>#N/A</v>
      </c>
      <c r="DN182" s="131" t="str">
        <f t="array" ref="DN182">INDEX(DM:DM,MIN(IF(ISNUMBER(DM182:DM378),ROW(DM182:DM378),"")))</f>
        <v/>
      </c>
      <c r="DO182" s="138">
        <f>IF('Données projet'!$A$166&gt;35,DO181+DN182-DW181,IF(A182&lt;'Données projet'!$A$166,$DL$205^A182,IF(A182='Données projet'!$A$166,'Données projet'!$B$166,DO181+DN182-DW181)))</f>
        <v>0</v>
      </c>
      <c r="DP182" s="138">
        <f>DO182*VLOOKUP('Données projet'!$B$14,'Paramètres'!$A$1:$I$89,3,0)*VLOOKUP('Données projet'!$B$14,'Paramètres'!$A$1:$I$89,5,0)</f>
        <v>0</v>
      </c>
      <c r="DQ182" s="130" t="str">
        <f t="shared" si="44"/>
        <v>#NUM!</v>
      </c>
      <c r="DR182" s="141" t="str">
        <f t="shared" si="17"/>
        <v>#NUM!</v>
      </c>
      <c r="DS182" s="133" t="str">
        <f t="shared" si="18"/>
        <v>#NUM!</v>
      </c>
      <c r="DT182" s="133">
        <f>AVERAGE(OFFSET($DS$3,0,0,'Données projet'!$E$14+1,1))-AVERAGE(OFFSET($H$3,0,0,'Données projet'!$E$14+1,1))</f>
        <v>287.9334714</v>
      </c>
      <c r="DU182" s="133">
        <f t="shared" si="45"/>
        <v>156.6796502</v>
      </c>
      <c r="DV182" s="134">
        <f>IF(ISNA(VLOOKUP(A182,'Données projet'!$A$165:$I$185,3,0)),0,VLOOKUP(A182,'Données projet'!$A$165:$I$185,3,0))</f>
        <v>0</v>
      </c>
      <c r="DW182" s="134">
        <f>IF(ISNA(VLOOKUP(A182,'Données projet'!$A$165:$I$185,4,0)),0,VLOOKUP(A182,'Données projet'!$A$165:$I$185,4,0))</f>
        <v>0</v>
      </c>
      <c r="DX182" s="135">
        <f>IF(ISNA(VLOOKUP(A182,'Données projet'!$A$165:$I$185,5,0)),0%,VLOOKUP(A182,'Données projet'!$A$165:$I$185,5,0)*VLOOKUP('Données projet'!$B$14,'Paramètres'!$A$1:$I$89,7,0))</f>
        <v>0</v>
      </c>
      <c r="DY182" s="135">
        <f>IF(ISNA(VLOOKUP(A182,'Données projet'!$A$165:$I$185,6,0)),0%,VLOOKUP(A182,'Données projet'!$A$165:$I$185,6,0)*VLOOKUP('Données projet'!$B$14,'Paramètres'!$A$1:$I$89,7,0))</f>
        <v>0</v>
      </c>
      <c r="DZ182" s="135">
        <f>IF(ISNA(VLOOKUP(A182,'Données projet'!$A$165:$I$185,7,0)),0%,VLOOKUP(A182,'Données projet'!$A$165:$I$185,7,0))</f>
        <v>0</v>
      </c>
      <c r="EA182" s="142">
        <f>EXP(-LN(2)/35)*EA181+(1-EXP(-LN(2)/35))/(LN(2)/35)*DW182*DX182*VLOOKUP('Données projet'!$B$14,'Paramètres'!$A$1:$I$89,3,0)*0.475*44/12</f>
        <v>72.98659276</v>
      </c>
      <c r="EB182" s="142">
        <f>EXP(-LN(2)/25)*EB181+(1-EXP(-LN(2)/25))/(LN(2)/25)*Calculateur!DW182*Calculateur!DY182*VLOOKUP('Données projet'!$B$14,'Paramètres'!$A$1:$I$89,3,0)*0.475*44/12</f>
        <v>0</v>
      </c>
      <c r="EC182" s="142">
        <f>EXP(-LN(2)/2)*EC181+(1-EXP(-LN(2)/2))/(LN(2)/2)*DW182*DZ182*VLOOKUP('Données projet'!$B$14,'Paramètres'!$A$1:$I$89,3,0)*0.475*44/12</f>
        <v>0</v>
      </c>
      <c r="ED182" s="143">
        <f t="shared" si="19"/>
        <v>72.98659276</v>
      </c>
      <c r="EE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1" t="str">
        <f>VLOOKUP(A182,'Données projet'!$A$191:$I$211,2,0)</f>
        <v>#N/A</v>
      </c>
      <c r="EH182" s="131" t="str">
        <f>VLOOKUP(A182,'Données projet'!$A$191:$I$211,9,0)</f>
        <v>#N/A</v>
      </c>
      <c r="EI182" s="131" t="str">
        <f t="array" ref="EI182">INDEX(EH:EH,MIN(IF(ISNUMBER(EH182:EH378),ROW(EH182:EH378),"")))</f>
        <v/>
      </c>
      <c r="EJ182" s="138">
        <f>IF('Données projet'!$A$192&gt;35,EJ181+EI182-ER181,IF(A182&lt;'Données projet'!$A$192,$EG$205^A182,IF(A182='Données projet'!$A$192,'Données projet'!$B$192,EJ181+EI182-ER181)))</f>
        <v>0</v>
      </c>
      <c r="EK182" s="138">
        <f>EJ182*VLOOKUP('Données projet'!$B$15,'Paramètres'!$A$1:$I$89,3,0)*VLOOKUP('Données projet'!$B$15,'Paramètres'!$A$1:$I$89,5,0)</f>
        <v>0</v>
      </c>
      <c r="EL182" s="130" t="str">
        <f t="shared" si="46"/>
        <v>#NUM!</v>
      </c>
      <c r="EM182" s="141" t="str">
        <f t="shared" si="20"/>
        <v>#NUM!</v>
      </c>
      <c r="EN182" s="133" t="str">
        <f t="shared" si="21"/>
        <v>#NUM!</v>
      </c>
      <c r="EO182" s="133">
        <f>AVERAGE(OFFSET($EN$3,0,0,'Données projet'!$E$15+1,1))-AVERAGE(OFFSET($H$3,0,0,'Données projet'!$E$15+1,1))</f>
        <v>130.3193339</v>
      </c>
      <c r="EP182" s="133">
        <f t="shared" si="47"/>
        <v>82.22784365</v>
      </c>
      <c r="EQ182" s="134">
        <f>IF(ISNA(VLOOKUP(A182,'Données projet'!$A$191:$I$211,3,0)),0,VLOOKUP(A182,'Données projet'!$A$191:$I$211,3,0))</f>
        <v>0</v>
      </c>
      <c r="ER182" s="134">
        <f>IF(ISNA(VLOOKUP(A182,'Données projet'!$A$191:$I$211,4,0)),0,VLOOKUP(A182,'Données projet'!$A$191:$I$211,4,0))</f>
        <v>0</v>
      </c>
      <c r="ES182" s="135">
        <f>IF(ISNA(VLOOKUP(A182,'Données projet'!$A$191:$I$211,5,0)),0%,VLOOKUP(A182,'Données projet'!$A$191:$I$211,5,0)*VLOOKUP('Données projet'!$B$15,'Paramètres'!$A$1:$I$89,7,0))</f>
        <v>0</v>
      </c>
      <c r="ET182" s="135">
        <f>IF(ISNA(VLOOKUP(A182,'Données projet'!$A$191:$I$211,6,0)),0%,VLOOKUP(A182,'Données projet'!$A$191:$I$211,6,0)*VLOOKUP('Données projet'!$B$15,'Paramètres'!$A$1:$I$89,7,0))</f>
        <v>0</v>
      </c>
      <c r="EU182" s="135">
        <f>IF(ISNA(VLOOKUP(A182,'Données projet'!$A$191:$I$211,7,0)),0%,VLOOKUP(A182,'Données projet'!$A$191:$I$211,7,0))</f>
        <v>0</v>
      </c>
      <c r="EV182" s="142">
        <f>EXP(-LN(2)/35)*EV181+(1-EXP(-LN(2)/35))/(LN(2)/35)*ER182*ES182*VLOOKUP('Données projet'!$B$15,'Paramètres'!$A$1:$I$89,3,0)*0.475*44/12</f>
        <v>14.95764176</v>
      </c>
      <c r="EW182" s="142">
        <f>EXP(-LN(2)/25)*EW181+(1-EXP(-LN(2)/25))/(LN(2)/25)*Calculateur!ER182*Calculateur!ET182*VLOOKUP('Données projet'!$B$15,'Paramètres'!$A$1:$I$89,3,0)*0.475*44/12</f>
        <v>0</v>
      </c>
      <c r="EX182" s="142">
        <f>EXP(-LN(2)/2)*EX181+(1-EXP(-LN(2)/2))/(LN(2)/2)*ER182*EU182*VLOOKUP('Données projet'!$B$15,'Paramètres'!$A$1:$I$89,3,0)*0.475*44/12</f>
        <v>0</v>
      </c>
      <c r="EY182" s="143">
        <f t="shared" si="22"/>
        <v>14.95764176</v>
      </c>
      <c r="EZ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1" t="str">
        <f>VLOOKUP(A182,'Données projet'!$A$217:$I$237,2,0)</f>
        <v>#N/A</v>
      </c>
      <c r="FC182" s="131" t="str">
        <f>VLOOKUP(A182,'Données projet'!$A$217:$I$237,9,0)</f>
        <v>#N/A</v>
      </c>
      <c r="FD182" s="131" t="str">
        <f t="array" ref="FD182">INDEX(FC:FC,MIN(IF(ISNUMBER(FC182:FC378),ROW(FC182:FC378),"")))</f>
        <v/>
      </c>
      <c r="FE182" s="130">
        <f>IF('Données projet'!$A$218&gt;35,FE181+FD182-FM181,IF(A182&lt;'Données projet'!$A$218,$FB$205^A182,IF(A182='Données projet'!$A$218,'Données projet'!$B$218,FE181+FD182-FM181)))</f>
        <v>0</v>
      </c>
      <c r="FF182" s="138">
        <f>FE182*VLOOKUP('Données projet'!$B$16,'Paramètres'!$A$1:$I$89,3,0)*VLOOKUP('Données projet'!$B$16,'Paramètres'!$A$1:$I$89,5,0)</f>
        <v>0</v>
      </c>
      <c r="FG182" s="130">
        <f t="shared" si="48"/>
        <v>0</v>
      </c>
      <c r="FH182" s="141">
        <f t="shared" si="23"/>
        <v>0</v>
      </c>
      <c r="FI182" s="133">
        <f t="shared" si="24"/>
        <v>293.3333333</v>
      </c>
      <c r="FJ182" s="133">
        <f>AVERAGE(OFFSET($FI$3,0,0,'Données projet'!$E$16+1,1))-AVERAGE(OFFSET($H$3,0,0,'Données projet'!$E$16+1,1))</f>
        <v>305.6252353</v>
      </c>
      <c r="FK182" s="133">
        <f t="shared" si="49"/>
        <v>331.397916</v>
      </c>
      <c r="FL182" s="134">
        <f>IF(ISNA(VLOOKUP(A182,'Données projet'!$A$217:$I$237,3,0)),0,VLOOKUP(A182,'Données projet'!$A$217:$I$237,3,0))</f>
        <v>0</v>
      </c>
      <c r="FM182" s="134">
        <f>IF(ISNA(VLOOKUP(A182,'Données projet'!$A$217:$I$237,4,0)),0,VLOOKUP(A182,'Données projet'!$A$217:$I$237,4,0))</f>
        <v>0</v>
      </c>
      <c r="FN182" s="135">
        <f>IF(ISNA(VLOOKUP(A182,'Données projet'!$A$217:$I$237,5,0)),0%,VLOOKUP(A182,'Données projet'!$A$217:$I$237,5,0)*VLOOKUP('Données projet'!$B$16,'Paramètres'!$A$1:$I$89,7,0))</f>
        <v>0</v>
      </c>
      <c r="FO182" s="135">
        <f>IF(ISNA(VLOOKUP(A182,'Données projet'!$A$217:$I$237,6,0)),0%,VLOOKUP(A182,'Données projet'!$A$217:$I$237,6,0)*VLOOKUP('Données projet'!$B$16,'Paramètres'!$A$1:$I$89,7,0))</f>
        <v>0</v>
      </c>
      <c r="FP182" s="135">
        <f>IF(ISNA(VLOOKUP(A182,'Données projet'!$A$217:$I$237,7,0)),0%,VLOOKUP(A182,'Données projet'!$A$217:$I$237,7,0))</f>
        <v>0</v>
      </c>
      <c r="FQ182" s="142">
        <f>EXP(-LN(2)/35)*FQ181+(1-EXP(-LN(2)/35))/(LN(2)/35)*FM182*FN182*VLOOKUP('Données projet'!$B$16,'Paramètres'!$A$1:$I$89,3,0)*0.475*44/12</f>
        <v>9.313074771</v>
      </c>
      <c r="FR182" s="142">
        <f>EXP(-LN(2)/25)*FR181+(1-EXP(-LN(2)/25))/(LN(2)/25)*Calculateur!FM182*Calculateur!FO182*VLOOKUP('Données projet'!$B$16,'Paramètres'!$A$1:$I$89,3,0)*0.475*44/12</f>
        <v>0</v>
      </c>
      <c r="FS182" s="142">
        <f>EXP(-LN(2)/2)*FS181+(1-EXP(-LN(2)/2))/(LN(2)/2)*FM182*FP182*VLOOKUP('Données projet'!$B$16,'Paramètres'!$A$1:$I$89,3,0)*0.475*44/12</f>
        <v>0</v>
      </c>
      <c r="FT182" s="143">
        <f t="shared" si="25"/>
        <v>9.313074771</v>
      </c>
      <c r="FU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1" t="str">
        <f>VLOOKUP(A182,'Données projet'!$A$243:$I$263,2,0)</f>
        <v>#N/A</v>
      </c>
      <c r="FX182" s="131" t="str">
        <f>VLOOKUP(A182,'Données projet'!$A$243:$I$263,9,0)</f>
        <v>#N/A</v>
      </c>
      <c r="FY182" s="131" t="str">
        <f t="array" ref="FY182">INDEX(FX:FX,MIN(IF(ISNUMBER(FX182:FX378),ROW(FX182:FX378),"")))</f>
        <v/>
      </c>
      <c r="FZ182" s="138">
        <f>IF('Données projet'!$A$244&gt;35,FZ181+FY182-GH181,IF(A182&lt;'Données projet'!$A$244,$FW$205^A182,IF(A182='Données projet'!$A$244,'Données projet'!$B$244,FZ181+FY182-GH181)))</f>
        <v>0</v>
      </c>
      <c r="GA182" s="138">
        <f>FZ182*VLOOKUP('Données projet'!$B$17,'Paramètres'!$A$1:$I$89,3,0)*VLOOKUP('Données projet'!$B$17,'Paramètres'!$A$1:$I$89,5,0)</f>
        <v>0</v>
      </c>
      <c r="GB182" s="130">
        <f t="shared" si="50"/>
        <v>0</v>
      </c>
      <c r="GC182" s="141">
        <f t="shared" si="26"/>
        <v>0</v>
      </c>
      <c r="GD182" s="133">
        <f t="shared" si="27"/>
        <v>293.3333333</v>
      </c>
      <c r="GE182" s="133">
        <f>AVERAGE(OFFSET($GD$3,0,0,'Données projet'!$E$17+1,1))-AVERAGE(OFFSET($H$3,0,0,'Données projet'!$E$17+1,1))</f>
        <v>118.7368745</v>
      </c>
      <c r="GF182" s="133">
        <f t="shared" si="51"/>
        <v>135.1233677</v>
      </c>
      <c r="GG182" s="134">
        <f>IF(ISNA(VLOOKUP(A182,'Données projet'!$A$243:$I$263,3,0)),0,VLOOKUP(A182,'Données projet'!$A$243:$I$263,3,0))</f>
        <v>0</v>
      </c>
      <c r="GH182" s="134">
        <f>IF(ISNA(VLOOKUP(A182,'Données projet'!$A$243:$I$263,4,0)),0,VLOOKUP(A182,'Données projet'!$A$243:$I$263,4,0))</f>
        <v>0</v>
      </c>
      <c r="GI182" s="135">
        <f>IF(ISNA(VLOOKUP(A182,'Données projet'!$A$243:$I$263,5,0)),0%,VLOOKUP(A182,'Données projet'!$A$243:$I$263,5,0)*VLOOKUP('Données projet'!$B$17,'Paramètres'!$A$1:$I$89,7,0))</f>
        <v>0</v>
      </c>
      <c r="GJ182" s="135">
        <f>IF(ISNA(VLOOKUP(A182,'Données projet'!$A$243:$I$263,6,0)),0%,VLOOKUP(A182,'Données projet'!$A$243:$I$263,6,0)*VLOOKUP('Données projet'!$B$17,'Paramètres'!$A$1:$I$89,7,0))</f>
        <v>0</v>
      </c>
      <c r="GK182" s="135">
        <f>IF(ISNA(VLOOKUP(A182,'Données projet'!$A$243:$I$263,7,0)),0%,VLOOKUP(A182,'Données projet'!$A$243:$I$263,7,0))</f>
        <v>0</v>
      </c>
      <c r="GL182" s="142">
        <f>EXP(-LN(2)/35)*GL181+(1-EXP(-LN(2)/35))/(LN(2)/35)*GH182*GI182*VLOOKUP('Données projet'!$B$17,'Paramètres'!$A$1:$I$89,3,0)*0.475*44/12</f>
        <v>9.839234695</v>
      </c>
      <c r="GM182" s="142">
        <f>EXP(-LN(2)/25)*GM181+(1-EXP(-LN(2)/25))/(LN(2)/25)*Calculateur!GH182*Calculateur!GJ182*VLOOKUP('Données projet'!$B$17,'Paramètres'!$A$1:$I$89,3,0)*0.475*44/12</f>
        <v>0</v>
      </c>
      <c r="GN182" s="142">
        <f>EXP(-LN(2)/2)*GN181+(1-EXP(-LN(2)/2))/(LN(2)/2)*GH182*GK182*VLOOKUP('Données projet'!$B$17,'Paramètres'!$A$1:$I$89,3,0)*0.475*44/12</f>
        <v>0</v>
      </c>
      <c r="GO182" s="142">
        <f t="shared" si="28"/>
        <v>9.839234695</v>
      </c>
      <c r="GP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1" t="str">
        <f>VLOOKUP(A182,'Données projet'!$A$269:$I$289,2,0)</f>
        <v>#N/A</v>
      </c>
      <c r="GS182" s="131" t="str">
        <f>VLOOKUP(A182,'Données projet'!$A$269:$I$289,9,0)</f>
        <v>#N/A</v>
      </c>
      <c r="GT182" s="131" t="str">
        <f t="array" ref="GT182">INDEX(GS:GS,MIN(IF(ISNUMBER(GS182:GS378),ROW(GS182:GS378),"")))</f>
        <v/>
      </c>
      <c r="GU182" s="138">
        <f>IF('Données projet'!$A$270&gt;35,GU181+GT182-HC181,IF(A182&lt;'Données projet'!$A$270,$GR$205^A182,IF(A182='Données projet'!$A$270,'Données projet'!$B$270,GU181+GT182-HC181)))</f>
        <v>0</v>
      </c>
      <c r="GV182" s="138">
        <f>GU182*VLOOKUP('Données projet'!$B$18,'Paramètres'!$A$1:$I$89,3,0)*VLOOKUP('Données projet'!$B$18,'Paramètres'!$A$1:$I$89,5,0)</f>
        <v>0</v>
      </c>
      <c r="GW182" s="130" t="str">
        <f t="shared" si="52"/>
        <v>#NUM!</v>
      </c>
      <c r="GX182" s="141" t="str">
        <f t="shared" si="29"/>
        <v>#NUM!</v>
      </c>
      <c r="GY182" s="133" t="str">
        <f t="shared" si="30"/>
        <v>#NUM!</v>
      </c>
      <c r="GZ182" s="133">
        <f>AVERAGE(OFFSET($GY$3,0,0,'Données projet'!$E$18+1,1))-AVERAGE(OFFSET($H$3,0,0,'Données projet'!$E$18+1,1))</f>
        <v>100.5427875</v>
      </c>
      <c r="HA182" s="133">
        <f t="shared" si="53"/>
        <v>92.28663609</v>
      </c>
      <c r="HB182" s="134">
        <f>IF(ISNA(VLOOKUP(A182,'Données projet'!$A$269:$I$289,3,0)),0,VLOOKUP(A182,'Données projet'!$A$269:$I$289,3,0))</f>
        <v>0</v>
      </c>
      <c r="HC182" s="134">
        <f>IF(ISNA(VLOOKUP(A182,'Données projet'!$A$269:$I$289,4,0)),0,VLOOKUP(A182,'Données projet'!$A$269:$I$289,4,0))</f>
        <v>0</v>
      </c>
      <c r="HD182" s="135">
        <f>IF(ISNA(VLOOKUP(A182,'Données projet'!$A$269:$I$289,5,0)),0%,VLOOKUP(A182,'Données projet'!$A$269:$I$289,5,0)*VLOOKUP('Données projet'!$B$18,'Paramètres'!$A$1:$I$89,7,0))</f>
        <v>0</v>
      </c>
      <c r="HE182" s="135">
        <f>IF(ISNA(VLOOKUP(A182,'Données projet'!$A$269:$I$289,6,0)),0%,VLOOKUP(A182,'Données projet'!$A$269:$I$289,6,0)*VLOOKUP('Données projet'!$B$18,'Paramètres'!$A$1:$I$89,7,0))</f>
        <v>0</v>
      </c>
      <c r="HF182" s="135">
        <f>IF(ISNA(VLOOKUP(A182,'Données projet'!$A$269:$I$289,7,0)),0%,VLOOKUP(A182,'Données projet'!$A$269:$I$289,7,0))</f>
        <v>0</v>
      </c>
      <c r="HG182" s="142">
        <f>EXP(-LN(2)/35)*HG181+(1-EXP(-LN(2)/35))/(LN(2)/35)*HC182*HD182*VLOOKUP('Données projet'!$B$18,'Paramètres'!$A$1:$I$89,3,0)*0.475*44/12</f>
        <v>6.700311258</v>
      </c>
      <c r="HH182" s="142">
        <f>EXP(-LN(2)/25)*HH181+(1-EXP(-LN(2)/25))/(LN(2)/25)*Calculateur!HC182*Calculateur!HE182*VLOOKUP('Données projet'!$B$18,'Paramètres'!$A$1:$I$89,3,0)*0.475*44/12</f>
        <v>0</v>
      </c>
      <c r="HI182" s="142">
        <f>EXP(-LN(2)/2)*HI181+(1-EXP(-LN(2)/2))/(LN(2)/2)*HC182*HF182*VLOOKUP('Données projet'!$B$18,'Paramètres'!$A$1:$I$89,3,0)*0.475*44/12</f>
        <v>0</v>
      </c>
      <c r="HJ182" s="143">
        <f t="shared" si="31"/>
        <v>6.700311258</v>
      </c>
    </row>
    <row r="183" ht="15.75" customHeight="1">
      <c r="A183" s="125">
        <f t="shared" si="32"/>
        <v>180</v>
      </c>
      <c r="B183" s="126">
        <f>'Scénario référence'!$B$16*5+'Scénario référence'!$B$17*0+'Scénario référence'!$B$18*5</f>
        <v>0</v>
      </c>
      <c r="C183" s="140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98.28</v>
      </c>
      <c r="D183" s="127">
        <f t="shared" si="33"/>
        <v>26.55181842</v>
      </c>
      <c r="E18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7">
        <f>IF(OR('Scénario référence'!$F$8&gt;0,'Scénario référence'!$F$9&gt;0),('Scénario référence'!$F$8+'Scénario référence'!$F$9)*10,0)</f>
        <v>10</v>
      </c>
      <c r="G183" s="127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963.614037</v>
      </c>
      <c r="H183" s="128">
        <f t="shared" si="1"/>
        <v>510.7487504</v>
      </c>
      <c r="I183" s="12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1" t="str">
        <f>VLOOKUP(A183,'Données projet'!$A$35:$I$55,2,0)</f>
        <v>#N/A</v>
      </c>
      <c r="L183" s="131" t="str">
        <f>VLOOKUP(A183,'Données projet'!$A$35:$I$55,9,0)</f>
        <v>#N/A</v>
      </c>
      <c r="M183" s="131" t="str">
        <f t="array" ref="M183">INDEX(L:L,MIN(IF(ISNUMBER(L183:L379),ROW(L183:L379),"")))</f>
        <v/>
      </c>
      <c r="N183" s="130">
        <f>IF('Données projet'!$A$36&gt;35,N182+M183-V182,IF(A183&lt;'Données projet'!$A$36,$K$205^A183,IF(A183='Données projet'!$A$36,'Données projet'!$B$36,N182+M183-V182)))</f>
        <v>0</v>
      </c>
      <c r="O183" s="130">
        <f>N183*VLOOKUP('Données projet'!$B$9,'Paramètres'!$A$1:$I$89,3,0)*VLOOKUP('Données projet'!$B$9,'Paramètres'!$A$1:$I$89,5,0)</f>
        <v>0</v>
      </c>
      <c r="P183" s="130">
        <f t="shared" si="34"/>
        <v>0</v>
      </c>
      <c r="Q183" s="141">
        <f t="shared" si="2"/>
        <v>0</v>
      </c>
      <c r="R183" s="133">
        <f t="shared" si="3"/>
        <v>293.3333333</v>
      </c>
      <c r="S183" s="133">
        <f>AVERAGE(OFFSET($R$3,0,0,'Données projet'!$E$9+1,1))-AVERAGE(OFFSET($H$3,0,0,'Données projet'!$E$9+1,1))</f>
        <v>126.9946492</v>
      </c>
      <c r="T183" s="133">
        <f t="shared" si="35"/>
        <v>140.039049</v>
      </c>
      <c r="U183" s="134">
        <f>IF(ISNA(VLOOKUP(A183,'Données projet'!$A$35:$I$55,3,0)),0,VLOOKUP(A183,'Données projet'!$A$35:$I$55,3,0))</f>
        <v>0</v>
      </c>
      <c r="V183" s="134">
        <f>IF(ISNA(VLOOKUP(A183,'Données projet'!$A$35:$I$55,4,0)),0,VLOOKUP(A183,'Données projet'!$A$35:$I$55,4,0))</f>
        <v>0</v>
      </c>
      <c r="W183" s="135">
        <f>IF(ISNA(VLOOKUP(A183,'Données projet'!$A$35:$I$55,5,0)),0%,VLOOKUP(A183,'Données projet'!$A$35:$I$55,5,0)*VLOOKUP('Données projet'!$B$9,'Paramètres'!$A$1:$I$89,7,0))</f>
        <v>0</v>
      </c>
      <c r="X183" s="135">
        <f>IF(ISNA(VLOOKUP(A183,'Données projet'!$A$35:$I$55,6,0)),0%,VLOOKUP(A183,'Données projet'!$A$35:$I$55,6,0)*VLOOKUP('Données projet'!$B$9,'Paramètres'!$A$1:$I$89,7,0))</f>
        <v>0</v>
      </c>
      <c r="Y183" s="135">
        <f>IF(ISNA(VLOOKUP(A183,'Données projet'!$A$35:$I$55,7,0)),0%,VLOOKUP(A183,'Données projet'!$A$35:$I$55,7,0))</f>
        <v>0</v>
      </c>
      <c r="Z183" s="142">
        <f>EXP(-LN(2)/35)*Z182+(1-EXP(-LN(2)/35))/(LN(2)/35)*V183*W183*VLOOKUP('Données projet'!$B$9,'Paramètres'!$A$1:$I$89,3,0)*0.475*44/12</f>
        <v>9.866010752</v>
      </c>
      <c r="AA183" s="142">
        <f>EXP(-LN(2)/25)*AA182+(1-EXP(-LN(2)/25))/(LN(2)/25)*Calculateur!V183*Calculateur!X183*VLOOKUP('Données projet'!$B$9,'Paramètres'!$A$1:$I$89,3,0)*0.475*44/12</f>
        <v>0.834193626</v>
      </c>
      <c r="AB183" s="142">
        <f>EXP(-LN(2)/2)*AB182+(1-EXP(-LN(2)/2))/(LN(2)/2)*V183*Y183*VLOOKUP('Données projet'!$B$9,'Paramètres'!$A$1:$I$89,3,0)*0.475*44/12</f>
        <v>0</v>
      </c>
      <c r="AC183" s="143">
        <f t="shared" si="4"/>
        <v>10.70020438</v>
      </c>
      <c r="AD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1" t="str">
        <f>VLOOKUP(A183,'Données projet'!$A$61:$I$81,2,0)</f>
        <v>#N/A</v>
      </c>
      <c r="AG183" s="131" t="str">
        <f>VLOOKUP(A183,'Données projet'!$A$61:$I$81,9,0)</f>
        <v>#N/A</v>
      </c>
      <c r="AH183" s="131" t="str">
        <f t="array" ref="AH183">INDEX(AG:AG,MIN(IF(ISNUMBER(AG183:AG379),ROW(AG183:AG379),"")))</f>
        <v/>
      </c>
      <c r="AI183" s="130">
        <f>IF('Données projet'!$A$62&gt;35,AI182+AH183-AQ182,IF(A183&lt;'Données projet'!$A$62,$AF$205^A183,IF(A183='Données projet'!$A$62,'Données projet'!$B$62,AI182+AH183-AQ182)))</f>
        <v>0</v>
      </c>
      <c r="AJ183" s="130">
        <f>AI183*VLOOKUP('Données projet'!$B$10,'Paramètres'!$A$1:$I$89,3,0)*VLOOKUP('Données projet'!$B$10,'Paramètres'!$A$1:$I$89,5,0)</f>
        <v>0</v>
      </c>
      <c r="AK183" s="130" t="str">
        <f t="shared" si="36"/>
        <v>#NUM!</v>
      </c>
      <c r="AL183" s="141" t="str">
        <f t="shared" si="5"/>
        <v>#NUM!</v>
      </c>
      <c r="AM183" s="133" t="str">
        <f t="shared" si="6"/>
        <v>#NUM!</v>
      </c>
      <c r="AN183" s="133">
        <f>AVERAGE(OFFSET($AM$3,0,0,'Données projet'!$E$10+1,1))-AVERAGE(OFFSET($H$3,0,0,'Données projet'!$E$10+1,1))</f>
        <v>196.874484</v>
      </c>
      <c r="AO183" s="133">
        <f t="shared" si="37"/>
        <v>217.5750859</v>
      </c>
      <c r="AP183" s="134">
        <f>IF(ISNA(VLOOKUP(A183,'Données projet'!$A$61:$I$81,3,0)),0,VLOOKUP(A183,'Données projet'!$A$61:$I$81,3,0))</f>
        <v>0</v>
      </c>
      <c r="AQ183" s="134">
        <f>IF(ISNA(VLOOKUP(A183,'Données projet'!$A$61:$I$81,4,0)),0,VLOOKUP(A183,'Données projet'!$A$61:$I$81,4,0))</f>
        <v>0</v>
      </c>
      <c r="AR183" s="135">
        <f>IF(ISNA(VLOOKUP(A183,'Données projet'!$A$61:$I$81,5,0)),0%,VLOOKUP(A183,'Données projet'!$A$61:$I$81,5,0)*VLOOKUP('Données projet'!$B$10,'Paramètres'!$A$1:$I$89,7,0))</f>
        <v>0</v>
      </c>
      <c r="AS183" s="135">
        <f>IF(ISNA(VLOOKUP(A183,'Données projet'!$A$61:$I$81,6,0)),0%,VLOOKUP(A183,'Données projet'!$A$61:$I$81,6,0)*VLOOKUP('Données projet'!$B$10,'Paramètres'!$A$1:$I$89,7,0))</f>
        <v>0</v>
      </c>
      <c r="AT183" s="135">
        <f>IF(ISNA(VLOOKUP(A183,'Données projet'!$A$61:$I$81,7,0)),0%,VLOOKUP(A183,'Données projet'!$A$61:$I$81,7,0))</f>
        <v>0</v>
      </c>
      <c r="AU183" s="142">
        <f>EXP(-LN(2)/35)*AU182+(1-EXP(-LN(2)/35))/(LN(2)/35)*AQ183*AR183*VLOOKUP('Données projet'!$B$10,'Paramètres'!$A$1:$I$89,3,0)*0.475*44/12</f>
        <v>13.71347471</v>
      </c>
      <c r="AV183" s="142">
        <f>EXP(-LN(2)/25)*AV182+(1-EXP(-LN(2)/25))/(LN(2)/25)*Calculateur!AQ183*Calculateur!AS183*VLOOKUP('Données projet'!$B$10,'Paramètres'!$A$1:$I$89,3,0)*0.475*44/12</f>
        <v>1.282573814</v>
      </c>
      <c r="AW183" s="142">
        <f>EXP(-LN(2)/2)*AW182+(1-EXP(-LN(2)/2))/(LN(2)/2)*AQ183*AT183*VLOOKUP('Données projet'!$B$10,'Paramètres'!$A$1:$I$89,3,0)*0.475*44/12</f>
        <v>0</v>
      </c>
      <c r="AX183" s="142">
        <f t="shared" si="7"/>
        <v>14.99604853</v>
      </c>
      <c r="AY183" s="13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1" t="str">
        <f>VLOOKUP(A183,'Données projet'!$A$87:$I$107,2,0)</f>
        <v>#N/A</v>
      </c>
      <c r="BB183" s="131" t="str">
        <f>VLOOKUP(A183,'Données projet'!$A$87:$I$107,9,0)</f>
        <v>#N/A</v>
      </c>
      <c r="BC183" s="131" t="str">
        <f t="array" ref="BC183">INDEX(BB:BB,MIN(IF(ISNUMBER(BB183:BB379),ROW(BB183:BB379),"")))</f>
        <v/>
      </c>
      <c r="BD183" s="130">
        <f>IF('Données projet'!$A$88&gt;35,BD182+BC183-BL182,IF(A183&lt;'Données projet'!$A$88,$BA$205^A183,IF(A183='Données projet'!$A$88,'Données projet'!$B$88,BD182+BC183-BL182)))</f>
        <v>0</v>
      </c>
      <c r="BE183" s="130">
        <f>BD183*VLOOKUP('Données projet'!$B$11,'Paramètres'!$A$1:$I$89,3,0)*VLOOKUP('Données projet'!$B$11,'Paramètres'!$A$1:$I$89,5,0)</f>
        <v>0</v>
      </c>
      <c r="BF183" s="130" t="str">
        <f t="shared" si="38"/>
        <v>#NUM!</v>
      </c>
      <c r="BG183" s="141" t="str">
        <f t="shared" si="8"/>
        <v>#NUM!</v>
      </c>
      <c r="BH183" s="133" t="str">
        <f t="shared" si="9"/>
        <v>#NUM!</v>
      </c>
      <c r="BI183" s="133">
        <f>AVERAGE(OFFSET($BH$3,0,0,'Données projet'!$E$11+1,1))-AVERAGE(OFFSET($H$3,0,0,'Données projet'!$E$11+1,1))</f>
        <v>134.0948534</v>
      </c>
      <c r="BJ183" s="133">
        <f t="shared" si="39"/>
        <v>108.4102536</v>
      </c>
      <c r="BK183" s="134">
        <f>IF(ISNA(VLOOKUP(A183,'Données projet'!$A$87:$I$107,3,0)),0,VLOOKUP(A183,'Données projet'!$A$87:$I$107,3,0))</f>
        <v>0</v>
      </c>
      <c r="BL183" s="134">
        <f>IF(ISNA(VLOOKUP(A183,'Données projet'!$A$87:$I$107,4,0)),0,VLOOKUP(A183,'Données projet'!$A$87:$I$107,4,0))</f>
        <v>0</v>
      </c>
      <c r="BM183" s="135">
        <f>IF(ISNA(VLOOKUP(A183,'Données projet'!$A$87:$I$107,5,0)),0%,VLOOKUP(A183,'Données projet'!$A$87:$I$107,5,0)*VLOOKUP('Données projet'!$B$11,'Paramètres'!$A$1:$I$89,7,0))</f>
        <v>0</v>
      </c>
      <c r="BN183" s="135">
        <f>IF(ISNA(VLOOKUP(A183,'Données projet'!$A$87:$I$107,6,0)),0%,VLOOKUP(A183,'Données projet'!$A$87:$I$107,6,0)*VLOOKUP('Données projet'!$B$11,'Paramètres'!$A$1:$I$89,7,0))</f>
        <v>0</v>
      </c>
      <c r="BO183" s="135">
        <f>IF(ISNA(VLOOKUP(A183,'Données projet'!$A$87:$I$107,7,0)),0%,VLOOKUP(A183,'Données projet'!$A$87:$I$107,7,0))</f>
        <v>0</v>
      </c>
      <c r="BP183" s="142">
        <f>EXP(-LN(2)/35)*BP182+(1-EXP(-LN(2)/35))/(LN(2)/35)*BL183*BM183*VLOOKUP('Données projet'!$B$11,'Paramètres'!$A$1:$I$89,3,0)*0.475*44/12</f>
        <v>18.96829664</v>
      </c>
      <c r="BQ183" s="142">
        <f>EXP(-LN(2)/25)*BQ182+(1-EXP(-LN(2)/25))/(LN(2)/25)*Calculateur!BL183*Calculateur!BN183*VLOOKUP('Données projet'!$B$11,'Paramètres'!$A$1:$I$89,3,0)*0.475*44/12</f>
        <v>0.8090486634</v>
      </c>
      <c r="BR183" s="142">
        <f>EXP(-LN(2)/2)*BR182+(1-EXP(-LN(2)/2))/(LN(2)/2)*BL183*BO183*VLOOKUP('Données projet'!$B$11,'Paramètres'!$A$1:$I$89,3,0)*0.475*44/12</f>
        <v>0</v>
      </c>
      <c r="BS183" s="143">
        <f t="shared" si="10"/>
        <v>19.7773453</v>
      </c>
      <c r="BT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1" t="str">
        <f>VLOOKUP(A183,'Données projet'!$A$113:$I$133,2,0)</f>
        <v>#N/A</v>
      </c>
      <c r="BW183" s="131" t="str">
        <f>VLOOKUP(A183,'Données projet'!$A$113:$I$133,9,0)</f>
        <v>#N/A</v>
      </c>
      <c r="BX183" s="131" t="str">
        <f t="array" ref="BX183">INDEX(BW:BW,MIN(IF(ISNUMBER(BW183:BW379),ROW(BW183:BW379),"")))</f>
        <v/>
      </c>
      <c r="BY183" s="130">
        <f>IF('Données projet'!$A$114&gt;35,BY182+BX183-CG182,IF(A183&lt;'Données projet'!$A$114,$BV$205^A183,IF(A183='Données projet'!$A$114,'Données projet'!$B$114,BY182+BX183-CG182)))</f>
        <v>0</v>
      </c>
      <c r="BZ183" s="130">
        <f>BY183*VLOOKUP('Données projet'!$B$12,'Paramètres'!$A$1:$I$89,3,0)*VLOOKUP('Données projet'!$B$12,'Paramètres'!$A$1:$I$89,5,0)</f>
        <v>0</v>
      </c>
      <c r="CA183" s="130" t="str">
        <f t="shared" si="40"/>
        <v>#NUM!</v>
      </c>
      <c r="CB183" s="141" t="str">
        <f t="shared" si="11"/>
        <v>#NUM!</v>
      </c>
      <c r="CC183" s="133" t="str">
        <f t="shared" si="12"/>
        <v>#NUM!</v>
      </c>
      <c r="CD183" s="133">
        <f>AVERAGE(OFFSET($CC$3,0,0,'Données projet'!$E$12+1,1))-AVERAGE(OFFSET($H$3,0,0,'Données projet'!$E$12+1,1))</f>
        <v>258.1672054</v>
      </c>
      <c r="CE183" s="133">
        <f t="shared" si="41"/>
        <v>296.0724261</v>
      </c>
      <c r="CF183" s="134">
        <f>IF(ISNA(VLOOKUP(A183,'Données projet'!$A$113:$I$133,3,0)),0,VLOOKUP(A183,'Données projet'!$A$113:$I$133,3,0))</f>
        <v>0</v>
      </c>
      <c r="CG183" s="134">
        <f>IF(ISNA(VLOOKUP(A183,'Données projet'!$A$113:$I$133,4,0)),0,VLOOKUP(A183,'Données projet'!$A$113:$I$133,4,0))</f>
        <v>0</v>
      </c>
      <c r="CH183" s="135">
        <f>IF(ISNA(VLOOKUP(A183,'Données projet'!$A$113:$I$133,5,0)),0%,VLOOKUP(A183,'Données projet'!$A$113:$I$133,5,0)*VLOOKUP('Données projet'!$B$12,'Paramètres'!$A$1:$I$89,7,0))</f>
        <v>0</v>
      </c>
      <c r="CI183" s="135">
        <f>IF(ISNA(VLOOKUP(A183,'Données projet'!$A$113:$I$133,6,0)),0%,VLOOKUP(A183,'Données projet'!$A$113:$I$133,6,0)*VLOOKUP('Données projet'!$B$12,'Paramètres'!$A$1:$I$89,7,0))</f>
        <v>0</v>
      </c>
      <c r="CJ183" s="135">
        <f>IF(ISNA(VLOOKUP(A183,'Données projet'!$A$113:$I$133,7,0)),0%,VLOOKUP(A183,'Données projet'!$A$113:$I$133,7,0))</f>
        <v>0</v>
      </c>
      <c r="CK183" s="142">
        <f>EXP(-LN(2)/35)*CK182+(1-EXP(-LN(2)/35))/(LN(2)/35)*CG183*CH183*VLOOKUP('Données projet'!$B$12,'Paramètres'!$A$1:$I$89,3,0)*0.475*44/12</f>
        <v>23.98172959</v>
      </c>
      <c r="CL183" s="142">
        <f>EXP(-LN(2)/25)*CL182+(1-EXP(-LN(2)/25))/(LN(2)/25)*Calculateur!CG183*Calculateur!CI183*VLOOKUP('Données projet'!$B$12,'Paramètres'!$A$1:$I$89,3,0)*0.475*44/12</f>
        <v>1.419117283</v>
      </c>
      <c r="CM183" s="142">
        <f>EXP(-LN(2)/2)*CM182+(1-EXP(-LN(2)/2))/(LN(2)/2)*CG183*CJ183*VLOOKUP('Données projet'!$B$12,'Paramètres'!$A$1:$I$89,3,0)*0.475*44/12</f>
        <v>0</v>
      </c>
      <c r="CN183" s="143">
        <f t="shared" si="13"/>
        <v>25.40084687</v>
      </c>
      <c r="CO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1" t="str">
        <f>VLOOKUP(A183,'Données projet'!$A$139:$I$159,2,0)</f>
        <v>#N/A</v>
      </c>
      <c r="CR183" s="131" t="str">
        <f>VLOOKUP(A183,'Données projet'!$A$139:$I$159,9,0)</f>
        <v>#N/A</v>
      </c>
      <c r="CS183" s="131" t="str">
        <f t="array" ref="CS183">INDEX(CR:CR,MIN(IF(ISNUMBER(CR183:CR379),ROW(CR183:CR379),"")))</f>
        <v/>
      </c>
      <c r="CT183" s="138">
        <f>IF('Données projet'!$A$140&gt;35,CT182+CS183-DB182,IF(A183&lt;'Données projet'!$A$140,$CQ$205^A183,IF(A183='Données projet'!$A$140,'Données projet'!$B$140,CT182+CS183-DB182)))</f>
        <v>0</v>
      </c>
      <c r="CU183" s="138">
        <f>CT183*VLOOKUP('Données projet'!$B$13,'Paramètres'!$A$1:$I$89,3,0)*VLOOKUP('Données projet'!$B$13,'Paramètres'!$A$1:$I$89,5,0)</f>
        <v>0</v>
      </c>
      <c r="CV183" s="130" t="str">
        <f t="shared" si="42"/>
        <v>#NUM!</v>
      </c>
      <c r="CW183" s="141" t="str">
        <f t="shared" si="14"/>
        <v>#NUM!</v>
      </c>
      <c r="CX183" s="133" t="str">
        <f t="shared" si="15"/>
        <v>#NUM!</v>
      </c>
      <c r="CY183" s="133">
        <f>AVERAGE(OFFSET($CX$3,0,0,'Données projet'!$E$13+1,1))-AVERAGE(OFFSET($H$3,0,0,'Données projet'!$E$13+1,1))</f>
        <v>223.783507</v>
      </c>
      <c r="CZ183" s="133">
        <f t="shared" si="43"/>
        <v>84.92349117</v>
      </c>
      <c r="DA183" s="134">
        <f>IF(ISNA(VLOOKUP(A183,'Données projet'!$A$139:$I$159,3,0)),0,VLOOKUP(A183,'Données projet'!$A$139:$I$159,3,0))</f>
        <v>0</v>
      </c>
      <c r="DB183" s="134">
        <f>IF(ISNA(VLOOKUP(A183,'Données projet'!$A$139:$I$159,4,0)),0,VLOOKUP(A183,'Données projet'!$A$139:$I$159,4,0))</f>
        <v>0</v>
      </c>
      <c r="DC183" s="135">
        <f>IF(ISNA(VLOOKUP(A183,'Données projet'!$A$139:$I$159,5,0)),0%,VLOOKUP(A183,'Données projet'!$A$139:$I$159,5,0)*VLOOKUP('Données projet'!$B$13,'Paramètres'!$A$1:$I$89,7,0))</f>
        <v>0</v>
      </c>
      <c r="DD183" s="135">
        <f>IF(ISNA(VLOOKUP(A183,'Données projet'!$A$139:$I$159,6,0)),0%,VLOOKUP(A183,'Données projet'!$A$139:$I$159,6,0)*VLOOKUP('Données projet'!$B$13,'Paramètres'!$A$1:$I$89,7,0))</f>
        <v>0</v>
      </c>
      <c r="DE183" s="135">
        <f>IF(ISNA(VLOOKUP(A183,'Données projet'!$A$139:$I$159,7,0)),0%,VLOOKUP(A183,'Données projet'!$A$139:$I$159,7,0))</f>
        <v>0</v>
      </c>
      <c r="DF183" s="142">
        <f>EXP(-LN(2)/35)*DF182+(1-EXP(-LN(2)/35))/(LN(2)/35)*DB183*DC183*VLOOKUP('Données projet'!$B$13,'Paramètres'!$A$1:$I$89,3,0)*0.475*44/12</f>
        <v>61.59449164</v>
      </c>
      <c r="DG183" s="142">
        <f>EXP(-LN(2)/25)*DG182+(1-EXP(-LN(2)/25))/(LN(2)/25)*Calculateur!DB183*Calculateur!DD183*VLOOKUP('Données projet'!$B$13,'Paramètres'!$A$1:$I$89,3,0)*0.475*44/12</f>
        <v>0</v>
      </c>
      <c r="DH183" s="142">
        <f>EXP(-LN(2)/2)*DH182+(1-EXP(-LN(2)/2))/(LN(2)/2)*DB183*DE183*VLOOKUP('Données projet'!$B$13,'Paramètres'!$A$1:$I$89,3,0)*0.475*44/12</f>
        <v>0</v>
      </c>
      <c r="DI183" s="143">
        <f t="shared" si="16"/>
        <v>61.59449164</v>
      </c>
      <c r="DJ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1" t="str">
        <f>VLOOKUP(A183,'Données projet'!$A$165:$I$185,2,0)</f>
        <v>#N/A</v>
      </c>
      <c r="DM183" s="131" t="str">
        <f>VLOOKUP(A183,'Données projet'!$A$165:$I$185,9,0)</f>
        <v>#N/A</v>
      </c>
      <c r="DN183" s="131" t="str">
        <f t="array" ref="DN183">INDEX(DM:DM,MIN(IF(ISNUMBER(DM183:DM379),ROW(DM183:DM379),"")))</f>
        <v/>
      </c>
      <c r="DO183" s="138">
        <f>IF('Données projet'!$A$166&gt;35,DO182+DN183-DW182,IF(A183&lt;'Données projet'!$A$166,$DL$205^A183,IF(A183='Données projet'!$A$166,'Données projet'!$B$166,DO182+DN183-DW182)))</f>
        <v>0</v>
      </c>
      <c r="DP183" s="138">
        <f>DO183*VLOOKUP('Données projet'!$B$14,'Paramètres'!$A$1:$I$89,3,0)*VLOOKUP('Données projet'!$B$14,'Paramètres'!$A$1:$I$89,5,0)</f>
        <v>0</v>
      </c>
      <c r="DQ183" s="130" t="str">
        <f t="shared" si="44"/>
        <v>#NUM!</v>
      </c>
      <c r="DR183" s="141" t="str">
        <f t="shared" si="17"/>
        <v>#NUM!</v>
      </c>
      <c r="DS183" s="133" t="str">
        <f t="shared" si="18"/>
        <v>#NUM!</v>
      </c>
      <c r="DT183" s="133">
        <f>AVERAGE(OFFSET($DS$3,0,0,'Données projet'!$E$14+1,1))-AVERAGE(OFFSET($H$3,0,0,'Données projet'!$E$14+1,1))</f>
        <v>287.9334714</v>
      </c>
      <c r="DU183" s="133">
        <f t="shared" si="45"/>
        <v>156.6796502</v>
      </c>
      <c r="DV183" s="134">
        <f>IF(ISNA(VLOOKUP(A183,'Données projet'!$A$165:$I$185,3,0)),0,VLOOKUP(A183,'Données projet'!$A$165:$I$185,3,0))</f>
        <v>0</v>
      </c>
      <c r="DW183" s="134">
        <f>IF(ISNA(VLOOKUP(A183,'Données projet'!$A$165:$I$185,4,0)),0,VLOOKUP(A183,'Données projet'!$A$165:$I$185,4,0))</f>
        <v>0</v>
      </c>
      <c r="DX183" s="135">
        <f>IF(ISNA(VLOOKUP(A183,'Données projet'!$A$165:$I$185,5,0)),0%,VLOOKUP(A183,'Données projet'!$A$165:$I$185,5,0)*VLOOKUP('Données projet'!$B$14,'Paramètres'!$A$1:$I$89,7,0))</f>
        <v>0</v>
      </c>
      <c r="DY183" s="135">
        <f>IF(ISNA(VLOOKUP(A183,'Données projet'!$A$165:$I$185,6,0)),0%,VLOOKUP(A183,'Données projet'!$A$165:$I$185,6,0)*VLOOKUP('Données projet'!$B$14,'Paramètres'!$A$1:$I$89,7,0))</f>
        <v>0</v>
      </c>
      <c r="DZ183" s="135">
        <f>IF(ISNA(VLOOKUP(A183,'Données projet'!$A$165:$I$185,7,0)),0%,VLOOKUP(A183,'Données projet'!$A$165:$I$185,7,0))</f>
        <v>0</v>
      </c>
      <c r="EA183" s="142">
        <f>EXP(-LN(2)/35)*EA182+(1-EXP(-LN(2)/35))/(LN(2)/35)*DW183*DX183*VLOOKUP('Données projet'!$B$14,'Paramètres'!$A$1:$I$89,3,0)*0.475*44/12</f>
        <v>71.5553702</v>
      </c>
      <c r="EB183" s="142">
        <f>EXP(-LN(2)/25)*EB182+(1-EXP(-LN(2)/25))/(LN(2)/25)*Calculateur!DW183*Calculateur!DY183*VLOOKUP('Données projet'!$B$14,'Paramètres'!$A$1:$I$89,3,0)*0.475*44/12</f>
        <v>0</v>
      </c>
      <c r="EC183" s="142">
        <f>EXP(-LN(2)/2)*EC182+(1-EXP(-LN(2)/2))/(LN(2)/2)*DW183*DZ183*VLOOKUP('Données projet'!$B$14,'Paramètres'!$A$1:$I$89,3,0)*0.475*44/12</f>
        <v>0</v>
      </c>
      <c r="ED183" s="143">
        <f t="shared" si="19"/>
        <v>71.5553702</v>
      </c>
      <c r="EE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1" t="str">
        <f>VLOOKUP(A183,'Données projet'!$A$191:$I$211,2,0)</f>
        <v>#N/A</v>
      </c>
      <c r="EH183" s="131" t="str">
        <f>VLOOKUP(A183,'Données projet'!$A$191:$I$211,9,0)</f>
        <v>#N/A</v>
      </c>
      <c r="EI183" s="131" t="str">
        <f t="array" ref="EI183">INDEX(EH:EH,MIN(IF(ISNUMBER(EH183:EH379),ROW(EH183:EH379),"")))</f>
        <v/>
      </c>
      <c r="EJ183" s="138">
        <f>IF('Données projet'!$A$192&gt;35,EJ182+EI183-ER182,IF(A183&lt;'Données projet'!$A$192,$EG$205^A183,IF(A183='Données projet'!$A$192,'Données projet'!$B$192,EJ182+EI183-ER182)))</f>
        <v>0</v>
      </c>
      <c r="EK183" s="138">
        <f>EJ183*VLOOKUP('Données projet'!$B$15,'Paramètres'!$A$1:$I$89,3,0)*VLOOKUP('Données projet'!$B$15,'Paramètres'!$A$1:$I$89,5,0)</f>
        <v>0</v>
      </c>
      <c r="EL183" s="130" t="str">
        <f t="shared" si="46"/>
        <v>#NUM!</v>
      </c>
      <c r="EM183" s="141" t="str">
        <f t="shared" si="20"/>
        <v>#NUM!</v>
      </c>
      <c r="EN183" s="133" t="str">
        <f t="shared" si="21"/>
        <v>#NUM!</v>
      </c>
      <c r="EO183" s="133">
        <f>AVERAGE(OFFSET($EN$3,0,0,'Données projet'!$E$15+1,1))-AVERAGE(OFFSET($H$3,0,0,'Données projet'!$E$15+1,1))</f>
        <v>130.3193339</v>
      </c>
      <c r="EP183" s="133">
        <f t="shared" si="47"/>
        <v>82.22784365</v>
      </c>
      <c r="EQ183" s="134">
        <f>IF(ISNA(VLOOKUP(A183,'Données projet'!$A$191:$I$211,3,0)),0,VLOOKUP(A183,'Données projet'!$A$191:$I$211,3,0))</f>
        <v>0</v>
      </c>
      <c r="ER183" s="134">
        <f>IF(ISNA(VLOOKUP(A183,'Données projet'!$A$191:$I$211,4,0)),0,VLOOKUP(A183,'Données projet'!$A$191:$I$211,4,0))</f>
        <v>0</v>
      </c>
      <c r="ES183" s="135">
        <f>IF(ISNA(VLOOKUP(A183,'Données projet'!$A$191:$I$211,5,0)),0%,VLOOKUP(A183,'Données projet'!$A$191:$I$211,5,0)*VLOOKUP('Données projet'!$B$15,'Paramètres'!$A$1:$I$89,7,0))</f>
        <v>0</v>
      </c>
      <c r="ET183" s="135">
        <f>IF(ISNA(VLOOKUP(A183,'Données projet'!$A$191:$I$211,6,0)),0%,VLOOKUP(A183,'Données projet'!$A$191:$I$211,6,0)*VLOOKUP('Données projet'!$B$15,'Paramètres'!$A$1:$I$89,7,0))</f>
        <v>0</v>
      </c>
      <c r="EU183" s="135">
        <f>IF(ISNA(VLOOKUP(A183,'Données projet'!$A$191:$I$211,7,0)),0%,VLOOKUP(A183,'Données projet'!$A$191:$I$211,7,0))</f>
        <v>0</v>
      </c>
      <c r="EV183" s="142">
        <f>EXP(-LN(2)/35)*EV182+(1-EXP(-LN(2)/35))/(LN(2)/35)*ER183*ES183*VLOOKUP('Données projet'!$B$15,'Paramètres'!$A$1:$I$89,3,0)*0.475*44/12</f>
        <v>14.66433153</v>
      </c>
      <c r="EW183" s="142">
        <f>EXP(-LN(2)/25)*EW182+(1-EXP(-LN(2)/25))/(LN(2)/25)*Calculateur!ER183*Calculateur!ET183*VLOOKUP('Données projet'!$B$15,'Paramètres'!$A$1:$I$89,3,0)*0.475*44/12</f>
        <v>0</v>
      </c>
      <c r="EX183" s="142">
        <f>EXP(-LN(2)/2)*EX182+(1-EXP(-LN(2)/2))/(LN(2)/2)*ER183*EU183*VLOOKUP('Données projet'!$B$15,'Paramètres'!$A$1:$I$89,3,0)*0.475*44/12</f>
        <v>0</v>
      </c>
      <c r="EY183" s="143">
        <f t="shared" si="22"/>
        <v>14.66433153</v>
      </c>
      <c r="EZ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1" t="str">
        <f>VLOOKUP(A183,'Données projet'!$A$217:$I$237,2,0)</f>
        <v>#N/A</v>
      </c>
      <c r="FC183" s="131" t="str">
        <f>VLOOKUP(A183,'Données projet'!$A$217:$I$237,9,0)</f>
        <v>#N/A</v>
      </c>
      <c r="FD183" s="131" t="str">
        <f t="array" ref="FD183">INDEX(FC:FC,MIN(IF(ISNUMBER(FC183:FC379),ROW(FC183:FC379),"")))</f>
        <v/>
      </c>
      <c r="FE183" s="130">
        <f>IF('Données projet'!$A$218&gt;35,FE182+FD183-FM182,IF(A183&lt;'Données projet'!$A$218,$FB$205^A183,IF(A183='Données projet'!$A$218,'Données projet'!$B$218,FE182+FD183-FM182)))</f>
        <v>0</v>
      </c>
      <c r="FF183" s="138">
        <f>FE183*VLOOKUP('Données projet'!$B$16,'Paramètres'!$A$1:$I$89,3,0)*VLOOKUP('Données projet'!$B$16,'Paramètres'!$A$1:$I$89,5,0)</f>
        <v>0</v>
      </c>
      <c r="FG183" s="130">
        <f t="shared" si="48"/>
        <v>0</v>
      </c>
      <c r="FH183" s="141">
        <f t="shared" si="23"/>
        <v>0</v>
      </c>
      <c r="FI183" s="133">
        <f t="shared" si="24"/>
        <v>293.3333333</v>
      </c>
      <c r="FJ183" s="133">
        <f>AVERAGE(OFFSET($FI$3,0,0,'Données projet'!$E$16+1,1))-AVERAGE(OFFSET($H$3,0,0,'Données projet'!$E$16+1,1))</f>
        <v>305.6252353</v>
      </c>
      <c r="FK183" s="133">
        <f t="shared" si="49"/>
        <v>331.397916</v>
      </c>
      <c r="FL183" s="134">
        <f>IF(ISNA(VLOOKUP(A183,'Données projet'!$A$217:$I$237,3,0)),0,VLOOKUP(A183,'Données projet'!$A$217:$I$237,3,0))</f>
        <v>0</v>
      </c>
      <c r="FM183" s="134">
        <f>IF(ISNA(VLOOKUP(A183,'Données projet'!$A$217:$I$237,4,0)),0,VLOOKUP(A183,'Données projet'!$A$217:$I$237,4,0))</f>
        <v>0</v>
      </c>
      <c r="FN183" s="135">
        <f>IF(ISNA(VLOOKUP(A183,'Données projet'!$A$217:$I$237,5,0)),0%,VLOOKUP(A183,'Données projet'!$A$217:$I$237,5,0)*VLOOKUP('Données projet'!$B$16,'Paramètres'!$A$1:$I$89,7,0))</f>
        <v>0</v>
      </c>
      <c r="FO183" s="135">
        <f>IF(ISNA(VLOOKUP(A183,'Données projet'!$A$217:$I$237,6,0)),0%,VLOOKUP(A183,'Données projet'!$A$217:$I$237,6,0)*VLOOKUP('Données projet'!$B$16,'Paramètres'!$A$1:$I$89,7,0))</f>
        <v>0</v>
      </c>
      <c r="FP183" s="135">
        <f>IF(ISNA(VLOOKUP(A183,'Données projet'!$A$217:$I$237,7,0)),0%,VLOOKUP(A183,'Données projet'!$A$217:$I$237,7,0))</f>
        <v>0</v>
      </c>
      <c r="FQ183" s="142">
        <f>EXP(-LN(2)/35)*FQ182+(1-EXP(-LN(2)/35))/(LN(2)/35)*FM183*FN183*VLOOKUP('Données projet'!$B$16,'Paramètres'!$A$1:$I$89,3,0)*0.475*44/12</f>
        <v>9.130451056</v>
      </c>
      <c r="FR183" s="142">
        <f>EXP(-LN(2)/25)*FR182+(1-EXP(-LN(2)/25))/(LN(2)/25)*Calculateur!FM183*Calculateur!FO183*VLOOKUP('Données projet'!$B$16,'Paramètres'!$A$1:$I$89,3,0)*0.475*44/12</f>
        <v>0</v>
      </c>
      <c r="FS183" s="142">
        <f>EXP(-LN(2)/2)*FS182+(1-EXP(-LN(2)/2))/(LN(2)/2)*FM183*FP183*VLOOKUP('Données projet'!$B$16,'Paramètres'!$A$1:$I$89,3,0)*0.475*44/12</f>
        <v>0</v>
      </c>
      <c r="FT183" s="143">
        <f t="shared" si="25"/>
        <v>9.130451056</v>
      </c>
      <c r="FU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1" t="str">
        <f>VLOOKUP(A183,'Données projet'!$A$243:$I$263,2,0)</f>
        <v>#N/A</v>
      </c>
      <c r="FX183" s="131" t="str">
        <f>VLOOKUP(A183,'Données projet'!$A$243:$I$263,9,0)</f>
        <v>#N/A</v>
      </c>
      <c r="FY183" s="131" t="str">
        <f t="array" ref="FY183">INDEX(FX:FX,MIN(IF(ISNUMBER(FX183:FX379),ROW(FX183:FX379),"")))</f>
        <v/>
      </c>
      <c r="FZ183" s="138">
        <f>IF('Données projet'!$A$244&gt;35,FZ182+FY183-GH182,IF(A183&lt;'Données projet'!$A$244,$FW$205^A183,IF(A183='Données projet'!$A$244,'Données projet'!$B$244,FZ182+FY183-GH182)))</f>
        <v>0</v>
      </c>
      <c r="GA183" s="138">
        <f>FZ183*VLOOKUP('Données projet'!$B$17,'Paramètres'!$A$1:$I$89,3,0)*VLOOKUP('Données projet'!$B$17,'Paramètres'!$A$1:$I$89,5,0)</f>
        <v>0</v>
      </c>
      <c r="GB183" s="130">
        <f t="shared" si="50"/>
        <v>0</v>
      </c>
      <c r="GC183" s="141">
        <f t="shared" si="26"/>
        <v>0</v>
      </c>
      <c r="GD183" s="133">
        <f t="shared" si="27"/>
        <v>293.3333333</v>
      </c>
      <c r="GE183" s="133">
        <f>AVERAGE(OFFSET($GD$3,0,0,'Données projet'!$E$17+1,1))-AVERAGE(OFFSET($H$3,0,0,'Données projet'!$E$17+1,1))</f>
        <v>118.7368745</v>
      </c>
      <c r="GF183" s="133">
        <f t="shared" si="51"/>
        <v>135.1233677</v>
      </c>
      <c r="GG183" s="134">
        <f>IF(ISNA(VLOOKUP(A183,'Données projet'!$A$243:$I$263,3,0)),0,VLOOKUP(A183,'Données projet'!$A$243:$I$263,3,0))</f>
        <v>0</v>
      </c>
      <c r="GH183" s="134">
        <f>IF(ISNA(VLOOKUP(A183,'Données projet'!$A$243:$I$263,4,0)),0,VLOOKUP(A183,'Données projet'!$A$243:$I$263,4,0))</f>
        <v>0</v>
      </c>
      <c r="GI183" s="135">
        <f>IF(ISNA(VLOOKUP(A183,'Données projet'!$A$243:$I$263,5,0)),0%,VLOOKUP(A183,'Données projet'!$A$243:$I$263,5,0)*VLOOKUP('Données projet'!$B$17,'Paramètres'!$A$1:$I$89,7,0))</f>
        <v>0</v>
      </c>
      <c r="GJ183" s="135">
        <f>IF(ISNA(VLOOKUP(A183,'Données projet'!$A$243:$I$263,6,0)),0%,VLOOKUP(A183,'Données projet'!$A$243:$I$263,6,0)*VLOOKUP('Données projet'!$B$17,'Paramètres'!$A$1:$I$89,7,0))</f>
        <v>0</v>
      </c>
      <c r="GK183" s="135">
        <f>IF(ISNA(VLOOKUP(A183,'Données projet'!$A$243:$I$263,7,0)),0%,VLOOKUP(A183,'Données projet'!$A$243:$I$263,7,0))</f>
        <v>0</v>
      </c>
      <c r="GL183" s="142">
        <f>EXP(-LN(2)/35)*GL182+(1-EXP(-LN(2)/35))/(LN(2)/35)*GH183*GI183*VLOOKUP('Données projet'!$B$17,'Paramètres'!$A$1:$I$89,3,0)*0.475*44/12</f>
        <v>9.646293304</v>
      </c>
      <c r="GM183" s="142">
        <f>EXP(-LN(2)/25)*GM182+(1-EXP(-LN(2)/25))/(LN(2)/25)*Calculateur!GH183*Calculateur!GJ183*VLOOKUP('Données projet'!$B$17,'Paramètres'!$A$1:$I$89,3,0)*0.475*44/12</f>
        <v>0</v>
      </c>
      <c r="GN183" s="142">
        <f>EXP(-LN(2)/2)*GN182+(1-EXP(-LN(2)/2))/(LN(2)/2)*GH183*GK183*VLOOKUP('Données projet'!$B$17,'Paramètres'!$A$1:$I$89,3,0)*0.475*44/12</f>
        <v>0</v>
      </c>
      <c r="GO183" s="142">
        <f t="shared" si="28"/>
        <v>9.646293304</v>
      </c>
      <c r="GP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1" t="str">
        <f>VLOOKUP(A183,'Données projet'!$A$269:$I$289,2,0)</f>
        <v>#N/A</v>
      </c>
      <c r="GS183" s="131" t="str">
        <f>VLOOKUP(A183,'Données projet'!$A$269:$I$289,9,0)</f>
        <v>#N/A</v>
      </c>
      <c r="GT183" s="131" t="str">
        <f t="array" ref="GT183">INDEX(GS:GS,MIN(IF(ISNUMBER(GS183:GS379),ROW(GS183:GS379),"")))</f>
        <v/>
      </c>
      <c r="GU183" s="138">
        <f>IF('Données projet'!$A$270&gt;35,GU182+GT183-HC182,IF(A183&lt;'Données projet'!$A$270,$GR$205^A183,IF(A183='Données projet'!$A$270,'Données projet'!$B$270,GU182+GT183-HC182)))</f>
        <v>0</v>
      </c>
      <c r="GV183" s="138">
        <f>GU183*VLOOKUP('Données projet'!$B$18,'Paramètres'!$A$1:$I$89,3,0)*VLOOKUP('Données projet'!$B$18,'Paramètres'!$A$1:$I$89,5,0)</f>
        <v>0</v>
      </c>
      <c r="GW183" s="130" t="str">
        <f t="shared" si="52"/>
        <v>#NUM!</v>
      </c>
      <c r="GX183" s="141" t="str">
        <f t="shared" si="29"/>
        <v>#NUM!</v>
      </c>
      <c r="GY183" s="133" t="str">
        <f t="shared" si="30"/>
        <v>#NUM!</v>
      </c>
      <c r="GZ183" s="133">
        <f>AVERAGE(OFFSET($GY$3,0,0,'Données projet'!$E$18+1,1))-AVERAGE(OFFSET($H$3,0,0,'Données projet'!$E$18+1,1))</f>
        <v>100.5427875</v>
      </c>
      <c r="HA183" s="133">
        <f t="shared" si="53"/>
        <v>92.28663609</v>
      </c>
      <c r="HB183" s="134">
        <f>IF(ISNA(VLOOKUP(A183,'Données projet'!$A$269:$I$289,3,0)),0,VLOOKUP(A183,'Données projet'!$A$269:$I$289,3,0))</f>
        <v>0</v>
      </c>
      <c r="HC183" s="134">
        <f>IF(ISNA(VLOOKUP(A183,'Données projet'!$A$269:$I$289,4,0)),0,VLOOKUP(A183,'Données projet'!$A$269:$I$289,4,0))</f>
        <v>0</v>
      </c>
      <c r="HD183" s="135">
        <f>IF(ISNA(VLOOKUP(A183,'Données projet'!$A$269:$I$289,5,0)),0%,VLOOKUP(A183,'Données projet'!$A$269:$I$289,5,0)*VLOOKUP('Données projet'!$B$18,'Paramètres'!$A$1:$I$89,7,0))</f>
        <v>0</v>
      </c>
      <c r="HE183" s="135">
        <f>IF(ISNA(VLOOKUP(A183,'Données projet'!$A$269:$I$289,6,0)),0%,VLOOKUP(A183,'Données projet'!$A$269:$I$289,6,0)*VLOOKUP('Données projet'!$B$18,'Paramètres'!$A$1:$I$89,7,0))</f>
        <v>0</v>
      </c>
      <c r="HF183" s="135">
        <f>IF(ISNA(VLOOKUP(A183,'Données projet'!$A$269:$I$289,7,0)),0%,VLOOKUP(A183,'Données projet'!$A$269:$I$289,7,0))</f>
        <v>0</v>
      </c>
      <c r="HG183" s="142">
        <f>EXP(-LN(2)/35)*HG182+(1-EXP(-LN(2)/35))/(LN(2)/35)*HC183*HD183*VLOOKUP('Données projet'!$B$18,'Paramètres'!$A$1:$I$89,3,0)*0.475*44/12</f>
        <v>6.568922241</v>
      </c>
      <c r="HH183" s="142">
        <f>EXP(-LN(2)/25)*HH182+(1-EXP(-LN(2)/25))/(LN(2)/25)*Calculateur!HC183*Calculateur!HE183*VLOOKUP('Données projet'!$B$18,'Paramètres'!$A$1:$I$89,3,0)*0.475*44/12</f>
        <v>0</v>
      </c>
      <c r="HI183" s="142">
        <f>EXP(-LN(2)/2)*HI182+(1-EXP(-LN(2)/2))/(LN(2)/2)*HC183*HF183*VLOOKUP('Données projet'!$B$18,'Paramètres'!$A$1:$I$89,3,0)*0.475*44/12</f>
        <v>0</v>
      </c>
      <c r="HJ183" s="143">
        <f t="shared" si="31"/>
        <v>6.568922241</v>
      </c>
    </row>
    <row r="184" ht="15.75" customHeight="1">
      <c r="A184" s="125">
        <f t="shared" si="32"/>
        <v>181</v>
      </c>
      <c r="B184" s="126">
        <f>'Scénario référence'!$B$16*5+'Scénario référence'!$B$17*0+'Scénario référence'!$B$18*5</f>
        <v>0</v>
      </c>
      <c r="C184" s="140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98.826</v>
      </c>
      <c r="D184" s="127">
        <f t="shared" si="33"/>
        <v>26.68211629</v>
      </c>
      <c r="E18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7">
        <f>IF(OR('Scénario référence'!$F$8&gt;0,'Scénario référence'!$F$9&gt;0),('Scénario référence'!$F$8+'Scénario référence'!$F$9)*10,0)</f>
        <v>10</v>
      </c>
      <c r="G184" s="127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</v>
      </c>
      <c r="H184" s="128">
        <f t="shared" si="1"/>
        <v>511.9266359</v>
      </c>
      <c r="I184" s="12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1" t="str">
        <f>VLOOKUP(A184,'Données projet'!$A$35:$I$55,2,0)</f>
        <v>#N/A</v>
      </c>
      <c r="L184" s="131" t="str">
        <f>VLOOKUP(A184,'Données projet'!$A$35:$I$55,9,0)</f>
        <v>#N/A</v>
      </c>
      <c r="M184" s="131" t="str">
        <f t="array" ref="M184">INDEX(L:L,MIN(IF(ISNUMBER(L184:L380),ROW(L184:L380),"")))</f>
        <v/>
      </c>
      <c r="N184" s="130">
        <f>IF('Données projet'!$A$36&gt;35,N183+M184-V183,IF(A184&lt;'Données projet'!$A$36,$K$205^A184,IF(A184='Données projet'!$A$36,'Données projet'!$B$36,N183+M184-V183)))</f>
        <v>0</v>
      </c>
      <c r="O184" s="130">
        <f>N184*VLOOKUP('Données projet'!$B$9,'Paramètres'!$A$1:$I$89,3,0)*VLOOKUP('Données projet'!$B$9,'Paramètres'!$A$1:$I$89,5,0)</f>
        <v>0</v>
      </c>
      <c r="P184" s="130">
        <f t="shared" si="34"/>
        <v>0</v>
      </c>
      <c r="Q184" s="141">
        <f t="shared" si="2"/>
        <v>0</v>
      </c>
      <c r="R184" s="133">
        <f t="shared" si="3"/>
        <v>293.3333333</v>
      </c>
      <c r="S184" s="133">
        <f>AVERAGE(OFFSET($R$3,0,0,'Données projet'!$E$9+1,1))-AVERAGE(OFFSET($H$3,0,0,'Données projet'!$E$9+1,1))</f>
        <v>126.9946492</v>
      </c>
      <c r="T184" s="133">
        <f t="shared" si="35"/>
        <v>140.039049</v>
      </c>
      <c r="U184" s="134">
        <f>IF(ISNA(VLOOKUP(A184,'Données projet'!$A$35:$I$55,3,0)),0,VLOOKUP(A184,'Données projet'!$A$35:$I$55,3,0))</f>
        <v>0</v>
      </c>
      <c r="V184" s="134">
        <f>IF(ISNA(VLOOKUP(A184,'Données projet'!$A$35:$I$55,4,0)),0,VLOOKUP(A184,'Données projet'!$A$35:$I$55,4,0))</f>
        <v>0</v>
      </c>
      <c r="W184" s="135">
        <f>IF(ISNA(VLOOKUP(A184,'Données projet'!$A$35:$I$55,5,0)),0%,VLOOKUP(A184,'Données projet'!$A$35:$I$55,5,0)*VLOOKUP('Données projet'!$B$9,'Paramètres'!$A$1:$I$89,7,0))</f>
        <v>0</v>
      </c>
      <c r="X184" s="135">
        <f>IF(ISNA(VLOOKUP(A184,'Données projet'!$A$35:$I$55,6,0)),0%,VLOOKUP(A184,'Données projet'!$A$35:$I$55,6,0)*VLOOKUP('Données projet'!$B$9,'Paramètres'!$A$1:$I$89,7,0))</f>
        <v>0</v>
      </c>
      <c r="Y184" s="135">
        <f>IF(ISNA(VLOOKUP(A184,'Données projet'!$A$35:$I$55,7,0)),0%,VLOOKUP(A184,'Données projet'!$A$35:$I$55,7,0))</f>
        <v>0</v>
      </c>
      <c r="Z184" s="142">
        <f>EXP(-LN(2)/35)*Z183+(1-EXP(-LN(2)/35))/(LN(2)/35)*V184*W184*VLOOKUP('Données projet'!$B$9,'Paramètres'!$A$1:$I$89,3,0)*0.475*44/12</f>
        <v>9.672544299</v>
      </c>
      <c r="AA184" s="142">
        <f>EXP(-LN(2)/25)*AA183+(1-EXP(-LN(2)/25))/(LN(2)/25)*Calculateur!V184*Calculateur!X184*VLOOKUP('Données projet'!$B$9,'Paramètres'!$A$1:$I$89,3,0)*0.475*44/12</f>
        <v>0.8113825574</v>
      </c>
      <c r="AB184" s="142">
        <f>EXP(-LN(2)/2)*AB183+(1-EXP(-LN(2)/2))/(LN(2)/2)*V184*Y184*VLOOKUP('Données projet'!$B$9,'Paramètres'!$A$1:$I$89,3,0)*0.475*44/12</f>
        <v>0</v>
      </c>
      <c r="AC184" s="143">
        <f t="shared" si="4"/>
        <v>10.48392686</v>
      </c>
      <c r="AD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1" t="str">
        <f>VLOOKUP(A184,'Données projet'!$A$61:$I$81,2,0)</f>
        <v>#N/A</v>
      </c>
      <c r="AG184" s="131" t="str">
        <f>VLOOKUP(A184,'Données projet'!$A$61:$I$81,9,0)</f>
        <v>#N/A</v>
      </c>
      <c r="AH184" s="131" t="str">
        <f t="array" ref="AH184">INDEX(AG:AG,MIN(IF(ISNUMBER(AG184:AG380),ROW(AG184:AG380),"")))</f>
        <v/>
      </c>
      <c r="AI184" s="130">
        <f>IF('Données projet'!$A$62&gt;35,AI183+AH184-AQ183,IF(A184&lt;'Données projet'!$A$62,$AF$205^A184,IF(A184='Données projet'!$A$62,'Données projet'!$B$62,AI183+AH184-AQ183)))</f>
        <v>0</v>
      </c>
      <c r="AJ184" s="130">
        <f>AI184*VLOOKUP('Données projet'!$B$10,'Paramètres'!$A$1:$I$89,3,0)*VLOOKUP('Données projet'!$B$10,'Paramètres'!$A$1:$I$89,5,0)</f>
        <v>0</v>
      </c>
      <c r="AK184" s="130" t="str">
        <f t="shared" si="36"/>
        <v>#NUM!</v>
      </c>
      <c r="AL184" s="141" t="str">
        <f t="shared" si="5"/>
        <v>#NUM!</v>
      </c>
      <c r="AM184" s="133" t="str">
        <f t="shared" si="6"/>
        <v>#NUM!</v>
      </c>
      <c r="AN184" s="133">
        <f>AVERAGE(OFFSET($AM$3,0,0,'Données projet'!$E$10+1,1))-AVERAGE(OFFSET($H$3,0,0,'Données projet'!$E$10+1,1))</f>
        <v>196.874484</v>
      </c>
      <c r="AO184" s="133">
        <f t="shared" si="37"/>
        <v>217.5750859</v>
      </c>
      <c r="AP184" s="134">
        <f>IF(ISNA(VLOOKUP(A184,'Données projet'!$A$61:$I$81,3,0)),0,VLOOKUP(A184,'Données projet'!$A$61:$I$81,3,0))</f>
        <v>0</v>
      </c>
      <c r="AQ184" s="134">
        <f>IF(ISNA(VLOOKUP(A184,'Données projet'!$A$61:$I$81,4,0)),0,VLOOKUP(A184,'Données projet'!$A$61:$I$81,4,0))</f>
        <v>0</v>
      </c>
      <c r="AR184" s="135">
        <f>IF(ISNA(VLOOKUP(A184,'Données projet'!$A$61:$I$81,5,0)),0%,VLOOKUP(A184,'Données projet'!$A$61:$I$81,5,0)*VLOOKUP('Données projet'!$B$10,'Paramètres'!$A$1:$I$89,7,0))</f>
        <v>0</v>
      </c>
      <c r="AS184" s="135">
        <f>IF(ISNA(VLOOKUP(A184,'Données projet'!$A$61:$I$81,6,0)),0%,VLOOKUP(A184,'Données projet'!$A$61:$I$81,6,0)*VLOOKUP('Données projet'!$B$10,'Paramètres'!$A$1:$I$89,7,0))</f>
        <v>0</v>
      </c>
      <c r="AT184" s="135">
        <f>IF(ISNA(VLOOKUP(A184,'Données projet'!$A$61:$I$81,7,0)),0%,VLOOKUP(A184,'Données projet'!$A$61:$I$81,7,0))</f>
        <v>0</v>
      </c>
      <c r="AU184" s="142">
        <f>EXP(-LN(2)/35)*AU183+(1-EXP(-LN(2)/35))/(LN(2)/35)*AQ184*AR184*VLOOKUP('Données projet'!$B$10,'Paramètres'!$A$1:$I$89,3,0)*0.475*44/12</f>
        <v>13.44456184</v>
      </c>
      <c r="AV184" s="142">
        <f>EXP(-LN(2)/25)*AV183+(1-EXP(-LN(2)/25))/(LN(2)/25)*Calculateur!AQ184*Calculateur!AS184*VLOOKUP('Données projet'!$B$10,'Paramètres'!$A$1:$I$89,3,0)*0.475*44/12</f>
        <v>1.247501766</v>
      </c>
      <c r="AW184" s="142">
        <f>EXP(-LN(2)/2)*AW183+(1-EXP(-LN(2)/2))/(LN(2)/2)*AQ184*AT184*VLOOKUP('Données projet'!$B$10,'Paramètres'!$A$1:$I$89,3,0)*0.475*44/12</f>
        <v>0</v>
      </c>
      <c r="AX184" s="142">
        <f t="shared" si="7"/>
        <v>14.6920636</v>
      </c>
      <c r="AY184" s="13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1" t="str">
        <f>VLOOKUP(A184,'Données projet'!$A$87:$I$107,2,0)</f>
        <v>#N/A</v>
      </c>
      <c r="BB184" s="131" t="str">
        <f>VLOOKUP(A184,'Données projet'!$A$87:$I$107,9,0)</f>
        <v>#N/A</v>
      </c>
      <c r="BC184" s="131" t="str">
        <f t="array" ref="BC184">INDEX(BB:BB,MIN(IF(ISNUMBER(BB184:BB380),ROW(BB184:BB380),"")))</f>
        <v/>
      </c>
      <c r="BD184" s="130">
        <f>IF('Données projet'!$A$88&gt;35,BD183+BC184-BL183,IF(A184&lt;'Données projet'!$A$88,$BA$205^A184,IF(A184='Données projet'!$A$88,'Données projet'!$B$88,BD183+BC184-BL183)))</f>
        <v>0</v>
      </c>
      <c r="BE184" s="130">
        <f>BD184*VLOOKUP('Données projet'!$B$11,'Paramètres'!$A$1:$I$89,3,0)*VLOOKUP('Données projet'!$B$11,'Paramètres'!$A$1:$I$89,5,0)</f>
        <v>0</v>
      </c>
      <c r="BF184" s="130" t="str">
        <f t="shared" si="38"/>
        <v>#NUM!</v>
      </c>
      <c r="BG184" s="141" t="str">
        <f t="shared" si="8"/>
        <v>#NUM!</v>
      </c>
      <c r="BH184" s="133" t="str">
        <f t="shared" si="9"/>
        <v>#NUM!</v>
      </c>
      <c r="BI184" s="133">
        <f>AVERAGE(OFFSET($BH$3,0,0,'Données projet'!$E$11+1,1))-AVERAGE(OFFSET($H$3,0,0,'Données projet'!$E$11+1,1))</f>
        <v>134.0948534</v>
      </c>
      <c r="BJ184" s="133">
        <f t="shared" si="39"/>
        <v>108.4102536</v>
      </c>
      <c r="BK184" s="134">
        <f>IF(ISNA(VLOOKUP(A184,'Données projet'!$A$87:$I$107,3,0)),0,VLOOKUP(A184,'Données projet'!$A$87:$I$107,3,0))</f>
        <v>0</v>
      </c>
      <c r="BL184" s="134">
        <f>IF(ISNA(VLOOKUP(A184,'Données projet'!$A$87:$I$107,4,0)),0,VLOOKUP(A184,'Données projet'!$A$87:$I$107,4,0))</f>
        <v>0</v>
      </c>
      <c r="BM184" s="135">
        <f>IF(ISNA(VLOOKUP(A184,'Données projet'!$A$87:$I$107,5,0)),0%,VLOOKUP(A184,'Données projet'!$A$87:$I$107,5,0)*VLOOKUP('Données projet'!$B$11,'Paramètres'!$A$1:$I$89,7,0))</f>
        <v>0</v>
      </c>
      <c r="BN184" s="135">
        <f>IF(ISNA(VLOOKUP(A184,'Données projet'!$A$87:$I$107,6,0)),0%,VLOOKUP(A184,'Données projet'!$A$87:$I$107,6,0)*VLOOKUP('Données projet'!$B$11,'Paramètres'!$A$1:$I$89,7,0))</f>
        <v>0</v>
      </c>
      <c r="BO184" s="135">
        <f>IF(ISNA(VLOOKUP(A184,'Données projet'!$A$87:$I$107,7,0)),0%,VLOOKUP(A184,'Données projet'!$A$87:$I$107,7,0))</f>
        <v>0</v>
      </c>
      <c r="BP184" s="142">
        <f>EXP(-LN(2)/35)*BP183+(1-EXP(-LN(2)/35))/(LN(2)/35)*BL184*BM184*VLOOKUP('Données projet'!$B$11,'Paramètres'!$A$1:$I$89,3,0)*0.475*44/12</f>
        <v>18.59633991</v>
      </c>
      <c r="BQ184" s="142">
        <f>EXP(-LN(2)/25)*BQ183+(1-EXP(-LN(2)/25))/(LN(2)/25)*Calculateur!BL184*Calculateur!BN184*VLOOKUP('Données projet'!$B$11,'Paramètres'!$A$1:$I$89,3,0)*0.475*44/12</f>
        <v>0.7869251851</v>
      </c>
      <c r="BR184" s="142">
        <f>EXP(-LN(2)/2)*BR183+(1-EXP(-LN(2)/2))/(LN(2)/2)*BL184*BO184*VLOOKUP('Données projet'!$B$11,'Paramètres'!$A$1:$I$89,3,0)*0.475*44/12</f>
        <v>0</v>
      </c>
      <c r="BS184" s="143">
        <f t="shared" si="10"/>
        <v>19.38326509</v>
      </c>
      <c r="BT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1" t="str">
        <f>VLOOKUP(A184,'Données projet'!$A$113:$I$133,2,0)</f>
        <v>#N/A</v>
      </c>
      <c r="BW184" s="131" t="str">
        <f>VLOOKUP(A184,'Données projet'!$A$113:$I$133,9,0)</f>
        <v>#N/A</v>
      </c>
      <c r="BX184" s="131" t="str">
        <f t="array" ref="BX184">INDEX(BW:BW,MIN(IF(ISNUMBER(BW184:BW380),ROW(BW184:BW380),"")))</f>
        <v/>
      </c>
      <c r="BY184" s="130">
        <f>IF('Données projet'!$A$114&gt;35,BY183+BX184-CG183,IF(A184&lt;'Données projet'!$A$114,$BV$205^A184,IF(A184='Données projet'!$A$114,'Données projet'!$B$114,BY183+BX184-CG183)))</f>
        <v>0</v>
      </c>
      <c r="BZ184" s="130">
        <f>BY184*VLOOKUP('Données projet'!$B$12,'Paramètres'!$A$1:$I$89,3,0)*VLOOKUP('Données projet'!$B$12,'Paramètres'!$A$1:$I$89,5,0)</f>
        <v>0</v>
      </c>
      <c r="CA184" s="130" t="str">
        <f t="shared" si="40"/>
        <v>#NUM!</v>
      </c>
      <c r="CB184" s="141" t="str">
        <f t="shared" si="11"/>
        <v>#NUM!</v>
      </c>
      <c r="CC184" s="133" t="str">
        <f t="shared" si="12"/>
        <v>#NUM!</v>
      </c>
      <c r="CD184" s="133">
        <f>AVERAGE(OFFSET($CC$3,0,0,'Données projet'!$E$12+1,1))-AVERAGE(OFFSET($H$3,0,0,'Données projet'!$E$12+1,1))</f>
        <v>258.1672054</v>
      </c>
      <c r="CE184" s="133">
        <f t="shared" si="41"/>
        <v>296.0724261</v>
      </c>
      <c r="CF184" s="134">
        <f>IF(ISNA(VLOOKUP(A184,'Données projet'!$A$113:$I$133,3,0)),0,VLOOKUP(A184,'Données projet'!$A$113:$I$133,3,0))</f>
        <v>0</v>
      </c>
      <c r="CG184" s="134">
        <f>IF(ISNA(VLOOKUP(A184,'Données projet'!$A$113:$I$133,4,0)),0,VLOOKUP(A184,'Données projet'!$A$113:$I$133,4,0))</f>
        <v>0</v>
      </c>
      <c r="CH184" s="135">
        <f>IF(ISNA(VLOOKUP(A184,'Données projet'!$A$113:$I$133,5,0)),0%,VLOOKUP(A184,'Données projet'!$A$113:$I$133,5,0)*VLOOKUP('Données projet'!$B$12,'Paramètres'!$A$1:$I$89,7,0))</f>
        <v>0</v>
      </c>
      <c r="CI184" s="135">
        <f>IF(ISNA(VLOOKUP(A184,'Données projet'!$A$113:$I$133,6,0)),0%,VLOOKUP(A184,'Données projet'!$A$113:$I$133,6,0)*VLOOKUP('Données projet'!$B$12,'Paramètres'!$A$1:$I$89,7,0))</f>
        <v>0</v>
      </c>
      <c r="CJ184" s="135">
        <f>IF(ISNA(VLOOKUP(A184,'Données projet'!$A$113:$I$133,7,0)),0%,VLOOKUP(A184,'Données projet'!$A$113:$I$133,7,0))</f>
        <v>0</v>
      </c>
      <c r="CK184" s="142">
        <f>EXP(-LN(2)/35)*CK183+(1-EXP(-LN(2)/35))/(LN(2)/35)*CG184*CH184*VLOOKUP('Données projet'!$B$12,'Paramètres'!$A$1:$I$89,3,0)*0.475*44/12</f>
        <v>23.5114625</v>
      </c>
      <c r="CL184" s="142">
        <f>EXP(-LN(2)/25)*CL183+(1-EXP(-LN(2)/25))/(LN(2)/25)*Calculateur!CG184*Calculateur!CI184*VLOOKUP('Données projet'!$B$12,'Paramètres'!$A$1:$I$89,3,0)*0.475*44/12</f>
        <v>1.380311446</v>
      </c>
      <c r="CM184" s="142">
        <f>EXP(-LN(2)/2)*CM183+(1-EXP(-LN(2)/2))/(LN(2)/2)*CG184*CJ184*VLOOKUP('Données projet'!$B$12,'Paramètres'!$A$1:$I$89,3,0)*0.475*44/12</f>
        <v>0</v>
      </c>
      <c r="CN184" s="143">
        <f t="shared" si="13"/>
        <v>24.89177394</v>
      </c>
      <c r="CO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1" t="str">
        <f>VLOOKUP(A184,'Données projet'!$A$139:$I$159,2,0)</f>
        <v>#N/A</v>
      </c>
      <c r="CR184" s="131" t="str">
        <f>VLOOKUP(A184,'Données projet'!$A$139:$I$159,9,0)</f>
        <v>#N/A</v>
      </c>
      <c r="CS184" s="131" t="str">
        <f t="array" ref="CS184">INDEX(CR:CR,MIN(IF(ISNUMBER(CR184:CR380),ROW(CR184:CR380),"")))</f>
        <v/>
      </c>
      <c r="CT184" s="138">
        <f>IF('Données projet'!$A$140&gt;35,CT183+CS184-DB183,IF(A184&lt;'Données projet'!$A$140,$CQ$205^A184,IF(A184='Données projet'!$A$140,'Données projet'!$B$140,CT183+CS184-DB183)))</f>
        <v>0</v>
      </c>
      <c r="CU184" s="138">
        <f>CT184*VLOOKUP('Données projet'!$B$13,'Paramètres'!$A$1:$I$89,3,0)*VLOOKUP('Données projet'!$B$13,'Paramètres'!$A$1:$I$89,5,0)</f>
        <v>0</v>
      </c>
      <c r="CV184" s="130" t="str">
        <f t="shared" si="42"/>
        <v>#NUM!</v>
      </c>
      <c r="CW184" s="141" t="str">
        <f t="shared" si="14"/>
        <v>#NUM!</v>
      </c>
      <c r="CX184" s="133" t="str">
        <f t="shared" si="15"/>
        <v>#NUM!</v>
      </c>
      <c r="CY184" s="133">
        <f>AVERAGE(OFFSET($CX$3,0,0,'Données projet'!$E$13+1,1))-AVERAGE(OFFSET($H$3,0,0,'Données projet'!$E$13+1,1))</f>
        <v>223.783507</v>
      </c>
      <c r="CZ184" s="133">
        <f t="shared" si="43"/>
        <v>84.92349117</v>
      </c>
      <c r="DA184" s="134">
        <f>IF(ISNA(VLOOKUP(A184,'Données projet'!$A$139:$I$159,3,0)),0,VLOOKUP(A184,'Données projet'!$A$139:$I$159,3,0))</f>
        <v>0</v>
      </c>
      <c r="DB184" s="134">
        <f>IF(ISNA(VLOOKUP(A184,'Données projet'!$A$139:$I$159,4,0)),0,VLOOKUP(A184,'Données projet'!$A$139:$I$159,4,0))</f>
        <v>0</v>
      </c>
      <c r="DC184" s="135">
        <f>IF(ISNA(VLOOKUP(A184,'Données projet'!$A$139:$I$159,5,0)),0%,VLOOKUP(A184,'Données projet'!$A$139:$I$159,5,0)*VLOOKUP('Données projet'!$B$13,'Paramètres'!$A$1:$I$89,7,0))</f>
        <v>0</v>
      </c>
      <c r="DD184" s="135">
        <f>IF(ISNA(VLOOKUP(A184,'Données projet'!$A$139:$I$159,6,0)),0%,VLOOKUP(A184,'Données projet'!$A$139:$I$159,6,0)*VLOOKUP('Données projet'!$B$13,'Paramètres'!$A$1:$I$89,7,0))</f>
        <v>0</v>
      </c>
      <c r="DE184" s="135">
        <f>IF(ISNA(VLOOKUP(A184,'Données projet'!$A$139:$I$159,7,0)),0%,VLOOKUP(A184,'Données projet'!$A$139:$I$159,7,0))</f>
        <v>0</v>
      </c>
      <c r="DF184" s="142">
        <f>EXP(-LN(2)/35)*DF183+(1-EXP(-LN(2)/35))/(LN(2)/35)*DB184*DC184*VLOOKUP('Données projet'!$B$13,'Paramètres'!$A$1:$I$89,3,0)*0.475*44/12</f>
        <v>60.38666123</v>
      </c>
      <c r="DG184" s="142">
        <f>EXP(-LN(2)/25)*DG183+(1-EXP(-LN(2)/25))/(LN(2)/25)*Calculateur!DB184*Calculateur!DD184*VLOOKUP('Données projet'!$B$13,'Paramètres'!$A$1:$I$89,3,0)*0.475*44/12</f>
        <v>0</v>
      </c>
      <c r="DH184" s="142">
        <f>EXP(-LN(2)/2)*DH183+(1-EXP(-LN(2)/2))/(LN(2)/2)*DB184*DE184*VLOOKUP('Données projet'!$B$13,'Paramètres'!$A$1:$I$89,3,0)*0.475*44/12</f>
        <v>0</v>
      </c>
      <c r="DI184" s="143">
        <f t="shared" si="16"/>
        <v>60.38666123</v>
      </c>
      <c r="DJ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1" t="str">
        <f>VLOOKUP(A184,'Données projet'!$A$165:$I$185,2,0)</f>
        <v>#N/A</v>
      </c>
      <c r="DM184" s="131" t="str">
        <f>VLOOKUP(A184,'Données projet'!$A$165:$I$185,9,0)</f>
        <v>#N/A</v>
      </c>
      <c r="DN184" s="131" t="str">
        <f t="array" ref="DN184">INDEX(DM:DM,MIN(IF(ISNUMBER(DM184:DM380),ROW(DM184:DM380),"")))</f>
        <v/>
      </c>
      <c r="DO184" s="138">
        <f>IF('Données projet'!$A$166&gt;35,DO183+DN184-DW183,IF(A184&lt;'Données projet'!$A$166,$DL$205^A184,IF(A184='Données projet'!$A$166,'Données projet'!$B$166,DO183+DN184-DW183)))</f>
        <v>0</v>
      </c>
      <c r="DP184" s="138">
        <f>DO184*VLOOKUP('Données projet'!$B$14,'Paramètres'!$A$1:$I$89,3,0)*VLOOKUP('Données projet'!$B$14,'Paramètres'!$A$1:$I$89,5,0)</f>
        <v>0</v>
      </c>
      <c r="DQ184" s="130" t="str">
        <f t="shared" si="44"/>
        <v>#NUM!</v>
      </c>
      <c r="DR184" s="141" t="str">
        <f t="shared" si="17"/>
        <v>#NUM!</v>
      </c>
      <c r="DS184" s="133" t="str">
        <f t="shared" si="18"/>
        <v>#NUM!</v>
      </c>
      <c r="DT184" s="133">
        <f>AVERAGE(OFFSET($DS$3,0,0,'Données projet'!$E$14+1,1))-AVERAGE(OFFSET($H$3,0,0,'Données projet'!$E$14+1,1))</f>
        <v>287.9334714</v>
      </c>
      <c r="DU184" s="133">
        <f t="shared" si="45"/>
        <v>156.6796502</v>
      </c>
      <c r="DV184" s="134">
        <f>IF(ISNA(VLOOKUP(A184,'Données projet'!$A$165:$I$185,3,0)),0,VLOOKUP(A184,'Données projet'!$A$165:$I$185,3,0))</f>
        <v>0</v>
      </c>
      <c r="DW184" s="134">
        <f>IF(ISNA(VLOOKUP(A184,'Données projet'!$A$165:$I$185,4,0)),0,VLOOKUP(A184,'Données projet'!$A$165:$I$185,4,0))</f>
        <v>0</v>
      </c>
      <c r="DX184" s="135">
        <f>IF(ISNA(VLOOKUP(A184,'Données projet'!$A$165:$I$185,5,0)),0%,VLOOKUP(A184,'Données projet'!$A$165:$I$185,5,0)*VLOOKUP('Données projet'!$B$14,'Paramètres'!$A$1:$I$89,7,0))</f>
        <v>0</v>
      </c>
      <c r="DY184" s="135">
        <f>IF(ISNA(VLOOKUP(A184,'Données projet'!$A$165:$I$185,6,0)),0%,VLOOKUP(A184,'Données projet'!$A$165:$I$185,6,0)*VLOOKUP('Données projet'!$B$14,'Paramètres'!$A$1:$I$89,7,0))</f>
        <v>0</v>
      </c>
      <c r="DZ184" s="135">
        <f>IF(ISNA(VLOOKUP(A184,'Données projet'!$A$165:$I$185,7,0)),0%,VLOOKUP(A184,'Données projet'!$A$165:$I$185,7,0))</f>
        <v>0</v>
      </c>
      <c r="EA184" s="142">
        <f>EXP(-LN(2)/35)*EA183+(1-EXP(-LN(2)/35))/(LN(2)/35)*DW184*DX184*VLOOKUP('Données projet'!$B$14,'Paramètres'!$A$1:$I$89,3,0)*0.475*44/12</f>
        <v>70.15221303</v>
      </c>
      <c r="EB184" s="142">
        <f>EXP(-LN(2)/25)*EB183+(1-EXP(-LN(2)/25))/(LN(2)/25)*Calculateur!DW184*Calculateur!DY184*VLOOKUP('Données projet'!$B$14,'Paramètres'!$A$1:$I$89,3,0)*0.475*44/12</f>
        <v>0</v>
      </c>
      <c r="EC184" s="142">
        <f>EXP(-LN(2)/2)*EC183+(1-EXP(-LN(2)/2))/(LN(2)/2)*DW184*DZ184*VLOOKUP('Données projet'!$B$14,'Paramètres'!$A$1:$I$89,3,0)*0.475*44/12</f>
        <v>0</v>
      </c>
      <c r="ED184" s="143">
        <f t="shared" si="19"/>
        <v>70.15221303</v>
      </c>
      <c r="EE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1" t="str">
        <f>VLOOKUP(A184,'Données projet'!$A$191:$I$211,2,0)</f>
        <v>#N/A</v>
      </c>
      <c r="EH184" s="131" t="str">
        <f>VLOOKUP(A184,'Données projet'!$A$191:$I$211,9,0)</f>
        <v>#N/A</v>
      </c>
      <c r="EI184" s="131" t="str">
        <f t="array" ref="EI184">INDEX(EH:EH,MIN(IF(ISNUMBER(EH184:EH380),ROW(EH184:EH380),"")))</f>
        <v/>
      </c>
      <c r="EJ184" s="138">
        <f>IF('Données projet'!$A$192&gt;35,EJ183+EI184-ER183,IF(A184&lt;'Données projet'!$A$192,$EG$205^A184,IF(A184='Données projet'!$A$192,'Données projet'!$B$192,EJ183+EI184-ER183)))</f>
        <v>0</v>
      </c>
      <c r="EK184" s="138">
        <f>EJ184*VLOOKUP('Données projet'!$B$15,'Paramètres'!$A$1:$I$89,3,0)*VLOOKUP('Données projet'!$B$15,'Paramètres'!$A$1:$I$89,5,0)</f>
        <v>0</v>
      </c>
      <c r="EL184" s="130" t="str">
        <f t="shared" si="46"/>
        <v>#NUM!</v>
      </c>
      <c r="EM184" s="141" t="str">
        <f t="shared" si="20"/>
        <v>#NUM!</v>
      </c>
      <c r="EN184" s="133" t="str">
        <f t="shared" si="21"/>
        <v>#NUM!</v>
      </c>
      <c r="EO184" s="133">
        <f>AVERAGE(OFFSET($EN$3,0,0,'Données projet'!$E$15+1,1))-AVERAGE(OFFSET($H$3,0,0,'Données projet'!$E$15+1,1))</f>
        <v>130.3193339</v>
      </c>
      <c r="EP184" s="133">
        <f t="shared" si="47"/>
        <v>82.22784365</v>
      </c>
      <c r="EQ184" s="134">
        <f>IF(ISNA(VLOOKUP(A184,'Données projet'!$A$191:$I$211,3,0)),0,VLOOKUP(A184,'Données projet'!$A$191:$I$211,3,0))</f>
        <v>0</v>
      </c>
      <c r="ER184" s="134">
        <f>IF(ISNA(VLOOKUP(A184,'Données projet'!$A$191:$I$211,4,0)),0,VLOOKUP(A184,'Données projet'!$A$191:$I$211,4,0))</f>
        <v>0</v>
      </c>
      <c r="ES184" s="135">
        <f>IF(ISNA(VLOOKUP(A184,'Données projet'!$A$191:$I$211,5,0)),0%,VLOOKUP(A184,'Données projet'!$A$191:$I$211,5,0)*VLOOKUP('Données projet'!$B$15,'Paramètres'!$A$1:$I$89,7,0))</f>
        <v>0</v>
      </c>
      <c r="ET184" s="135">
        <f>IF(ISNA(VLOOKUP(A184,'Données projet'!$A$191:$I$211,6,0)),0%,VLOOKUP(A184,'Données projet'!$A$191:$I$211,6,0)*VLOOKUP('Données projet'!$B$15,'Paramètres'!$A$1:$I$89,7,0))</f>
        <v>0</v>
      </c>
      <c r="EU184" s="135">
        <f>IF(ISNA(VLOOKUP(A184,'Données projet'!$A$191:$I$211,7,0)),0%,VLOOKUP(A184,'Données projet'!$A$191:$I$211,7,0))</f>
        <v>0</v>
      </c>
      <c r="EV184" s="142">
        <f>EXP(-LN(2)/35)*EV183+(1-EXP(-LN(2)/35))/(LN(2)/35)*ER184*ES184*VLOOKUP('Données projet'!$B$15,'Paramètres'!$A$1:$I$89,3,0)*0.475*44/12</f>
        <v>14.37677293</v>
      </c>
      <c r="EW184" s="142">
        <f>EXP(-LN(2)/25)*EW183+(1-EXP(-LN(2)/25))/(LN(2)/25)*Calculateur!ER184*Calculateur!ET184*VLOOKUP('Données projet'!$B$15,'Paramètres'!$A$1:$I$89,3,0)*0.475*44/12</f>
        <v>0</v>
      </c>
      <c r="EX184" s="142">
        <f>EXP(-LN(2)/2)*EX183+(1-EXP(-LN(2)/2))/(LN(2)/2)*ER184*EU184*VLOOKUP('Données projet'!$B$15,'Paramètres'!$A$1:$I$89,3,0)*0.475*44/12</f>
        <v>0</v>
      </c>
      <c r="EY184" s="143">
        <f t="shared" si="22"/>
        <v>14.37677293</v>
      </c>
      <c r="EZ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1" t="str">
        <f>VLOOKUP(A184,'Données projet'!$A$217:$I$237,2,0)</f>
        <v>#N/A</v>
      </c>
      <c r="FC184" s="131" t="str">
        <f>VLOOKUP(A184,'Données projet'!$A$217:$I$237,9,0)</f>
        <v>#N/A</v>
      </c>
      <c r="FD184" s="131" t="str">
        <f t="array" ref="FD184">INDEX(FC:FC,MIN(IF(ISNUMBER(FC184:FC380),ROW(FC184:FC380),"")))</f>
        <v/>
      </c>
      <c r="FE184" s="130">
        <f>IF('Données projet'!$A$218&gt;35,FE183+FD184-FM183,IF(A184&lt;'Données projet'!$A$218,$FB$205^A184,IF(A184='Données projet'!$A$218,'Données projet'!$B$218,FE183+FD184-FM183)))</f>
        <v>0</v>
      </c>
      <c r="FF184" s="138">
        <f>FE184*VLOOKUP('Données projet'!$B$16,'Paramètres'!$A$1:$I$89,3,0)*VLOOKUP('Données projet'!$B$16,'Paramètres'!$A$1:$I$89,5,0)</f>
        <v>0</v>
      </c>
      <c r="FG184" s="130">
        <f t="shared" si="48"/>
        <v>0</v>
      </c>
      <c r="FH184" s="141">
        <f t="shared" si="23"/>
        <v>0</v>
      </c>
      <c r="FI184" s="133">
        <f t="shared" si="24"/>
        <v>293.3333333</v>
      </c>
      <c r="FJ184" s="133">
        <f>AVERAGE(OFFSET($FI$3,0,0,'Données projet'!$E$16+1,1))-AVERAGE(OFFSET($H$3,0,0,'Données projet'!$E$16+1,1))</f>
        <v>305.6252353</v>
      </c>
      <c r="FK184" s="133">
        <f t="shared" si="49"/>
        <v>331.397916</v>
      </c>
      <c r="FL184" s="134">
        <f>IF(ISNA(VLOOKUP(A184,'Données projet'!$A$217:$I$237,3,0)),0,VLOOKUP(A184,'Données projet'!$A$217:$I$237,3,0))</f>
        <v>0</v>
      </c>
      <c r="FM184" s="134">
        <f>IF(ISNA(VLOOKUP(A184,'Données projet'!$A$217:$I$237,4,0)),0,VLOOKUP(A184,'Données projet'!$A$217:$I$237,4,0))</f>
        <v>0</v>
      </c>
      <c r="FN184" s="135">
        <f>IF(ISNA(VLOOKUP(A184,'Données projet'!$A$217:$I$237,5,0)),0%,VLOOKUP(A184,'Données projet'!$A$217:$I$237,5,0)*VLOOKUP('Données projet'!$B$16,'Paramètres'!$A$1:$I$89,7,0))</f>
        <v>0</v>
      </c>
      <c r="FO184" s="135">
        <f>IF(ISNA(VLOOKUP(A184,'Données projet'!$A$217:$I$237,6,0)),0%,VLOOKUP(A184,'Données projet'!$A$217:$I$237,6,0)*VLOOKUP('Données projet'!$B$16,'Paramètres'!$A$1:$I$89,7,0))</f>
        <v>0</v>
      </c>
      <c r="FP184" s="135">
        <f>IF(ISNA(VLOOKUP(A184,'Données projet'!$A$217:$I$237,7,0)),0%,VLOOKUP(A184,'Données projet'!$A$217:$I$237,7,0))</f>
        <v>0</v>
      </c>
      <c r="FQ184" s="142">
        <f>EXP(-LN(2)/35)*FQ183+(1-EXP(-LN(2)/35))/(LN(2)/35)*FM184*FN184*VLOOKUP('Données projet'!$B$16,'Paramètres'!$A$1:$I$89,3,0)*0.475*44/12</f>
        <v>8.951408479</v>
      </c>
      <c r="FR184" s="142">
        <f>EXP(-LN(2)/25)*FR183+(1-EXP(-LN(2)/25))/(LN(2)/25)*Calculateur!FM184*Calculateur!FO184*VLOOKUP('Données projet'!$B$16,'Paramètres'!$A$1:$I$89,3,0)*0.475*44/12</f>
        <v>0</v>
      </c>
      <c r="FS184" s="142">
        <f>EXP(-LN(2)/2)*FS183+(1-EXP(-LN(2)/2))/(LN(2)/2)*FM184*FP184*VLOOKUP('Données projet'!$B$16,'Paramètres'!$A$1:$I$89,3,0)*0.475*44/12</f>
        <v>0</v>
      </c>
      <c r="FT184" s="143">
        <f t="shared" si="25"/>
        <v>8.951408479</v>
      </c>
      <c r="FU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1" t="str">
        <f>VLOOKUP(A184,'Données projet'!$A$243:$I$263,2,0)</f>
        <v>#N/A</v>
      </c>
      <c r="FX184" s="131" t="str">
        <f>VLOOKUP(A184,'Données projet'!$A$243:$I$263,9,0)</f>
        <v>#N/A</v>
      </c>
      <c r="FY184" s="131" t="str">
        <f t="array" ref="FY184">INDEX(FX:FX,MIN(IF(ISNUMBER(FX184:FX380),ROW(FX184:FX380),"")))</f>
        <v/>
      </c>
      <c r="FZ184" s="138">
        <f>IF('Données projet'!$A$244&gt;35,FZ183+FY184-GH183,IF(A184&lt;'Données projet'!$A$244,$FW$205^A184,IF(A184='Données projet'!$A$244,'Données projet'!$B$244,FZ183+FY184-GH183)))</f>
        <v>0</v>
      </c>
      <c r="GA184" s="138">
        <f>FZ184*VLOOKUP('Données projet'!$B$17,'Paramètres'!$A$1:$I$89,3,0)*VLOOKUP('Données projet'!$B$17,'Paramètres'!$A$1:$I$89,5,0)</f>
        <v>0</v>
      </c>
      <c r="GB184" s="130">
        <f t="shared" si="50"/>
        <v>0</v>
      </c>
      <c r="GC184" s="141">
        <f t="shared" si="26"/>
        <v>0</v>
      </c>
      <c r="GD184" s="133">
        <f t="shared" si="27"/>
        <v>293.3333333</v>
      </c>
      <c r="GE184" s="133">
        <f>AVERAGE(OFFSET($GD$3,0,0,'Données projet'!$E$17+1,1))-AVERAGE(OFFSET($H$3,0,0,'Données projet'!$E$17+1,1))</f>
        <v>118.7368745</v>
      </c>
      <c r="GF184" s="133">
        <f t="shared" si="51"/>
        <v>135.1233677</v>
      </c>
      <c r="GG184" s="134">
        <f>IF(ISNA(VLOOKUP(A184,'Données projet'!$A$243:$I$263,3,0)),0,VLOOKUP(A184,'Données projet'!$A$243:$I$263,3,0))</f>
        <v>0</v>
      </c>
      <c r="GH184" s="134">
        <f>IF(ISNA(VLOOKUP(A184,'Données projet'!$A$243:$I$263,4,0)),0,VLOOKUP(A184,'Données projet'!$A$243:$I$263,4,0))</f>
        <v>0</v>
      </c>
      <c r="GI184" s="135">
        <f>IF(ISNA(VLOOKUP(A184,'Données projet'!$A$243:$I$263,5,0)),0%,VLOOKUP(A184,'Données projet'!$A$243:$I$263,5,0)*VLOOKUP('Données projet'!$B$17,'Paramètres'!$A$1:$I$89,7,0))</f>
        <v>0</v>
      </c>
      <c r="GJ184" s="135">
        <f>IF(ISNA(VLOOKUP(A184,'Données projet'!$A$243:$I$263,6,0)),0%,VLOOKUP(A184,'Données projet'!$A$243:$I$263,6,0)*VLOOKUP('Données projet'!$B$17,'Paramètres'!$A$1:$I$89,7,0))</f>
        <v>0</v>
      </c>
      <c r="GK184" s="135">
        <f>IF(ISNA(VLOOKUP(A184,'Données projet'!$A$243:$I$263,7,0)),0%,VLOOKUP(A184,'Données projet'!$A$243:$I$263,7,0))</f>
        <v>0</v>
      </c>
      <c r="GL184" s="142">
        <f>EXP(-LN(2)/35)*GL183+(1-EXP(-LN(2)/35))/(LN(2)/35)*GH184*GI184*VLOOKUP('Données projet'!$B$17,'Paramètres'!$A$1:$I$89,3,0)*0.475*44/12</f>
        <v>9.457135376</v>
      </c>
      <c r="GM184" s="142">
        <f>EXP(-LN(2)/25)*GM183+(1-EXP(-LN(2)/25))/(LN(2)/25)*Calculateur!GH184*Calculateur!GJ184*VLOOKUP('Données projet'!$B$17,'Paramètres'!$A$1:$I$89,3,0)*0.475*44/12</f>
        <v>0</v>
      </c>
      <c r="GN184" s="142">
        <f>EXP(-LN(2)/2)*GN183+(1-EXP(-LN(2)/2))/(LN(2)/2)*GH184*GK184*VLOOKUP('Données projet'!$B$17,'Paramètres'!$A$1:$I$89,3,0)*0.475*44/12</f>
        <v>0</v>
      </c>
      <c r="GO184" s="142">
        <f t="shared" si="28"/>
        <v>9.457135376</v>
      </c>
      <c r="GP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1" t="str">
        <f>VLOOKUP(A184,'Données projet'!$A$269:$I$289,2,0)</f>
        <v>#N/A</v>
      </c>
      <c r="GS184" s="131" t="str">
        <f>VLOOKUP(A184,'Données projet'!$A$269:$I$289,9,0)</f>
        <v>#N/A</v>
      </c>
      <c r="GT184" s="131" t="str">
        <f t="array" ref="GT184">INDEX(GS:GS,MIN(IF(ISNUMBER(GS184:GS380),ROW(GS184:GS380),"")))</f>
        <v/>
      </c>
      <c r="GU184" s="138">
        <f>IF('Données projet'!$A$270&gt;35,GU183+GT184-HC183,IF(A184&lt;'Données projet'!$A$270,$GR$205^A184,IF(A184='Données projet'!$A$270,'Données projet'!$B$270,GU183+GT184-HC183)))</f>
        <v>0</v>
      </c>
      <c r="GV184" s="138">
        <f>GU184*VLOOKUP('Données projet'!$B$18,'Paramètres'!$A$1:$I$89,3,0)*VLOOKUP('Données projet'!$B$18,'Paramètres'!$A$1:$I$89,5,0)</f>
        <v>0</v>
      </c>
      <c r="GW184" s="130" t="str">
        <f t="shared" si="52"/>
        <v>#NUM!</v>
      </c>
      <c r="GX184" s="141" t="str">
        <f t="shared" si="29"/>
        <v>#NUM!</v>
      </c>
      <c r="GY184" s="133" t="str">
        <f t="shared" si="30"/>
        <v>#NUM!</v>
      </c>
      <c r="GZ184" s="133">
        <f>AVERAGE(OFFSET($GY$3,0,0,'Données projet'!$E$18+1,1))-AVERAGE(OFFSET($H$3,0,0,'Données projet'!$E$18+1,1))</f>
        <v>100.5427875</v>
      </c>
      <c r="HA184" s="133">
        <f t="shared" si="53"/>
        <v>92.28663609</v>
      </c>
      <c r="HB184" s="134">
        <f>IF(ISNA(VLOOKUP(A184,'Données projet'!$A$269:$I$289,3,0)),0,VLOOKUP(A184,'Données projet'!$A$269:$I$289,3,0))</f>
        <v>0</v>
      </c>
      <c r="HC184" s="134">
        <f>IF(ISNA(VLOOKUP(A184,'Données projet'!$A$269:$I$289,4,0)),0,VLOOKUP(A184,'Données projet'!$A$269:$I$289,4,0))</f>
        <v>0</v>
      </c>
      <c r="HD184" s="135">
        <f>IF(ISNA(VLOOKUP(A184,'Données projet'!$A$269:$I$289,5,0)),0%,VLOOKUP(A184,'Données projet'!$A$269:$I$289,5,0)*VLOOKUP('Données projet'!$B$18,'Paramètres'!$A$1:$I$89,7,0))</f>
        <v>0</v>
      </c>
      <c r="HE184" s="135">
        <f>IF(ISNA(VLOOKUP(A184,'Données projet'!$A$269:$I$289,6,0)),0%,VLOOKUP(A184,'Données projet'!$A$269:$I$289,6,0)*VLOOKUP('Données projet'!$B$18,'Paramètres'!$A$1:$I$89,7,0))</f>
        <v>0</v>
      </c>
      <c r="HF184" s="135">
        <f>IF(ISNA(VLOOKUP(A184,'Données projet'!$A$269:$I$289,7,0)),0%,VLOOKUP(A184,'Données projet'!$A$269:$I$289,7,0))</f>
        <v>0</v>
      </c>
      <c r="HG184" s="142">
        <f>EXP(-LN(2)/35)*HG183+(1-EXP(-LN(2)/35))/(LN(2)/35)*HC184*HD184*VLOOKUP('Données projet'!$B$18,'Paramètres'!$A$1:$I$89,3,0)*0.475*44/12</f>
        <v>6.440109682</v>
      </c>
      <c r="HH184" s="142">
        <f>EXP(-LN(2)/25)*HH183+(1-EXP(-LN(2)/25))/(LN(2)/25)*Calculateur!HC184*Calculateur!HE184*VLOOKUP('Données projet'!$B$18,'Paramètres'!$A$1:$I$89,3,0)*0.475*44/12</f>
        <v>0</v>
      </c>
      <c r="HI184" s="142">
        <f>EXP(-LN(2)/2)*HI183+(1-EXP(-LN(2)/2))/(LN(2)/2)*HC184*HF184*VLOOKUP('Données projet'!$B$18,'Paramètres'!$A$1:$I$89,3,0)*0.475*44/12</f>
        <v>0</v>
      </c>
      <c r="HJ184" s="143">
        <f t="shared" si="31"/>
        <v>6.440109682</v>
      </c>
    </row>
    <row r="185" ht="15.75" customHeight="1">
      <c r="A185" s="125">
        <f t="shared" si="32"/>
        <v>182</v>
      </c>
      <c r="B185" s="126">
        <f>'Scénario référence'!$B$16*5+'Scénario référence'!$B$17*0+'Scénario référence'!$B$18*5</f>
        <v>0</v>
      </c>
      <c r="C185" s="140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99.372</v>
      </c>
      <c r="D185" s="127">
        <f t="shared" si="33"/>
        <v>26.8123304</v>
      </c>
      <c r="E18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7">
        <f>IF(OR('Scénario référence'!$F$8&gt;0,'Scénario référence'!$F$9&gt;0),('Scénario référence'!$F$8+'Scénario référence'!$F$9)*10,0)</f>
        <v>10</v>
      </c>
      <c r="G185" s="127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974.0544803</v>
      </c>
      <c r="H185" s="128">
        <f t="shared" si="1"/>
        <v>513.1043754</v>
      </c>
      <c r="I185" s="12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1" t="str">
        <f>VLOOKUP(A185,'Données projet'!$A$35:$I$55,2,0)</f>
        <v>#N/A</v>
      </c>
      <c r="L185" s="131" t="str">
        <f>VLOOKUP(A185,'Données projet'!$A$35:$I$55,9,0)</f>
        <v>#N/A</v>
      </c>
      <c r="M185" s="131" t="str">
        <f t="array" ref="M185">INDEX(L:L,MIN(IF(ISNUMBER(L185:L381),ROW(L185:L381),"")))</f>
        <v/>
      </c>
      <c r="N185" s="130">
        <f>IF('Données projet'!$A$36&gt;35,N184+M185-V184,IF(A185&lt;'Données projet'!$A$36,$K$205^A185,IF(A185='Données projet'!$A$36,'Données projet'!$B$36,N184+M185-V184)))</f>
        <v>0</v>
      </c>
      <c r="O185" s="130">
        <f>N185*VLOOKUP('Données projet'!$B$9,'Paramètres'!$A$1:$I$89,3,0)*VLOOKUP('Données projet'!$B$9,'Paramètres'!$A$1:$I$89,5,0)</f>
        <v>0</v>
      </c>
      <c r="P185" s="130">
        <f t="shared" si="34"/>
        <v>0</v>
      </c>
      <c r="Q185" s="141">
        <f t="shared" si="2"/>
        <v>0</v>
      </c>
      <c r="R185" s="133">
        <f t="shared" si="3"/>
        <v>293.3333333</v>
      </c>
      <c r="S185" s="133">
        <f>AVERAGE(OFFSET($R$3,0,0,'Données projet'!$E$9+1,1))-AVERAGE(OFFSET($H$3,0,0,'Données projet'!$E$9+1,1))</f>
        <v>126.9946492</v>
      </c>
      <c r="T185" s="133">
        <f t="shared" si="35"/>
        <v>140.039049</v>
      </c>
      <c r="U185" s="134">
        <f>IF(ISNA(VLOOKUP(A185,'Données projet'!$A$35:$I$55,3,0)),0,VLOOKUP(A185,'Données projet'!$A$35:$I$55,3,0))</f>
        <v>0</v>
      </c>
      <c r="V185" s="134">
        <f>IF(ISNA(VLOOKUP(A185,'Données projet'!$A$35:$I$55,4,0)),0,VLOOKUP(A185,'Données projet'!$A$35:$I$55,4,0))</f>
        <v>0</v>
      </c>
      <c r="W185" s="135">
        <f>IF(ISNA(VLOOKUP(A185,'Données projet'!$A$35:$I$55,5,0)),0%,VLOOKUP(A185,'Données projet'!$A$35:$I$55,5,0)*VLOOKUP('Données projet'!$B$9,'Paramètres'!$A$1:$I$89,7,0))</f>
        <v>0</v>
      </c>
      <c r="X185" s="135">
        <f>IF(ISNA(VLOOKUP(A185,'Données projet'!$A$35:$I$55,6,0)),0%,VLOOKUP(A185,'Données projet'!$A$35:$I$55,6,0)*VLOOKUP('Données projet'!$B$9,'Paramètres'!$A$1:$I$89,7,0))</f>
        <v>0</v>
      </c>
      <c r="Y185" s="135">
        <f>IF(ISNA(VLOOKUP(A185,'Données projet'!$A$35:$I$55,7,0)),0%,VLOOKUP(A185,'Données projet'!$A$35:$I$55,7,0))</f>
        <v>0</v>
      </c>
      <c r="Z185" s="142">
        <f>EXP(-LN(2)/35)*Z184+(1-EXP(-LN(2)/35))/(LN(2)/35)*V185*W185*VLOOKUP('Données projet'!$B$9,'Paramètres'!$A$1:$I$89,3,0)*0.475*44/12</f>
        <v>9.482871605</v>
      </c>
      <c r="AA185" s="142">
        <f>EXP(-LN(2)/25)*AA184+(1-EXP(-LN(2)/25))/(LN(2)/25)*Calculateur!V185*Calculateur!X185*VLOOKUP('Données projet'!$B$9,'Paramètres'!$A$1:$I$89,3,0)*0.475*44/12</f>
        <v>0.7891952587</v>
      </c>
      <c r="AB185" s="142">
        <f>EXP(-LN(2)/2)*AB184+(1-EXP(-LN(2)/2))/(LN(2)/2)*V185*Y185*VLOOKUP('Données projet'!$B$9,'Paramètres'!$A$1:$I$89,3,0)*0.475*44/12</f>
        <v>0</v>
      </c>
      <c r="AC185" s="143">
        <f t="shared" si="4"/>
        <v>10.27206686</v>
      </c>
      <c r="AD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1" t="str">
        <f>VLOOKUP(A185,'Données projet'!$A$61:$I$81,2,0)</f>
        <v>#N/A</v>
      </c>
      <c r="AG185" s="131" t="str">
        <f>VLOOKUP(A185,'Données projet'!$A$61:$I$81,9,0)</f>
        <v>#N/A</v>
      </c>
      <c r="AH185" s="131" t="str">
        <f t="array" ref="AH185">INDEX(AG:AG,MIN(IF(ISNUMBER(AG185:AG381),ROW(AG185:AG381),"")))</f>
        <v/>
      </c>
      <c r="AI185" s="130">
        <f>IF('Données projet'!$A$62&gt;35,AI184+AH185-AQ184,IF(A185&lt;'Données projet'!$A$62,$AF$205^A185,IF(A185='Données projet'!$A$62,'Données projet'!$B$62,AI184+AH185-AQ184)))</f>
        <v>0</v>
      </c>
      <c r="AJ185" s="130">
        <f>AI185*VLOOKUP('Données projet'!$B$10,'Paramètres'!$A$1:$I$89,3,0)*VLOOKUP('Données projet'!$B$10,'Paramètres'!$A$1:$I$89,5,0)</f>
        <v>0</v>
      </c>
      <c r="AK185" s="130" t="str">
        <f t="shared" si="36"/>
        <v>#NUM!</v>
      </c>
      <c r="AL185" s="141" t="str">
        <f t="shared" si="5"/>
        <v>#NUM!</v>
      </c>
      <c r="AM185" s="133" t="str">
        <f t="shared" si="6"/>
        <v>#NUM!</v>
      </c>
      <c r="AN185" s="133">
        <f>AVERAGE(OFFSET($AM$3,0,0,'Données projet'!$E$10+1,1))-AVERAGE(OFFSET($H$3,0,0,'Données projet'!$E$10+1,1))</f>
        <v>196.874484</v>
      </c>
      <c r="AO185" s="133">
        <f t="shared" si="37"/>
        <v>217.5750859</v>
      </c>
      <c r="AP185" s="134">
        <f>IF(ISNA(VLOOKUP(A185,'Données projet'!$A$61:$I$81,3,0)),0,VLOOKUP(A185,'Données projet'!$A$61:$I$81,3,0))</f>
        <v>0</v>
      </c>
      <c r="AQ185" s="134">
        <f>IF(ISNA(VLOOKUP(A185,'Données projet'!$A$61:$I$81,4,0)),0,VLOOKUP(A185,'Données projet'!$A$61:$I$81,4,0))</f>
        <v>0</v>
      </c>
      <c r="AR185" s="135">
        <f>IF(ISNA(VLOOKUP(A185,'Données projet'!$A$61:$I$81,5,0)),0%,VLOOKUP(A185,'Données projet'!$A$61:$I$81,5,0)*VLOOKUP('Données projet'!$B$10,'Paramètres'!$A$1:$I$89,7,0))</f>
        <v>0</v>
      </c>
      <c r="AS185" s="135">
        <f>IF(ISNA(VLOOKUP(A185,'Données projet'!$A$61:$I$81,6,0)),0%,VLOOKUP(A185,'Données projet'!$A$61:$I$81,6,0)*VLOOKUP('Données projet'!$B$10,'Paramètres'!$A$1:$I$89,7,0))</f>
        <v>0</v>
      </c>
      <c r="AT185" s="135">
        <f>IF(ISNA(VLOOKUP(A185,'Données projet'!$A$61:$I$81,7,0)),0%,VLOOKUP(A185,'Données projet'!$A$61:$I$81,7,0))</f>
        <v>0</v>
      </c>
      <c r="AU185" s="142">
        <f>EXP(-LN(2)/35)*AU184+(1-EXP(-LN(2)/35))/(LN(2)/35)*AQ185*AR185*VLOOKUP('Données projet'!$B$10,'Paramètres'!$A$1:$I$89,3,0)*0.475*44/12</f>
        <v>13.18092218</v>
      </c>
      <c r="AV185" s="142">
        <f>EXP(-LN(2)/25)*AV184+(1-EXP(-LN(2)/25))/(LN(2)/25)*Calculateur!AQ185*Calculateur!AS185*VLOOKUP('Données projet'!$B$10,'Paramètres'!$A$1:$I$89,3,0)*0.475*44/12</f>
        <v>1.213388765</v>
      </c>
      <c r="AW185" s="142">
        <f>EXP(-LN(2)/2)*AW184+(1-EXP(-LN(2)/2))/(LN(2)/2)*AQ185*AT185*VLOOKUP('Données projet'!$B$10,'Paramètres'!$A$1:$I$89,3,0)*0.475*44/12</f>
        <v>0</v>
      </c>
      <c r="AX185" s="142">
        <f t="shared" si="7"/>
        <v>14.39431095</v>
      </c>
      <c r="AY185" s="13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1" t="str">
        <f>VLOOKUP(A185,'Données projet'!$A$87:$I$107,2,0)</f>
        <v>#N/A</v>
      </c>
      <c r="BB185" s="131" t="str">
        <f>VLOOKUP(A185,'Données projet'!$A$87:$I$107,9,0)</f>
        <v>#N/A</v>
      </c>
      <c r="BC185" s="131" t="str">
        <f t="array" ref="BC185">INDEX(BB:BB,MIN(IF(ISNUMBER(BB185:BB381),ROW(BB185:BB381),"")))</f>
        <v/>
      </c>
      <c r="BD185" s="130">
        <f>IF('Données projet'!$A$88&gt;35,BD184+BC185-BL184,IF(A185&lt;'Données projet'!$A$88,$BA$205^A185,IF(A185='Données projet'!$A$88,'Données projet'!$B$88,BD184+BC185-BL184)))</f>
        <v>0</v>
      </c>
      <c r="BE185" s="130">
        <f>BD185*VLOOKUP('Données projet'!$B$11,'Paramètres'!$A$1:$I$89,3,0)*VLOOKUP('Données projet'!$B$11,'Paramètres'!$A$1:$I$89,5,0)</f>
        <v>0</v>
      </c>
      <c r="BF185" s="130" t="str">
        <f t="shared" si="38"/>
        <v>#NUM!</v>
      </c>
      <c r="BG185" s="141" t="str">
        <f t="shared" si="8"/>
        <v>#NUM!</v>
      </c>
      <c r="BH185" s="133" t="str">
        <f t="shared" si="9"/>
        <v>#NUM!</v>
      </c>
      <c r="BI185" s="133">
        <f>AVERAGE(OFFSET($BH$3,0,0,'Données projet'!$E$11+1,1))-AVERAGE(OFFSET($H$3,0,0,'Données projet'!$E$11+1,1))</f>
        <v>134.0948534</v>
      </c>
      <c r="BJ185" s="133">
        <f t="shared" si="39"/>
        <v>108.4102536</v>
      </c>
      <c r="BK185" s="134">
        <f>IF(ISNA(VLOOKUP(A185,'Données projet'!$A$87:$I$107,3,0)),0,VLOOKUP(A185,'Données projet'!$A$87:$I$107,3,0))</f>
        <v>0</v>
      </c>
      <c r="BL185" s="134">
        <f>IF(ISNA(VLOOKUP(A185,'Données projet'!$A$87:$I$107,4,0)),0,VLOOKUP(A185,'Données projet'!$A$87:$I$107,4,0))</f>
        <v>0</v>
      </c>
      <c r="BM185" s="135">
        <f>IF(ISNA(VLOOKUP(A185,'Données projet'!$A$87:$I$107,5,0)),0%,VLOOKUP(A185,'Données projet'!$A$87:$I$107,5,0)*VLOOKUP('Données projet'!$B$11,'Paramètres'!$A$1:$I$89,7,0))</f>
        <v>0</v>
      </c>
      <c r="BN185" s="135">
        <f>IF(ISNA(VLOOKUP(A185,'Données projet'!$A$87:$I$107,6,0)),0%,VLOOKUP(A185,'Données projet'!$A$87:$I$107,6,0)*VLOOKUP('Données projet'!$B$11,'Paramètres'!$A$1:$I$89,7,0))</f>
        <v>0</v>
      </c>
      <c r="BO185" s="135">
        <f>IF(ISNA(VLOOKUP(A185,'Données projet'!$A$87:$I$107,7,0)),0%,VLOOKUP(A185,'Données projet'!$A$87:$I$107,7,0))</f>
        <v>0</v>
      </c>
      <c r="BP185" s="142">
        <f>EXP(-LN(2)/35)*BP184+(1-EXP(-LN(2)/35))/(LN(2)/35)*BL185*BM185*VLOOKUP('Données projet'!$B$11,'Paramètres'!$A$1:$I$89,3,0)*0.475*44/12</f>
        <v>18.23167702</v>
      </c>
      <c r="BQ185" s="142">
        <f>EXP(-LN(2)/25)*BQ184+(1-EXP(-LN(2)/25))/(LN(2)/25)*Calculateur!BL185*Calculateur!BN185*VLOOKUP('Données projet'!$B$11,'Paramètres'!$A$1:$I$89,3,0)*0.475*44/12</f>
        <v>0.7654066746</v>
      </c>
      <c r="BR185" s="142">
        <f>EXP(-LN(2)/2)*BR184+(1-EXP(-LN(2)/2))/(LN(2)/2)*BL185*BO185*VLOOKUP('Données projet'!$B$11,'Paramètres'!$A$1:$I$89,3,0)*0.475*44/12</f>
        <v>0</v>
      </c>
      <c r="BS185" s="143">
        <f t="shared" si="10"/>
        <v>18.9970837</v>
      </c>
      <c r="BT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1" t="str">
        <f>VLOOKUP(A185,'Données projet'!$A$113:$I$133,2,0)</f>
        <v>#N/A</v>
      </c>
      <c r="BW185" s="131" t="str">
        <f>VLOOKUP(A185,'Données projet'!$A$113:$I$133,9,0)</f>
        <v>#N/A</v>
      </c>
      <c r="BX185" s="131" t="str">
        <f t="array" ref="BX185">INDEX(BW:BW,MIN(IF(ISNUMBER(BW185:BW381),ROW(BW185:BW381),"")))</f>
        <v/>
      </c>
      <c r="BY185" s="130">
        <f>IF('Données projet'!$A$114&gt;35,BY184+BX185-CG184,IF(A185&lt;'Données projet'!$A$114,$BV$205^A185,IF(A185='Données projet'!$A$114,'Données projet'!$B$114,BY184+BX185-CG184)))</f>
        <v>0</v>
      </c>
      <c r="BZ185" s="130">
        <f>BY185*VLOOKUP('Données projet'!$B$12,'Paramètres'!$A$1:$I$89,3,0)*VLOOKUP('Données projet'!$B$12,'Paramètres'!$A$1:$I$89,5,0)</f>
        <v>0</v>
      </c>
      <c r="CA185" s="130" t="str">
        <f t="shared" si="40"/>
        <v>#NUM!</v>
      </c>
      <c r="CB185" s="141" t="str">
        <f t="shared" si="11"/>
        <v>#NUM!</v>
      </c>
      <c r="CC185" s="133" t="str">
        <f t="shared" si="12"/>
        <v>#NUM!</v>
      </c>
      <c r="CD185" s="133">
        <f>AVERAGE(OFFSET($CC$3,0,0,'Données projet'!$E$12+1,1))-AVERAGE(OFFSET($H$3,0,0,'Données projet'!$E$12+1,1))</f>
        <v>258.1672054</v>
      </c>
      <c r="CE185" s="133">
        <f t="shared" si="41"/>
        <v>296.0724261</v>
      </c>
      <c r="CF185" s="134">
        <f>IF(ISNA(VLOOKUP(A185,'Données projet'!$A$113:$I$133,3,0)),0,VLOOKUP(A185,'Données projet'!$A$113:$I$133,3,0))</f>
        <v>0</v>
      </c>
      <c r="CG185" s="134">
        <f>IF(ISNA(VLOOKUP(A185,'Données projet'!$A$113:$I$133,4,0)),0,VLOOKUP(A185,'Données projet'!$A$113:$I$133,4,0))</f>
        <v>0</v>
      </c>
      <c r="CH185" s="135">
        <f>IF(ISNA(VLOOKUP(A185,'Données projet'!$A$113:$I$133,5,0)),0%,VLOOKUP(A185,'Données projet'!$A$113:$I$133,5,0)*VLOOKUP('Données projet'!$B$12,'Paramètres'!$A$1:$I$89,7,0))</f>
        <v>0</v>
      </c>
      <c r="CI185" s="135">
        <f>IF(ISNA(VLOOKUP(A185,'Données projet'!$A$113:$I$133,6,0)),0%,VLOOKUP(A185,'Données projet'!$A$113:$I$133,6,0)*VLOOKUP('Données projet'!$B$12,'Paramètres'!$A$1:$I$89,7,0))</f>
        <v>0</v>
      </c>
      <c r="CJ185" s="135">
        <f>IF(ISNA(VLOOKUP(A185,'Données projet'!$A$113:$I$133,7,0)),0%,VLOOKUP(A185,'Données projet'!$A$113:$I$133,7,0))</f>
        <v>0</v>
      </c>
      <c r="CK185" s="142">
        <f>EXP(-LN(2)/35)*CK184+(1-EXP(-LN(2)/35))/(LN(2)/35)*CG185*CH185*VLOOKUP('Données projet'!$B$12,'Paramètres'!$A$1:$I$89,3,0)*0.475*44/12</f>
        <v>23.05041706</v>
      </c>
      <c r="CL185" s="142">
        <f>EXP(-LN(2)/25)*CL184+(1-EXP(-LN(2)/25))/(LN(2)/25)*Calculateur!CG185*Calculateur!CI185*VLOOKUP('Données projet'!$B$12,'Paramètres'!$A$1:$I$89,3,0)*0.475*44/12</f>
        <v>1.342566757</v>
      </c>
      <c r="CM185" s="142">
        <f>EXP(-LN(2)/2)*CM184+(1-EXP(-LN(2)/2))/(LN(2)/2)*CG185*CJ185*VLOOKUP('Données projet'!$B$12,'Paramètres'!$A$1:$I$89,3,0)*0.475*44/12</f>
        <v>0</v>
      </c>
      <c r="CN185" s="143">
        <f t="shared" si="13"/>
        <v>24.39298381</v>
      </c>
      <c r="CO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1" t="str">
        <f>VLOOKUP(A185,'Données projet'!$A$139:$I$159,2,0)</f>
        <v>#N/A</v>
      </c>
      <c r="CR185" s="131" t="str">
        <f>VLOOKUP(A185,'Données projet'!$A$139:$I$159,9,0)</f>
        <v>#N/A</v>
      </c>
      <c r="CS185" s="131" t="str">
        <f t="array" ref="CS185">INDEX(CR:CR,MIN(IF(ISNUMBER(CR185:CR381),ROW(CR185:CR381),"")))</f>
        <v/>
      </c>
      <c r="CT185" s="138">
        <f>IF('Données projet'!$A$140&gt;35,CT184+CS185-DB184,IF(A185&lt;'Données projet'!$A$140,$CQ$205^A185,IF(A185='Données projet'!$A$140,'Données projet'!$B$140,CT184+CS185-DB184)))</f>
        <v>0</v>
      </c>
      <c r="CU185" s="138">
        <f>CT185*VLOOKUP('Données projet'!$B$13,'Paramètres'!$A$1:$I$89,3,0)*VLOOKUP('Données projet'!$B$13,'Paramètres'!$A$1:$I$89,5,0)</f>
        <v>0</v>
      </c>
      <c r="CV185" s="130" t="str">
        <f t="shared" si="42"/>
        <v>#NUM!</v>
      </c>
      <c r="CW185" s="141" t="str">
        <f t="shared" si="14"/>
        <v>#NUM!</v>
      </c>
      <c r="CX185" s="133" t="str">
        <f t="shared" si="15"/>
        <v>#NUM!</v>
      </c>
      <c r="CY185" s="133">
        <f>AVERAGE(OFFSET($CX$3,0,0,'Données projet'!$E$13+1,1))-AVERAGE(OFFSET($H$3,0,0,'Données projet'!$E$13+1,1))</f>
        <v>223.783507</v>
      </c>
      <c r="CZ185" s="133">
        <f t="shared" si="43"/>
        <v>84.92349117</v>
      </c>
      <c r="DA185" s="134">
        <f>IF(ISNA(VLOOKUP(A185,'Données projet'!$A$139:$I$159,3,0)),0,VLOOKUP(A185,'Données projet'!$A$139:$I$159,3,0))</f>
        <v>0</v>
      </c>
      <c r="DB185" s="134">
        <f>IF(ISNA(VLOOKUP(A185,'Données projet'!$A$139:$I$159,4,0)),0,VLOOKUP(A185,'Données projet'!$A$139:$I$159,4,0))</f>
        <v>0</v>
      </c>
      <c r="DC185" s="135">
        <f>IF(ISNA(VLOOKUP(A185,'Données projet'!$A$139:$I$159,5,0)),0%,VLOOKUP(A185,'Données projet'!$A$139:$I$159,5,0)*VLOOKUP('Données projet'!$B$13,'Paramètres'!$A$1:$I$89,7,0))</f>
        <v>0</v>
      </c>
      <c r="DD185" s="135">
        <f>IF(ISNA(VLOOKUP(A185,'Données projet'!$A$139:$I$159,6,0)),0%,VLOOKUP(A185,'Données projet'!$A$139:$I$159,6,0)*VLOOKUP('Données projet'!$B$13,'Paramètres'!$A$1:$I$89,7,0))</f>
        <v>0</v>
      </c>
      <c r="DE185" s="135">
        <f>IF(ISNA(VLOOKUP(A185,'Données projet'!$A$139:$I$159,7,0)),0%,VLOOKUP(A185,'Données projet'!$A$139:$I$159,7,0))</f>
        <v>0</v>
      </c>
      <c r="DF185" s="142">
        <f>EXP(-LN(2)/35)*DF184+(1-EXP(-LN(2)/35))/(LN(2)/35)*DB185*DC185*VLOOKUP('Données projet'!$B$13,'Paramètres'!$A$1:$I$89,3,0)*0.475*44/12</f>
        <v>59.20251563</v>
      </c>
      <c r="DG185" s="142">
        <f>EXP(-LN(2)/25)*DG184+(1-EXP(-LN(2)/25))/(LN(2)/25)*Calculateur!DB185*Calculateur!DD185*VLOOKUP('Données projet'!$B$13,'Paramètres'!$A$1:$I$89,3,0)*0.475*44/12</f>
        <v>0</v>
      </c>
      <c r="DH185" s="142">
        <f>EXP(-LN(2)/2)*DH184+(1-EXP(-LN(2)/2))/(LN(2)/2)*DB185*DE185*VLOOKUP('Données projet'!$B$13,'Paramètres'!$A$1:$I$89,3,0)*0.475*44/12</f>
        <v>0</v>
      </c>
      <c r="DI185" s="143">
        <f t="shared" si="16"/>
        <v>59.20251563</v>
      </c>
      <c r="DJ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1" t="str">
        <f>VLOOKUP(A185,'Données projet'!$A$165:$I$185,2,0)</f>
        <v>#N/A</v>
      </c>
      <c r="DM185" s="131" t="str">
        <f>VLOOKUP(A185,'Données projet'!$A$165:$I$185,9,0)</f>
        <v>#N/A</v>
      </c>
      <c r="DN185" s="131" t="str">
        <f t="array" ref="DN185">INDEX(DM:DM,MIN(IF(ISNUMBER(DM185:DM381),ROW(DM185:DM381),"")))</f>
        <v/>
      </c>
      <c r="DO185" s="138">
        <f>IF('Données projet'!$A$166&gt;35,DO184+DN185-DW184,IF(A185&lt;'Données projet'!$A$166,$DL$205^A185,IF(A185='Données projet'!$A$166,'Données projet'!$B$166,DO184+DN185-DW184)))</f>
        <v>0</v>
      </c>
      <c r="DP185" s="138">
        <f>DO185*VLOOKUP('Données projet'!$B$14,'Paramètres'!$A$1:$I$89,3,0)*VLOOKUP('Données projet'!$B$14,'Paramètres'!$A$1:$I$89,5,0)</f>
        <v>0</v>
      </c>
      <c r="DQ185" s="130" t="str">
        <f t="shared" si="44"/>
        <v>#NUM!</v>
      </c>
      <c r="DR185" s="141" t="str">
        <f t="shared" si="17"/>
        <v>#NUM!</v>
      </c>
      <c r="DS185" s="133" t="str">
        <f t="shared" si="18"/>
        <v>#NUM!</v>
      </c>
      <c r="DT185" s="133">
        <f>AVERAGE(OFFSET($DS$3,0,0,'Données projet'!$E$14+1,1))-AVERAGE(OFFSET($H$3,0,0,'Données projet'!$E$14+1,1))</f>
        <v>287.9334714</v>
      </c>
      <c r="DU185" s="133">
        <f t="shared" si="45"/>
        <v>156.6796502</v>
      </c>
      <c r="DV185" s="134">
        <f>IF(ISNA(VLOOKUP(A185,'Données projet'!$A$165:$I$185,3,0)),0,VLOOKUP(A185,'Données projet'!$A$165:$I$185,3,0))</f>
        <v>0</v>
      </c>
      <c r="DW185" s="134">
        <f>IF(ISNA(VLOOKUP(A185,'Données projet'!$A$165:$I$185,4,0)),0,VLOOKUP(A185,'Données projet'!$A$165:$I$185,4,0))</f>
        <v>0</v>
      </c>
      <c r="DX185" s="135">
        <f>IF(ISNA(VLOOKUP(A185,'Données projet'!$A$165:$I$185,5,0)),0%,VLOOKUP(A185,'Données projet'!$A$165:$I$185,5,0)*VLOOKUP('Données projet'!$B$14,'Paramètres'!$A$1:$I$89,7,0))</f>
        <v>0</v>
      </c>
      <c r="DY185" s="135">
        <f>IF(ISNA(VLOOKUP(A185,'Données projet'!$A$165:$I$185,6,0)),0%,VLOOKUP(A185,'Données projet'!$A$165:$I$185,6,0)*VLOOKUP('Données projet'!$B$14,'Paramètres'!$A$1:$I$89,7,0))</f>
        <v>0</v>
      </c>
      <c r="DZ185" s="135">
        <f>IF(ISNA(VLOOKUP(A185,'Données projet'!$A$165:$I$185,7,0)),0%,VLOOKUP(A185,'Données projet'!$A$165:$I$185,7,0))</f>
        <v>0</v>
      </c>
      <c r="EA185" s="142">
        <f>EXP(-LN(2)/35)*EA184+(1-EXP(-LN(2)/35))/(LN(2)/35)*DW185*DX185*VLOOKUP('Données projet'!$B$14,'Paramètres'!$A$1:$I$89,3,0)*0.475*44/12</f>
        <v>68.77657092</v>
      </c>
      <c r="EB185" s="142">
        <f>EXP(-LN(2)/25)*EB184+(1-EXP(-LN(2)/25))/(LN(2)/25)*Calculateur!DW185*Calculateur!DY185*VLOOKUP('Données projet'!$B$14,'Paramètres'!$A$1:$I$89,3,0)*0.475*44/12</f>
        <v>0</v>
      </c>
      <c r="EC185" s="142">
        <f>EXP(-LN(2)/2)*EC184+(1-EXP(-LN(2)/2))/(LN(2)/2)*DW185*DZ185*VLOOKUP('Données projet'!$B$14,'Paramètres'!$A$1:$I$89,3,0)*0.475*44/12</f>
        <v>0</v>
      </c>
      <c r="ED185" s="143">
        <f t="shared" si="19"/>
        <v>68.77657092</v>
      </c>
      <c r="EE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1" t="str">
        <f>VLOOKUP(A185,'Données projet'!$A$191:$I$211,2,0)</f>
        <v>#N/A</v>
      </c>
      <c r="EH185" s="131" t="str">
        <f>VLOOKUP(A185,'Données projet'!$A$191:$I$211,9,0)</f>
        <v>#N/A</v>
      </c>
      <c r="EI185" s="131" t="str">
        <f t="array" ref="EI185">INDEX(EH:EH,MIN(IF(ISNUMBER(EH185:EH381),ROW(EH185:EH381),"")))</f>
        <v/>
      </c>
      <c r="EJ185" s="138">
        <f>IF('Données projet'!$A$192&gt;35,EJ184+EI185-ER184,IF(A185&lt;'Données projet'!$A$192,$EG$205^A185,IF(A185='Données projet'!$A$192,'Données projet'!$B$192,EJ184+EI185-ER184)))</f>
        <v>0</v>
      </c>
      <c r="EK185" s="138">
        <f>EJ185*VLOOKUP('Données projet'!$B$15,'Paramètres'!$A$1:$I$89,3,0)*VLOOKUP('Données projet'!$B$15,'Paramètres'!$A$1:$I$89,5,0)</f>
        <v>0</v>
      </c>
      <c r="EL185" s="130" t="str">
        <f t="shared" si="46"/>
        <v>#NUM!</v>
      </c>
      <c r="EM185" s="141" t="str">
        <f t="shared" si="20"/>
        <v>#NUM!</v>
      </c>
      <c r="EN185" s="133" t="str">
        <f t="shared" si="21"/>
        <v>#NUM!</v>
      </c>
      <c r="EO185" s="133">
        <f>AVERAGE(OFFSET($EN$3,0,0,'Données projet'!$E$15+1,1))-AVERAGE(OFFSET($H$3,0,0,'Données projet'!$E$15+1,1))</f>
        <v>130.3193339</v>
      </c>
      <c r="EP185" s="133">
        <f t="shared" si="47"/>
        <v>82.22784365</v>
      </c>
      <c r="EQ185" s="134">
        <f>IF(ISNA(VLOOKUP(A185,'Données projet'!$A$191:$I$211,3,0)),0,VLOOKUP(A185,'Données projet'!$A$191:$I$211,3,0))</f>
        <v>0</v>
      </c>
      <c r="ER185" s="134">
        <f>IF(ISNA(VLOOKUP(A185,'Données projet'!$A$191:$I$211,4,0)),0,VLOOKUP(A185,'Données projet'!$A$191:$I$211,4,0))</f>
        <v>0</v>
      </c>
      <c r="ES185" s="135">
        <f>IF(ISNA(VLOOKUP(A185,'Données projet'!$A$191:$I$211,5,0)),0%,VLOOKUP(A185,'Données projet'!$A$191:$I$211,5,0)*VLOOKUP('Données projet'!$B$15,'Paramètres'!$A$1:$I$89,7,0))</f>
        <v>0</v>
      </c>
      <c r="ET185" s="135">
        <f>IF(ISNA(VLOOKUP(A185,'Données projet'!$A$191:$I$211,6,0)),0%,VLOOKUP(A185,'Données projet'!$A$191:$I$211,6,0)*VLOOKUP('Données projet'!$B$15,'Paramètres'!$A$1:$I$89,7,0))</f>
        <v>0</v>
      </c>
      <c r="EU185" s="135">
        <f>IF(ISNA(VLOOKUP(A185,'Données projet'!$A$191:$I$211,7,0)),0%,VLOOKUP(A185,'Données projet'!$A$191:$I$211,7,0))</f>
        <v>0</v>
      </c>
      <c r="EV185" s="142">
        <f>EXP(-LN(2)/35)*EV184+(1-EXP(-LN(2)/35))/(LN(2)/35)*ER185*ES185*VLOOKUP('Données projet'!$B$15,'Paramètres'!$A$1:$I$89,3,0)*0.475*44/12</f>
        <v>14.09485318</v>
      </c>
      <c r="EW185" s="142">
        <f>EXP(-LN(2)/25)*EW184+(1-EXP(-LN(2)/25))/(LN(2)/25)*Calculateur!ER185*Calculateur!ET185*VLOOKUP('Données projet'!$B$15,'Paramètres'!$A$1:$I$89,3,0)*0.475*44/12</f>
        <v>0</v>
      </c>
      <c r="EX185" s="142">
        <f>EXP(-LN(2)/2)*EX184+(1-EXP(-LN(2)/2))/(LN(2)/2)*ER185*EU185*VLOOKUP('Données projet'!$B$15,'Paramètres'!$A$1:$I$89,3,0)*0.475*44/12</f>
        <v>0</v>
      </c>
      <c r="EY185" s="143">
        <f t="shared" si="22"/>
        <v>14.09485318</v>
      </c>
      <c r="EZ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1" t="str">
        <f>VLOOKUP(A185,'Données projet'!$A$217:$I$237,2,0)</f>
        <v>#N/A</v>
      </c>
      <c r="FC185" s="131" t="str">
        <f>VLOOKUP(A185,'Données projet'!$A$217:$I$237,9,0)</f>
        <v>#N/A</v>
      </c>
      <c r="FD185" s="131" t="str">
        <f t="array" ref="FD185">INDEX(FC:FC,MIN(IF(ISNUMBER(FC185:FC381),ROW(FC185:FC381),"")))</f>
        <v/>
      </c>
      <c r="FE185" s="130">
        <f>IF('Données projet'!$A$218&gt;35,FE184+FD185-FM184,IF(A185&lt;'Données projet'!$A$218,$FB$205^A185,IF(A185='Données projet'!$A$218,'Données projet'!$B$218,FE184+FD185-FM184)))</f>
        <v>0</v>
      </c>
      <c r="FF185" s="138">
        <f>FE185*VLOOKUP('Données projet'!$B$16,'Paramètres'!$A$1:$I$89,3,0)*VLOOKUP('Données projet'!$B$16,'Paramètres'!$A$1:$I$89,5,0)</f>
        <v>0</v>
      </c>
      <c r="FG185" s="130">
        <f t="shared" si="48"/>
        <v>0</v>
      </c>
      <c r="FH185" s="141">
        <f t="shared" si="23"/>
        <v>0</v>
      </c>
      <c r="FI185" s="133">
        <f t="shared" si="24"/>
        <v>293.3333333</v>
      </c>
      <c r="FJ185" s="133">
        <f>AVERAGE(OFFSET($FI$3,0,0,'Données projet'!$E$16+1,1))-AVERAGE(OFFSET($H$3,0,0,'Données projet'!$E$16+1,1))</f>
        <v>305.6252353</v>
      </c>
      <c r="FK185" s="133">
        <f t="shared" si="49"/>
        <v>331.397916</v>
      </c>
      <c r="FL185" s="134">
        <f>IF(ISNA(VLOOKUP(A185,'Données projet'!$A$217:$I$237,3,0)),0,VLOOKUP(A185,'Données projet'!$A$217:$I$237,3,0))</f>
        <v>0</v>
      </c>
      <c r="FM185" s="134">
        <f>IF(ISNA(VLOOKUP(A185,'Données projet'!$A$217:$I$237,4,0)),0,VLOOKUP(A185,'Données projet'!$A$217:$I$237,4,0))</f>
        <v>0</v>
      </c>
      <c r="FN185" s="135">
        <f>IF(ISNA(VLOOKUP(A185,'Données projet'!$A$217:$I$237,5,0)),0%,VLOOKUP(A185,'Données projet'!$A$217:$I$237,5,0)*VLOOKUP('Données projet'!$B$16,'Paramètres'!$A$1:$I$89,7,0))</f>
        <v>0</v>
      </c>
      <c r="FO185" s="135">
        <f>IF(ISNA(VLOOKUP(A185,'Données projet'!$A$217:$I$237,6,0)),0%,VLOOKUP(A185,'Données projet'!$A$217:$I$237,6,0)*VLOOKUP('Données projet'!$B$16,'Paramètres'!$A$1:$I$89,7,0))</f>
        <v>0</v>
      </c>
      <c r="FP185" s="135">
        <f>IF(ISNA(VLOOKUP(A185,'Données projet'!$A$217:$I$237,7,0)),0%,VLOOKUP(A185,'Données projet'!$A$217:$I$237,7,0))</f>
        <v>0</v>
      </c>
      <c r="FQ185" s="142">
        <f>EXP(-LN(2)/35)*FQ184+(1-EXP(-LN(2)/35))/(LN(2)/35)*FM185*FN185*VLOOKUP('Données projet'!$B$16,'Paramètres'!$A$1:$I$89,3,0)*0.475*44/12</f>
        <v>8.775876819</v>
      </c>
      <c r="FR185" s="142">
        <f>EXP(-LN(2)/25)*FR184+(1-EXP(-LN(2)/25))/(LN(2)/25)*Calculateur!FM185*Calculateur!FO185*VLOOKUP('Données projet'!$B$16,'Paramètres'!$A$1:$I$89,3,0)*0.475*44/12</f>
        <v>0</v>
      </c>
      <c r="FS185" s="142">
        <f>EXP(-LN(2)/2)*FS184+(1-EXP(-LN(2)/2))/(LN(2)/2)*FM185*FP185*VLOOKUP('Données projet'!$B$16,'Paramètres'!$A$1:$I$89,3,0)*0.475*44/12</f>
        <v>0</v>
      </c>
      <c r="FT185" s="143">
        <f t="shared" si="25"/>
        <v>8.775876819</v>
      </c>
      <c r="FU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1" t="str">
        <f>VLOOKUP(A185,'Données projet'!$A$243:$I$263,2,0)</f>
        <v>#N/A</v>
      </c>
      <c r="FX185" s="131" t="str">
        <f>VLOOKUP(A185,'Données projet'!$A$243:$I$263,9,0)</f>
        <v>#N/A</v>
      </c>
      <c r="FY185" s="131" t="str">
        <f t="array" ref="FY185">INDEX(FX:FX,MIN(IF(ISNUMBER(FX185:FX381),ROW(FX185:FX381),"")))</f>
        <v/>
      </c>
      <c r="FZ185" s="138">
        <f>IF('Données projet'!$A$244&gt;35,FZ184+FY185-GH184,IF(A185&lt;'Données projet'!$A$244,$FW$205^A185,IF(A185='Données projet'!$A$244,'Données projet'!$B$244,FZ184+FY185-GH184)))</f>
        <v>0</v>
      </c>
      <c r="GA185" s="138">
        <f>FZ185*VLOOKUP('Données projet'!$B$17,'Paramètres'!$A$1:$I$89,3,0)*VLOOKUP('Données projet'!$B$17,'Paramètres'!$A$1:$I$89,5,0)</f>
        <v>0</v>
      </c>
      <c r="GB185" s="130">
        <f t="shared" si="50"/>
        <v>0</v>
      </c>
      <c r="GC185" s="141">
        <f t="shared" si="26"/>
        <v>0</v>
      </c>
      <c r="GD185" s="133">
        <f t="shared" si="27"/>
        <v>293.3333333</v>
      </c>
      <c r="GE185" s="133">
        <f>AVERAGE(OFFSET($GD$3,0,0,'Données projet'!$E$17+1,1))-AVERAGE(OFFSET($H$3,0,0,'Données projet'!$E$17+1,1))</f>
        <v>118.7368745</v>
      </c>
      <c r="GF185" s="133">
        <f t="shared" si="51"/>
        <v>135.1233677</v>
      </c>
      <c r="GG185" s="134">
        <f>IF(ISNA(VLOOKUP(A185,'Données projet'!$A$243:$I$263,3,0)),0,VLOOKUP(A185,'Données projet'!$A$243:$I$263,3,0))</f>
        <v>0</v>
      </c>
      <c r="GH185" s="134">
        <f>IF(ISNA(VLOOKUP(A185,'Données projet'!$A$243:$I$263,4,0)),0,VLOOKUP(A185,'Données projet'!$A$243:$I$263,4,0))</f>
        <v>0</v>
      </c>
      <c r="GI185" s="135">
        <f>IF(ISNA(VLOOKUP(A185,'Données projet'!$A$243:$I$263,5,0)),0%,VLOOKUP(A185,'Données projet'!$A$243:$I$263,5,0)*VLOOKUP('Données projet'!$B$17,'Paramètres'!$A$1:$I$89,7,0))</f>
        <v>0</v>
      </c>
      <c r="GJ185" s="135">
        <f>IF(ISNA(VLOOKUP(A185,'Données projet'!$A$243:$I$263,6,0)),0%,VLOOKUP(A185,'Données projet'!$A$243:$I$263,6,0)*VLOOKUP('Données projet'!$B$17,'Paramètres'!$A$1:$I$89,7,0))</f>
        <v>0</v>
      </c>
      <c r="GK185" s="135">
        <f>IF(ISNA(VLOOKUP(A185,'Données projet'!$A$243:$I$263,7,0)),0%,VLOOKUP(A185,'Données projet'!$A$243:$I$263,7,0))</f>
        <v>0</v>
      </c>
      <c r="GL185" s="142">
        <f>EXP(-LN(2)/35)*GL184+(1-EXP(-LN(2)/35))/(LN(2)/35)*GH185*GI185*VLOOKUP('Données projet'!$B$17,'Paramètres'!$A$1:$I$89,3,0)*0.475*44/12</f>
        <v>9.271686719</v>
      </c>
      <c r="GM185" s="142">
        <f>EXP(-LN(2)/25)*GM184+(1-EXP(-LN(2)/25))/(LN(2)/25)*Calculateur!GH185*Calculateur!GJ185*VLOOKUP('Données projet'!$B$17,'Paramètres'!$A$1:$I$89,3,0)*0.475*44/12</f>
        <v>0</v>
      </c>
      <c r="GN185" s="142">
        <f>EXP(-LN(2)/2)*GN184+(1-EXP(-LN(2)/2))/(LN(2)/2)*GH185*GK185*VLOOKUP('Données projet'!$B$17,'Paramètres'!$A$1:$I$89,3,0)*0.475*44/12</f>
        <v>0</v>
      </c>
      <c r="GO185" s="142">
        <f t="shared" si="28"/>
        <v>9.271686719</v>
      </c>
      <c r="GP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1" t="str">
        <f>VLOOKUP(A185,'Données projet'!$A$269:$I$289,2,0)</f>
        <v>#N/A</v>
      </c>
      <c r="GS185" s="131" t="str">
        <f>VLOOKUP(A185,'Données projet'!$A$269:$I$289,9,0)</f>
        <v>#N/A</v>
      </c>
      <c r="GT185" s="131" t="str">
        <f t="array" ref="GT185">INDEX(GS:GS,MIN(IF(ISNUMBER(GS185:GS381),ROW(GS185:GS381),"")))</f>
        <v/>
      </c>
      <c r="GU185" s="138">
        <f>IF('Données projet'!$A$270&gt;35,GU184+GT185-HC184,IF(A185&lt;'Données projet'!$A$270,$GR$205^A185,IF(A185='Données projet'!$A$270,'Données projet'!$B$270,GU184+GT185-HC184)))</f>
        <v>0</v>
      </c>
      <c r="GV185" s="138">
        <f>GU185*VLOOKUP('Données projet'!$B$18,'Paramètres'!$A$1:$I$89,3,0)*VLOOKUP('Données projet'!$B$18,'Paramètres'!$A$1:$I$89,5,0)</f>
        <v>0</v>
      </c>
      <c r="GW185" s="130" t="str">
        <f t="shared" si="52"/>
        <v>#NUM!</v>
      </c>
      <c r="GX185" s="141" t="str">
        <f t="shared" si="29"/>
        <v>#NUM!</v>
      </c>
      <c r="GY185" s="133" t="str">
        <f t="shared" si="30"/>
        <v>#NUM!</v>
      </c>
      <c r="GZ185" s="133">
        <f>AVERAGE(OFFSET($GY$3,0,0,'Données projet'!$E$18+1,1))-AVERAGE(OFFSET($H$3,0,0,'Données projet'!$E$18+1,1))</f>
        <v>100.5427875</v>
      </c>
      <c r="HA185" s="133">
        <f t="shared" si="53"/>
        <v>92.28663609</v>
      </c>
      <c r="HB185" s="134">
        <f>IF(ISNA(VLOOKUP(A185,'Données projet'!$A$269:$I$289,3,0)),0,VLOOKUP(A185,'Données projet'!$A$269:$I$289,3,0))</f>
        <v>0</v>
      </c>
      <c r="HC185" s="134">
        <f>IF(ISNA(VLOOKUP(A185,'Données projet'!$A$269:$I$289,4,0)),0,VLOOKUP(A185,'Données projet'!$A$269:$I$289,4,0))</f>
        <v>0</v>
      </c>
      <c r="HD185" s="135">
        <f>IF(ISNA(VLOOKUP(A185,'Données projet'!$A$269:$I$289,5,0)),0%,VLOOKUP(A185,'Données projet'!$A$269:$I$289,5,0)*VLOOKUP('Données projet'!$B$18,'Paramètres'!$A$1:$I$89,7,0))</f>
        <v>0</v>
      </c>
      <c r="HE185" s="135">
        <f>IF(ISNA(VLOOKUP(A185,'Données projet'!$A$269:$I$289,6,0)),0%,VLOOKUP(A185,'Données projet'!$A$269:$I$289,6,0)*VLOOKUP('Données projet'!$B$18,'Paramètres'!$A$1:$I$89,7,0))</f>
        <v>0</v>
      </c>
      <c r="HF185" s="135">
        <f>IF(ISNA(VLOOKUP(A185,'Données projet'!$A$269:$I$289,7,0)),0%,VLOOKUP(A185,'Données projet'!$A$269:$I$289,7,0))</f>
        <v>0</v>
      </c>
      <c r="HG185" s="142">
        <f>EXP(-LN(2)/35)*HG184+(1-EXP(-LN(2)/35))/(LN(2)/35)*HC185*HD185*VLOOKUP('Données projet'!$B$18,'Paramètres'!$A$1:$I$89,3,0)*0.475*44/12</f>
        <v>6.313823059</v>
      </c>
      <c r="HH185" s="142">
        <f>EXP(-LN(2)/25)*HH184+(1-EXP(-LN(2)/25))/(LN(2)/25)*Calculateur!HC185*Calculateur!HE185*VLOOKUP('Données projet'!$B$18,'Paramètres'!$A$1:$I$89,3,0)*0.475*44/12</f>
        <v>0</v>
      </c>
      <c r="HI185" s="142">
        <f>EXP(-LN(2)/2)*HI184+(1-EXP(-LN(2)/2))/(LN(2)/2)*HC185*HF185*VLOOKUP('Données projet'!$B$18,'Paramètres'!$A$1:$I$89,3,0)*0.475*44/12</f>
        <v>0</v>
      </c>
      <c r="HJ185" s="143">
        <f t="shared" si="31"/>
        <v>6.313823059</v>
      </c>
    </row>
    <row r="186" ht="15.75" customHeight="1">
      <c r="A186" s="125">
        <f t="shared" si="32"/>
        <v>183</v>
      </c>
      <c r="B186" s="126">
        <f>'Scénario référence'!$B$16*5+'Scénario référence'!$B$17*0+'Scénario référence'!$B$18*5</f>
        <v>0</v>
      </c>
      <c r="C186" s="140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99.918</v>
      </c>
      <c r="D186" s="127">
        <f t="shared" si="33"/>
        <v>26.94246125</v>
      </c>
      <c r="E18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7">
        <f>IF(OR('Scénario référence'!$F$8&gt;0,'Scénario référence'!$F$9&gt;0),('Scénario référence'!$F$8+'Scénario référence'!$F$9)*10,0)</f>
        <v>10</v>
      </c>
      <c r="G186" s="127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</v>
      </c>
      <c r="H186" s="128">
        <f t="shared" si="1"/>
        <v>514.28197</v>
      </c>
      <c r="I186" s="12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1" t="str">
        <f>VLOOKUP(A186,'Données projet'!$A$35:$I$55,2,0)</f>
        <v>#N/A</v>
      </c>
      <c r="L186" s="131" t="str">
        <f>VLOOKUP(A186,'Données projet'!$A$35:$I$55,9,0)</f>
        <v>#N/A</v>
      </c>
      <c r="M186" s="131" t="str">
        <f t="array" ref="M186">INDEX(L:L,MIN(IF(ISNUMBER(L186:L382),ROW(L186:L382),"")))</f>
        <v/>
      </c>
      <c r="N186" s="130">
        <f>IF('Données projet'!$A$36&gt;35,N185+M186-V185,IF(A186&lt;'Données projet'!$A$36,$K$205^A186,IF(A186='Données projet'!$A$36,'Données projet'!$B$36,N185+M186-V185)))</f>
        <v>0</v>
      </c>
      <c r="O186" s="130">
        <f>N186*VLOOKUP('Données projet'!$B$9,'Paramètres'!$A$1:$I$89,3,0)*VLOOKUP('Données projet'!$B$9,'Paramètres'!$A$1:$I$89,5,0)</f>
        <v>0</v>
      </c>
      <c r="P186" s="130">
        <f t="shared" si="34"/>
        <v>0</v>
      </c>
      <c r="Q186" s="141">
        <f t="shared" si="2"/>
        <v>0</v>
      </c>
      <c r="R186" s="133">
        <f t="shared" si="3"/>
        <v>293.3333333</v>
      </c>
      <c r="S186" s="133">
        <f>AVERAGE(OFFSET($R$3,0,0,'Données projet'!$E$9+1,1))-AVERAGE(OFFSET($H$3,0,0,'Données projet'!$E$9+1,1))</f>
        <v>126.9946492</v>
      </c>
      <c r="T186" s="133">
        <f t="shared" si="35"/>
        <v>140.039049</v>
      </c>
      <c r="U186" s="134">
        <f>IF(ISNA(VLOOKUP(A186,'Données projet'!$A$35:$I$55,3,0)),0,VLOOKUP(A186,'Données projet'!$A$35:$I$55,3,0))</f>
        <v>0</v>
      </c>
      <c r="V186" s="134">
        <f>IF(ISNA(VLOOKUP(A186,'Données projet'!$A$35:$I$55,4,0)),0,VLOOKUP(A186,'Données projet'!$A$35:$I$55,4,0))</f>
        <v>0</v>
      </c>
      <c r="W186" s="135">
        <f>IF(ISNA(VLOOKUP(A186,'Données projet'!$A$35:$I$55,5,0)),0%,VLOOKUP(A186,'Données projet'!$A$35:$I$55,5,0)*VLOOKUP('Données projet'!$B$9,'Paramètres'!$A$1:$I$89,7,0))</f>
        <v>0</v>
      </c>
      <c r="X186" s="135">
        <f>IF(ISNA(VLOOKUP(A186,'Données projet'!$A$35:$I$55,6,0)),0%,VLOOKUP(A186,'Données projet'!$A$35:$I$55,6,0)*VLOOKUP('Données projet'!$B$9,'Paramètres'!$A$1:$I$89,7,0))</f>
        <v>0</v>
      </c>
      <c r="Y186" s="135">
        <f>IF(ISNA(VLOOKUP(A186,'Données projet'!$A$35:$I$55,7,0)),0%,VLOOKUP(A186,'Données projet'!$A$35:$I$55,7,0))</f>
        <v>0</v>
      </c>
      <c r="Z186" s="142">
        <f>EXP(-LN(2)/35)*Z185+(1-EXP(-LN(2)/35))/(LN(2)/35)*V186*W186*VLOOKUP('Données projet'!$B$9,'Paramètres'!$A$1:$I$89,3,0)*0.475*44/12</f>
        <v>9.296918276</v>
      </c>
      <c r="AA186" s="142">
        <f>EXP(-LN(2)/25)*AA185+(1-EXP(-LN(2)/25))/(LN(2)/25)*Calculateur!V186*Calculateur!X186*VLOOKUP('Données projet'!$B$9,'Paramètres'!$A$1:$I$89,3,0)*0.475*44/12</f>
        <v>0.7676146729</v>
      </c>
      <c r="AB186" s="142">
        <f>EXP(-LN(2)/2)*AB185+(1-EXP(-LN(2)/2))/(LN(2)/2)*V186*Y186*VLOOKUP('Données projet'!$B$9,'Paramètres'!$A$1:$I$89,3,0)*0.475*44/12</f>
        <v>0</v>
      </c>
      <c r="AC186" s="143">
        <f t="shared" si="4"/>
        <v>10.06453295</v>
      </c>
      <c r="AD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1" t="str">
        <f>VLOOKUP(A186,'Données projet'!$A$61:$I$81,2,0)</f>
        <v>#N/A</v>
      </c>
      <c r="AG186" s="131" t="str">
        <f>VLOOKUP(A186,'Données projet'!$A$61:$I$81,9,0)</f>
        <v>#N/A</v>
      </c>
      <c r="AH186" s="131" t="str">
        <f t="array" ref="AH186">INDEX(AG:AG,MIN(IF(ISNUMBER(AG186:AG382),ROW(AG186:AG382),"")))</f>
        <v/>
      </c>
      <c r="AI186" s="130">
        <f>IF('Données projet'!$A$62&gt;35,AI185+AH186-AQ185,IF(A186&lt;'Données projet'!$A$62,$AF$205^A186,IF(A186='Données projet'!$A$62,'Données projet'!$B$62,AI185+AH186-AQ185)))</f>
        <v>0</v>
      </c>
      <c r="AJ186" s="130">
        <f>AI186*VLOOKUP('Données projet'!$B$10,'Paramètres'!$A$1:$I$89,3,0)*VLOOKUP('Données projet'!$B$10,'Paramètres'!$A$1:$I$89,5,0)</f>
        <v>0</v>
      </c>
      <c r="AK186" s="130" t="str">
        <f t="shared" si="36"/>
        <v>#NUM!</v>
      </c>
      <c r="AL186" s="141" t="str">
        <f t="shared" si="5"/>
        <v>#NUM!</v>
      </c>
      <c r="AM186" s="133" t="str">
        <f t="shared" si="6"/>
        <v>#NUM!</v>
      </c>
      <c r="AN186" s="133">
        <f>AVERAGE(OFFSET($AM$3,0,0,'Données projet'!$E$10+1,1))-AVERAGE(OFFSET($H$3,0,0,'Données projet'!$E$10+1,1))</f>
        <v>196.874484</v>
      </c>
      <c r="AO186" s="133">
        <f t="shared" si="37"/>
        <v>217.5750859</v>
      </c>
      <c r="AP186" s="134">
        <f>IF(ISNA(VLOOKUP(A186,'Données projet'!$A$61:$I$81,3,0)),0,VLOOKUP(A186,'Données projet'!$A$61:$I$81,3,0))</f>
        <v>0</v>
      </c>
      <c r="AQ186" s="134">
        <f>IF(ISNA(VLOOKUP(A186,'Données projet'!$A$61:$I$81,4,0)),0,VLOOKUP(A186,'Données projet'!$A$61:$I$81,4,0))</f>
        <v>0</v>
      </c>
      <c r="AR186" s="135">
        <f>IF(ISNA(VLOOKUP(A186,'Données projet'!$A$61:$I$81,5,0)),0%,VLOOKUP(A186,'Données projet'!$A$61:$I$81,5,0)*VLOOKUP('Données projet'!$B$10,'Paramètres'!$A$1:$I$89,7,0))</f>
        <v>0</v>
      </c>
      <c r="AS186" s="135">
        <f>IF(ISNA(VLOOKUP(A186,'Données projet'!$A$61:$I$81,6,0)),0%,VLOOKUP(A186,'Données projet'!$A$61:$I$81,6,0)*VLOOKUP('Données projet'!$B$10,'Paramètres'!$A$1:$I$89,7,0))</f>
        <v>0</v>
      </c>
      <c r="AT186" s="135">
        <f>IF(ISNA(VLOOKUP(A186,'Données projet'!$A$61:$I$81,7,0)),0%,VLOOKUP(A186,'Données projet'!$A$61:$I$81,7,0))</f>
        <v>0</v>
      </c>
      <c r="AU186" s="142">
        <f>EXP(-LN(2)/35)*AU185+(1-EXP(-LN(2)/35))/(LN(2)/35)*AQ186*AR186*VLOOKUP('Données projet'!$B$10,'Paramètres'!$A$1:$I$89,3,0)*0.475*44/12</f>
        <v>12.92245234</v>
      </c>
      <c r="AV186" s="142">
        <f>EXP(-LN(2)/25)*AV185+(1-EXP(-LN(2)/25))/(LN(2)/25)*Calculateur!AQ186*Calculateur!AS186*VLOOKUP('Données projet'!$B$10,'Paramètres'!$A$1:$I$89,3,0)*0.475*44/12</f>
        <v>1.180208585</v>
      </c>
      <c r="AW186" s="142">
        <f>EXP(-LN(2)/2)*AW185+(1-EXP(-LN(2)/2))/(LN(2)/2)*AQ186*AT186*VLOOKUP('Données projet'!$B$10,'Paramètres'!$A$1:$I$89,3,0)*0.475*44/12</f>
        <v>0</v>
      </c>
      <c r="AX186" s="142">
        <f t="shared" si="7"/>
        <v>14.10266092</v>
      </c>
      <c r="AY186" s="13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1" t="str">
        <f>VLOOKUP(A186,'Données projet'!$A$87:$I$107,2,0)</f>
        <v>#N/A</v>
      </c>
      <c r="BB186" s="131" t="str">
        <f>VLOOKUP(A186,'Données projet'!$A$87:$I$107,9,0)</f>
        <v>#N/A</v>
      </c>
      <c r="BC186" s="131" t="str">
        <f t="array" ref="BC186">INDEX(BB:BB,MIN(IF(ISNUMBER(BB186:BB382),ROW(BB186:BB382),"")))</f>
        <v/>
      </c>
      <c r="BD186" s="130">
        <f>IF('Données projet'!$A$88&gt;35,BD185+BC186-BL185,IF(A186&lt;'Données projet'!$A$88,$BA$205^A186,IF(A186='Données projet'!$A$88,'Données projet'!$B$88,BD185+BC186-BL185)))</f>
        <v>0</v>
      </c>
      <c r="BE186" s="130">
        <f>BD186*VLOOKUP('Données projet'!$B$11,'Paramètres'!$A$1:$I$89,3,0)*VLOOKUP('Données projet'!$B$11,'Paramètres'!$A$1:$I$89,5,0)</f>
        <v>0</v>
      </c>
      <c r="BF186" s="130" t="str">
        <f t="shared" si="38"/>
        <v>#NUM!</v>
      </c>
      <c r="BG186" s="141" t="str">
        <f t="shared" si="8"/>
        <v>#NUM!</v>
      </c>
      <c r="BH186" s="133" t="str">
        <f t="shared" si="9"/>
        <v>#NUM!</v>
      </c>
      <c r="BI186" s="133">
        <f>AVERAGE(OFFSET($BH$3,0,0,'Données projet'!$E$11+1,1))-AVERAGE(OFFSET($H$3,0,0,'Données projet'!$E$11+1,1))</f>
        <v>134.0948534</v>
      </c>
      <c r="BJ186" s="133">
        <f t="shared" si="39"/>
        <v>108.4102536</v>
      </c>
      <c r="BK186" s="134">
        <f>IF(ISNA(VLOOKUP(A186,'Données projet'!$A$87:$I$107,3,0)),0,VLOOKUP(A186,'Données projet'!$A$87:$I$107,3,0))</f>
        <v>0</v>
      </c>
      <c r="BL186" s="134">
        <f>IF(ISNA(VLOOKUP(A186,'Données projet'!$A$87:$I$107,4,0)),0,VLOOKUP(A186,'Données projet'!$A$87:$I$107,4,0))</f>
        <v>0</v>
      </c>
      <c r="BM186" s="135">
        <f>IF(ISNA(VLOOKUP(A186,'Données projet'!$A$87:$I$107,5,0)),0%,VLOOKUP(A186,'Données projet'!$A$87:$I$107,5,0)*VLOOKUP('Données projet'!$B$11,'Paramètres'!$A$1:$I$89,7,0))</f>
        <v>0</v>
      </c>
      <c r="BN186" s="135">
        <f>IF(ISNA(VLOOKUP(A186,'Données projet'!$A$87:$I$107,6,0)),0%,VLOOKUP(A186,'Données projet'!$A$87:$I$107,6,0)*VLOOKUP('Données projet'!$B$11,'Paramètres'!$A$1:$I$89,7,0))</f>
        <v>0</v>
      </c>
      <c r="BO186" s="135">
        <f>IF(ISNA(VLOOKUP(A186,'Données projet'!$A$87:$I$107,7,0)),0%,VLOOKUP(A186,'Données projet'!$A$87:$I$107,7,0))</f>
        <v>0</v>
      </c>
      <c r="BP186" s="142">
        <f>EXP(-LN(2)/35)*BP185+(1-EXP(-LN(2)/35))/(LN(2)/35)*BL186*BM186*VLOOKUP('Données projet'!$B$11,'Paramètres'!$A$1:$I$89,3,0)*0.475*44/12</f>
        <v>17.87416496</v>
      </c>
      <c r="BQ186" s="142">
        <f>EXP(-LN(2)/25)*BQ185+(1-EXP(-LN(2)/25))/(LN(2)/25)*Calculateur!BL186*Calculateur!BN186*VLOOKUP('Données projet'!$B$11,'Paramètres'!$A$1:$I$89,3,0)*0.475*44/12</f>
        <v>0.7444765888</v>
      </c>
      <c r="BR186" s="142">
        <f>EXP(-LN(2)/2)*BR185+(1-EXP(-LN(2)/2))/(LN(2)/2)*BL186*BO186*VLOOKUP('Données projet'!$B$11,'Paramètres'!$A$1:$I$89,3,0)*0.475*44/12</f>
        <v>0</v>
      </c>
      <c r="BS186" s="143">
        <f t="shared" si="10"/>
        <v>18.61864155</v>
      </c>
      <c r="BT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1" t="str">
        <f>VLOOKUP(A186,'Données projet'!$A$113:$I$133,2,0)</f>
        <v>#N/A</v>
      </c>
      <c r="BW186" s="131" t="str">
        <f>VLOOKUP(A186,'Données projet'!$A$113:$I$133,9,0)</f>
        <v>#N/A</v>
      </c>
      <c r="BX186" s="131" t="str">
        <f t="array" ref="BX186">INDEX(BW:BW,MIN(IF(ISNUMBER(BW186:BW382),ROW(BW186:BW382),"")))</f>
        <v/>
      </c>
      <c r="BY186" s="130">
        <f>IF('Données projet'!$A$114&gt;35,BY185+BX186-CG185,IF(A186&lt;'Données projet'!$A$114,$BV$205^A186,IF(A186='Données projet'!$A$114,'Données projet'!$B$114,BY185+BX186-CG185)))</f>
        <v>0</v>
      </c>
      <c r="BZ186" s="130">
        <f>BY186*VLOOKUP('Données projet'!$B$12,'Paramètres'!$A$1:$I$89,3,0)*VLOOKUP('Données projet'!$B$12,'Paramètres'!$A$1:$I$89,5,0)</f>
        <v>0</v>
      </c>
      <c r="CA186" s="130" t="str">
        <f t="shared" si="40"/>
        <v>#NUM!</v>
      </c>
      <c r="CB186" s="141" t="str">
        <f t="shared" si="11"/>
        <v>#NUM!</v>
      </c>
      <c r="CC186" s="133" t="str">
        <f t="shared" si="12"/>
        <v>#NUM!</v>
      </c>
      <c r="CD186" s="133">
        <f>AVERAGE(OFFSET($CC$3,0,0,'Données projet'!$E$12+1,1))-AVERAGE(OFFSET($H$3,0,0,'Données projet'!$E$12+1,1))</f>
        <v>258.1672054</v>
      </c>
      <c r="CE186" s="133">
        <f t="shared" si="41"/>
        <v>296.0724261</v>
      </c>
      <c r="CF186" s="134">
        <f>IF(ISNA(VLOOKUP(A186,'Données projet'!$A$113:$I$133,3,0)),0,VLOOKUP(A186,'Données projet'!$A$113:$I$133,3,0))</f>
        <v>0</v>
      </c>
      <c r="CG186" s="134">
        <f>IF(ISNA(VLOOKUP(A186,'Données projet'!$A$113:$I$133,4,0)),0,VLOOKUP(A186,'Données projet'!$A$113:$I$133,4,0))</f>
        <v>0</v>
      </c>
      <c r="CH186" s="135">
        <f>IF(ISNA(VLOOKUP(A186,'Données projet'!$A$113:$I$133,5,0)),0%,VLOOKUP(A186,'Données projet'!$A$113:$I$133,5,0)*VLOOKUP('Données projet'!$B$12,'Paramètres'!$A$1:$I$89,7,0))</f>
        <v>0</v>
      </c>
      <c r="CI186" s="135">
        <f>IF(ISNA(VLOOKUP(A186,'Données projet'!$A$113:$I$133,6,0)),0%,VLOOKUP(A186,'Données projet'!$A$113:$I$133,6,0)*VLOOKUP('Données projet'!$B$12,'Paramètres'!$A$1:$I$89,7,0))</f>
        <v>0</v>
      </c>
      <c r="CJ186" s="135">
        <f>IF(ISNA(VLOOKUP(A186,'Données projet'!$A$113:$I$133,7,0)),0%,VLOOKUP(A186,'Données projet'!$A$113:$I$133,7,0))</f>
        <v>0</v>
      </c>
      <c r="CK186" s="142">
        <f>EXP(-LN(2)/35)*CK185+(1-EXP(-LN(2)/35))/(LN(2)/35)*CG186*CH186*VLOOKUP('Données projet'!$B$12,'Paramètres'!$A$1:$I$89,3,0)*0.475*44/12</f>
        <v>22.59841244</v>
      </c>
      <c r="CL186" s="142">
        <f>EXP(-LN(2)/25)*CL185+(1-EXP(-LN(2)/25))/(LN(2)/25)*Calculateur!CG186*Calculateur!CI186*VLOOKUP('Données projet'!$B$12,'Paramètres'!$A$1:$I$89,3,0)*0.475*44/12</f>
        <v>1.305854199</v>
      </c>
      <c r="CM186" s="142">
        <f>EXP(-LN(2)/2)*CM185+(1-EXP(-LN(2)/2))/(LN(2)/2)*CG186*CJ186*VLOOKUP('Données projet'!$B$12,'Paramètres'!$A$1:$I$89,3,0)*0.475*44/12</f>
        <v>0</v>
      </c>
      <c r="CN186" s="143">
        <f t="shared" si="13"/>
        <v>23.90426664</v>
      </c>
      <c r="CO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1" t="str">
        <f>VLOOKUP(A186,'Données projet'!$A$139:$I$159,2,0)</f>
        <v>#N/A</v>
      </c>
      <c r="CR186" s="131" t="str">
        <f>VLOOKUP(A186,'Données projet'!$A$139:$I$159,9,0)</f>
        <v>#N/A</v>
      </c>
      <c r="CS186" s="131" t="str">
        <f t="array" ref="CS186">INDEX(CR:CR,MIN(IF(ISNUMBER(CR186:CR382),ROW(CR186:CR382),"")))</f>
        <v/>
      </c>
      <c r="CT186" s="138">
        <f>IF('Données projet'!$A$140&gt;35,CT185+CS186-DB185,IF(A186&lt;'Données projet'!$A$140,$CQ$205^A186,IF(A186='Données projet'!$A$140,'Données projet'!$B$140,CT185+CS186-DB185)))</f>
        <v>0</v>
      </c>
      <c r="CU186" s="138">
        <f>CT186*VLOOKUP('Données projet'!$B$13,'Paramètres'!$A$1:$I$89,3,0)*VLOOKUP('Données projet'!$B$13,'Paramètres'!$A$1:$I$89,5,0)</f>
        <v>0</v>
      </c>
      <c r="CV186" s="130" t="str">
        <f t="shared" si="42"/>
        <v>#NUM!</v>
      </c>
      <c r="CW186" s="141" t="str">
        <f t="shared" si="14"/>
        <v>#NUM!</v>
      </c>
      <c r="CX186" s="133" t="str">
        <f t="shared" si="15"/>
        <v>#NUM!</v>
      </c>
      <c r="CY186" s="133">
        <f>AVERAGE(OFFSET($CX$3,0,0,'Données projet'!$E$13+1,1))-AVERAGE(OFFSET($H$3,0,0,'Données projet'!$E$13+1,1))</f>
        <v>223.783507</v>
      </c>
      <c r="CZ186" s="133">
        <f t="shared" si="43"/>
        <v>84.92349117</v>
      </c>
      <c r="DA186" s="134">
        <f>IF(ISNA(VLOOKUP(A186,'Données projet'!$A$139:$I$159,3,0)),0,VLOOKUP(A186,'Données projet'!$A$139:$I$159,3,0))</f>
        <v>0</v>
      </c>
      <c r="DB186" s="134">
        <f>IF(ISNA(VLOOKUP(A186,'Données projet'!$A$139:$I$159,4,0)),0,VLOOKUP(A186,'Données projet'!$A$139:$I$159,4,0))</f>
        <v>0</v>
      </c>
      <c r="DC186" s="135">
        <f>IF(ISNA(VLOOKUP(A186,'Données projet'!$A$139:$I$159,5,0)),0%,VLOOKUP(A186,'Données projet'!$A$139:$I$159,5,0)*VLOOKUP('Données projet'!$B$13,'Paramètres'!$A$1:$I$89,7,0))</f>
        <v>0</v>
      </c>
      <c r="DD186" s="135">
        <f>IF(ISNA(VLOOKUP(A186,'Données projet'!$A$139:$I$159,6,0)),0%,VLOOKUP(A186,'Données projet'!$A$139:$I$159,6,0)*VLOOKUP('Données projet'!$B$13,'Paramètres'!$A$1:$I$89,7,0))</f>
        <v>0</v>
      </c>
      <c r="DE186" s="135">
        <f>IF(ISNA(VLOOKUP(A186,'Données projet'!$A$139:$I$159,7,0)),0%,VLOOKUP(A186,'Données projet'!$A$139:$I$159,7,0))</f>
        <v>0</v>
      </c>
      <c r="DF186" s="142">
        <f>EXP(-LN(2)/35)*DF185+(1-EXP(-LN(2)/35))/(LN(2)/35)*DB186*DC186*VLOOKUP('Données projet'!$B$13,'Paramètres'!$A$1:$I$89,3,0)*0.475*44/12</f>
        <v>58.04159041</v>
      </c>
      <c r="DG186" s="142">
        <f>EXP(-LN(2)/25)*DG185+(1-EXP(-LN(2)/25))/(LN(2)/25)*Calculateur!DB186*Calculateur!DD186*VLOOKUP('Données projet'!$B$13,'Paramètres'!$A$1:$I$89,3,0)*0.475*44/12</f>
        <v>0</v>
      </c>
      <c r="DH186" s="142">
        <f>EXP(-LN(2)/2)*DH185+(1-EXP(-LN(2)/2))/(LN(2)/2)*DB186*DE186*VLOOKUP('Données projet'!$B$13,'Paramètres'!$A$1:$I$89,3,0)*0.475*44/12</f>
        <v>0</v>
      </c>
      <c r="DI186" s="143">
        <f t="shared" si="16"/>
        <v>58.04159041</v>
      </c>
      <c r="DJ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1" t="str">
        <f>VLOOKUP(A186,'Données projet'!$A$165:$I$185,2,0)</f>
        <v>#N/A</v>
      </c>
      <c r="DM186" s="131" t="str">
        <f>VLOOKUP(A186,'Données projet'!$A$165:$I$185,9,0)</f>
        <v>#N/A</v>
      </c>
      <c r="DN186" s="131" t="str">
        <f t="array" ref="DN186">INDEX(DM:DM,MIN(IF(ISNUMBER(DM186:DM382),ROW(DM186:DM382),"")))</f>
        <v/>
      </c>
      <c r="DO186" s="138">
        <f>IF('Données projet'!$A$166&gt;35,DO185+DN186-DW185,IF(A186&lt;'Données projet'!$A$166,$DL$205^A186,IF(A186='Données projet'!$A$166,'Données projet'!$B$166,DO185+DN186-DW185)))</f>
        <v>0</v>
      </c>
      <c r="DP186" s="138">
        <f>DO186*VLOOKUP('Données projet'!$B$14,'Paramètres'!$A$1:$I$89,3,0)*VLOOKUP('Données projet'!$B$14,'Paramètres'!$A$1:$I$89,5,0)</f>
        <v>0</v>
      </c>
      <c r="DQ186" s="130" t="str">
        <f t="shared" si="44"/>
        <v>#NUM!</v>
      </c>
      <c r="DR186" s="141" t="str">
        <f t="shared" si="17"/>
        <v>#NUM!</v>
      </c>
      <c r="DS186" s="133" t="str">
        <f t="shared" si="18"/>
        <v>#NUM!</v>
      </c>
      <c r="DT186" s="133">
        <f>AVERAGE(OFFSET($DS$3,0,0,'Données projet'!$E$14+1,1))-AVERAGE(OFFSET($H$3,0,0,'Données projet'!$E$14+1,1))</f>
        <v>287.9334714</v>
      </c>
      <c r="DU186" s="133">
        <f t="shared" si="45"/>
        <v>156.6796502</v>
      </c>
      <c r="DV186" s="134">
        <f>IF(ISNA(VLOOKUP(A186,'Données projet'!$A$165:$I$185,3,0)),0,VLOOKUP(A186,'Données projet'!$A$165:$I$185,3,0))</f>
        <v>0</v>
      </c>
      <c r="DW186" s="134">
        <f>IF(ISNA(VLOOKUP(A186,'Données projet'!$A$165:$I$185,4,0)),0,VLOOKUP(A186,'Données projet'!$A$165:$I$185,4,0))</f>
        <v>0</v>
      </c>
      <c r="DX186" s="135">
        <f>IF(ISNA(VLOOKUP(A186,'Données projet'!$A$165:$I$185,5,0)),0%,VLOOKUP(A186,'Données projet'!$A$165:$I$185,5,0)*VLOOKUP('Données projet'!$B$14,'Paramètres'!$A$1:$I$89,7,0))</f>
        <v>0</v>
      </c>
      <c r="DY186" s="135">
        <f>IF(ISNA(VLOOKUP(A186,'Données projet'!$A$165:$I$185,6,0)),0%,VLOOKUP(A186,'Données projet'!$A$165:$I$185,6,0)*VLOOKUP('Données projet'!$B$14,'Paramètres'!$A$1:$I$89,7,0))</f>
        <v>0</v>
      </c>
      <c r="DZ186" s="135">
        <f>IF(ISNA(VLOOKUP(A186,'Données projet'!$A$165:$I$185,7,0)),0%,VLOOKUP(A186,'Données projet'!$A$165:$I$185,7,0))</f>
        <v>0</v>
      </c>
      <c r="EA186" s="142">
        <f>EXP(-LN(2)/35)*EA185+(1-EXP(-LN(2)/35))/(LN(2)/35)*DW186*DX186*VLOOKUP('Données projet'!$B$14,'Paramètres'!$A$1:$I$89,3,0)*0.475*44/12</f>
        <v>67.42790432</v>
      </c>
      <c r="EB186" s="142">
        <f>EXP(-LN(2)/25)*EB185+(1-EXP(-LN(2)/25))/(LN(2)/25)*Calculateur!DW186*Calculateur!DY186*VLOOKUP('Données projet'!$B$14,'Paramètres'!$A$1:$I$89,3,0)*0.475*44/12</f>
        <v>0</v>
      </c>
      <c r="EC186" s="142">
        <f>EXP(-LN(2)/2)*EC185+(1-EXP(-LN(2)/2))/(LN(2)/2)*DW186*DZ186*VLOOKUP('Données projet'!$B$14,'Paramètres'!$A$1:$I$89,3,0)*0.475*44/12</f>
        <v>0</v>
      </c>
      <c r="ED186" s="143">
        <f t="shared" si="19"/>
        <v>67.42790432</v>
      </c>
      <c r="EE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1" t="str">
        <f>VLOOKUP(A186,'Données projet'!$A$191:$I$211,2,0)</f>
        <v>#N/A</v>
      </c>
      <c r="EH186" s="131" t="str">
        <f>VLOOKUP(A186,'Données projet'!$A$191:$I$211,9,0)</f>
        <v>#N/A</v>
      </c>
      <c r="EI186" s="131" t="str">
        <f t="array" ref="EI186">INDEX(EH:EH,MIN(IF(ISNUMBER(EH186:EH382),ROW(EH186:EH382),"")))</f>
        <v/>
      </c>
      <c r="EJ186" s="138">
        <f>IF('Données projet'!$A$192&gt;35,EJ185+EI186-ER185,IF(A186&lt;'Données projet'!$A$192,$EG$205^A186,IF(A186='Données projet'!$A$192,'Données projet'!$B$192,EJ185+EI186-ER185)))</f>
        <v>0</v>
      </c>
      <c r="EK186" s="138">
        <f>EJ186*VLOOKUP('Données projet'!$B$15,'Paramètres'!$A$1:$I$89,3,0)*VLOOKUP('Données projet'!$B$15,'Paramètres'!$A$1:$I$89,5,0)</f>
        <v>0</v>
      </c>
      <c r="EL186" s="130" t="str">
        <f t="shared" si="46"/>
        <v>#NUM!</v>
      </c>
      <c r="EM186" s="141" t="str">
        <f t="shared" si="20"/>
        <v>#NUM!</v>
      </c>
      <c r="EN186" s="133" t="str">
        <f t="shared" si="21"/>
        <v>#NUM!</v>
      </c>
      <c r="EO186" s="133">
        <f>AVERAGE(OFFSET($EN$3,0,0,'Données projet'!$E$15+1,1))-AVERAGE(OFFSET($H$3,0,0,'Données projet'!$E$15+1,1))</f>
        <v>130.3193339</v>
      </c>
      <c r="EP186" s="133">
        <f t="shared" si="47"/>
        <v>82.22784365</v>
      </c>
      <c r="EQ186" s="134">
        <f>IF(ISNA(VLOOKUP(A186,'Données projet'!$A$191:$I$211,3,0)),0,VLOOKUP(A186,'Données projet'!$A$191:$I$211,3,0))</f>
        <v>0</v>
      </c>
      <c r="ER186" s="134">
        <f>IF(ISNA(VLOOKUP(A186,'Données projet'!$A$191:$I$211,4,0)),0,VLOOKUP(A186,'Données projet'!$A$191:$I$211,4,0))</f>
        <v>0</v>
      </c>
      <c r="ES186" s="135">
        <f>IF(ISNA(VLOOKUP(A186,'Données projet'!$A$191:$I$211,5,0)),0%,VLOOKUP(A186,'Données projet'!$A$191:$I$211,5,0)*VLOOKUP('Données projet'!$B$15,'Paramètres'!$A$1:$I$89,7,0))</f>
        <v>0</v>
      </c>
      <c r="ET186" s="135">
        <f>IF(ISNA(VLOOKUP(A186,'Données projet'!$A$191:$I$211,6,0)),0%,VLOOKUP(A186,'Données projet'!$A$191:$I$211,6,0)*VLOOKUP('Données projet'!$B$15,'Paramètres'!$A$1:$I$89,7,0))</f>
        <v>0</v>
      </c>
      <c r="EU186" s="135">
        <f>IF(ISNA(VLOOKUP(A186,'Données projet'!$A$191:$I$211,7,0)),0%,VLOOKUP(A186,'Données projet'!$A$191:$I$211,7,0))</f>
        <v>0</v>
      </c>
      <c r="EV186" s="142">
        <f>EXP(-LN(2)/35)*EV185+(1-EXP(-LN(2)/35))/(LN(2)/35)*ER186*ES186*VLOOKUP('Données projet'!$B$15,'Paramètres'!$A$1:$I$89,3,0)*0.475*44/12</f>
        <v>13.81846171</v>
      </c>
      <c r="EW186" s="142">
        <f>EXP(-LN(2)/25)*EW185+(1-EXP(-LN(2)/25))/(LN(2)/25)*Calculateur!ER186*Calculateur!ET186*VLOOKUP('Données projet'!$B$15,'Paramètres'!$A$1:$I$89,3,0)*0.475*44/12</f>
        <v>0</v>
      </c>
      <c r="EX186" s="142">
        <f>EXP(-LN(2)/2)*EX185+(1-EXP(-LN(2)/2))/(LN(2)/2)*ER186*EU186*VLOOKUP('Données projet'!$B$15,'Paramètres'!$A$1:$I$89,3,0)*0.475*44/12</f>
        <v>0</v>
      </c>
      <c r="EY186" s="143">
        <f t="shared" si="22"/>
        <v>13.81846171</v>
      </c>
      <c r="EZ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1" t="str">
        <f>VLOOKUP(A186,'Données projet'!$A$217:$I$237,2,0)</f>
        <v>#N/A</v>
      </c>
      <c r="FC186" s="131" t="str">
        <f>VLOOKUP(A186,'Données projet'!$A$217:$I$237,9,0)</f>
        <v>#N/A</v>
      </c>
      <c r="FD186" s="131" t="str">
        <f t="array" ref="FD186">INDEX(FC:FC,MIN(IF(ISNUMBER(FC186:FC382),ROW(FC186:FC382),"")))</f>
        <v/>
      </c>
      <c r="FE186" s="130">
        <f>IF('Données projet'!$A$218&gt;35,FE185+FD186-FM185,IF(A186&lt;'Données projet'!$A$218,$FB$205^A186,IF(A186='Données projet'!$A$218,'Données projet'!$B$218,FE185+FD186-FM185)))</f>
        <v>0</v>
      </c>
      <c r="FF186" s="138">
        <f>FE186*VLOOKUP('Données projet'!$B$16,'Paramètres'!$A$1:$I$89,3,0)*VLOOKUP('Données projet'!$B$16,'Paramètres'!$A$1:$I$89,5,0)</f>
        <v>0</v>
      </c>
      <c r="FG186" s="130">
        <f t="shared" si="48"/>
        <v>0</v>
      </c>
      <c r="FH186" s="141">
        <f t="shared" si="23"/>
        <v>0</v>
      </c>
      <c r="FI186" s="133">
        <f t="shared" si="24"/>
        <v>293.3333333</v>
      </c>
      <c r="FJ186" s="133">
        <f>AVERAGE(OFFSET($FI$3,0,0,'Données projet'!$E$16+1,1))-AVERAGE(OFFSET($H$3,0,0,'Données projet'!$E$16+1,1))</f>
        <v>305.6252353</v>
      </c>
      <c r="FK186" s="133">
        <f t="shared" si="49"/>
        <v>331.397916</v>
      </c>
      <c r="FL186" s="134">
        <f>IF(ISNA(VLOOKUP(A186,'Données projet'!$A$217:$I$237,3,0)),0,VLOOKUP(A186,'Données projet'!$A$217:$I$237,3,0))</f>
        <v>0</v>
      </c>
      <c r="FM186" s="134">
        <f>IF(ISNA(VLOOKUP(A186,'Données projet'!$A$217:$I$237,4,0)),0,VLOOKUP(A186,'Données projet'!$A$217:$I$237,4,0))</f>
        <v>0</v>
      </c>
      <c r="FN186" s="135">
        <f>IF(ISNA(VLOOKUP(A186,'Données projet'!$A$217:$I$237,5,0)),0%,VLOOKUP(A186,'Données projet'!$A$217:$I$237,5,0)*VLOOKUP('Données projet'!$B$16,'Paramètres'!$A$1:$I$89,7,0))</f>
        <v>0</v>
      </c>
      <c r="FO186" s="135">
        <f>IF(ISNA(VLOOKUP(A186,'Données projet'!$A$217:$I$237,6,0)),0%,VLOOKUP(A186,'Données projet'!$A$217:$I$237,6,0)*VLOOKUP('Données projet'!$B$16,'Paramètres'!$A$1:$I$89,7,0))</f>
        <v>0</v>
      </c>
      <c r="FP186" s="135">
        <f>IF(ISNA(VLOOKUP(A186,'Données projet'!$A$217:$I$237,7,0)),0%,VLOOKUP(A186,'Données projet'!$A$217:$I$237,7,0))</f>
        <v>0</v>
      </c>
      <c r="FQ186" s="142">
        <f>EXP(-LN(2)/35)*FQ185+(1-EXP(-LN(2)/35))/(LN(2)/35)*FM186*FN186*VLOOKUP('Données projet'!$B$16,'Paramètres'!$A$1:$I$89,3,0)*0.475*44/12</f>
        <v>8.603787227</v>
      </c>
      <c r="FR186" s="142">
        <f>EXP(-LN(2)/25)*FR185+(1-EXP(-LN(2)/25))/(LN(2)/25)*Calculateur!FM186*Calculateur!FO186*VLOOKUP('Données projet'!$B$16,'Paramètres'!$A$1:$I$89,3,0)*0.475*44/12</f>
        <v>0</v>
      </c>
      <c r="FS186" s="142">
        <f>EXP(-LN(2)/2)*FS185+(1-EXP(-LN(2)/2))/(LN(2)/2)*FM186*FP186*VLOOKUP('Données projet'!$B$16,'Paramètres'!$A$1:$I$89,3,0)*0.475*44/12</f>
        <v>0</v>
      </c>
      <c r="FT186" s="143">
        <f t="shared" si="25"/>
        <v>8.603787227</v>
      </c>
      <c r="FU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1" t="str">
        <f>VLOOKUP(A186,'Données projet'!$A$243:$I$263,2,0)</f>
        <v>#N/A</v>
      </c>
      <c r="FX186" s="131" t="str">
        <f>VLOOKUP(A186,'Données projet'!$A$243:$I$263,9,0)</f>
        <v>#N/A</v>
      </c>
      <c r="FY186" s="131" t="str">
        <f t="array" ref="FY186">INDEX(FX:FX,MIN(IF(ISNUMBER(FX186:FX382),ROW(FX186:FX382),"")))</f>
        <v/>
      </c>
      <c r="FZ186" s="138">
        <f>IF('Données projet'!$A$244&gt;35,FZ185+FY186-GH185,IF(A186&lt;'Données projet'!$A$244,$FW$205^A186,IF(A186='Données projet'!$A$244,'Données projet'!$B$244,FZ185+FY186-GH185)))</f>
        <v>0</v>
      </c>
      <c r="GA186" s="138">
        <f>FZ186*VLOOKUP('Données projet'!$B$17,'Paramètres'!$A$1:$I$89,3,0)*VLOOKUP('Données projet'!$B$17,'Paramètres'!$A$1:$I$89,5,0)</f>
        <v>0</v>
      </c>
      <c r="GB186" s="130">
        <f t="shared" si="50"/>
        <v>0</v>
      </c>
      <c r="GC186" s="141">
        <f t="shared" si="26"/>
        <v>0</v>
      </c>
      <c r="GD186" s="133">
        <f t="shared" si="27"/>
        <v>293.3333333</v>
      </c>
      <c r="GE186" s="133">
        <f>AVERAGE(OFFSET($GD$3,0,0,'Données projet'!$E$17+1,1))-AVERAGE(OFFSET($H$3,0,0,'Données projet'!$E$17+1,1))</f>
        <v>118.7368745</v>
      </c>
      <c r="GF186" s="133">
        <f t="shared" si="51"/>
        <v>135.1233677</v>
      </c>
      <c r="GG186" s="134">
        <f>IF(ISNA(VLOOKUP(A186,'Données projet'!$A$243:$I$263,3,0)),0,VLOOKUP(A186,'Données projet'!$A$243:$I$263,3,0))</f>
        <v>0</v>
      </c>
      <c r="GH186" s="134">
        <f>IF(ISNA(VLOOKUP(A186,'Données projet'!$A$243:$I$263,4,0)),0,VLOOKUP(A186,'Données projet'!$A$243:$I$263,4,0))</f>
        <v>0</v>
      </c>
      <c r="GI186" s="135">
        <f>IF(ISNA(VLOOKUP(A186,'Données projet'!$A$243:$I$263,5,0)),0%,VLOOKUP(A186,'Données projet'!$A$243:$I$263,5,0)*VLOOKUP('Données projet'!$B$17,'Paramètres'!$A$1:$I$89,7,0))</f>
        <v>0</v>
      </c>
      <c r="GJ186" s="135">
        <f>IF(ISNA(VLOOKUP(A186,'Données projet'!$A$243:$I$263,6,0)),0%,VLOOKUP(A186,'Données projet'!$A$243:$I$263,6,0)*VLOOKUP('Données projet'!$B$17,'Paramètres'!$A$1:$I$89,7,0))</f>
        <v>0</v>
      </c>
      <c r="GK186" s="135">
        <f>IF(ISNA(VLOOKUP(A186,'Données projet'!$A$243:$I$263,7,0)),0%,VLOOKUP(A186,'Données projet'!$A$243:$I$263,7,0))</f>
        <v>0</v>
      </c>
      <c r="GL186" s="142">
        <f>EXP(-LN(2)/35)*GL185+(1-EXP(-LN(2)/35))/(LN(2)/35)*GH186*GI186*VLOOKUP('Données projet'!$B$17,'Paramètres'!$A$1:$I$89,3,0)*0.475*44/12</f>
        <v>9.089874598</v>
      </c>
      <c r="GM186" s="142">
        <f>EXP(-LN(2)/25)*GM185+(1-EXP(-LN(2)/25))/(LN(2)/25)*Calculateur!GH186*Calculateur!GJ186*VLOOKUP('Données projet'!$B$17,'Paramètres'!$A$1:$I$89,3,0)*0.475*44/12</f>
        <v>0</v>
      </c>
      <c r="GN186" s="142">
        <f>EXP(-LN(2)/2)*GN185+(1-EXP(-LN(2)/2))/(LN(2)/2)*GH186*GK186*VLOOKUP('Données projet'!$B$17,'Paramètres'!$A$1:$I$89,3,0)*0.475*44/12</f>
        <v>0</v>
      </c>
      <c r="GO186" s="142">
        <f t="shared" si="28"/>
        <v>9.089874598</v>
      </c>
      <c r="GP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1" t="str">
        <f>VLOOKUP(A186,'Données projet'!$A$269:$I$289,2,0)</f>
        <v>#N/A</v>
      </c>
      <c r="GS186" s="131" t="str">
        <f>VLOOKUP(A186,'Données projet'!$A$269:$I$289,9,0)</f>
        <v>#N/A</v>
      </c>
      <c r="GT186" s="131" t="str">
        <f t="array" ref="GT186">INDEX(GS:GS,MIN(IF(ISNUMBER(GS186:GS382),ROW(GS186:GS382),"")))</f>
        <v/>
      </c>
      <c r="GU186" s="138">
        <f>IF('Données projet'!$A$270&gt;35,GU185+GT186-HC185,IF(A186&lt;'Données projet'!$A$270,$GR$205^A186,IF(A186='Données projet'!$A$270,'Données projet'!$B$270,GU185+GT186-HC185)))</f>
        <v>0</v>
      </c>
      <c r="GV186" s="138">
        <f>GU186*VLOOKUP('Données projet'!$B$18,'Paramètres'!$A$1:$I$89,3,0)*VLOOKUP('Données projet'!$B$18,'Paramètres'!$A$1:$I$89,5,0)</f>
        <v>0</v>
      </c>
      <c r="GW186" s="130" t="str">
        <f t="shared" si="52"/>
        <v>#NUM!</v>
      </c>
      <c r="GX186" s="141" t="str">
        <f t="shared" si="29"/>
        <v>#NUM!</v>
      </c>
      <c r="GY186" s="133" t="str">
        <f t="shared" si="30"/>
        <v>#NUM!</v>
      </c>
      <c r="GZ186" s="133">
        <f>AVERAGE(OFFSET($GY$3,0,0,'Données projet'!$E$18+1,1))-AVERAGE(OFFSET($H$3,0,0,'Données projet'!$E$18+1,1))</f>
        <v>100.5427875</v>
      </c>
      <c r="HA186" s="133">
        <f t="shared" si="53"/>
        <v>92.28663609</v>
      </c>
      <c r="HB186" s="134">
        <f>IF(ISNA(VLOOKUP(A186,'Données projet'!$A$269:$I$289,3,0)),0,VLOOKUP(A186,'Données projet'!$A$269:$I$289,3,0))</f>
        <v>0</v>
      </c>
      <c r="HC186" s="134">
        <f>IF(ISNA(VLOOKUP(A186,'Données projet'!$A$269:$I$289,4,0)),0,VLOOKUP(A186,'Données projet'!$A$269:$I$289,4,0))</f>
        <v>0</v>
      </c>
      <c r="HD186" s="135">
        <f>IF(ISNA(VLOOKUP(A186,'Données projet'!$A$269:$I$289,5,0)),0%,VLOOKUP(A186,'Données projet'!$A$269:$I$289,5,0)*VLOOKUP('Données projet'!$B$18,'Paramètres'!$A$1:$I$89,7,0))</f>
        <v>0</v>
      </c>
      <c r="HE186" s="135">
        <f>IF(ISNA(VLOOKUP(A186,'Données projet'!$A$269:$I$289,6,0)),0%,VLOOKUP(A186,'Données projet'!$A$269:$I$289,6,0)*VLOOKUP('Données projet'!$B$18,'Paramètres'!$A$1:$I$89,7,0))</f>
        <v>0</v>
      </c>
      <c r="HF186" s="135">
        <f>IF(ISNA(VLOOKUP(A186,'Données projet'!$A$269:$I$289,7,0)),0%,VLOOKUP(A186,'Données projet'!$A$269:$I$289,7,0))</f>
        <v>0</v>
      </c>
      <c r="HG186" s="142">
        <f>EXP(-LN(2)/35)*HG185+(1-EXP(-LN(2)/35))/(LN(2)/35)*HC186*HD186*VLOOKUP('Données projet'!$B$18,'Paramètres'!$A$1:$I$89,3,0)*0.475*44/12</f>
        <v>6.19001284</v>
      </c>
      <c r="HH186" s="142">
        <f>EXP(-LN(2)/25)*HH185+(1-EXP(-LN(2)/25))/(LN(2)/25)*Calculateur!HC186*Calculateur!HE186*VLOOKUP('Données projet'!$B$18,'Paramètres'!$A$1:$I$89,3,0)*0.475*44/12</f>
        <v>0</v>
      </c>
      <c r="HI186" s="142">
        <f>EXP(-LN(2)/2)*HI185+(1-EXP(-LN(2)/2))/(LN(2)/2)*HC186*HF186*VLOOKUP('Données projet'!$B$18,'Paramètres'!$A$1:$I$89,3,0)*0.475*44/12</f>
        <v>0</v>
      </c>
      <c r="HJ186" s="143">
        <f t="shared" si="31"/>
        <v>6.19001284</v>
      </c>
    </row>
    <row r="187" ht="15.75" customHeight="1">
      <c r="A187" s="125">
        <f t="shared" si="32"/>
        <v>184</v>
      </c>
      <c r="B187" s="126">
        <f>'Scénario référence'!$B$16*5+'Scénario référence'!$B$17*0+'Scénario référence'!$B$18*5</f>
        <v>0</v>
      </c>
      <c r="C187" s="140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87" s="127">
        <f t="shared" si="33"/>
        <v>27.07250935</v>
      </c>
      <c r="E18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7">
        <f>IF(OR('Scénario référence'!$F$8&gt;0,'Scénario référence'!$F$9&gt;0),('Scénario référence'!$F$8+'Scénario référence'!$F$9)*10,0)</f>
        <v>10</v>
      </c>
      <c r="G187" s="127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984.4923529</v>
      </c>
      <c r="H187" s="128">
        <f t="shared" si="1"/>
        <v>515.4594205</v>
      </c>
      <c r="I187" s="12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1" t="str">
        <f>VLOOKUP(A187,'Données projet'!$A$35:$I$55,2,0)</f>
        <v>#N/A</v>
      </c>
      <c r="L187" s="131" t="str">
        <f>VLOOKUP(A187,'Données projet'!$A$35:$I$55,9,0)</f>
        <v>#N/A</v>
      </c>
      <c r="M187" s="131" t="str">
        <f t="array" ref="M187">INDEX(L:L,MIN(IF(ISNUMBER(L187:L383),ROW(L187:L383),"")))</f>
        <v/>
      </c>
      <c r="N187" s="130">
        <f>IF('Données projet'!$A$36&gt;35,N186+M187-V186,IF(A187&lt;'Données projet'!$A$36,$K$205^A187,IF(A187='Données projet'!$A$36,'Données projet'!$B$36,N186+M187-V186)))</f>
        <v>0</v>
      </c>
      <c r="O187" s="130">
        <f>N187*VLOOKUP('Données projet'!$B$9,'Paramètres'!$A$1:$I$89,3,0)*VLOOKUP('Données projet'!$B$9,'Paramètres'!$A$1:$I$89,5,0)</f>
        <v>0</v>
      </c>
      <c r="P187" s="130">
        <f t="shared" si="34"/>
        <v>0</v>
      </c>
      <c r="Q187" s="141">
        <f t="shared" si="2"/>
        <v>0</v>
      </c>
      <c r="R187" s="133">
        <f t="shared" si="3"/>
        <v>293.3333333</v>
      </c>
      <c r="S187" s="133">
        <f>AVERAGE(OFFSET($R$3,0,0,'Données projet'!$E$9+1,1))-AVERAGE(OFFSET($H$3,0,0,'Données projet'!$E$9+1,1))</f>
        <v>126.9946492</v>
      </c>
      <c r="T187" s="133">
        <f t="shared" si="35"/>
        <v>140.039049</v>
      </c>
      <c r="U187" s="134">
        <f>IF(ISNA(VLOOKUP(A187,'Données projet'!$A$35:$I$55,3,0)),0,VLOOKUP(A187,'Données projet'!$A$35:$I$55,3,0))</f>
        <v>0</v>
      </c>
      <c r="V187" s="134">
        <f>IF(ISNA(VLOOKUP(A187,'Données projet'!$A$35:$I$55,4,0)),0,VLOOKUP(A187,'Données projet'!$A$35:$I$55,4,0))</f>
        <v>0</v>
      </c>
      <c r="W187" s="135">
        <f>IF(ISNA(VLOOKUP(A187,'Données projet'!$A$35:$I$55,5,0)),0%,VLOOKUP(A187,'Données projet'!$A$35:$I$55,5,0)*VLOOKUP('Données projet'!$B$9,'Paramètres'!$A$1:$I$89,7,0))</f>
        <v>0</v>
      </c>
      <c r="X187" s="135">
        <f>IF(ISNA(VLOOKUP(A187,'Données projet'!$A$35:$I$55,6,0)),0%,VLOOKUP(A187,'Données projet'!$A$35:$I$55,6,0)*VLOOKUP('Données projet'!$B$9,'Paramètres'!$A$1:$I$89,7,0))</f>
        <v>0</v>
      </c>
      <c r="Y187" s="135">
        <f>IF(ISNA(VLOOKUP(A187,'Données projet'!$A$35:$I$55,7,0)),0%,VLOOKUP(A187,'Données projet'!$A$35:$I$55,7,0))</f>
        <v>0</v>
      </c>
      <c r="Z187" s="142">
        <f>EXP(-LN(2)/35)*Z186+(1-EXP(-LN(2)/35))/(LN(2)/35)*V187*W187*VLOOKUP('Données projet'!$B$9,'Paramètres'!$A$1:$I$89,3,0)*0.475*44/12</f>
        <v>9.114611379</v>
      </c>
      <c r="AA187" s="142">
        <f>EXP(-LN(2)/25)*AA186+(1-EXP(-LN(2)/25))/(LN(2)/25)*Calculateur!V187*Calculateur!X187*VLOOKUP('Données projet'!$B$9,'Paramètres'!$A$1:$I$89,3,0)*0.475*44/12</f>
        <v>0.7466242093</v>
      </c>
      <c r="AB187" s="142">
        <f>EXP(-LN(2)/2)*AB186+(1-EXP(-LN(2)/2))/(LN(2)/2)*V187*Y187*VLOOKUP('Données projet'!$B$9,'Paramètres'!$A$1:$I$89,3,0)*0.475*44/12</f>
        <v>0</v>
      </c>
      <c r="AC187" s="143">
        <f t="shared" si="4"/>
        <v>9.861235589</v>
      </c>
      <c r="AD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1" t="str">
        <f>VLOOKUP(A187,'Données projet'!$A$61:$I$81,2,0)</f>
        <v>#N/A</v>
      </c>
      <c r="AG187" s="131" t="str">
        <f>VLOOKUP(A187,'Données projet'!$A$61:$I$81,9,0)</f>
        <v>#N/A</v>
      </c>
      <c r="AH187" s="131" t="str">
        <f t="array" ref="AH187">INDEX(AG:AG,MIN(IF(ISNUMBER(AG187:AG383),ROW(AG187:AG383),"")))</f>
        <v/>
      </c>
      <c r="AI187" s="130">
        <f>IF('Données projet'!$A$62&gt;35,AI186+AH187-AQ186,IF(A187&lt;'Données projet'!$A$62,$AF$205^A187,IF(A187='Données projet'!$A$62,'Données projet'!$B$62,AI186+AH187-AQ186)))</f>
        <v>0</v>
      </c>
      <c r="AJ187" s="130">
        <f>AI187*VLOOKUP('Données projet'!$B$10,'Paramètres'!$A$1:$I$89,3,0)*VLOOKUP('Données projet'!$B$10,'Paramètres'!$A$1:$I$89,5,0)</f>
        <v>0</v>
      </c>
      <c r="AK187" s="130" t="str">
        <f t="shared" si="36"/>
        <v>#NUM!</v>
      </c>
      <c r="AL187" s="141" t="str">
        <f t="shared" si="5"/>
        <v>#NUM!</v>
      </c>
      <c r="AM187" s="133" t="str">
        <f t="shared" si="6"/>
        <v>#NUM!</v>
      </c>
      <c r="AN187" s="133">
        <f>AVERAGE(OFFSET($AM$3,0,0,'Données projet'!$E$10+1,1))-AVERAGE(OFFSET($H$3,0,0,'Données projet'!$E$10+1,1))</f>
        <v>196.874484</v>
      </c>
      <c r="AO187" s="133">
        <f t="shared" si="37"/>
        <v>217.5750859</v>
      </c>
      <c r="AP187" s="134">
        <f>IF(ISNA(VLOOKUP(A187,'Données projet'!$A$61:$I$81,3,0)),0,VLOOKUP(A187,'Données projet'!$A$61:$I$81,3,0))</f>
        <v>0</v>
      </c>
      <c r="AQ187" s="134">
        <f>IF(ISNA(VLOOKUP(A187,'Données projet'!$A$61:$I$81,4,0)),0,VLOOKUP(A187,'Données projet'!$A$61:$I$81,4,0))</f>
        <v>0</v>
      </c>
      <c r="AR187" s="135">
        <f>IF(ISNA(VLOOKUP(A187,'Données projet'!$A$61:$I$81,5,0)),0%,VLOOKUP(A187,'Données projet'!$A$61:$I$81,5,0)*VLOOKUP('Données projet'!$B$10,'Paramètres'!$A$1:$I$89,7,0))</f>
        <v>0</v>
      </c>
      <c r="AS187" s="135">
        <f>IF(ISNA(VLOOKUP(A187,'Données projet'!$A$61:$I$81,6,0)),0%,VLOOKUP(A187,'Données projet'!$A$61:$I$81,6,0)*VLOOKUP('Données projet'!$B$10,'Paramètres'!$A$1:$I$89,7,0))</f>
        <v>0</v>
      </c>
      <c r="AT187" s="135">
        <f>IF(ISNA(VLOOKUP(A187,'Données projet'!$A$61:$I$81,7,0)),0%,VLOOKUP(A187,'Données projet'!$A$61:$I$81,7,0))</f>
        <v>0</v>
      </c>
      <c r="AU187" s="142">
        <f>EXP(-LN(2)/35)*AU186+(1-EXP(-LN(2)/35))/(LN(2)/35)*AQ187*AR187*VLOOKUP('Données projet'!$B$10,'Paramètres'!$A$1:$I$89,3,0)*0.475*44/12</f>
        <v>12.66905093</v>
      </c>
      <c r="AV187" s="142">
        <f>EXP(-LN(2)/25)*AV186+(1-EXP(-LN(2)/25))/(LN(2)/25)*Calculateur!AQ187*Calculateur!AS187*VLOOKUP('Données projet'!$B$10,'Paramètres'!$A$1:$I$89,3,0)*0.475*44/12</f>
        <v>1.147935719</v>
      </c>
      <c r="AW187" s="142">
        <f>EXP(-LN(2)/2)*AW186+(1-EXP(-LN(2)/2))/(LN(2)/2)*AQ187*AT187*VLOOKUP('Données projet'!$B$10,'Paramètres'!$A$1:$I$89,3,0)*0.475*44/12</f>
        <v>0</v>
      </c>
      <c r="AX187" s="142">
        <f t="shared" si="7"/>
        <v>13.81698665</v>
      </c>
      <c r="AY187" s="13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1" t="str">
        <f>VLOOKUP(A187,'Données projet'!$A$87:$I$107,2,0)</f>
        <v>#N/A</v>
      </c>
      <c r="BB187" s="131" t="str">
        <f>VLOOKUP(A187,'Données projet'!$A$87:$I$107,9,0)</f>
        <v>#N/A</v>
      </c>
      <c r="BC187" s="131" t="str">
        <f t="array" ref="BC187">INDEX(BB:BB,MIN(IF(ISNUMBER(BB187:BB383),ROW(BB187:BB383),"")))</f>
        <v/>
      </c>
      <c r="BD187" s="130">
        <f>IF('Données projet'!$A$88&gt;35,BD186+BC187-BL186,IF(A187&lt;'Données projet'!$A$88,$BA$205^A187,IF(A187='Données projet'!$A$88,'Données projet'!$B$88,BD186+BC187-BL186)))</f>
        <v>0</v>
      </c>
      <c r="BE187" s="130">
        <f>BD187*VLOOKUP('Données projet'!$B$11,'Paramètres'!$A$1:$I$89,3,0)*VLOOKUP('Données projet'!$B$11,'Paramètres'!$A$1:$I$89,5,0)</f>
        <v>0</v>
      </c>
      <c r="BF187" s="130" t="str">
        <f t="shared" si="38"/>
        <v>#NUM!</v>
      </c>
      <c r="BG187" s="141" t="str">
        <f t="shared" si="8"/>
        <v>#NUM!</v>
      </c>
      <c r="BH187" s="133" t="str">
        <f t="shared" si="9"/>
        <v>#NUM!</v>
      </c>
      <c r="BI187" s="133">
        <f>AVERAGE(OFFSET($BH$3,0,0,'Données projet'!$E$11+1,1))-AVERAGE(OFFSET($H$3,0,0,'Données projet'!$E$11+1,1))</f>
        <v>134.0948534</v>
      </c>
      <c r="BJ187" s="133">
        <f t="shared" si="39"/>
        <v>108.4102536</v>
      </c>
      <c r="BK187" s="134">
        <f>IF(ISNA(VLOOKUP(A187,'Données projet'!$A$87:$I$107,3,0)),0,VLOOKUP(A187,'Données projet'!$A$87:$I$107,3,0))</f>
        <v>0</v>
      </c>
      <c r="BL187" s="134">
        <f>IF(ISNA(VLOOKUP(A187,'Données projet'!$A$87:$I$107,4,0)),0,VLOOKUP(A187,'Données projet'!$A$87:$I$107,4,0))</f>
        <v>0</v>
      </c>
      <c r="BM187" s="135">
        <f>IF(ISNA(VLOOKUP(A187,'Données projet'!$A$87:$I$107,5,0)),0%,VLOOKUP(A187,'Données projet'!$A$87:$I$107,5,0)*VLOOKUP('Données projet'!$B$11,'Paramètres'!$A$1:$I$89,7,0))</f>
        <v>0</v>
      </c>
      <c r="BN187" s="135">
        <f>IF(ISNA(VLOOKUP(A187,'Données projet'!$A$87:$I$107,6,0)),0%,VLOOKUP(A187,'Données projet'!$A$87:$I$107,6,0)*VLOOKUP('Données projet'!$B$11,'Paramètres'!$A$1:$I$89,7,0))</f>
        <v>0</v>
      </c>
      <c r="BO187" s="135">
        <f>IF(ISNA(VLOOKUP(A187,'Données projet'!$A$87:$I$107,7,0)),0%,VLOOKUP(A187,'Données projet'!$A$87:$I$107,7,0))</f>
        <v>0</v>
      </c>
      <c r="BP187" s="142">
        <f>EXP(-LN(2)/35)*BP186+(1-EXP(-LN(2)/35))/(LN(2)/35)*BL187*BM187*VLOOKUP('Données projet'!$B$11,'Paramètres'!$A$1:$I$89,3,0)*0.475*44/12</f>
        <v>17.52366349</v>
      </c>
      <c r="BQ187" s="142">
        <f>EXP(-LN(2)/25)*BQ186+(1-EXP(-LN(2)/25))/(LN(2)/25)*Calculateur!BL187*Calculateur!BN187*VLOOKUP('Données projet'!$B$11,'Paramètres'!$A$1:$I$89,3,0)*0.475*44/12</f>
        <v>0.7241188373</v>
      </c>
      <c r="BR187" s="142">
        <f>EXP(-LN(2)/2)*BR186+(1-EXP(-LN(2)/2))/(LN(2)/2)*BL187*BO187*VLOOKUP('Données projet'!$B$11,'Paramètres'!$A$1:$I$89,3,0)*0.475*44/12</f>
        <v>0</v>
      </c>
      <c r="BS187" s="143">
        <f t="shared" si="10"/>
        <v>18.24778232</v>
      </c>
      <c r="BT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1" t="str">
        <f>VLOOKUP(A187,'Données projet'!$A$113:$I$133,2,0)</f>
        <v>#N/A</v>
      </c>
      <c r="BW187" s="131" t="str">
        <f>VLOOKUP(A187,'Données projet'!$A$113:$I$133,9,0)</f>
        <v>#N/A</v>
      </c>
      <c r="BX187" s="131" t="str">
        <f t="array" ref="BX187">INDEX(BW:BW,MIN(IF(ISNUMBER(BW187:BW383),ROW(BW187:BW383),"")))</f>
        <v/>
      </c>
      <c r="BY187" s="130">
        <f>IF('Données projet'!$A$114&gt;35,BY186+BX187-CG186,IF(A187&lt;'Données projet'!$A$114,$BV$205^A187,IF(A187='Données projet'!$A$114,'Données projet'!$B$114,BY186+BX187-CG186)))</f>
        <v>0</v>
      </c>
      <c r="BZ187" s="130">
        <f>BY187*VLOOKUP('Données projet'!$B$12,'Paramètres'!$A$1:$I$89,3,0)*VLOOKUP('Données projet'!$B$12,'Paramètres'!$A$1:$I$89,5,0)</f>
        <v>0</v>
      </c>
      <c r="CA187" s="130" t="str">
        <f t="shared" si="40"/>
        <v>#NUM!</v>
      </c>
      <c r="CB187" s="141" t="str">
        <f t="shared" si="11"/>
        <v>#NUM!</v>
      </c>
      <c r="CC187" s="133" t="str">
        <f t="shared" si="12"/>
        <v>#NUM!</v>
      </c>
      <c r="CD187" s="133">
        <f>AVERAGE(OFFSET($CC$3,0,0,'Données projet'!$E$12+1,1))-AVERAGE(OFFSET($H$3,0,0,'Données projet'!$E$12+1,1))</f>
        <v>258.1672054</v>
      </c>
      <c r="CE187" s="133">
        <f t="shared" si="41"/>
        <v>296.0724261</v>
      </c>
      <c r="CF187" s="134">
        <f>IF(ISNA(VLOOKUP(A187,'Données projet'!$A$113:$I$133,3,0)),0,VLOOKUP(A187,'Données projet'!$A$113:$I$133,3,0))</f>
        <v>0</v>
      </c>
      <c r="CG187" s="134">
        <f>IF(ISNA(VLOOKUP(A187,'Données projet'!$A$113:$I$133,4,0)),0,VLOOKUP(A187,'Données projet'!$A$113:$I$133,4,0))</f>
        <v>0</v>
      </c>
      <c r="CH187" s="135">
        <f>IF(ISNA(VLOOKUP(A187,'Données projet'!$A$113:$I$133,5,0)),0%,VLOOKUP(A187,'Données projet'!$A$113:$I$133,5,0)*VLOOKUP('Données projet'!$B$12,'Paramètres'!$A$1:$I$89,7,0))</f>
        <v>0</v>
      </c>
      <c r="CI187" s="135">
        <f>IF(ISNA(VLOOKUP(A187,'Données projet'!$A$113:$I$133,6,0)),0%,VLOOKUP(A187,'Données projet'!$A$113:$I$133,6,0)*VLOOKUP('Données projet'!$B$12,'Paramètres'!$A$1:$I$89,7,0))</f>
        <v>0</v>
      </c>
      <c r="CJ187" s="135">
        <f>IF(ISNA(VLOOKUP(A187,'Données projet'!$A$113:$I$133,7,0)),0%,VLOOKUP(A187,'Données projet'!$A$113:$I$133,7,0))</f>
        <v>0</v>
      </c>
      <c r="CK187" s="142">
        <f>EXP(-LN(2)/35)*CK186+(1-EXP(-LN(2)/35))/(LN(2)/35)*CG187*CH187*VLOOKUP('Données projet'!$B$12,'Paramètres'!$A$1:$I$89,3,0)*0.475*44/12</f>
        <v>22.15527135</v>
      </c>
      <c r="CL187" s="142">
        <f>EXP(-LN(2)/25)*CL186+(1-EXP(-LN(2)/25))/(LN(2)/25)*Calculateur!CG187*Calculateur!CI187*VLOOKUP('Données projet'!$B$12,'Paramètres'!$A$1:$I$89,3,0)*0.475*44/12</f>
        <v>1.270145547</v>
      </c>
      <c r="CM187" s="142">
        <f>EXP(-LN(2)/2)*CM186+(1-EXP(-LN(2)/2))/(LN(2)/2)*CG187*CJ187*VLOOKUP('Données projet'!$B$12,'Paramètres'!$A$1:$I$89,3,0)*0.475*44/12</f>
        <v>0</v>
      </c>
      <c r="CN187" s="143">
        <f t="shared" si="13"/>
        <v>23.4254169</v>
      </c>
      <c r="CO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1" t="str">
        <f>VLOOKUP(A187,'Données projet'!$A$139:$I$159,2,0)</f>
        <v>#N/A</v>
      </c>
      <c r="CR187" s="131" t="str">
        <f>VLOOKUP(A187,'Données projet'!$A$139:$I$159,9,0)</f>
        <v>#N/A</v>
      </c>
      <c r="CS187" s="131" t="str">
        <f t="array" ref="CS187">INDEX(CR:CR,MIN(IF(ISNUMBER(CR187:CR383),ROW(CR187:CR383),"")))</f>
        <v/>
      </c>
      <c r="CT187" s="138">
        <f>IF('Données projet'!$A$140&gt;35,CT186+CS187-DB186,IF(A187&lt;'Données projet'!$A$140,$CQ$205^A187,IF(A187='Données projet'!$A$140,'Données projet'!$B$140,CT186+CS187-DB186)))</f>
        <v>0</v>
      </c>
      <c r="CU187" s="138">
        <f>CT187*VLOOKUP('Données projet'!$B$13,'Paramètres'!$A$1:$I$89,3,0)*VLOOKUP('Données projet'!$B$13,'Paramètres'!$A$1:$I$89,5,0)</f>
        <v>0</v>
      </c>
      <c r="CV187" s="130" t="str">
        <f t="shared" si="42"/>
        <v>#NUM!</v>
      </c>
      <c r="CW187" s="141" t="str">
        <f t="shared" si="14"/>
        <v>#NUM!</v>
      </c>
      <c r="CX187" s="133" t="str">
        <f t="shared" si="15"/>
        <v>#NUM!</v>
      </c>
      <c r="CY187" s="133">
        <f>AVERAGE(OFFSET($CX$3,0,0,'Données projet'!$E$13+1,1))-AVERAGE(OFFSET($H$3,0,0,'Données projet'!$E$13+1,1))</f>
        <v>223.783507</v>
      </c>
      <c r="CZ187" s="133">
        <f t="shared" si="43"/>
        <v>84.92349117</v>
      </c>
      <c r="DA187" s="134">
        <f>IF(ISNA(VLOOKUP(A187,'Données projet'!$A$139:$I$159,3,0)),0,VLOOKUP(A187,'Données projet'!$A$139:$I$159,3,0))</f>
        <v>0</v>
      </c>
      <c r="DB187" s="134">
        <f>IF(ISNA(VLOOKUP(A187,'Données projet'!$A$139:$I$159,4,0)),0,VLOOKUP(A187,'Données projet'!$A$139:$I$159,4,0))</f>
        <v>0</v>
      </c>
      <c r="DC187" s="135">
        <f>IF(ISNA(VLOOKUP(A187,'Données projet'!$A$139:$I$159,5,0)),0%,VLOOKUP(A187,'Données projet'!$A$139:$I$159,5,0)*VLOOKUP('Données projet'!$B$13,'Paramètres'!$A$1:$I$89,7,0))</f>
        <v>0</v>
      </c>
      <c r="DD187" s="135">
        <f>IF(ISNA(VLOOKUP(A187,'Données projet'!$A$139:$I$159,6,0)),0%,VLOOKUP(A187,'Données projet'!$A$139:$I$159,6,0)*VLOOKUP('Données projet'!$B$13,'Paramètres'!$A$1:$I$89,7,0))</f>
        <v>0</v>
      </c>
      <c r="DE187" s="135">
        <f>IF(ISNA(VLOOKUP(A187,'Données projet'!$A$139:$I$159,7,0)),0%,VLOOKUP(A187,'Données projet'!$A$139:$I$159,7,0))</f>
        <v>0</v>
      </c>
      <c r="DF187" s="142">
        <f>EXP(-LN(2)/35)*DF186+(1-EXP(-LN(2)/35))/(LN(2)/35)*DB187*DC187*VLOOKUP('Données projet'!$B$13,'Paramètres'!$A$1:$I$89,3,0)*0.475*44/12</f>
        <v>56.90343023</v>
      </c>
      <c r="DG187" s="142">
        <f>EXP(-LN(2)/25)*DG186+(1-EXP(-LN(2)/25))/(LN(2)/25)*Calculateur!DB187*Calculateur!DD187*VLOOKUP('Données projet'!$B$13,'Paramètres'!$A$1:$I$89,3,0)*0.475*44/12</f>
        <v>0</v>
      </c>
      <c r="DH187" s="142">
        <f>EXP(-LN(2)/2)*DH186+(1-EXP(-LN(2)/2))/(LN(2)/2)*DB187*DE187*VLOOKUP('Données projet'!$B$13,'Paramètres'!$A$1:$I$89,3,0)*0.475*44/12</f>
        <v>0</v>
      </c>
      <c r="DI187" s="143">
        <f t="shared" si="16"/>
        <v>56.90343023</v>
      </c>
      <c r="DJ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1" t="str">
        <f>VLOOKUP(A187,'Données projet'!$A$165:$I$185,2,0)</f>
        <v>#N/A</v>
      </c>
      <c r="DM187" s="131" t="str">
        <f>VLOOKUP(A187,'Données projet'!$A$165:$I$185,9,0)</f>
        <v>#N/A</v>
      </c>
      <c r="DN187" s="131" t="str">
        <f t="array" ref="DN187">INDEX(DM:DM,MIN(IF(ISNUMBER(DM187:DM383),ROW(DM187:DM383),"")))</f>
        <v/>
      </c>
      <c r="DO187" s="138">
        <f>IF('Données projet'!$A$166&gt;35,DO186+DN187-DW186,IF(A187&lt;'Données projet'!$A$166,$DL$205^A187,IF(A187='Données projet'!$A$166,'Données projet'!$B$166,DO186+DN187-DW186)))</f>
        <v>0</v>
      </c>
      <c r="DP187" s="138">
        <f>DO187*VLOOKUP('Données projet'!$B$14,'Paramètres'!$A$1:$I$89,3,0)*VLOOKUP('Données projet'!$B$14,'Paramètres'!$A$1:$I$89,5,0)</f>
        <v>0</v>
      </c>
      <c r="DQ187" s="130" t="str">
        <f t="shared" si="44"/>
        <v>#NUM!</v>
      </c>
      <c r="DR187" s="141" t="str">
        <f t="shared" si="17"/>
        <v>#NUM!</v>
      </c>
      <c r="DS187" s="133" t="str">
        <f t="shared" si="18"/>
        <v>#NUM!</v>
      </c>
      <c r="DT187" s="133">
        <f>AVERAGE(OFFSET($DS$3,0,0,'Données projet'!$E$14+1,1))-AVERAGE(OFFSET($H$3,0,0,'Données projet'!$E$14+1,1))</f>
        <v>287.9334714</v>
      </c>
      <c r="DU187" s="133">
        <f t="shared" si="45"/>
        <v>156.6796502</v>
      </c>
      <c r="DV187" s="134">
        <f>IF(ISNA(VLOOKUP(A187,'Données projet'!$A$165:$I$185,3,0)),0,VLOOKUP(A187,'Données projet'!$A$165:$I$185,3,0))</f>
        <v>0</v>
      </c>
      <c r="DW187" s="134">
        <f>IF(ISNA(VLOOKUP(A187,'Données projet'!$A$165:$I$185,4,0)),0,VLOOKUP(A187,'Données projet'!$A$165:$I$185,4,0))</f>
        <v>0</v>
      </c>
      <c r="DX187" s="135">
        <f>IF(ISNA(VLOOKUP(A187,'Données projet'!$A$165:$I$185,5,0)),0%,VLOOKUP(A187,'Données projet'!$A$165:$I$185,5,0)*VLOOKUP('Données projet'!$B$14,'Paramètres'!$A$1:$I$89,7,0))</f>
        <v>0</v>
      </c>
      <c r="DY187" s="135">
        <f>IF(ISNA(VLOOKUP(A187,'Données projet'!$A$165:$I$185,6,0)),0%,VLOOKUP(A187,'Données projet'!$A$165:$I$185,6,0)*VLOOKUP('Données projet'!$B$14,'Paramètres'!$A$1:$I$89,7,0))</f>
        <v>0</v>
      </c>
      <c r="DZ187" s="135">
        <f>IF(ISNA(VLOOKUP(A187,'Données projet'!$A$165:$I$185,7,0)),0%,VLOOKUP(A187,'Données projet'!$A$165:$I$185,7,0))</f>
        <v>0</v>
      </c>
      <c r="EA187" s="142">
        <f>EXP(-LN(2)/35)*EA186+(1-EXP(-LN(2)/35))/(LN(2)/35)*DW187*DX187*VLOOKUP('Données projet'!$B$14,'Paramètres'!$A$1:$I$89,3,0)*0.475*44/12</f>
        <v>66.10568424</v>
      </c>
      <c r="EB187" s="142">
        <f>EXP(-LN(2)/25)*EB186+(1-EXP(-LN(2)/25))/(LN(2)/25)*Calculateur!DW187*Calculateur!DY187*VLOOKUP('Données projet'!$B$14,'Paramètres'!$A$1:$I$89,3,0)*0.475*44/12</f>
        <v>0</v>
      </c>
      <c r="EC187" s="142">
        <f>EXP(-LN(2)/2)*EC186+(1-EXP(-LN(2)/2))/(LN(2)/2)*DW187*DZ187*VLOOKUP('Données projet'!$B$14,'Paramètres'!$A$1:$I$89,3,0)*0.475*44/12</f>
        <v>0</v>
      </c>
      <c r="ED187" s="143">
        <f t="shared" si="19"/>
        <v>66.10568424</v>
      </c>
      <c r="EE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1" t="str">
        <f>VLOOKUP(A187,'Données projet'!$A$191:$I$211,2,0)</f>
        <v>#N/A</v>
      </c>
      <c r="EH187" s="131" t="str">
        <f>VLOOKUP(A187,'Données projet'!$A$191:$I$211,9,0)</f>
        <v>#N/A</v>
      </c>
      <c r="EI187" s="131" t="str">
        <f t="array" ref="EI187">INDEX(EH:EH,MIN(IF(ISNUMBER(EH187:EH383),ROW(EH187:EH383),"")))</f>
        <v/>
      </c>
      <c r="EJ187" s="138">
        <f>IF('Données projet'!$A$192&gt;35,EJ186+EI187-ER186,IF(A187&lt;'Données projet'!$A$192,$EG$205^A187,IF(A187='Données projet'!$A$192,'Données projet'!$B$192,EJ186+EI187-ER186)))</f>
        <v>0</v>
      </c>
      <c r="EK187" s="138">
        <f>EJ187*VLOOKUP('Données projet'!$B$15,'Paramètres'!$A$1:$I$89,3,0)*VLOOKUP('Données projet'!$B$15,'Paramètres'!$A$1:$I$89,5,0)</f>
        <v>0</v>
      </c>
      <c r="EL187" s="130" t="str">
        <f t="shared" si="46"/>
        <v>#NUM!</v>
      </c>
      <c r="EM187" s="141" t="str">
        <f t="shared" si="20"/>
        <v>#NUM!</v>
      </c>
      <c r="EN187" s="133" t="str">
        <f t="shared" si="21"/>
        <v>#NUM!</v>
      </c>
      <c r="EO187" s="133">
        <f>AVERAGE(OFFSET($EN$3,0,0,'Données projet'!$E$15+1,1))-AVERAGE(OFFSET($H$3,0,0,'Données projet'!$E$15+1,1))</f>
        <v>130.3193339</v>
      </c>
      <c r="EP187" s="133">
        <f t="shared" si="47"/>
        <v>82.22784365</v>
      </c>
      <c r="EQ187" s="134">
        <f>IF(ISNA(VLOOKUP(A187,'Données projet'!$A$191:$I$211,3,0)),0,VLOOKUP(A187,'Données projet'!$A$191:$I$211,3,0))</f>
        <v>0</v>
      </c>
      <c r="ER187" s="134">
        <f>IF(ISNA(VLOOKUP(A187,'Données projet'!$A$191:$I$211,4,0)),0,VLOOKUP(A187,'Données projet'!$A$191:$I$211,4,0))</f>
        <v>0</v>
      </c>
      <c r="ES187" s="135">
        <f>IF(ISNA(VLOOKUP(A187,'Données projet'!$A$191:$I$211,5,0)),0%,VLOOKUP(A187,'Données projet'!$A$191:$I$211,5,0)*VLOOKUP('Données projet'!$B$15,'Paramètres'!$A$1:$I$89,7,0))</f>
        <v>0</v>
      </c>
      <c r="ET187" s="135">
        <f>IF(ISNA(VLOOKUP(A187,'Données projet'!$A$191:$I$211,6,0)),0%,VLOOKUP(A187,'Données projet'!$A$191:$I$211,6,0)*VLOOKUP('Données projet'!$B$15,'Paramètres'!$A$1:$I$89,7,0))</f>
        <v>0</v>
      </c>
      <c r="EU187" s="135">
        <f>IF(ISNA(VLOOKUP(A187,'Données projet'!$A$191:$I$211,7,0)),0%,VLOOKUP(A187,'Données projet'!$A$191:$I$211,7,0))</f>
        <v>0</v>
      </c>
      <c r="EV187" s="142">
        <f>EXP(-LN(2)/35)*EV186+(1-EXP(-LN(2)/35))/(LN(2)/35)*ER187*ES187*VLOOKUP('Données projet'!$B$15,'Paramètres'!$A$1:$I$89,3,0)*0.475*44/12</f>
        <v>13.5474901</v>
      </c>
      <c r="EW187" s="142">
        <f>EXP(-LN(2)/25)*EW186+(1-EXP(-LN(2)/25))/(LN(2)/25)*Calculateur!ER187*Calculateur!ET187*VLOOKUP('Données projet'!$B$15,'Paramètres'!$A$1:$I$89,3,0)*0.475*44/12</f>
        <v>0</v>
      </c>
      <c r="EX187" s="142">
        <f>EXP(-LN(2)/2)*EX186+(1-EXP(-LN(2)/2))/(LN(2)/2)*ER187*EU187*VLOOKUP('Données projet'!$B$15,'Paramètres'!$A$1:$I$89,3,0)*0.475*44/12</f>
        <v>0</v>
      </c>
      <c r="EY187" s="143">
        <f t="shared" si="22"/>
        <v>13.5474901</v>
      </c>
      <c r="EZ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1" t="str">
        <f>VLOOKUP(A187,'Données projet'!$A$217:$I$237,2,0)</f>
        <v>#N/A</v>
      </c>
      <c r="FC187" s="131" t="str">
        <f>VLOOKUP(A187,'Données projet'!$A$217:$I$237,9,0)</f>
        <v>#N/A</v>
      </c>
      <c r="FD187" s="131" t="str">
        <f t="array" ref="FD187">INDEX(FC:FC,MIN(IF(ISNUMBER(FC187:FC383),ROW(FC187:FC383),"")))</f>
        <v/>
      </c>
      <c r="FE187" s="130">
        <f>IF('Données projet'!$A$218&gt;35,FE186+FD187-FM186,IF(A187&lt;'Données projet'!$A$218,$FB$205^A187,IF(A187='Données projet'!$A$218,'Données projet'!$B$218,FE186+FD187-FM186)))</f>
        <v>0</v>
      </c>
      <c r="FF187" s="138">
        <f>FE187*VLOOKUP('Données projet'!$B$16,'Paramètres'!$A$1:$I$89,3,0)*VLOOKUP('Données projet'!$B$16,'Paramètres'!$A$1:$I$89,5,0)</f>
        <v>0</v>
      </c>
      <c r="FG187" s="130">
        <f t="shared" si="48"/>
        <v>0</v>
      </c>
      <c r="FH187" s="141">
        <f t="shared" si="23"/>
        <v>0</v>
      </c>
      <c r="FI187" s="133">
        <f t="shared" si="24"/>
        <v>293.3333333</v>
      </c>
      <c r="FJ187" s="133">
        <f>AVERAGE(OFFSET($FI$3,0,0,'Données projet'!$E$16+1,1))-AVERAGE(OFFSET($H$3,0,0,'Données projet'!$E$16+1,1))</f>
        <v>305.6252353</v>
      </c>
      <c r="FK187" s="133">
        <f t="shared" si="49"/>
        <v>331.397916</v>
      </c>
      <c r="FL187" s="134">
        <f>IF(ISNA(VLOOKUP(A187,'Données projet'!$A$217:$I$237,3,0)),0,VLOOKUP(A187,'Données projet'!$A$217:$I$237,3,0))</f>
        <v>0</v>
      </c>
      <c r="FM187" s="134">
        <f>IF(ISNA(VLOOKUP(A187,'Données projet'!$A$217:$I$237,4,0)),0,VLOOKUP(A187,'Données projet'!$A$217:$I$237,4,0))</f>
        <v>0</v>
      </c>
      <c r="FN187" s="135">
        <f>IF(ISNA(VLOOKUP(A187,'Données projet'!$A$217:$I$237,5,0)),0%,VLOOKUP(A187,'Données projet'!$A$217:$I$237,5,0)*VLOOKUP('Données projet'!$B$16,'Paramètres'!$A$1:$I$89,7,0))</f>
        <v>0</v>
      </c>
      <c r="FO187" s="135">
        <f>IF(ISNA(VLOOKUP(A187,'Données projet'!$A$217:$I$237,6,0)),0%,VLOOKUP(A187,'Données projet'!$A$217:$I$237,6,0)*VLOOKUP('Données projet'!$B$16,'Paramètres'!$A$1:$I$89,7,0))</f>
        <v>0</v>
      </c>
      <c r="FP187" s="135">
        <f>IF(ISNA(VLOOKUP(A187,'Données projet'!$A$217:$I$237,7,0)),0%,VLOOKUP(A187,'Données projet'!$A$217:$I$237,7,0))</f>
        <v>0</v>
      </c>
      <c r="FQ187" s="142">
        <f>EXP(-LN(2)/35)*FQ186+(1-EXP(-LN(2)/35))/(LN(2)/35)*FM187*FN187*VLOOKUP('Données projet'!$B$16,'Paramètres'!$A$1:$I$89,3,0)*0.475*44/12</f>
        <v>8.435072208</v>
      </c>
      <c r="FR187" s="142">
        <f>EXP(-LN(2)/25)*FR186+(1-EXP(-LN(2)/25))/(LN(2)/25)*Calculateur!FM187*Calculateur!FO187*VLOOKUP('Données projet'!$B$16,'Paramètres'!$A$1:$I$89,3,0)*0.475*44/12</f>
        <v>0</v>
      </c>
      <c r="FS187" s="142">
        <f>EXP(-LN(2)/2)*FS186+(1-EXP(-LN(2)/2))/(LN(2)/2)*FM187*FP187*VLOOKUP('Données projet'!$B$16,'Paramètres'!$A$1:$I$89,3,0)*0.475*44/12</f>
        <v>0</v>
      </c>
      <c r="FT187" s="143">
        <f t="shared" si="25"/>
        <v>8.435072208</v>
      </c>
      <c r="FU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1" t="str">
        <f>VLOOKUP(A187,'Données projet'!$A$243:$I$263,2,0)</f>
        <v>#N/A</v>
      </c>
      <c r="FX187" s="131" t="str">
        <f>VLOOKUP(A187,'Données projet'!$A$243:$I$263,9,0)</f>
        <v>#N/A</v>
      </c>
      <c r="FY187" s="131" t="str">
        <f t="array" ref="FY187">INDEX(FX:FX,MIN(IF(ISNUMBER(FX187:FX383),ROW(FX187:FX383),"")))</f>
        <v/>
      </c>
      <c r="FZ187" s="138">
        <f>IF('Données projet'!$A$244&gt;35,FZ186+FY187-GH186,IF(A187&lt;'Données projet'!$A$244,$FW$205^A187,IF(A187='Données projet'!$A$244,'Données projet'!$B$244,FZ186+FY187-GH186)))</f>
        <v>0</v>
      </c>
      <c r="GA187" s="138">
        <f>FZ187*VLOOKUP('Données projet'!$B$17,'Paramètres'!$A$1:$I$89,3,0)*VLOOKUP('Données projet'!$B$17,'Paramètres'!$A$1:$I$89,5,0)</f>
        <v>0</v>
      </c>
      <c r="GB187" s="130">
        <f t="shared" si="50"/>
        <v>0</v>
      </c>
      <c r="GC187" s="141">
        <f t="shared" si="26"/>
        <v>0</v>
      </c>
      <c r="GD187" s="133">
        <f t="shared" si="27"/>
        <v>293.3333333</v>
      </c>
      <c r="GE187" s="133">
        <f>AVERAGE(OFFSET($GD$3,0,0,'Données projet'!$E$17+1,1))-AVERAGE(OFFSET($H$3,0,0,'Données projet'!$E$17+1,1))</f>
        <v>118.7368745</v>
      </c>
      <c r="GF187" s="133">
        <f t="shared" si="51"/>
        <v>135.1233677</v>
      </c>
      <c r="GG187" s="134">
        <f>IF(ISNA(VLOOKUP(A187,'Données projet'!$A$243:$I$263,3,0)),0,VLOOKUP(A187,'Données projet'!$A$243:$I$263,3,0))</f>
        <v>0</v>
      </c>
      <c r="GH187" s="134">
        <f>IF(ISNA(VLOOKUP(A187,'Données projet'!$A$243:$I$263,4,0)),0,VLOOKUP(A187,'Données projet'!$A$243:$I$263,4,0))</f>
        <v>0</v>
      </c>
      <c r="GI187" s="135">
        <f>IF(ISNA(VLOOKUP(A187,'Données projet'!$A$243:$I$263,5,0)),0%,VLOOKUP(A187,'Données projet'!$A$243:$I$263,5,0)*VLOOKUP('Données projet'!$B$17,'Paramètres'!$A$1:$I$89,7,0))</f>
        <v>0</v>
      </c>
      <c r="GJ187" s="135">
        <f>IF(ISNA(VLOOKUP(A187,'Données projet'!$A$243:$I$263,6,0)),0%,VLOOKUP(A187,'Données projet'!$A$243:$I$263,6,0)*VLOOKUP('Données projet'!$B$17,'Paramètres'!$A$1:$I$89,7,0))</f>
        <v>0</v>
      </c>
      <c r="GK187" s="135">
        <f>IF(ISNA(VLOOKUP(A187,'Données projet'!$A$243:$I$263,7,0)),0%,VLOOKUP(A187,'Données projet'!$A$243:$I$263,7,0))</f>
        <v>0</v>
      </c>
      <c r="GL187" s="142">
        <f>EXP(-LN(2)/35)*GL186+(1-EXP(-LN(2)/35))/(LN(2)/35)*GH187*GI187*VLOOKUP('Données projet'!$B$17,'Paramètres'!$A$1:$I$89,3,0)*0.475*44/12</f>
        <v>8.911627701</v>
      </c>
      <c r="GM187" s="142">
        <f>EXP(-LN(2)/25)*GM186+(1-EXP(-LN(2)/25))/(LN(2)/25)*Calculateur!GH187*Calculateur!GJ187*VLOOKUP('Données projet'!$B$17,'Paramètres'!$A$1:$I$89,3,0)*0.475*44/12</f>
        <v>0</v>
      </c>
      <c r="GN187" s="142">
        <f>EXP(-LN(2)/2)*GN186+(1-EXP(-LN(2)/2))/(LN(2)/2)*GH187*GK187*VLOOKUP('Données projet'!$B$17,'Paramètres'!$A$1:$I$89,3,0)*0.475*44/12</f>
        <v>0</v>
      </c>
      <c r="GO187" s="142">
        <f t="shared" si="28"/>
        <v>8.911627701</v>
      </c>
      <c r="GP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1" t="str">
        <f>VLOOKUP(A187,'Données projet'!$A$269:$I$289,2,0)</f>
        <v>#N/A</v>
      </c>
      <c r="GS187" s="131" t="str">
        <f>VLOOKUP(A187,'Données projet'!$A$269:$I$289,9,0)</f>
        <v>#N/A</v>
      </c>
      <c r="GT187" s="131" t="str">
        <f t="array" ref="GT187">INDEX(GS:GS,MIN(IF(ISNUMBER(GS187:GS383),ROW(GS187:GS383),"")))</f>
        <v/>
      </c>
      <c r="GU187" s="138">
        <f>IF('Données projet'!$A$270&gt;35,GU186+GT187-HC186,IF(A187&lt;'Données projet'!$A$270,$GR$205^A187,IF(A187='Données projet'!$A$270,'Données projet'!$B$270,GU186+GT187-HC186)))</f>
        <v>0</v>
      </c>
      <c r="GV187" s="138">
        <f>GU187*VLOOKUP('Données projet'!$B$18,'Paramètres'!$A$1:$I$89,3,0)*VLOOKUP('Données projet'!$B$18,'Paramètres'!$A$1:$I$89,5,0)</f>
        <v>0</v>
      </c>
      <c r="GW187" s="130" t="str">
        <f t="shared" si="52"/>
        <v>#NUM!</v>
      </c>
      <c r="GX187" s="141" t="str">
        <f t="shared" si="29"/>
        <v>#NUM!</v>
      </c>
      <c r="GY187" s="133" t="str">
        <f t="shared" si="30"/>
        <v>#NUM!</v>
      </c>
      <c r="GZ187" s="133">
        <f>AVERAGE(OFFSET($GY$3,0,0,'Données projet'!$E$18+1,1))-AVERAGE(OFFSET($H$3,0,0,'Données projet'!$E$18+1,1))</f>
        <v>100.5427875</v>
      </c>
      <c r="HA187" s="133">
        <f t="shared" si="53"/>
        <v>92.28663609</v>
      </c>
      <c r="HB187" s="134">
        <f>IF(ISNA(VLOOKUP(A187,'Données projet'!$A$269:$I$289,3,0)),0,VLOOKUP(A187,'Données projet'!$A$269:$I$289,3,0))</f>
        <v>0</v>
      </c>
      <c r="HC187" s="134">
        <f>IF(ISNA(VLOOKUP(A187,'Données projet'!$A$269:$I$289,4,0)),0,VLOOKUP(A187,'Données projet'!$A$269:$I$289,4,0))</f>
        <v>0</v>
      </c>
      <c r="HD187" s="135">
        <f>IF(ISNA(VLOOKUP(A187,'Données projet'!$A$269:$I$289,5,0)),0%,VLOOKUP(A187,'Données projet'!$A$269:$I$289,5,0)*VLOOKUP('Données projet'!$B$18,'Paramètres'!$A$1:$I$89,7,0))</f>
        <v>0</v>
      </c>
      <c r="HE187" s="135">
        <f>IF(ISNA(VLOOKUP(A187,'Données projet'!$A$269:$I$289,6,0)),0%,VLOOKUP(A187,'Données projet'!$A$269:$I$289,6,0)*VLOOKUP('Données projet'!$B$18,'Paramètres'!$A$1:$I$89,7,0))</f>
        <v>0</v>
      </c>
      <c r="HF187" s="135">
        <f>IF(ISNA(VLOOKUP(A187,'Données projet'!$A$269:$I$289,7,0)),0%,VLOOKUP(A187,'Données projet'!$A$269:$I$289,7,0))</f>
        <v>0</v>
      </c>
      <c r="HG187" s="142">
        <f>EXP(-LN(2)/35)*HG186+(1-EXP(-LN(2)/35))/(LN(2)/35)*HC187*HD187*VLOOKUP('Données projet'!$B$18,'Paramètres'!$A$1:$I$89,3,0)*0.475*44/12</f>
        <v>6.068630464</v>
      </c>
      <c r="HH187" s="142">
        <f>EXP(-LN(2)/25)*HH186+(1-EXP(-LN(2)/25))/(LN(2)/25)*Calculateur!HC187*Calculateur!HE187*VLOOKUP('Données projet'!$B$18,'Paramètres'!$A$1:$I$89,3,0)*0.475*44/12</f>
        <v>0</v>
      </c>
      <c r="HI187" s="142">
        <f>EXP(-LN(2)/2)*HI186+(1-EXP(-LN(2)/2))/(LN(2)/2)*HC187*HF187*VLOOKUP('Données projet'!$B$18,'Paramètres'!$A$1:$I$89,3,0)*0.475*44/12</f>
        <v>0</v>
      </c>
      <c r="HJ187" s="143">
        <f t="shared" si="31"/>
        <v>6.068630464</v>
      </c>
    </row>
    <row r="188" ht="15.75" customHeight="1">
      <c r="A188" s="125">
        <f t="shared" si="32"/>
        <v>185</v>
      </c>
      <c r="B188" s="126">
        <f>'Scénario référence'!$B$16*5+'Scénario référence'!$B$17*0+'Scénario référence'!$B$18*5</f>
        <v>0</v>
      </c>
      <c r="C188" s="140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101.01</v>
      </c>
      <c r="D188" s="127">
        <f t="shared" si="33"/>
        <v>27.20247521</v>
      </c>
      <c r="E18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7">
        <f>IF(OR('Scénario référence'!$F$8&gt;0,'Scénario référence'!$F$9&gt;0),('Scénario référence'!$F$8+'Scénario référence'!$F$9)*10,0)</f>
        <v>10</v>
      </c>
      <c r="G188" s="127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</v>
      </c>
      <c r="H188" s="128">
        <f t="shared" si="1"/>
        <v>516.6367277</v>
      </c>
      <c r="I188" s="12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1" t="str">
        <f>VLOOKUP(A188,'Données projet'!$A$35:$I$55,2,0)</f>
        <v>#N/A</v>
      </c>
      <c r="L188" s="131" t="str">
        <f>VLOOKUP(A188,'Données projet'!$A$35:$I$55,9,0)</f>
        <v>#N/A</v>
      </c>
      <c r="M188" s="131" t="str">
        <f t="array" ref="M188">INDEX(L:L,MIN(IF(ISNUMBER(L188:L384),ROW(L188:L384),"")))</f>
        <v/>
      </c>
      <c r="N188" s="130">
        <f>IF('Données projet'!$A$36&gt;35,N187+M188-V187,IF(A188&lt;'Données projet'!$A$36,$K$205^A188,IF(A188='Données projet'!$A$36,'Données projet'!$B$36,N187+M188-V187)))</f>
        <v>0</v>
      </c>
      <c r="O188" s="130">
        <f>N188*VLOOKUP('Données projet'!$B$9,'Paramètres'!$A$1:$I$89,3,0)*VLOOKUP('Données projet'!$B$9,'Paramètres'!$A$1:$I$89,5,0)</f>
        <v>0</v>
      </c>
      <c r="P188" s="130">
        <f t="shared" si="34"/>
        <v>0</v>
      </c>
      <c r="Q188" s="141">
        <f t="shared" si="2"/>
        <v>0</v>
      </c>
      <c r="R188" s="133">
        <f t="shared" si="3"/>
        <v>293.3333333</v>
      </c>
      <c r="S188" s="133">
        <f>AVERAGE(OFFSET($R$3,0,0,'Données projet'!$E$9+1,1))-AVERAGE(OFFSET($H$3,0,0,'Données projet'!$E$9+1,1))</f>
        <v>126.9946492</v>
      </c>
      <c r="T188" s="133">
        <f t="shared" si="35"/>
        <v>140.039049</v>
      </c>
      <c r="U188" s="134">
        <f>IF(ISNA(VLOOKUP(A188,'Données projet'!$A$35:$I$55,3,0)),0,VLOOKUP(A188,'Données projet'!$A$35:$I$55,3,0))</f>
        <v>0</v>
      </c>
      <c r="V188" s="134">
        <f>IF(ISNA(VLOOKUP(A188,'Données projet'!$A$35:$I$55,4,0)),0,VLOOKUP(A188,'Données projet'!$A$35:$I$55,4,0))</f>
        <v>0</v>
      </c>
      <c r="W188" s="135">
        <f>IF(ISNA(VLOOKUP(A188,'Données projet'!$A$35:$I$55,5,0)),0%,VLOOKUP(A188,'Données projet'!$A$35:$I$55,5,0)*VLOOKUP('Données projet'!$B$9,'Paramètres'!$A$1:$I$89,7,0))</f>
        <v>0</v>
      </c>
      <c r="X188" s="135">
        <f>IF(ISNA(VLOOKUP(A188,'Données projet'!$A$35:$I$55,6,0)),0%,VLOOKUP(A188,'Données projet'!$A$35:$I$55,6,0)*VLOOKUP('Données projet'!$B$9,'Paramètres'!$A$1:$I$89,7,0))</f>
        <v>0</v>
      </c>
      <c r="Y188" s="135">
        <f>IF(ISNA(VLOOKUP(A188,'Données projet'!$A$35:$I$55,7,0)),0%,VLOOKUP(A188,'Données projet'!$A$35:$I$55,7,0))</f>
        <v>0</v>
      </c>
      <c r="Z188" s="142">
        <f>EXP(-LN(2)/35)*Z187+(1-EXP(-LN(2)/35))/(LN(2)/35)*V188*W188*VLOOKUP('Données projet'!$B$9,'Paramètres'!$A$1:$I$89,3,0)*0.475*44/12</f>
        <v>8.93587941</v>
      </c>
      <c r="AA188" s="142">
        <f>EXP(-LN(2)/25)*AA187+(1-EXP(-LN(2)/25))/(LN(2)/25)*Calculateur!V188*Calculateur!X188*VLOOKUP('Données projet'!$B$9,'Paramètres'!$A$1:$I$89,3,0)*0.475*44/12</f>
        <v>0.726207731</v>
      </c>
      <c r="AB188" s="142">
        <f>EXP(-LN(2)/2)*AB187+(1-EXP(-LN(2)/2))/(LN(2)/2)*V188*Y188*VLOOKUP('Données projet'!$B$9,'Paramètres'!$A$1:$I$89,3,0)*0.475*44/12</f>
        <v>0</v>
      </c>
      <c r="AC188" s="143">
        <f t="shared" si="4"/>
        <v>9.662087141</v>
      </c>
      <c r="AD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1" t="str">
        <f>VLOOKUP(A188,'Données projet'!$A$61:$I$81,2,0)</f>
        <v>#N/A</v>
      </c>
      <c r="AG188" s="131" t="str">
        <f>VLOOKUP(A188,'Données projet'!$A$61:$I$81,9,0)</f>
        <v>#N/A</v>
      </c>
      <c r="AH188" s="131" t="str">
        <f t="array" ref="AH188">INDEX(AG:AG,MIN(IF(ISNUMBER(AG188:AG384),ROW(AG188:AG384),"")))</f>
        <v/>
      </c>
      <c r="AI188" s="130">
        <f>IF('Données projet'!$A$62&gt;35,AI187+AH188-AQ187,IF(A188&lt;'Données projet'!$A$62,$AF$205^A188,IF(A188='Données projet'!$A$62,'Données projet'!$B$62,AI187+AH188-AQ187)))</f>
        <v>0</v>
      </c>
      <c r="AJ188" s="130">
        <f>AI188*VLOOKUP('Données projet'!$B$10,'Paramètres'!$A$1:$I$89,3,0)*VLOOKUP('Données projet'!$B$10,'Paramètres'!$A$1:$I$89,5,0)</f>
        <v>0</v>
      </c>
      <c r="AK188" s="130" t="str">
        <f t="shared" si="36"/>
        <v>#NUM!</v>
      </c>
      <c r="AL188" s="141" t="str">
        <f t="shared" si="5"/>
        <v>#NUM!</v>
      </c>
      <c r="AM188" s="133" t="str">
        <f t="shared" si="6"/>
        <v>#NUM!</v>
      </c>
      <c r="AN188" s="133">
        <f>AVERAGE(OFFSET($AM$3,0,0,'Données projet'!$E$10+1,1))-AVERAGE(OFFSET($H$3,0,0,'Données projet'!$E$10+1,1))</f>
        <v>196.874484</v>
      </c>
      <c r="AO188" s="133">
        <f t="shared" si="37"/>
        <v>217.5750859</v>
      </c>
      <c r="AP188" s="134">
        <f>IF(ISNA(VLOOKUP(A188,'Données projet'!$A$61:$I$81,3,0)),0,VLOOKUP(A188,'Données projet'!$A$61:$I$81,3,0))</f>
        <v>0</v>
      </c>
      <c r="AQ188" s="134">
        <f>IF(ISNA(VLOOKUP(A188,'Données projet'!$A$61:$I$81,4,0)),0,VLOOKUP(A188,'Données projet'!$A$61:$I$81,4,0))</f>
        <v>0</v>
      </c>
      <c r="AR188" s="135">
        <f>IF(ISNA(VLOOKUP(A188,'Données projet'!$A$61:$I$81,5,0)),0%,VLOOKUP(A188,'Données projet'!$A$61:$I$81,5,0)*VLOOKUP('Données projet'!$B$10,'Paramètres'!$A$1:$I$89,7,0))</f>
        <v>0</v>
      </c>
      <c r="AS188" s="135">
        <f>IF(ISNA(VLOOKUP(A188,'Données projet'!$A$61:$I$81,6,0)),0%,VLOOKUP(A188,'Données projet'!$A$61:$I$81,6,0)*VLOOKUP('Données projet'!$B$10,'Paramètres'!$A$1:$I$89,7,0))</f>
        <v>0</v>
      </c>
      <c r="AT188" s="135">
        <f>IF(ISNA(VLOOKUP(A188,'Données projet'!$A$61:$I$81,7,0)),0%,VLOOKUP(A188,'Données projet'!$A$61:$I$81,7,0))</f>
        <v>0</v>
      </c>
      <c r="AU188" s="142">
        <f>EXP(-LN(2)/35)*AU187+(1-EXP(-LN(2)/35))/(LN(2)/35)*AQ188*AR188*VLOOKUP('Données projet'!$B$10,'Paramètres'!$A$1:$I$89,3,0)*0.475*44/12</f>
        <v>12.42061857</v>
      </c>
      <c r="AV188" s="142">
        <f>EXP(-LN(2)/25)*AV187+(1-EXP(-LN(2)/25))/(LN(2)/25)*Calculateur!AQ188*Calculateur!AS188*VLOOKUP('Données projet'!$B$10,'Paramètres'!$A$1:$I$89,3,0)*0.475*44/12</f>
        <v>1.116545357</v>
      </c>
      <c r="AW188" s="142">
        <f>EXP(-LN(2)/2)*AW187+(1-EXP(-LN(2)/2))/(LN(2)/2)*AQ188*AT188*VLOOKUP('Données projet'!$B$10,'Paramètres'!$A$1:$I$89,3,0)*0.475*44/12</f>
        <v>0</v>
      </c>
      <c r="AX188" s="142">
        <f t="shared" si="7"/>
        <v>13.53716392</v>
      </c>
      <c r="AY188" s="13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1" t="str">
        <f>VLOOKUP(A188,'Données projet'!$A$87:$I$107,2,0)</f>
        <v>#N/A</v>
      </c>
      <c r="BB188" s="131" t="str">
        <f>VLOOKUP(A188,'Données projet'!$A$87:$I$107,9,0)</f>
        <v>#N/A</v>
      </c>
      <c r="BC188" s="131" t="str">
        <f t="array" ref="BC188">INDEX(BB:BB,MIN(IF(ISNUMBER(BB188:BB384),ROW(BB188:BB384),"")))</f>
        <v/>
      </c>
      <c r="BD188" s="130">
        <f>IF('Données projet'!$A$88&gt;35,BD187+BC188-BL187,IF(A188&lt;'Données projet'!$A$88,$BA$205^A188,IF(A188='Données projet'!$A$88,'Données projet'!$B$88,BD187+BC188-BL187)))</f>
        <v>0</v>
      </c>
      <c r="BE188" s="130">
        <f>BD188*VLOOKUP('Données projet'!$B$11,'Paramètres'!$A$1:$I$89,3,0)*VLOOKUP('Données projet'!$B$11,'Paramètres'!$A$1:$I$89,5,0)</f>
        <v>0</v>
      </c>
      <c r="BF188" s="130" t="str">
        <f t="shared" si="38"/>
        <v>#NUM!</v>
      </c>
      <c r="BG188" s="141" t="str">
        <f t="shared" si="8"/>
        <v>#NUM!</v>
      </c>
      <c r="BH188" s="133" t="str">
        <f t="shared" si="9"/>
        <v>#NUM!</v>
      </c>
      <c r="BI188" s="133">
        <f>AVERAGE(OFFSET($BH$3,0,0,'Données projet'!$E$11+1,1))-AVERAGE(OFFSET($H$3,0,0,'Données projet'!$E$11+1,1))</f>
        <v>134.0948534</v>
      </c>
      <c r="BJ188" s="133">
        <f t="shared" si="39"/>
        <v>108.4102536</v>
      </c>
      <c r="BK188" s="134">
        <f>IF(ISNA(VLOOKUP(A188,'Données projet'!$A$87:$I$107,3,0)),0,VLOOKUP(A188,'Données projet'!$A$87:$I$107,3,0))</f>
        <v>0</v>
      </c>
      <c r="BL188" s="134">
        <f>IF(ISNA(VLOOKUP(A188,'Données projet'!$A$87:$I$107,4,0)),0,VLOOKUP(A188,'Données projet'!$A$87:$I$107,4,0))</f>
        <v>0</v>
      </c>
      <c r="BM188" s="135">
        <f>IF(ISNA(VLOOKUP(A188,'Données projet'!$A$87:$I$107,5,0)),0%,VLOOKUP(A188,'Données projet'!$A$87:$I$107,5,0)*VLOOKUP('Données projet'!$B$11,'Paramètres'!$A$1:$I$89,7,0))</f>
        <v>0</v>
      </c>
      <c r="BN188" s="135">
        <f>IF(ISNA(VLOOKUP(A188,'Données projet'!$A$87:$I$107,6,0)),0%,VLOOKUP(A188,'Données projet'!$A$87:$I$107,6,0)*VLOOKUP('Données projet'!$B$11,'Paramètres'!$A$1:$I$89,7,0))</f>
        <v>0</v>
      </c>
      <c r="BO188" s="135">
        <f>IF(ISNA(VLOOKUP(A188,'Données projet'!$A$87:$I$107,7,0)),0%,VLOOKUP(A188,'Données projet'!$A$87:$I$107,7,0))</f>
        <v>0</v>
      </c>
      <c r="BP188" s="142">
        <f>EXP(-LN(2)/35)*BP187+(1-EXP(-LN(2)/35))/(LN(2)/35)*BL188*BM188*VLOOKUP('Données projet'!$B$11,'Paramètres'!$A$1:$I$89,3,0)*0.475*44/12</f>
        <v>17.18003513</v>
      </c>
      <c r="BQ188" s="142">
        <f>EXP(-LN(2)/25)*BQ187+(1-EXP(-LN(2)/25))/(LN(2)/25)*Calculateur!BL188*Calculateur!BN188*VLOOKUP('Données projet'!$B$11,'Paramètres'!$A$1:$I$89,3,0)*0.475*44/12</f>
        <v>0.7043177696</v>
      </c>
      <c r="BR188" s="142">
        <f>EXP(-LN(2)/2)*BR187+(1-EXP(-LN(2)/2))/(LN(2)/2)*BL188*BO188*VLOOKUP('Données projet'!$B$11,'Paramètres'!$A$1:$I$89,3,0)*0.475*44/12</f>
        <v>0</v>
      </c>
      <c r="BS188" s="143">
        <f t="shared" si="10"/>
        <v>17.8843529</v>
      </c>
      <c r="BT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1" t="str">
        <f>VLOOKUP(A188,'Données projet'!$A$113:$I$133,2,0)</f>
        <v>#N/A</v>
      </c>
      <c r="BW188" s="131" t="str">
        <f>VLOOKUP(A188,'Données projet'!$A$113:$I$133,9,0)</f>
        <v>#N/A</v>
      </c>
      <c r="BX188" s="131" t="str">
        <f t="array" ref="BX188">INDEX(BW:BW,MIN(IF(ISNUMBER(BW188:BW384),ROW(BW188:BW384),"")))</f>
        <v/>
      </c>
      <c r="BY188" s="130">
        <f>IF('Données projet'!$A$114&gt;35,BY187+BX188-CG187,IF(A188&lt;'Données projet'!$A$114,$BV$205^A188,IF(A188='Données projet'!$A$114,'Données projet'!$B$114,BY187+BX188-CG187)))</f>
        <v>0</v>
      </c>
      <c r="BZ188" s="130">
        <f>BY188*VLOOKUP('Données projet'!$B$12,'Paramètres'!$A$1:$I$89,3,0)*VLOOKUP('Données projet'!$B$12,'Paramètres'!$A$1:$I$89,5,0)</f>
        <v>0</v>
      </c>
      <c r="CA188" s="130" t="str">
        <f t="shared" si="40"/>
        <v>#NUM!</v>
      </c>
      <c r="CB188" s="141" t="str">
        <f t="shared" si="11"/>
        <v>#NUM!</v>
      </c>
      <c r="CC188" s="133" t="str">
        <f t="shared" si="12"/>
        <v>#NUM!</v>
      </c>
      <c r="CD188" s="133">
        <f>AVERAGE(OFFSET($CC$3,0,0,'Données projet'!$E$12+1,1))-AVERAGE(OFFSET($H$3,0,0,'Données projet'!$E$12+1,1))</f>
        <v>258.1672054</v>
      </c>
      <c r="CE188" s="133">
        <f t="shared" si="41"/>
        <v>296.0724261</v>
      </c>
      <c r="CF188" s="134">
        <f>IF(ISNA(VLOOKUP(A188,'Données projet'!$A$113:$I$133,3,0)),0,VLOOKUP(A188,'Données projet'!$A$113:$I$133,3,0))</f>
        <v>0</v>
      </c>
      <c r="CG188" s="134">
        <f>IF(ISNA(VLOOKUP(A188,'Données projet'!$A$113:$I$133,4,0)),0,VLOOKUP(A188,'Données projet'!$A$113:$I$133,4,0))</f>
        <v>0</v>
      </c>
      <c r="CH188" s="135">
        <f>IF(ISNA(VLOOKUP(A188,'Données projet'!$A$113:$I$133,5,0)),0%,VLOOKUP(A188,'Données projet'!$A$113:$I$133,5,0)*VLOOKUP('Données projet'!$B$12,'Paramètres'!$A$1:$I$89,7,0))</f>
        <v>0</v>
      </c>
      <c r="CI188" s="135">
        <f>IF(ISNA(VLOOKUP(A188,'Données projet'!$A$113:$I$133,6,0)),0%,VLOOKUP(A188,'Données projet'!$A$113:$I$133,6,0)*VLOOKUP('Données projet'!$B$12,'Paramètres'!$A$1:$I$89,7,0))</f>
        <v>0</v>
      </c>
      <c r="CJ188" s="135">
        <f>IF(ISNA(VLOOKUP(A188,'Données projet'!$A$113:$I$133,7,0)),0%,VLOOKUP(A188,'Données projet'!$A$113:$I$133,7,0))</f>
        <v>0</v>
      </c>
      <c r="CK188" s="142">
        <f>EXP(-LN(2)/35)*CK187+(1-EXP(-LN(2)/35))/(LN(2)/35)*CG188*CH188*VLOOKUP('Données projet'!$B$12,'Paramètres'!$A$1:$I$89,3,0)*0.475*44/12</f>
        <v>21.72082</v>
      </c>
      <c r="CL188" s="142">
        <f>EXP(-LN(2)/25)*CL187+(1-EXP(-LN(2)/25))/(LN(2)/25)*Calculateur!CG188*Calculateur!CI188*VLOOKUP('Données projet'!$B$12,'Paramètres'!$A$1:$I$89,3,0)*0.475*44/12</f>
        <v>1.23541335</v>
      </c>
      <c r="CM188" s="142">
        <f>EXP(-LN(2)/2)*CM187+(1-EXP(-LN(2)/2))/(LN(2)/2)*CG188*CJ188*VLOOKUP('Données projet'!$B$12,'Paramètres'!$A$1:$I$89,3,0)*0.475*44/12</f>
        <v>0</v>
      </c>
      <c r="CN188" s="143">
        <f t="shared" si="13"/>
        <v>22.95623335</v>
      </c>
      <c r="CO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1" t="str">
        <f>VLOOKUP(A188,'Données projet'!$A$139:$I$159,2,0)</f>
        <v>#N/A</v>
      </c>
      <c r="CR188" s="131" t="str">
        <f>VLOOKUP(A188,'Données projet'!$A$139:$I$159,9,0)</f>
        <v>#N/A</v>
      </c>
      <c r="CS188" s="131" t="str">
        <f t="array" ref="CS188">INDEX(CR:CR,MIN(IF(ISNUMBER(CR188:CR384),ROW(CR188:CR384),"")))</f>
        <v/>
      </c>
      <c r="CT188" s="138">
        <f>IF('Données projet'!$A$140&gt;35,CT187+CS188-DB187,IF(A188&lt;'Données projet'!$A$140,$CQ$205^A188,IF(A188='Données projet'!$A$140,'Données projet'!$B$140,CT187+CS188-DB187)))</f>
        <v>0</v>
      </c>
      <c r="CU188" s="138">
        <f>CT188*VLOOKUP('Données projet'!$B$13,'Paramètres'!$A$1:$I$89,3,0)*VLOOKUP('Données projet'!$B$13,'Paramètres'!$A$1:$I$89,5,0)</f>
        <v>0</v>
      </c>
      <c r="CV188" s="130" t="str">
        <f t="shared" si="42"/>
        <v>#NUM!</v>
      </c>
      <c r="CW188" s="141" t="str">
        <f t="shared" si="14"/>
        <v>#NUM!</v>
      </c>
      <c r="CX188" s="133" t="str">
        <f t="shared" si="15"/>
        <v>#NUM!</v>
      </c>
      <c r="CY188" s="133">
        <f>AVERAGE(OFFSET($CX$3,0,0,'Données projet'!$E$13+1,1))-AVERAGE(OFFSET($H$3,0,0,'Données projet'!$E$13+1,1))</f>
        <v>223.783507</v>
      </c>
      <c r="CZ188" s="133">
        <f t="shared" si="43"/>
        <v>84.92349117</v>
      </c>
      <c r="DA188" s="134">
        <f>IF(ISNA(VLOOKUP(A188,'Données projet'!$A$139:$I$159,3,0)),0,VLOOKUP(A188,'Données projet'!$A$139:$I$159,3,0))</f>
        <v>0</v>
      </c>
      <c r="DB188" s="134">
        <f>IF(ISNA(VLOOKUP(A188,'Données projet'!$A$139:$I$159,4,0)),0,VLOOKUP(A188,'Données projet'!$A$139:$I$159,4,0))</f>
        <v>0</v>
      </c>
      <c r="DC188" s="135">
        <f>IF(ISNA(VLOOKUP(A188,'Données projet'!$A$139:$I$159,5,0)),0%,VLOOKUP(A188,'Données projet'!$A$139:$I$159,5,0)*VLOOKUP('Données projet'!$B$13,'Paramètres'!$A$1:$I$89,7,0))</f>
        <v>0</v>
      </c>
      <c r="DD188" s="135">
        <f>IF(ISNA(VLOOKUP(A188,'Données projet'!$A$139:$I$159,6,0)),0%,VLOOKUP(A188,'Données projet'!$A$139:$I$159,6,0)*VLOOKUP('Données projet'!$B$13,'Paramètres'!$A$1:$I$89,7,0))</f>
        <v>0</v>
      </c>
      <c r="DE188" s="135">
        <f>IF(ISNA(VLOOKUP(A188,'Données projet'!$A$139:$I$159,7,0)),0%,VLOOKUP(A188,'Données projet'!$A$139:$I$159,7,0))</f>
        <v>0</v>
      </c>
      <c r="DF188" s="142">
        <f>EXP(-LN(2)/35)*DF187+(1-EXP(-LN(2)/35))/(LN(2)/35)*DB188*DC188*VLOOKUP('Données projet'!$B$13,'Paramètres'!$A$1:$I$89,3,0)*0.475*44/12</f>
        <v>55.78758867</v>
      </c>
      <c r="DG188" s="142">
        <f>EXP(-LN(2)/25)*DG187+(1-EXP(-LN(2)/25))/(LN(2)/25)*Calculateur!DB188*Calculateur!DD188*VLOOKUP('Données projet'!$B$13,'Paramètres'!$A$1:$I$89,3,0)*0.475*44/12</f>
        <v>0</v>
      </c>
      <c r="DH188" s="142">
        <f>EXP(-LN(2)/2)*DH187+(1-EXP(-LN(2)/2))/(LN(2)/2)*DB188*DE188*VLOOKUP('Données projet'!$B$13,'Paramètres'!$A$1:$I$89,3,0)*0.475*44/12</f>
        <v>0</v>
      </c>
      <c r="DI188" s="143">
        <f t="shared" si="16"/>
        <v>55.78758867</v>
      </c>
      <c r="DJ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1" t="str">
        <f>VLOOKUP(A188,'Données projet'!$A$165:$I$185,2,0)</f>
        <v>#N/A</v>
      </c>
      <c r="DM188" s="131" t="str">
        <f>VLOOKUP(A188,'Données projet'!$A$165:$I$185,9,0)</f>
        <v>#N/A</v>
      </c>
      <c r="DN188" s="131" t="str">
        <f t="array" ref="DN188">INDEX(DM:DM,MIN(IF(ISNUMBER(DM188:DM384),ROW(DM188:DM384),"")))</f>
        <v/>
      </c>
      <c r="DO188" s="138">
        <f>IF('Données projet'!$A$166&gt;35,DO187+DN188-DW187,IF(A188&lt;'Données projet'!$A$166,$DL$205^A188,IF(A188='Données projet'!$A$166,'Données projet'!$B$166,DO187+DN188-DW187)))</f>
        <v>0</v>
      </c>
      <c r="DP188" s="138">
        <f>DO188*VLOOKUP('Données projet'!$B$14,'Paramètres'!$A$1:$I$89,3,0)*VLOOKUP('Données projet'!$B$14,'Paramètres'!$A$1:$I$89,5,0)</f>
        <v>0</v>
      </c>
      <c r="DQ188" s="130" t="str">
        <f t="shared" si="44"/>
        <v>#NUM!</v>
      </c>
      <c r="DR188" s="141" t="str">
        <f t="shared" si="17"/>
        <v>#NUM!</v>
      </c>
      <c r="DS188" s="133" t="str">
        <f t="shared" si="18"/>
        <v>#NUM!</v>
      </c>
      <c r="DT188" s="133">
        <f>AVERAGE(OFFSET($DS$3,0,0,'Données projet'!$E$14+1,1))-AVERAGE(OFFSET($H$3,0,0,'Données projet'!$E$14+1,1))</f>
        <v>287.9334714</v>
      </c>
      <c r="DU188" s="133">
        <f t="shared" si="45"/>
        <v>156.6796502</v>
      </c>
      <c r="DV188" s="134">
        <f>IF(ISNA(VLOOKUP(A188,'Données projet'!$A$165:$I$185,3,0)),0,VLOOKUP(A188,'Données projet'!$A$165:$I$185,3,0))</f>
        <v>0</v>
      </c>
      <c r="DW188" s="134">
        <f>IF(ISNA(VLOOKUP(A188,'Données projet'!$A$165:$I$185,4,0)),0,VLOOKUP(A188,'Données projet'!$A$165:$I$185,4,0))</f>
        <v>0</v>
      </c>
      <c r="DX188" s="135">
        <f>IF(ISNA(VLOOKUP(A188,'Données projet'!$A$165:$I$185,5,0)),0%,VLOOKUP(A188,'Données projet'!$A$165:$I$185,5,0)*VLOOKUP('Données projet'!$B$14,'Paramètres'!$A$1:$I$89,7,0))</f>
        <v>0</v>
      </c>
      <c r="DY188" s="135">
        <f>IF(ISNA(VLOOKUP(A188,'Données projet'!$A$165:$I$185,6,0)),0%,VLOOKUP(A188,'Données projet'!$A$165:$I$185,6,0)*VLOOKUP('Données projet'!$B$14,'Paramètres'!$A$1:$I$89,7,0))</f>
        <v>0</v>
      </c>
      <c r="DZ188" s="135">
        <f>IF(ISNA(VLOOKUP(A188,'Données projet'!$A$165:$I$185,7,0)),0%,VLOOKUP(A188,'Données projet'!$A$165:$I$185,7,0))</f>
        <v>0</v>
      </c>
      <c r="EA188" s="142">
        <f>EXP(-LN(2)/35)*EA187+(1-EXP(-LN(2)/35))/(LN(2)/35)*DW188*DX188*VLOOKUP('Données projet'!$B$14,'Paramètres'!$A$1:$I$89,3,0)*0.475*44/12</f>
        <v>64.80939209</v>
      </c>
      <c r="EB188" s="142">
        <f>EXP(-LN(2)/25)*EB187+(1-EXP(-LN(2)/25))/(LN(2)/25)*Calculateur!DW188*Calculateur!DY188*VLOOKUP('Données projet'!$B$14,'Paramètres'!$A$1:$I$89,3,0)*0.475*44/12</f>
        <v>0</v>
      </c>
      <c r="EC188" s="142">
        <f>EXP(-LN(2)/2)*EC187+(1-EXP(-LN(2)/2))/(LN(2)/2)*DW188*DZ188*VLOOKUP('Données projet'!$B$14,'Paramètres'!$A$1:$I$89,3,0)*0.475*44/12</f>
        <v>0</v>
      </c>
      <c r="ED188" s="143">
        <f t="shared" si="19"/>
        <v>64.80939209</v>
      </c>
      <c r="EE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1" t="str">
        <f>VLOOKUP(A188,'Données projet'!$A$191:$I$211,2,0)</f>
        <v>#N/A</v>
      </c>
      <c r="EH188" s="131" t="str">
        <f>VLOOKUP(A188,'Données projet'!$A$191:$I$211,9,0)</f>
        <v>#N/A</v>
      </c>
      <c r="EI188" s="131" t="str">
        <f t="array" ref="EI188">INDEX(EH:EH,MIN(IF(ISNUMBER(EH188:EH384),ROW(EH188:EH384),"")))</f>
        <v/>
      </c>
      <c r="EJ188" s="138">
        <f>IF('Données projet'!$A$192&gt;35,EJ187+EI188-ER187,IF(A188&lt;'Données projet'!$A$192,$EG$205^A188,IF(A188='Données projet'!$A$192,'Données projet'!$B$192,EJ187+EI188-ER187)))</f>
        <v>0</v>
      </c>
      <c r="EK188" s="138">
        <f>EJ188*VLOOKUP('Données projet'!$B$15,'Paramètres'!$A$1:$I$89,3,0)*VLOOKUP('Données projet'!$B$15,'Paramètres'!$A$1:$I$89,5,0)</f>
        <v>0</v>
      </c>
      <c r="EL188" s="130" t="str">
        <f t="shared" si="46"/>
        <v>#NUM!</v>
      </c>
      <c r="EM188" s="141" t="str">
        <f t="shared" si="20"/>
        <v>#NUM!</v>
      </c>
      <c r="EN188" s="133" t="str">
        <f t="shared" si="21"/>
        <v>#NUM!</v>
      </c>
      <c r="EO188" s="133">
        <f>AVERAGE(OFFSET($EN$3,0,0,'Données projet'!$E$15+1,1))-AVERAGE(OFFSET($H$3,0,0,'Données projet'!$E$15+1,1))</f>
        <v>130.3193339</v>
      </c>
      <c r="EP188" s="133">
        <f t="shared" si="47"/>
        <v>82.22784365</v>
      </c>
      <c r="EQ188" s="134">
        <f>IF(ISNA(VLOOKUP(A188,'Données projet'!$A$191:$I$211,3,0)),0,VLOOKUP(A188,'Données projet'!$A$191:$I$211,3,0))</f>
        <v>0</v>
      </c>
      <c r="ER188" s="134">
        <f>IF(ISNA(VLOOKUP(A188,'Données projet'!$A$191:$I$211,4,0)),0,VLOOKUP(A188,'Données projet'!$A$191:$I$211,4,0))</f>
        <v>0</v>
      </c>
      <c r="ES188" s="135">
        <f>IF(ISNA(VLOOKUP(A188,'Données projet'!$A$191:$I$211,5,0)),0%,VLOOKUP(A188,'Données projet'!$A$191:$I$211,5,0)*VLOOKUP('Données projet'!$B$15,'Paramètres'!$A$1:$I$89,7,0))</f>
        <v>0</v>
      </c>
      <c r="ET188" s="135">
        <f>IF(ISNA(VLOOKUP(A188,'Données projet'!$A$191:$I$211,6,0)),0%,VLOOKUP(A188,'Données projet'!$A$191:$I$211,6,0)*VLOOKUP('Données projet'!$B$15,'Paramètres'!$A$1:$I$89,7,0))</f>
        <v>0</v>
      </c>
      <c r="EU188" s="135">
        <f>IF(ISNA(VLOOKUP(A188,'Données projet'!$A$191:$I$211,7,0)),0%,VLOOKUP(A188,'Données projet'!$A$191:$I$211,7,0))</f>
        <v>0</v>
      </c>
      <c r="EV188" s="142">
        <f>EXP(-LN(2)/35)*EV187+(1-EXP(-LN(2)/35))/(LN(2)/35)*ER188*ES188*VLOOKUP('Données projet'!$B$15,'Paramètres'!$A$1:$I$89,3,0)*0.475*44/12</f>
        <v>13.28183208</v>
      </c>
      <c r="EW188" s="142">
        <f>EXP(-LN(2)/25)*EW187+(1-EXP(-LN(2)/25))/(LN(2)/25)*Calculateur!ER188*Calculateur!ET188*VLOOKUP('Données projet'!$B$15,'Paramètres'!$A$1:$I$89,3,0)*0.475*44/12</f>
        <v>0</v>
      </c>
      <c r="EX188" s="142">
        <f>EXP(-LN(2)/2)*EX187+(1-EXP(-LN(2)/2))/(LN(2)/2)*ER188*EU188*VLOOKUP('Données projet'!$B$15,'Paramètres'!$A$1:$I$89,3,0)*0.475*44/12</f>
        <v>0</v>
      </c>
      <c r="EY188" s="143">
        <f t="shared" si="22"/>
        <v>13.28183208</v>
      </c>
      <c r="EZ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1" t="str">
        <f>VLOOKUP(A188,'Données projet'!$A$217:$I$237,2,0)</f>
        <v>#N/A</v>
      </c>
      <c r="FC188" s="131" t="str">
        <f>VLOOKUP(A188,'Données projet'!$A$217:$I$237,9,0)</f>
        <v>#N/A</v>
      </c>
      <c r="FD188" s="131" t="str">
        <f t="array" ref="FD188">INDEX(FC:FC,MIN(IF(ISNUMBER(FC188:FC384),ROW(FC188:FC384),"")))</f>
        <v/>
      </c>
      <c r="FE188" s="130">
        <f>IF('Données projet'!$A$218&gt;35,FE187+FD188-FM187,IF(A188&lt;'Données projet'!$A$218,$FB$205^A188,IF(A188='Données projet'!$A$218,'Données projet'!$B$218,FE187+FD188-FM187)))</f>
        <v>0</v>
      </c>
      <c r="FF188" s="138">
        <f>FE188*VLOOKUP('Données projet'!$B$16,'Paramètres'!$A$1:$I$89,3,0)*VLOOKUP('Données projet'!$B$16,'Paramètres'!$A$1:$I$89,5,0)</f>
        <v>0</v>
      </c>
      <c r="FG188" s="130">
        <f t="shared" si="48"/>
        <v>0</v>
      </c>
      <c r="FH188" s="141">
        <f t="shared" si="23"/>
        <v>0</v>
      </c>
      <c r="FI188" s="133">
        <f t="shared" si="24"/>
        <v>293.3333333</v>
      </c>
      <c r="FJ188" s="133">
        <f>AVERAGE(OFFSET($FI$3,0,0,'Données projet'!$E$16+1,1))-AVERAGE(OFFSET($H$3,0,0,'Données projet'!$E$16+1,1))</f>
        <v>305.6252353</v>
      </c>
      <c r="FK188" s="133">
        <f t="shared" si="49"/>
        <v>331.397916</v>
      </c>
      <c r="FL188" s="134">
        <f>IF(ISNA(VLOOKUP(A188,'Données projet'!$A$217:$I$237,3,0)),0,VLOOKUP(A188,'Données projet'!$A$217:$I$237,3,0))</f>
        <v>0</v>
      </c>
      <c r="FM188" s="134">
        <f>IF(ISNA(VLOOKUP(A188,'Données projet'!$A$217:$I$237,4,0)),0,VLOOKUP(A188,'Données projet'!$A$217:$I$237,4,0))</f>
        <v>0</v>
      </c>
      <c r="FN188" s="135">
        <f>IF(ISNA(VLOOKUP(A188,'Données projet'!$A$217:$I$237,5,0)),0%,VLOOKUP(A188,'Données projet'!$A$217:$I$237,5,0)*VLOOKUP('Données projet'!$B$16,'Paramètres'!$A$1:$I$89,7,0))</f>
        <v>0</v>
      </c>
      <c r="FO188" s="135">
        <f>IF(ISNA(VLOOKUP(A188,'Données projet'!$A$217:$I$237,6,0)),0%,VLOOKUP(A188,'Données projet'!$A$217:$I$237,6,0)*VLOOKUP('Données projet'!$B$16,'Paramètres'!$A$1:$I$89,7,0))</f>
        <v>0</v>
      </c>
      <c r="FP188" s="135">
        <f>IF(ISNA(VLOOKUP(A188,'Données projet'!$A$217:$I$237,7,0)),0%,VLOOKUP(A188,'Données projet'!$A$217:$I$237,7,0))</f>
        <v>0</v>
      </c>
      <c r="FQ188" s="142">
        <f>EXP(-LN(2)/35)*FQ187+(1-EXP(-LN(2)/35))/(LN(2)/35)*FM188*FN188*VLOOKUP('Données projet'!$B$16,'Paramètres'!$A$1:$I$89,3,0)*0.475*44/12</f>
        <v>8.269665586</v>
      </c>
      <c r="FR188" s="142">
        <f>EXP(-LN(2)/25)*FR187+(1-EXP(-LN(2)/25))/(LN(2)/25)*Calculateur!FM188*Calculateur!FO188*VLOOKUP('Données projet'!$B$16,'Paramètres'!$A$1:$I$89,3,0)*0.475*44/12</f>
        <v>0</v>
      </c>
      <c r="FS188" s="142">
        <f>EXP(-LN(2)/2)*FS187+(1-EXP(-LN(2)/2))/(LN(2)/2)*FM188*FP188*VLOOKUP('Données projet'!$B$16,'Paramètres'!$A$1:$I$89,3,0)*0.475*44/12</f>
        <v>0</v>
      </c>
      <c r="FT188" s="143">
        <f t="shared" si="25"/>
        <v>8.269665586</v>
      </c>
      <c r="FU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1" t="str">
        <f>VLOOKUP(A188,'Données projet'!$A$243:$I$263,2,0)</f>
        <v>#N/A</v>
      </c>
      <c r="FX188" s="131" t="str">
        <f>VLOOKUP(A188,'Données projet'!$A$243:$I$263,9,0)</f>
        <v>#N/A</v>
      </c>
      <c r="FY188" s="131" t="str">
        <f t="array" ref="FY188">INDEX(FX:FX,MIN(IF(ISNUMBER(FX188:FX384),ROW(FX188:FX384),"")))</f>
        <v/>
      </c>
      <c r="FZ188" s="138">
        <f>IF('Données projet'!$A$244&gt;35,FZ187+FY188-GH187,IF(A188&lt;'Données projet'!$A$244,$FW$205^A188,IF(A188='Données projet'!$A$244,'Données projet'!$B$244,FZ187+FY188-GH187)))</f>
        <v>0</v>
      </c>
      <c r="GA188" s="138">
        <f>FZ188*VLOOKUP('Données projet'!$B$17,'Paramètres'!$A$1:$I$89,3,0)*VLOOKUP('Données projet'!$B$17,'Paramètres'!$A$1:$I$89,5,0)</f>
        <v>0</v>
      </c>
      <c r="GB188" s="130">
        <f t="shared" si="50"/>
        <v>0</v>
      </c>
      <c r="GC188" s="141">
        <f t="shared" si="26"/>
        <v>0</v>
      </c>
      <c r="GD188" s="133">
        <f t="shared" si="27"/>
        <v>293.3333333</v>
      </c>
      <c r="GE188" s="133">
        <f>AVERAGE(OFFSET($GD$3,0,0,'Données projet'!$E$17+1,1))-AVERAGE(OFFSET($H$3,0,0,'Données projet'!$E$17+1,1))</f>
        <v>118.7368745</v>
      </c>
      <c r="GF188" s="133">
        <f t="shared" si="51"/>
        <v>135.1233677</v>
      </c>
      <c r="GG188" s="134">
        <f>IF(ISNA(VLOOKUP(A188,'Données projet'!$A$243:$I$263,3,0)),0,VLOOKUP(A188,'Données projet'!$A$243:$I$263,3,0))</f>
        <v>0</v>
      </c>
      <c r="GH188" s="134">
        <f>IF(ISNA(VLOOKUP(A188,'Données projet'!$A$243:$I$263,4,0)),0,VLOOKUP(A188,'Données projet'!$A$243:$I$263,4,0))</f>
        <v>0</v>
      </c>
      <c r="GI188" s="135">
        <f>IF(ISNA(VLOOKUP(A188,'Données projet'!$A$243:$I$263,5,0)),0%,VLOOKUP(A188,'Données projet'!$A$243:$I$263,5,0)*VLOOKUP('Données projet'!$B$17,'Paramètres'!$A$1:$I$89,7,0))</f>
        <v>0</v>
      </c>
      <c r="GJ188" s="135">
        <f>IF(ISNA(VLOOKUP(A188,'Données projet'!$A$243:$I$263,6,0)),0%,VLOOKUP(A188,'Données projet'!$A$243:$I$263,6,0)*VLOOKUP('Données projet'!$B$17,'Paramètres'!$A$1:$I$89,7,0))</f>
        <v>0</v>
      </c>
      <c r="GK188" s="135">
        <f>IF(ISNA(VLOOKUP(A188,'Données projet'!$A$243:$I$263,7,0)),0%,VLOOKUP(A188,'Données projet'!$A$243:$I$263,7,0))</f>
        <v>0</v>
      </c>
      <c r="GL188" s="142">
        <f>EXP(-LN(2)/35)*GL187+(1-EXP(-LN(2)/35))/(LN(2)/35)*GH188*GI188*VLOOKUP('Données projet'!$B$17,'Paramètres'!$A$1:$I$89,3,0)*0.475*44/12</f>
        <v>8.736876118</v>
      </c>
      <c r="GM188" s="142">
        <f>EXP(-LN(2)/25)*GM187+(1-EXP(-LN(2)/25))/(LN(2)/25)*Calculateur!GH188*Calculateur!GJ188*VLOOKUP('Données projet'!$B$17,'Paramètres'!$A$1:$I$89,3,0)*0.475*44/12</f>
        <v>0</v>
      </c>
      <c r="GN188" s="142">
        <f>EXP(-LN(2)/2)*GN187+(1-EXP(-LN(2)/2))/(LN(2)/2)*GH188*GK188*VLOOKUP('Données projet'!$B$17,'Paramètres'!$A$1:$I$89,3,0)*0.475*44/12</f>
        <v>0</v>
      </c>
      <c r="GO188" s="142">
        <f t="shared" si="28"/>
        <v>8.736876118</v>
      </c>
      <c r="GP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1" t="str">
        <f>VLOOKUP(A188,'Données projet'!$A$269:$I$289,2,0)</f>
        <v>#N/A</v>
      </c>
      <c r="GS188" s="131" t="str">
        <f>VLOOKUP(A188,'Données projet'!$A$269:$I$289,9,0)</f>
        <v>#N/A</v>
      </c>
      <c r="GT188" s="131" t="str">
        <f t="array" ref="GT188">INDEX(GS:GS,MIN(IF(ISNUMBER(GS188:GS384),ROW(GS188:GS384),"")))</f>
        <v/>
      </c>
      <c r="GU188" s="138">
        <f>IF('Données projet'!$A$270&gt;35,GU187+GT188-HC187,IF(A188&lt;'Données projet'!$A$270,$GR$205^A188,IF(A188='Données projet'!$A$270,'Données projet'!$B$270,GU187+GT188-HC187)))</f>
        <v>0</v>
      </c>
      <c r="GV188" s="138">
        <f>GU188*VLOOKUP('Données projet'!$B$18,'Paramètres'!$A$1:$I$89,3,0)*VLOOKUP('Données projet'!$B$18,'Paramètres'!$A$1:$I$89,5,0)</f>
        <v>0</v>
      </c>
      <c r="GW188" s="130" t="str">
        <f t="shared" si="52"/>
        <v>#NUM!</v>
      </c>
      <c r="GX188" s="141" t="str">
        <f t="shared" si="29"/>
        <v>#NUM!</v>
      </c>
      <c r="GY188" s="133" t="str">
        <f t="shared" si="30"/>
        <v>#NUM!</v>
      </c>
      <c r="GZ188" s="133">
        <f>AVERAGE(OFFSET($GY$3,0,0,'Données projet'!$E$18+1,1))-AVERAGE(OFFSET($H$3,0,0,'Données projet'!$E$18+1,1))</f>
        <v>100.5427875</v>
      </c>
      <c r="HA188" s="133">
        <f t="shared" si="53"/>
        <v>92.28663609</v>
      </c>
      <c r="HB188" s="134">
        <f>IF(ISNA(VLOOKUP(A188,'Données projet'!$A$269:$I$289,3,0)),0,VLOOKUP(A188,'Données projet'!$A$269:$I$289,3,0))</f>
        <v>0</v>
      </c>
      <c r="HC188" s="134">
        <f>IF(ISNA(VLOOKUP(A188,'Données projet'!$A$269:$I$289,4,0)),0,VLOOKUP(A188,'Données projet'!$A$269:$I$289,4,0))</f>
        <v>0</v>
      </c>
      <c r="HD188" s="135">
        <f>IF(ISNA(VLOOKUP(A188,'Données projet'!$A$269:$I$289,5,0)),0%,VLOOKUP(A188,'Données projet'!$A$269:$I$289,5,0)*VLOOKUP('Données projet'!$B$18,'Paramètres'!$A$1:$I$89,7,0))</f>
        <v>0</v>
      </c>
      <c r="HE188" s="135">
        <f>IF(ISNA(VLOOKUP(A188,'Données projet'!$A$269:$I$289,6,0)),0%,VLOOKUP(A188,'Données projet'!$A$269:$I$289,6,0)*VLOOKUP('Données projet'!$B$18,'Paramètres'!$A$1:$I$89,7,0))</f>
        <v>0</v>
      </c>
      <c r="HF188" s="135">
        <f>IF(ISNA(VLOOKUP(A188,'Données projet'!$A$269:$I$289,7,0)),0%,VLOOKUP(A188,'Données projet'!$A$269:$I$289,7,0))</f>
        <v>0</v>
      </c>
      <c r="HG188" s="142">
        <f>EXP(-LN(2)/35)*HG187+(1-EXP(-LN(2)/35))/(LN(2)/35)*HC188*HD188*VLOOKUP('Données projet'!$B$18,'Paramètres'!$A$1:$I$89,3,0)*0.475*44/12</f>
        <v>5.949628322</v>
      </c>
      <c r="HH188" s="142">
        <f>EXP(-LN(2)/25)*HH187+(1-EXP(-LN(2)/25))/(LN(2)/25)*Calculateur!HC188*Calculateur!HE188*VLOOKUP('Données projet'!$B$18,'Paramètres'!$A$1:$I$89,3,0)*0.475*44/12</f>
        <v>0</v>
      </c>
      <c r="HI188" s="142">
        <f>EXP(-LN(2)/2)*HI187+(1-EXP(-LN(2)/2))/(LN(2)/2)*HC188*HF188*VLOOKUP('Données projet'!$B$18,'Paramètres'!$A$1:$I$89,3,0)*0.475*44/12</f>
        <v>0</v>
      </c>
      <c r="HJ188" s="143">
        <f t="shared" si="31"/>
        <v>5.949628322</v>
      </c>
    </row>
    <row r="189" ht="15.75" customHeight="1">
      <c r="A189" s="125">
        <f t="shared" si="32"/>
        <v>186</v>
      </c>
      <c r="B189" s="126">
        <f>'Scénario référence'!$B$16*5+'Scénario référence'!$B$17*0+'Scénario référence'!$B$18*5</f>
        <v>0</v>
      </c>
      <c r="C189" s="140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101.556</v>
      </c>
      <c r="D189" s="127">
        <f t="shared" si="33"/>
        <v>27.33235932</v>
      </c>
      <c r="E18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7">
        <f>IF(OR('Scénario référence'!$F$8&gt;0,'Scénario référence'!$F$9&gt;0),('Scénario référence'!$F$8+'Scénario référence'!$F$9)*10,0)</f>
        <v>10</v>
      </c>
      <c r="G189" s="127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994.927686</v>
      </c>
      <c r="H189" s="128">
        <f t="shared" si="1"/>
        <v>517.8138925</v>
      </c>
      <c r="I189" s="12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1" t="str">
        <f>VLOOKUP(A189,'Données projet'!$A$35:$I$55,2,0)</f>
        <v>#N/A</v>
      </c>
      <c r="L189" s="131" t="str">
        <f>VLOOKUP(A189,'Données projet'!$A$35:$I$55,9,0)</f>
        <v>#N/A</v>
      </c>
      <c r="M189" s="131" t="str">
        <f t="array" ref="M189">INDEX(L:L,MIN(IF(ISNUMBER(L189:L385),ROW(L189:L385),"")))</f>
        <v/>
      </c>
      <c r="N189" s="130">
        <f>IF('Données projet'!$A$36&gt;35,N188+M189-V188,IF(A189&lt;'Données projet'!$A$36,$K$205^A189,IF(A189='Données projet'!$A$36,'Données projet'!$B$36,N188+M189-V188)))</f>
        <v>0</v>
      </c>
      <c r="O189" s="130">
        <f>N189*VLOOKUP('Données projet'!$B$9,'Paramètres'!$A$1:$I$89,3,0)*VLOOKUP('Données projet'!$B$9,'Paramètres'!$A$1:$I$89,5,0)</f>
        <v>0</v>
      </c>
      <c r="P189" s="130">
        <f t="shared" si="34"/>
        <v>0</v>
      </c>
      <c r="Q189" s="141">
        <f t="shared" si="2"/>
        <v>0</v>
      </c>
      <c r="R189" s="133">
        <f t="shared" si="3"/>
        <v>293.3333333</v>
      </c>
      <c r="S189" s="133">
        <f>AVERAGE(OFFSET($R$3,0,0,'Données projet'!$E$9+1,1))-AVERAGE(OFFSET($H$3,0,0,'Données projet'!$E$9+1,1))</f>
        <v>126.9946492</v>
      </c>
      <c r="T189" s="133">
        <f t="shared" si="35"/>
        <v>140.039049</v>
      </c>
      <c r="U189" s="134">
        <f>IF(ISNA(VLOOKUP(A189,'Données projet'!$A$35:$I$55,3,0)),0,VLOOKUP(A189,'Données projet'!$A$35:$I$55,3,0))</f>
        <v>0</v>
      </c>
      <c r="V189" s="134">
        <f>IF(ISNA(VLOOKUP(A189,'Données projet'!$A$35:$I$55,4,0)),0,VLOOKUP(A189,'Données projet'!$A$35:$I$55,4,0))</f>
        <v>0</v>
      </c>
      <c r="W189" s="135">
        <f>IF(ISNA(VLOOKUP(A189,'Données projet'!$A$35:$I$55,5,0)),0%,VLOOKUP(A189,'Données projet'!$A$35:$I$55,5,0)*VLOOKUP('Données projet'!$B$9,'Paramètres'!$A$1:$I$89,7,0))</f>
        <v>0</v>
      </c>
      <c r="X189" s="135">
        <f>IF(ISNA(VLOOKUP(A189,'Données projet'!$A$35:$I$55,6,0)),0%,VLOOKUP(A189,'Données projet'!$A$35:$I$55,6,0)*VLOOKUP('Données projet'!$B$9,'Paramètres'!$A$1:$I$89,7,0))</f>
        <v>0</v>
      </c>
      <c r="Y189" s="135">
        <f>IF(ISNA(VLOOKUP(A189,'Données projet'!$A$35:$I$55,7,0)),0%,VLOOKUP(A189,'Données projet'!$A$35:$I$55,7,0))</f>
        <v>0</v>
      </c>
      <c r="Z189" s="142">
        <f>EXP(-LN(2)/35)*Z188+(1-EXP(-LN(2)/35))/(LN(2)/35)*V189*W189*VLOOKUP('Données projet'!$B$9,'Paramètres'!$A$1:$I$89,3,0)*0.475*44/12</f>
        <v>8.760652265</v>
      </c>
      <c r="AA189" s="142">
        <f>EXP(-LN(2)/25)*AA188+(1-EXP(-LN(2)/25))/(LN(2)/25)*Calculateur!V189*Calculateur!X189*VLOOKUP('Données projet'!$B$9,'Paramètres'!$A$1:$I$89,3,0)*0.475*44/12</f>
        <v>0.7063495424</v>
      </c>
      <c r="AB189" s="142">
        <f>EXP(-LN(2)/2)*AB188+(1-EXP(-LN(2)/2))/(LN(2)/2)*V189*Y189*VLOOKUP('Données projet'!$B$9,'Paramètres'!$A$1:$I$89,3,0)*0.475*44/12</f>
        <v>0</v>
      </c>
      <c r="AC189" s="143">
        <f t="shared" si="4"/>
        <v>9.467001807</v>
      </c>
      <c r="AD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1" t="str">
        <f>VLOOKUP(A189,'Données projet'!$A$61:$I$81,2,0)</f>
        <v>#N/A</v>
      </c>
      <c r="AG189" s="131" t="str">
        <f>VLOOKUP(A189,'Données projet'!$A$61:$I$81,9,0)</f>
        <v>#N/A</v>
      </c>
      <c r="AH189" s="131" t="str">
        <f t="array" ref="AH189">INDEX(AG:AG,MIN(IF(ISNUMBER(AG189:AG385),ROW(AG189:AG385),"")))</f>
        <v/>
      </c>
      <c r="AI189" s="130">
        <f>IF('Données projet'!$A$62&gt;35,AI188+AH189-AQ188,IF(A189&lt;'Données projet'!$A$62,$AF$205^A189,IF(A189='Données projet'!$A$62,'Données projet'!$B$62,AI188+AH189-AQ188)))</f>
        <v>0</v>
      </c>
      <c r="AJ189" s="130">
        <f>AI189*VLOOKUP('Données projet'!$B$10,'Paramètres'!$A$1:$I$89,3,0)*VLOOKUP('Données projet'!$B$10,'Paramètres'!$A$1:$I$89,5,0)</f>
        <v>0</v>
      </c>
      <c r="AK189" s="130" t="str">
        <f t="shared" si="36"/>
        <v>#NUM!</v>
      </c>
      <c r="AL189" s="141" t="str">
        <f t="shared" si="5"/>
        <v>#NUM!</v>
      </c>
      <c r="AM189" s="133" t="str">
        <f t="shared" si="6"/>
        <v>#NUM!</v>
      </c>
      <c r="AN189" s="133">
        <f>AVERAGE(OFFSET($AM$3,0,0,'Données projet'!$E$10+1,1))-AVERAGE(OFFSET($H$3,0,0,'Données projet'!$E$10+1,1))</f>
        <v>196.874484</v>
      </c>
      <c r="AO189" s="133">
        <f t="shared" si="37"/>
        <v>217.5750859</v>
      </c>
      <c r="AP189" s="134">
        <f>IF(ISNA(VLOOKUP(A189,'Données projet'!$A$61:$I$81,3,0)),0,VLOOKUP(A189,'Données projet'!$A$61:$I$81,3,0))</f>
        <v>0</v>
      </c>
      <c r="AQ189" s="134">
        <f>IF(ISNA(VLOOKUP(A189,'Données projet'!$A$61:$I$81,4,0)),0,VLOOKUP(A189,'Données projet'!$A$61:$I$81,4,0))</f>
        <v>0</v>
      </c>
      <c r="AR189" s="135">
        <f>IF(ISNA(VLOOKUP(A189,'Données projet'!$A$61:$I$81,5,0)),0%,VLOOKUP(A189,'Données projet'!$A$61:$I$81,5,0)*VLOOKUP('Données projet'!$B$10,'Paramètres'!$A$1:$I$89,7,0))</f>
        <v>0</v>
      </c>
      <c r="AS189" s="135">
        <f>IF(ISNA(VLOOKUP(A189,'Données projet'!$A$61:$I$81,6,0)),0%,VLOOKUP(A189,'Données projet'!$A$61:$I$81,6,0)*VLOOKUP('Données projet'!$B$10,'Paramètres'!$A$1:$I$89,7,0))</f>
        <v>0</v>
      </c>
      <c r="AT189" s="135">
        <f>IF(ISNA(VLOOKUP(A189,'Données projet'!$A$61:$I$81,7,0)),0%,VLOOKUP(A189,'Données projet'!$A$61:$I$81,7,0))</f>
        <v>0</v>
      </c>
      <c r="AU189" s="142">
        <f>EXP(-LN(2)/35)*AU188+(1-EXP(-LN(2)/35))/(LN(2)/35)*AQ189*AR189*VLOOKUP('Données projet'!$B$10,'Paramètres'!$A$1:$I$89,3,0)*0.475*44/12</f>
        <v>12.17705781</v>
      </c>
      <c r="AV189" s="142">
        <f>EXP(-LN(2)/25)*AV188+(1-EXP(-LN(2)/25))/(LN(2)/25)*Calculateur!AQ189*Calculateur!AS189*VLOOKUP('Données projet'!$B$10,'Paramètres'!$A$1:$I$89,3,0)*0.475*44/12</f>
        <v>1.086013365</v>
      </c>
      <c r="AW189" s="142">
        <f>EXP(-LN(2)/2)*AW188+(1-EXP(-LN(2)/2))/(LN(2)/2)*AQ189*AT189*VLOOKUP('Données projet'!$B$10,'Paramètres'!$A$1:$I$89,3,0)*0.475*44/12</f>
        <v>0</v>
      </c>
      <c r="AX189" s="142">
        <f t="shared" si="7"/>
        <v>13.26307118</v>
      </c>
      <c r="AY189" s="13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1" t="str">
        <f>VLOOKUP(A189,'Données projet'!$A$87:$I$107,2,0)</f>
        <v>#N/A</v>
      </c>
      <c r="BB189" s="131" t="str">
        <f>VLOOKUP(A189,'Données projet'!$A$87:$I$107,9,0)</f>
        <v>#N/A</v>
      </c>
      <c r="BC189" s="131" t="str">
        <f t="array" ref="BC189">INDEX(BB:BB,MIN(IF(ISNUMBER(BB189:BB385),ROW(BB189:BB385),"")))</f>
        <v/>
      </c>
      <c r="BD189" s="130">
        <f>IF('Données projet'!$A$88&gt;35,BD188+BC189-BL188,IF(A189&lt;'Données projet'!$A$88,$BA$205^A189,IF(A189='Données projet'!$A$88,'Données projet'!$B$88,BD188+BC189-BL188)))</f>
        <v>0</v>
      </c>
      <c r="BE189" s="130">
        <f>BD189*VLOOKUP('Données projet'!$B$11,'Paramètres'!$A$1:$I$89,3,0)*VLOOKUP('Données projet'!$B$11,'Paramètres'!$A$1:$I$89,5,0)</f>
        <v>0</v>
      </c>
      <c r="BF189" s="130" t="str">
        <f t="shared" si="38"/>
        <v>#NUM!</v>
      </c>
      <c r="BG189" s="141" t="str">
        <f t="shared" si="8"/>
        <v>#NUM!</v>
      </c>
      <c r="BH189" s="133" t="str">
        <f t="shared" si="9"/>
        <v>#NUM!</v>
      </c>
      <c r="BI189" s="133">
        <f>AVERAGE(OFFSET($BH$3,0,0,'Données projet'!$E$11+1,1))-AVERAGE(OFFSET($H$3,0,0,'Données projet'!$E$11+1,1))</f>
        <v>134.0948534</v>
      </c>
      <c r="BJ189" s="133">
        <f t="shared" si="39"/>
        <v>108.4102536</v>
      </c>
      <c r="BK189" s="134">
        <f>IF(ISNA(VLOOKUP(A189,'Données projet'!$A$87:$I$107,3,0)),0,VLOOKUP(A189,'Données projet'!$A$87:$I$107,3,0))</f>
        <v>0</v>
      </c>
      <c r="BL189" s="134">
        <f>IF(ISNA(VLOOKUP(A189,'Données projet'!$A$87:$I$107,4,0)),0,VLOOKUP(A189,'Données projet'!$A$87:$I$107,4,0))</f>
        <v>0</v>
      </c>
      <c r="BM189" s="135">
        <f>IF(ISNA(VLOOKUP(A189,'Données projet'!$A$87:$I$107,5,0)),0%,VLOOKUP(A189,'Données projet'!$A$87:$I$107,5,0)*VLOOKUP('Données projet'!$B$11,'Paramètres'!$A$1:$I$89,7,0))</f>
        <v>0</v>
      </c>
      <c r="BN189" s="135">
        <f>IF(ISNA(VLOOKUP(A189,'Données projet'!$A$87:$I$107,6,0)),0%,VLOOKUP(A189,'Données projet'!$A$87:$I$107,6,0)*VLOOKUP('Données projet'!$B$11,'Paramètres'!$A$1:$I$89,7,0))</f>
        <v>0</v>
      </c>
      <c r="BO189" s="135">
        <f>IF(ISNA(VLOOKUP(A189,'Données projet'!$A$87:$I$107,7,0)),0%,VLOOKUP(A189,'Données projet'!$A$87:$I$107,7,0))</f>
        <v>0</v>
      </c>
      <c r="BP189" s="142">
        <f>EXP(-LN(2)/35)*BP188+(1-EXP(-LN(2)/35))/(LN(2)/35)*BL189*BM189*VLOOKUP('Données projet'!$B$11,'Paramètres'!$A$1:$I$89,3,0)*0.475*44/12</f>
        <v>16.84314512</v>
      </c>
      <c r="BQ189" s="142">
        <f>EXP(-LN(2)/25)*BQ188+(1-EXP(-LN(2)/25))/(LN(2)/25)*Calculateur!BL189*Calculateur!BN189*VLOOKUP('Données projet'!$B$11,'Paramètres'!$A$1:$I$89,3,0)*0.475*44/12</f>
        <v>0.6850581632</v>
      </c>
      <c r="BR189" s="142">
        <f>EXP(-LN(2)/2)*BR188+(1-EXP(-LN(2)/2))/(LN(2)/2)*BL189*BO189*VLOOKUP('Données projet'!$B$11,'Paramètres'!$A$1:$I$89,3,0)*0.475*44/12</f>
        <v>0</v>
      </c>
      <c r="BS189" s="143">
        <f t="shared" si="10"/>
        <v>17.52820329</v>
      </c>
      <c r="BT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1" t="str">
        <f>VLOOKUP(A189,'Données projet'!$A$113:$I$133,2,0)</f>
        <v>#N/A</v>
      </c>
      <c r="BW189" s="131" t="str">
        <f>VLOOKUP(A189,'Données projet'!$A$113:$I$133,9,0)</f>
        <v>#N/A</v>
      </c>
      <c r="BX189" s="131" t="str">
        <f t="array" ref="BX189">INDEX(BW:BW,MIN(IF(ISNUMBER(BW189:BW385),ROW(BW189:BW385),"")))</f>
        <v/>
      </c>
      <c r="BY189" s="130">
        <f>IF('Données projet'!$A$114&gt;35,BY188+BX189-CG188,IF(A189&lt;'Données projet'!$A$114,$BV$205^A189,IF(A189='Données projet'!$A$114,'Données projet'!$B$114,BY188+BX189-CG188)))</f>
        <v>0</v>
      </c>
      <c r="BZ189" s="130">
        <f>BY189*VLOOKUP('Données projet'!$B$12,'Paramètres'!$A$1:$I$89,3,0)*VLOOKUP('Données projet'!$B$12,'Paramètres'!$A$1:$I$89,5,0)</f>
        <v>0</v>
      </c>
      <c r="CA189" s="130" t="str">
        <f t="shared" si="40"/>
        <v>#NUM!</v>
      </c>
      <c r="CB189" s="141" t="str">
        <f t="shared" si="11"/>
        <v>#NUM!</v>
      </c>
      <c r="CC189" s="133" t="str">
        <f t="shared" si="12"/>
        <v>#NUM!</v>
      </c>
      <c r="CD189" s="133">
        <f>AVERAGE(OFFSET($CC$3,0,0,'Données projet'!$E$12+1,1))-AVERAGE(OFFSET($H$3,0,0,'Données projet'!$E$12+1,1))</f>
        <v>258.1672054</v>
      </c>
      <c r="CE189" s="133">
        <f t="shared" si="41"/>
        <v>296.0724261</v>
      </c>
      <c r="CF189" s="134">
        <f>IF(ISNA(VLOOKUP(A189,'Données projet'!$A$113:$I$133,3,0)),0,VLOOKUP(A189,'Données projet'!$A$113:$I$133,3,0))</f>
        <v>0</v>
      </c>
      <c r="CG189" s="134">
        <f>IF(ISNA(VLOOKUP(A189,'Données projet'!$A$113:$I$133,4,0)),0,VLOOKUP(A189,'Données projet'!$A$113:$I$133,4,0))</f>
        <v>0</v>
      </c>
      <c r="CH189" s="135">
        <f>IF(ISNA(VLOOKUP(A189,'Données projet'!$A$113:$I$133,5,0)),0%,VLOOKUP(A189,'Données projet'!$A$113:$I$133,5,0)*VLOOKUP('Données projet'!$B$12,'Paramètres'!$A$1:$I$89,7,0))</f>
        <v>0</v>
      </c>
      <c r="CI189" s="135">
        <f>IF(ISNA(VLOOKUP(A189,'Données projet'!$A$113:$I$133,6,0)),0%,VLOOKUP(A189,'Données projet'!$A$113:$I$133,6,0)*VLOOKUP('Données projet'!$B$12,'Paramètres'!$A$1:$I$89,7,0))</f>
        <v>0</v>
      </c>
      <c r="CJ189" s="135">
        <f>IF(ISNA(VLOOKUP(A189,'Données projet'!$A$113:$I$133,7,0)),0%,VLOOKUP(A189,'Données projet'!$A$113:$I$133,7,0))</f>
        <v>0</v>
      </c>
      <c r="CK189" s="142">
        <f>EXP(-LN(2)/35)*CK188+(1-EXP(-LN(2)/35))/(LN(2)/35)*CG189*CH189*VLOOKUP('Données projet'!$B$12,'Paramètres'!$A$1:$I$89,3,0)*0.475*44/12</f>
        <v>21.29488796</v>
      </c>
      <c r="CL189" s="142">
        <f>EXP(-LN(2)/25)*CL188+(1-EXP(-LN(2)/25))/(LN(2)/25)*Calculateur!CG189*Calculateur!CI189*VLOOKUP('Données projet'!$B$12,'Paramètres'!$A$1:$I$89,3,0)*0.475*44/12</f>
        <v>1.201630907</v>
      </c>
      <c r="CM189" s="142">
        <f>EXP(-LN(2)/2)*CM188+(1-EXP(-LN(2)/2))/(LN(2)/2)*CG189*CJ189*VLOOKUP('Données projet'!$B$12,'Paramètres'!$A$1:$I$89,3,0)*0.475*44/12</f>
        <v>0</v>
      </c>
      <c r="CN189" s="143">
        <f t="shared" si="13"/>
        <v>22.49651887</v>
      </c>
      <c r="CO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1" t="str">
        <f>VLOOKUP(A189,'Données projet'!$A$139:$I$159,2,0)</f>
        <v>#N/A</v>
      </c>
      <c r="CR189" s="131" t="str">
        <f>VLOOKUP(A189,'Données projet'!$A$139:$I$159,9,0)</f>
        <v>#N/A</v>
      </c>
      <c r="CS189" s="131" t="str">
        <f t="array" ref="CS189">INDEX(CR:CR,MIN(IF(ISNUMBER(CR189:CR385),ROW(CR189:CR385),"")))</f>
        <v/>
      </c>
      <c r="CT189" s="138">
        <f>IF('Données projet'!$A$140&gt;35,CT188+CS189-DB188,IF(A189&lt;'Données projet'!$A$140,$CQ$205^A189,IF(A189='Données projet'!$A$140,'Données projet'!$B$140,CT188+CS189-DB188)))</f>
        <v>0</v>
      </c>
      <c r="CU189" s="138">
        <f>CT189*VLOOKUP('Données projet'!$B$13,'Paramètres'!$A$1:$I$89,3,0)*VLOOKUP('Données projet'!$B$13,'Paramètres'!$A$1:$I$89,5,0)</f>
        <v>0</v>
      </c>
      <c r="CV189" s="130" t="str">
        <f t="shared" si="42"/>
        <v>#NUM!</v>
      </c>
      <c r="CW189" s="141" t="str">
        <f t="shared" si="14"/>
        <v>#NUM!</v>
      </c>
      <c r="CX189" s="133" t="str">
        <f t="shared" si="15"/>
        <v>#NUM!</v>
      </c>
      <c r="CY189" s="133">
        <f>AVERAGE(OFFSET($CX$3,0,0,'Données projet'!$E$13+1,1))-AVERAGE(OFFSET($H$3,0,0,'Données projet'!$E$13+1,1))</f>
        <v>223.783507</v>
      </c>
      <c r="CZ189" s="133">
        <f t="shared" si="43"/>
        <v>84.92349117</v>
      </c>
      <c r="DA189" s="134">
        <f>IF(ISNA(VLOOKUP(A189,'Données projet'!$A$139:$I$159,3,0)),0,VLOOKUP(A189,'Données projet'!$A$139:$I$159,3,0))</f>
        <v>0</v>
      </c>
      <c r="DB189" s="134">
        <f>IF(ISNA(VLOOKUP(A189,'Données projet'!$A$139:$I$159,4,0)),0,VLOOKUP(A189,'Données projet'!$A$139:$I$159,4,0))</f>
        <v>0</v>
      </c>
      <c r="DC189" s="135">
        <f>IF(ISNA(VLOOKUP(A189,'Données projet'!$A$139:$I$159,5,0)),0%,VLOOKUP(A189,'Données projet'!$A$139:$I$159,5,0)*VLOOKUP('Données projet'!$B$13,'Paramètres'!$A$1:$I$89,7,0))</f>
        <v>0</v>
      </c>
      <c r="DD189" s="135">
        <f>IF(ISNA(VLOOKUP(A189,'Données projet'!$A$139:$I$159,6,0)),0%,VLOOKUP(A189,'Données projet'!$A$139:$I$159,6,0)*VLOOKUP('Données projet'!$B$13,'Paramètres'!$A$1:$I$89,7,0))</f>
        <v>0</v>
      </c>
      <c r="DE189" s="135">
        <f>IF(ISNA(VLOOKUP(A189,'Données projet'!$A$139:$I$159,7,0)),0%,VLOOKUP(A189,'Données projet'!$A$139:$I$159,7,0))</f>
        <v>0</v>
      </c>
      <c r="DF189" s="142">
        <f>EXP(-LN(2)/35)*DF188+(1-EXP(-LN(2)/35))/(LN(2)/35)*DB189*DC189*VLOOKUP('Données projet'!$B$13,'Paramètres'!$A$1:$I$89,3,0)*0.475*44/12</f>
        <v>54.69362808</v>
      </c>
      <c r="DG189" s="142">
        <f>EXP(-LN(2)/25)*DG188+(1-EXP(-LN(2)/25))/(LN(2)/25)*Calculateur!DB189*Calculateur!DD189*VLOOKUP('Données projet'!$B$13,'Paramètres'!$A$1:$I$89,3,0)*0.475*44/12</f>
        <v>0</v>
      </c>
      <c r="DH189" s="142">
        <f>EXP(-LN(2)/2)*DH188+(1-EXP(-LN(2)/2))/(LN(2)/2)*DB189*DE189*VLOOKUP('Données projet'!$B$13,'Paramètres'!$A$1:$I$89,3,0)*0.475*44/12</f>
        <v>0</v>
      </c>
      <c r="DI189" s="143">
        <f t="shared" si="16"/>
        <v>54.69362808</v>
      </c>
      <c r="DJ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1" t="str">
        <f>VLOOKUP(A189,'Données projet'!$A$165:$I$185,2,0)</f>
        <v>#N/A</v>
      </c>
      <c r="DM189" s="131" t="str">
        <f>VLOOKUP(A189,'Données projet'!$A$165:$I$185,9,0)</f>
        <v>#N/A</v>
      </c>
      <c r="DN189" s="131" t="str">
        <f t="array" ref="DN189">INDEX(DM:DM,MIN(IF(ISNUMBER(DM189:DM385),ROW(DM189:DM385),"")))</f>
        <v/>
      </c>
      <c r="DO189" s="138">
        <f>IF('Données projet'!$A$166&gt;35,DO188+DN189-DW188,IF(A189&lt;'Données projet'!$A$166,$DL$205^A189,IF(A189='Données projet'!$A$166,'Données projet'!$B$166,DO188+DN189-DW188)))</f>
        <v>0</v>
      </c>
      <c r="DP189" s="138">
        <f>DO189*VLOOKUP('Données projet'!$B$14,'Paramètres'!$A$1:$I$89,3,0)*VLOOKUP('Données projet'!$B$14,'Paramètres'!$A$1:$I$89,5,0)</f>
        <v>0</v>
      </c>
      <c r="DQ189" s="130" t="str">
        <f t="shared" si="44"/>
        <v>#NUM!</v>
      </c>
      <c r="DR189" s="141" t="str">
        <f t="shared" si="17"/>
        <v>#NUM!</v>
      </c>
      <c r="DS189" s="133" t="str">
        <f t="shared" si="18"/>
        <v>#NUM!</v>
      </c>
      <c r="DT189" s="133">
        <f>AVERAGE(OFFSET($DS$3,0,0,'Données projet'!$E$14+1,1))-AVERAGE(OFFSET($H$3,0,0,'Données projet'!$E$14+1,1))</f>
        <v>287.9334714</v>
      </c>
      <c r="DU189" s="133">
        <f t="shared" si="45"/>
        <v>156.6796502</v>
      </c>
      <c r="DV189" s="134">
        <f>IF(ISNA(VLOOKUP(A189,'Données projet'!$A$165:$I$185,3,0)),0,VLOOKUP(A189,'Données projet'!$A$165:$I$185,3,0))</f>
        <v>0</v>
      </c>
      <c r="DW189" s="134">
        <f>IF(ISNA(VLOOKUP(A189,'Données projet'!$A$165:$I$185,4,0)),0,VLOOKUP(A189,'Données projet'!$A$165:$I$185,4,0))</f>
        <v>0</v>
      </c>
      <c r="DX189" s="135">
        <f>IF(ISNA(VLOOKUP(A189,'Données projet'!$A$165:$I$185,5,0)),0%,VLOOKUP(A189,'Données projet'!$A$165:$I$185,5,0)*VLOOKUP('Données projet'!$B$14,'Paramètres'!$A$1:$I$89,7,0))</f>
        <v>0</v>
      </c>
      <c r="DY189" s="135">
        <f>IF(ISNA(VLOOKUP(A189,'Données projet'!$A$165:$I$185,6,0)),0%,VLOOKUP(A189,'Données projet'!$A$165:$I$185,6,0)*VLOOKUP('Données projet'!$B$14,'Paramètres'!$A$1:$I$89,7,0))</f>
        <v>0</v>
      </c>
      <c r="DZ189" s="135">
        <f>IF(ISNA(VLOOKUP(A189,'Données projet'!$A$165:$I$185,7,0)),0%,VLOOKUP(A189,'Données projet'!$A$165:$I$185,7,0))</f>
        <v>0</v>
      </c>
      <c r="EA189" s="142">
        <f>EXP(-LN(2)/35)*EA188+(1-EXP(-LN(2)/35))/(LN(2)/35)*DW189*DX189*VLOOKUP('Données projet'!$B$14,'Paramètres'!$A$1:$I$89,3,0)*0.475*44/12</f>
        <v>63.53851944</v>
      </c>
      <c r="EB189" s="142">
        <f>EXP(-LN(2)/25)*EB188+(1-EXP(-LN(2)/25))/(LN(2)/25)*Calculateur!DW189*Calculateur!DY189*VLOOKUP('Données projet'!$B$14,'Paramètres'!$A$1:$I$89,3,0)*0.475*44/12</f>
        <v>0</v>
      </c>
      <c r="EC189" s="142">
        <f>EXP(-LN(2)/2)*EC188+(1-EXP(-LN(2)/2))/(LN(2)/2)*DW189*DZ189*VLOOKUP('Données projet'!$B$14,'Paramètres'!$A$1:$I$89,3,0)*0.475*44/12</f>
        <v>0</v>
      </c>
      <c r="ED189" s="143">
        <f t="shared" si="19"/>
        <v>63.53851944</v>
      </c>
      <c r="EE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1" t="str">
        <f>VLOOKUP(A189,'Données projet'!$A$191:$I$211,2,0)</f>
        <v>#N/A</v>
      </c>
      <c r="EH189" s="131" t="str">
        <f>VLOOKUP(A189,'Données projet'!$A$191:$I$211,9,0)</f>
        <v>#N/A</v>
      </c>
      <c r="EI189" s="131" t="str">
        <f t="array" ref="EI189">INDEX(EH:EH,MIN(IF(ISNUMBER(EH189:EH385),ROW(EH189:EH385),"")))</f>
        <v/>
      </c>
      <c r="EJ189" s="138">
        <f>IF('Données projet'!$A$192&gt;35,EJ188+EI189-ER188,IF(A189&lt;'Données projet'!$A$192,$EG$205^A189,IF(A189='Données projet'!$A$192,'Données projet'!$B$192,EJ188+EI189-ER188)))</f>
        <v>0</v>
      </c>
      <c r="EK189" s="138">
        <f>EJ189*VLOOKUP('Données projet'!$B$15,'Paramètres'!$A$1:$I$89,3,0)*VLOOKUP('Données projet'!$B$15,'Paramètres'!$A$1:$I$89,5,0)</f>
        <v>0</v>
      </c>
      <c r="EL189" s="130" t="str">
        <f t="shared" si="46"/>
        <v>#NUM!</v>
      </c>
      <c r="EM189" s="141" t="str">
        <f t="shared" si="20"/>
        <v>#NUM!</v>
      </c>
      <c r="EN189" s="133" t="str">
        <f t="shared" si="21"/>
        <v>#NUM!</v>
      </c>
      <c r="EO189" s="133">
        <f>AVERAGE(OFFSET($EN$3,0,0,'Données projet'!$E$15+1,1))-AVERAGE(OFFSET($H$3,0,0,'Données projet'!$E$15+1,1))</f>
        <v>130.3193339</v>
      </c>
      <c r="EP189" s="133">
        <f t="shared" si="47"/>
        <v>82.22784365</v>
      </c>
      <c r="EQ189" s="134">
        <f>IF(ISNA(VLOOKUP(A189,'Données projet'!$A$191:$I$211,3,0)),0,VLOOKUP(A189,'Données projet'!$A$191:$I$211,3,0))</f>
        <v>0</v>
      </c>
      <c r="ER189" s="134">
        <f>IF(ISNA(VLOOKUP(A189,'Données projet'!$A$191:$I$211,4,0)),0,VLOOKUP(A189,'Données projet'!$A$191:$I$211,4,0))</f>
        <v>0</v>
      </c>
      <c r="ES189" s="135">
        <f>IF(ISNA(VLOOKUP(A189,'Données projet'!$A$191:$I$211,5,0)),0%,VLOOKUP(A189,'Données projet'!$A$191:$I$211,5,0)*VLOOKUP('Données projet'!$B$15,'Paramètres'!$A$1:$I$89,7,0))</f>
        <v>0</v>
      </c>
      <c r="ET189" s="135">
        <f>IF(ISNA(VLOOKUP(A189,'Données projet'!$A$191:$I$211,6,0)),0%,VLOOKUP(A189,'Données projet'!$A$191:$I$211,6,0)*VLOOKUP('Données projet'!$B$15,'Paramètres'!$A$1:$I$89,7,0))</f>
        <v>0</v>
      </c>
      <c r="EU189" s="135">
        <f>IF(ISNA(VLOOKUP(A189,'Données projet'!$A$191:$I$211,7,0)),0%,VLOOKUP(A189,'Données projet'!$A$191:$I$211,7,0))</f>
        <v>0</v>
      </c>
      <c r="EV189" s="142">
        <f>EXP(-LN(2)/35)*EV188+(1-EXP(-LN(2)/35))/(LN(2)/35)*ER189*ES189*VLOOKUP('Données projet'!$B$15,'Paramètres'!$A$1:$I$89,3,0)*0.475*44/12</f>
        <v>13.02138346</v>
      </c>
      <c r="EW189" s="142">
        <f>EXP(-LN(2)/25)*EW188+(1-EXP(-LN(2)/25))/(LN(2)/25)*Calculateur!ER189*Calculateur!ET189*VLOOKUP('Données projet'!$B$15,'Paramètres'!$A$1:$I$89,3,0)*0.475*44/12</f>
        <v>0</v>
      </c>
      <c r="EX189" s="142">
        <f>EXP(-LN(2)/2)*EX188+(1-EXP(-LN(2)/2))/(LN(2)/2)*ER189*EU189*VLOOKUP('Données projet'!$B$15,'Paramètres'!$A$1:$I$89,3,0)*0.475*44/12</f>
        <v>0</v>
      </c>
      <c r="EY189" s="143">
        <f t="shared" si="22"/>
        <v>13.02138346</v>
      </c>
      <c r="EZ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1" t="str">
        <f>VLOOKUP(A189,'Données projet'!$A$217:$I$237,2,0)</f>
        <v>#N/A</v>
      </c>
      <c r="FC189" s="131" t="str">
        <f>VLOOKUP(A189,'Données projet'!$A$217:$I$237,9,0)</f>
        <v>#N/A</v>
      </c>
      <c r="FD189" s="131" t="str">
        <f t="array" ref="FD189">INDEX(FC:FC,MIN(IF(ISNUMBER(FC189:FC385),ROW(FC189:FC385),"")))</f>
        <v/>
      </c>
      <c r="FE189" s="130">
        <f>IF('Données projet'!$A$218&gt;35,FE188+FD189-FM188,IF(A189&lt;'Données projet'!$A$218,$FB$205^A189,IF(A189='Données projet'!$A$218,'Données projet'!$B$218,FE188+FD189-FM188)))</f>
        <v>0</v>
      </c>
      <c r="FF189" s="138">
        <f>FE189*VLOOKUP('Données projet'!$B$16,'Paramètres'!$A$1:$I$89,3,0)*VLOOKUP('Données projet'!$B$16,'Paramètres'!$A$1:$I$89,5,0)</f>
        <v>0</v>
      </c>
      <c r="FG189" s="130">
        <f t="shared" si="48"/>
        <v>0</v>
      </c>
      <c r="FH189" s="141">
        <f t="shared" si="23"/>
        <v>0</v>
      </c>
      <c r="FI189" s="133">
        <f t="shared" si="24"/>
        <v>293.3333333</v>
      </c>
      <c r="FJ189" s="133">
        <f>AVERAGE(OFFSET($FI$3,0,0,'Données projet'!$E$16+1,1))-AVERAGE(OFFSET($H$3,0,0,'Données projet'!$E$16+1,1))</f>
        <v>305.6252353</v>
      </c>
      <c r="FK189" s="133">
        <f t="shared" si="49"/>
        <v>331.397916</v>
      </c>
      <c r="FL189" s="134">
        <f>IF(ISNA(VLOOKUP(A189,'Données projet'!$A$217:$I$237,3,0)),0,VLOOKUP(A189,'Données projet'!$A$217:$I$237,3,0))</f>
        <v>0</v>
      </c>
      <c r="FM189" s="134">
        <f>IF(ISNA(VLOOKUP(A189,'Données projet'!$A$217:$I$237,4,0)),0,VLOOKUP(A189,'Données projet'!$A$217:$I$237,4,0))</f>
        <v>0</v>
      </c>
      <c r="FN189" s="135">
        <f>IF(ISNA(VLOOKUP(A189,'Données projet'!$A$217:$I$237,5,0)),0%,VLOOKUP(A189,'Données projet'!$A$217:$I$237,5,0)*VLOOKUP('Données projet'!$B$16,'Paramètres'!$A$1:$I$89,7,0))</f>
        <v>0</v>
      </c>
      <c r="FO189" s="135">
        <f>IF(ISNA(VLOOKUP(A189,'Données projet'!$A$217:$I$237,6,0)),0%,VLOOKUP(A189,'Données projet'!$A$217:$I$237,6,0)*VLOOKUP('Données projet'!$B$16,'Paramètres'!$A$1:$I$89,7,0))</f>
        <v>0</v>
      </c>
      <c r="FP189" s="135">
        <f>IF(ISNA(VLOOKUP(A189,'Données projet'!$A$217:$I$237,7,0)),0%,VLOOKUP(A189,'Données projet'!$A$217:$I$237,7,0))</f>
        <v>0</v>
      </c>
      <c r="FQ189" s="142">
        <f>EXP(-LN(2)/35)*FQ188+(1-EXP(-LN(2)/35))/(LN(2)/35)*FM189*FN189*VLOOKUP('Données projet'!$B$16,'Paramètres'!$A$1:$I$89,3,0)*0.475*44/12</f>
        <v>8.107502488</v>
      </c>
      <c r="FR189" s="142">
        <f>EXP(-LN(2)/25)*FR188+(1-EXP(-LN(2)/25))/(LN(2)/25)*Calculateur!FM189*Calculateur!FO189*VLOOKUP('Données projet'!$B$16,'Paramètres'!$A$1:$I$89,3,0)*0.475*44/12</f>
        <v>0</v>
      </c>
      <c r="FS189" s="142">
        <f>EXP(-LN(2)/2)*FS188+(1-EXP(-LN(2)/2))/(LN(2)/2)*FM189*FP189*VLOOKUP('Données projet'!$B$16,'Paramètres'!$A$1:$I$89,3,0)*0.475*44/12</f>
        <v>0</v>
      </c>
      <c r="FT189" s="143">
        <f t="shared" si="25"/>
        <v>8.107502488</v>
      </c>
      <c r="FU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1" t="str">
        <f>VLOOKUP(A189,'Données projet'!$A$243:$I$263,2,0)</f>
        <v>#N/A</v>
      </c>
      <c r="FX189" s="131" t="str">
        <f>VLOOKUP(A189,'Données projet'!$A$243:$I$263,9,0)</f>
        <v>#N/A</v>
      </c>
      <c r="FY189" s="131" t="str">
        <f t="array" ref="FY189">INDEX(FX:FX,MIN(IF(ISNUMBER(FX189:FX385),ROW(FX189:FX385),"")))</f>
        <v/>
      </c>
      <c r="FZ189" s="138">
        <f>IF('Données projet'!$A$244&gt;35,FZ188+FY189-GH188,IF(A189&lt;'Données projet'!$A$244,$FW$205^A189,IF(A189='Données projet'!$A$244,'Données projet'!$B$244,FZ188+FY189-GH188)))</f>
        <v>0</v>
      </c>
      <c r="GA189" s="138">
        <f>FZ189*VLOOKUP('Données projet'!$B$17,'Paramètres'!$A$1:$I$89,3,0)*VLOOKUP('Données projet'!$B$17,'Paramètres'!$A$1:$I$89,5,0)</f>
        <v>0</v>
      </c>
      <c r="GB189" s="130">
        <f t="shared" si="50"/>
        <v>0</v>
      </c>
      <c r="GC189" s="141">
        <f t="shared" si="26"/>
        <v>0</v>
      </c>
      <c r="GD189" s="133">
        <f t="shared" si="27"/>
        <v>293.3333333</v>
      </c>
      <c r="GE189" s="133">
        <f>AVERAGE(OFFSET($GD$3,0,0,'Données projet'!$E$17+1,1))-AVERAGE(OFFSET($H$3,0,0,'Données projet'!$E$17+1,1))</f>
        <v>118.7368745</v>
      </c>
      <c r="GF189" s="133">
        <f t="shared" si="51"/>
        <v>135.1233677</v>
      </c>
      <c r="GG189" s="134">
        <f>IF(ISNA(VLOOKUP(A189,'Données projet'!$A$243:$I$263,3,0)),0,VLOOKUP(A189,'Données projet'!$A$243:$I$263,3,0))</f>
        <v>0</v>
      </c>
      <c r="GH189" s="134">
        <f>IF(ISNA(VLOOKUP(A189,'Données projet'!$A$243:$I$263,4,0)),0,VLOOKUP(A189,'Données projet'!$A$243:$I$263,4,0))</f>
        <v>0</v>
      </c>
      <c r="GI189" s="135">
        <f>IF(ISNA(VLOOKUP(A189,'Données projet'!$A$243:$I$263,5,0)),0%,VLOOKUP(A189,'Données projet'!$A$243:$I$263,5,0)*VLOOKUP('Données projet'!$B$17,'Paramètres'!$A$1:$I$89,7,0))</f>
        <v>0</v>
      </c>
      <c r="GJ189" s="135">
        <f>IF(ISNA(VLOOKUP(A189,'Données projet'!$A$243:$I$263,6,0)),0%,VLOOKUP(A189,'Données projet'!$A$243:$I$263,6,0)*VLOOKUP('Données projet'!$B$17,'Paramètres'!$A$1:$I$89,7,0))</f>
        <v>0</v>
      </c>
      <c r="GK189" s="135">
        <f>IF(ISNA(VLOOKUP(A189,'Données projet'!$A$243:$I$263,7,0)),0%,VLOOKUP(A189,'Données projet'!$A$243:$I$263,7,0))</f>
        <v>0</v>
      </c>
      <c r="GL189" s="142">
        <f>EXP(-LN(2)/35)*GL188+(1-EXP(-LN(2)/35))/(LN(2)/35)*GH189*GI189*VLOOKUP('Données projet'!$B$17,'Paramètres'!$A$1:$I$89,3,0)*0.475*44/12</f>
        <v>8.565551306</v>
      </c>
      <c r="GM189" s="142">
        <f>EXP(-LN(2)/25)*GM188+(1-EXP(-LN(2)/25))/(LN(2)/25)*Calculateur!GH189*Calculateur!GJ189*VLOOKUP('Données projet'!$B$17,'Paramètres'!$A$1:$I$89,3,0)*0.475*44/12</f>
        <v>0</v>
      </c>
      <c r="GN189" s="142">
        <f>EXP(-LN(2)/2)*GN188+(1-EXP(-LN(2)/2))/(LN(2)/2)*GH189*GK189*VLOOKUP('Données projet'!$B$17,'Paramètres'!$A$1:$I$89,3,0)*0.475*44/12</f>
        <v>0</v>
      </c>
      <c r="GO189" s="142">
        <f t="shared" si="28"/>
        <v>8.565551306</v>
      </c>
      <c r="GP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1" t="str">
        <f>VLOOKUP(A189,'Données projet'!$A$269:$I$289,2,0)</f>
        <v>#N/A</v>
      </c>
      <c r="GS189" s="131" t="str">
        <f>VLOOKUP(A189,'Données projet'!$A$269:$I$289,9,0)</f>
        <v>#N/A</v>
      </c>
      <c r="GT189" s="131" t="str">
        <f t="array" ref="GT189">INDEX(GS:GS,MIN(IF(ISNUMBER(GS189:GS385),ROW(GS189:GS385),"")))</f>
        <v/>
      </c>
      <c r="GU189" s="138">
        <f>IF('Données projet'!$A$270&gt;35,GU188+GT189-HC188,IF(A189&lt;'Données projet'!$A$270,$GR$205^A189,IF(A189='Données projet'!$A$270,'Données projet'!$B$270,GU188+GT189-HC188)))</f>
        <v>0</v>
      </c>
      <c r="GV189" s="138">
        <f>GU189*VLOOKUP('Données projet'!$B$18,'Paramètres'!$A$1:$I$89,3,0)*VLOOKUP('Données projet'!$B$18,'Paramètres'!$A$1:$I$89,5,0)</f>
        <v>0</v>
      </c>
      <c r="GW189" s="130" t="str">
        <f t="shared" si="52"/>
        <v>#NUM!</v>
      </c>
      <c r="GX189" s="141" t="str">
        <f t="shared" si="29"/>
        <v>#NUM!</v>
      </c>
      <c r="GY189" s="133" t="str">
        <f t="shared" si="30"/>
        <v>#NUM!</v>
      </c>
      <c r="GZ189" s="133">
        <f>AVERAGE(OFFSET($GY$3,0,0,'Données projet'!$E$18+1,1))-AVERAGE(OFFSET($H$3,0,0,'Données projet'!$E$18+1,1))</f>
        <v>100.5427875</v>
      </c>
      <c r="HA189" s="133">
        <f t="shared" si="53"/>
        <v>92.28663609</v>
      </c>
      <c r="HB189" s="134">
        <f>IF(ISNA(VLOOKUP(A189,'Données projet'!$A$269:$I$289,3,0)),0,VLOOKUP(A189,'Données projet'!$A$269:$I$289,3,0))</f>
        <v>0</v>
      </c>
      <c r="HC189" s="134">
        <f>IF(ISNA(VLOOKUP(A189,'Données projet'!$A$269:$I$289,4,0)),0,VLOOKUP(A189,'Données projet'!$A$269:$I$289,4,0))</f>
        <v>0</v>
      </c>
      <c r="HD189" s="135">
        <f>IF(ISNA(VLOOKUP(A189,'Données projet'!$A$269:$I$289,5,0)),0%,VLOOKUP(A189,'Données projet'!$A$269:$I$289,5,0)*VLOOKUP('Données projet'!$B$18,'Paramètres'!$A$1:$I$89,7,0))</f>
        <v>0</v>
      </c>
      <c r="HE189" s="135">
        <f>IF(ISNA(VLOOKUP(A189,'Données projet'!$A$269:$I$289,6,0)),0%,VLOOKUP(A189,'Données projet'!$A$269:$I$289,6,0)*VLOOKUP('Données projet'!$B$18,'Paramètres'!$A$1:$I$89,7,0))</f>
        <v>0</v>
      </c>
      <c r="HF189" s="135">
        <f>IF(ISNA(VLOOKUP(A189,'Données projet'!$A$269:$I$289,7,0)),0%,VLOOKUP(A189,'Données projet'!$A$269:$I$289,7,0))</f>
        <v>0</v>
      </c>
      <c r="HG189" s="142">
        <f>EXP(-LN(2)/35)*HG188+(1-EXP(-LN(2)/35))/(LN(2)/35)*HC189*HD189*VLOOKUP('Données projet'!$B$18,'Paramètres'!$A$1:$I$89,3,0)*0.475*44/12</f>
        <v>5.83295974</v>
      </c>
      <c r="HH189" s="142">
        <f>EXP(-LN(2)/25)*HH188+(1-EXP(-LN(2)/25))/(LN(2)/25)*Calculateur!HC189*Calculateur!HE189*VLOOKUP('Données projet'!$B$18,'Paramètres'!$A$1:$I$89,3,0)*0.475*44/12</f>
        <v>0</v>
      </c>
      <c r="HI189" s="142">
        <f>EXP(-LN(2)/2)*HI188+(1-EXP(-LN(2)/2))/(LN(2)/2)*HC189*HF189*VLOOKUP('Données projet'!$B$18,'Paramètres'!$A$1:$I$89,3,0)*0.475*44/12</f>
        <v>0</v>
      </c>
      <c r="HJ189" s="143">
        <f t="shared" si="31"/>
        <v>5.83295974</v>
      </c>
    </row>
    <row r="190" ht="15.75" customHeight="1">
      <c r="A190" s="125">
        <f t="shared" si="32"/>
        <v>187</v>
      </c>
      <c r="B190" s="126">
        <f>'Scénario référence'!$B$16*5+'Scénario référence'!$B$17*0+'Scénario référence'!$B$18*5</f>
        <v>0</v>
      </c>
      <c r="C190" s="140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102.102</v>
      </c>
      <c r="D190" s="127">
        <f t="shared" si="33"/>
        <v>27.46216217</v>
      </c>
      <c r="E19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7">
        <f>IF(OR('Scénario référence'!$F$8&gt;0,'Scénario référence'!$F$9&gt;0),('Scénario référence'!$F$8+'Scénario référence'!$F$9)*10,0)</f>
        <v>10</v>
      </c>
      <c r="G190" s="127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1000.14441</v>
      </c>
      <c r="H190" s="128">
        <f t="shared" si="1"/>
        <v>518.9909158</v>
      </c>
      <c r="I190" s="12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1" t="str">
        <f>VLOOKUP(A190,'Données projet'!$A$35:$I$55,2,0)</f>
        <v>#N/A</v>
      </c>
      <c r="L190" s="131" t="str">
        <f>VLOOKUP(A190,'Données projet'!$A$35:$I$55,9,0)</f>
        <v>#N/A</v>
      </c>
      <c r="M190" s="131" t="str">
        <f t="array" ref="M190">INDEX(L:L,MIN(IF(ISNUMBER(L190:L386),ROW(L190:L386),"")))</f>
        <v/>
      </c>
      <c r="N190" s="130">
        <f>IF('Données projet'!$A$36&gt;35,N189+M190-V189,IF(A190&lt;'Données projet'!$A$36,$K$205^A190,IF(A190='Données projet'!$A$36,'Données projet'!$B$36,N189+M190-V189)))</f>
        <v>0</v>
      </c>
      <c r="O190" s="130">
        <f>N190*VLOOKUP('Données projet'!$B$9,'Paramètres'!$A$1:$I$89,3,0)*VLOOKUP('Données projet'!$B$9,'Paramètres'!$A$1:$I$89,5,0)</f>
        <v>0</v>
      </c>
      <c r="P190" s="130">
        <f t="shared" si="34"/>
        <v>0</v>
      </c>
      <c r="Q190" s="141">
        <f t="shared" si="2"/>
        <v>0</v>
      </c>
      <c r="R190" s="133">
        <f t="shared" si="3"/>
        <v>293.3333333</v>
      </c>
      <c r="S190" s="133">
        <f>AVERAGE(OFFSET($R$3,0,0,'Données projet'!$E$9+1,1))-AVERAGE(OFFSET($H$3,0,0,'Données projet'!$E$9+1,1))</f>
        <v>126.9946492</v>
      </c>
      <c r="T190" s="133">
        <f t="shared" si="35"/>
        <v>140.039049</v>
      </c>
      <c r="U190" s="134">
        <f>IF(ISNA(VLOOKUP(A190,'Données projet'!$A$35:$I$55,3,0)),0,VLOOKUP(A190,'Données projet'!$A$35:$I$55,3,0))</f>
        <v>0</v>
      </c>
      <c r="V190" s="134">
        <f>IF(ISNA(VLOOKUP(A190,'Données projet'!$A$35:$I$55,4,0)),0,VLOOKUP(A190,'Données projet'!$A$35:$I$55,4,0))</f>
        <v>0</v>
      </c>
      <c r="W190" s="135">
        <f>IF(ISNA(VLOOKUP(A190,'Données projet'!$A$35:$I$55,5,0)),0%,VLOOKUP(A190,'Données projet'!$A$35:$I$55,5,0)*VLOOKUP('Données projet'!$B$9,'Paramètres'!$A$1:$I$89,7,0))</f>
        <v>0</v>
      </c>
      <c r="X190" s="135">
        <f>IF(ISNA(VLOOKUP(A190,'Données projet'!$A$35:$I$55,6,0)),0%,VLOOKUP(A190,'Données projet'!$A$35:$I$55,6,0)*VLOOKUP('Données projet'!$B$9,'Paramètres'!$A$1:$I$89,7,0))</f>
        <v>0</v>
      </c>
      <c r="Y190" s="135">
        <f>IF(ISNA(VLOOKUP(A190,'Données projet'!$A$35:$I$55,7,0)),0%,VLOOKUP(A190,'Données projet'!$A$35:$I$55,7,0))</f>
        <v>0</v>
      </c>
      <c r="Z190" s="142">
        <f>EXP(-LN(2)/35)*Z189+(1-EXP(-LN(2)/35))/(LN(2)/35)*V190*W190*VLOOKUP('Données projet'!$B$9,'Paramètres'!$A$1:$I$89,3,0)*0.475*44/12</f>
        <v>8.588861217</v>
      </c>
      <c r="AA190" s="142">
        <f>EXP(-LN(2)/25)*AA189+(1-EXP(-LN(2)/25))/(LN(2)/25)*Calculateur!V190*Calculateur!X190*VLOOKUP('Données projet'!$B$9,'Paramètres'!$A$1:$I$89,3,0)*0.475*44/12</f>
        <v>0.687034377</v>
      </c>
      <c r="AB190" s="142">
        <f>EXP(-LN(2)/2)*AB189+(1-EXP(-LN(2)/2))/(LN(2)/2)*V190*Y190*VLOOKUP('Données projet'!$B$9,'Paramètres'!$A$1:$I$89,3,0)*0.475*44/12</f>
        <v>0</v>
      </c>
      <c r="AC190" s="143">
        <f t="shared" si="4"/>
        <v>9.275895594</v>
      </c>
      <c r="AD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1" t="str">
        <f>VLOOKUP(A190,'Données projet'!$A$61:$I$81,2,0)</f>
        <v>#N/A</v>
      </c>
      <c r="AG190" s="131" t="str">
        <f>VLOOKUP(A190,'Données projet'!$A$61:$I$81,9,0)</f>
        <v>#N/A</v>
      </c>
      <c r="AH190" s="131" t="str">
        <f t="array" ref="AH190">INDEX(AG:AG,MIN(IF(ISNUMBER(AG190:AG386),ROW(AG190:AG386),"")))</f>
        <v/>
      </c>
      <c r="AI190" s="130">
        <f>IF('Données projet'!$A$62&gt;35,AI189+AH190-AQ189,IF(A190&lt;'Données projet'!$A$62,$AF$205^A190,IF(A190='Données projet'!$A$62,'Données projet'!$B$62,AI189+AH190-AQ189)))</f>
        <v>0</v>
      </c>
      <c r="AJ190" s="130">
        <f>AI190*VLOOKUP('Données projet'!$B$10,'Paramètres'!$A$1:$I$89,3,0)*VLOOKUP('Données projet'!$B$10,'Paramètres'!$A$1:$I$89,5,0)</f>
        <v>0</v>
      </c>
      <c r="AK190" s="130" t="str">
        <f t="shared" si="36"/>
        <v>#NUM!</v>
      </c>
      <c r="AL190" s="141" t="str">
        <f t="shared" si="5"/>
        <v>#NUM!</v>
      </c>
      <c r="AM190" s="133" t="str">
        <f t="shared" si="6"/>
        <v>#NUM!</v>
      </c>
      <c r="AN190" s="133">
        <f>AVERAGE(OFFSET($AM$3,0,0,'Données projet'!$E$10+1,1))-AVERAGE(OFFSET($H$3,0,0,'Données projet'!$E$10+1,1))</f>
        <v>196.874484</v>
      </c>
      <c r="AO190" s="133">
        <f t="shared" si="37"/>
        <v>217.5750859</v>
      </c>
      <c r="AP190" s="134">
        <f>IF(ISNA(VLOOKUP(A190,'Données projet'!$A$61:$I$81,3,0)),0,VLOOKUP(A190,'Données projet'!$A$61:$I$81,3,0))</f>
        <v>0</v>
      </c>
      <c r="AQ190" s="134">
        <f>IF(ISNA(VLOOKUP(A190,'Données projet'!$A$61:$I$81,4,0)),0,VLOOKUP(A190,'Données projet'!$A$61:$I$81,4,0))</f>
        <v>0</v>
      </c>
      <c r="AR190" s="135">
        <f>IF(ISNA(VLOOKUP(A190,'Données projet'!$A$61:$I$81,5,0)),0%,VLOOKUP(A190,'Données projet'!$A$61:$I$81,5,0)*VLOOKUP('Données projet'!$B$10,'Paramètres'!$A$1:$I$89,7,0))</f>
        <v>0</v>
      </c>
      <c r="AS190" s="135">
        <f>IF(ISNA(VLOOKUP(A190,'Données projet'!$A$61:$I$81,6,0)),0%,VLOOKUP(A190,'Données projet'!$A$61:$I$81,6,0)*VLOOKUP('Données projet'!$B$10,'Paramètres'!$A$1:$I$89,7,0))</f>
        <v>0</v>
      </c>
      <c r="AT190" s="135">
        <f>IF(ISNA(VLOOKUP(A190,'Données projet'!$A$61:$I$81,7,0)),0%,VLOOKUP(A190,'Données projet'!$A$61:$I$81,7,0))</f>
        <v>0</v>
      </c>
      <c r="AU190" s="142">
        <f>EXP(-LN(2)/35)*AU189+(1-EXP(-LN(2)/35))/(LN(2)/35)*AQ190*AR190*VLOOKUP('Données projet'!$B$10,'Paramètres'!$A$1:$I$89,3,0)*0.475*44/12</f>
        <v>11.93827314</v>
      </c>
      <c r="AV190" s="142">
        <f>EXP(-LN(2)/25)*AV189+(1-EXP(-LN(2)/25))/(LN(2)/25)*Calculateur!AQ190*Calculateur!AS190*VLOOKUP('Données projet'!$B$10,'Paramètres'!$A$1:$I$89,3,0)*0.475*44/12</f>
        <v>1.056316273</v>
      </c>
      <c r="AW190" s="142">
        <f>EXP(-LN(2)/2)*AW189+(1-EXP(-LN(2)/2))/(LN(2)/2)*AQ190*AT190*VLOOKUP('Données projet'!$B$10,'Paramètres'!$A$1:$I$89,3,0)*0.475*44/12</f>
        <v>0</v>
      </c>
      <c r="AX190" s="142">
        <f t="shared" si="7"/>
        <v>12.99458941</v>
      </c>
      <c r="AY190" s="13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1" t="str">
        <f>VLOOKUP(A190,'Données projet'!$A$87:$I$107,2,0)</f>
        <v>#N/A</v>
      </c>
      <c r="BB190" s="131" t="str">
        <f>VLOOKUP(A190,'Données projet'!$A$87:$I$107,9,0)</f>
        <v>#N/A</v>
      </c>
      <c r="BC190" s="131" t="str">
        <f t="array" ref="BC190">INDEX(BB:BB,MIN(IF(ISNUMBER(BB190:BB386),ROW(BB190:BB386),"")))</f>
        <v/>
      </c>
      <c r="BD190" s="130">
        <f>IF('Données projet'!$A$88&gt;35,BD189+BC190-BL189,IF(A190&lt;'Données projet'!$A$88,$BA$205^A190,IF(A190='Données projet'!$A$88,'Données projet'!$B$88,BD189+BC190-BL189)))</f>
        <v>0</v>
      </c>
      <c r="BE190" s="130">
        <f>BD190*VLOOKUP('Données projet'!$B$11,'Paramètres'!$A$1:$I$89,3,0)*VLOOKUP('Données projet'!$B$11,'Paramètres'!$A$1:$I$89,5,0)</f>
        <v>0</v>
      </c>
      <c r="BF190" s="130" t="str">
        <f t="shared" si="38"/>
        <v>#NUM!</v>
      </c>
      <c r="BG190" s="141" t="str">
        <f t="shared" si="8"/>
        <v>#NUM!</v>
      </c>
      <c r="BH190" s="133" t="str">
        <f t="shared" si="9"/>
        <v>#NUM!</v>
      </c>
      <c r="BI190" s="133">
        <f>AVERAGE(OFFSET($BH$3,0,0,'Données projet'!$E$11+1,1))-AVERAGE(OFFSET($H$3,0,0,'Données projet'!$E$11+1,1))</f>
        <v>134.0948534</v>
      </c>
      <c r="BJ190" s="133">
        <f t="shared" si="39"/>
        <v>108.4102536</v>
      </c>
      <c r="BK190" s="134">
        <f>IF(ISNA(VLOOKUP(A190,'Données projet'!$A$87:$I$107,3,0)),0,VLOOKUP(A190,'Données projet'!$A$87:$I$107,3,0))</f>
        <v>0</v>
      </c>
      <c r="BL190" s="134">
        <f>IF(ISNA(VLOOKUP(A190,'Données projet'!$A$87:$I$107,4,0)),0,VLOOKUP(A190,'Données projet'!$A$87:$I$107,4,0))</f>
        <v>0</v>
      </c>
      <c r="BM190" s="135">
        <f>IF(ISNA(VLOOKUP(A190,'Données projet'!$A$87:$I$107,5,0)),0%,VLOOKUP(A190,'Données projet'!$A$87:$I$107,5,0)*VLOOKUP('Données projet'!$B$11,'Paramètres'!$A$1:$I$89,7,0))</f>
        <v>0</v>
      </c>
      <c r="BN190" s="135">
        <f>IF(ISNA(VLOOKUP(A190,'Données projet'!$A$87:$I$107,6,0)),0%,VLOOKUP(A190,'Données projet'!$A$87:$I$107,6,0)*VLOOKUP('Données projet'!$B$11,'Paramètres'!$A$1:$I$89,7,0))</f>
        <v>0</v>
      </c>
      <c r="BO190" s="135">
        <f>IF(ISNA(VLOOKUP(A190,'Données projet'!$A$87:$I$107,7,0)),0%,VLOOKUP(A190,'Données projet'!$A$87:$I$107,7,0))</f>
        <v>0</v>
      </c>
      <c r="BP190" s="142">
        <f>EXP(-LN(2)/35)*BP189+(1-EXP(-LN(2)/35))/(LN(2)/35)*BL190*BM190*VLOOKUP('Données projet'!$B$11,'Paramètres'!$A$1:$I$89,3,0)*0.475*44/12</f>
        <v>16.51286132</v>
      </c>
      <c r="BQ190" s="142">
        <f>EXP(-LN(2)/25)*BQ189+(1-EXP(-LN(2)/25))/(LN(2)/25)*Calculateur!BL190*Calculateur!BN190*VLOOKUP('Données projet'!$B$11,'Paramètres'!$A$1:$I$89,3,0)*0.475*44/12</f>
        <v>0.6663252117</v>
      </c>
      <c r="BR190" s="142">
        <f>EXP(-LN(2)/2)*BR189+(1-EXP(-LN(2)/2))/(LN(2)/2)*BL190*BO190*VLOOKUP('Données projet'!$B$11,'Paramètres'!$A$1:$I$89,3,0)*0.475*44/12</f>
        <v>0</v>
      </c>
      <c r="BS190" s="143">
        <f t="shared" si="10"/>
        <v>17.17918653</v>
      </c>
      <c r="BT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1" t="str">
        <f>VLOOKUP(A190,'Données projet'!$A$113:$I$133,2,0)</f>
        <v>#N/A</v>
      </c>
      <c r="BW190" s="131" t="str">
        <f>VLOOKUP(A190,'Données projet'!$A$113:$I$133,9,0)</f>
        <v>#N/A</v>
      </c>
      <c r="BX190" s="131" t="str">
        <f t="array" ref="BX190">INDEX(BW:BW,MIN(IF(ISNUMBER(BW190:BW386),ROW(BW190:BW386),"")))</f>
        <v/>
      </c>
      <c r="BY190" s="130">
        <f>IF('Données projet'!$A$114&gt;35,BY189+BX190-CG189,IF(A190&lt;'Données projet'!$A$114,$BV$205^A190,IF(A190='Données projet'!$A$114,'Données projet'!$B$114,BY189+BX190-CG189)))</f>
        <v>0</v>
      </c>
      <c r="BZ190" s="130">
        <f>BY190*VLOOKUP('Données projet'!$B$12,'Paramètres'!$A$1:$I$89,3,0)*VLOOKUP('Données projet'!$B$12,'Paramètres'!$A$1:$I$89,5,0)</f>
        <v>0</v>
      </c>
      <c r="CA190" s="130" t="str">
        <f t="shared" si="40"/>
        <v>#NUM!</v>
      </c>
      <c r="CB190" s="141" t="str">
        <f t="shared" si="11"/>
        <v>#NUM!</v>
      </c>
      <c r="CC190" s="133" t="str">
        <f t="shared" si="12"/>
        <v>#NUM!</v>
      </c>
      <c r="CD190" s="133">
        <f>AVERAGE(OFFSET($CC$3,0,0,'Données projet'!$E$12+1,1))-AVERAGE(OFFSET($H$3,0,0,'Données projet'!$E$12+1,1))</f>
        <v>258.1672054</v>
      </c>
      <c r="CE190" s="133">
        <f t="shared" si="41"/>
        <v>296.0724261</v>
      </c>
      <c r="CF190" s="134">
        <f>IF(ISNA(VLOOKUP(A190,'Données projet'!$A$113:$I$133,3,0)),0,VLOOKUP(A190,'Données projet'!$A$113:$I$133,3,0))</f>
        <v>0</v>
      </c>
      <c r="CG190" s="134">
        <f>IF(ISNA(VLOOKUP(A190,'Données projet'!$A$113:$I$133,4,0)),0,VLOOKUP(A190,'Données projet'!$A$113:$I$133,4,0))</f>
        <v>0</v>
      </c>
      <c r="CH190" s="135">
        <f>IF(ISNA(VLOOKUP(A190,'Données projet'!$A$113:$I$133,5,0)),0%,VLOOKUP(A190,'Données projet'!$A$113:$I$133,5,0)*VLOOKUP('Données projet'!$B$12,'Paramètres'!$A$1:$I$89,7,0))</f>
        <v>0</v>
      </c>
      <c r="CI190" s="135">
        <f>IF(ISNA(VLOOKUP(A190,'Données projet'!$A$113:$I$133,6,0)),0%,VLOOKUP(A190,'Données projet'!$A$113:$I$133,6,0)*VLOOKUP('Données projet'!$B$12,'Paramètres'!$A$1:$I$89,7,0))</f>
        <v>0</v>
      </c>
      <c r="CJ190" s="135">
        <f>IF(ISNA(VLOOKUP(A190,'Données projet'!$A$113:$I$133,7,0)),0%,VLOOKUP(A190,'Données projet'!$A$113:$I$133,7,0))</f>
        <v>0</v>
      </c>
      <c r="CK190" s="142">
        <f>EXP(-LN(2)/35)*CK189+(1-EXP(-LN(2)/35))/(LN(2)/35)*CG190*CH190*VLOOKUP('Données projet'!$B$12,'Paramètres'!$A$1:$I$89,3,0)*0.475*44/12</f>
        <v>20.8773082</v>
      </c>
      <c r="CL190" s="142">
        <f>EXP(-LN(2)/25)*CL189+(1-EXP(-LN(2)/25))/(LN(2)/25)*Calculateur!CG190*Calculateur!CI190*VLOOKUP('Données projet'!$B$12,'Paramètres'!$A$1:$I$89,3,0)*0.475*44/12</f>
        <v>1.168772247</v>
      </c>
      <c r="CM190" s="142">
        <f>EXP(-LN(2)/2)*CM189+(1-EXP(-LN(2)/2))/(LN(2)/2)*CG190*CJ190*VLOOKUP('Données projet'!$B$12,'Paramètres'!$A$1:$I$89,3,0)*0.475*44/12</f>
        <v>0</v>
      </c>
      <c r="CN190" s="143">
        <f t="shared" si="13"/>
        <v>22.04608045</v>
      </c>
      <c r="CO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1" t="str">
        <f>VLOOKUP(A190,'Données projet'!$A$139:$I$159,2,0)</f>
        <v>#N/A</v>
      </c>
      <c r="CR190" s="131" t="str">
        <f>VLOOKUP(A190,'Données projet'!$A$139:$I$159,9,0)</f>
        <v>#N/A</v>
      </c>
      <c r="CS190" s="131" t="str">
        <f t="array" ref="CS190">INDEX(CR:CR,MIN(IF(ISNUMBER(CR190:CR386),ROW(CR190:CR386),"")))</f>
        <v/>
      </c>
      <c r="CT190" s="138">
        <f>IF('Données projet'!$A$140&gt;35,CT189+CS190-DB189,IF(A190&lt;'Données projet'!$A$140,$CQ$205^A190,IF(A190='Données projet'!$A$140,'Données projet'!$B$140,CT189+CS190-DB189)))</f>
        <v>0</v>
      </c>
      <c r="CU190" s="138">
        <f>CT190*VLOOKUP('Données projet'!$B$13,'Paramètres'!$A$1:$I$89,3,0)*VLOOKUP('Données projet'!$B$13,'Paramètres'!$A$1:$I$89,5,0)</f>
        <v>0</v>
      </c>
      <c r="CV190" s="130" t="str">
        <f t="shared" si="42"/>
        <v>#NUM!</v>
      </c>
      <c r="CW190" s="141" t="str">
        <f t="shared" si="14"/>
        <v>#NUM!</v>
      </c>
      <c r="CX190" s="133" t="str">
        <f t="shared" si="15"/>
        <v>#NUM!</v>
      </c>
      <c r="CY190" s="133">
        <f>AVERAGE(OFFSET($CX$3,0,0,'Données projet'!$E$13+1,1))-AVERAGE(OFFSET($H$3,0,0,'Données projet'!$E$13+1,1))</f>
        <v>223.783507</v>
      </c>
      <c r="CZ190" s="133">
        <f t="shared" si="43"/>
        <v>84.92349117</v>
      </c>
      <c r="DA190" s="134">
        <f>IF(ISNA(VLOOKUP(A190,'Données projet'!$A$139:$I$159,3,0)),0,VLOOKUP(A190,'Données projet'!$A$139:$I$159,3,0))</f>
        <v>0</v>
      </c>
      <c r="DB190" s="134">
        <f>IF(ISNA(VLOOKUP(A190,'Données projet'!$A$139:$I$159,4,0)),0,VLOOKUP(A190,'Données projet'!$A$139:$I$159,4,0))</f>
        <v>0</v>
      </c>
      <c r="DC190" s="135">
        <f>IF(ISNA(VLOOKUP(A190,'Données projet'!$A$139:$I$159,5,0)),0%,VLOOKUP(A190,'Données projet'!$A$139:$I$159,5,0)*VLOOKUP('Données projet'!$B$13,'Paramètres'!$A$1:$I$89,7,0))</f>
        <v>0</v>
      </c>
      <c r="DD190" s="135">
        <f>IF(ISNA(VLOOKUP(A190,'Données projet'!$A$139:$I$159,6,0)),0%,VLOOKUP(A190,'Données projet'!$A$139:$I$159,6,0)*VLOOKUP('Données projet'!$B$13,'Paramètres'!$A$1:$I$89,7,0))</f>
        <v>0</v>
      </c>
      <c r="DE190" s="135">
        <f>IF(ISNA(VLOOKUP(A190,'Données projet'!$A$139:$I$159,7,0)),0%,VLOOKUP(A190,'Données projet'!$A$139:$I$159,7,0))</f>
        <v>0</v>
      </c>
      <c r="DF190" s="142">
        <f>EXP(-LN(2)/35)*DF189+(1-EXP(-LN(2)/35))/(LN(2)/35)*DB190*DC190*VLOOKUP('Données projet'!$B$13,'Paramètres'!$A$1:$I$89,3,0)*0.475*44/12</f>
        <v>53.62111939</v>
      </c>
      <c r="DG190" s="142">
        <f>EXP(-LN(2)/25)*DG189+(1-EXP(-LN(2)/25))/(LN(2)/25)*Calculateur!DB190*Calculateur!DD190*VLOOKUP('Données projet'!$B$13,'Paramètres'!$A$1:$I$89,3,0)*0.475*44/12</f>
        <v>0</v>
      </c>
      <c r="DH190" s="142">
        <f>EXP(-LN(2)/2)*DH189+(1-EXP(-LN(2)/2))/(LN(2)/2)*DB190*DE190*VLOOKUP('Données projet'!$B$13,'Paramètres'!$A$1:$I$89,3,0)*0.475*44/12</f>
        <v>0</v>
      </c>
      <c r="DI190" s="143">
        <f t="shared" si="16"/>
        <v>53.62111939</v>
      </c>
      <c r="DJ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1" t="str">
        <f>VLOOKUP(A190,'Données projet'!$A$165:$I$185,2,0)</f>
        <v>#N/A</v>
      </c>
      <c r="DM190" s="131" t="str">
        <f>VLOOKUP(A190,'Données projet'!$A$165:$I$185,9,0)</f>
        <v>#N/A</v>
      </c>
      <c r="DN190" s="131" t="str">
        <f t="array" ref="DN190">INDEX(DM:DM,MIN(IF(ISNUMBER(DM190:DM386),ROW(DM190:DM386),"")))</f>
        <v/>
      </c>
      <c r="DO190" s="138">
        <f>IF('Données projet'!$A$166&gt;35,DO189+DN190-DW189,IF(A190&lt;'Données projet'!$A$166,$DL$205^A190,IF(A190='Données projet'!$A$166,'Données projet'!$B$166,DO189+DN190-DW189)))</f>
        <v>0</v>
      </c>
      <c r="DP190" s="138">
        <f>DO190*VLOOKUP('Données projet'!$B$14,'Paramètres'!$A$1:$I$89,3,0)*VLOOKUP('Données projet'!$B$14,'Paramètres'!$A$1:$I$89,5,0)</f>
        <v>0</v>
      </c>
      <c r="DQ190" s="130" t="str">
        <f t="shared" si="44"/>
        <v>#NUM!</v>
      </c>
      <c r="DR190" s="141" t="str">
        <f t="shared" si="17"/>
        <v>#NUM!</v>
      </c>
      <c r="DS190" s="133" t="str">
        <f t="shared" si="18"/>
        <v>#NUM!</v>
      </c>
      <c r="DT190" s="133">
        <f>AVERAGE(OFFSET($DS$3,0,0,'Données projet'!$E$14+1,1))-AVERAGE(OFFSET($H$3,0,0,'Données projet'!$E$14+1,1))</f>
        <v>287.9334714</v>
      </c>
      <c r="DU190" s="133">
        <f t="shared" si="45"/>
        <v>156.6796502</v>
      </c>
      <c r="DV190" s="134">
        <f>IF(ISNA(VLOOKUP(A190,'Données projet'!$A$165:$I$185,3,0)),0,VLOOKUP(A190,'Données projet'!$A$165:$I$185,3,0))</f>
        <v>0</v>
      </c>
      <c r="DW190" s="134">
        <f>IF(ISNA(VLOOKUP(A190,'Données projet'!$A$165:$I$185,4,0)),0,VLOOKUP(A190,'Données projet'!$A$165:$I$185,4,0))</f>
        <v>0</v>
      </c>
      <c r="DX190" s="135">
        <f>IF(ISNA(VLOOKUP(A190,'Données projet'!$A$165:$I$185,5,0)),0%,VLOOKUP(A190,'Données projet'!$A$165:$I$185,5,0)*VLOOKUP('Données projet'!$B$14,'Paramètres'!$A$1:$I$89,7,0))</f>
        <v>0</v>
      </c>
      <c r="DY190" s="135">
        <f>IF(ISNA(VLOOKUP(A190,'Données projet'!$A$165:$I$185,6,0)),0%,VLOOKUP(A190,'Données projet'!$A$165:$I$185,6,0)*VLOOKUP('Données projet'!$B$14,'Paramètres'!$A$1:$I$89,7,0))</f>
        <v>0</v>
      </c>
      <c r="DZ190" s="135">
        <f>IF(ISNA(VLOOKUP(A190,'Données projet'!$A$165:$I$185,7,0)),0%,VLOOKUP(A190,'Données projet'!$A$165:$I$185,7,0))</f>
        <v>0</v>
      </c>
      <c r="EA190" s="142">
        <f>EXP(-LN(2)/35)*EA189+(1-EXP(-LN(2)/35))/(LN(2)/35)*DW190*DX190*VLOOKUP('Données projet'!$B$14,'Paramètres'!$A$1:$I$89,3,0)*0.475*44/12</f>
        <v>62.29256783</v>
      </c>
      <c r="EB190" s="142">
        <f>EXP(-LN(2)/25)*EB189+(1-EXP(-LN(2)/25))/(LN(2)/25)*Calculateur!DW190*Calculateur!DY190*VLOOKUP('Données projet'!$B$14,'Paramètres'!$A$1:$I$89,3,0)*0.475*44/12</f>
        <v>0</v>
      </c>
      <c r="EC190" s="142">
        <f>EXP(-LN(2)/2)*EC189+(1-EXP(-LN(2)/2))/(LN(2)/2)*DW190*DZ190*VLOOKUP('Données projet'!$B$14,'Paramètres'!$A$1:$I$89,3,0)*0.475*44/12</f>
        <v>0</v>
      </c>
      <c r="ED190" s="143">
        <f t="shared" si="19"/>
        <v>62.29256783</v>
      </c>
      <c r="EE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1" t="str">
        <f>VLOOKUP(A190,'Données projet'!$A$191:$I$211,2,0)</f>
        <v>#N/A</v>
      </c>
      <c r="EH190" s="131" t="str">
        <f>VLOOKUP(A190,'Données projet'!$A$191:$I$211,9,0)</f>
        <v>#N/A</v>
      </c>
      <c r="EI190" s="131" t="str">
        <f t="array" ref="EI190">INDEX(EH:EH,MIN(IF(ISNUMBER(EH190:EH386),ROW(EH190:EH386),"")))</f>
        <v/>
      </c>
      <c r="EJ190" s="138">
        <f>IF('Données projet'!$A$192&gt;35,EJ189+EI190-ER189,IF(A190&lt;'Données projet'!$A$192,$EG$205^A190,IF(A190='Données projet'!$A$192,'Données projet'!$B$192,EJ189+EI190-ER189)))</f>
        <v>0</v>
      </c>
      <c r="EK190" s="138">
        <f>EJ190*VLOOKUP('Données projet'!$B$15,'Paramètres'!$A$1:$I$89,3,0)*VLOOKUP('Données projet'!$B$15,'Paramètres'!$A$1:$I$89,5,0)</f>
        <v>0</v>
      </c>
      <c r="EL190" s="130" t="str">
        <f t="shared" si="46"/>
        <v>#NUM!</v>
      </c>
      <c r="EM190" s="141" t="str">
        <f t="shared" si="20"/>
        <v>#NUM!</v>
      </c>
      <c r="EN190" s="133" t="str">
        <f t="shared" si="21"/>
        <v>#NUM!</v>
      </c>
      <c r="EO190" s="133">
        <f>AVERAGE(OFFSET($EN$3,0,0,'Données projet'!$E$15+1,1))-AVERAGE(OFFSET($H$3,0,0,'Données projet'!$E$15+1,1))</f>
        <v>130.3193339</v>
      </c>
      <c r="EP190" s="133">
        <f t="shared" si="47"/>
        <v>82.22784365</v>
      </c>
      <c r="EQ190" s="134">
        <f>IF(ISNA(VLOOKUP(A190,'Données projet'!$A$191:$I$211,3,0)),0,VLOOKUP(A190,'Données projet'!$A$191:$I$211,3,0))</f>
        <v>0</v>
      </c>
      <c r="ER190" s="134">
        <f>IF(ISNA(VLOOKUP(A190,'Données projet'!$A$191:$I$211,4,0)),0,VLOOKUP(A190,'Données projet'!$A$191:$I$211,4,0))</f>
        <v>0</v>
      </c>
      <c r="ES190" s="135">
        <f>IF(ISNA(VLOOKUP(A190,'Données projet'!$A$191:$I$211,5,0)),0%,VLOOKUP(A190,'Données projet'!$A$191:$I$211,5,0)*VLOOKUP('Données projet'!$B$15,'Paramètres'!$A$1:$I$89,7,0))</f>
        <v>0</v>
      </c>
      <c r="ET190" s="135">
        <f>IF(ISNA(VLOOKUP(A190,'Données projet'!$A$191:$I$211,6,0)),0%,VLOOKUP(A190,'Données projet'!$A$191:$I$211,6,0)*VLOOKUP('Données projet'!$B$15,'Paramètres'!$A$1:$I$89,7,0))</f>
        <v>0</v>
      </c>
      <c r="EU190" s="135">
        <f>IF(ISNA(VLOOKUP(A190,'Données projet'!$A$191:$I$211,7,0)),0%,VLOOKUP(A190,'Données projet'!$A$191:$I$211,7,0))</f>
        <v>0</v>
      </c>
      <c r="EV190" s="142">
        <f>EXP(-LN(2)/35)*EV189+(1-EXP(-LN(2)/35))/(LN(2)/35)*ER190*ES190*VLOOKUP('Données projet'!$B$15,'Paramètres'!$A$1:$I$89,3,0)*0.475*44/12</f>
        <v>12.76604207</v>
      </c>
      <c r="EW190" s="142">
        <f>EXP(-LN(2)/25)*EW189+(1-EXP(-LN(2)/25))/(LN(2)/25)*Calculateur!ER190*Calculateur!ET190*VLOOKUP('Données projet'!$B$15,'Paramètres'!$A$1:$I$89,3,0)*0.475*44/12</f>
        <v>0</v>
      </c>
      <c r="EX190" s="142">
        <f>EXP(-LN(2)/2)*EX189+(1-EXP(-LN(2)/2))/(LN(2)/2)*ER190*EU190*VLOOKUP('Données projet'!$B$15,'Paramètres'!$A$1:$I$89,3,0)*0.475*44/12</f>
        <v>0</v>
      </c>
      <c r="EY190" s="143">
        <f t="shared" si="22"/>
        <v>12.76604207</v>
      </c>
      <c r="EZ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1" t="str">
        <f>VLOOKUP(A190,'Données projet'!$A$217:$I$237,2,0)</f>
        <v>#N/A</v>
      </c>
      <c r="FC190" s="131" t="str">
        <f>VLOOKUP(A190,'Données projet'!$A$217:$I$237,9,0)</f>
        <v>#N/A</v>
      </c>
      <c r="FD190" s="131" t="str">
        <f t="array" ref="FD190">INDEX(FC:FC,MIN(IF(ISNUMBER(FC190:FC386),ROW(FC190:FC386),"")))</f>
        <v/>
      </c>
      <c r="FE190" s="130">
        <f>IF('Données projet'!$A$218&gt;35,FE189+FD190-FM189,IF(A190&lt;'Données projet'!$A$218,$FB$205^A190,IF(A190='Données projet'!$A$218,'Données projet'!$B$218,FE189+FD190-FM189)))</f>
        <v>0</v>
      </c>
      <c r="FF190" s="138">
        <f>FE190*VLOOKUP('Données projet'!$B$16,'Paramètres'!$A$1:$I$89,3,0)*VLOOKUP('Données projet'!$B$16,'Paramètres'!$A$1:$I$89,5,0)</f>
        <v>0</v>
      </c>
      <c r="FG190" s="130">
        <f t="shared" si="48"/>
        <v>0</v>
      </c>
      <c r="FH190" s="141">
        <f t="shared" si="23"/>
        <v>0</v>
      </c>
      <c r="FI190" s="133">
        <f t="shared" si="24"/>
        <v>293.3333333</v>
      </c>
      <c r="FJ190" s="133">
        <f>AVERAGE(OFFSET($FI$3,0,0,'Données projet'!$E$16+1,1))-AVERAGE(OFFSET($H$3,0,0,'Données projet'!$E$16+1,1))</f>
        <v>305.6252353</v>
      </c>
      <c r="FK190" s="133">
        <f t="shared" si="49"/>
        <v>331.397916</v>
      </c>
      <c r="FL190" s="134">
        <f>IF(ISNA(VLOOKUP(A190,'Données projet'!$A$217:$I$237,3,0)),0,VLOOKUP(A190,'Données projet'!$A$217:$I$237,3,0))</f>
        <v>0</v>
      </c>
      <c r="FM190" s="134">
        <f>IF(ISNA(VLOOKUP(A190,'Données projet'!$A$217:$I$237,4,0)),0,VLOOKUP(A190,'Données projet'!$A$217:$I$237,4,0))</f>
        <v>0</v>
      </c>
      <c r="FN190" s="135">
        <f>IF(ISNA(VLOOKUP(A190,'Données projet'!$A$217:$I$237,5,0)),0%,VLOOKUP(A190,'Données projet'!$A$217:$I$237,5,0)*VLOOKUP('Données projet'!$B$16,'Paramètres'!$A$1:$I$89,7,0))</f>
        <v>0</v>
      </c>
      <c r="FO190" s="135">
        <f>IF(ISNA(VLOOKUP(A190,'Données projet'!$A$217:$I$237,6,0)),0%,VLOOKUP(A190,'Données projet'!$A$217:$I$237,6,0)*VLOOKUP('Données projet'!$B$16,'Paramètres'!$A$1:$I$89,7,0))</f>
        <v>0</v>
      </c>
      <c r="FP190" s="135">
        <f>IF(ISNA(VLOOKUP(A190,'Données projet'!$A$217:$I$237,7,0)),0%,VLOOKUP(A190,'Données projet'!$A$217:$I$237,7,0))</f>
        <v>0</v>
      </c>
      <c r="FQ190" s="142">
        <f>EXP(-LN(2)/35)*FQ189+(1-EXP(-LN(2)/35))/(LN(2)/35)*FM190*FN190*VLOOKUP('Données projet'!$B$16,'Paramètres'!$A$1:$I$89,3,0)*0.475*44/12</f>
        <v>7.94851931</v>
      </c>
      <c r="FR190" s="142">
        <f>EXP(-LN(2)/25)*FR189+(1-EXP(-LN(2)/25))/(LN(2)/25)*Calculateur!FM190*Calculateur!FO190*VLOOKUP('Données projet'!$B$16,'Paramètres'!$A$1:$I$89,3,0)*0.475*44/12</f>
        <v>0</v>
      </c>
      <c r="FS190" s="142">
        <f>EXP(-LN(2)/2)*FS189+(1-EXP(-LN(2)/2))/(LN(2)/2)*FM190*FP190*VLOOKUP('Données projet'!$B$16,'Paramètres'!$A$1:$I$89,3,0)*0.475*44/12</f>
        <v>0</v>
      </c>
      <c r="FT190" s="143">
        <f t="shared" si="25"/>
        <v>7.94851931</v>
      </c>
      <c r="FU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1" t="str">
        <f>VLOOKUP(A190,'Données projet'!$A$243:$I$263,2,0)</f>
        <v>#N/A</v>
      </c>
      <c r="FX190" s="131" t="str">
        <f>VLOOKUP(A190,'Données projet'!$A$243:$I$263,9,0)</f>
        <v>#N/A</v>
      </c>
      <c r="FY190" s="131" t="str">
        <f t="array" ref="FY190">INDEX(FX:FX,MIN(IF(ISNUMBER(FX190:FX386),ROW(FX190:FX386),"")))</f>
        <v/>
      </c>
      <c r="FZ190" s="138">
        <f>IF('Données projet'!$A$244&gt;35,FZ189+FY190-GH189,IF(A190&lt;'Données projet'!$A$244,$FW$205^A190,IF(A190='Données projet'!$A$244,'Données projet'!$B$244,FZ189+FY190-GH189)))</f>
        <v>0</v>
      </c>
      <c r="GA190" s="138">
        <f>FZ190*VLOOKUP('Données projet'!$B$17,'Paramètres'!$A$1:$I$89,3,0)*VLOOKUP('Données projet'!$B$17,'Paramètres'!$A$1:$I$89,5,0)</f>
        <v>0</v>
      </c>
      <c r="GB190" s="130">
        <f t="shared" si="50"/>
        <v>0</v>
      </c>
      <c r="GC190" s="141">
        <f t="shared" si="26"/>
        <v>0</v>
      </c>
      <c r="GD190" s="133">
        <f t="shared" si="27"/>
        <v>293.3333333</v>
      </c>
      <c r="GE190" s="133">
        <f>AVERAGE(OFFSET($GD$3,0,0,'Données projet'!$E$17+1,1))-AVERAGE(OFFSET($H$3,0,0,'Données projet'!$E$17+1,1))</f>
        <v>118.7368745</v>
      </c>
      <c r="GF190" s="133">
        <f t="shared" si="51"/>
        <v>135.1233677</v>
      </c>
      <c r="GG190" s="134">
        <f>IF(ISNA(VLOOKUP(A190,'Données projet'!$A$243:$I$263,3,0)),0,VLOOKUP(A190,'Données projet'!$A$243:$I$263,3,0))</f>
        <v>0</v>
      </c>
      <c r="GH190" s="134">
        <f>IF(ISNA(VLOOKUP(A190,'Données projet'!$A$243:$I$263,4,0)),0,VLOOKUP(A190,'Données projet'!$A$243:$I$263,4,0))</f>
        <v>0</v>
      </c>
      <c r="GI190" s="135">
        <f>IF(ISNA(VLOOKUP(A190,'Données projet'!$A$243:$I$263,5,0)),0%,VLOOKUP(A190,'Données projet'!$A$243:$I$263,5,0)*VLOOKUP('Données projet'!$B$17,'Paramètres'!$A$1:$I$89,7,0))</f>
        <v>0</v>
      </c>
      <c r="GJ190" s="135">
        <f>IF(ISNA(VLOOKUP(A190,'Données projet'!$A$243:$I$263,6,0)),0%,VLOOKUP(A190,'Données projet'!$A$243:$I$263,6,0)*VLOOKUP('Données projet'!$B$17,'Paramètres'!$A$1:$I$89,7,0))</f>
        <v>0</v>
      </c>
      <c r="GK190" s="135">
        <f>IF(ISNA(VLOOKUP(A190,'Données projet'!$A$243:$I$263,7,0)),0%,VLOOKUP(A190,'Données projet'!$A$243:$I$263,7,0))</f>
        <v>0</v>
      </c>
      <c r="GL190" s="142">
        <f>EXP(-LN(2)/35)*GL189+(1-EXP(-LN(2)/35))/(LN(2)/35)*GH190*GI190*VLOOKUP('Données projet'!$B$17,'Paramètres'!$A$1:$I$89,3,0)*0.475*44/12</f>
        <v>8.397586069</v>
      </c>
      <c r="GM190" s="142">
        <f>EXP(-LN(2)/25)*GM189+(1-EXP(-LN(2)/25))/(LN(2)/25)*Calculateur!GH190*Calculateur!GJ190*VLOOKUP('Données projet'!$B$17,'Paramètres'!$A$1:$I$89,3,0)*0.475*44/12</f>
        <v>0</v>
      </c>
      <c r="GN190" s="142">
        <f>EXP(-LN(2)/2)*GN189+(1-EXP(-LN(2)/2))/(LN(2)/2)*GH190*GK190*VLOOKUP('Données projet'!$B$17,'Paramètres'!$A$1:$I$89,3,0)*0.475*44/12</f>
        <v>0</v>
      </c>
      <c r="GO190" s="142">
        <f t="shared" si="28"/>
        <v>8.397586069</v>
      </c>
      <c r="GP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1" t="str">
        <f>VLOOKUP(A190,'Données projet'!$A$269:$I$289,2,0)</f>
        <v>#N/A</v>
      </c>
      <c r="GS190" s="131" t="str">
        <f>VLOOKUP(A190,'Données projet'!$A$269:$I$289,9,0)</f>
        <v>#N/A</v>
      </c>
      <c r="GT190" s="131" t="str">
        <f t="array" ref="GT190">INDEX(GS:GS,MIN(IF(ISNUMBER(GS190:GS386),ROW(GS190:GS386),"")))</f>
        <v/>
      </c>
      <c r="GU190" s="138">
        <f>IF('Données projet'!$A$270&gt;35,GU189+GT190-HC189,IF(A190&lt;'Données projet'!$A$270,$GR$205^A190,IF(A190='Données projet'!$A$270,'Données projet'!$B$270,GU189+GT190-HC189)))</f>
        <v>0</v>
      </c>
      <c r="GV190" s="138">
        <f>GU190*VLOOKUP('Données projet'!$B$18,'Paramètres'!$A$1:$I$89,3,0)*VLOOKUP('Données projet'!$B$18,'Paramètres'!$A$1:$I$89,5,0)</f>
        <v>0</v>
      </c>
      <c r="GW190" s="130" t="str">
        <f t="shared" si="52"/>
        <v>#NUM!</v>
      </c>
      <c r="GX190" s="141" t="str">
        <f t="shared" si="29"/>
        <v>#NUM!</v>
      </c>
      <c r="GY190" s="133" t="str">
        <f t="shared" si="30"/>
        <v>#NUM!</v>
      </c>
      <c r="GZ190" s="133">
        <f>AVERAGE(OFFSET($GY$3,0,0,'Données projet'!$E$18+1,1))-AVERAGE(OFFSET($H$3,0,0,'Données projet'!$E$18+1,1))</f>
        <v>100.5427875</v>
      </c>
      <c r="HA190" s="133">
        <f t="shared" si="53"/>
        <v>92.28663609</v>
      </c>
      <c r="HB190" s="134">
        <f>IF(ISNA(VLOOKUP(A190,'Données projet'!$A$269:$I$289,3,0)),0,VLOOKUP(A190,'Données projet'!$A$269:$I$289,3,0))</f>
        <v>0</v>
      </c>
      <c r="HC190" s="134">
        <f>IF(ISNA(VLOOKUP(A190,'Données projet'!$A$269:$I$289,4,0)),0,VLOOKUP(A190,'Données projet'!$A$269:$I$289,4,0))</f>
        <v>0</v>
      </c>
      <c r="HD190" s="135">
        <f>IF(ISNA(VLOOKUP(A190,'Données projet'!$A$269:$I$289,5,0)),0%,VLOOKUP(A190,'Données projet'!$A$269:$I$289,5,0)*VLOOKUP('Données projet'!$B$18,'Paramètres'!$A$1:$I$89,7,0))</f>
        <v>0</v>
      </c>
      <c r="HE190" s="135">
        <f>IF(ISNA(VLOOKUP(A190,'Données projet'!$A$269:$I$289,6,0)),0%,VLOOKUP(A190,'Données projet'!$A$269:$I$289,6,0)*VLOOKUP('Données projet'!$B$18,'Paramètres'!$A$1:$I$89,7,0))</f>
        <v>0</v>
      </c>
      <c r="HF190" s="135">
        <f>IF(ISNA(VLOOKUP(A190,'Données projet'!$A$269:$I$289,7,0)),0%,VLOOKUP(A190,'Données projet'!$A$269:$I$289,7,0))</f>
        <v>0</v>
      </c>
      <c r="HG190" s="142">
        <f>EXP(-LN(2)/35)*HG189+(1-EXP(-LN(2)/35))/(LN(2)/35)*HC190*HD190*VLOOKUP('Données projet'!$B$18,'Paramètres'!$A$1:$I$89,3,0)*0.475*44/12</f>
        <v>5.718578957</v>
      </c>
      <c r="HH190" s="142">
        <f>EXP(-LN(2)/25)*HH189+(1-EXP(-LN(2)/25))/(LN(2)/25)*Calculateur!HC190*Calculateur!HE190*VLOOKUP('Données projet'!$B$18,'Paramètres'!$A$1:$I$89,3,0)*0.475*44/12</f>
        <v>0</v>
      </c>
      <c r="HI190" s="142">
        <f>EXP(-LN(2)/2)*HI189+(1-EXP(-LN(2)/2))/(LN(2)/2)*HC190*HF190*VLOOKUP('Données projet'!$B$18,'Paramètres'!$A$1:$I$89,3,0)*0.475*44/12</f>
        <v>0</v>
      </c>
      <c r="HJ190" s="143">
        <f t="shared" si="31"/>
        <v>5.718578957</v>
      </c>
    </row>
    <row r="191" ht="15.75" customHeight="1">
      <c r="A191" s="125">
        <f t="shared" si="32"/>
        <v>188</v>
      </c>
      <c r="B191" s="126">
        <f>'Scénario référence'!$B$16*5+'Scénario référence'!$B$17*0+'Scénario référence'!$B$18*5</f>
        <v>0</v>
      </c>
      <c r="C191" s="140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102.648</v>
      </c>
      <c r="D191" s="127">
        <f t="shared" si="33"/>
        <v>27.59188426</v>
      </c>
      <c r="E19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7">
        <f>IF(OR('Scénario référence'!$F$8&gt;0,'Scénario référence'!$F$9&gt;0),('Scénario référence'!$F$8+'Scénario référence'!$F$9)*10,0)</f>
        <v>10</v>
      </c>
      <c r="G191" s="127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</v>
      </c>
      <c r="H191" s="128">
        <f t="shared" si="1"/>
        <v>520.1677984</v>
      </c>
      <c r="I191" s="12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1" t="str">
        <f>VLOOKUP(A191,'Données projet'!$A$35:$I$55,2,0)</f>
        <v>#N/A</v>
      </c>
      <c r="L191" s="131" t="str">
        <f>VLOOKUP(A191,'Données projet'!$A$35:$I$55,9,0)</f>
        <v>#N/A</v>
      </c>
      <c r="M191" s="131" t="str">
        <f t="array" ref="M191">INDEX(L:L,MIN(IF(ISNUMBER(L191:L387),ROW(L191:L387),"")))</f>
        <v/>
      </c>
      <c r="N191" s="130">
        <f>IF('Données projet'!$A$36&gt;35,N190+M191-V190,IF(A191&lt;'Données projet'!$A$36,$K$205^A191,IF(A191='Données projet'!$A$36,'Données projet'!$B$36,N190+M191-V190)))</f>
        <v>0</v>
      </c>
      <c r="O191" s="130">
        <f>N191*VLOOKUP('Données projet'!$B$9,'Paramètres'!$A$1:$I$89,3,0)*VLOOKUP('Données projet'!$B$9,'Paramètres'!$A$1:$I$89,5,0)</f>
        <v>0</v>
      </c>
      <c r="P191" s="130">
        <f t="shared" si="34"/>
        <v>0</v>
      </c>
      <c r="Q191" s="141">
        <f t="shared" si="2"/>
        <v>0</v>
      </c>
      <c r="R191" s="133">
        <f t="shared" si="3"/>
        <v>293.3333333</v>
      </c>
      <c r="S191" s="133">
        <f>AVERAGE(OFFSET($R$3,0,0,'Données projet'!$E$9+1,1))-AVERAGE(OFFSET($H$3,0,0,'Données projet'!$E$9+1,1))</f>
        <v>126.9946492</v>
      </c>
      <c r="T191" s="133">
        <f t="shared" si="35"/>
        <v>140.039049</v>
      </c>
      <c r="U191" s="134">
        <f>IF(ISNA(VLOOKUP(A191,'Données projet'!$A$35:$I$55,3,0)),0,VLOOKUP(A191,'Données projet'!$A$35:$I$55,3,0))</f>
        <v>0</v>
      </c>
      <c r="V191" s="134">
        <f>IF(ISNA(VLOOKUP(A191,'Données projet'!$A$35:$I$55,4,0)),0,VLOOKUP(A191,'Données projet'!$A$35:$I$55,4,0))</f>
        <v>0</v>
      </c>
      <c r="W191" s="135">
        <f>IF(ISNA(VLOOKUP(A191,'Données projet'!$A$35:$I$55,5,0)),0%,VLOOKUP(A191,'Données projet'!$A$35:$I$55,5,0)*VLOOKUP('Données projet'!$B$9,'Paramètres'!$A$1:$I$89,7,0))</f>
        <v>0</v>
      </c>
      <c r="X191" s="135">
        <f>IF(ISNA(VLOOKUP(A191,'Données projet'!$A$35:$I$55,6,0)),0%,VLOOKUP(A191,'Données projet'!$A$35:$I$55,6,0)*VLOOKUP('Données projet'!$B$9,'Paramètres'!$A$1:$I$89,7,0))</f>
        <v>0</v>
      </c>
      <c r="Y191" s="135">
        <f>IF(ISNA(VLOOKUP(A191,'Données projet'!$A$35:$I$55,7,0)),0%,VLOOKUP(A191,'Données projet'!$A$35:$I$55,7,0))</f>
        <v>0</v>
      </c>
      <c r="Z191" s="142">
        <f>EXP(-LN(2)/35)*Z190+(1-EXP(-LN(2)/35))/(LN(2)/35)*V191*W191*VLOOKUP('Données projet'!$B$9,'Paramètres'!$A$1:$I$89,3,0)*0.475*44/12</f>
        <v>8.420438888</v>
      </c>
      <c r="AA191" s="142">
        <f>EXP(-LN(2)/25)*AA190+(1-EXP(-LN(2)/25))/(LN(2)/25)*Calculateur!V191*Calculateur!X191*VLOOKUP('Données projet'!$B$9,'Paramètres'!$A$1:$I$89,3,0)*0.475*44/12</f>
        <v>0.6682473859</v>
      </c>
      <c r="AB191" s="142">
        <f>EXP(-LN(2)/2)*AB190+(1-EXP(-LN(2)/2))/(LN(2)/2)*V191*Y191*VLOOKUP('Données projet'!$B$9,'Paramètres'!$A$1:$I$89,3,0)*0.475*44/12</f>
        <v>0</v>
      </c>
      <c r="AC191" s="143">
        <f t="shared" si="4"/>
        <v>9.088686273</v>
      </c>
      <c r="AD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1" t="str">
        <f>VLOOKUP(A191,'Données projet'!$A$61:$I$81,2,0)</f>
        <v>#N/A</v>
      </c>
      <c r="AG191" s="131" t="str">
        <f>VLOOKUP(A191,'Données projet'!$A$61:$I$81,9,0)</f>
        <v>#N/A</v>
      </c>
      <c r="AH191" s="131" t="str">
        <f t="array" ref="AH191">INDEX(AG:AG,MIN(IF(ISNUMBER(AG191:AG387),ROW(AG191:AG387),"")))</f>
        <v/>
      </c>
      <c r="AI191" s="130">
        <f>IF('Données projet'!$A$62&gt;35,AI190+AH191-AQ190,IF(A191&lt;'Données projet'!$A$62,$AF$205^A191,IF(A191='Données projet'!$A$62,'Données projet'!$B$62,AI190+AH191-AQ190)))</f>
        <v>0</v>
      </c>
      <c r="AJ191" s="130">
        <f>AI191*VLOOKUP('Données projet'!$B$10,'Paramètres'!$A$1:$I$89,3,0)*VLOOKUP('Données projet'!$B$10,'Paramètres'!$A$1:$I$89,5,0)</f>
        <v>0</v>
      </c>
      <c r="AK191" s="130" t="str">
        <f t="shared" si="36"/>
        <v>#NUM!</v>
      </c>
      <c r="AL191" s="141" t="str">
        <f t="shared" si="5"/>
        <v>#NUM!</v>
      </c>
      <c r="AM191" s="133" t="str">
        <f t="shared" si="6"/>
        <v>#NUM!</v>
      </c>
      <c r="AN191" s="133">
        <f>AVERAGE(OFFSET($AM$3,0,0,'Données projet'!$E$10+1,1))-AVERAGE(OFFSET($H$3,0,0,'Données projet'!$E$10+1,1))</f>
        <v>196.874484</v>
      </c>
      <c r="AO191" s="133">
        <f t="shared" si="37"/>
        <v>217.5750859</v>
      </c>
      <c r="AP191" s="134">
        <f>IF(ISNA(VLOOKUP(A191,'Données projet'!$A$61:$I$81,3,0)),0,VLOOKUP(A191,'Données projet'!$A$61:$I$81,3,0))</f>
        <v>0</v>
      </c>
      <c r="AQ191" s="134">
        <f>IF(ISNA(VLOOKUP(A191,'Données projet'!$A$61:$I$81,4,0)),0,VLOOKUP(A191,'Données projet'!$A$61:$I$81,4,0))</f>
        <v>0</v>
      </c>
      <c r="AR191" s="135">
        <f>IF(ISNA(VLOOKUP(A191,'Données projet'!$A$61:$I$81,5,0)),0%,VLOOKUP(A191,'Données projet'!$A$61:$I$81,5,0)*VLOOKUP('Données projet'!$B$10,'Paramètres'!$A$1:$I$89,7,0))</f>
        <v>0</v>
      </c>
      <c r="AS191" s="135">
        <f>IF(ISNA(VLOOKUP(A191,'Données projet'!$A$61:$I$81,6,0)),0%,VLOOKUP(A191,'Données projet'!$A$61:$I$81,6,0)*VLOOKUP('Données projet'!$B$10,'Paramètres'!$A$1:$I$89,7,0))</f>
        <v>0</v>
      </c>
      <c r="AT191" s="135">
        <f>IF(ISNA(VLOOKUP(A191,'Données projet'!$A$61:$I$81,7,0)),0%,VLOOKUP(A191,'Données projet'!$A$61:$I$81,7,0))</f>
        <v>0</v>
      </c>
      <c r="AU191" s="142">
        <f>EXP(-LN(2)/35)*AU190+(1-EXP(-LN(2)/35))/(LN(2)/35)*AQ191*AR191*VLOOKUP('Données projet'!$B$10,'Paramètres'!$A$1:$I$89,3,0)*0.475*44/12</f>
        <v>11.70417088</v>
      </c>
      <c r="AV191" s="142">
        <f>EXP(-LN(2)/25)*AV190+(1-EXP(-LN(2)/25))/(LN(2)/25)*Calculateur!AQ191*Calculateur!AS191*VLOOKUP('Données projet'!$B$10,'Paramètres'!$A$1:$I$89,3,0)*0.475*44/12</f>
        <v>1.027431249</v>
      </c>
      <c r="AW191" s="142">
        <f>EXP(-LN(2)/2)*AW190+(1-EXP(-LN(2)/2))/(LN(2)/2)*AQ191*AT191*VLOOKUP('Données projet'!$B$10,'Paramètres'!$A$1:$I$89,3,0)*0.475*44/12</f>
        <v>0</v>
      </c>
      <c r="AX191" s="142">
        <f t="shared" si="7"/>
        <v>12.73160213</v>
      </c>
      <c r="AY191" s="13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1" t="str">
        <f>VLOOKUP(A191,'Données projet'!$A$87:$I$107,2,0)</f>
        <v>#N/A</v>
      </c>
      <c r="BB191" s="131" t="str">
        <f>VLOOKUP(A191,'Données projet'!$A$87:$I$107,9,0)</f>
        <v>#N/A</v>
      </c>
      <c r="BC191" s="131" t="str">
        <f t="array" ref="BC191">INDEX(BB:BB,MIN(IF(ISNUMBER(BB191:BB387),ROW(BB191:BB387),"")))</f>
        <v/>
      </c>
      <c r="BD191" s="130">
        <f>IF('Données projet'!$A$88&gt;35,BD190+BC191-BL190,IF(A191&lt;'Données projet'!$A$88,$BA$205^A191,IF(A191='Données projet'!$A$88,'Données projet'!$B$88,BD190+BC191-BL190)))</f>
        <v>0</v>
      </c>
      <c r="BE191" s="130">
        <f>BD191*VLOOKUP('Données projet'!$B$11,'Paramètres'!$A$1:$I$89,3,0)*VLOOKUP('Données projet'!$B$11,'Paramètres'!$A$1:$I$89,5,0)</f>
        <v>0</v>
      </c>
      <c r="BF191" s="130" t="str">
        <f t="shared" si="38"/>
        <v>#NUM!</v>
      </c>
      <c r="BG191" s="141" t="str">
        <f t="shared" si="8"/>
        <v>#NUM!</v>
      </c>
      <c r="BH191" s="133" t="str">
        <f t="shared" si="9"/>
        <v>#NUM!</v>
      </c>
      <c r="BI191" s="133">
        <f>AVERAGE(OFFSET($BH$3,0,0,'Données projet'!$E$11+1,1))-AVERAGE(OFFSET($H$3,0,0,'Données projet'!$E$11+1,1))</f>
        <v>134.0948534</v>
      </c>
      <c r="BJ191" s="133">
        <f t="shared" si="39"/>
        <v>108.4102536</v>
      </c>
      <c r="BK191" s="134">
        <f>IF(ISNA(VLOOKUP(A191,'Données projet'!$A$87:$I$107,3,0)),0,VLOOKUP(A191,'Données projet'!$A$87:$I$107,3,0))</f>
        <v>0</v>
      </c>
      <c r="BL191" s="134">
        <f>IF(ISNA(VLOOKUP(A191,'Données projet'!$A$87:$I$107,4,0)),0,VLOOKUP(A191,'Données projet'!$A$87:$I$107,4,0))</f>
        <v>0</v>
      </c>
      <c r="BM191" s="135">
        <f>IF(ISNA(VLOOKUP(A191,'Données projet'!$A$87:$I$107,5,0)),0%,VLOOKUP(A191,'Données projet'!$A$87:$I$107,5,0)*VLOOKUP('Données projet'!$B$11,'Paramètres'!$A$1:$I$89,7,0))</f>
        <v>0</v>
      </c>
      <c r="BN191" s="135">
        <f>IF(ISNA(VLOOKUP(A191,'Données projet'!$A$87:$I$107,6,0)),0%,VLOOKUP(A191,'Données projet'!$A$87:$I$107,6,0)*VLOOKUP('Données projet'!$B$11,'Paramètres'!$A$1:$I$89,7,0))</f>
        <v>0</v>
      </c>
      <c r="BO191" s="135">
        <f>IF(ISNA(VLOOKUP(A191,'Données projet'!$A$87:$I$107,7,0)),0%,VLOOKUP(A191,'Données projet'!$A$87:$I$107,7,0))</f>
        <v>0</v>
      </c>
      <c r="BP191" s="142">
        <f>EXP(-LN(2)/35)*BP190+(1-EXP(-LN(2)/35))/(LN(2)/35)*BL191*BM191*VLOOKUP('Données projet'!$B$11,'Paramètres'!$A$1:$I$89,3,0)*0.475*44/12</f>
        <v>16.18905418</v>
      </c>
      <c r="BQ191" s="142">
        <f>EXP(-LN(2)/25)*BQ190+(1-EXP(-LN(2)/25))/(LN(2)/25)*Calculateur!BL191*Calculateur!BN191*VLOOKUP('Données projet'!$B$11,'Paramètres'!$A$1:$I$89,3,0)*0.475*44/12</f>
        <v>0.6481045137</v>
      </c>
      <c r="BR191" s="142">
        <f>EXP(-LN(2)/2)*BR190+(1-EXP(-LN(2)/2))/(LN(2)/2)*BL191*BO191*VLOOKUP('Données projet'!$B$11,'Paramètres'!$A$1:$I$89,3,0)*0.475*44/12</f>
        <v>0</v>
      </c>
      <c r="BS191" s="143">
        <f t="shared" si="10"/>
        <v>16.8371587</v>
      </c>
      <c r="BT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1" t="str">
        <f>VLOOKUP(A191,'Données projet'!$A$113:$I$133,2,0)</f>
        <v>#N/A</v>
      </c>
      <c r="BW191" s="131" t="str">
        <f>VLOOKUP(A191,'Données projet'!$A$113:$I$133,9,0)</f>
        <v>#N/A</v>
      </c>
      <c r="BX191" s="131" t="str">
        <f t="array" ref="BX191">INDEX(BW:BW,MIN(IF(ISNUMBER(BW191:BW387),ROW(BW191:BW387),"")))</f>
        <v/>
      </c>
      <c r="BY191" s="130">
        <f>IF('Données projet'!$A$114&gt;35,BY190+BX191-CG190,IF(A191&lt;'Données projet'!$A$114,$BV$205^A191,IF(A191='Données projet'!$A$114,'Données projet'!$B$114,BY190+BX191-CG190)))</f>
        <v>0</v>
      </c>
      <c r="BZ191" s="130">
        <f>BY191*VLOOKUP('Données projet'!$B$12,'Paramètres'!$A$1:$I$89,3,0)*VLOOKUP('Données projet'!$B$12,'Paramètres'!$A$1:$I$89,5,0)</f>
        <v>0</v>
      </c>
      <c r="CA191" s="130" t="str">
        <f t="shared" si="40"/>
        <v>#NUM!</v>
      </c>
      <c r="CB191" s="141" t="str">
        <f t="shared" si="11"/>
        <v>#NUM!</v>
      </c>
      <c r="CC191" s="133" t="str">
        <f t="shared" si="12"/>
        <v>#NUM!</v>
      </c>
      <c r="CD191" s="133">
        <f>AVERAGE(OFFSET($CC$3,0,0,'Données projet'!$E$12+1,1))-AVERAGE(OFFSET($H$3,0,0,'Données projet'!$E$12+1,1))</f>
        <v>258.1672054</v>
      </c>
      <c r="CE191" s="133">
        <f t="shared" si="41"/>
        <v>296.0724261</v>
      </c>
      <c r="CF191" s="134">
        <f>IF(ISNA(VLOOKUP(A191,'Données projet'!$A$113:$I$133,3,0)),0,VLOOKUP(A191,'Données projet'!$A$113:$I$133,3,0))</f>
        <v>0</v>
      </c>
      <c r="CG191" s="134">
        <f>IF(ISNA(VLOOKUP(A191,'Données projet'!$A$113:$I$133,4,0)),0,VLOOKUP(A191,'Données projet'!$A$113:$I$133,4,0))</f>
        <v>0</v>
      </c>
      <c r="CH191" s="135">
        <f>IF(ISNA(VLOOKUP(A191,'Données projet'!$A$113:$I$133,5,0)),0%,VLOOKUP(A191,'Données projet'!$A$113:$I$133,5,0)*VLOOKUP('Données projet'!$B$12,'Paramètres'!$A$1:$I$89,7,0))</f>
        <v>0</v>
      </c>
      <c r="CI191" s="135">
        <f>IF(ISNA(VLOOKUP(A191,'Données projet'!$A$113:$I$133,6,0)),0%,VLOOKUP(A191,'Données projet'!$A$113:$I$133,6,0)*VLOOKUP('Données projet'!$B$12,'Paramètres'!$A$1:$I$89,7,0))</f>
        <v>0</v>
      </c>
      <c r="CJ191" s="135">
        <f>IF(ISNA(VLOOKUP(A191,'Données projet'!$A$113:$I$133,7,0)),0%,VLOOKUP(A191,'Données projet'!$A$113:$I$133,7,0))</f>
        <v>0</v>
      </c>
      <c r="CK191" s="142">
        <f>EXP(-LN(2)/35)*CK190+(1-EXP(-LN(2)/35))/(LN(2)/35)*CG191*CH191*VLOOKUP('Données projet'!$B$12,'Paramètres'!$A$1:$I$89,3,0)*0.475*44/12</f>
        <v>20.46791692</v>
      </c>
      <c r="CL191" s="142">
        <f>EXP(-LN(2)/25)*CL190+(1-EXP(-LN(2)/25))/(LN(2)/25)*Calculateur!CG191*Calculateur!CI191*VLOOKUP('Données projet'!$B$12,'Paramètres'!$A$1:$I$89,3,0)*0.475*44/12</f>
        <v>1.136812108</v>
      </c>
      <c r="CM191" s="142">
        <f>EXP(-LN(2)/2)*CM190+(1-EXP(-LN(2)/2))/(LN(2)/2)*CG191*CJ191*VLOOKUP('Données projet'!$B$12,'Paramètres'!$A$1:$I$89,3,0)*0.475*44/12</f>
        <v>0</v>
      </c>
      <c r="CN191" s="143">
        <f t="shared" si="13"/>
        <v>21.60472903</v>
      </c>
      <c r="CO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1" t="str">
        <f>VLOOKUP(A191,'Données projet'!$A$139:$I$159,2,0)</f>
        <v>#N/A</v>
      </c>
      <c r="CR191" s="131" t="str">
        <f>VLOOKUP(A191,'Données projet'!$A$139:$I$159,9,0)</f>
        <v>#N/A</v>
      </c>
      <c r="CS191" s="131" t="str">
        <f t="array" ref="CS191">INDEX(CR:CR,MIN(IF(ISNUMBER(CR191:CR387),ROW(CR191:CR387),"")))</f>
        <v/>
      </c>
      <c r="CT191" s="138">
        <f>IF('Données projet'!$A$140&gt;35,CT190+CS191-DB190,IF(A191&lt;'Données projet'!$A$140,$CQ$205^A191,IF(A191='Données projet'!$A$140,'Données projet'!$B$140,CT190+CS191-DB190)))</f>
        <v>0</v>
      </c>
      <c r="CU191" s="138">
        <f>CT191*VLOOKUP('Données projet'!$B$13,'Paramètres'!$A$1:$I$89,3,0)*VLOOKUP('Données projet'!$B$13,'Paramètres'!$A$1:$I$89,5,0)</f>
        <v>0</v>
      </c>
      <c r="CV191" s="130" t="str">
        <f t="shared" si="42"/>
        <v>#NUM!</v>
      </c>
      <c r="CW191" s="141" t="str">
        <f t="shared" si="14"/>
        <v>#NUM!</v>
      </c>
      <c r="CX191" s="133" t="str">
        <f t="shared" si="15"/>
        <v>#NUM!</v>
      </c>
      <c r="CY191" s="133">
        <f>AVERAGE(OFFSET($CX$3,0,0,'Données projet'!$E$13+1,1))-AVERAGE(OFFSET($H$3,0,0,'Données projet'!$E$13+1,1))</f>
        <v>223.783507</v>
      </c>
      <c r="CZ191" s="133">
        <f t="shared" si="43"/>
        <v>84.92349117</v>
      </c>
      <c r="DA191" s="134">
        <f>IF(ISNA(VLOOKUP(A191,'Données projet'!$A$139:$I$159,3,0)),0,VLOOKUP(A191,'Données projet'!$A$139:$I$159,3,0))</f>
        <v>0</v>
      </c>
      <c r="DB191" s="134">
        <f>IF(ISNA(VLOOKUP(A191,'Données projet'!$A$139:$I$159,4,0)),0,VLOOKUP(A191,'Données projet'!$A$139:$I$159,4,0))</f>
        <v>0</v>
      </c>
      <c r="DC191" s="135">
        <f>IF(ISNA(VLOOKUP(A191,'Données projet'!$A$139:$I$159,5,0)),0%,VLOOKUP(A191,'Données projet'!$A$139:$I$159,5,0)*VLOOKUP('Données projet'!$B$13,'Paramètres'!$A$1:$I$89,7,0))</f>
        <v>0</v>
      </c>
      <c r="DD191" s="135">
        <f>IF(ISNA(VLOOKUP(A191,'Données projet'!$A$139:$I$159,6,0)),0%,VLOOKUP(A191,'Données projet'!$A$139:$I$159,6,0)*VLOOKUP('Données projet'!$B$13,'Paramètres'!$A$1:$I$89,7,0))</f>
        <v>0</v>
      </c>
      <c r="DE191" s="135">
        <f>IF(ISNA(VLOOKUP(A191,'Données projet'!$A$139:$I$159,7,0)),0%,VLOOKUP(A191,'Données projet'!$A$139:$I$159,7,0))</f>
        <v>0</v>
      </c>
      <c r="DF191" s="142">
        <f>EXP(-LN(2)/35)*DF190+(1-EXP(-LN(2)/35))/(LN(2)/35)*DB191*DC191*VLOOKUP('Données projet'!$B$13,'Paramètres'!$A$1:$I$89,3,0)*0.475*44/12</f>
        <v>52.56964195</v>
      </c>
      <c r="DG191" s="142">
        <f>EXP(-LN(2)/25)*DG190+(1-EXP(-LN(2)/25))/(LN(2)/25)*Calculateur!DB191*Calculateur!DD191*VLOOKUP('Données projet'!$B$13,'Paramètres'!$A$1:$I$89,3,0)*0.475*44/12</f>
        <v>0</v>
      </c>
      <c r="DH191" s="142">
        <f>EXP(-LN(2)/2)*DH190+(1-EXP(-LN(2)/2))/(LN(2)/2)*DB191*DE191*VLOOKUP('Données projet'!$B$13,'Paramètres'!$A$1:$I$89,3,0)*0.475*44/12</f>
        <v>0</v>
      </c>
      <c r="DI191" s="143">
        <f t="shared" si="16"/>
        <v>52.56964195</v>
      </c>
      <c r="DJ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1" t="str">
        <f>VLOOKUP(A191,'Données projet'!$A$165:$I$185,2,0)</f>
        <v>#N/A</v>
      </c>
      <c r="DM191" s="131" t="str">
        <f>VLOOKUP(A191,'Données projet'!$A$165:$I$185,9,0)</f>
        <v>#N/A</v>
      </c>
      <c r="DN191" s="131" t="str">
        <f t="array" ref="DN191">INDEX(DM:DM,MIN(IF(ISNUMBER(DM191:DM387),ROW(DM191:DM387),"")))</f>
        <v/>
      </c>
      <c r="DO191" s="138">
        <f>IF('Données projet'!$A$166&gt;35,DO190+DN191-DW190,IF(A191&lt;'Données projet'!$A$166,$DL$205^A191,IF(A191='Données projet'!$A$166,'Données projet'!$B$166,DO190+DN191-DW190)))</f>
        <v>0</v>
      </c>
      <c r="DP191" s="138">
        <f>DO191*VLOOKUP('Données projet'!$B$14,'Paramètres'!$A$1:$I$89,3,0)*VLOOKUP('Données projet'!$B$14,'Paramètres'!$A$1:$I$89,5,0)</f>
        <v>0</v>
      </c>
      <c r="DQ191" s="130" t="str">
        <f t="shared" si="44"/>
        <v>#NUM!</v>
      </c>
      <c r="DR191" s="141" t="str">
        <f t="shared" si="17"/>
        <v>#NUM!</v>
      </c>
      <c r="DS191" s="133" t="str">
        <f t="shared" si="18"/>
        <v>#NUM!</v>
      </c>
      <c r="DT191" s="133">
        <f>AVERAGE(OFFSET($DS$3,0,0,'Données projet'!$E$14+1,1))-AVERAGE(OFFSET($H$3,0,0,'Données projet'!$E$14+1,1))</f>
        <v>287.9334714</v>
      </c>
      <c r="DU191" s="133">
        <f t="shared" si="45"/>
        <v>156.6796502</v>
      </c>
      <c r="DV191" s="134">
        <f>IF(ISNA(VLOOKUP(A191,'Données projet'!$A$165:$I$185,3,0)),0,VLOOKUP(A191,'Données projet'!$A$165:$I$185,3,0))</f>
        <v>0</v>
      </c>
      <c r="DW191" s="134">
        <f>IF(ISNA(VLOOKUP(A191,'Données projet'!$A$165:$I$185,4,0)),0,VLOOKUP(A191,'Données projet'!$A$165:$I$185,4,0))</f>
        <v>0</v>
      </c>
      <c r="DX191" s="135">
        <f>IF(ISNA(VLOOKUP(A191,'Données projet'!$A$165:$I$185,5,0)),0%,VLOOKUP(A191,'Données projet'!$A$165:$I$185,5,0)*VLOOKUP('Données projet'!$B$14,'Paramètres'!$A$1:$I$89,7,0))</f>
        <v>0</v>
      </c>
      <c r="DY191" s="135">
        <f>IF(ISNA(VLOOKUP(A191,'Données projet'!$A$165:$I$185,6,0)),0%,VLOOKUP(A191,'Données projet'!$A$165:$I$185,6,0)*VLOOKUP('Données projet'!$B$14,'Paramètres'!$A$1:$I$89,7,0))</f>
        <v>0</v>
      </c>
      <c r="DZ191" s="135">
        <f>IF(ISNA(VLOOKUP(A191,'Données projet'!$A$165:$I$185,7,0)),0%,VLOOKUP(A191,'Données projet'!$A$165:$I$185,7,0))</f>
        <v>0</v>
      </c>
      <c r="EA191" s="142">
        <f>EXP(-LN(2)/35)*EA190+(1-EXP(-LN(2)/35))/(LN(2)/35)*DW191*DX191*VLOOKUP('Données projet'!$B$14,'Paramètres'!$A$1:$I$89,3,0)*0.475*44/12</f>
        <v>61.07104857</v>
      </c>
      <c r="EB191" s="142">
        <f>EXP(-LN(2)/25)*EB190+(1-EXP(-LN(2)/25))/(LN(2)/25)*Calculateur!DW191*Calculateur!DY191*VLOOKUP('Données projet'!$B$14,'Paramètres'!$A$1:$I$89,3,0)*0.475*44/12</f>
        <v>0</v>
      </c>
      <c r="EC191" s="142">
        <f>EXP(-LN(2)/2)*EC190+(1-EXP(-LN(2)/2))/(LN(2)/2)*DW191*DZ191*VLOOKUP('Données projet'!$B$14,'Paramètres'!$A$1:$I$89,3,0)*0.475*44/12</f>
        <v>0</v>
      </c>
      <c r="ED191" s="143">
        <f t="shared" si="19"/>
        <v>61.07104857</v>
      </c>
      <c r="EE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1" t="str">
        <f>VLOOKUP(A191,'Données projet'!$A$191:$I$211,2,0)</f>
        <v>#N/A</v>
      </c>
      <c r="EH191" s="131" t="str">
        <f>VLOOKUP(A191,'Données projet'!$A$191:$I$211,9,0)</f>
        <v>#N/A</v>
      </c>
      <c r="EI191" s="131" t="str">
        <f t="array" ref="EI191">INDEX(EH:EH,MIN(IF(ISNUMBER(EH191:EH387),ROW(EH191:EH387),"")))</f>
        <v/>
      </c>
      <c r="EJ191" s="138">
        <f>IF('Données projet'!$A$192&gt;35,EJ190+EI191-ER190,IF(A191&lt;'Données projet'!$A$192,$EG$205^A191,IF(A191='Données projet'!$A$192,'Données projet'!$B$192,EJ190+EI191-ER190)))</f>
        <v>0</v>
      </c>
      <c r="EK191" s="138">
        <f>EJ191*VLOOKUP('Données projet'!$B$15,'Paramètres'!$A$1:$I$89,3,0)*VLOOKUP('Données projet'!$B$15,'Paramètres'!$A$1:$I$89,5,0)</f>
        <v>0</v>
      </c>
      <c r="EL191" s="130" t="str">
        <f t="shared" si="46"/>
        <v>#NUM!</v>
      </c>
      <c r="EM191" s="141" t="str">
        <f t="shared" si="20"/>
        <v>#NUM!</v>
      </c>
      <c r="EN191" s="133" t="str">
        <f t="shared" si="21"/>
        <v>#NUM!</v>
      </c>
      <c r="EO191" s="133">
        <f>AVERAGE(OFFSET($EN$3,0,0,'Données projet'!$E$15+1,1))-AVERAGE(OFFSET($H$3,0,0,'Données projet'!$E$15+1,1))</f>
        <v>130.3193339</v>
      </c>
      <c r="EP191" s="133">
        <f t="shared" si="47"/>
        <v>82.22784365</v>
      </c>
      <c r="EQ191" s="134">
        <f>IF(ISNA(VLOOKUP(A191,'Données projet'!$A$191:$I$211,3,0)),0,VLOOKUP(A191,'Données projet'!$A$191:$I$211,3,0))</f>
        <v>0</v>
      </c>
      <c r="ER191" s="134">
        <f>IF(ISNA(VLOOKUP(A191,'Données projet'!$A$191:$I$211,4,0)),0,VLOOKUP(A191,'Données projet'!$A$191:$I$211,4,0))</f>
        <v>0</v>
      </c>
      <c r="ES191" s="135">
        <f>IF(ISNA(VLOOKUP(A191,'Données projet'!$A$191:$I$211,5,0)),0%,VLOOKUP(A191,'Données projet'!$A$191:$I$211,5,0)*VLOOKUP('Données projet'!$B$15,'Paramètres'!$A$1:$I$89,7,0))</f>
        <v>0</v>
      </c>
      <c r="ET191" s="135">
        <f>IF(ISNA(VLOOKUP(A191,'Données projet'!$A$191:$I$211,6,0)),0%,VLOOKUP(A191,'Données projet'!$A$191:$I$211,6,0)*VLOOKUP('Données projet'!$B$15,'Paramètres'!$A$1:$I$89,7,0))</f>
        <v>0</v>
      </c>
      <c r="EU191" s="135">
        <f>IF(ISNA(VLOOKUP(A191,'Données projet'!$A$191:$I$211,7,0)),0%,VLOOKUP(A191,'Données projet'!$A$191:$I$211,7,0))</f>
        <v>0</v>
      </c>
      <c r="EV191" s="142">
        <f>EXP(-LN(2)/35)*EV190+(1-EXP(-LN(2)/35))/(LN(2)/35)*ER191*ES191*VLOOKUP('Données projet'!$B$15,'Paramètres'!$A$1:$I$89,3,0)*0.475*44/12</f>
        <v>12.51570777</v>
      </c>
      <c r="EW191" s="142">
        <f>EXP(-LN(2)/25)*EW190+(1-EXP(-LN(2)/25))/(LN(2)/25)*Calculateur!ER191*Calculateur!ET191*VLOOKUP('Données projet'!$B$15,'Paramètres'!$A$1:$I$89,3,0)*0.475*44/12</f>
        <v>0</v>
      </c>
      <c r="EX191" s="142">
        <f>EXP(-LN(2)/2)*EX190+(1-EXP(-LN(2)/2))/(LN(2)/2)*ER191*EU191*VLOOKUP('Données projet'!$B$15,'Paramètres'!$A$1:$I$89,3,0)*0.475*44/12</f>
        <v>0</v>
      </c>
      <c r="EY191" s="143">
        <f t="shared" si="22"/>
        <v>12.51570777</v>
      </c>
      <c r="EZ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1" t="str">
        <f>VLOOKUP(A191,'Données projet'!$A$217:$I$237,2,0)</f>
        <v>#N/A</v>
      </c>
      <c r="FC191" s="131" t="str">
        <f>VLOOKUP(A191,'Données projet'!$A$217:$I$237,9,0)</f>
        <v>#N/A</v>
      </c>
      <c r="FD191" s="131" t="str">
        <f t="array" ref="FD191">INDEX(FC:FC,MIN(IF(ISNUMBER(FC191:FC387),ROW(FC191:FC387),"")))</f>
        <v/>
      </c>
      <c r="FE191" s="130">
        <f>IF('Données projet'!$A$218&gt;35,FE190+FD191-FM190,IF(A191&lt;'Données projet'!$A$218,$FB$205^A191,IF(A191='Données projet'!$A$218,'Données projet'!$B$218,FE190+FD191-FM190)))</f>
        <v>0</v>
      </c>
      <c r="FF191" s="138">
        <f>FE191*VLOOKUP('Données projet'!$B$16,'Paramètres'!$A$1:$I$89,3,0)*VLOOKUP('Données projet'!$B$16,'Paramètres'!$A$1:$I$89,5,0)</f>
        <v>0</v>
      </c>
      <c r="FG191" s="130">
        <f t="shared" si="48"/>
        <v>0</v>
      </c>
      <c r="FH191" s="141">
        <f t="shared" si="23"/>
        <v>0</v>
      </c>
      <c r="FI191" s="133">
        <f t="shared" si="24"/>
        <v>293.3333333</v>
      </c>
      <c r="FJ191" s="133">
        <f>AVERAGE(OFFSET($FI$3,0,0,'Données projet'!$E$16+1,1))-AVERAGE(OFFSET($H$3,0,0,'Données projet'!$E$16+1,1))</f>
        <v>305.6252353</v>
      </c>
      <c r="FK191" s="133">
        <f t="shared" si="49"/>
        <v>331.397916</v>
      </c>
      <c r="FL191" s="134">
        <f>IF(ISNA(VLOOKUP(A191,'Données projet'!$A$217:$I$237,3,0)),0,VLOOKUP(A191,'Données projet'!$A$217:$I$237,3,0))</f>
        <v>0</v>
      </c>
      <c r="FM191" s="134">
        <f>IF(ISNA(VLOOKUP(A191,'Données projet'!$A$217:$I$237,4,0)),0,VLOOKUP(A191,'Données projet'!$A$217:$I$237,4,0))</f>
        <v>0</v>
      </c>
      <c r="FN191" s="135">
        <f>IF(ISNA(VLOOKUP(A191,'Données projet'!$A$217:$I$237,5,0)),0%,VLOOKUP(A191,'Données projet'!$A$217:$I$237,5,0)*VLOOKUP('Données projet'!$B$16,'Paramètres'!$A$1:$I$89,7,0))</f>
        <v>0</v>
      </c>
      <c r="FO191" s="135">
        <f>IF(ISNA(VLOOKUP(A191,'Données projet'!$A$217:$I$237,6,0)),0%,VLOOKUP(A191,'Données projet'!$A$217:$I$237,6,0)*VLOOKUP('Données projet'!$B$16,'Paramètres'!$A$1:$I$89,7,0))</f>
        <v>0</v>
      </c>
      <c r="FP191" s="135">
        <f>IF(ISNA(VLOOKUP(A191,'Données projet'!$A$217:$I$237,7,0)),0%,VLOOKUP(A191,'Données projet'!$A$217:$I$237,7,0))</f>
        <v>0</v>
      </c>
      <c r="FQ191" s="142">
        <f>EXP(-LN(2)/35)*FQ190+(1-EXP(-LN(2)/35))/(LN(2)/35)*FM191*FN191*VLOOKUP('Données projet'!$B$16,'Paramètres'!$A$1:$I$89,3,0)*0.475*44/12</f>
        <v>7.792653694</v>
      </c>
      <c r="FR191" s="142">
        <f>EXP(-LN(2)/25)*FR190+(1-EXP(-LN(2)/25))/(LN(2)/25)*Calculateur!FM191*Calculateur!FO191*VLOOKUP('Données projet'!$B$16,'Paramètres'!$A$1:$I$89,3,0)*0.475*44/12</f>
        <v>0</v>
      </c>
      <c r="FS191" s="142">
        <f>EXP(-LN(2)/2)*FS190+(1-EXP(-LN(2)/2))/(LN(2)/2)*FM191*FP191*VLOOKUP('Données projet'!$B$16,'Paramètres'!$A$1:$I$89,3,0)*0.475*44/12</f>
        <v>0</v>
      </c>
      <c r="FT191" s="143">
        <f t="shared" si="25"/>
        <v>7.792653694</v>
      </c>
      <c r="FU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1" t="str">
        <f>VLOOKUP(A191,'Données projet'!$A$243:$I$263,2,0)</f>
        <v>#N/A</v>
      </c>
      <c r="FX191" s="131" t="str">
        <f>VLOOKUP(A191,'Données projet'!$A$243:$I$263,9,0)</f>
        <v>#N/A</v>
      </c>
      <c r="FY191" s="131" t="str">
        <f t="array" ref="FY191">INDEX(FX:FX,MIN(IF(ISNUMBER(FX191:FX387),ROW(FX191:FX387),"")))</f>
        <v/>
      </c>
      <c r="FZ191" s="138">
        <f>IF('Données projet'!$A$244&gt;35,FZ190+FY191-GH190,IF(A191&lt;'Données projet'!$A$244,$FW$205^A191,IF(A191='Données projet'!$A$244,'Données projet'!$B$244,FZ190+FY191-GH190)))</f>
        <v>0</v>
      </c>
      <c r="GA191" s="138">
        <f>FZ191*VLOOKUP('Données projet'!$B$17,'Paramètres'!$A$1:$I$89,3,0)*VLOOKUP('Données projet'!$B$17,'Paramètres'!$A$1:$I$89,5,0)</f>
        <v>0</v>
      </c>
      <c r="GB191" s="130">
        <f t="shared" si="50"/>
        <v>0</v>
      </c>
      <c r="GC191" s="141">
        <f t="shared" si="26"/>
        <v>0</v>
      </c>
      <c r="GD191" s="133">
        <f t="shared" si="27"/>
        <v>293.3333333</v>
      </c>
      <c r="GE191" s="133">
        <f>AVERAGE(OFFSET($GD$3,0,0,'Données projet'!$E$17+1,1))-AVERAGE(OFFSET($H$3,0,0,'Données projet'!$E$17+1,1))</f>
        <v>118.7368745</v>
      </c>
      <c r="GF191" s="133">
        <f t="shared" si="51"/>
        <v>135.1233677</v>
      </c>
      <c r="GG191" s="134">
        <f>IF(ISNA(VLOOKUP(A191,'Données projet'!$A$243:$I$263,3,0)),0,VLOOKUP(A191,'Données projet'!$A$243:$I$263,3,0))</f>
        <v>0</v>
      </c>
      <c r="GH191" s="134">
        <f>IF(ISNA(VLOOKUP(A191,'Données projet'!$A$243:$I$263,4,0)),0,VLOOKUP(A191,'Données projet'!$A$243:$I$263,4,0))</f>
        <v>0</v>
      </c>
      <c r="GI191" s="135">
        <f>IF(ISNA(VLOOKUP(A191,'Données projet'!$A$243:$I$263,5,0)),0%,VLOOKUP(A191,'Données projet'!$A$243:$I$263,5,0)*VLOOKUP('Données projet'!$B$17,'Paramètres'!$A$1:$I$89,7,0))</f>
        <v>0</v>
      </c>
      <c r="GJ191" s="135">
        <f>IF(ISNA(VLOOKUP(A191,'Données projet'!$A$243:$I$263,6,0)),0%,VLOOKUP(A191,'Données projet'!$A$243:$I$263,6,0)*VLOOKUP('Données projet'!$B$17,'Paramètres'!$A$1:$I$89,7,0))</f>
        <v>0</v>
      </c>
      <c r="GK191" s="135">
        <f>IF(ISNA(VLOOKUP(A191,'Données projet'!$A$243:$I$263,7,0)),0%,VLOOKUP(A191,'Données projet'!$A$243:$I$263,7,0))</f>
        <v>0</v>
      </c>
      <c r="GL191" s="142">
        <f>EXP(-LN(2)/35)*GL190+(1-EXP(-LN(2)/35))/(LN(2)/35)*GH191*GI191*VLOOKUP('Données projet'!$B$17,'Paramètres'!$A$1:$I$89,3,0)*0.475*44/12</f>
        <v>8.232914529</v>
      </c>
      <c r="GM191" s="142">
        <f>EXP(-LN(2)/25)*GM190+(1-EXP(-LN(2)/25))/(LN(2)/25)*Calculateur!GH191*Calculateur!GJ191*VLOOKUP('Données projet'!$B$17,'Paramètres'!$A$1:$I$89,3,0)*0.475*44/12</f>
        <v>0</v>
      </c>
      <c r="GN191" s="142">
        <f>EXP(-LN(2)/2)*GN190+(1-EXP(-LN(2)/2))/(LN(2)/2)*GH191*GK191*VLOOKUP('Données projet'!$B$17,'Paramètres'!$A$1:$I$89,3,0)*0.475*44/12</f>
        <v>0</v>
      </c>
      <c r="GO191" s="142">
        <f t="shared" si="28"/>
        <v>8.232914529</v>
      </c>
      <c r="GP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1" t="str">
        <f>VLOOKUP(A191,'Données projet'!$A$269:$I$289,2,0)</f>
        <v>#N/A</v>
      </c>
      <c r="GS191" s="131" t="str">
        <f>VLOOKUP(A191,'Données projet'!$A$269:$I$289,9,0)</f>
        <v>#N/A</v>
      </c>
      <c r="GT191" s="131" t="str">
        <f t="array" ref="GT191">INDEX(GS:GS,MIN(IF(ISNUMBER(GS191:GS387),ROW(GS191:GS387),"")))</f>
        <v/>
      </c>
      <c r="GU191" s="138">
        <f>IF('Données projet'!$A$270&gt;35,GU190+GT191-HC190,IF(A191&lt;'Données projet'!$A$270,$GR$205^A191,IF(A191='Données projet'!$A$270,'Données projet'!$B$270,GU190+GT191-HC190)))</f>
        <v>0</v>
      </c>
      <c r="GV191" s="138">
        <f>GU191*VLOOKUP('Données projet'!$B$18,'Paramètres'!$A$1:$I$89,3,0)*VLOOKUP('Données projet'!$B$18,'Paramètres'!$A$1:$I$89,5,0)</f>
        <v>0</v>
      </c>
      <c r="GW191" s="130" t="str">
        <f t="shared" si="52"/>
        <v>#NUM!</v>
      </c>
      <c r="GX191" s="141" t="str">
        <f t="shared" si="29"/>
        <v>#NUM!</v>
      </c>
      <c r="GY191" s="133" t="str">
        <f t="shared" si="30"/>
        <v>#NUM!</v>
      </c>
      <c r="GZ191" s="133">
        <f>AVERAGE(OFFSET($GY$3,0,0,'Données projet'!$E$18+1,1))-AVERAGE(OFFSET($H$3,0,0,'Données projet'!$E$18+1,1))</f>
        <v>100.5427875</v>
      </c>
      <c r="HA191" s="133">
        <f t="shared" si="53"/>
        <v>92.28663609</v>
      </c>
      <c r="HB191" s="134">
        <f>IF(ISNA(VLOOKUP(A191,'Données projet'!$A$269:$I$289,3,0)),0,VLOOKUP(A191,'Données projet'!$A$269:$I$289,3,0))</f>
        <v>0</v>
      </c>
      <c r="HC191" s="134">
        <f>IF(ISNA(VLOOKUP(A191,'Données projet'!$A$269:$I$289,4,0)),0,VLOOKUP(A191,'Données projet'!$A$269:$I$289,4,0))</f>
        <v>0</v>
      </c>
      <c r="HD191" s="135">
        <f>IF(ISNA(VLOOKUP(A191,'Données projet'!$A$269:$I$289,5,0)),0%,VLOOKUP(A191,'Données projet'!$A$269:$I$289,5,0)*VLOOKUP('Données projet'!$B$18,'Paramètres'!$A$1:$I$89,7,0))</f>
        <v>0</v>
      </c>
      <c r="HE191" s="135">
        <f>IF(ISNA(VLOOKUP(A191,'Données projet'!$A$269:$I$289,6,0)),0%,VLOOKUP(A191,'Données projet'!$A$269:$I$289,6,0)*VLOOKUP('Données projet'!$B$18,'Paramètres'!$A$1:$I$89,7,0))</f>
        <v>0</v>
      </c>
      <c r="HF191" s="135">
        <f>IF(ISNA(VLOOKUP(A191,'Données projet'!$A$269:$I$289,7,0)),0%,VLOOKUP(A191,'Données projet'!$A$269:$I$289,7,0))</f>
        <v>0</v>
      </c>
      <c r="HG191" s="142">
        <f>EXP(-LN(2)/35)*HG190+(1-EXP(-LN(2)/35))/(LN(2)/35)*HC191*HD191*VLOOKUP('Données projet'!$B$18,'Paramètres'!$A$1:$I$89,3,0)*0.475*44/12</f>
        <v>5.606441111</v>
      </c>
      <c r="HH191" s="142">
        <f>EXP(-LN(2)/25)*HH190+(1-EXP(-LN(2)/25))/(LN(2)/25)*Calculateur!HC191*Calculateur!HE191*VLOOKUP('Données projet'!$B$18,'Paramètres'!$A$1:$I$89,3,0)*0.475*44/12</f>
        <v>0</v>
      </c>
      <c r="HI191" s="142">
        <f>EXP(-LN(2)/2)*HI190+(1-EXP(-LN(2)/2))/(LN(2)/2)*HC191*HF191*VLOOKUP('Données projet'!$B$18,'Paramètres'!$A$1:$I$89,3,0)*0.475*44/12</f>
        <v>0</v>
      </c>
      <c r="HJ191" s="143">
        <f t="shared" si="31"/>
        <v>5.606441111</v>
      </c>
    </row>
    <row r="192" ht="15.75" customHeight="1">
      <c r="A192" s="125">
        <f t="shared" si="32"/>
        <v>189</v>
      </c>
      <c r="B192" s="126">
        <f>'Scénario référence'!$B$16*5+'Scénario référence'!$B$17*0+'Scénario référence'!$B$18*5</f>
        <v>0</v>
      </c>
      <c r="C192" s="140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103.194</v>
      </c>
      <c r="D192" s="127">
        <f t="shared" si="33"/>
        <v>27.72152605</v>
      </c>
      <c r="E19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7">
        <f>IF(OR('Scénario référence'!$F$8&gt;0,'Scénario référence'!$F$9&gt;0),('Scénario référence'!$F$8+'Scénario référence'!$F$9)*10,0)</f>
        <v>10</v>
      </c>
      <c r="G192" s="127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1010.575991</v>
      </c>
      <c r="H192" s="128">
        <f t="shared" si="1"/>
        <v>521.3445412</v>
      </c>
      <c r="I192" s="12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1" t="str">
        <f>VLOOKUP(A192,'Données projet'!$A$35:$I$55,2,0)</f>
        <v>#N/A</v>
      </c>
      <c r="L192" s="131" t="str">
        <f>VLOOKUP(A192,'Données projet'!$A$35:$I$55,9,0)</f>
        <v>#N/A</v>
      </c>
      <c r="M192" s="131" t="str">
        <f t="array" ref="M192">INDEX(L:L,MIN(IF(ISNUMBER(L192:L388),ROW(L192:L388),"")))</f>
        <v/>
      </c>
      <c r="N192" s="130">
        <f>IF('Données projet'!$A$36&gt;35,N191+M192-V191,IF(A192&lt;'Données projet'!$A$36,$K$205^A192,IF(A192='Données projet'!$A$36,'Données projet'!$B$36,N191+M192-V191)))</f>
        <v>0</v>
      </c>
      <c r="O192" s="130">
        <f>N192*VLOOKUP('Données projet'!$B$9,'Paramètres'!$A$1:$I$89,3,0)*VLOOKUP('Données projet'!$B$9,'Paramètres'!$A$1:$I$89,5,0)</f>
        <v>0</v>
      </c>
      <c r="P192" s="130">
        <f t="shared" si="34"/>
        <v>0</v>
      </c>
      <c r="Q192" s="141">
        <f t="shared" si="2"/>
        <v>0</v>
      </c>
      <c r="R192" s="133">
        <f t="shared" si="3"/>
        <v>293.3333333</v>
      </c>
      <c r="S192" s="133">
        <f>AVERAGE(OFFSET($R$3,0,0,'Données projet'!$E$9+1,1))-AVERAGE(OFFSET($H$3,0,0,'Données projet'!$E$9+1,1))</f>
        <v>126.9946492</v>
      </c>
      <c r="T192" s="133">
        <f t="shared" si="35"/>
        <v>140.039049</v>
      </c>
      <c r="U192" s="134">
        <f>IF(ISNA(VLOOKUP(A192,'Données projet'!$A$35:$I$55,3,0)),0,VLOOKUP(A192,'Données projet'!$A$35:$I$55,3,0))</f>
        <v>0</v>
      </c>
      <c r="V192" s="134">
        <f>IF(ISNA(VLOOKUP(A192,'Données projet'!$A$35:$I$55,4,0)),0,VLOOKUP(A192,'Données projet'!$A$35:$I$55,4,0))</f>
        <v>0</v>
      </c>
      <c r="W192" s="135">
        <f>IF(ISNA(VLOOKUP(A192,'Données projet'!$A$35:$I$55,5,0)),0%,VLOOKUP(A192,'Données projet'!$A$35:$I$55,5,0)*VLOOKUP('Données projet'!$B$9,'Paramètres'!$A$1:$I$89,7,0))</f>
        <v>0</v>
      </c>
      <c r="X192" s="135">
        <f>IF(ISNA(VLOOKUP(A192,'Données projet'!$A$35:$I$55,6,0)),0%,VLOOKUP(A192,'Données projet'!$A$35:$I$55,6,0)*VLOOKUP('Données projet'!$B$9,'Paramètres'!$A$1:$I$89,7,0))</f>
        <v>0</v>
      </c>
      <c r="Y192" s="135">
        <f>IF(ISNA(VLOOKUP(A192,'Données projet'!$A$35:$I$55,7,0)),0%,VLOOKUP(A192,'Données projet'!$A$35:$I$55,7,0))</f>
        <v>0</v>
      </c>
      <c r="Z192" s="142">
        <f>EXP(-LN(2)/35)*Z191+(1-EXP(-LN(2)/35))/(LN(2)/35)*V192*W192*VLOOKUP('Données projet'!$B$9,'Paramètres'!$A$1:$I$89,3,0)*0.475*44/12</f>
        <v>8.255319217</v>
      </c>
      <c r="AA192" s="142">
        <f>EXP(-LN(2)/25)*AA191+(1-EXP(-LN(2)/25))/(LN(2)/25)*Calculateur!V192*Calculateur!X192*VLOOKUP('Données projet'!$B$9,'Paramètres'!$A$1:$I$89,3,0)*0.475*44/12</f>
        <v>0.649974126</v>
      </c>
      <c r="AB192" s="142">
        <f>EXP(-LN(2)/2)*AB191+(1-EXP(-LN(2)/2))/(LN(2)/2)*V192*Y192*VLOOKUP('Données projet'!$B$9,'Paramètres'!$A$1:$I$89,3,0)*0.475*44/12</f>
        <v>0</v>
      </c>
      <c r="AC192" s="143">
        <f t="shared" si="4"/>
        <v>8.905293343</v>
      </c>
      <c r="AD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1" t="str">
        <f>VLOOKUP(A192,'Données projet'!$A$61:$I$81,2,0)</f>
        <v>#N/A</v>
      </c>
      <c r="AG192" s="131" t="str">
        <f>VLOOKUP(A192,'Données projet'!$A$61:$I$81,9,0)</f>
        <v>#N/A</v>
      </c>
      <c r="AH192" s="131" t="str">
        <f t="array" ref="AH192">INDEX(AG:AG,MIN(IF(ISNUMBER(AG192:AG388),ROW(AG192:AG388),"")))</f>
        <v/>
      </c>
      <c r="AI192" s="130">
        <f>IF('Données projet'!$A$62&gt;35,AI191+AH192-AQ191,IF(A192&lt;'Données projet'!$A$62,$AF$205^A192,IF(A192='Données projet'!$A$62,'Données projet'!$B$62,AI191+AH192-AQ191)))</f>
        <v>0</v>
      </c>
      <c r="AJ192" s="130">
        <f>AI192*VLOOKUP('Données projet'!$B$10,'Paramètres'!$A$1:$I$89,3,0)*VLOOKUP('Données projet'!$B$10,'Paramètres'!$A$1:$I$89,5,0)</f>
        <v>0</v>
      </c>
      <c r="AK192" s="130" t="str">
        <f t="shared" si="36"/>
        <v>#NUM!</v>
      </c>
      <c r="AL192" s="141" t="str">
        <f t="shared" si="5"/>
        <v>#NUM!</v>
      </c>
      <c r="AM192" s="133" t="str">
        <f t="shared" si="6"/>
        <v>#NUM!</v>
      </c>
      <c r="AN192" s="133">
        <f>AVERAGE(OFFSET($AM$3,0,0,'Données projet'!$E$10+1,1))-AVERAGE(OFFSET($H$3,0,0,'Données projet'!$E$10+1,1))</f>
        <v>196.874484</v>
      </c>
      <c r="AO192" s="133">
        <f t="shared" si="37"/>
        <v>217.5750859</v>
      </c>
      <c r="AP192" s="134">
        <f>IF(ISNA(VLOOKUP(A192,'Données projet'!$A$61:$I$81,3,0)),0,VLOOKUP(A192,'Données projet'!$A$61:$I$81,3,0))</f>
        <v>0</v>
      </c>
      <c r="AQ192" s="134">
        <f>IF(ISNA(VLOOKUP(A192,'Données projet'!$A$61:$I$81,4,0)),0,VLOOKUP(A192,'Données projet'!$A$61:$I$81,4,0))</f>
        <v>0</v>
      </c>
      <c r="AR192" s="135">
        <f>IF(ISNA(VLOOKUP(A192,'Données projet'!$A$61:$I$81,5,0)),0%,VLOOKUP(A192,'Données projet'!$A$61:$I$81,5,0)*VLOOKUP('Données projet'!$B$10,'Paramètres'!$A$1:$I$89,7,0))</f>
        <v>0</v>
      </c>
      <c r="AS192" s="135">
        <f>IF(ISNA(VLOOKUP(A192,'Données projet'!$A$61:$I$81,6,0)),0%,VLOOKUP(A192,'Données projet'!$A$61:$I$81,6,0)*VLOOKUP('Données projet'!$B$10,'Paramètres'!$A$1:$I$89,7,0))</f>
        <v>0</v>
      </c>
      <c r="AT192" s="135">
        <f>IF(ISNA(VLOOKUP(A192,'Données projet'!$A$61:$I$81,7,0)),0%,VLOOKUP(A192,'Données projet'!$A$61:$I$81,7,0))</f>
        <v>0</v>
      </c>
      <c r="AU192" s="142">
        <f>EXP(-LN(2)/35)*AU191+(1-EXP(-LN(2)/35))/(LN(2)/35)*AQ192*AR192*VLOOKUP('Données projet'!$B$10,'Paramètres'!$A$1:$I$89,3,0)*0.475*44/12</f>
        <v>11.47465923</v>
      </c>
      <c r="AV192" s="142">
        <f>EXP(-LN(2)/25)*AV191+(1-EXP(-LN(2)/25))/(LN(2)/25)*Calculateur!AQ192*Calculateur!AS192*VLOOKUP('Données projet'!$B$10,'Paramètres'!$A$1:$I$89,3,0)*0.475*44/12</f>
        <v>0.999336087</v>
      </c>
      <c r="AW192" s="142">
        <f>EXP(-LN(2)/2)*AW191+(1-EXP(-LN(2)/2))/(LN(2)/2)*AQ192*AT192*VLOOKUP('Données projet'!$B$10,'Paramètres'!$A$1:$I$89,3,0)*0.475*44/12</f>
        <v>0</v>
      </c>
      <c r="AX192" s="142">
        <f t="shared" si="7"/>
        <v>12.47399532</v>
      </c>
      <c r="AY192" s="13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1" t="str">
        <f>VLOOKUP(A192,'Données projet'!$A$87:$I$107,2,0)</f>
        <v>#N/A</v>
      </c>
      <c r="BB192" s="131" t="str">
        <f>VLOOKUP(A192,'Données projet'!$A$87:$I$107,9,0)</f>
        <v>#N/A</v>
      </c>
      <c r="BC192" s="131" t="str">
        <f t="array" ref="BC192">INDEX(BB:BB,MIN(IF(ISNUMBER(BB192:BB388),ROW(BB192:BB388),"")))</f>
        <v/>
      </c>
      <c r="BD192" s="130">
        <f>IF('Données projet'!$A$88&gt;35,BD191+BC192-BL191,IF(A192&lt;'Données projet'!$A$88,$BA$205^A192,IF(A192='Données projet'!$A$88,'Données projet'!$B$88,BD191+BC192-BL191)))</f>
        <v>0</v>
      </c>
      <c r="BE192" s="130">
        <f>BD192*VLOOKUP('Données projet'!$B$11,'Paramètres'!$A$1:$I$89,3,0)*VLOOKUP('Données projet'!$B$11,'Paramètres'!$A$1:$I$89,5,0)</f>
        <v>0</v>
      </c>
      <c r="BF192" s="130" t="str">
        <f t="shared" si="38"/>
        <v>#NUM!</v>
      </c>
      <c r="BG192" s="141" t="str">
        <f t="shared" si="8"/>
        <v>#NUM!</v>
      </c>
      <c r="BH192" s="133" t="str">
        <f t="shared" si="9"/>
        <v>#NUM!</v>
      </c>
      <c r="BI192" s="133">
        <f>AVERAGE(OFFSET($BH$3,0,0,'Données projet'!$E$11+1,1))-AVERAGE(OFFSET($H$3,0,0,'Données projet'!$E$11+1,1))</f>
        <v>134.0948534</v>
      </c>
      <c r="BJ192" s="133">
        <f t="shared" si="39"/>
        <v>108.4102536</v>
      </c>
      <c r="BK192" s="134">
        <f>IF(ISNA(VLOOKUP(A192,'Données projet'!$A$87:$I$107,3,0)),0,VLOOKUP(A192,'Données projet'!$A$87:$I$107,3,0))</f>
        <v>0</v>
      </c>
      <c r="BL192" s="134">
        <f>IF(ISNA(VLOOKUP(A192,'Données projet'!$A$87:$I$107,4,0)),0,VLOOKUP(A192,'Données projet'!$A$87:$I$107,4,0))</f>
        <v>0</v>
      </c>
      <c r="BM192" s="135">
        <f>IF(ISNA(VLOOKUP(A192,'Données projet'!$A$87:$I$107,5,0)),0%,VLOOKUP(A192,'Données projet'!$A$87:$I$107,5,0)*VLOOKUP('Données projet'!$B$11,'Paramètres'!$A$1:$I$89,7,0))</f>
        <v>0</v>
      </c>
      <c r="BN192" s="135">
        <f>IF(ISNA(VLOOKUP(A192,'Données projet'!$A$87:$I$107,6,0)),0%,VLOOKUP(A192,'Données projet'!$A$87:$I$107,6,0)*VLOOKUP('Données projet'!$B$11,'Paramètres'!$A$1:$I$89,7,0))</f>
        <v>0</v>
      </c>
      <c r="BO192" s="135">
        <f>IF(ISNA(VLOOKUP(A192,'Données projet'!$A$87:$I$107,7,0)),0%,VLOOKUP(A192,'Données projet'!$A$87:$I$107,7,0))</f>
        <v>0</v>
      </c>
      <c r="BP192" s="142">
        <f>EXP(-LN(2)/35)*BP191+(1-EXP(-LN(2)/35))/(LN(2)/35)*BL192*BM192*VLOOKUP('Données projet'!$B$11,'Paramètres'!$A$1:$I$89,3,0)*0.475*44/12</f>
        <v>15.8715967</v>
      </c>
      <c r="BQ192" s="142">
        <f>EXP(-LN(2)/25)*BQ191+(1-EXP(-LN(2)/25))/(LN(2)/25)*Calculateur!BL192*Calculateur!BN192*VLOOKUP('Données projet'!$B$11,'Paramètres'!$A$1:$I$89,3,0)*0.475*44/12</f>
        <v>0.6303820617</v>
      </c>
      <c r="BR192" s="142">
        <f>EXP(-LN(2)/2)*BR191+(1-EXP(-LN(2)/2))/(LN(2)/2)*BL192*BO192*VLOOKUP('Données projet'!$B$11,'Paramètres'!$A$1:$I$89,3,0)*0.475*44/12</f>
        <v>0</v>
      </c>
      <c r="BS192" s="143">
        <f t="shared" si="10"/>
        <v>16.50197877</v>
      </c>
      <c r="BT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1" t="str">
        <f>VLOOKUP(A192,'Données projet'!$A$113:$I$133,2,0)</f>
        <v>#N/A</v>
      </c>
      <c r="BW192" s="131" t="str">
        <f>VLOOKUP(A192,'Données projet'!$A$113:$I$133,9,0)</f>
        <v>#N/A</v>
      </c>
      <c r="BX192" s="131" t="str">
        <f t="array" ref="BX192">INDEX(BW:BW,MIN(IF(ISNUMBER(BW192:BW388),ROW(BW192:BW388),"")))</f>
        <v/>
      </c>
      <c r="BY192" s="130">
        <f>IF('Données projet'!$A$114&gt;35,BY191+BX192-CG191,IF(A192&lt;'Données projet'!$A$114,$BV$205^A192,IF(A192='Données projet'!$A$114,'Données projet'!$B$114,BY191+BX192-CG191)))</f>
        <v>0</v>
      </c>
      <c r="BZ192" s="130">
        <f>BY192*VLOOKUP('Données projet'!$B$12,'Paramètres'!$A$1:$I$89,3,0)*VLOOKUP('Données projet'!$B$12,'Paramètres'!$A$1:$I$89,5,0)</f>
        <v>0</v>
      </c>
      <c r="CA192" s="130" t="str">
        <f t="shared" si="40"/>
        <v>#NUM!</v>
      </c>
      <c r="CB192" s="141" t="str">
        <f t="shared" si="11"/>
        <v>#NUM!</v>
      </c>
      <c r="CC192" s="133" t="str">
        <f t="shared" si="12"/>
        <v>#NUM!</v>
      </c>
      <c r="CD192" s="133">
        <f>AVERAGE(OFFSET($CC$3,0,0,'Données projet'!$E$12+1,1))-AVERAGE(OFFSET($H$3,0,0,'Données projet'!$E$12+1,1))</f>
        <v>258.1672054</v>
      </c>
      <c r="CE192" s="133">
        <f t="shared" si="41"/>
        <v>296.0724261</v>
      </c>
      <c r="CF192" s="134">
        <f>IF(ISNA(VLOOKUP(A192,'Données projet'!$A$113:$I$133,3,0)),0,VLOOKUP(A192,'Données projet'!$A$113:$I$133,3,0))</f>
        <v>0</v>
      </c>
      <c r="CG192" s="134">
        <f>IF(ISNA(VLOOKUP(A192,'Données projet'!$A$113:$I$133,4,0)),0,VLOOKUP(A192,'Données projet'!$A$113:$I$133,4,0))</f>
        <v>0</v>
      </c>
      <c r="CH192" s="135">
        <f>IF(ISNA(VLOOKUP(A192,'Données projet'!$A$113:$I$133,5,0)),0%,VLOOKUP(A192,'Données projet'!$A$113:$I$133,5,0)*VLOOKUP('Données projet'!$B$12,'Paramètres'!$A$1:$I$89,7,0))</f>
        <v>0</v>
      </c>
      <c r="CI192" s="135">
        <f>IF(ISNA(VLOOKUP(A192,'Données projet'!$A$113:$I$133,6,0)),0%,VLOOKUP(A192,'Données projet'!$A$113:$I$133,6,0)*VLOOKUP('Données projet'!$B$12,'Paramètres'!$A$1:$I$89,7,0))</f>
        <v>0</v>
      </c>
      <c r="CJ192" s="135">
        <f>IF(ISNA(VLOOKUP(A192,'Données projet'!$A$113:$I$133,7,0)),0%,VLOOKUP(A192,'Données projet'!$A$113:$I$133,7,0))</f>
        <v>0</v>
      </c>
      <c r="CK192" s="142">
        <f>EXP(-LN(2)/35)*CK191+(1-EXP(-LN(2)/35))/(LN(2)/35)*CG192*CH192*VLOOKUP('Données projet'!$B$12,'Paramètres'!$A$1:$I$89,3,0)*0.475*44/12</f>
        <v>20.06655355</v>
      </c>
      <c r="CL192" s="142">
        <f>EXP(-LN(2)/25)*CL191+(1-EXP(-LN(2)/25))/(LN(2)/25)*Calculateur!CG192*Calculateur!CI192*VLOOKUP('Données projet'!$B$12,'Paramètres'!$A$1:$I$89,3,0)*0.475*44/12</f>
        <v>1.105725921</v>
      </c>
      <c r="CM192" s="142">
        <f>EXP(-LN(2)/2)*CM191+(1-EXP(-LN(2)/2))/(LN(2)/2)*CG192*CJ192*VLOOKUP('Données projet'!$B$12,'Paramètres'!$A$1:$I$89,3,0)*0.475*44/12</f>
        <v>0</v>
      </c>
      <c r="CN192" s="143">
        <f t="shared" si="13"/>
        <v>21.17227947</v>
      </c>
      <c r="CO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1" t="str">
        <f>VLOOKUP(A192,'Données projet'!$A$139:$I$159,2,0)</f>
        <v>#N/A</v>
      </c>
      <c r="CR192" s="131" t="str">
        <f>VLOOKUP(A192,'Données projet'!$A$139:$I$159,9,0)</f>
        <v>#N/A</v>
      </c>
      <c r="CS192" s="131" t="str">
        <f t="array" ref="CS192">INDEX(CR:CR,MIN(IF(ISNUMBER(CR192:CR388),ROW(CR192:CR388),"")))</f>
        <v/>
      </c>
      <c r="CT192" s="138">
        <f>IF('Données projet'!$A$140&gt;35,CT191+CS192-DB191,IF(A192&lt;'Données projet'!$A$140,$CQ$205^A192,IF(A192='Données projet'!$A$140,'Données projet'!$B$140,CT191+CS192-DB191)))</f>
        <v>0</v>
      </c>
      <c r="CU192" s="138">
        <f>CT192*VLOOKUP('Données projet'!$B$13,'Paramètres'!$A$1:$I$89,3,0)*VLOOKUP('Données projet'!$B$13,'Paramètres'!$A$1:$I$89,5,0)</f>
        <v>0</v>
      </c>
      <c r="CV192" s="130" t="str">
        <f t="shared" si="42"/>
        <v>#NUM!</v>
      </c>
      <c r="CW192" s="141" t="str">
        <f t="shared" si="14"/>
        <v>#NUM!</v>
      </c>
      <c r="CX192" s="133" t="str">
        <f t="shared" si="15"/>
        <v>#NUM!</v>
      </c>
      <c r="CY192" s="133">
        <f>AVERAGE(OFFSET($CX$3,0,0,'Données projet'!$E$13+1,1))-AVERAGE(OFFSET($H$3,0,0,'Données projet'!$E$13+1,1))</f>
        <v>223.783507</v>
      </c>
      <c r="CZ192" s="133">
        <f t="shared" si="43"/>
        <v>84.92349117</v>
      </c>
      <c r="DA192" s="134">
        <f>IF(ISNA(VLOOKUP(A192,'Données projet'!$A$139:$I$159,3,0)),0,VLOOKUP(A192,'Données projet'!$A$139:$I$159,3,0))</f>
        <v>0</v>
      </c>
      <c r="DB192" s="134">
        <f>IF(ISNA(VLOOKUP(A192,'Données projet'!$A$139:$I$159,4,0)),0,VLOOKUP(A192,'Données projet'!$A$139:$I$159,4,0))</f>
        <v>0</v>
      </c>
      <c r="DC192" s="135">
        <f>IF(ISNA(VLOOKUP(A192,'Données projet'!$A$139:$I$159,5,0)),0%,VLOOKUP(A192,'Données projet'!$A$139:$I$159,5,0)*VLOOKUP('Données projet'!$B$13,'Paramètres'!$A$1:$I$89,7,0))</f>
        <v>0</v>
      </c>
      <c r="DD192" s="135">
        <f>IF(ISNA(VLOOKUP(A192,'Données projet'!$A$139:$I$159,6,0)),0%,VLOOKUP(A192,'Données projet'!$A$139:$I$159,6,0)*VLOOKUP('Données projet'!$B$13,'Paramètres'!$A$1:$I$89,7,0))</f>
        <v>0</v>
      </c>
      <c r="DE192" s="135">
        <f>IF(ISNA(VLOOKUP(A192,'Données projet'!$A$139:$I$159,7,0)),0%,VLOOKUP(A192,'Données projet'!$A$139:$I$159,7,0))</f>
        <v>0</v>
      </c>
      <c r="DF192" s="142">
        <f>EXP(-LN(2)/35)*DF191+(1-EXP(-LN(2)/35))/(LN(2)/35)*DB192*DC192*VLOOKUP('Données projet'!$B$13,'Paramètres'!$A$1:$I$89,3,0)*0.475*44/12</f>
        <v>51.53878333</v>
      </c>
      <c r="DG192" s="142">
        <f>EXP(-LN(2)/25)*DG191+(1-EXP(-LN(2)/25))/(LN(2)/25)*Calculateur!DB192*Calculateur!DD192*VLOOKUP('Données projet'!$B$13,'Paramètres'!$A$1:$I$89,3,0)*0.475*44/12</f>
        <v>0</v>
      </c>
      <c r="DH192" s="142">
        <f>EXP(-LN(2)/2)*DH191+(1-EXP(-LN(2)/2))/(LN(2)/2)*DB192*DE192*VLOOKUP('Données projet'!$B$13,'Paramètres'!$A$1:$I$89,3,0)*0.475*44/12</f>
        <v>0</v>
      </c>
      <c r="DI192" s="143">
        <f t="shared" si="16"/>
        <v>51.53878333</v>
      </c>
      <c r="DJ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1" t="str">
        <f>VLOOKUP(A192,'Données projet'!$A$165:$I$185,2,0)</f>
        <v>#N/A</v>
      </c>
      <c r="DM192" s="131" t="str">
        <f>VLOOKUP(A192,'Données projet'!$A$165:$I$185,9,0)</f>
        <v>#N/A</v>
      </c>
      <c r="DN192" s="131" t="str">
        <f t="array" ref="DN192">INDEX(DM:DM,MIN(IF(ISNUMBER(DM192:DM388),ROW(DM192:DM388),"")))</f>
        <v/>
      </c>
      <c r="DO192" s="138">
        <f>IF('Données projet'!$A$166&gt;35,DO191+DN192-DW191,IF(A192&lt;'Données projet'!$A$166,$DL$205^A192,IF(A192='Données projet'!$A$166,'Données projet'!$B$166,DO191+DN192-DW191)))</f>
        <v>0</v>
      </c>
      <c r="DP192" s="138">
        <f>DO192*VLOOKUP('Données projet'!$B$14,'Paramètres'!$A$1:$I$89,3,0)*VLOOKUP('Données projet'!$B$14,'Paramètres'!$A$1:$I$89,5,0)</f>
        <v>0</v>
      </c>
      <c r="DQ192" s="130" t="str">
        <f t="shared" si="44"/>
        <v>#NUM!</v>
      </c>
      <c r="DR192" s="141" t="str">
        <f t="shared" si="17"/>
        <v>#NUM!</v>
      </c>
      <c r="DS192" s="133" t="str">
        <f t="shared" si="18"/>
        <v>#NUM!</v>
      </c>
      <c r="DT192" s="133">
        <f>AVERAGE(OFFSET($DS$3,0,0,'Données projet'!$E$14+1,1))-AVERAGE(OFFSET($H$3,0,0,'Données projet'!$E$14+1,1))</f>
        <v>287.9334714</v>
      </c>
      <c r="DU192" s="133">
        <f t="shared" si="45"/>
        <v>156.6796502</v>
      </c>
      <c r="DV192" s="134">
        <f>IF(ISNA(VLOOKUP(A192,'Données projet'!$A$165:$I$185,3,0)),0,VLOOKUP(A192,'Données projet'!$A$165:$I$185,3,0))</f>
        <v>0</v>
      </c>
      <c r="DW192" s="134">
        <f>IF(ISNA(VLOOKUP(A192,'Données projet'!$A$165:$I$185,4,0)),0,VLOOKUP(A192,'Données projet'!$A$165:$I$185,4,0))</f>
        <v>0</v>
      </c>
      <c r="DX192" s="135">
        <f>IF(ISNA(VLOOKUP(A192,'Données projet'!$A$165:$I$185,5,0)),0%,VLOOKUP(A192,'Données projet'!$A$165:$I$185,5,0)*VLOOKUP('Données projet'!$B$14,'Paramètres'!$A$1:$I$89,7,0))</f>
        <v>0</v>
      </c>
      <c r="DY192" s="135">
        <f>IF(ISNA(VLOOKUP(A192,'Données projet'!$A$165:$I$185,6,0)),0%,VLOOKUP(A192,'Données projet'!$A$165:$I$185,6,0)*VLOOKUP('Données projet'!$B$14,'Paramètres'!$A$1:$I$89,7,0))</f>
        <v>0</v>
      </c>
      <c r="DZ192" s="135">
        <f>IF(ISNA(VLOOKUP(A192,'Données projet'!$A$165:$I$185,7,0)),0%,VLOOKUP(A192,'Données projet'!$A$165:$I$185,7,0))</f>
        <v>0</v>
      </c>
      <c r="EA192" s="142">
        <f>EXP(-LN(2)/35)*EA191+(1-EXP(-LN(2)/35))/(LN(2)/35)*DW192*DX192*VLOOKUP('Données projet'!$B$14,'Paramètres'!$A$1:$I$89,3,0)*0.475*44/12</f>
        <v>59.87348256</v>
      </c>
      <c r="EB192" s="142">
        <f>EXP(-LN(2)/25)*EB191+(1-EXP(-LN(2)/25))/(LN(2)/25)*Calculateur!DW192*Calculateur!DY192*VLOOKUP('Données projet'!$B$14,'Paramètres'!$A$1:$I$89,3,0)*0.475*44/12</f>
        <v>0</v>
      </c>
      <c r="EC192" s="142">
        <f>EXP(-LN(2)/2)*EC191+(1-EXP(-LN(2)/2))/(LN(2)/2)*DW192*DZ192*VLOOKUP('Données projet'!$B$14,'Paramètres'!$A$1:$I$89,3,0)*0.475*44/12</f>
        <v>0</v>
      </c>
      <c r="ED192" s="143">
        <f t="shared" si="19"/>
        <v>59.87348256</v>
      </c>
      <c r="EE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1" t="str">
        <f>VLOOKUP(A192,'Données projet'!$A$191:$I$211,2,0)</f>
        <v>#N/A</v>
      </c>
      <c r="EH192" s="131" t="str">
        <f>VLOOKUP(A192,'Données projet'!$A$191:$I$211,9,0)</f>
        <v>#N/A</v>
      </c>
      <c r="EI192" s="131" t="str">
        <f t="array" ref="EI192">INDEX(EH:EH,MIN(IF(ISNUMBER(EH192:EH388),ROW(EH192:EH388),"")))</f>
        <v/>
      </c>
      <c r="EJ192" s="138">
        <f>IF('Données projet'!$A$192&gt;35,EJ191+EI192-ER191,IF(A192&lt;'Données projet'!$A$192,$EG$205^A192,IF(A192='Données projet'!$A$192,'Données projet'!$B$192,EJ191+EI192-ER191)))</f>
        <v>0</v>
      </c>
      <c r="EK192" s="138">
        <f>EJ192*VLOOKUP('Données projet'!$B$15,'Paramètres'!$A$1:$I$89,3,0)*VLOOKUP('Données projet'!$B$15,'Paramètres'!$A$1:$I$89,5,0)</f>
        <v>0</v>
      </c>
      <c r="EL192" s="130" t="str">
        <f t="shared" si="46"/>
        <v>#NUM!</v>
      </c>
      <c r="EM192" s="141" t="str">
        <f t="shared" si="20"/>
        <v>#NUM!</v>
      </c>
      <c r="EN192" s="133" t="str">
        <f t="shared" si="21"/>
        <v>#NUM!</v>
      </c>
      <c r="EO192" s="133">
        <f>AVERAGE(OFFSET($EN$3,0,0,'Données projet'!$E$15+1,1))-AVERAGE(OFFSET($H$3,0,0,'Données projet'!$E$15+1,1))</f>
        <v>130.3193339</v>
      </c>
      <c r="EP192" s="133">
        <f t="shared" si="47"/>
        <v>82.22784365</v>
      </c>
      <c r="EQ192" s="134">
        <f>IF(ISNA(VLOOKUP(A192,'Données projet'!$A$191:$I$211,3,0)),0,VLOOKUP(A192,'Données projet'!$A$191:$I$211,3,0))</f>
        <v>0</v>
      </c>
      <c r="ER192" s="134">
        <f>IF(ISNA(VLOOKUP(A192,'Données projet'!$A$191:$I$211,4,0)),0,VLOOKUP(A192,'Données projet'!$A$191:$I$211,4,0))</f>
        <v>0</v>
      </c>
      <c r="ES192" s="135">
        <f>IF(ISNA(VLOOKUP(A192,'Données projet'!$A$191:$I$211,5,0)),0%,VLOOKUP(A192,'Données projet'!$A$191:$I$211,5,0)*VLOOKUP('Données projet'!$B$15,'Paramètres'!$A$1:$I$89,7,0))</f>
        <v>0</v>
      </c>
      <c r="ET192" s="135">
        <f>IF(ISNA(VLOOKUP(A192,'Données projet'!$A$191:$I$211,6,0)),0%,VLOOKUP(A192,'Données projet'!$A$191:$I$211,6,0)*VLOOKUP('Données projet'!$B$15,'Paramètres'!$A$1:$I$89,7,0))</f>
        <v>0</v>
      </c>
      <c r="EU192" s="135">
        <f>IF(ISNA(VLOOKUP(A192,'Données projet'!$A$191:$I$211,7,0)),0%,VLOOKUP(A192,'Données projet'!$A$191:$I$211,7,0))</f>
        <v>0</v>
      </c>
      <c r="EV192" s="142">
        <f>EXP(-LN(2)/35)*EV191+(1-EXP(-LN(2)/35))/(LN(2)/35)*ER192*ES192*VLOOKUP('Données projet'!$B$15,'Paramètres'!$A$1:$I$89,3,0)*0.475*44/12</f>
        <v>12.27028238</v>
      </c>
      <c r="EW192" s="142">
        <f>EXP(-LN(2)/25)*EW191+(1-EXP(-LN(2)/25))/(LN(2)/25)*Calculateur!ER192*Calculateur!ET192*VLOOKUP('Données projet'!$B$15,'Paramètres'!$A$1:$I$89,3,0)*0.475*44/12</f>
        <v>0</v>
      </c>
      <c r="EX192" s="142">
        <f>EXP(-LN(2)/2)*EX191+(1-EXP(-LN(2)/2))/(LN(2)/2)*ER192*EU192*VLOOKUP('Données projet'!$B$15,'Paramètres'!$A$1:$I$89,3,0)*0.475*44/12</f>
        <v>0</v>
      </c>
      <c r="EY192" s="143">
        <f t="shared" si="22"/>
        <v>12.27028238</v>
      </c>
      <c r="EZ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1" t="str">
        <f>VLOOKUP(A192,'Données projet'!$A$217:$I$237,2,0)</f>
        <v>#N/A</v>
      </c>
      <c r="FC192" s="131" t="str">
        <f>VLOOKUP(A192,'Données projet'!$A$217:$I$237,9,0)</f>
        <v>#N/A</v>
      </c>
      <c r="FD192" s="131" t="str">
        <f t="array" ref="FD192">INDEX(FC:FC,MIN(IF(ISNUMBER(FC192:FC388),ROW(FC192:FC388),"")))</f>
        <v/>
      </c>
      <c r="FE192" s="130">
        <f>IF('Données projet'!$A$218&gt;35,FE191+FD192-FM191,IF(A192&lt;'Données projet'!$A$218,$FB$205^A192,IF(A192='Données projet'!$A$218,'Données projet'!$B$218,FE191+FD192-FM191)))</f>
        <v>0</v>
      </c>
      <c r="FF192" s="138">
        <f>FE192*VLOOKUP('Données projet'!$B$16,'Paramètres'!$A$1:$I$89,3,0)*VLOOKUP('Données projet'!$B$16,'Paramètres'!$A$1:$I$89,5,0)</f>
        <v>0</v>
      </c>
      <c r="FG192" s="130">
        <f t="shared" si="48"/>
        <v>0</v>
      </c>
      <c r="FH192" s="141">
        <f t="shared" si="23"/>
        <v>0</v>
      </c>
      <c r="FI192" s="133">
        <f t="shared" si="24"/>
        <v>293.3333333</v>
      </c>
      <c r="FJ192" s="133">
        <f>AVERAGE(OFFSET($FI$3,0,0,'Données projet'!$E$16+1,1))-AVERAGE(OFFSET($H$3,0,0,'Données projet'!$E$16+1,1))</f>
        <v>305.6252353</v>
      </c>
      <c r="FK192" s="133">
        <f t="shared" si="49"/>
        <v>331.397916</v>
      </c>
      <c r="FL192" s="134">
        <f>IF(ISNA(VLOOKUP(A192,'Données projet'!$A$217:$I$237,3,0)),0,VLOOKUP(A192,'Données projet'!$A$217:$I$237,3,0))</f>
        <v>0</v>
      </c>
      <c r="FM192" s="134">
        <f>IF(ISNA(VLOOKUP(A192,'Données projet'!$A$217:$I$237,4,0)),0,VLOOKUP(A192,'Données projet'!$A$217:$I$237,4,0))</f>
        <v>0</v>
      </c>
      <c r="FN192" s="135">
        <f>IF(ISNA(VLOOKUP(A192,'Données projet'!$A$217:$I$237,5,0)),0%,VLOOKUP(A192,'Données projet'!$A$217:$I$237,5,0)*VLOOKUP('Données projet'!$B$16,'Paramètres'!$A$1:$I$89,7,0))</f>
        <v>0</v>
      </c>
      <c r="FO192" s="135">
        <f>IF(ISNA(VLOOKUP(A192,'Données projet'!$A$217:$I$237,6,0)),0%,VLOOKUP(A192,'Données projet'!$A$217:$I$237,6,0)*VLOOKUP('Données projet'!$B$16,'Paramètres'!$A$1:$I$89,7,0))</f>
        <v>0</v>
      </c>
      <c r="FP192" s="135">
        <f>IF(ISNA(VLOOKUP(A192,'Données projet'!$A$217:$I$237,7,0)),0%,VLOOKUP(A192,'Données projet'!$A$217:$I$237,7,0))</f>
        <v>0</v>
      </c>
      <c r="FQ192" s="142">
        <f>EXP(-LN(2)/35)*FQ191+(1-EXP(-LN(2)/35))/(LN(2)/35)*FM192*FN192*VLOOKUP('Données projet'!$B$16,'Paramètres'!$A$1:$I$89,3,0)*0.475*44/12</f>
        <v>7.639844508</v>
      </c>
      <c r="FR192" s="142">
        <f>EXP(-LN(2)/25)*FR191+(1-EXP(-LN(2)/25))/(LN(2)/25)*Calculateur!FM192*Calculateur!FO192*VLOOKUP('Données projet'!$B$16,'Paramètres'!$A$1:$I$89,3,0)*0.475*44/12</f>
        <v>0</v>
      </c>
      <c r="FS192" s="142">
        <f>EXP(-LN(2)/2)*FS191+(1-EXP(-LN(2)/2))/(LN(2)/2)*FM192*FP192*VLOOKUP('Données projet'!$B$16,'Paramètres'!$A$1:$I$89,3,0)*0.475*44/12</f>
        <v>0</v>
      </c>
      <c r="FT192" s="143">
        <f t="shared" si="25"/>
        <v>7.639844508</v>
      </c>
      <c r="FU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1" t="str">
        <f>VLOOKUP(A192,'Données projet'!$A$243:$I$263,2,0)</f>
        <v>#N/A</v>
      </c>
      <c r="FX192" s="131" t="str">
        <f>VLOOKUP(A192,'Données projet'!$A$243:$I$263,9,0)</f>
        <v>#N/A</v>
      </c>
      <c r="FY192" s="131" t="str">
        <f t="array" ref="FY192">INDEX(FX:FX,MIN(IF(ISNUMBER(FX192:FX388),ROW(FX192:FX388),"")))</f>
        <v/>
      </c>
      <c r="FZ192" s="138">
        <f>IF('Données projet'!$A$244&gt;35,FZ191+FY192-GH191,IF(A192&lt;'Données projet'!$A$244,$FW$205^A192,IF(A192='Données projet'!$A$244,'Données projet'!$B$244,FZ191+FY192-GH191)))</f>
        <v>0</v>
      </c>
      <c r="GA192" s="138">
        <f>FZ192*VLOOKUP('Données projet'!$B$17,'Paramètres'!$A$1:$I$89,3,0)*VLOOKUP('Données projet'!$B$17,'Paramètres'!$A$1:$I$89,5,0)</f>
        <v>0</v>
      </c>
      <c r="GB192" s="130">
        <f t="shared" si="50"/>
        <v>0</v>
      </c>
      <c r="GC192" s="141">
        <f t="shared" si="26"/>
        <v>0</v>
      </c>
      <c r="GD192" s="133">
        <f t="shared" si="27"/>
        <v>293.3333333</v>
      </c>
      <c r="GE192" s="133">
        <f>AVERAGE(OFFSET($GD$3,0,0,'Données projet'!$E$17+1,1))-AVERAGE(OFFSET($H$3,0,0,'Données projet'!$E$17+1,1))</f>
        <v>118.7368745</v>
      </c>
      <c r="GF192" s="133">
        <f t="shared" si="51"/>
        <v>135.1233677</v>
      </c>
      <c r="GG192" s="134">
        <f>IF(ISNA(VLOOKUP(A192,'Données projet'!$A$243:$I$263,3,0)),0,VLOOKUP(A192,'Données projet'!$A$243:$I$263,3,0))</f>
        <v>0</v>
      </c>
      <c r="GH192" s="134">
        <f>IF(ISNA(VLOOKUP(A192,'Données projet'!$A$243:$I$263,4,0)),0,VLOOKUP(A192,'Données projet'!$A$243:$I$263,4,0))</f>
        <v>0</v>
      </c>
      <c r="GI192" s="135">
        <f>IF(ISNA(VLOOKUP(A192,'Données projet'!$A$243:$I$263,5,0)),0%,VLOOKUP(A192,'Données projet'!$A$243:$I$263,5,0)*VLOOKUP('Données projet'!$B$17,'Paramètres'!$A$1:$I$89,7,0))</f>
        <v>0</v>
      </c>
      <c r="GJ192" s="135">
        <f>IF(ISNA(VLOOKUP(A192,'Données projet'!$A$243:$I$263,6,0)),0%,VLOOKUP(A192,'Données projet'!$A$243:$I$263,6,0)*VLOOKUP('Données projet'!$B$17,'Paramètres'!$A$1:$I$89,7,0))</f>
        <v>0</v>
      </c>
      <c r="GK192" s="135">
        <f>IF(ISNA(VLOOKUP(A192,'Données projet'!$A$243:$I$263,7,0)),0%,VLOOKUP(A192,'Données projet'!$A$243:$I$263,7,0))</f>
        <v>0</v>
      </c>
      <c r="GL192" s="142">
        <f>EXP(-LN(2)/35)*GL191+(1-EXP(-LN(2)/35))/(LN(2)/35)*GH192*GI192*VLOOKUP('Données projet'!$B$17,'Paramètres'!$A$1:$I$89,3,0)*0.475*44/12</f>
        <v>8.071472096</v>
      </c>
      <c r="GM192" s="142">
        <f>EXP(-LN(2)/25)*GM191+(1-EXP(-LN(2)/25))/(LN(2)/25)*Calculateur!GH192*Calculateur!GJ192*VLOOKUP('Données projet'!$B$17,'Paramètres'!$A$1:$I$89,3,0)*0.475*44/12</f>
        <v>0</v>
      </c>
      <c r="GN192" s="142">
        <f>EXP(-LN(2)/2)*GN191+(1-EXP(-LN(2)/2))/(LN(2)/2)*GH192*GK192*VLOOKUP('Données projet'!$B$17,'Paramètres'!$A$1:$I$89,3,0)*0.475*44/12</f>
        <v>0</v>
      </c>
      <c r="GO192" s="142">
        <f t="shared" si="28"/>
        <v>8.071472096</v>
      </c>
      <c r="GP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1" t="str">
        <f>VLOOKUP(A192,'Données projet'!$A$269:$I$289,2,0)</f>
        <v>#N/A</v>
      </c>
      <c r="GS192" s="131" t="str">
        <f>VLOOKUP(A192,'Données projet'!$A$269:$I$289,9,0)</f>
        <v>#N/A</v>
      </c>
      <c r="GT192" s="131" t="str">
        <f t="array" ref="GT192">INDEX(GS:GS,MIN(IF(ISNUMBER(GS192:GS388),ROW(GS192:GS388),"")))</f>
        <v/>
      </c>
      <c r="GU192" s="138">
        <f>IF('Données projet'!$A$270&gt;35,GU191+GT192-HC191,IF(A192&lt;'Données projet'!$A$270,$GR$205^A192,IF(A192='Données projet'!$A$270,'Données projet'!$B$270,GU191+GT192-HC191)))</f>
        <v>0</v>
      </c>
      <c r="GV192" s="138">
        <f>GU192*VLOOKUP('Données projet'!$B$18,'Paramètres'!$A$1:$I$89,3,0)*VLOOKUP('Données projet'!$B$18,'Paramètres'!$A$1:$I$89,5,0)</f>
        <v>0</v>
      </c>
      <c r="GW192" s="130" t="str">
        <f t="shared" si="52"/>
        <v>#NUM!</v>
      </c>
      <c r="GX192" s="141" t="str">
        <f t="shared" si="29"/>
        <v>#NUM!</v>
      </c>
      <c r="GY192" s="133" t="str">
        <f t="shared" si="30"/>
        <v>#NUM!</v>
      </c>
      <c r="GZ192" s="133">
        <f>AVERAGE(OFFSET($GY$3,0,0,'Données projet'!$E$18+1,1))-AVERAGE(OFFSET($H$3,0,0,'Données projet'!$E$18+1,1))</f>
        <v>100.5427875</v>
      </c>
      <c r="HA192" s="133">
        <f t="shared" si="53"/>
        <v>92.28663609</v>
      </c>
      <c r="HB192" s="134">
        <f>IF(ISNA(VLOOKUP(A192,'Données projet'!$A$269:$I$289,3,0)),0,VLOOKUP(A192,'Données projet'!$A$269:$I$289,3,0))</f>
        <v>0</v>
      </c>
      <c r="HC192" s="134">
        <f>IF(ISNA(VLOOKUP(A192,'Données projet'!$A$269:$I$289,4,0)),0,VLOOKUP(A192,'Données projet'!$A$269:$I$289,4,0))</f>
        <v>0</v>
      </c>
      <c r="HD192" s="135">
        <f>IF(ISNA(VLOOKUP(A192,'Données projet'!$A$269:$I$289,5,0)),0%,VLOOKUP(A192,'Données projet'!$A$269:$I$289,5,0)*VLOOKUP('Données projet'!$B$18,'Paramètres'!$A$1:$I$89,7,0))</f>
        <v>0</v>
      </c>
      <c r="HE192" s="135">
        <f>IF(ISNA(VLOOKUP(A192,'Données projet'!$A$269:$I$289,6,0)),0%,VLOOKUP(A192,'Données projet'!$A$269:$I$289,6,0)*VLOOKUP('Données projet'!$B$18,'Paramètres'!$A$1:$I$89,7,0))</f>
        <v>0</v>
      </c>
      <c r="HF192" s="135">
        <f>IF(ISNA(VLOOKUP(A192,'Données projet'!$A$269:$I$289,7,0)),0%,VLOOKUP(A192,'Données projet'!$A$269:$I$289,7,0))</f>
        <v>0</v>
      </c>
      <c r="HG192" s="142">
        <f>EXP(-LN(2)/35)*HG191+(1-EXP(-LN(2)/35))/(LN(2)/35)*HC192*HD192*VLOOKUP('Données projet'!$B$18,'Paramètres'!$A$1:$I$89,3,0)*0.475*44/12</f>
        <v>5.496502221</v>
      </c>
      <c r="HH192" s="142">
        <f>EXP(-LN(2)/25)*HH191+(1-EXP(-LN(2)/25))/(LN(2)/25)*Calculateur!HC192*Calculateur!HE192*VLOOKUP('Données projet'!$B$18,'Paramètres'!$A$1:$I$89,3,0)*0.475*44/12</f>
        <v>0</v>
      </c>
      <c r="HI192" s="142">
        <f>EXP(-LN(2)/2)*HI191+(1-EXP(-LN(2)/2))/(LN(2)/2)*HC192*HF192*VLOOKUP('Données projet'!$B$18,'Paramètres'!$A$1:$I$89,3,0)*0.475*44/12</f>
        <v>0</v>
      </c>
      <c r="HJ192" s="143">
        <f t="shared" si="31"/>
        <v>5.496502221</v>
      </c>
    </row>
    <row r="193" ht="15.75" customHeight="1">
      <c r="A193" s="125">
        <f t="shared" si="32"/>
        <v>190</v>
      </c>
      <c r="B193" s="126">
        <f>'Scénario référence'!$B$16*5+'Scénario référence'!$B$17*0+'Scénario référence'!$B$18*5</f>
        <v>0</v>
      </c>
      <c r="C193" s="140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103.74</v>
      </c>
      <c r="D193" s="127">
        <f t="shared" si="33"/>
        <v>27.85108802</v>
      </c>
      <c r="E19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7">
        <f>IF(OR('Scénario référence'!$F$8&gt;0,'Scénario référence'!$F$9&gt;0),('Scénario référence'!$F$8+'Scénario référence'!$F$9)*10,0)</f>
        <v>10</v>
      </c>
      <c r="G193" s="127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1015.790855</v>
      </c>
      <c r="H193" s="128">
        <f t="shared" si="1"/>
        <v>522.521145</v>
      </c>
      <c r="I193" s="12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1" t="str">
        <f>VLOOKUP(A193,'Données projet'!$A$35:$I$55,2,0)</f>
        <v>#N/A</v>
      </c>
      <c r="L193" s="131" t="str">
        <f>VLOOKUP(A193,'Données projet'!$A$35:$I$55,9,0)</f>
        <v>#N/A</v>
      </c>
      <c r="M193" s="131" t="str">
        <f t="array" ref="M193">INDEX(L:L,MIN(IF(ISNUMBER(L193:L389),ROW(L193:L389),"")))</f>
        <v/>
      </c>
      <c r="N193" s="130">
        <f>IF('Données projet'!$A$36&gt;35,N192+M193-V192,IF(A193&lt;'Données projet'!$A$36,$K$205^A193,IF(A193='Données projet'!$A$36,'Données projet'!$B$36,N192+M193-V192)))</f>
        <v>0</v>
      </c>
      <c r="O193" s="130">
        <f>N193*VLOOKUP('Données projet'!$B$9,'Paramètres'!$A$1:$I$89,3,0)*VLOOKUP('Données projet'!$B$9,'Paramètres'!$A$1:$I$89,5,0)</f>
        <v>0</v>
      </c>
      <c r="P193" s="130">
        <f t="shared" si="34"/>
        <v>0</v>
      </c>
      <c r="Q193" s="141">
        <f t="shared" si="2"/>
        <v>0</v>
      </c>
      <c r="R193" s="133">
        <f t="shared" si="3"/>
        <v>293.3333333</v>
      </c>
      <c r="S193" s="133">
        <f>AVERAGE(OFFSET($R$3,0,0,'Données projet'!$E$9+1,1))-AVERAGE(OFFSET($H$3,0,0,'Données projet'!$E$9+1,1))</f>
        <v>126.9946492</v>
      </c>
      <c r="T193" s="133">
        <f t="shared" si="35"/>
        <v>140.039049</v>
      </c>
      <c r="U193" s="134">
        <f>IF(ISNA(VLOOKUP(A193,'Données projet'!$A$35:$I$55,3,0)),0,VLOOKUP(A193,'Données projet'!$A$35:$I$55,3,0))</f>
        <v>0</v>
      </c>
      <c r="V193" s="134">
        <f>IF(ISNA(VLOOKUP(A193,'Données projet'!$A$35:$I$55,4,0)),0,VLOOKUP(A193,'Données projet'!$A$35:$I$55,4,0))</f>
        <v>0</v>
      </c>
      <c r="W193" s="135">
        <f>IF(ISNA(VLOOKUP(A193,'Données projet'!$A$35:$I$55,5,0)),0%,VLOOKUP(A193,'Données projet'!$A$35:$I$55,5,0)*VLOOKUP('Données projet'!$B$9,'Paramètres'!$A$1:$I$89,7,0))</f>
        <v>0</v>
      </c>
      <c r="X193" s="135">
        <f>IF(ISNA(VLOOKUP(A193,'Données projet'!$A$35:$I$55,6,0)),0%,VLOOKUP(A193,'Données projet'!$A$35:$I$55,6,0)*VLOOKUP('Données projet'!$B$9,'Paramètres'!$A$1:$I$89,7,0))</f>
        <v>0</v>
      </c>
      <c r="Y193" s="135">
        <f>IF(ISNA(VLOOKUP(A193,'Données projet'!$A$35:$I$55,7,0)),0%,VLOOKUP(A193,'Données projet'!$A$35:$I$55,7,0))</f>
        <v>0</v>
      </c>
      <c r="Z193" s="142">
        <f>EXP(-LN(2)/35)*Z192+(1-EXP(-LN(2)/35))/(LN(2)/35)*V193*W193*VLOOKUP('Données projet'!$B$9,'Paramètres'!$A$1:$I$89,3,0)*0.475*44/12</f>
        <v>8.093437442</v>
      </c>
      <c r="AA193" s="142">
        <f>EXP(-LN(2)/25)*AA192+(1-EXP(-LN(2)/25))/(LN(2)/25)*Calculateur!V193*Calculateur!X193*VLOOKUP('Données projet'!$B$9,'Paramètres'!$A$1:$I$89,3,0)*0.475*44/12</f>
        <v>0.6322005493</v>
      </c>
      <c r="AB193" s="142">
        <f>EXP(-LN(2)/2)*AB192+(1-EXP(-LN(2)/2))/(LN(2)/2)*V193*Y193*VLOOKUP('Données projet'!$B$9,'Paramètres'!$A$1:$I$89,3,0)*0.475*44/12</f>
        <v>0</v>
      </c>
      <c r="AC193" s="143">
        <f t="shared" si="4"/>
        <v>8.725637992</v>
      </c>
      <c r="AD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1" t="str">
        <f>VLOOKUP(A193,'Données projet'!$A$61:$I$81,2,0)</f>
        <v>#N/A</v>
      </c>
      <c r="AG193" s="131" t="str">
        <f>VLOOKUP(A193,'Données projet'!$A$61:$I$81,9,0)</f>
        <v>#N/A</v>
      </c>
      <c r="AH193" s="131" t="str">
        <f t="array" ref="AH193">INDEX(AG:AG,MIN(IF(ISNUMBER(AG193:AG389),ROW(AG193:AG389),"")))</f>
        <v/>
      </c>
      <c r="AI193" s="130">
        <f>IF('Données projet'!$A$62&gt;35,AI192+AH193-AQ192,IF(A193&lt;'Données projet'!$A$62,$AF$205^A193,IF(A193='Données projet'!$A$62,'Données projet'!$B$62,AI192+AH193-AQ192)))</f>
        <v>0</v>
      </c>
      <c r="AJ193" s="130">
        <f>AI193*VLOOKUP('Données projet'!$B$10,'Paramètres'!$A$1:$I$89,3,0)*VLOOKUP('Données projet'!$B$10,'Paramètres'!$A$1:$I$89,5,0)</f>
        <v>0</v>
      </c>
      <c r="AK193" s="130" t="str">
        <f t="shared" si="36"/>
        <v>#NUM!</v>
      </c>
      <c r="AL193" s="141" t="str">
        <f t="shared" si="5"/>
        <v>#NUM!</v>
      </c>
      <c r="AM193" s="133" t="str">
        <f t="shared" si="6"/>
        <v>#NUM!</v>
      </c>
      <c r="AN193" s="133">
        <f>AVERAGE(OFFSET($AM$3,0,0,'Données projet'!$E$10+1,1))-AVERAGE(OFFSET($H$3,0,0,'Données projet'!$E$10+1,1))</f>
        <v>196.874484</v>
      </c>
      <c r="AO193" s="133">
        <f t="shared" si="37"/>
        <v>217.5750859</v>
      </c>
      <c r="AP193" s="134">
        <f>IF(ISNA(VLOOKUP(A193,'Données projet'!$A$61:$I$81,3,0)),0,VLOOKUP(A193,'Données projet'!$A$61:$I$81,3,0))</f>
        <v>0</v>
      </c>
      <c r="AQ193" s="134">
        <f>IF(ISNA(VLOOKUP(A193,'Données projet'!$A$61:$I$81,4,0)),0,VLOOKUP(A193,'Données projet'!$A$61:$I$81,4,0))</f>
        <v>0</v>
      </c>
      <c r="AR193" s="135">
        <f>IF(ISNA(VLOOKUP(A193,'Données projet'!$A$61:$I$81,5,0)),0%,VLOOKUP(A193,'Données projet'!$A$61:$I$81,5,0)*VLOOKUP('Données projet'!$B$10,'Paramètres'!$A$1:$I$89,7,0))</f>
        <v>0</v>
      </c>
      <c r="AS193" s="135">
        <f>IF(ISNA(VLOOKUP(A193,'Données projet'!$A$61:$I$81,6,0)),0%,VLOOKUP(A193,'Données projet'!$A$61:$I$81,6,0)*VLOOKUP('Données projet'!$B$10,'Paramètres'!$A$1:$I$89,7,0))</f>
        <v>0</v>
      </c>
      <c r="AT193" s="135">
        <f>IF(ISNA(VLOOKUP(A193,'Données projet'!$A$61:$I$81,7,0)),0%,VLOOKUP(A193,'Données projet'!$A$61:$I$81,7,0))</f>
        <v>0</v>
      </c>
      <c r="AU193" s="142">
        <f>EXP(-LN(2)/35)*AU192+(1-EXP(-LN(2)/35))/(LN(2)/35)*AQ193*AR193*VLOOKUP('Données projet'!$B$10,'Paramètres'!$A$1:$I$89,3,0)*0.475*44/12</f>
        <v>11.24964816</v>
      </c>
      <c r="AV193" s="142">
        <f>EXP(-LN(2)/25)*AV192+(1-EXP(-LN(2)/25))/(LN(2)/25)*Calculateur!AQ193*Calculateur!AS193*VLOOKUP('Données projet'!$B$10,'Paramètres'!$A$1:$I$89,3,0)*0.475*44/12</f>
        <v>0.9720091892</v>
      </c>
      <c r="AW193" s="142">
        <f>EXP(-LN(2)/2)*AW192+(1-EXP(-LN(2)/2))/(LN(2)/2)*AQ193*AT193*VLOOKUP('Données projet'!$B$10,'Paramètres'!$A$1:$I$89,3,0)*0.475*44/12</f>
        <v>0</v>
      </c>
      <c r="AX193" s="142">
        <f t="shared" si="7"/>
        <v>12.22165735</v>
      </c>
      <c r="AY193" s="13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1" t="str">
        <f>VLOOKUP(A193,'Données projet'!$A$87:$I$107,2,0)</f>
        <v>#N/A</v>
      </c>
      <c r="BB193" s="131" t="str">
        <f>VLOOKUP(A193,'Données projet'!$A$87:$I$107,9,0)</f>
        <v>#N/A</v>
      </c>
      <c r="BC193" s="131" t="str">
        <f t="array" ref="BC193">INDEX(BB:BB,MIN(IF(ISNUMBER(BB193:BB389),ROW(BB193:BB389),"")))</f>
        <v/>
      </c>
      <c r="BD193" s="130">
        <f>IF('Données projet'!$A$88&gt;35,BD192+BC193-BL192,IF(A193&lt;'Données projet'!$A$88,$BA$205^A193,IF(A193='Données projet'!$A$88,'Données projet'!$B$88,BD192+BC193-BL192)))</f>
        <v>0</v>
      </c>
      <c r="BE193" s="130">
        <f>BD193*VLOOKUP('Données projet'!$B$11,'Paramètres'!$A$1:$I$89,3,0)*VLOOKUP('Données projet'!$B$11,'Paramètres'!$A$1:$I$89,5,0)</f>
        <v>0</v>
      </c>
      <c r="BF193" s="130" t="str">
        <f t="shared" si="38"/>
        <v>#NUM!</v>
      </c>
      <c r="BG193" s="141" t="str">
        <f t="shared" si="8"/>
        <v>#NUM!</v>
      </c>
      <c r="BH193" s="133" t="str">
        <f t="shared" si="9"/>
        <v>#NUM!</v>
      </c>
      <c r="BI193" s="133">
        <f>AVERAGE(OFFSET($BH$3,0,0,'Données projet'!$E$11+1,1))-AVERAGE(OFFSET($H$3,0,0,'Données projet'!$E$11+1,1))</f>
        <v>134.0948534</v>
      </c>
      <c r="BJ193" s="133">
        <f t="shared" si="39"/>
        <v>108.4102536</v>
      </c>
      <c r="BK193" s="134">
        <f>IF(ISNA(VLOOKUP(A193,'Données projet'!$A$87:$I$107,3,0)),0,VLOOKUP(A193,'Données projet'!$A$87:$I$107,3,0))</f>
        <v>0</v>
      </c>
      <c r="BL193" s="134">
        <f>IF(ISNA(VLOOKUP(A193,'Données projet'!$A$87:$I$107,4,0)),0,VLOOKUP(A193,'Données projet'!$A$87:$I$107,4,0))</f>
        <v>0</v>
      </c>
      <c r="BM193" s="135">
        <f>IF(ISNA(VLOOKUP(A193,'Données projet'!$A$87:$I$107,5,0)),0%,VLOOKUP(A193,'Données projet'!$A$87:$I$107,5,0)*VLOOKUP('Données projet'!$B$11,'Paramètres'!$A$1:$I$89,7,0))</f>
        <v>0</v>
      </c>
      <c r="BN193" s="135">
        <f>IF(ISNA(VLOOKUP(A193,'Données projet'!$A$87:$I$107,6,0)),0%,VLOOKUP(A193,'Données projet'!$A$87:$I$107,6,0)*VLOOKUP('Données projet'!$B$11,'Paramètres'!$A$1:$I$89,7,0))</f>
        <v>0</v>
      </c>
      <c r="BO193" s="135">
        <f>IF(ISNA(VLOOKUP(A193,'Données projet'!$A$87:$I$107,7,0)),0%,VLOOKUP(A193,'Données projet'!$A$87:$I$107,7,0))</f>
        <v>0</v>
      </c>
      <c r="BP193" s="142">
        <f>EXP(-LN(2)/35)*BP192+(1-EXP(-LN(2)/35))/(LN(2)/35)*BL193*BM193*VLOOKUP('Données projet'!$B$11,'Paramètres'!$A$1:$I$89,3,0)*0.475*44/12</f>
        <v>15.56036437</v>
      </c>
      <c r="BQ193" s="142">
        <f>EXP(-LN(2)/25)*BQ192+(1-EXP(-LN(2)/25))/(LN(2)/25)*Calculateur!BL193*Calculateur!BN193*VLOOKUP('Données projet'!$B$11,'Paramètres'!$A$1:$I$89,3,0)*0.475*44/12</f>
        <v>0.6131442311</v>
      </c>
      <c r="BR193" s="142">
        <f>EXP(-LN(2)/2)*BR192+(1-EXP(-LN(2)/2))/(LN(2)/2)*BL193*BO193*VLOOKUP('Données projet'!$B$11,'Paramètres'!$A$1:$I$89,3,0)*0.475*44/12</f>
        <v>0</v>
      </c>
      <c r="BS193" s="143">
        <f t="shared" si="10"/>
        <v>16.1735086</v>
      </c>
      <c r="BT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1" t="str">
        <f>VLOOKUP(A193,'Données projet'!$A$113:$I$133,2,0)</f>
        <v>#N/A</v>
      </c>
      <c r="BW193" s="131" t="str">
        <f>VLOOKUP(A193,'Données projet'!$A$113:$I$133,9,0)</f>
        <v>#N/A</v>
      </c>
      <c r="BX193" s="131" t="str">
        <f t="array" ref="BX193">INDEX(BW:BW,MIN(IF(ISNUMBER(BW193:BW389),ROW(BW193:BW389),"")))</f>
        <v/>
      </c>
      <c r="BY193" s="130">
        <f>IF('Données projet'!$A$114&gt;35,BY192+BX193-CG192,IF(A193&lt;'Données projet'!$A$114,$BV$205^A193,IF(A193='Données projet'!$A$114,'Données projet'!$B$114,BY192+BX193-CG192)))</f>
        <v>0</v>
      </c>
      <c r="BZ193" s="130">
        <f>BY193*VLOOKUP('Données projet'!$B$12,'Paramètres'!$A$1:$I$89,3,0)*VLOOKUP('Données projet'!$B$12,'Paramètres'!$A$1:$I$89,5,0)</f>
        <v>0</v>
      </c>
      <c r="CA193" s="130" t="str">
        <f t="shared" si="40"/>
        <v>#NUM!</v>
      </c>
      <c r="CB193" s="141" t="str">
        <f t="shared" si="11"/>
        <v>#NUM!</v>
      </c>
      <c r="CC193" s="133" t="str">
        <f t="shared" si="12"/>
        <v>#NUM!</v>
      </c>
      <c r="CD193" s="133">
        <f>AVERAGE(OFFSET($CC$3,0,0,'Données projet'!$E$12+1,1))-AVERAGE(OFFSET($H$3,0,0,'Données projet'!$E$12+1,1))</f>
        <v>258.1672054</v>
      </c>
      <c r="CE193" s="133">
        <f t="shared" si="41"/>
        <v>296.0724261</v>
      </c>
      <c r="CF193" s="134">
        <f>IF(ISNA(VLOOKUP(A193,'Données projet'!$A$113:$I$133,3,0)),0,VLOOKUP(A193,'Données projet'!$A$113:$I$133,3,0))</f>
        <v>0</v>
      </c>
      <c r="CG193" s="134">
        <f>IF(ISNA(VLOOKUP(A193,'Données projet'!$A$113:$I$133,4,0)),0,VLOOKUP(A193,'Données projet'!$A$113:$I$133,4,0))</f>
        <v>0</v>
      </c>
      <c r="CH193" s="135">
        <f>IF(ISNA(VLOOKUP(A193,'Données projet'!$A$113:$I$133,5,0)),0%,VLOOKUP(A193,'Données projet'!$A$113:$I$133,5,0)*VLOOKUP('Données projet'!$B$12,'Paramètres'!$A$1:$I$89,7,0))</f>
        <v>0</v>
      </c>
      <c r="CI193" s="135">
        <f>IF(ISNA(VLOOKUP(A193,'Données projet'!$A$113:$I$133,6,0)),0%,VLOOKUP(A193,'Données projet'!$A$113:$I$133,6,0)*VLOOKUP('Données projet'!$B$12,'Paramètres'!$A$1:$I$89,7,0))</f>
        <v>0</v>
      </c>
      <c r="CJ193" s="135">
        <f>IF(ISNA(VLOOKUP(A193,'Données projet'!$A$113:$I$133,7,0)),0%,VLOOKUP(A193,'Données projet'!$A$113:$I$133,7,0))</f>
        <v>0</v>
      </c>
      <c r="CK193" s="142">
        <f>EXP(-LN(2)/35)*CK192+(1-EXP(-LN(2)/35))/(LN(2)/35)*CG193*CH193*VLOOKUP('Données projet'!$B$12,'Paramètres'!$A$1:$I$89,3,0)*0.475*44/12</f>
        <v>19.67306068</v>
      </c>
      <c r="CL193" s="142">
        <f>EXP(-LN(2)/25)*CL192+(1-EXP(-LN(2)/25))/(LN(2)/25)*Calculateur!CG193*Calculateur!CI193*VLOOKUP('Données projet'!$B$12,'Paramètres'!$A$1:$I$89,3,0)*0.475*44/12</f>
        <v>1.075489788</v>
      </c>
      <c r="CM193" s="142">
        <f>EXP(-LN(2)/2)*CM192+(1-EXP(-LN(2)/2))/(LN(2)/2)*CG193*CJ193*VLOOKUP('Données projet'!$B$12,'Paramètres'!$A$1:$I$89,3,0)*0.475*44/12</f>
        <v>0</v>
      </c>
      <c r="CN193" s="143">
        <f t="shared" si="13"/>
        <v>20.74855047</v>
      </c>
      <c r="CO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1" t="str">
        <f>VLOOKUP(A193,'Données projet'!$A$139:$I$159,2,0)</f>
        <v>#N/A</v>
      </c>
      <c r="CR193" s="131" t="str">
        <f>VLOOKUP(A193,'Données projet'!$A$139:$I$159,9,0)</f>
        <v>#N/A</v>
      </c>
      <c r="CS193" s="131" t="str">
        <f t="array" ref="CS193">INDEX(CR:CR,MIN(IF(ISNUMBER(CR193:CR389),ROW(CR193:CR389),"")))</f>
        <v/>
      </c>
      <c r="CT193" s="138">
        <f>IF('Données projet'!$A$140&gt;35,CT192+CS193-DB192,IF(A193&lt;'Données projet'!$A$140,$CQ$205^A193,IF(A193='Données projet'!$A$140,'Données projet'!$B$140,CT192+CS193-DB192)))</f>
        <v>0</v>
      </c>
      <c r="CU193" s="138">
        <f>CT193*VLOOKUP('Données projet'!$B$13,'Paramètres'!$A$1:$I$89,3,0)*VLOOKUP('Données projet'!$B$13,'Paramètres'!$A$1:$I$89,5,0)</f>
        <v>0</v>
      </c>
      <c r="CV193" s="130" t="str">
        <f t="shared" si="42"/>
        <v>#NUM!</v>
      </c>
      <c r="CW193" s="141" t="str">
        <f t="shared" si="14"/>
        <v>#NUM!</v>
      </c>
      <c r="CX193" s="133" t="str">
        <f t="shared" si="15"/>
        <v>#NUM!</v>
      </c>
      <c r="CY193" s="133">
        <f>AVERAGE(OFFSET($CX$3,0,0,'Données projet'!$E$13+1,1))-AVERAGE(OFFSET($H$3,0,0,'Données projet'!$E$13+1,1))</f>
        <v>223.783507</v>
      </c>
      <c r="CZ193" s="133">
        <f t="shared" si="43"/>
        <v>84.92349117</v>
      </c>
      <c r="DA193" s="134">
        <f>IF(ISNA(VLOOKUP(A193,'Données projet'!$A$139:$I$159,3,0)),0,VLOOKUP(A193,'Données projet'!$A$139:$I$159,3,0))</f>
        <v>0</v>
      </c>
      <c r="DB193" s="134">
        <f>IF(ISNA(VLOOKUP(A193,'Données projet'!$A$139:$I$159,4,0)),0,VLOOKUP(A193,'Données projet'!$A$139:$I$159,4,0))</f>
        <v>0</v>
      </c>
      <c r="DC193" s="135">
        <f>IF(ISNA(VLOOKUP(A193,'Données projet'!$A$139:$I$159,5,0)),0%,VLOOKUP(A193,'Données projet'!$A$139:$I$159,5,0)*VLOOKUP('Données projet'!$B$13,'Paramètres'!$A$1:$I$89,7,0))</f>
        <v>0</v>
      </c>
      <c r="DD193" s="135">
        <f>IF(ISNA(VLOOKUP(A193,'Données projet'!$A$139:$I$159,6,0)),0%,VLOOKUP(A193,'Données projet'!$A$139:$I$159,6,0)*VLOOKUP('Données projet'!$B$13,'Paramètres'!$A$1:$I$89,7,0))</f>
        <v>0</v>
      </c>
      <c r="DE193" s="135">
        <f>IF(ISNA(VLOOKUP(A193,'Données projet'!$A$139:$I$159,7,0)),0%,VLOOKUP(A193,'Données projet'!$A$139:$I$159,7,0))</f>
        <v>0</v>
      </c>
      <c r="DF193" s="142">
        <f>EXP(-LN(2)/35)*DF192+(1-EXP(-LN(2)/35))/(LN(2)/35)*DB193*DC193*VLOOKUP('Données projet'!$B$13,'Paramètres'!$A$1:$I$89,3,0)*0.475*44/12</f>
        <v>50.52813923</v>
      </c>
      <c r="DG193" s="142">
        <f>EXP(-LN(2)/25)*DG192+(1-EXP(-LN(2)/25))/(LN(2)/25)*Calculateur!DB193*Calculateur!DD193*VLOOKUP('Données projet'!$B$13,'Paramètres'!$A$1:$I$89,3,0)*0.475*44/12</f>
        <v>0</v>
      </c>
      <c r="DH193" s="142">
        <f>EXP(-LN(2)/2)*DH192+(1-EXP(-LN(2)/2))/(LN(2)/2)*DB193*DE193*VLOOKUP('Données projet'!$B$13,'Paramètres'!$A$1:$I$89,3,0)*0.475*44/12</f>
        <v>0</v>
      </c>
      <c r="DI193" s="143">
        <f t="shared" si="16"/>
        <v>50.52813923</v>
      </c>
      <c r="DJ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1" t="str">
        <f>VLOOKUP(A193,'Données projet'!$A$165:$I$185,2,0)</f>
        <v>#N/A</v>
      </c>
      <c r="DM193" s="131" t="str">
        <f>VLOOKUP(A193,'Données projet'!$A$165:$I$185,9,0)</f>
        <v>#N/A</v>
      </c>
      <c r="DN193" s="131" t="str">
        <f t="array" ref="DN193">INDEX(DM:DM,MIN(IF(ISNUMBER(DM193:DM389),ROW(DM193:DM389),"")))</f>
        <v/>
      </c>
      <c r="DO193" s="138">
        <f>IF('Données projet'!$A$166&gt;35,DO192+DN193-DW192,IF(A193&lt;'Données projet'!$A$166,$DL$205^A193,IF(A193='Données projet'!$A$166,'Données projet'!$B$166,DO192+DN193-DW192)))</f>
        <v>0</v>
      </c>
      <c r="DP193" s="138">
        <f>DO193*VLOOKUP('Données projet'!$B$14,'Paramètres'!$A$1:$I$89,3,0)*VLOOKUP('Données projet'!$B$14,'Paramètres'!$A$1:$I$89,5,0)</f>
        <v>0</v>
      </c>
      <c r="DQ193" s="130" t="str">
        <f t="shared" si="44"/>
        <v>#NUM!</v>
      </c>
      <c r="DR193" s="141" t="str">
        <f t="shared" si="17"/>
        <v>#NUM!</v>
      </c>
      <c r="DS193" s="133" t="str">
        <f t="shared" si="18"/>
        <v>#NUM!</v>
      </c>
      <c r="DT193" s="133">
        <f>AVERAGE(OFFSET($DS$3,0,0,'Données projet'!$E$14+1,1))-AVERAGE(OFFSET($H$3,0,0,'Données projet'!$E$14+1,1))</f>
        <v>287.9334714</v>
      </c>
      <c r="DU193" s="133">
        <f t="shared" si="45"/>
        <v>156.6796502</v>
      </c>
      <c r="DV193" s="134">
        <f>IF(ISNA(VLOOKUP(A193,'Données projet'!$A$165:$I$185,3,0)),0,VLOOKUP(A193,'Données projet'!$A$165:$I$185,3,0))</f>
        <v>0</v>
      </c>
      <c r="DW193" s="134">
        <f>IF(ISNA(VLOOKUP(A193,'Données projet'!$A$165:$I$185,4,0)),0,VLOOKUP(A193,'Données projet'!$A$165:$I$185,4,0))</f>
        <v>0</v>
      </c>
      <c r="DX193" s="135">
        <f>IF(ISNA(VLOOKUP(A193,'Données projet'!$A$165:$I$185,5,0)),0%,VLOOKUP(A193,'Données projet'!$A$165:$I$185,5,0)*VLOOKUP('Données projet'!$B$14,'Paramètres'!$A$1:$I$89,7,0))</f>
        <v>0</v>
      </c>
      <c r="DY193" s="135">
        <f>IF(ISNA(VLOOKUP(A193,'Données projet'!$A$165:$I$185,6,0)),0%,VLOOKUP(A193,'Données projet'!$A$165:$I$185,6,0)*VLOOKUP('Données projet'!$B$14,'Paramètres'!$A$1:$I$89,7,0))</f>
        <v>0</v>
      </c>
      <c r="DZ193" s="135">
        <f>IF(ISNA(VLOOKUP(A193,'Données projet'!$A$165:$I$185,7,0)),0%,VLOOKUP(A193,'Données projet'!$A$165:$I$185,7,0))</f>
        <v>0</v>
      </c>
      <c r="EA193" s="142">
        <f>EXP(-LN(2)/35)*EA192+(1-EXP(-LN(2)/35))/(LN(2)/35)*DW193*DX193*VLOOKUP('Données projet'!$B$14,'Paramètres'!$A$1:$I$89,3,0)*0.475*44/12</f>
        <v>58.69940009</v>
      </c>
      <c r="EB193" s="142">
        <f>EXP(-LN(2)/25)*EB192+(1-EXP(-LN(2)/25))/(LN(2)/25)*Calculateur!DW193*Calculateur!DY193*VLOOKUP('Données projet'!$B$14,'Paramètres'!$A$1:$I$89,3,0)*0.475*44/12</f>
        <v>0</v>
      </c>
      <c r="EC193" s="142">
        <f>EXP(-LN(2)/2)*EC192+(1-EXP(-LN(2)/2))/(LN(2)/2)*DW193*DZ193*VLOOKUP('Données projet'!$B$14,'Paramètres'!$A$1:$I$89,3,0)*0.475*44/12</f>
        <v>0</v>
      </c>
      <c r="ED193" s="143">
        <f t="shared" si="19"/>
        <v>58.69940009</v>
      </c>
      <c r="EE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1" t="str">
        <f>VLOOKUP(A193,'Données projet'!$A$191:$I$211,2,0)</f>
        <v>#N/A</v>
      </c>
      <c r="EH193" s="131" t="str">
        <f>VLOOKUP(A193,'Données projet'!$A$191:$I$211,9,0)</f>
        <v>#N/A</v>
      </c>
      <c r="EI193" s="131" t="str">
        <f t="array" ref="EI193">INDEX(EH:EH,MIN(IF(ISNUMBER(EH193:EH389),ROW(EH193:EH389),"")))</f>
        <v/>
      </c>
      <c r="EJ193" s="138">
        <f>IF('Données projet'!$A$192&gt;35,EJ192+EI193-ER192,IF(A193&lt;'Données projet'!$A$192,$EG$205^A193,IF(A193='Données projet'!$A$192,'Données projet'!$B$192,EJ192+EI193-ER192)))</f>
        <v>0</v>
      </c>
      <c r="EK193" s="138">
        <f>EJ193*VLOOKUP('Données projet'!$B$15,'Paramètres'!$A$1:$I$89,3,0)*VLOOKUP('Données projet'!$B$15,'Paramètres'!$A$1:$I$89,5,0)</f>
        <v>0</v>
      </c>
      <c r="EL193" s="130" t="str">
        <f t="shared" si="46"/>
        <v>#NUM!</v>
      </c>
      <c r="EM193" s="141" t="str">
        <f t="shared" si="20"/>
        <v>#NUM!</v>
      </c>
      <c r="EN193" s="133" t="str">
        <f t="shared" si="21"/>
        <v>#NUM!</v>
      </c>
      <c r="EO193" s="133">
        <f>AVERAGE(OFFSET($EN$3,0,0,'Données projet'!$E$15+1,1))-AVERAGE(OFFSET($H$3,0,0,'Données projet'!$E$15+1,1))</f>
        <v>130.3193339</v>
      </c>
      <c r="EP193" s="133">
        <f t="shared" si="47"/>
        <v>82.22784365</v>
      </c>
      <c r="EQ193" s="134">
        <f>IF(ISNA(VLOOKUP(A193,'Données projet'!$A$191:$I$211,3,0)),0,VLOOKUP(A193,'Données projet'!$A$191:$I$211,3,0))</f>
        <v>0</v>
      </c>
      <c r="ER193" s="134">
        <f>IF(ISNA(VLOOKUP(A193,'Données projet'!$A$191:$I$211,4,0)),0,VLOOKUP(A193,'Données projet'!$A$191:$I$211,4,0))</f>
        <v>0</v>
      </c>
      <c r="ES193" s="135">
        <f>IF(ISNA(VLOOKUP(A193,'Données projet'!$A$191:$I$211,5,0)),0%,VLOOKUP(A193,'Données projet'!$A$191:$I$211,5,0)*VLOOKUP('Données projet'!$B$15,'Paramètres'!$A$1:$I$89,7,0))</f>
        <v>0</v>
      </c>
      <c r="ET193" s="135">
        <f>IF(ISNA(VLOOKUP(A193,'Données projet'!$A$191:$I$211,6,0)),0%,VLOOKUP(A193,'Données projet'!$A$191:$I$211,6,0)*VLOOKUP('Données projet'!$B$15,'Paramètres'!$A$1:$I$89,7,0))</f>
        <v>0</v>
      </c>
      <c r="EU193" s="135">
        <f>IF(ISNA(VLOOKUP(A193,'Données projet'!$A$191:$I$211,7,0)),0%,VLOOKUP(A193,'Données projet'!$A$191:$I$211,7,0))</f>
        <v>0</v>
      </c>
      <c r="EV193" s="142">
        <f>EXP(-LN(2)/35)*EV192+(1-EXP(-LN(2)/35))/(LN(2)/35)*ER193*ES193*VLOOKUP('Données projet'!$B$15,'Paramètres'!$A$1:$I$89,3,0)*0.475*44/12</f>
        <v>12.02966962</v>
      </c>
      <c r="EW193" s="142">
        <f>EXP(-LN(2)/25)*EW192+(1-EXP(-LN(2)/25))/(LN(2)/25)*Calculateur!ER193*Calculateur!ET193*VLOOKUP('Données projet'!$B$15,'Paramètres'!$A$1:$I$89,3,0)*0.475*44/12</f>
        <v>0</v>
      </c>
      <c r="EX193" s="142">
        <f>EXP(-LN(2)/2)*EX192+(1-EXP(-LN(2)/2))/(LN(2)/2)*ER193*EU193*VLOOKUP('Données projet'!$B$15,'Paramètres'!$A$1:$I$89,3,0)*0.475*44/12</f>
        <v>0</v>
      </c>
      <c r="EY193" s="143">
        <f t="shared" si="22"/>
        <v>12.02966962</v>
      </c>
      <c r="EZ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1" t="str">
        <f>VLOOKUP(A193,'Données projet'!$A$217:$I$237,2,0)</f>
        <v>#N/A</v>
      </c>
      <c r="FC193" s="131" t="str">
        <f>VLOOKUP(A193,'Données projet'!$A$217:$I$237,9,0)</f>
        <v>#N/A</v>
      </c>
      <c r="FD193" s="131" t="str">
        <f t="array" ref="FD193">INDEX(FC:FC,MIN(IF(ISNUMBER(FC193:FC389),ROW(FC193:FC389),"")))</f>
        <v/>
      </c>
      <c r="FE193" s="130">
        <f>IF('Données projet'!$A$218&gt;35,FE192+FD193-FM192,IF(A193&lt;'Données projet'!$A$218,$FB$205^A193,IF(A193='Données projet'!$A$218,'Données projet'!$B$218,FE192+FD193-FM192)))</f>
        <v>0</v>
      </c>
      <c r="FF193" s="138">
        <f>FE193*VLOOKUP('Données projet'!$B$16,'Paramètres'!$A$1:$I$89,3,0)*VLOOKUP('Données projet'!$B$16,'Paramètres'!$A$1:$I$89,5,0)</f>
        <v>0</v>
      </c>
      <c r="FG193" s="130">
        <f t="shared" si="48"/>
        <v>0</v>
      </c>
      <c r="FH193" s="141">
        <f t="shared" si="23"/>
        <v>0</v>
      </c>
      <c r="FI193" s="133">
        <f t="shared" si="24"/>
        <v>293.3333333</v>
      </c>
      <c r="FJ193" s="133">
        <f>AVERAGE(OFFSET($FI$3,0,0,'Données projet'!$E$16+1,1))-AVERAGE(OFFSET($H$3,0,0,'Données projet'!$E$16+1,1))</f>
        <v>305.6252353</v>
      </c>
      <c r="FK193" s="133">
        <f t="shared" si="49"/>
        <v>331.397916</v>
      </c>
      <c r="FL193" s="134">
        <f>IF(ISNA(VLOOKUP(A193,'Données projet'!$A$217:$I$237,3,0)),0,VLOOKUP(A193,'Données projet'!$A$217:$I$237,3,0))</f>
        <v>0</v>
      </c>
      <c r="FM193" s="134">
        <f>IF(ISNA(VLOOKUP(A193,'Données projet'!$A$217:$I$237,4,0)),0,VLOOKUP(A193,'Données projet'!$A$217:$I$237,4,0))</f>
        <v>0</v>
      </c>
      <c r="FN193" s="135">
        <f>IF(ISNA(VLOOKUP(A193,'Données projet'!$A$217:$I$237,5,0)),0%,VLOOKUP(A193,'Données projet'!$A$217:$I$237,5,0)*VLOOKUP('Données projet'!$B$16,'Paramètres'!$A$1:$I$89,7,0))</f>
        <v>0</v>
      </c>
      <c r="FO193" s="135">
        <f>IF(ISNA(VLOOKUP(A193,'Données projet'!$A$217:$I$237,6,0)),0%,VLOOKUP(A193,'Données projet'!$A$217:$I$237,6,0)*VLOOKUP('Données projet'!$B$16,'Paramètres'!$A$1:$I$89,7,0))</f>
        <v>0</v>
      </c>
      <c r="FP193" s="135">
        <f>IF(ISNA(VLOOKUP(A193,'Données projet'!$A$217:$I$237,7,0)),0%,VLOOKUP(A193,'Données projet'!$A$217:$I$237,7,0))</f>
        <v>0</v>
      </c>
      <c r="FQ193" s="142">
        <f>EXP(-LN(2)/35)*FQ192+(1-EXP(-LN(2)/35))/(LN(2)/35)*FM193*FN193*VLOOKUP('Données projet'!$B$16,'Paramètres'!$A$1:$I$89,3,0)*0.475*44/12</f>
        <v>7.490031817</v>
      </c>
      <c r="FR193" s="142">
        <f>EXP(-LN(2)/25)*FR192+(1-EXP(-LN(2)/25))/(LN(2)/25)*Calculateur!FM193*Calculateur!FO193*VLOOKUP('Données projet'!$B$16,'Paramètres'!$A$1:$I$89,3,0)*0.475*44/12</f>
        <v>0</v>
      </c>
      <c r="FS193" s="142">
        <f>EXP(-LN(2)/2)*FS192+(1-EXP(-LN(2)/2))/(LN(2)/2)*FM193*FP193*VLOOKUP('Données projet'!$B$16,'Paramètres'!$A$1:$I$89,3,0)*0.475*44/12</f>
        <v>0</v>
      </c>
      <c r="FT193" s="143">
        <f t="shared" si="25"/>
        <v>7.490031817</v>
      </c>
      <c r="FU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1" t="str">
        <f>VLOOKUP(A193,'Données projet'!$A$243:$I$263,2,0)</f>
        <v>#N/A</v>
      </c>
      <c r="FX193" s="131" t="str">
        <f>VLOOKUP(A193,'Données projet'!$A$243:$I$263,9,0)</f>
        <v>#N/A</v>
      </c>
      <c r="FY193" s="131" t="str">
        <f t="array" ref="FY193">INDEX(FX:FX,MIN(IF(ISNUMBER(FX193:FX389),ROW(FX193:FX389),"")))</f>
        <v/>
      </c>
      <c r="FZ193" s="138">
        <f>IF('Données projet'!$A$244&gt;35,FZ192+FY193-GH192,IF(A193&lt;'Données projet'!$A$244,$FW$205^A193,IF(A193='Données projet'!$A$244,'Données projet'!$B$244,FZ192+FY193-GH192)))</f>
        <v>0</v>
      </c>
      <c r="GA193" s="138">
        <f>FZ193*VLOOKUP('Données projet'!$B$17,'Paramètres'!$A$1:$I$89,3,0)*VLOOKUP('Données projet'!$B$17,'Paramètres'!$A$1:$I$89,5,0)</f>
        <v>0</v>
      </c>
      <c r="GB193" s="130">
        <f t="shared" si="50"/>
        <v>0</v>
      </c>
      <c r="GC193" s="141">
        <f t="shared" si="26"/>
        <v>0</v>
      </c>
      <c r="GD193" s="133">
        <f t="shared" si="27"/>
        <v>293.3333333</v>
      </c>
      <c r="GE193" s="133">
        <f>AVERAGE(OFFSET($GD$3,0,0,'Données projet'!$E$17+1,1))-AVERAGE(OFFSET($H$3,0,0,'Données projet'!$E$17+1,1))</f>
        <v>118.7368745</v>
      </c>
      <c r="GF193" s="133">
        <f t="shared" si="51"/>
        <v>135.1233677</v>
      </c>
      <c r="GG193" s="134">
        <f>IF(ISNA(VLOOKUP(A193,'Données projet'!$A$243:$I$263,3,0)),0,VLOOKUP(A193,'Données projet'!$A$243:$I$263,3,0))</f>
        <v>0</v>
      </c>
      <c r="GH193" s="134">
        <f>IF(ISNA(VLOOKUP(A193,'Données projet'!$A$243:$I$263,4,0)),0,VLOOKUP(A193,'Données projet'!$A$243:$I$263,4,0))</f>
        <v>0</v>
      </c>
      <c r="GI193" s="135">
        <f>IF(ISNA(VLOOKUP(A193,'Données projet'!$A$243:$I$263,5,0)),0%,VLOOKUP(A193,'Données projet'!$A$243:$I$263,5,0)*VLOOKUP('Données projet'!$B$17,'Paramètres'!$A$1:$I$89,7,0))</f>
        <v>0</v>
      </c>
      <c r="GJ193" s="135">
        <f>IF(ISNA(VLOOKUP(A193,'Données projet'!$A$243:$I$263,6,0)),0%,VLOOKUP(A193,'Données projet'!$A$243:$I$263,6,0)*VLOOKUP('Données projet'!$B$17,'Paramètres'!$A$1:$I$89,7,0))</f>
        <v>0</v>
      </c>
      <c r="GK193" s="135">
        <f>IF(ISNA(VLOOKUP(A193,'Données projet'!$A$243:$I$263,7,0)),0%,VLOOKUP(A193,'Données projet'!$A$243:$I$263,7,0))</f>
        <v>0</v>
      </c>
      <c r="GL193" s="142">
        <f>EXP(-LN(2)/35)*GL192+(1-EXP(-LN(2)/35))/(LN(2)/35)*GH193*GI193*VLOOKUP('Données projet'!$B$17,'Paramètres'!$A$1:$I$89,3,0)*0.475*44/12</f>
        <v>7.913195452</v>
      </c>
      <c r="GM193" s="142">
        <f>EXP(-LN(2)/25)*GM192+(1-EXP(-LN(2)/25))/(LN(2)/25)*Calculateur!GH193*Calculateur!GJ193*VLOOKUP('Données projet'!$B$17,'Paramètres'!$A$1:$I$89,3,0)*0.475*44/12</f>
        <v>0</v>
      </c>
      <c r="GN193" s="142">
        <f>EXP(-LN(2)/2)*GN192+(1-EXP(-LN(2)/2))/(LN(2)/2)*GH193*GK193*VLOOKUP('Données projet'!$B$17,'Paramètres'!$A$1:$I$89,3,0)*0.475*44/12</f>
        <v>0</v>
      </c>
      <c r="GO193" s="142">
        <f t="shared" si="28"/>
        <v>7.913195452</v>
      </c>
      <c r="GP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1" t="str">
        <f>VLOOKUP(A193,'Données projet'!$A$269:$I$289,2,0)</f>
        <v>#N/A</v>
      </c>
      <c r="GS193" s="131" t="str">
        <f>VLOOKUP(A193,'Données projet'!$A$269:$I$289,9,0)</f>
        <v>#N/A</v>
      </c>
      <c r="GT193" s="131" t="str">
        <f t="array" ref="GT193">INDEX(GS:GS,MIN(IF(ISNUMBER(GS193:GS389),ROW(GS193:GS389),"")))</f>
        <v/>
      </c>
      <c r="GU193" s="138">
        <f>IF('Données projet'!$A$270&gt;35,GU192+GT193-HC192,IF(A193&lt;'Données projet'!$A$270,$GR$205^A193,IF(A193='Données projet'!$A$270,'Données projet'!$B$270,GU192+GT193-HC192)))</f>
        <v>0</v>
      </c>
      <c r="GV193" s="138">
        <f>GU193*VLOOKUP('Données projet'!$B$18,'Paramètres'!$A$1:$I$89,3,0)*VLOOKUP('Données projet'!$B$18,'Paramètres'!$A$1:$I$89,5,0)</f>
        <v>0</v>
      </c>
      <c r="GW193" s="130" t="str">
        <f t="shared" si="52"/>
        <v>#NUM!</v>
      </c>
      <c r="GX193" s="141" t="str">
        <f t="shared" si="29"/>
        <v>#NUM!</v>
      </c>
      <c r="GY193" s="133" t="str">
        <f t="shared" si="30"/>
        <v>#NUM!</v>
      </c>
      <c r="GZ193" s="133">
        <f>AVERAGE(OFFSET($GY$3,0,0,'Données projet'!$E$18+1,1))-AVERAGE(OFFSET($H$3,0,0,'Données projet'!$E$18+1,1))</f>
        <v>100.5427875</v>
      </c>
      <c r="HA193" s="133">
        <f t="shared" si="53"/>
        <v>92.28663609</v>
      </c>
      <c r="HB193" s="134">
        <f>IF(ISNA(VLOOKUP(A193,'Données projet'!$A$269:$I$289,3,0)),0,VLOOKUP(A193,'Données projet'!$A$269:$I$289,3,0))</f>
        <v>0</v>
      </c>
      <c r="HC193" s="134">
        <f>IF(ISNA(VLOOKUP(A193,'Données projet'!$A$269:$I$289,4,0)),0,VLOOKUP(A193,'Données projet'!$A$269:$I$289,4,0))</f>
        <v>0</v>
      </c>
      <c r="HD193" s="135">
        <f>IF(ISNA(VLOOKUP(A193,'Données projet'!$A$269:$I$289,5,0)),0%,VLOOKUP(A193,'Données projet'!$A$269:$I$289,5,0)*VLOOKUP('Données projet'!$B$18,'Paramètres'!$A$1:$I$89,7,0))</f>
        <v>0</v>
      </c>
      <c r="HE193" s="135">
        <f>IF(ISNA(VLOOKUP(A193,'Données projet'!$A$269:$I$289,6,0)),0%,VLOOKUP(A193,'Données projet'!$A$269:$I$289,6,0)*VLOOKUP('Données projet'!$B$18,'Paramètres'!$A$1:$I$89,7,0))</f>
        <v>0</v>
      </c>
      <c r="HF193" s="135">
        <f>IF(ISNA(VLOOKUP(A193,'Données projet'!$A$269:$I$289,7,0)),0%,VLOOKUP(A193,'Données projet'!$A$269:$I$289,7,0))</f>
        <v>0</v>
      </c>
      <c r="HG193" s="142">
        <f>EXP(-LN(2)/35)*HG192+(1-EXP(-LN(2)/35))/(LN(2)/35)*HC193*HD193*VLOOKUP('Données projet'!$B$18,'Paramètres'!$A$1:$I$89,3,0)*0.475*44/12</f>
        <v>5.388719165</v>
      </c>
      <c r="HH193" s="142">
        <f>EXP(-LN(2)/25)*HH192+(1-EXP(-LN(2)/25))/(LN(2)/25)*Calculateur!HC193*Calculateur!HE193*VLOOKUP('Données projet'!$B$18,'Paramètres'!$A$1:$I$89,3,0)*0.475*44/12</f>
        <v>0</v>
      </c>
      <c r="HI193" s="142">
        <f>EXP(-LN(2)/2)*HI192+(1-EXP(-LN(2)/2))/(LN(2)/2)*HC193*HF193*VLOOKUP('Données projet'!$B$18,'Paramètres'!$A$1:$I$89,3,0)*0.475*44/12</f>
        <v>0</v>
      </c>
      <c r="HJ193" s="143">
        <f t="shared" si="31"/>
        <v>5.388719165</v>
      </c>
    </row>
    <row r="194" ht="15.75" customHeight="1">
      <c r="A194" s="125">
        <f t="shared" si="32"/>
        <v>191</v>
      </c>
      <c r="B194" s="126">
        <f>'Scénario référence'!$B$16*5+'Scénario référence'!$B$17*0+'Scénario référence'!$B$18*5</f>
        <v>0</v>
      </c>
      <c r="C194" s="140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104.286</v>
      </c>
      <c r="D194" s="127">
        <f t="shared" si="33"/>
        <v>27.98057064</v>
      </c>
      <c r="E194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7">
        <f>IF(OR('Scénario référence'!$F$8&gt;0,'Scénario référence'!$F$9&gt;0),('Scénario référence'!$F$8+'Scénario référence'!$F$9)*10,0)</f>
        <v>10</v>
      </c>
      <c r="G194" s="127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1021.005107</v>
      </c>
      <c r="H194" s="128">
        <f t="shared" si="1"/>
        <v>523.6976105</v>
      </c>
      <c r="I194" s="12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1" t="str">
        <f>VLOOKUP(A194,'Données projet'!$A$35:$I$55,2,0)</f>
        <v>#N/A</v>
      </c>
      <c r="L194" s="131" t="str">
        <f>VLOOKUP(A194,'Données projet'!$A$35:$I$55,9,0)</f>
        <v>#N/A</v>
      </c>
      <c r="M194" s="131" t="str">
        <f t="array" ref="M194">INDEX(L:L,MIN(IF(ISNUMBER(L194:L390),ROW(L194:L390),"")))</f>
        <v/>
      </c>
      <c r="N194" s="130">
        <f>IF('Données projet'!$A$36&gt;35,N193+M194-V193,IF(A194&lt;'Données projet'!$A$36,$K$205^A194,IF(A194='Données projet'!$A$36,'Données projet'!$B$36,N193+M194-V193)))</f>
        <v>0</v>
      </c>
      <c r="O194" s="130">
        <f>N194*VLOOKUP('Données projet'!$B$9,'Paramètres'!$A$1:$I$89,3,0)*VLOOKUP('Données projet'!$B$9,'Paramètres'!$A$1:$I$89,5,0)</f>
        <v>0</v>
      </c>
      <c r="P194" s="130">
        <f t="shared" si="34"/>
        <v>0</v>
      </c>
      <c r="Q194" s="141">
        <f t="shared" si="2"/>
        <v>0</v>
      </c>
      <c r="R194" s="133">
        <f t="shared" si="3"/>
        <v>293.3333333</v>
      </c>
      <c r="S194" s="133">
        <f>AVERAGE(OFFSET($R$3,0,0,'Données projet'!$E$9+1,1))-AVERAGE(OFFSET($H$3,0,0,'Données projet'!$E$9+1,1))</f>
        <v>126.9946492</v>
      </c>
      <c r="T194" s="133">
        <f t="shared" si="35"/>
        <v>140.039049</v>
      </c>
      <c r="U194" s="134">
        <f>IF(ISNA(VLOOKUP(A194,'Données projet'!$A$35:$I$55,3,0)),0,VLOOKUP(A194,'Données projet'!$A$35:$I$55,3,0))</f>
        <v>0</v>
      </c>
      <c r="V194" s="134">
        <f>IF(ISNA(VLOOKUP(A194,'Données projet'!$A$35:$I$55,4,0)),0,VLOOKUP(A194,'Données projet'!$A$35:$I$55,4,0))</f>
        <v>0</v>
      </c>
      <c r="W194" s="135">
        <f>IF(ISNA(VLOOKUP(A194,'Données projet'!$A$35:$I$55,5,0)),0%,VLOOKUP(A194,'Données projet'!$A$35:$I$55,5,0)*VLOOKUP('Données projet'!$B$9,'Paramètres'!$A$1:$I$89,7,0))</f>
        <v>0</v>
      </c>
      <c r="X194" s="135">
        <f>IF(ISNA(VLOOKUP(A194,'Données projet'!$A$35:$I$55,6,0)),0%,VLOOKUP(A194,'Données projet'!$A$35:$I$55,6,0)*VLOOKUP('Données projet'!$B$9,'Paramètres'!$A$1:$I$89,7,0))</f>
        <v>0</v>
      </c>
      <c r="Y194" s="135">
        <f>IF(ISNA(VLOOKUP(A194,'Données projet'!$A$35:$I$55,7,0)),0%,VLOOKUP(A194,'Données projet'!$A$35:$I$55,7,0))</f>
        <v>0</v>
      </c>
      <c r="Z194" s="142">
        <f>EXP(-LN(2)/35)*Z193+(1-EXP(-LN(2)/35))/(LN(2)/35)*V194*W194*VLOOKUP('Données projet'!$B$9,'Paramètres'!$A$1:$I$89,3,0)*0.475*44/12</f>
        <v>7.934730071</v>
      </c>
      <c r="AA194" s="142">
        <f>EXP(-LN(2)/25)*AA193+(1-EXP(-LN(2)/25))/(LN(2)/25)*Calculateur!V194*Calculateur!X194*VLOOKUP('Données projet'!$B$9,'Paramètres'!$A$1:$I$89,3,0)*0.475*44/12</f>
        <v>0.614912992</v>
      </c>
      <c r="AB194" s="142">
        <f>EXP(-LN(2)/2)*AB193+(1-EXP(-LN(2)/2))/(LN(2)/2)*V194*Y194*VLOOKUP('Données projet'!$B$9,'Paramètres'!$A$1:$I$89,3,0)*0.475*44/12</f>
        <v>0</v>
      </c>
      <c r="AC194" s="143">
        <f t="shared" si="4"/>
        <v>8.549643063</v>
      </c>
      <c r="AD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1" t="str">
        <f>VLOOKUP(A194,'Données projet'!$A$61:$I$81,2,0)</f>
        <v>#N/A</v>
      </c>
      <c r="AG194" s="131" t="str">
        <f>VLOOKUP(A194,'Données projet'!$A$61:$I$81,9,0)</f>
        <v>#N/A</v>
      </c>
      <c r="AH194" s="131" t="str">
        <f t="array" ref="AH194">INDEX(AG:AG,MIN(IF(ISNUMBER(AG194:AG390),ROW(AG194:AG390),"")))</f>
        <v/>
      </c>
      <c r="AI194" s="130">
        <f>IF('Données projet'!$A$62&gt;35,AI193+AH194-AQ193,IF(A194&lt;'Données projet'!$A$62,$AF$205^A194,IF(A194='Données projet'!$A$62,'Données projet'!$B$62,AI193+AH194-AQ193)))</f>
        <v>0</v>
      </c>
      <c r="AJ194" s="130">
        <f>AI194*VLOOKUP('Données projet'!$B$10,'Paramètres'!$A$1:$I$89,3,0)*VLOOKUP('Données projet'!$B$10,'Paramètres'!$A$1:$I$89,5,0)</f>
        <v>0</v>
      </c>
      <c r="AK194" s="130" t="str">
        <f t="shared" si="36"/>
        <v>#NUM!</v>
      </c>
      <c r="AL194" s="141" t="str">
        <f t="shared" si="5"/>
        <v>#NUM!</v>
      </c>
      <c r="AM194" s="133" t="str">
        <f t="shared" si="6"/>
        <v>#NUM!</v>
      </c>
      <c r="AN194" s="133">
        <f>AVERAGE(OFFSET($AM$3,0,0,'Données projet'!$E$10+1,1))-AVERAGE(OFFSET($H$3,0,0,'Données projet'!$E$10+1,1))</f>
        <v>196.874484</v>
      </c>
      <c r="AO194" s="133">
        <f t="shared" si="37"/>
        <v>217.5750859</v>
      </c>
      <c r="AP194" s="134">
        <f>IF(ISNA(VLOOKUP(A194,'Données projet'!$A$61:$I$81,3,0)),0,VLOOKUP(A194,'Données projet'!$A$61:$I$81,3,0))</f>
        <v>0</v>
      </c>
      <c r="AQ194" s="134">
        <f>IF(ISNA(VLOOKUP(A194,'Données projet'!$A$61:$I$81,4,0)),0,VLOOKUP(A194,'Données projet'!$A$61:$I$81,4,0))</f>
        <v>0</v>
      </c>
      <c r="AR194" s="135">
        <f>IF(ISNA(VLOOKUP(A194,'Données projet'!$A$61:$I$81,5,0)),0%,VLOOKUP(A194,'Données projet'!$A$61:$I$81,5,0)*VLOOKUP('Données projet'!$B$10,'Paramètres'!$A$1:$I$89,7,0))</f>
        <v>0</v>
      </c>
      <c r="AS194" s="135">
        <f>IF(ISNA(VLOOKUP(A194,'Données projet'!$A$61:$I$81,6,0)),0%,VLOOKUP(A194,'Données projet'!$A$61:$I$81,6,0)*VLOOKUP('Données projet'!$B$10,'Paramètres'!$A$1:$I$89,7,0))</f>
        <v>0</v>
      </c>
      <c r="AT194" s="135">
        <f>IF(ISNA(VLOOKUP(A194,'Données projet'!$A$61:$I$81,7,0)),0%,VLOOKUP(A194,'Données projet'!$A$61:$I$81,7,0))</f>
        <v>0</v>
      </c>
      <c r="AU194" s="142">
        <f>EXP(-LN(2)/35)*AU193+(1-EXP(-LN(2)/35))/(LN(2)/35)*AQ194*AR194*VLOOKUP('Données projet'!$B$10,'Paramètres'!$A$1:$I$89,3,0)*0.475*44/12</f>
        <v>11.02904942</v>
      </c>
      <c r="AV194" s="142">
        <f>EXP(-LN(2)/25)*AV193+(1-EXP(-LN(2)/25))/(LN(2)/25)*Calculateur!AQ194*Calculateur!AS194*VLOOKUP('Données projet'!$B$10,'Paramètres'!$A$1:$I$89,3,0)*0.475*44/12</f>
        <v>0.9454295468</v>
      </c>
      <c r="AW194" s="142">
        <f>EXP(-LN(2)/2)*AW193+(1-EXP(-LN(2)/2))/(LN(2)/2)*AQ194*AT194*VLOOKUP('Données projet'!$B$10,'Paramètres'!$A$1:$I$89,3,0)*0.475*44/12</f>
        <v>0</v>
      </c>
      <c r="AX194" s="142">
        <f t="shared" si="7"/>
        <v>11.97447897</v>
      </c>
      <c r="AY194" s="13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1" t="str">
        <f>VLOOKUP(A194,'Données projet'!$A$87:$I$107,2,0)</f>
        <v>#N/A</v>
      </c>
      <c r="BB194" s="131" t="str">
        <f>VLOOKUP(A194,'Données projet'!$A$87:$I$107,9,0)</f>
        <v>#N/A</v>
      </c>
      <c r="BC194" s="131" t="str">
        <f t="array" ref="BC194">INDEX(BB:BB,MIN(IF(ISNUMBER(BB194:BB390),ROW(BB194:BB390),"")))</f>
        <v/>
      </c>
      <c r="BD194" s="130">
        <f>IF('Données projet'!$A$88&gt;35,BD193+BC194-BL193,IF(A194&lt;'Données projet'!$A$88,$BA$205^A194,IF(A194='Données projet'!$A$88,'Données projet'!$B$88,BD193+BC194-BL193)))</f>
        <v>0</v>
      </c>
      <c r="BE194" s="130">
        <f>BD194*VLOOKUP('Données projet'!$B$11,'Paramètres'!$A$1:$I$89,3,0)*VLOOKUP('Données projet'!$B$11,'Paramètres'!$A$1:$I$89,5,0)</f>
        <v>0</v>
      </c>
      <c r="BF194" s="130" t="str">
        <f t="shared" si="38"/>
        <v>#NUM!</v>
      </c>
      <c r="BG194" s="141" t="str">
        <f t="shared" si="8"/>
        <v>#NUM!</v>
      </c>
      <c r="BH194" s="133" t="str">
        <f t="shared" si="9"/>
        <v>#NUM!</v>
      </c>
      <c r="BI194" s="133">
        <f>AVERAGE(OFFSET($BH$3,0,0,'Données projet'!$E$11+1,1))-AVERAGE(OFFSET($H$3,0,0,'Données projet'!$E$11+1,1))</f>
        <v>134.0948534</v>
      </c>
      <c r="BJ194" s="133">
        <f t="shared" si="39"/>
        <v>108.4102536</v>
      </c>
      <c r="BK194" s="134">
        <f>IF(ISNA(VLOOKUP(A194,'Données projet'!$A$87:$I$107,3,0)),0,VLOOKUP(A194,'Données projet'!$A$87:$I$107,3,0))</f>
        <v>0</v>
      </c>
      <c r="BL194" s="134">
        <f>IF(ISNA(VLOOKUP(A194,'Données projet'!$A$87:$I$107,4,0)),0,VLOOKUP(A194,'Données projet'!$A$87:$I$107,4,0))</f>
        <v>0</v>
      </c>
      <c r="BM194" s="135">
        <f>IF(ISNA(VLOOKUP(A194,'Données projet'!$A$87:$I$107,5,0)),0%,VLOOKUP(A194,'Données projet'!$A$87:$I$107,5,0)*VLOOKUP('Données projet'!$B$11,'Paramètres'!$A$1:$I$89,7,0))</f>
        <v>0</v>
      </c>
      <c r="BN194" s="135">
        <f>IF(ISNA(VLOOKUP(A194,'Données projet'!$A$87:$I$107,6,0)),0%,VLOOKUP(A194,'Données projet'!$A$87:$I$107,6,0)*VLOOKUP('Données projet'!$B$11,'Paramètres'!$A$1:$I$89,7,0))</f>
        <v>0</v>
      </c>
      <c r="BO194" s="135">
        <f>IF(ISNA(VLOOKUP(A194,'Données projet'!$A$87:$I$107,7,0)),0%,VLOOKUP(A194,'Données projet'!$A$87:$I$107,7,0))</f>
        <v>0</v>
      </c>
      <c r="BP194" s="142">
        <f>EXP(-LN(2)/35)*BP193+(1-EXP(-LN(2)/35))/(LN(2)/35)*BL194*BM194*VLOOKUP('Données projet'!$B$11,'Paramètres'!$A$1:$I$89,3,0)*0.475*44/12</f>
        <v>15.25523512</v>
      </c>
      <c r="BQ194" s="142">
        <f>EXP(-LN(2)/25)*BQ193+(1-EXP(-LN(2)/25))/(LN(2)/25)*Calculateur!BL194*Calculateur!BN194*VLOOKUP('Données projet'!$B$11,'Paramètres'!$A$1:$I$89,3,0)*0.475*44/12</f>
        <v>0.5963777698</v>
      </c>
      <c r="BR194" s="142">
        <f>EXP(-LN(2)/2)*BR193+(1-EXP(-LN(2)/2))/(LN(2)/2)*BL194*BO194*VLOOKUP('Données projet'!$B$11,'Paramètres'!$A$1:$I$89,3,0)*0.475*44/12</f>
        <v>0</v>
      </c>
      <c r="BS194" s="143">
        <f t="shared" si="10"/>
        <v>15.85161289</v>
      </c>
      <c r="BT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1" t="str">
        <f>VLOOKUP(A194,'Données projet'!$A$113:$I$133,2,0)</f>
        <v>#N/A</v>
      </c>
      <c r="BW194" s="131" t="str">
        <f>VLOOKUP(A194,'Données projet'!$A$113:$I$133,9,0)</f>
        <v>#N/A</v>
      </c>
      <c r="BX194" s="131" t="str">
        <f t="array" ref="BX194">INDEX(BW:BW,MIN(IF(ISNUMBER(BW194:BW390),ROW(BW194:BW390),"")))</f>
        <v/>
      </c>
      <c r="BY194" s="130">
        <f>IF('Données projet'!$A$114&gt;35,BY193+BX194-CG193,IF(A194&lt;'Données projet'!$A$114,$BV$205^A194,IF(A194='Données projet'!$A$114,'Données projet'!$B$114,BY193+BX194-CG193)))</f>
        <v>0</v>
      </c>
      <c r="BZ194" s="130">
        <f>BY194*VLOOKUP('Données projet'!$B$12,'Paramètres'!$A$1:$I$89,3,0)*VLOOKUP('Données projet'!$B$12,'Paramètres'!$A$1:$I$89,5,0)</f>
        <v>0</v>
      </c>
      <c r="CA194" s="130" t="str">
        <f t="shared" si="40"/>
        <v>#NUM!</v>
      </c>
      <c r="CB194" s="141" t="str">
        <f t="shared" si="11"/>
        <v>#NUM!</v>
      </c>
      <c r="CC194" s="133" t="str">
        <f t="shared" si="12"/>
        <v>#NUM!</v>
      </c>
      <c r="CD194" s="133">
        <f>AVERAGE(OFFSET($CC$3,0,0,'Données projet'!$E$12+1,1))-AVERAGE(OFFSET($H$3,0,0,'Données projet'!$E$12+1,1))</f>
        <v>258.1672054</v>
      </c>
      <c r="CE194" s="133">
        <f t="shared" si="41"/>
        <v>296.0724261</v>
      </c>
      <c r="CF194" s="134">
        <f>IF(ISNA(VLOOKUP(A194,'Données projet'!$A$113:$I$133,3,0)),0,VLOOKUP(A194,'Données projet'!$A$113:$I$133,3,0))</f>
        <v>0</v>
      </c>
      <c r="CG194" s="134">
        <f>IF(ISNA(VLOOKUP(A194,'Données projet'!$A$113:$I$133,4,0)),0,VLOOKUP(A194,'Données projet'!$A$113:$I$133,4,0))</f>
        <v>0</v>
      </c>
      <c r="CH194" s="135">
        <f>IF(ISNA(VLOOKUP(A194,'Données projet'!$A$113:$I$133,5,0)),0%,VLOOKUP(A194,'Données projet'!$A$113:$I$133,5,0)*VLOOKUP('Données projet'!$B$12,'Paramètres'!$A$1:$I$89,7,0))</f>
        <v>0</v>
      </c>
      <c r="CI194" s="135">
        <f>IF(ISNA(VLOOKUP(A194,'Données projet'!$A$113:$I$133,6,0)),0%,VLOOKUP(A194,'Données projet'!$A$113:$I$133,6,0)*VLOOKUP('Données projet'!$B$12,'Paramètres'!$A$1:$I$89,7,0))</f>
        <v>0</v>
      </c>
      <c r="CJ194" s="135">
        <f>IF(ISNA(VLOOKUP(A194,'Données projet'!$A$113:$I$133,7,0)),0%,VLOOKUP(A194,'Données projet'!$A$113:$I$133,7,0))</f>
        <v>0</v>
      </c>
      <c r="CK194" s="142">
        <f>EXP(-LN(2)/35)*CK193+(1-EXP(-LN(2)/35))/(LN(2)/35)*CG194*CH194*VLOOKUP('Données projet'!$B$12,'Paramètres'!$A$1:$I$89,3,0)*0.475*44/12</f>
        <v>19.28728396</v>
      </c>
      <c r="CL194" s="142">
        <f>EXP(-LN(2)/25)*CL193+(1-EXP(-LN(2)/25))/(LN(2)/25)*Calculateur!CG194*Calculateur!CI194*VLOOKUP('Données projet'!$B$12,'Paramètres'!$A$1:$I$89,3,0)*0.475*44/12</f>
        <v>1.046080463</v>
      </c>
      <c r="CM194" s="142">
        <f>EXP(-LN(2)/2)*CM193+(1-EXP(-LN(2)/2))/(LN(2)/2)*CG194*CJ194*VLOOKUP('Données projet'!$B$12,'Paramètres'!$A$1:$I$89,3,0)*0.475*44/12</f>
        <v>0</v>
      </c>
      <c r="CN194" s="143">
        <f t="shared" si="13"/>
        <v>20.33336442</v>
      </c>
      <c r="CO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1" t="str">
        <f>VLOOKUP(A194,'Données projet'!$A$139:$I$159,2,0)</f>
        <v>#N/A</v>
      </c>
      <c r="CR194" s="131" t="str">
        <f>VLOOKUP(A194,'Données projet'!$A$139:$I$159,9,0)</f>
        <v>#N/A</v>
      </c>
      <c r="CS194" s="131" t="str">
        <f t="array" ref="CS194">INDEX(CR:CR,MIN(IF(ISNUMBER(CR194:CR390),ROW(CR194:CR390),"")))</f>
        <v/>
      </c>
      <c r="CT194" s="138">
        <f>IF('Données projet'!$A$140&gt;35,CT193+CS194-DB193,IF(A194&lt;'Données projet'!$A$140,$CQ$205^A194,IF(A194='Données projet'!$A$140,'Données projet'!$B$140,CT193+CS194-DB193)))</f>
        <v>0</v>
      </c>
      <c r="CU194" s="138">
        <f>CT194*VLOOKUP('Données projet'!$B$13,'Paramètres'!$A$1:$I$89,3,0)*VLOOKUP('Données projet'!$B$13,'Paramètres'!$A$1:$I$89,5,0)</f>
        <v>0</v>
      </c>
      <c r="CV194" s="130" t="str">
        <f t="shared" si="42"/>
        <v>#NUM!</v>
      </c>
      <c r="CW194" s="141" t="str">
        <f t="shared" si="14"/>
        <v>#NUM!</v>
      </c>
      <c r="CX194" s="133" t="str">
        <f t="shared" si="15"/>
        <v>#NUM!</v>
      </c>
      <c r="CY194" s="133">
        <f>AVERAGE(OFFSET($CX$3,0,0,'Données projet'!$E$13+1,1))-AVERAGE(OFFSET($H$3,0,0,'Données projet'!$E$13+1,1))</f>
        <v>223.783507</v>
      </c>
      <c r="CZ194" s="133">
        <f t="shared" si="43"/>
        <v>84.92349117</v>
      </c>
      <c r="DA194" s="134">
        <f>IF(ISNA(VLOOKUP(A194,'Données projet'!$A$139:$I$159,3,0)),0,VLOOKUP(A194,'Données projet'!$A$139:$I$159,3,0))</f>
        <v>0</v>
      </c>
      <c r="DB194" s="134">
        <f>IF(ISNA(VLOOKUP(A194,'Données projet'!$A$139:$I$159,4,0)),0,VLOOKUP(A194,'Données projet'!$A$139:$I$159,4,0))</f>
        <v>0</v>
      </c>
      <c r="DC194" s="135">
        <f>IF(ISNA(VLOOKUP(A194,'Données projet'!$A$139:$I$159,5,0)),0%,VLOOKUP(A194,'Données projet'!$A$139:$I$159,5,0)*VLOOKUP('Données projet'!$B$13,'Paramètres'!$A$1:$I$89,7,0))</f>
        <v>0</v>
      </c>
      <c r="DD194" s="135">
        <f>IF(ISNA(VLOOKUP(A194,'Données projet'!$A$139:$I$159,6,0)),0%,VLOOKUP(A194,'Données projet'!$A$139:$I$159,6,0)*VLOOKUP('Données projet'!$B$13,'Paramètres'!$A$1:$I$89,7,0))</f>
        <v>0</v>
      </c>
      <c r="DE194" s="135">
        <f>IF(ISNA(VLOOKUP(A194,'Données projet'!$A$139:$I$159,7,0)),0%,VLOOKUP(A194,'Données projet'!$A$139:$I$159,7,0))</f>
        <v>0</v>
      </c>
      <c r="DF194" s="142">
        <f>EXP(-LN(2)/35)*DF193+(1-EXP(-LN(2)/35))/(LN(2)/35)*DB194*DC194*VLOOKUP('Données projet'!$B$13,'Paramètres'!$A$1:$I$89,3,0)*0.475*44/12</f>
        <v>49.53731324</v>
      </c>
      <c r="DG194" s="142">
        <f>EXP(-LN(2)/25)*DG193+(1-EXP(-LN(2)/25))/(LN(2)/25)*Calculateur!DB194*Calculateur!DD194*VLOOKUP('Données projet'!$B$13,'Paramètres'!$A$1:$I$89,3,0)*0.475*44/12</f>
        <v>0</v>
      </c>
      <c r="DH194" s="142">
        <f>EXP(-LN(2)/2)*DH193+(1-EXP(-LN(2)/2))/(LN(2)/2)*DB194*DE194*VLOOKUP('Données projet'!$B$13,'Paramètres'!$A$1:$I$89,3,0)*0.475*44/12</f>
        <v>0</v>
      </c>
      <c r="DI194" s="143">
        <f t="shared" si="16"/>
        <v>49.53731324</v>
      </c>
      <c r="DJ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1" t="str">
        <f>VLOOKUP(A194,'Données projet'!$A$165:$I$185,2,0)</f>
        <v>#N/A</v>
      </c>
      <c r="DM194" s="131" t="str">
        <f>VLOOKUP(A194,'Données projet'!$A$165:$I$185,9,0)</f>
        <v>#N/A</v>
      </c>
      <c r="DN194" s="131" t="str">
        <f t="array" ref="DN194">INDEX(DM:DM,MIN(IF(ISNUMBER(DM194:DM390),ROW(DM194:DM390),"")))</f>
        <v/>
      </c>
      <c r="DO194" s="138">
        <f>IF('Données projet'!$A$166&gt;35,DO193+DN194-DW193,IF(A194&lt;'Données projet'!$A$166,$DL$205^A194,IF(A194='Données projet'!$A$166,'Données projet'!$B$166,DO193+DN194-DW193)))</f>
        <v>0</v>
      </c>
      <c r="DP194" s="138">
        <f>DO194*VLOOKUP('Données projet'!$B$14,'Paramètres'!$A$1:$I$89,3,0)*VLOOKUP('Données projet'!$B$14,'Paramètres'!$A$1:$I$89,5,0)</f>
        <v>0</v>
      </c>
      <c r="DQ194" s="130" t="str">
        <f t="shared" si="44"/>
        <v>#NUM!</v>
      </c>
      <c r="DR194" s="141" t="str">
        <f t="shared" si="17"/>
        <v>#NUM!</v>
      </c>
      <c r="DS194" s="133" t="str">
        <f t="shared" si="18"/>
        <v>#NUM!</v>
      </c>
      <c r="DT194" s="133">
        <f>AVERAGE(OFFSET($DS$3,0,0,'Données projet'!$E$14+1,1))-AVERAGE(OFFSET($H$3,0,0,'Données projet'!$E$14+1,1))</f>
        <v>287.9334714</v>
      </c>
      <c r="DU194" s="133">
        <f t="shared" si="45"/>
        <v>156.6796502</v>
      </c>
      <c r="DV194" s="134">
        <f>IF(ISNA(VLOOKUP(A194,'Données projet'!$A$165:$I$185,3,0)),0,VLOOKUP(A194,'Données projet'!$A$165:$I$185,3,0))</f>
        <v>0</v>
      </c>
      <c r="DW194" s="134">
        <f>IF(ISNA(VLOOKUP(A194,'Données projet'!$A$165:$I$185,4,0)),0,VLOOKUP(A194,'Données projet'!$A$165:$I$185,4,0))</f>
        <v>0</v>
      </c>
      <c r="DX194" s="135">
        <f>IF(ISNA(VLOOKUP(A194,'Données projet'!$A$165:$I$185,5,0)),0%,VLOOKUP(A194,'Données projet'!$A$165:$I$185,5,0)*VLOOKUP('Données projet'!$B$14,'Paramètres'!$A$1:$I$89,7,0))</f>
        <v>0</v>
      </c>
      <c r="DY194" s="135">
        <f>IF(ISNA(VLOOKUP(A194,'Données projet'!$A$165:$I$185,6,0)),0%,VLOOKUP(A194,'Données projet'!$A$165:$I$185,6,0)*VLOOKUP('Données projet'!$B$14,'Paramètres'!$A$1:$I$89,7,0))</f>
        <v>0</v>
      </c>
      <c r="DZ194" s="135">
        <f>IF(ISNA(VLOOKUP(A194,'Données projet'!$A$165:$I$185,7,0)),0%,VLOOKUP(A194,'Données projet'!$A$165:$I$185,7,0))</f>
        <v>0</v>
      </c>
      <c r="EA194" s="142">
        <f>EXP(-LN(2)/35)*EA193+(1-EXP(-LN(2)/35))/(LN(2)/35)*DW194*DX194*VLOOKUP('Données projet'!$B$14,'Paramètres'!$A$1:$I$89,3,0)*0.475*44/12</f>
        <v>57.54834065</v>
      </c>
      <c r="EB194" s="142">
        <f>EXP(-LN(2)/25)*EB193+(1-EXP(-LN(2)/25))/(LN(2)/25)*Calculateur!DW194*Calculateur!DY194*VLOOKUP('Données projet'!$B$14,'Paramètres'!$A$1:$I$89,3,0)*0.475*44/12</f>
        <v>0</v>
      </c>
      <c r="EC194" s="142">
        <f>EXP(-LN(2)/2)*EC193+(1-EXP(-LN(2)/2))/(LN(2)/2)*DW194*DZ194*VLOOKUP('Données projet'!$B$14,'Paramètres'!$A$1:$I$89,3,0)*0.475*44/12</f>
        <v>0</v>
      </c>
      <c r="ED194" s="143">
        <f t="shared" si="19"/>
        <v>57.54834065</v>
      </c>
      <c r="EE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1" t="str">
        <f>VLOOKUP(A194,'Données projet'!$A$191:$I$211,2,0)</f>
        <v>#N/A</v>
      </c>
      <c r="EH194" s="131" t="str">
        <f>VLOOKUP(A194,'Données projet'!$A$191:$I$211,9,0)</f>
        <v>#N/A</v>
      </c>
      <c r="EI194" s="131" t="str">
        <f t="array" ref="EI194">INDEX(EH:EH,MIN(IF(ISNUMBER(EH194:EH390),ROW(EH194:EH390),"")))</f>
        <v/>
      </c>
      <c r="EJ194" s="138">
        <f>IF('Données projet'!$A$192&gt;35,EJ193+EI194-ER193,IF(A194&lt;'Données projet'!$A$192,$EG$205^A194,IF(A194='Données projet'!$A$192,'Données projet'!$B$192,EJ193+EI194-ER193)))</f>
        <v>0</v>
      </c>
      <c r="EK194" s="138">
        <f>EJ194*VLOOKUP('Données projet'!$B$15,'Paramètres'!$A$1:$I$89,3,0)*VLOOKUP('Données projet'!$B$15,'Paramètres'!$A$1:$I$89,5,0)</f>
        <v>0</v>
      </c>
      <c r="EL194" s="130" t="str">
        <f t="shared" si="46"/>
        <v>#NUM!</v>
      </c>
      <c r="EM194" s="141" t="str">
        <f t="shared" si="20"/>
        <v>#NUM!</v>
      </c>
      <c r="EN194" s="133" t="str">
        <f t="shared" si="21"/>
        <v>#NUM!</v>
      </c>
      <c r="EO194" s="133">
        <f>AVERAGE(OFFSET($EN$3,0,0,'Données projet'!$E$15+1,1))-AVERAGE(OFFSET($H$3,0,0,'Données projet'!$E$15+1,1))</f>
        <v>130.3193339</v>
      </c>
      <c r="EP194" s="133">
        <f t="shared" si="47"/>
        <v>82.22784365</v>
      </c>
      <c r="EQ194" s="134">
        <f>IF(ISNA(VLOOKUP(A194,'Données projet'!$A$191:$I$211,3,0)),0,VLOOKUP(A194,'Données projet'!$A$191:$I$211,3,0))</f>
        <v>0</v>
      </c>
      <c r="ER194" s="134">
        <f>IF(ISNA(VLOOKUP(A194,'Données projet'!$A$191:$I$211,4,0)),0,VLOOKUP(A194,'Données projet'!$A$191:$I$211,4,0))</f>
        <v>0</v>
      </c>
      <c r="ES194" s="135">
        <f>IF(ISNA(VLOOKUP(A194,'Données projet'!$A$191:$I$211,5,0)),0%,VLOOKUP(A194,'Données projet'!$A$191:$I$211,5,0)*VLOOKUP('Données projet'!$B$15,'Paramètres'!$A$1:$I$89,7,0))</f>
        <v>0</v>
      </c>
      <c r="ET194" s="135">
        <f>IF(ISNA(VLOOKUP(A194,'Données projet'!$A$191:$I$211,6,0)),0%,VLOOKUP(A194,'Données projet'!$A$191:$I$211,6,0)*VLOOKUP('Données projet'!$B$15,'Paramètres'!$A$1:$I$89,7,0))</f>
        <v>0</v>
      </c>
      <c r="EU194" s="135">
        <f>IF(ISNA(VLOOKUP(A194,'Données projet'!$A$191:$I$211,7,0)),0%,VLOOKUP(A194,'Données projet'!$A$191:$I$211,7,0))</f>
        <v>0</v>
      </c>
      <c r="EV194" s="142">
        <f>EXP(-LN(2)/35)*EV193+(1-EXP(-LN(2)/35))/(LN(2)/35)*ER194*ES194*VLOOKUP('Données projet'!$B$15,'Paramètres'!$A$1:$I$89,3,0)*0.475*44/12</f>
        <v>11.79377514</v>
      </c>
      <c r="EW194" s="142">
        <f>EXP(-LN(2)/25)*EW193+(1-EXP(-LN(2)/25))/(LN(2)/25)*Calculateur!ER194*Calculateur!ET194*VLOOKUP('Données projet'!$B$15,'Paramètres'!$A$1:$I$89,3,0)*0.475*44/12</f>
        <v>0</v>
      </c>
      <c r="EX194" s="142">
        <f>EXP(-LN(2)/2)*EX193+(1-EXP(-LN(2)/2))/(LN(2)/2)*ER194*EU194*VLOOKUP('Données projet'!$B$15,'Paramètres'!$A$1:$I$89,3,0)*0.475*44/12</f>
        <v>0</v>
      </c>
      <c r="EY194" s="143">
        <f t="shared" si="22"/>
        <v>11.79377514</v>
      </c>
      <c r="EZ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1" t="str">
        <f>VLOOKUP(A194,'Données projet'!$A$217:$I$237,2,0)</f>
        <v>#N/A</v>
      </c>
      <c r="FC194" s="131" t="str">
        <f>VLOOKUP(A194,'Données projet'!$A$217:$I$237,9,0)</f>
        <v>#N/A</v>
      </c>
      <c r="FD194" s="131" t="str">
        <f t="array" ref="FD194">INDEX(FC:FC,MIN(IF(ISNUMBER(FC194:FC390),ROW(FC194:FC390),"")))</f>
        <v/>
      </c>
      <c r="FE194" s="130">
        <f>IF('Données projet'!$A$218&gt;35,FE193+FD194-FM193,IF(A194&lt;'Données projet'!$A$218,$FB$205^A194,IF(A194='Données projet'!$A$218,'Données projet'!$B$218,FE193+FD194-FM193)))</f>
        <v>0</v>
      </c>
      <c r="FF194" s="138">
        <f>FE194*VLOOKUP('Données projet'!$B$16,'Paramètres'!$A$1:$I$89,3,0)*VLOOKUP('Données projet'!$B$16,'Paramètres'!$A$1:$I$89,5,0)</f>
        <v>0</v>
      </c>
      <c r="FG194" s="130">
        <f t="shared" si="48"/>
        <v>0</v>
      </c>
      <c r="FH194" s="141">
        <f t="shared" si="23"/>
        <v>0</v>
      </c>
      <c r="FI194" s="133">
        <f t="shared" si="24"/>
        <v>293.3333333</v>
      </c>
      <c r="FJ194" s="133">
        <f>AVERAGE(OFFSET($FI$3,0,0,'Données projet'!$E$16+1,1))-AVERAGE(OFFSET($H$3,0,0,'Données projet'!$E$16+1,1))</f>
        <v>305.6252353</v>
      </c>
      <c r="FK194" s="133">
        <f t="shared" si="49"/>
        <v>331.397916</v>
      </c>
      <c r="FL194" s="134">
        <f>IF(ISNA(VLOOKUP(A194,'Données projet'!$A$217:$I$237,3,0)),0,VLOOKUP(A194,'Données projet'!$A$217:$I$237,3,0))</f>
        <v>0</v>
      </c>
      <c r="FM194" s="134">
        <f>IF(ISNA(VLOOKUP(A194,'Données projet'!$A$217:$I$237,4,0)),0,VLOOKUP(A194,'Données projet'!$A$217:$I$237,4,0))</f>
        <v>0</v>
      </c>
      <c r="FN194" s="135">
        <f>IF(ISNA(VLOOKUP(A194,'Données projet'!$A$217:$I$237,5,0)),0%,VLOOKUP(A194,'Données projet'!$A$217:$I$237,5,0)*VLOOKUP('Données projet'!$B$16,'Paramètres'!$A$1:$I$89,7,0))</f>
        <v>0</v>
      </c>
      <c r="FO194" s="135">
        <f>IF(ISNA(VLOOKUP(A194,'Données projet'!$A$217:$I$237,6,0)),0%,VLOOKUP(A194,'Données projet'!$A$217:$I$237,6,0)*VLOOKUP('Données projet'!$B$16,'Paramètres'!$A$1:$I$89,7,0))</f>
        <v>0</v>
      </c>
      <c r="FP194" s="135">
        <f>IF(ISNA(VLOOKUP(A194,'Données projet'!$A$217:$I$237,7,0)),0%,VLOOKUP(A194,'Données projet'!$A$217:$I$237,7,0))</f>
        <v>0</v>
      </c>
      <c r="FQ194" s="142">
        <f>EXP(-LN(2)/35)*FQ193+(1-EXP(-LN(2)/35))/(LN(2)/35)*FM194*FN194*VLOOKUP('Données projet'!$B$16,'Paramètres'!$A$1:$I$89,3,0)*0.475*44/12</f>
        <v>7.343156862</v>
      </c>
      <c r="FR194" s="142">
        <f>EXP(-LN(2)/25)*FR193+(1-EXP(-LN(2)/25))/(LN(2)/25)*Calculateur!FM194*Calculateur!FO194*VLOOKUP('Données projet'!$B$16,'Paramètres'!$A$1:$I$89,3,0)*0.475*44/12</f>
        <v>0</v>
      </c>
      <c r="FS194" s="142">
        <f>EXP(-LN(2)/2)*FS193+(1-EXP(-LN(2)/2))/(LN(2)/2)*FM194*FP194*VLOOKUP('Données projet'!$B$16,'Paramètres'!$A$1:$I$89,3,0)*0.475*44/12</f>
        <v>0</v>
      </c>
      <c r="FT194" s="143">
        <f t="shared" si="25"/>
        <v>7.343156862</v>
      </c>
      <c r="FU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1" t="str">
        <f>VLOOKUP(A194,'Données projet'!$A$243:$I$263,2,0)</f>
        <v>#N/A</v>
      </c>
      <c r="FX194" s="131" t="str">
        <f>VLOOKUP(A194,'Données projet'!$A$243:$I$263,9,0)</f>
        <v>#N/A</v>
      </c>
      <c r="FY194" s="131" t="str">
        <f t="array" ref="FY194">INDEX(FX:FX,MIN(IF(ISNUMBER(FX194:FX390),ROW(FX194:FX390),"")))</f>
        <v/>
      </c>
      <c r="FZ194" s="138">
        <f>IF('Données projet'!$A$244&gt;35,FZ193+FY194-GH193,IF(A194&lt;'Données projet'!$A$244,$FW$205^A194,IF(A194='Données projet'!$A$244,'Données projet'!$B$244,FZ193+FY194-GH193)))</f>
        <v>0</v>
      </c>
      <c r="GA194" s="138">
        <f>FZ194*VLOOKUP('Données projet'!$B$17,'Paramètres'!$A$1:$I$89,3,0)*VLOOKUP('Données projet'!$B$17,'Paramètres'!$A$1:$I$89,5,0)</f>
        <v>0</v>
      </c>
      <c r="GB194" s="130">
        <f t="shared" si="50"/>
        <v>0</v>
      </c>
      <c r="GC194" s="141">
        <f t="shared" si="26"/>
        <v>0</v>
      </c>
      <c r="GD194" s="133">
        <f t="shared" si="27"/>
        <v>293.3333333</v>
      </c>
      <c r="GE194" s="133">
        <f>AVERAGE(OFFSET($GD$3,0,0,'Données projet'!$E$17+1,1))-AVERAGE(OFFSET($H$3,0,0,'Données projet'!$E$17+1,1))</f>
        <v>118.7368745</v>
      </c>
      <c r="GF194" s="133">
        <f t="shared" si="51"/>
        <v>135.1233677</v>
      </c>
      <c r="GG194" s="134">
        <f>IF(ISNA(VLOOKUP(A194,'Données projet'!$A$243:$I$263,3,0)),0,VLOOKUP(A194,'Données projet'!$A$243:$I$263,3,0))</f>
        <v>0</v>
      </c>
      <c r="GH194" s="134">
        <f>IF(ISNA(VLOOKUP(A194,'Données projet'!$A$243:$I$263,4,0)),0,VLOOKUP(A194,'Données projet'!$A$243:$I$263,4,0))</f>
        <v>0</v>
      </c>
      <c r="GI194" s="135">
        <f>IF(ISNA(VLOOKUP(A194,'Données projet'!$A$243:$I$263,5,0)),0%,VLOOKUP(A194,'Données projet'!$A$243:$I$263,5,0)*VLOOKUP('Données projet'!$B$17,'Paramètres'!$A$1:$I$89,7,0))</f>
        <v>0</v>
      </c>
      <c r="GJ194" s="135">
        <f>IF(ISNA(VLOOKUP(A194,'Données projet'!$A$243:$I$263,6,0)),0%,VLOOKUP(A194,'Données projet'!$A$243:$I$263,6,0)*VLOOKUP('Données projet'!$B$17,'Paramètres'!$A$1:$I$89,7,0))</f>
        <v>0</v>
      </c>
      <c r="GK194" s="135">
        <f>IF(ISNA(VLOOKUP(A194,'Données projet'!$A$243:$I$263,7,0)),0%,VLOOKUP(A194,'Données projet'!$A$243:$I$263,7,0))</f>
        <v>0</v>
      </c>
      <c r="GL194" s="142">
        <f>EXP(-LN(2)/35)*GL193+(1-EXP(-LN(2)/35))/(LN(2)/35)*GH194*GI194*VLOOKUP('Données projet'!$B$17,'Paramètres'!$A$1:$I$89,3,0)*0.475*44/12</f>
        <v>7.758022515</v>
      </c>
      <c r="GM194" s="142">
        <f>EXP(-LN(2)/25)*GM193+(1-EXP(-LN(2)/25))/(LN(2)/25)*Calculateur!GH194*Calculateur!GJ194*VLOOKUP('Données projet'!$B$17,'Paramètres'!$A$1:$I$89,3,0)*0.475*44/12</f>
        <v>0</v>
      </c>
      <c r="GN194" s="142">
        <f>EXP(-LN(2)/2)*GN193+(1-EXP(-LN(2)/2))/(LN(2)/2)*GH194*GK194*VLOOKUP('Données projet'!$B$17,'Paramètres'!$A$1:$I$89,3,0)*0.475*44/12</f>
        <v>0</v>
      </c>
      <c r="GO194" s="142">
        <f t="shared" si="28"/>
        <v>7.758022515</v>
      </c>
      <c r="GP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1" t="str">
        <f>VLOOKUP(A194,'Données projet'!$A$269:$I$289,2,0)</f>
        <v>#N/A</v>
      </c>
      <c r="GS194" s="131" t="str">
        <f>VLOOKUP(A194,'Données projet'!$A$269:$I$289,9,0)</f>
        <v>#N/A</v>
      </c>
      <c r="GT194" s="131" t="str">
        <f t="array" ref="GT194">INDEX(GS:GS,MIN(IF(ISNUMBER(GS194:GS390),ROW(GS194:GS390),"")))</f>
        <v/>
      </c>
      <c r="GU194" s="138">
        <f>IF('Données projet'!$A$270&gt;35,GU193+GT194-HC193,IF(A194&lt;'Données projet'!$A$270,$GR$205^A194,IF(A194='Données projet'!$A$270,'Données projet'!$B$270,GU193+GT194-HC193)))</f>
        <v>0</v>
      </c>
      <c r="GV194" s="138">
        <f>GU194*VLOOKUP('Données projet'!$B$18,'Paramètres'!$A$1:$I$89,3,0)*VLOOKUP('Données projet'!$B$18,'Paramètres'!$A$1:$I$89,5,0)</f>
        <v>0</v>
      </c>
      <c r="GW194" s="130" t="str">
        <f t="shared" si="52"/>
        <v>#NUM!</v>
      </c>
      <c r="GX194" s="141" t="str">
        <f t="shared" si="29"/>
        <v>#NUM!</v>
      </c>
      <c r="GY194" s="133" t="str">
        <f t="shared" si="30"/>
        <v>#NUM!</v>
      </c>
      <c r="GZ194" s="133">
        <f>AVERAGE(OFFSET($GY$3,0,0,'Données projet'!$E$18+1,1))-AVERAGE(OFFSET($H$3,0,0,'Données projet'!$E$18+1,1))</f>
        <v>100.5427875</v>
      </c>
      <c r="HA194" s="133">
        <f t="shared" si="53"/>
        <v>92.28663609</v>
      </c>
      <c r="HB194" s="134">
        <f>IF(ISNA(VLOOKUP(A194,'Données projet'!$A$269:$I$289,3,0)),0,VLOOKUP(A194,'Données projet'!$A$269:$I$289,3,0))</f>
        <v>0</v>
      </c>
      <c r="HC194" s="134">
        <f>IF(ISNA(VLOOKUP(A194,'Données projet'!$A$269:$I$289,4,0)),0,VLOOKUP(A194,'Données projet'!$A$269:$I$289,4,0))</f>
        <v>0</v>
      </c>
      <c r="HD194" s="135">
        <f>IF(ISNA(VLOOKUP(A194,'Données projet'!$A$269:$I$289,5,0)),0%,VLOOKUP(A194,'Données projet'!$A$269:$I$289,5,0)*VLOOKUP('Données projet'!$B$18,'Paramètres'!$A$1:$I$89,7,0))</f>
        <v>0</v>
      </c>
      <c r="HE194" s="135">
        <f>IF(ISNA(VLOOKUP(A194,'Données projet'!$A$269:$I$289,6,0)),0%,VLOOKUP(A194,'Données projet'!$A$269:$I$289,6,0)*VLOOKUP('Données projet'!$B$18,'Paramètres'!$A$1:$I$89,7,0))</f>
        <v>0</v>
      </c>
      <c r="HF194" s="135">
        <f>IF(ISNA(VLOOKUP(A194,'Données projet'!$A$269:$I$289,7,0)),0%,VLOOKUP(A194,'Données projet'!$A$269:$I$289,7,0))</f>
        <v>0</v>
      </c>
      <c r="HG194" s="142">
        <f>EXP(-LN(2)/35)*HG193+(1-EXP(-LN(2)/35))/(LN(2)/35)*HC194*HD194*VLOOKUP('Données projet'!$B$18,'Paramètres'!$A$1:$I$89,3,0)*0.475*44/12</f>
        <v>5.283049669</v>
      </c>
      <c r="HH194" s="142">
        <f>EXP(-LN(2)/25)*HH193+(1-EXP(-LN(2)/25))/(LN(2)/25)*Calculateur!HC194*Calculateur!HE194*VLOOKUP('Données projet'!$B$18,'Paramètres'!$A$1:$I$89,3,0)*0.475*44/12</f>
        <v>0</v>
      </c>
      <c r="HI194" s="142">
        <f>EXP(-LN(2)/2)*HI193+(1-EXP(-LN(2)/2))/(LN(2)/2)*HC194*HF194*VLOOKUP('Données projet'!$B$18,'Paramètres'!$A$1:$I$89,3,0)*0.475*44/12</f>
        <v>0</v>
      </c>
      <c r="HJ194" s="143">
        <f t="shared" si="31"/>
        <v>5.283049669</v>
      </c>
    </row>
    <row r="195" ht="15.75" customHeight="1">
      <c r="A195" s="125">
        <f t="shared" si="32"/>
        <v>192</v>
      </c>
      <c r="B195" s="126">
        <f>'Scénario référence'!$B$16*5+'Scénario référence'!$B$17*0+'Scénario référence'!$B$18*5</f>
        <v>0</v>
      </c>
      <c r="C195" s="140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104.832</v>
      </c>
      <c r="D195" s="127">
        <f t="shared" si="33"/>
        <v>28.10997437</v>
      </c>
      <c r="E195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7">
        <f>IF(OR('Scénario référence'!$F$8&gt;0,'Scénario référence'!$F$9&gt;0),('Scénario référence'!$F$8+'Scénario référence'!$F$9)*10,0)</f>
        <v>10</v>
      </c>
      <c r="G195" s="127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1026.21875</v>
      </c>
      <c r="H195" s="128">
        <f t="shared" si="1"/>
        <v>524.8739387</v>
      </c>
      <c r="I195" s="12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1" t="str">
        <f>VLOOKUP(A195,'Données projet'!$A$35:$I$55,2,0)</f>
        <v>#N/A</v>
      </c>
      <c r="L195" s="131" t="str">
        <f>VLOOKUP(A195,'Données projet'!$A$35:$I$55,9,0)</f>
        <v>#N/A</v>
      </c>
      <c r="M195" s="131" t="str">
        <f t="array" ref="M195">INDEX(L:L,MIN(IF(ISNUMBER(L195:L391),ROW(L195:L391),"")))</f>
        <v/>
      </c>
      <c r="N195" s="130">
        <f>IF('Données projet'!$A$36&gt;35,N194+M195-V194,IF(A195&lt;'Données projet'!$A$36,$K$205^A195,IF(A195='Données projet'!$A$36,'Données projet'!$B$36,N194+M195-V194)))</f>
        <v>0</v>
      </c>
      <c r="O195" s="130">
        <f>N195*VLOOKUP('Données projet'!$B$9,'Paramètres'!$A$1:$I$89,3,0)*VLOOKUP('Données projet'!$B$9,'Paramètres'!$A$1:$I$89,5,0)</f>
        <v>0</v>
      </c>
      <c r="P195" s="130">
        <f t="shared" si="34"/>
        <v>0</v>
      </c>
      <c r="Q195" s="141">
        <f t="shared" si="2"/>
        <v>0</v>
      </c>
      <c r="R195" s="133">
        <f t="shared" si="3"/>
        <v>293.3333333</v>
      </c>
      <c r="S195" s="133">
        <f>AVERAGE(OFFSET($R$3,0,0,'Données projet'!$E$9+1,1))-AVERAGE(OFFSET($H$3,0,0,'Données projet'!$E$9+1,1))</f>
        <v>126.9946492</v>
      </c>
      <c r="T195" s="133">
        <f t="shared" si="35"/>
        <v>140.039049</v>
      </c>
      <c r="U195" s="134">
        <f>IF(ISNA(VLOOKUP(A195,'Données projet'!$A$35:$I$55,3,0)),0,VLOOKUP(A195,'Données projet'!$A$35:$I$55,3,0))</f>
        <v>0</v>
      </c>
      <c r="V195" s="134">
        <f>IF(ISNA(VLOOKUP(A195,'Données projet'!$A$35:$I$55,4,0)),0,VLOOKUP(A195,'Données projet'!$A$35:$I$55,4,0))</f>
        <v>0</v>
      </c>
      <c r="W195" s="135">
        <f>IF(ISNA(VLOOKUP(A195,'Données projet'!$A$35:$I$55,5,0)),0%,VLOOKUP(A195,'Données projet'!$A$35:$I$55,5,0)*VLOOKUP('Données projet'!$B$9,'Paramètres'!$A$1:$I$89,7,0))</f>
        <v>0</v>
      </c>
      <c r="X195" s="135">
        <f>IF(ISNA(VLOOKUP(A195,'Données projet'!$A$35:$I$55,6,0)),0%,VLOOKUP(A195,'Données projet'!$A$35:$I$55,6,0)*VLOOKUP('Données projet'!$B$9,'Paramètres'!$A$1:$I$89,7,0))</f>
        <v>0</v>
      </c>
      <c r="Y195" s="135">
        <f>IF(ISNA(VLOOKUP(A195,'Données projet'!$A$35:$I$55,7,0)),0%,VLOOKUP(A195,'Données projet'!$A$35:$I$55,7,0))</f>
        <v>0</v>
      </c>
      <c r="Z195" s="142">
        <f>EXP(-LN(2)/35)*Z194+(1-EXP(-LN(2)/35))/(LN(2)/35)*V195*W195*VLOOKUP('Données projet'!$B$9,'Paramètres'!$A$1:$I$89,3,0)*0.475*44/12</f>
        <v>7.779134854</v>
      </c>
      <c r="AA195" s="142">
        <f>EXP(-LN(2)/25)*AA194+(1-EXP(-LN(2)/25))/(LN(2)/25)*Calculateur!V195*Calculateur!X195*VLOOKUP('Données projet'!$B$9,'Paramètres'!$A$1:$I$89,3,0)*0.475*44/12</f>
        <v>0.5980981639</v>
      </c>
      <c r="AB195" s="142">
        <f>EXP(-LN(2)/2)*AB194+(1-EXP(-LN(2)/2))/(LN(2)/2)*V195*Y195*VLOOKUP('Données projet'!$B$9,'Paramètres'!$A$1:$I$89,3,0)*0.475*44/12</f>
        <v>0</v>
      </c>
      <c r="AC195" s="143">
        <f t="shared" si="4"/>
        <v>8.377233018</v>
      </c>
      <c r="AD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1" t="str">
        <f>VLOOKUP(A195,'Données projet'!$A$61:$I$81,2,0)</f>
        <v>#N/A</v>
      </c>
      <c r="AG195" s="131" t="str">
        <f>VLOOKUP(A195,'Données projet'!$A$61:$I$81,9,0)</f>
        <v>#N/A</v>
      </c>
      <c r="AH195" s="131" t="str">
        <f t="array" ref="AH195">INDEX(AG:AG,MIN(IF(ISNUMBER(AG195:AG391),ROW(AG195:AG391),"")))</f>
        <v/>
      </c>
      <c r="AI195" s="130">
        <f>IF('Données projet'!$A$62&gt;35,AI194+AH195-AQ194,IF(A195&lt;'Données projet'!$A$62,$AF$205^A195,IF(A195='Données projet'!$A$62,'Données projet'!$B$62,AI194+AH195-AQ194)))</f>
        <v>0</v>
      </c>
      <c r="AJ195" s="130">
        <f>AI195*VLOOKUP('Données projet'!$B$10,'Paramètres'!$A$1:$I$89,3,0)*VLOOKUP('Données projet'!$B$10,'Paramètres'!$A$1:$I$89,5,0)</f>
        <v>0</v>
      </c>
      <c r="AK195" s="130" t="str">
        <f t="shared" si="36"/>
        <v>#NUM!</v>
      </c>
      <c r="AL195" s="141" t="str">
        <f t="shared" si="5"/>
        <v>#NUM!</v>
      </c>
      <c r="AM195" s="133" t="str">
        <f t="shared" si="6"/>
        <v>#NUM!</v>
      </c>
      <c r="AN195" s="133">
        <f>AVERAGE(OFFSET($AM$3,0,0,'Données projet'!$E$10+1,1))-AVERAGE(OFFSET($H$3,0,0,'Données projet'!$E$10+1,1))</f>
        <v>196.874484</v>
      </c>
      <c r="AO195" s="133">
        <f t="shared" si="37"/>
        <v>217.5750859</v>
      </c>
      <c r="AP195" s="134">
        <f>IF(ISNA(VLOOKUP(A195,'Données projet'!$A$61:$I$81,3,0)),0,VLOOKUP(A195,'Données projet'!$A$61:$I$81,3,0))</f>
        <v>0</v>
      </c>
      <c r="AQ195" s="134">
        <f>IF(ISNA(VLOOKUP(A195,'Données projet'!$A$61:$I$81,4,0)),0,VLOOKUP(A195,'Données projet'!$A$61:$I$81,4,0))</f>
        <v>0</v>
      </c>
      <c r="AR195" s="135">
        <f>IF(ISNA(VLOOKUP(A195,'Données projet'!$A$61:$I$81,5,0)),0%,VLOOKUP(A195,'Données projet'!$A$61:$I$81,5,0)*VLOOKUP('Données projet'!$B$10,'Paramètres'!$A$1:$I$89,7,0))</f>
        <v>0</v>
      </c>
      <c r="AS195" s="135">
        <f>IF(ISNA(VLOOKUP(A195,'Données projet'!$A$61:$I$81,6,0)),0%,VLOOKUP(A195,'Données projet'!$A$61:$I$81,6,0)*VLOOKUP('Données projet'!$B$10,'Paramètres'!$A$1:$I$89,7,0))</f>
        <v>0</v>
      </c>
      <c r="AT195" s="135">
        <f>IF(ISNA(VLOOKUP(A195,'Données projet'!$A$61:$I$81,7,0)),0%,VLOOKUP(A195,'Données projet'!$A$61:$I$81,7,0))</f>
        <v>0</v>
      </c>
      <c r="AU195" s="142">
        <f>EXP(-LN(2)/35)*AU194+(1-EXP(-LN(2)/35))/(LN(2)/35)*AQ195*AR195*VLOOKUP('Données projet'!$B$10,'Paramètres'!$A$1:$I$89,3,0)*0.475*44/12</f>
        <v>10.81277649</v>
      </c>
      <c r="AV195" s="142">
        <f>EXP(-LN(2)/25)*AV194+(1-EXP(-LN(2)/25))/(LN(2)/25)*Calculateur!AQ195*Calculateur!AS195*VLOOKUP('Données projet'!$B$10,'Paramètres'!$A$1:$I$89,3,0)*0.475*44/12</f>
        <v>0.9195767261</v>
      </c>
      <c r="AW195" s="142">
        <f>EXP(-LN(2)/2)*AW194+(1-EXP(-LN(2)/2))/(LN(2)/2)*AQ195*AT195*VLOOKUP('Données projet'!$B$10,'Paramètres'!$A$1:$I$89,3,0)*0.475*44/12</f>
        <v>0</v>
      </c>
      <c r="AX195" s="142">
        <f t="shared" si="7"/>
        <v>11.73235322</v>
      </c>
      <c r="AY195" s="13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1" t="str">
        <f>VLOOKUP(A195,'Données projet'!$A$87:$I$107,2,0)</f>
        <v>#N/A</v>
      </c>
      <c r="BB195" s="131" t="str">
        <f>VLOOKUP(A195,'Données projet'!$A$87:$I$107,9,0)</f>
        <v>#N/A</v>
      </c>
      <c r="BC195" s="131" t="str">
        <f t="array" ref="BC195">INDEX(BB:BB,MIN(IF(ISNUMBER(BB195:BB391),ROW(BB195:BB391),"")))</f>
        <v/>
      </c>
      <c r="BD195" s="130">
        <f>IF('Données projet'!$A$88&gt;35,BD194+BC195-BL194,IF(A195&lt;'Données projet'!$A$88,$BA$205^A195,IF(A195='Données projet'!$A$88,'Données projet'!$B$88,BD194+BC195-BL194)))</f>
        <v>0</v>
      </c>
      <c r="BE195" s="130">
        <f>BD195*VLOOKUP('Données projet'!$B$11,'Paramètres'!$A$1:$I$89,3,0)*VLOOKUP('Données projet'!$B$11,'Paramètres'!$A$1:$I$89,5,0)</f>
        <v>0</v>
      </c>
      <c r="BF195" s="130" t="str">
        <f t="shared" si="38"/>
        <v>#NUM!</v>
      </c>
      <c r="BG195" s="141" t="str">
        <f t="shared" si="8"/>
        <v>#NUM!</v>
      </c>
      <c r="BH195" s="133" t="str">
        <f t="shared" si="9"/>
        <v>#NUM!</v>
      </c>
      <c r="BI195" s="133">
        <f>AVERAGE(OFFSET($BH$3,0,0,'Données projet'!$E$11+1,1))-AVERAGE(OFFSET($H$3,0,0,'Données projet'!$E$11+1,1))</f>
        <v>134.0948534</v>
      </c>
      <c r="BJ195" s="133">
        <f t="shared" si="39"/>
        <v>108.4102536</v>
      </c>
      <c r="BK195" s="134">
        <f>IF(ISNA(VLOOKUP(A195,'Données projet'!$A$87:$I$107,3,0)),0,VLOOKUP(A195,'Données projet'!$A$87:$I$107,3,0))</f>
        <v>0</v>
      </c>
      <c r="BL195" s="134">
        <f>IF(ISNA(VLOOKUP(A195,'Données projet'!$A$87:$I$107,4,0)),0,VLOOKUP(A195,'Données projet'!$A$87:$I$107,4,0))</f>
        <v>0</v>
      </c>
      <c r="BM195" s="135">
        <f>IF(ISNA(VLOOKUP(A195,'Données projet'!$A$87:$I$107,5,0)),0%,VLOOKUP(A195,'Données projet'!$A$87:$I$107,5,0)*VLOOKUP('Données projet'!$B$11,'Paramètres'!$A$1:$I$89,7,0))</f>
        <v>0</v>
      </c>
      <c r="BN195" s="135">
        <f>IF(ISNA(VLOOKUP(A195,'Données projet'!$A$87:$I$107,6,0)),0%,VLOOKUP(A195,'Données projet'!$A$87:$I$107,6,0)*VLOOKUP('Données projet'!$B$11,'Paramètres'!$A$1:$I$89,7,0))</f>
        <v>0</v>
      </c>
      <c r="BO195" s="135">
        <f>IF(ISNA(VLOOKUP(A195,'Données projet'!$A$87:$I$107,7,0)),0%,VLOOKUP(A195,'Données projet'!$A$87:$I$107,7,0))</f>
        <v>0</v>
      </c>
      <c r="BP195" s="142">
        <f>EXP(-LN(2)/35)*BP194+(1-EXP(-LN(2)/35))/(LN(2)/35)*BL195*BM195*VLOOKUP('Données projet'!$B$11,'Paramètres'!$A$1:$I$89,3,0)*0.475*44/12</f>
        <v>14.95608926</v>
      </c>
      <c r="BQ195" s="142">
        <f>EXP(-LN(2)/25)*BQ194+(1-EXP(-LN(2)/25))/(LN(2)/25)*Calculateur!BL195*Calculateur!BN195*VLOOKUP('Données projet'!$B$11,'Paramètres'!$A$1:$I$89,3,0)*0.475*44/12</f>
        <v>0.5800697884</v>
      </c>
      <c r="BR195" s="142">
        <f>EXP(-LN(2)/2)*BR194+(1-EXP(-LN(2)/2))/(LN(2)/2)*BL195*BO195*VLOOKUP('Données projet'!$B$11,'Paramètres'!$A$1:$I$89,3,0)*0.475*44/12</f>
        <v>0</v>
      </c>
      <c r="BS195" s="143">
        <f t="shared" si="10"/>
        <v>15.53615905</v>
      </c>
      <c r="BT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1" t="str">
        <f>VLOOKUP(A195,'Données projet'!$A$113:$I$133,2,0)</f>
        <v>#N/A</v>
      </c>
      <c r="BW195" s="131" t="str">
        <f>VLOOKUP(A195,'Données projet'!$A$113:$I$133,9,0)</f>
        <v>#N/A</v>
      </c>
      <c r="BX195" s="131" t="str">
        <f t="array" ref="BX195">INDEX(BW:BW,MIN(IF(ISNUMBER(BW195:BW391),ROW(BW195:BW391),"")))</f>
        <v/>
      </c>
      <c r="BY195" s="130">
        <f>IF('Données projet'!$A$114&gt;35,BY194+BX195-CG194,IF(A195&lt;'Données projet'!$A$114,$BV$205^A195,IF(A195='Données projet'!$A$114,'Données projet'!$B$114,BY194+BX195-CG194)))</f>
        <v>0</v>
      </c>
      <c r="BZ195" s="130">
        <f>BY195*VLOOKUP('Données projet'!$B$12,'Paramètres'!$A$1:$I$89,3,0)*VLOOKUP('Données projet'!$B$12,'Paramètres'!$A$1:$I$89,5,0)</f>
        <v>0</v>
      </c>
      <c r="CA195" s="130" t="str">
        <f t="shared" si="40"/>
        <v>#NUM!</v>
      </c>
      <c r="CB195" s="141" t="str">
        <f t="shared" si="11"/>
        <v>#NUM!</v>
      </c>
      <c r="CC195" s="133" t="str">
        <f t="shared" si="12"/>
        <v>#NUM!</v>
      </c>
      <c r="CD195" s="133">
        <f>AVERAGE(OFFSET($CC$3,0,0,'Données projet'!$E$12+1,1))-AVERAGE(OFFSET($H$3,0,0,'Données projet'!$E$12+1,1))</f>
        <v>258.1672054</v>
      </c>
      <c r="CE195" s="133">
        <f t="shared" si="41"/>
        <v>296.0724261</v>
      </c>
      <c r="CF195" s="134">
        <f>IF(ISNA(VLOOKUP(A195,'Données projet'!$A$113:$I$133,3,0)),0,VLOOKUP(A195,'Données projet'!$A$113:$I$133,3,0))</f>
        <v>0</v>
      </c>
      <c r="CG195" s="134">
        <f>IF(ISNA(VLOOKUP(A195,'Données projet'!$A$113:$I$133,4,0)),0,VLOOKUP(A195,'Données projet'!$A$113:$I$133,4,0))</f>
        <v>0</v>
      </c>
      <c r="CH195" s="135">
        <f>IF(ISNA(VLOOKUP(A195,'Données projet'!$A$113:$I$133,5,0)),0%,VLOOKUP(A195,'Données projet'!$A$113:$I$133,5,0)*VLOOKUP('Données projet'!$B$12,'Paramètres'!$A$1:$I$89,7,0))</f>
        <v>0</v>
      </c>
      <c r="CI195" s="135">
        <f>IF(ISNA(VLOOKUP(A195,'Données projet'!$A$113:$I$133,6,0)),0%,VLOOKUP(A195,'Données projet'!$A$113:$I$133,6,0)*VLOOKUP('Données projet'!$B$12,'Paramètres'!$A$1:$I$89,7,0))</f>
        <v>0</v>
      </c>
      <c r="CJ195" s="135">
        <f>IF(ISNA(VLOOKUP(A195,'Données projet'!$A$113:$I$133,7,0)),0%,VLOOKUP(A195,'Données projet'!$A$113:$I$133,7,0))</f>
        <v>0</v>
      </c>
      <c r="CK195" s="142">
        <f>EXP(-LN(2)/35)*CK194+(1-EXP(-LN(2)/35))/(LN(2)/35)*CG195*CH195*VLOOKUP('Données projet'!$B$12,'Paramètres'!$A$1:$I$89,3,0)*0.475*44/12</f>
        <v>18.90907208</v>
      </c>
      <c r="CL195" s="142">
        <f>EXP(-LN(2)/25)*CL194+(1-EXP(-LN(2)/25))/(LN(2)/25)*Calculateur!CG195*Calculateur!CI195*VLOOKUP('Données projet'!$B$12,'Paramètres'!$A$1:$I$89,3,0)*0.475*44/12</f>
        <v>1.017475338</v>
      </c>
      <c r="CM195" s="142">
        <f>EXP(-LN(2)/2)*CM194+(1-EXP(-LN(2)/2))/(LN(2)/2)*CG195*CJ195*VLOOKUP('Données projet'!$B$12,'Paramètres'!$A$1:$I$89,3,0)*0.475*44/12</f>
        <v>0</v>
      </c>
      <c r="CN195" s="143">
        <f t="shared" si="13"/>
        <v>19.92654742</v>
      </c>
      <c r="CO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1" t="str">
        <f>VLOOKUP(A195,'Données projet'!$A$139:$I$159,2,0)</f>
        <v>#N/A</v>
      </c>
      <c r="CR195" s="131" t="str">
        <f>VLOOKUP(A195,'Données projet'!$A$139:$I$159,9,0)</f>
        <v>#N/A</v>
      </c>
      <c r="CS195" s="131" t="str">
        <f t="array" ref="CS195">INDEX(CR:CR,MIN(IF(ISNUMBER(CR195:CR391),ROW(CR195:CR391),"")))</f>
        <v/>
      </c>
      <c r="CT195" s="138">
        <f>IF('Données projet'!$A$140&gt;35,CT194+CS195-DB194,IF(A195&lt;'Données projet'!$A$140,$CQ$205^A195,IF(A195='Données projet'!$A$140,'Données projet'!$B$140,CT194+CS195-DB194)))</f>
        <v>0</v>
      </c>
      <c r="CU195" s="138">
        <f>CT195*VLOOKUP('Données projet'!$B$13,'Paramètres'!$A$1:$I$89,3,0)*VLOOKUP('Données projet'!$B$13,'Paramètres'!$A$1:$I$89,5,0)</f>
        <v>0</v>
      </c>
      <c r="CV195" s="130" t="str">
        <f t="shared" si="42"/>
        <v>#NUM!</v>
      </c>
      <c r="CW195" s="141" t="str">
        <f t="shared" si="14"/>
        <v>#NUM!</v>
      </c>
      <c r="CX195" s="133" t="str">
        <f t="shared" si="15"/>
        <v>#NUM!</v>
      </c>
      <c r="CY195" s="133">
        <f>AVERAGE(OFFSET($CX$3,0,0,'Données projet'!$E$13+1,1))-AVERAGE(OFFSET($H$3,0,0,'Données projet'!$E$13+1,1))</f>
        <v>223.783507</v>
      </c>
      <c r="CZ195" s="133">
        <f t="shared" si="43"/>
        <v>84.92349117</v>
      </c>
      <c r="DA195" s="134">
        <f>IF(ISNA(VLOOKUP(A195,'Données projet'!$A$139:$I$159,3,0)),0,VLOOKUP(A195,'Données projet'!$A$139:$I$159,3,0))</f>
        <v>0</v>
      </c>
      <c r="DB195" s="134">
        <f>IF(ISNA(VLOOKUP(A195,'Données projet'!$A$139:$I$159,4,0)),0,VLOOKUP(A195,'Données projet'!$A$139:$I$159,4,0))</f>
        <v>0</v>
      </c>
      <c r="DC195" s="135">
        <f>IF(ISNA(VLOOKUP(A195,'Données projet'!$A$139:$I$159,5,0)),0%,VLOOKUP(A195,'Données projet'!$A$139:$I$159,5,0)*VLOOKUP('Données projet'!$B$13,'Paramètres'!$A$1:$I$89,7,0))</f>
        <v>0</v>
      </c>
      <c r="DD195" s="135">
        <f>IF(ISNA(VLOOKUP(A195,'Données projet'!$A$139:$I$159,6,0)),0%,VLOOKUP(A195,'Données projet'!$A$139:$I$159,6,0)*VLOOKUP('Données projet'!$B$13,'Paramètres'!$A$1:$I$89,7,0))</f>
        <v>0</v>
      </c>
      <c r="DE195" s="135">
        <f>IF(ISNA(VLOOKUP(A195,'Données projet'!$A$139:$I$159,7,0)),0%,VLOOKUP(A195,'Données projet'!$A$139:$I$159,7,0))</f>
        <v>0</v>
      </c>
      <c r="DF195" s="142">
        <f>EXP(-LN(2)/35)*DF194+(1-EXP(-LN(2)/35))/(LN(2)/35)*DB195*DC195*VLOOKUP('Données projet'!$B$13,'Paramètres'!$A$1:$I$89,3,0)*0.475*44/12</f>
        <v>48.56591674</v>
      </c>
      <c r="DG195" s="142">
        <f>EXP(-LN(2)/25)*DG194+(1-EXP(-LN(2)/25))/(LN(2)/25)*Calculateur!DB195*Calculateur!DD195*VLOOKUP('Données projet'!$B$13,'Paramètres'!$A$1:$I$89,3,0)*0.475*44/12</f>
        <v>0</v>
      </c>
      <c r="DH195" s="142">
        <f>EXP(-LN(2)/2)*DH194+(1-EXP(-LN(2)/2))/(LN(2)/2)*DB195*DE195*VLOOKUP('Données projet'!$B$13,'Paramètres'!$A$1:$I$89,3,0)*0.475*44/12</f>
        <v>0</v>
      </c>
      <c r="DI195" s="143">
        <f t="shared" si="16"/>
        <v>48.56591674</v>
      </c>
      <c r="DJ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1" t="str">
        <f>VLOOKUP(A195,'Données projet'!$A$165:$I$185,2,0)</f>
        <v>#N/A</v>
      </c>
      <c r="DM195" s="131" t="str">
        <f>VLOOKUP(A195,'Données projet'!$A$165:$I$185,9,0)</f>
        <v>#N/A</v>
      </c>
      <c r="DN195" s="131" t="str">
        <f t="array" ref="DN195">INDEX(DM:DM,MIN(IF(ISNUMBER(DM195:DM391),ROW(DM195:DM391),"")))</f>
        <v/>
      </c>
      <c r="DO195" s="138">
        <f>IF('Données projet'!$A$166&gt;35,DO194+DN195-DW194,IF(A195&lt;'Données projet'!$A$166,$DL$205^A195,IF(A195='Données projet'!$A$166,'Données projet'!$B$166,DO194+DN195-DW194)))</f>
        <v>0</v>
      </c>
      <c r="DP195" s="138">
        <f>DO195*VLOOKUP('Données projet'!$B$14,'Paramètres'!$A$1:$I$89,3,0)*VLOOKUP('Données projet'!$B$14,'Paramètres'!$A$1:$I$89,5,0)</f>
        <v>0</v>
      </c>
      <c r="DQ195" s="130" t="str">
        <f t="shared" si="44"/>
        <v>#NUM!</v>
      </c>
      <c r="DR195" s="141" t="str">
        <f t="shared" si="17"/>
        <v>#NUM!</v>
      </c>
      <c r="DS195" s="133" t="str">
        <f t="shared" si="18"/>
        <v>#NUM!</v>
      </c>
      <c r="DT195" s="133">
        <f>AVERAGE(OFFSET($DS$3,0,0,'Données projet'!$E$14+1,1))-AVERAGE(OFFSET($H$3,0,0,'Données projet'!$E$14+1,1))</f>
        <v>287.9334714</v>
      </c>
      <c r="DU195" s="133">
        <f t="shared" si="45"/>
        <v>156.6796502</v>
      </c>
      <c r="DV195" s="134">
        <f>IF(ISNA(VLOOKUP(A195,'Données projet'!$A$165:$I$185,3,0)),0,VLOOKUP(A195,'Données projet'!$A$165:$I$185,3,0))</f>
        <v>0</v>
      </c>
      <c r="DW195" s="134">
        <f>IF(ISNA(VLOOKUP(A195,'Données projet'!$A$165:$I$185,4,0)),0,VLOOKUP(A195,'Données projet'!$A$165:$I$185,4,0))</f>
        <v>0</v>
      </c>
      <c r="DX195" s="135">
        <f>IF(ISNA(VLOOKUP(A195,'Données projet'!$A$165:$I$185,5,0)),0%,VLOOKUP(A195,'Données projet'!$A$165:$I$185,5,0)*VLOOKUP('Données projet'!$B$14,'Paramètres'!$A$1:$I$89,7,0))</f>
        <v>0</v>
      </c>
      <c r="DY195" s="135">
        <f>IF(ISNA(VLOOKUP(A195,'Données projet'!$A$165:$I$185,6,0)),0%,VLOOKUP(A195,'Données projet'!$A$165:$I$185,6,0)*VLOOKUP('Données projet'!$B$14,'Paramètres'!$A$1:$I$89,7,0))</f>
        <v>0</v>
      </c>
      <c r="DZ195" s="135">
        <f>IF(ISNA(VLOOKUP(A195,'Données projet'!$A$165:$I$185,7,0)),0%,VLOOKUP(A195,'Données projet'!$A$165:$I$185,7,0))</f>
        <v>0</v>
      </c>
      <c r="EA195" s="142">
        <f>EXP(-LN(2)/35)*EA194+(1-EXP(-LN(2)/35))/(LN(2)/35)*DW195*DX195*VLOOKUP('Données projet'!$B$14,'Paramètres'!$A$1:$I$89,3,0)*0.475*44/12</f>
        <v>56.41985279</v>
      </c>
      <c r="EB195" s="142">
        <f>EXP(-LN(2)/25)*EB194+(1-EXP(-LN(2)/25))/(LN(2)/25)*Calculateur!DW195*Calculateur!DY195*VLOOKUP('Données projet'!$B$14,'Paramètres'!$A$1:$I$89,3,0)*0.475*44/12</f>
        <v>0</v>
      </c>
      <c r="EC195" s="142">
        <f>EXP(-LN(2)/2)*EC194+(1-EXP(-LN(2)/2))/(LN(2)/2)*DW195*DZ195*VLOOKUP('Données projet'!$B$14,'Paramètres'!$A$1:$I$89,3,0)*0.475*44/12</f>
        <v>0</v>
      </c>
      <c r="ED195" s="143">
        <f t="shared" si="19"/>
        <v>56.41985279</v>
      </c>
      <c r="EE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1" t="str">
        <f>VLOOKUP(A195,'Données projet'!$A$191:$I$211,2,0)</f>
        <v>#N/A</v>
      </c>
      <c r="EH195" s="131" t="str">
        <f>VLOOKUP(A195,'Données projet'!$A$191:$I$211,9,0)</f>
        <v>#N/A</v>
      </c>
      <c r="EI195" s="131" t="str">
        <f t="array" ref="EI195">INDEX(EH:EH,MIN(IF(ISNUMBER(EH195:EH391),ROW(EH195:EH391),"")))</f>
        <v/>
      </c>
      <c r="EJ195" s="138">
        <f>IF('Données projet'!$A$192&gt;35,EJ194+EI195-ER194,IF(A195&lt;'Données projet'!$A$192,$EG$205^A195,IF(A195='Données projet'!$A$192,'Données projet'!$B$192,EJ194+EI195-ER194)))</f>
        <v>0</v>
      </c>
      <c r="EK195" s="138">
        <f>EJ195*VLOOKUP('Données projet'!$B$15,'Paramètres'!$A$1:$I$89,3,0)*VLOOKUP('Données projet'!$B$15,'Paramètres'!$A$1:$I$89,5,0)</f>
        <v>0</v>
      </c>
      <c r="EL195" s="130" t="str">
        <f t="shared" si="46"/>
        <v>#NUM!</v>
      </c>
      <c r="EM195" s="141" t="str">
        <f t="shared" si="20"/>
        <v>#NUM!</v>
      </c>
      <c r="EN195" s="133" t="str">
        <f t="shared" si="21"/>
        <v>#NUM!</v>
      </c>
      <c r="EO195" s="133">
        <f>AVERAGE(OFFSET($EN$3,0,0,'Données projet'!$E$15+1,1))-AVERAGE(OFFSET($H$3,0,0,'Données projet'!$E$15+1,1))</f>
        <v>130.3193339</v>
      </c>
      <c r="EP195" s="133">
        <f t="shared" si="47"/>
        <v>82.22784365</v>
      </c>
      <c r="EQ195" s="134">
        <f>IF(ISNA(VLOOKUP(A195,'Données projet'!$A$191:$I$211,3,0)),0,VLOOKUP(A195,'Données projet'!$A$191:$I$211,3,0))</f>
        <v>0</v>
      </c>
      <c r="ER195" s="134">
        <f>IF(ISNA(VLOOKUP(A195,'Données projet'!$A$191:$I$211,4,0)),0,VLOOKUP(A195,'Données projet'!$A$191:$I$211,4,0))</f>
        <v>0</v>
      </c>
      <c r="ES195" s="135">
        <f>IF(ISNA(VLOOKUP(A195,'Données projet'!$A$191:$I$211,5,0)),0%,VLOOKUP(A195,'Données projet'!$A$191:$I$211,5,0)*VLOOKUP('Données projet'!$B$15,'Paramètres'!$A$1:$I$89,7,0))</f>
        <v>0</v>
      </c>
      <c r="ET195" s="135">
        <f>IF(ISNA(VLOOKUP(A195,'Données projet'!$A$191:$I$211,6,0)),0%,VLOOKUP(A195,'Données projet'!$A$191:$I$211,6,0)*VLOOKUP('Données projet'!$B$15,'Paramètres'!$A$1:$I$89,7,0))</f>
        <v>0</v>
      </c>
      <c r="EU195" s="135">
        <f>IF(ISNA(VLOOKUP(A195,'Données projet'!$A$191:$I$211,7,0)),0%,VLOOKUP(A195,'Données projet'!$A$191:$I$211,7,0))</f>
        <v>0</v>
      </c>
      <c r="EV195" s="142">
        <f>EXP(-LN(2)/35)*EV194+(1-EXP(-LN(2)/35))/(LN(2)/35)*ER195*ES195*VLOOKUP('Données projet'!$B$15,'Paramètres'!$A$1:$I$89,3,0)*0.475*44/12</f>
        <v>11.5625064</v>
      </c>
      <c r="EW195" s="142">
        <f>EXP(-LN(2)/25)*EW194+(1-EXP(-LN(2)/25))/(LN(2)/25)*Calculateur!ER195*Calculateur!ET195*VLOOKUP('Données projet'!$B$15,'Paramètres'!$A$1:$I$89,3,0)*0.475*44/12</f>
        <v>0</v>
      </c>
      <c r="EX195" s="142">
        <f>EXP(-LN(2)/2)*EX194+(1-EXP(-LN(2)/2))/(LN(2)/2)*ER195*EU195*VLOOKUP('Données projet'!$B$15,'Paramètres'!$A$1:$I$89,3,0)*0.475*44/12</f>
        <v>0</v>
      </c>
      <c r="EY195" s="143">
        <f t="shared" si="22"/>
        <v>11.5625064</v>
      </c>
      <c r="EZ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1" t="str">
        <f>VLOOKUP(A195,'Données projet'!$A$217:$I$237,2,0)</f>
        <v>#N/A</v>
      </c>
      <c r="FC195" s="131" t="str">
        <f>VLOOKUP(A195,'Données projet'!$A$217:$I$237,9,0)</f>
        <v>#N/A</v>
      </c>
      <c r="FD195" s="131" t="str">
        <f t="array" ref="FD195">INDEX(FC:FC,MIN(IF(ISNUMBER(FC195:FC391),ROW(FC195:FC391),"")))</f>
        <v/>
      </c>
      <c r="FE195" s="130">
        <f>IF('Données projet'!$A$218&gt;35,FE194+FD195-FM194,IF(A195&lt;'Données projet'!$A$218,$FB$205^A195,IF(A195='Données projet'!$A$218,'Données projet'!$B$218,FE194+FD195-FM194)))</f>
        <v>0</v>
      </c>
      <c r="FF195" s="138">
        <f>FE195*VLOOKUP('Données projet'!$B$16,'Paramètres'!$A$1:$I$89,3,0)*VLOOKUP('Données projet'!$B$16,'Paramètres'!$A$1:$I$89,5,0)</f>
        <v>0</v>
      </c>
      <c r="FG195" s="130">
        <f t="shared" si="48"/>
        <v>0</v>
      </c>
      <c r="FH195" s="141">
        <f t="shared" si="23"/>
        <v>0</v>
      </c>
      <c r="FI195" s="133">
        <f t="shared" si="24"/>
        <v>293.3333333</v>
      </c>
      <c r="FJ195" s="133">
        <f>AVERAGE(OFFSET($FI$3,0,0,'Données projet'!$E$16+1,1))-AVERAGE(OFFSET($H$3,0,0,'Données projet'!$E$16+1,1))</f>
        <v>305.6252353</v>
      </c>
      <c r="FK195" s="133">
        <f t="shared" si="49"/>
        <v>331.397916</v>
      </c>
      <c r="FL195" s="134">
        <f>IF(ISNA(VLOOKUP(A195,'Données projet'!$A$217:$I$237,3,0)),0,VLOOKUP(A195,'Données projet'!$A$217:$I$237,3,0))</f>
        <v>0</v>
      </c>
      <c r="FM195" s="134">
        <f>IF(ISNA(VLOOKUP(A195,'Données projet'!$A$217:$I$237,4,0)),0,VLOOKUP(A195,'Données projet'!$A$217:$I$237,4,0))</f>
        <v>0</v>
      </c>
      <c r="FN195" s="135">
        <f>IF(ISNA(VLOOKUP(A195,'Données projet'!$A$217:$I$237,5,0)),0%,VLOOKUP(A195,'Données projet'!$A$217:$I$237,5,0)*VLOOKUP('Données projet'!$B$16,'Paramètres'!$A$1:$I$89,7,0))</f>
        <v>0</v>
      </c>
      <c r="FO195" s="135">
        <f>IF(ISNA(VLOOKUP(A195,'Données projet'!$A$217:$I$237,6,0)),0%,VLOOKUP(A195,'Données projet'!$A$217:$I$237,6,0)*VLOOKUP('Données projet'!$B$16,'Paramètres'!$A$1:$I$89,7,0))</f>
        <v>0</v>
      </c>
      <c r="FP195" s="135">
        <f>IF(ISNA(VLOOKUP(A195,'Données projet'!$A$217:$I$237,7,0)),0%,VLOOKUP(A195,'Données projet'!$A$217:$I$237,7,0))</f>
        <v>0</v>
      </c>
      <c r="FQ195" s="142">
        <f>EXP(-LN(2)/35)*FQ194+(1-EXP(-LN(2)/35))/(LN(2)/35)*FM195*FN195*VLOOKUP('Données projet'!$B$16,'Paramètres'!$A$1:$I$89,3,0)*0.475*44/12</f>
        <v>7.199162035</v>
      </c>
      <c r="FR195" s="142">
        <f>EXP(-LN(2)/25)*FR194+(1-EXP(-LN(2)/25))/(LN(2)/25)*Calculateur!FM195*Calculateur!FO195*VLOOKUP('Données projet'!$B$16,'Paramètres'!$A$1:$I$89,3,0)*0.475*44/12</f>
        <v>0</v>
      </c>
      <c r="FS195" s="142">
        <f>EXP(-LN(2)/2)*FS194+(1-EXP(-LN(2)/2))/(LN(2)/2)*FM195*FP195*VLOOKUP('Données projet'!$B$16,'Paramètres'!$A$1:$I$89,3,0)*0.475*44/12</f>
        <v>0</v>
      </c>
      <c r="FT195" s="143">
        <f t="shared" si="25"/>
        <v>7.199162035</v>
      </c>
      <c r="FU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1" t="str">
        <f>VLOOKUP(A195,'Données projet'!$A$243:$I$263,2,0)</f>
        <v>#N/A</v>
      </c>
      <c r="FX195" s="131" t="str">
        <f>VLOOKUP(A195,'Données projet'!$A$243:$I$263,9,0)</f>
        <v>#N/A</v>
      </c>
      <c r="FY195" s="131" t="str">
        <f t="array" ref="FY195">INDEX(FX:FX,MIN(IF(ISNUMBER(FX195:FX391),ROW(FX195:FX391),"")))</f>
        <v/>
      </c>
      <c r="FZ195" s="138">
        <f>IF('Données projet'!$A$244&gt;35,FZ194+FY195-GH194,IF(A195&lt;'Données projet'!$A$244,$FW$205^A195,IF(A195='Données projet'!$A$244,'Données projet'!$B$244,FZ194+FY195-GH194)))</f>
        <v>0</v>
      </c>
      <c r="GA195" s="138">
        <f>FZ195*VLOOKUP('Données projet'!$B$17,'Paramètres'!$A$1:$I$89,3,0)*VLOOKUP('Données projet'!$B$17,'Paramètres'!$A$1:$I$89,5,0)</f>
        <v>0</v>
      </c>
      <c r="GB195" s="130">
        <f t="shared" si="50"/>
        <v>0</v>
      </c>
      <c r="GC195" s="141">
        <f t="shared" si="26"/>
        <v>0</v>
      </c>
      <c r="GD195" s="133">
        <f t="shared" si="27"/>
        <v>293.3333333</v>
      </c>
      <c r="GE195" s="133">
        <f>AVERAGE(OFFSET($GD$3,0,0,'Données projet'!$E$17+1,1))-AVERAGE(OFFSET($H$3,0,0,'Données projet'!$E$17+1,1))</f>
        <v>118.7368745</v>
      </c>
      <c r="GF195" s="133">
        <f t="shared" si="51"/>
        <v>135.1233677</v>
      </c>
      <c r="GG195" s="134">
        <f>IF(ISNA(VLOOKUP(A195,'Données projet'!$A$243:$I$263,3,0)),0,VLOOKUP(A195,'Données projet'!$A$243:$I$263,3,0))</f>
        <v>0</v>
      </c>
      <c r="GH195" s="134">
        <f>IF(ISNA(VLOOKUP(A195,'Données projet'!$A$243:$I$263,4,0)),0,VLOOKUP(A195,'Données projet'!$A$243:$I$263,4,0))</f>
        <v>0</v>
      </c>
      <c r="GI195" s="135">
        <f>IF(ISNA(VLOOKUP(A195,'Données projet'!$A$243:$I$263,5,0)),0%,VLOOKUP(A195,'Données projet'!$A$243:$I$263,5,0)*VLOOKUP('Données projet'!$B$17,'Paramètres'!$A$1:$I$89,7,0))</f>
        <v>0</v>
      </c>
      <c r="GJ195" s="135">
        <f>IF(ISNA(VLOOKUP(A195,'Données projet'!$A$243:$I$263,6,0)),0%,VLOOKUP(A195,'Données projet'!$A$243:$I$263,6,0)*VLOOKUP('Données projet'!$B$17,'Paramètres'!$A$1:$I$89,7,0))</f>
        <v>0</v>
      </c>
      <c r="GK195" s="135">
        <f>IF(ISNA(VLOOKUP(A195,'Données projet'!$A$243:$I$263,7,0)),0%,VLOOKUP(A195,'Données projet'!$A$243:$I$263,7,0))</f>
        <v>0</v>
      </c>
      <c r="GL195" s="142">
        <f>EXP(-LN(2)/35)*GL194+(1-EXP(-LN(2)/35))/(LN(2)/35)*GH195*GI195*VLOOKUP('Données projet'!$B$17,'Paramètres'!$A$1:$I$89,3,0)*0.475*44/12</f>
        <v>7.605892426</v>
      </c>
      <c r="GM195" s="142">
        <f>EXP(-LN(2)/25)*GM194+(1-EXP(-LN(2)/25))/(LN(2)/25)*Calculateur!GH195*Calculateur!GJ195*VLOOKUP('Données projet'!$B$17,'Paramètres'!$A$1:$I$89,3,0)*0.475*44/12</f>
        <v>0</v>
      </c>
      <c r="GN195" s="142">
        <f>EXP(-LN(2)/2)*GN194+(1-EXP(-LN(2)/2))/(LN(2)/2)*GH195*GK195*VLOOKUP('Données projet'!$B$17,'Paramètres'!$A$1:$I$89,3,0)*0.475*44/12</f>
        <v>0</v>
      </c>
      <c r="GO195" s="142">
        <f t="shared" si="28"/>
        <v>7.605892426</v>
      </c>
      <c r="GP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1" t="str">
        <f>VLOOKUP(A195,'Données projet'!$A$269:$I$289,2,0)</f>
        <v>#N/A</v>
      </c>
      <c r="GS195" s="131" t="str">
        <f>VLOOKUP(A195,'Données projet'!$A$269:$I$289,9,0)</f>
        <v>#N/A</v>
      </c>
      <c r="GT195" s="131" t="str">
        <f t="array" ref="GT195">INDEX(GS:GS,MIN(IF(ISNUMBER(GS195:GS391),ROW(GS195:GS391),"")))</f>
        <v/>
      </c>
      <c r="GU195" s="138">
        <f>IF('Données projet'!$A$270&gt;35,GU194+GT195-HC194,IF(A195&lt;'Données projet'!$A$270,$GR$205^A195,IF(A195='Données projet'!$A$270,'Données projet'!$B$270,GU194+GT195-HC194)))</f>
        <v>0</v>
      </c>
      <c r="GV195" s="138">
        <f>GU195*VLOOKUP('Données projet'!$B$18,'Paramètres'!$A$1:$I$89,3,0)*VLOOKUP('Données projet'!$B$18,'Paramètres'!$A$1:$I$89,5,0)</f>
        <v>0</v>
      </c>
      <c r="GW195" s="130" t="str">
        <f t="shared" si="52"/>
        <v>#NUM!</v>
      </c>
      <c r="GX195" s="141" t="str">
        <f t="shared" si="29"/>
        <v>#NUM!</v>
      </c>
      <c r="GY195" s="133" t="str">
        <f t="shared" si="30"/>
        <v>#NUM!</v>
      </c>
      <c r="GZ195" s="133">
        <f>AVERAGE(OFFSET($GY$3,0,0,'Données projet'!$E$18+1,1))-AVERAGE(OFFSET($H$3,0,0,'Données projet'!$E$18+1,1))</f>
        <v>100.5427875</v>
      </c>
      <c r="HA195" s="133">
        <f t="shared" si="53"/>
        <v>92.28663609</v>
      </c>
      <c r="HB195" s="134">
        <f>IF(ISNA(VLOOKUP(A195,'Données projet'!$A$269:$I$289,3,0)),0,VLOOKUP(A195,'Données projet'!$A$269:$I$289,3,0))</f>
        <v>0</v>
      </c>
      <c r="HC195" s="134">
        <f>IF(ISNA(VLOOKUP(A195,'Données projet'!$A$269:$I$289,4,0)),0,VLOOKUP(A195,'Données projet'!$A$269:$I$289,4,0))</f>
        <v>0</v>
      </c>
      <c r="HD195" s="135">
        <f>IF(ISNA(VLOOKUP(A195,'Données projet'!$A$269:$I$289,5,0)),0%,VLOOKUP(A195,'Données projet'!$A$269:$I$289,5,0)*VLOOKUP('Données projet'!$B$18,'Paramètres'!$A$1:$I$89,7,0))</f>
        <v>0</v>
      </c>
      <c r="HE195" s="135">
        <f>IF(ISNA(VLOOKUP(A195,'Données projet'!$A$269:$I$289,6,0)),0%,VLOOKUP(A195,'Données projet'!$A$269:$I$289,6,0)*VLOOKUP('Données projet'!$B$18,'Paramètres'!$A$1:$I$89,7,0))</f>
        <v>0</v>
      </c>
      <c r="HF195" s="135">
        <f>IF(ISNA(VLOOKUP(A195,'Données projet'!$A$269:$I$289,7,0)),0%,VLOOKUP(A195,'Données projet'!$A$269:$I$289,7,0))</f>
        <v>0</v>
      </c>
      <c r="HG195" s="142">
        <f>EXP(-LN(2)/35)*HG194+(1-EXP(-LN(2)/35))/(LN(2)/35)*HC195*HD195*VLOOKUP('Données projet'!$B$18,'Paramètres'!$A$1:$I$89,3,0)*0.475*44/12</f>
        <v>5.179452287</v>
      </c>
      <c r="HH195" s="142">
        <f>EXP(-LN(2)/25)*HH194+(1-EXP(-LN(2)/25))/(LN(2)/25)*Calculateur!HC195*Calculateur!HE195*VLOOKUP('Données projet'!$B$18,'Paramètres'!$A$1:$I$89,3,0)*0.475*44/12</f>
        <v>0</v>
      </c>
      <c r="HI195" s="142">
        <f>EXP(-LN(2)/2)*HI194+(1-EXP(-LN(2)/2))/(LN(2)/2)*HC195*HF195*VLOOKUP('Données projet'!$B$18,'Paramètres'!$A$1:$I$89,3,0)*0.475*44/12</f>
        <v>0</v>
      </c>
      <c r="HJ195" s="143">
        <f t="shared" si="31"/>
        <v>5.179452287</v>
      </c>
    </row>
    <row r="196" ht="15.75" customHeight="1">
      <c r="A196" s="125">
        <f t="shared" si="32"/>
        <v>193</v>
      </c>
      <c r="B196" s="126">
        <f>'Scénario référence'!$B$16*5+'Scénario référence'!$B$17*0+'Scénario référence'!$B$18*5</f>
        <v>0</v>
      </c>
      <c r="C196" s="140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105.378</v>
      </c>
      <c r="D196" s="127">
        <f t="shared" si="33"/>
        <v>28.23929968</v>
      </c>
      <c r="E196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7">
        <f>IF(OR('Scénario référence'!$F$8&gt;0,'Scénario référence'!$F$9&gt;0),('Scénario référence'!$F$8+'Scénario référence'!$F$9)*10,0)</f>
        <v>10</v>
      </c>
      <c r="G196" s="127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1031.431787</v>
      </c>
      <c r="H196" s="128">
        <f t="shared" si="1"/>
        <v>526.0501303</v>
      </c>
      <c r="I196" s="12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1" t="str">
        <f>VLOOKUP(A196,'Données projet'!$A$35:$I$55,2,0)</f>
        <v>#N/A</v>
      </c>
      <c r="L196" s="131" t="str">
        <f>VLOOKUP(A196,'Données projet'!$A$35:$I$55,9,0)</f>
        <v>#N/A</v>
      </c>
      <c r="M196" s="131" t="str">
        <f t="array" ref="M196">INDEX(L:L,MIN(IF(ISNUMBER(L196:L392),ROW(L196:L392),"")))</f>
        <v/>
      </c>
      <c r="N196" s="130">
        <f>IF('Données projet'!$A$36&gt;35,N195+M196-V195,IF(A196&lt;'Données projet'!$A$36,$K$205^A196,IF(A196='Données projet'!$A$36,'Données projet'!$B$36,N195+M196-V195)))</f>
        <v>0</v>
      </c>
      <c r="O196" s="130">
        <f>N196*VLOOKUP('Données projet'!$B$9,'Paramètres'!$A$1:$I$89,3,0)*VLOOKUP('Données projet'!$B$9,'Paramètres'!$A$1:$I$89,5,0)</f>
        <v>0</v>
      </c>
      <c r="P196" s="130">
        <f t="shared" si="34"/>
        <v>0</v>
      </c>
      <c r="Q196" s="141">
        <f t="shared" si="2"/>
        <v>0</v>
      </c>
      <c r="R196" s="133">
        <f t="shared" si="3"/>
        <v>293.3333333</v>
      </c>
      <c r="S196" s="133">
        <f>AVERAGE(OFFSET($R$3,0,0,'Données projet'!$E$9+1,1))-AVERAGE(OFFSET($H$3,0,0,'Données projet'!$E$9+1,1))</f>
        <v>126.9946492</v>
      </c>
      <c r="T196" s="133">
        <f t="shared" si="35"/>
        <v>140.039049</v>
      </c>
      <c r="U196" s="134">
        <f>IF(ISNA(VLOOKUP(A196,'Données projet'!$A$35:$I$55,3,0)),0,VLOOKUP(A196,'Données projet'!$A$35:$I$55,3,0))</f>
        <v>0</v>
      </c>
      <c r="V196" s="134">
        <f>IF(ISNA(VLOOKUP(A196,'Données projet'!$A$35:$I$55,4,0)),0,VLOOKUP(A196,'Données projet'!$A$35:$I$55,4,0))</f>
        <v>0</v>
      </c>
      <c r="W196" s="135">
        <f>IF(ISNA(VLOOKUP(A196,'Données projet'!$A$35:$I$55,5,0)),0%,VLOOKUP(A196,'Données projet'!$A$35:$I$55,5,0)*VLOOKUP('Données projet'!$B$9,'Paramètres'!$A$1:$I$89,7,0))</f>
        <v>0</v>
      </c>
      <c r="X196" s="135">
        <f>IF(ISNA(VLOOKUP(A196,'Données projet'!$A$35:$I$55,6,0)),0%,VLOOKUP(A196,'Données projet'!$A$35:$I$55,6,0)*VLOOKUP('Données projet'!$B$9,'Paramètres'!$A$1:$I$89,7,0))</f>
        <v>0</v>
      </c>
      <c r="Y196" s="135">
        <f>IF(ISNA(VLOOKUP(A196,'Données projet'!$A$35:$I$55,7,0)),0%,VLOOKUP(A196,'Données projet'!$A$35:$I$55,7,0))</f>
        <v>0</v>
      </c>
      <c r="Z196" s="142">
        <f>EXP(-LN(2)/35)*Z195+(1-EXP(-LN(2)/35))/(LN(2)/35)*V196*W196*VLOOKUP('Données projet'!$B$9,'Paramètres'!$A$1:$I$89,3,0)*0.475*44/12</f>
        <v>7.626590764</v>
      </c>
      <c r="AA196" s="142">
        <f>EXP(-LN(2)/25)*AA195+(1-EXP(-LN(2)/25))/(LN(2)/25)*Calculateur!V196*Calculateur!X196*VLOOKUP('Données projet'!$B$9,'Paramètres'!$A$1:$I$89,3,0)*0.475*44/12</f>
        <v>0.5817431382</v>
      </c>
      <c r="AB196" s="142">
        <f>EXP(-LN(2)/2)*AB195+(1-EXP(-LN(2)/2))/(LN(2)/2)*V196*Y196*VLOOKUP('Données projet'!$B$9,'Paramètres'!$A$1:$I$89,3,0)*0.475*44/12</f>
        <v>0</v>
      </c>
      <c r="AC196" s="143">
        <f t="shared" si="4"/>
        <v>8.208333902</v>
      </c>
      <c r="AD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1" t="str">
        <f>VLOOKUP(A196,'Données projet'!$A$61:$I$81,2,0)</f>
        <v>#N/A</v>
      </c>
      <c r="AG196" s="131" t="str">
        <f>VLOOKUP(A196,'Données projet'!$A$61:$I$81,9,0)</f>
        <v>#N/A</v>
      </c>
      <c r="AH196" s="131" t="str">
        <f t="array" ref="AH196">INDEX(AG:AG,MIN(IF(ISNUMBER(AG196:AG392),ROW(AG196:AG392),"")))</f>
        <v/>
      </c>
      <c r="AI196" s="130">
        <f>IF('Données projet'!$A$62&gt;35,AI195+AH196-AQ195,IF(A196&lt;'Données projet'!$A$62,$AF$205^A196,IF(A196='Données projet'!$A$62,'Données projet'!$B$62,AI195+AH196-AQ195)))</f>
        <v>0</v>
      </c>
      <c r="AJ196" s="130">
        <f>AI196*VLOOKUP('Données projet'!$B$10,'Paramètres'!$A$1:$I$89,3,0)*VLOOKUP('Données projet'!$B$10,'Paramètres'!$A$1:$I$89,5,0)</f>
        <v>0</v>
      </c>
      <c r="AK196" s="130" t="str">
        <f t="shared" si="36"/>
        <v>#NUM!</v>
      </c>
      <c r="AL196" s="141" t="str">
        <f t="shared" si="5"/>
        <v>#NUM!</v>
      </c>
      <c r="AM196" s="133" t="str">
        <f t="shared" si="6"/>
        <v>#NUM!</v>
      </c>
      <c r="AN196" s="133">
        <f>AVERAGE(OFFSET($AM$3,0,0,'Données projet'!$E$10+1,1))-AVERAGE(OFFSET($H$3,0,0,'Données projet'!$E$10+1,1))</f>
        <v>196.874484</v>
      </c>
      <c r="AO196" s="133">
        <f t="shared" si="37"/>
        <v>217.5750859</v>
      </c>
      <c r="AP196" s="134">
        <f>IF(ISNA(VLOOKUP(A196,'Données projet'!$A$61:$I$81,3,0)),0,VLOOKUP(A196,'Données projet'!$A$61:$I$81,3,0))</f>
        <v>0</v>
      </c>
      <c r="AQ196" s="134">
        <f>IF(ISNA(VLOOKUP(A196,'Données projet'!$A$61:$I$81,4,0)),0,VLOOKUP(A196,'Données projet'!$A$61:$I$81,4,0))</f>
        <v>0</v>
      </c>
      <c r="AR196" s="135">
        <f>IF(ISNA(VLOOKUP(A196,'Données projet'!$A$61:$I$81,5,0)),0%,VLOOKUP(A196,'Données projet'!$A$61:$I$81,5,0)*VLOOKUP('Données projet'!$B$10,'Paramètres'!$A$1:$I$89,7,0))</f>
        <v>0</v>
      </c>
      <c r="AS196" s="135">
        <f>IF(ISNA(VLOOKUP(A196,'Données projet'!$A$61:$I$81,6,0)),0%,VLOOKUP(A196,'Données projet'!$A$61:$I$81,6,0)*VLOOKUP('Données projet'!$B$10,'Paramètres'!$A$1:$I$89,7,0))</f>
        <v>0</v>
      </c>
      <c r="AT196" s="135">
        <f>IF(ISNA(VLOOKUP(A196,'Données projet'!$A$61:$I$81,7,0)),0%,VLOOKUP(A196,'Données projet'!$A$61:$I$81,7,0))</f>
        <v>0</v>
      </c>
      <c r="AU196" s="142">
        <f>EXP(-LN(2)/35)*AU195+(1-EXP(-LN(2)/35))/(LN(2)/35)*AQ196*AR196*VLOOKUP('Données projet'!$B$10,'Paramètres'!$A$1:$I$89,3,0)*0.475*44/12</f>
        <v>10.60074454</v>
      </c>
      <c r="AV196" s="142">
        <f>EXP(-LN(2)/25)*AV195+(1-EXP(-LN(2)/25))/(LN(2)/25)*Calculateur!AQ196*Calculateur!AS196*VLOOKUP('Données projet'!$B$10,'Paramètres'!$A$1:$I$89,3,0)*0.475*44/12</f>
        <v>0.8944308522</v>
      </c>
      <c r="AW196" s="142">
        <f>EXP(-LN(2)/2)*AW195+(1-EXP(-LN(2)/2))/(LN(2)/2)*AQ196*AT196*VLOOKUP('Données projet'!$B$10,'Paramètres'!$A$1:$I$89,3,0)*0.475*44/12</f>
        <v>0</v>
      </c>
      <c r="AX196" s="142">
        <f t="shared" si="7"/>
        <v>11.49517539</v>
      </c>
      <c r="AY196" s="13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1" t="str">
        <f>VLOOKUP(A196,'Données projet'!$A$87:$I$107,2,0)</f>
        <v>#N/A</v>
      </c>
      <c r="BB196" s="131" t="str">
        <f>VLOOKUP(A196,'Données projet'!$A$87:$I$107,9,0)</f>
        <v>#N/A</v>
      </c>
      <c r="BC196" s="131" t="str">
        <f t="array" ref="BC196">INDEX(BB:BB,MIN(IF(ISNUMBER(BB196:BB392),ROW(BB196:BB392),"")))</f>
        <v/>
      </c>
      <c r="BD196" s="130">
        <f>IF('Données projet'!$A$88&gt;35,BD195+BC196-BL195,IF(A196&lt;'Données projet'!$A$88,$BA$205^A196,IF(A196='Données projet'!$A$88,'Données projet'!$B$88,BD195+BC196-BL195)))</f>
        <v>0</v>
      </c>
      <c r="BE196" s="130">
        <f>BD196*VLOOKUP('Données projet'!$B$11,'Paramètres'!$A$1:$I$89,3,0)*VLOOKUP('Données projet'!$B$11,'Paramètres'!$A$1:$I$89,5,0)</f>
        <v>0</v>
      </c>
      <c r="BF196" s="130" t="str">
        <f t="shared" si="38"/>
        <v>#NUM!</v>
      </c>
      <c r="BG196" s="141" t="str">
        <f t="shared" si="8"/>
        <v>#NUM!</v>
      </c>
      <c r="BH196" s="133" t="str">
        <f t="shared" si="9"/>
        <v>#NUM!</v>
      </c>
      <c r="BI196" s="133">
        <f>AVERAGE(OFFSET($BH$3,0,0,'Données projet'!$E$11+1,1))-AVERAGE(OFFSET($H$3,0,0,'Données projet'!$E$11+1,1))</f>
        <v>134.0948534</v>
      </c>
      <c r="BJ196" s="133">
        <f t="shared" si="39"/>
        <v>108.4102536</v>
      </c>
      <c r="BK196" s="134">
        <f>IF(ISNA(VLOOKUP(A196,'Données projet'!$A$87:$I$107,3,0)),0,VLOOKUP(A196,'Données projet'!$A$87:$I$107,3,0))</f>
        <v>0</v>
      </c>
      <c r="BL196" s="134">
        <f>IF(ISNA(VLOOKUP(A196,'Données projet'!$A$87:$I$107,4,0)),0,VLOOKUP(A196,'Données projet'!$A$87:$I$107,4,0))</f>
        <v>0</v>
      </c>
      <c r="BM196" s="135">
        <f>IF(ISNA(VLOOKUP(A196,'Données projet'!$A$87:$I$107,5,0)),0%,VLOOKUP(A196,'Données projet'!$A$87:$I$107,5,0)*VLOOKUP('Données projet'!$B$11,'Paramètres'!$A$1:$I$89,7,0))</f>
        <v>0</v>
      </c>
      <c r="BN196" s="135">
        <f>IF(ISNA(VLOOKUP(A196,'Données projet'!$A$87:$I$107,6,0)),0%,VLOOKUP(A196,'Données projet'!$A$87:$I$107,6,0)*VLOOKUP('Données projet'!$B$11,'Paramètres'!$A$1:$I$89,7,0))</f>
        <v>0</v>
      </c>
      <c r="BO196" s="135">
        <f>IF(ISNA(VLOOKUP(A196,'Données projet'!$A$87:$I$107,7,0)),0%,VLOOKUP(A196,'Données projet'!$A$87:$I$107,7,0))</f>
        <v>0</v>
      </c>
      <c r="BP196" s="142">
        <f>EXP(-LN(2)/35)*BP195+(1-EXP(-LN(2)/35))/(LN(2)/35)*BL196*BM196*VLOOKUP('Données projet'!$B$11,'Paramètres'!$A$1:$I$89,3,0)*0.475*44/12</f>
        <v>14.66280947</v>
      </c>
      <c r="BQ196" s="142">
        <f>EXP(-LN(2)/25)*BQ195+(1-EXP(-LN(2)/25))/(LN(2)/25)*Calculateur!BL196*Calculateur!BN196*VLOOKUP('Données projet'!$B$11,'Paramètres'!$A$1:$I$89,3,0)*0.475*44/12</f>
        <v>0.5642077495</v>
      </c>
      <c r="BR196" s="142">
        <f>EXP(-LN(2)/2)*BR195+(1-EXP(-LN(2)/2))/(LN(2)/2)*BL196*BO196*VLOOKUP('Données projet'!$B$11,'Paramètres'!$A$1:$I$89,3,0)*0.475*44/12</f>
        <v>0</v>
      </c>
      <c r="BS196" s="143">
        <f t="shared" si="10"/>
        <v>15.22701722</v>
      </c>
      <c r="BT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1" t="str">
        <f>VLOOKUP(A196,'Données projet'!$A$113:$I$133,2,0)</f>
        <v>#N/A</v>
      </c>
      <c r="BW196" s="131" t="str">
        <f>VLOOKUP(A196,'Données projet'!$A$113:$I$133,9,0)</f>
        <v>#N/A</v>
      </c>
      <c r="BX196" s="131" t="str">
        <f t="array" ref="BX196">INDEX(BW:BW,MIN(IF(ISNUMBER(BW196:BW392),ROW(BW196:BW392),"")))</f>
        <v/>
      </c>
      <c r="BY196" s="130">
        <f>IF('Données projet'!$A$114&gt;35,BY195+BX196-CG195,IF(A196&lt;'Données projet'!$A$114,$BV$205^A196,IF(A196='Données projet'!$A$114,'Données projet'!$B$114,BY195+BX196-CG195)))</f>
        <v>0</v>
      </c>
      <c r="BZ196" s="130">
        <f>BY196*VLOOKUP('Données projet'!$B$12,'Paramètres'!$A$1:$I$89,3,0)*VLOOKUP('Données projet'!$B$12,'Paramètres'!$A$1:$I$89,5,0)</f>
        <v>0</v>
      </c>
      <c r="CA196" s="130" t="str">
        <f t="shared" si="40"/>
        <v>#NUM!</v>
      </c>
      <c r="CB196" s="141" t="str">
        <f t="shared" si="11"/>
        <v>#NUM!</v>
      </c>
      <c r="CC196" s="133" t="str">
        <f t="shared" si="12"/>
        <v>#NUM!</v>
      </c>
      <c r="CD196" s="133">
        <f>AVERAGE(OFFSET($CC$3,0,0,'Données projet'!$E$12+1,1))-AVERAGE(OFFSET($H$3,0,0,'Données projet'!$E$12+1,1))</f>
        <v>258.1672054</v>
      </c>
      <c r="CE196" s="133">
        <f t="shared" si="41"/>
        <v>296.0724261</v>
      </c>
      <c r="CF196" s="134">
        <f>IF(ISNA(VLOOKUP(A196,'Données projet'!$A$113:$I$133,3,0)),0,VLOOKUP(A196,'Données projet'!$A$113:$I$133,3,0))</f>
        <v>0</v>
      </c>
      <c r="CG196" s="134">
        <f>IF(ISNA(VLOOKUP(A196,'Données projet'!$A$113:$I$133,4,0)),0,VLOOKUP(A196,'Données projet'!$A$113:$I$133,4,0))</f>
        <v>0</v>
      </c>
      <c r="CH196" s="135">
        <f>IF(ISNA(VLOOKUP(A196,'Données projet'!$A$113:$I$133,5,0)),0%,VLOOKUP(A196,'Données projet'!$A$113:$I$133,5,0)*VLOOKUP('Données projet'!$B$12,'Paramètres'!$A$1:$I$89,7,0))</f>
        <v>0</v>
      </c>
      <c r="CI196" s="135">
        <f>IF(ISNA(VLOOKUP(A196,'Données projet'!$A$113:$I$133,6,0)),0%,VLOOKUP(A196,'Données projet'!$A$113:$I$133,6,0)*VLOOKUP('Données projet'!$B$12,'Paramètres'!$A$1:$I$89,7,0))</f>
        <v>0</v>
      </c>
      <c r="CJ196" s="135">
        <f>IF(ISNA(VLOOKUP(A196,'Données projet'!$A$113:$I$133,7,0)),0%,VLOOKUP(A196,'Données projet'!$A$113:$I$133,7,0))</f>
        <v>0</v>
      </c>
      <c r="CK196" s="142">
        <f>EXP(-LN(2)/35)*CK195+(1-EXP(-LN(2)/35))/(LN(2)/35)*CG196*CH196*VLOOKUP('Données projet'!$B$12,'Paramètres'!$A$1:$I$89,3,0)*0.475*44/12</f>
        <v>18.53827671</v>
      </c>
      <c r="CL196" s="142">
        <f>EXP(-LN(2)/25)*CL195+(1-EXP(-LN(2)/25))/(LN(2)/25)*Calculateur!CG196*Calculateur!CI196*VLOOKUP('Données projet'!$B$12,'Paramètres'!$A$1:$I$89,3,0)*0.475*44/12</f>
        <v>0.9896524211</v>
      </c>
      <c r="CM196" s="142">
        <f>EXP(-LN(2)/2)*CM195+(1-EXP(-LN(2)/2))/(LN(2)/2)*CG196*CJ196*VLOOKUP('Données projet'!$B$12,'Paramètres'!$A$1:$I$89,3,0)*0.475*44/12</f>
        <v>0</v>
      </c>
      <c r="CN196" s="143">
        <f t="shared" si="13"/>
        <v>19.52792913</v>
      </c>
      <c r="CO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1" t="str">
        <f>VLOOKUP(A196,'Données projet'!$A$139:$I$159,2,0)</f>
        <v>#N/A</v>
      </c>
      <c r="CR196" s="131" t="str">
        <f>VLOOKUP(A196,'Données projet'!$A$139:$I$159,9,0)</f>
        <v>#N/A</v>
      </c>
      <c r="CS196" s="131" t="str">
        <f t="array" ref="CS196">INDEX(CR:CR,MIN(IF(ISNUMBER(CR196:CR392),ROW(CR196:CR392),"")))</f>
        <v/>
      </c>
      <c r="CT196" s="138">
        <f>IF('Données projet'!$A$140&gt;35,CT195+CS196-DB195,IF(A196&lt;'Données projet'!$A$140,$CQ$205^A196,IF(A196='Données projet'!$A$140,'Données projet'!$B$140,CT195+CS196-DB195)))</f>
        <v>0</v>
      </c>
      <c r="CU196" s="138">
        <f>CT196*VLOOKUP('Données projet'!$B$13,'Paramètres'!$A$1:$I$89,3,0)*VLOOKUP('Données projet'!$B$13,'Paramètres'!$A$1:$I$89,5,0)</f>
        <v>0</v>
      </c>
      <c r="CV196" s="130" t="str">
        <f t="shared" si="42"/>
        <v>#NUM!</v>
      </c>
      <c r="CW196" s="141" t="str">
        <f t="shared" si="14"/>
        <v>#NUM!</v>
      </c>
      <c r="CX196" s="133" t="str">
        <f t="shared" si="15"/>
        <v>#NUM!</v>
      </c>
      <c r="CY196" s="133">
        <f>AVERAGE(OFFSET($CX$3,0,0,'Données projet'!$E$13+1,1))-AVERAGE(OFFSET($H$3,0,0,'Données projet'!$E$13+1,1))</f>
        <v>223.783507</v>
      </c>
      <c r="CZ196" s="133">
        <f t="shared" si="43"/>
        <v>84.92349117</v>
      </c>
      <c r="DA196" s="134">
        <f>IF(ISNA(VLOOKUP(A196,'Données projet'!$A$139:$I$159,3,0)),0,VLOOKUP(A196,'Données projet'!$A$139:$I$159,3,0))</f>
        <v>0</v>
      </c>
      <c r="DB196" s="134">
        <f>IF(ISNA(VLOOKUP(A196,'Données projet'!$A$139:$I$159,4,0)),0,VLOOKUP(A196,'Données projet'!$A$139:$I$159,4,0))</f>
        <v>0</v>
      </c>
      <c r="DC196" s="135">
        <f>IF(ISNA(VLOOKUP(A196,'Données projet'!$A$139:$I$159,5,0)),0%,VLOOKUP(A196,'Données projet'!$A$139:$I$159,5,0)*VLOOKUP('Données projet'!$B$13,'Paramètres'!$A$1:$I$89,7,0))</f>
        <v>0</v>
      </c>
      <c r="DD196" s="135">
        <f>IF(ISNA(VLOOKUP(A196,'Données projet'!$A$139:$I$159,6,0)),0%,VLOOKUP(A196,'Données projet'!$A$139:$I$159,6,0)*VLOOKUP('Données projet'!$B$13,'Paramètres'!$A$1:$I$89,7,0))</f>
        <v>0</v>
      </c>
      <c r="DE196" s="135">
        <f>IF(ISNA(VLOOKUP(A196,'Données projet'!$A$139:$I$159,7,0)),0%,VLOOKUP(A196,'Données projet'!$A$139:$I$159,7,0))</f>
        <v>0</v>
      </c>
      <c r="DF196" s="142">
        <f>EXP(-LN(2)/35)*DF195+(1-EXP(-LN(2)/35))/(LN(2)/35)*DB196*DC196*VLOOKUP('Données projet'!$B$13,'Paramètres'!$A$1:$I$89,3,0)*0.475*44/12</f>
        <v>47.61356873</v>
      </c>
      <c r="DG196" s="142">
        <f>EXP(-LN(2)/25)*DG195+(1-EXP(-LN(2)/25))/(LN(2)/25)*Calculateur!DB196*Calculateur!DD196*VLOOKUP('Données projet'!$B$13,'Paramètres'!$A$1:$I$89,3,0)*0.475*44/12</f>
        <v>0</v>
      </c>
      <c r="DH196" s="142">
        <f>EXP(-LN(2)/2)*DH195+(1-EXP(-LN(2)/2))/(LN(2)/2)*DB196*DE196*VLOOKUP('Données projet'!$B$13,'Paramètres'!$A$1:$I$89,3,0)*0.475*44/12</f>
        <v>0</v>
      </c>
      <c r="DI196" s="143">
        <f t="shared" si="16"/>
        <v>47.61356873</v>
      </c>
      <c r="DJ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1" t="str">
        <f>VLOOKUP(A196,'Données projet'!$A$165:$I$185,2,0)</f>
        <v>#N/A</v>
      </c>
      <c r="DM196" s="131" t="str">
        <f>VLOOKUP(A196,'Données projet'!$A$165:$I$185,9,0)</f>
        <v>#N/A</v>
      </c>
      <c r="DN196" s="131" t="str">
        <f t="array" ref="DN196">INDEX(DM:DM,MIN(IF(ISNUMBER(DM196:DM392),ROW(DM196:DM392),"")))</f>
        <v/>
      </c>
      <c r="DO196" s="138">
        <f>IF('Données projet'!$A$166&gt;35,DO195+DN196-DW195,IF(A196&lt;'Données projet'!$A$166,$DL$205^A196,IF(A196='Données projet'!$A$166,'Données projet'!$B$166,DO195+DN196-DW195)))</f>
        <v>0</v>
      </c>
      <c r="DP196" s="138">
        <f>DO196*VLOOKUP('Données projet'!$B$14,'Paramètres'!$A$1:$I$89,3,0)*VLOOKUP('Données projet'!$B$14,'Paramètres'!$A$1:$I$89,5,0)</f>
        <v>0</v>
      </c>
      <c r="DQ196" s="130" t="str">
        <f t="shared" si="44"/>
        <v>#NUM!</v>
      </c>
      <c r="DR196" s="141" t="str">
        <f t="shared" si="17"/>
        <v>#NUM!</v>
      </c>
      <c r="DS196" s="133" t="str">
        <f t="shared" si="18"/>
        <v>#NUM!</v>
      </c>
      <c r="DT196" s="133">
        <f>AVERAGE(OFFSET($DS$3,0,0,'Données projet'!$E$14+1,1))-AVERAGE(OFFSET($H$3,0,0,'Données projet'!$E$14+1,1))</f>
        <v>287.9334714</v>
      </c>
      <c r="DU196" s="133">
        <f t="shared" si="45"/>
        <v>156.6796502</v>
      </c>
      <c r="DV196" s="134">
        <f>IF(ISNA(VLOOKUP(A196,'Données projet'!$A$165:$I$185,3,0)),0,VLOOKUP(A196,'Données projet'!$A$165:$I$185,3,0))</f>
        <v>0</v>
      </c>
      <c r="DW196" s="134">
        <f>IF(ISNA(VLOOKUP(A196,'Données projet'!$A$165:$I$185,4,0)),0,VLOOKUP(A196,'Données projet'!$A$165:$I$185,4,0))</f>
        <v>0</v>
      </c>
      <c r="DX196" s="135">
        <f>IF(ISNA(VLOOKUP(A196,'Données projet'!$A$165:$I$185,5,0)),0%,VLOOKUP(A196,'Données projet'!$A$165:$I$185,5,0)*VLOOKUP('Données projet'!$B$14,'Paramètres'!$A$1:$I$89,7,0))</f>
        <v>0</v>
      </c>
      <c r="DY196" s="135">
        <f>IF(ISNA(VLOOKUP(A196,'Données projet'!$A$165:$I$185,6,0)),0%,VLOOKUP(A196,'Données projet'!$A$165:$I$185,6,0)*VLOOKUP('Données projet'!$B$14,'Paramètres'!$A$1:$I$89,7,0))</f>
        <v>0</v>
      </c>
      <c r="DZ196" s="135">
        <f>IF(ISNA(VLOOKUP(A196,'Données projet'!$A$165:$I$185,7,0)),0%,VLOOKUP(A196,'Données projet'!$A$165:$I$185,7,0))</f>
        <v>0</v>
      </c>
      <c r="EA196" s="142">
        <f>EXP(-LN(2)/35)*EA195+(1-EXP(-LN(2)/35))/(LN(2)/35)*DW196*DX196*VLOOKUP('Données projet'!$B$14,'Paramètres'!$A$1:$I$89,3,0)*0.475*44/12</f>
        <v>55.31349389</v>
      </c>
      <c r="EB196" s="142">
        <f>EXP(-LN(2)/25)*EB195+(1-EXP(-LN(2)/25))/(LN(2)/25)*Calculateur!DW196*Calculateur!DY196*VLOOKUP('Données projet'!$B$14,'Paramètres'!$A$1:$I$89,3,0)*0.475*44/12</f>
        <v>0</v>
      </c>
      <c r="EC196" s="142">
        <f>EXP(-LN(2)/2)*EC195+(1-EXP(-LN(2)/2))/(LN(2)/2)*DW196*DZ196*VLOOKUP('Données projet'!$B$14,'Paramètres'!$A$1:$I$89,3,0)*0.475*44/12</f>
        <v>0</v>
      </c>
      <c r="ED196" s="143">
        <f t="shared" si="19"/>
        <v>55.31349389</v>
      </c>
      <c r="EE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1" t="str">
        <f>VLOOKUP(A196,'Données projet'!$A$191:$I$211,2,0)</f>
        <v>#N/A</v>
      </c>
      <c r="EH196" s="131" t="str">
        <f>VLOOKUP(A196,'Données projet'!$A$191:$I$211,9,0)</f>
        <v>#N/A</v>
      </c>
      <c r="EI196" s="131" t="str">
        <f t="array" ref="EI196">INDEX(EH:EH,MIN(IF(ISNUMBER(EH196:EH392),ROW(EH196:EH392),"")))</f>
        <v/>
      </c>
      <c r="EJ196" s="138">
        <f>IF('Données projet'!$A$192&gt;35,EJ195+EI196-ER195,IF(A196&lt;'Données projet'!$A$192,$EG$205^A196,IF(A196='Données projet'!$A$192,'Données projet'!$B$192,EJ195+EI196-ER195)))</f>
        <v>0</v>
      </c>
      <c r="EK196" s="138">
        <f>EJ196*VLOOKUP('Données projet'!$B$15,'Paramètres'!$A$1:$I$89,3,0)*VLOOKUP('Données projet'!$B$15,'Paramètres'!$A$1:$I$89,5,0)</f>
        <v>0</v>
      </c>
      <c r="EL196" s="130" t="str">
        <f t="shared" si="46"/>
        <v>#NUM!</v>
      </c>
      <c r="EM196" s="141" t="str">
        <f t="shared" si="20"/>
        <v>#NUM!</v>
      </c>
      <c r="EN196" s="133" t="str">
        <f t="shared" si="21"/>
        <v>#NUM!</v>
      </c>
      <c r="EO196" s="133">
        <f>AVERAGE(OFFSET($EN$3,0,0,'Données projet'!$E$15+1,1))-AVERAGE(OFFSET($H$3,0,0,'Données projet'!$E$15+1,1))</f>
        <v>130.3193339</v>
      </c>
      <c r="EP196" s="133">
        <f t="shared" si="47"/>
        <v>82.22784365</v>
      </c>
      <c r="EQ196" s="134">
        <f>IF(ISNA(VLOOKUP(A196,'Données projet'!$A$191:$I$211,3,0)),0,VLOOKUP(A196,'Données projet'!$A$191:$I$211,3,0))</f>
        <v>0</v>
      </c>
      <c r="ER196" s="134">
        <f>IF(ISNA(VLOOKUP(A196,'Données projet'!$A$191:$I$211,4,0)),0,VLOOKUP(A196,'Données projet'!$A$191:$I$211,4,0))</f>
        <v>0</v>
      </c>
      <c r="ES196" s="135">
        <f>IF(ISNA(VLOOKUP(A196,'Données projet'!$A$191:$I$211,5,0)),0%,VLOOKUP(A196,'Données projet'!$A$191:$I$211,5,0)*VLOOKUP('Données projet'!$B$15,'Paramètres'!$A$1:$I$89,7,0))</f>
        <v>0</v>
      </c>
      <c r="ET196" s="135">
        <f>IF(ISNA(VLOOKUP(A196,'Données projet'!$A$191:$I$211,6,0)),0%,VLOOKUP(A196,'Données projet'!$A$191:$I$211,6,0)*VLOOKUP('Données projet'!$B$15,'Paramètres'!$A$1:$I$89,7,0))</f>
        <v>0</v>
      </c>
      <c r="EU196" s="135">
        <f>IF(ISNA(VLOOKUP(A196,'Données projet'!$A$191:$I$211,7,0)),0%,VLOOKUP(A196,'Données projet'!$A$191:$I$211,7,0))</f>
        <v>0</v>
      </c>
      <c r="EV196" s="142">
        <f>EXP(-LN(2)/35)*EV195+(1-EXP(-LN(2)/35))/(LN(2)/35)*ER196*ES196*VLOOKUP('Données projet'!$B$15,'Paramètres'!$A$1:$I$89,3,0)*0.475*44/12</f>
        <v>11.3357727</v>
      </c>
      <c r="EW196" s="142">
        <f>EXP(-LN(2)/25)*EW195+(1-EXP(-LN(2)/25))/(LN(2)/25)*Calculateur!ER196*Calculateur!ET196*VLOOKUP('Données projet'!$B$15,'Paramètres'!$A$1:$I$89,3,0)*0.475*44/12</f>
        <v>0</v>
      </c>
      <c r="EX196" s="142">
        <f>EXP(-LN(2)/2)*EX195+(1-EXP(-LN(2)/2))/(LN(2)/2)*ER196*EU196*VLOOKUP('Données projet'!$B$15,'Paramètres'!$A$1:$I$89,3,0)*0.475*44/12</f>
        <v>0</v>
      </c>
      <c r="EY196" s="143">
        <f t="shared" si="22"/>
        <v>11.3357727</v>
      </c>
      <c r="EZ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1" t="str">
        <f>VLOOKUP(A196,'Données projet'!$A$217:$I$237,2,0)</f>
        <v>#N/A</v>
      </c>
      <c r="FC196" s="131" t="str">
        <f>VLOOKUP(A196,'Données projet'!$A$217:$I$237,9,0)</f>
        <v>#N/A</v>
      </c>
      <c r="FD196" s="131" t="str">
        <f t="array" ref="FD196">INDEX(FC:FC,MIN(IF(ISNUMBER(FC196:FC392),ROW(FC196:FC392),"")))</f>
        <v/>
      </c>
      <c r="FE196" s="130">
        <f>IF('Données projet'!$A$218&gt;35,FE195+FD196-FM195,IF(A196&lt;'Données projet'!$A$218,$FB$205^A196,IF(A196='Données projet'!$A$218,'Données projet'!$B$218,FE195+FD196-FM195)))</f>
        <v>0</v>
      </c>
      <c r="FF196" s="138">
        <f>FE196*VLOOKUP('Données projet'!$B$16,'Paramètres'!$A$1:$I$89,3,0)*VLOOKUP('Données projet'!$B$16,'Paramètres'!$A$1:$I$89,5,0)</f>
        <v>0</v>
      </c>
      <c r="FG196" s="130">
        <f t="shared" si="48"/>
        <v>0</v>
      </c>
      <c r="FH196" s="141">
        <f t="shared" si="23"/>
        <v>0</v>
      </c>
      <c r="FI196" s="133">
        <f t="shared" si="24"/>
        <v>293.3333333</v>
      </c>
      <c r="FJ196" s="133">
        <f>AVERAGE(OFFSET($FI$3,0,0,'Données projet'!$E$16+1,1))-AVERAGE(OFFSET($H$3,0,0,'Données projet'!$E$16+1,1))</f>
        <v>305.6252353</v>
      </c>
      <c r="FK196" s="133">
        <f t="shared" si="49"/>
        <v>331.397916</v>
      </c>
      <c r="FL196" s="134">
        <f>IF(ISNA(VLOOKUP(A196,'Données projet'!$A$217:$I$237,3,0)),0,VLOOKUP(A196,'Données projet'!$A$217:$I$237,3,0))</f>
        <v>0</v>
      </c>
      <c r="FM196" s="134">
        <f>IF(ISNA(VLOOKUP(A196,'Données projet'!$A$217:$I$237,4,0)),0,VLOOKUP(A196,'Données projet'!$A$217:$I$237,4,0))</f>
        <v>0</v>
      </c>
      <c r="FN196" s="135">
        <f>IF(ISNA(VLOOKUP(A196,'Données projet'!$A$217:$I$237,5,0)),0%,VLOOKUP(A196,'Données projet'!$A$217:$I$237,5,0)*VLOOKUP('Données projet'!$B$16,'Paramètres'!$A$1:$I$89,7,0))</f>
        <v>0</v>
      </c>
      <c r="FO196" s="135">
        <f>IF(ISNA(VLOOKUP(A196,'Données projet'!$A$217:$I$237,6,0)),0%,VLOOKUP(A196,'Données projet'!$A$217:$I$237,6,0)*VLOOKUP('Données projet'!$B$16,'Paramètres'!$A$1:$I$89,7,0))</f>
        <v>0</v>
      </c>
      <c r="FP196" s="135">
        <f>IF(ISNA(VLOOKUP(A196,'Données projet'!$A$217:$I$237,7,0)),0%,VLOOKUP(A196,'Données projet'!$A$217:$I$237,7,0))</f>
        <v>0</v>
      </c>
      <c r="FQ196" s="142">
        <f>EXP(-LN(2)/35)*FQ195+(1-EXP(-LN(2)/35))/(LN(2)/35)*FM196*FN196*VLOOKUP('Données projet'!$B$16,'Paramètres'!$A$1:$I$89,3,0)*0.475*44/12</f>
        <v>7.057990858</v>
      </c>
      <c r="FR196" s="142">
        <f>EXP(-LN(2)/25)*FR195+(1-EXP(-LN(2)/25))/(LN(2)/25)*Calculateur!FM196*Calculateur!FO196*VLOOKUP('Données projet'!$B$16,'Paramètres'!$A$1:$I$89,3,0)*0.475*44/12</f>
        <v>0</v>
      </c>
      <c r="FS196" s="142">
        <f>EXP(-LN(2)/2)*FS195+(1-EXP(-LN(2)/2))/(LN(2)/2)*FM196*FP196*VLOOKUP('Données projet'!$B$16,'Paramètres'!$A$1:$I$89,3,0)*0.475*44/12</f>
        <v>0</v>
      </c>
      <c r="FT196" s="143">
        <f t="shared" si="25"/>
        <v>7.057990858</v>
      </c>
      <c r="FU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1" t="str">
        <f>VLOOKUP(A196,'Données projet'!$A$243:$I$263,2,0)</f>
        <v>#N/A</v>
      </c>
      <c r="FX196" s="131" t="str">
        <f>VLOOKUP(A196,'Données projet'!$A$243:$I$263,9,0)</f>
        <v>#N/A</v>
      </c>
      <c r="FY196" s="131" t="str">
        <f t="array" ref="FY196">INDEX(FX:FX,MIN(IF(ISNUMBER(FX196:FX392),ROW(FX196:FX392),"")))</f>
        <v/>
      </c>
      <c r="FZ196" s="138">
        <f>IF('Données projet'!$A$244&gt;35,FZ195+FY196-GH195,IF(A196&lt;'Données projet'!$A$244,$FW$205^A196,IF(A196='Données projet'!$A$244,'Données projet'!$B$244,FZ195+FY196-GH195)))</f>
        <v>0</v>
      </c>
      <c r="GA196" s="138">
        <f>FZ196*VLOOKUP('Données projet'!$B$17,'Paramètres'!$A$1:$I$89,3,0)*VLOOKUP('Données projet'!$B$17,'Paramètres'!$A$1:$I$89,5,0)</f>
        <v>0</v>
      </c>
      <c r="GB196" s="130">
        <f t="shared" si="50"/>
        <v>0</v>
      </c>
      <c r="GC196" s="141">
        <f t="shared" si="26"/>
        <v>0</v>
      </c>
      <c r="GD196" s="133">
        <f t="shared" si="27"/>
        <v>293.3333333</v>
      </c>
      <c r="GE196" s="133">
        <f>AVERAGE(OFFSET($GD$3,0,0,'Données projet'!$E$17+1,1))-AVERAGE(OFFSET($H$3,0,0,'Données projet'!$E$17+1,1))</f>
        <v>118.7368745</v>
      </c>
      <c r="GF196" s="133">
        <f t="shared" si="51"/>
        <v>135.1233677</v>
      </c>
      <c r="GG196" s="134">
        <f>IF(ISNA(VLOOKUP(A196,'Données projet'!$A$243:$I$263,3,0)),0,VLOOKUP(A196,'Données projet'!$A$243:$I$263,3,0))</f>
        <v>0</v>
      </c>
      <c r="GH196" s="134">
        <f>IF(ISNA(VLOOKUP(A196,'Données projet'!$A$243:$I$263,4,0)),0,VLOOKUP(A196,'Données projet'!$A$243:$I$263,4,0))</f>
        <v>0</v>
      </c>
      <c r="GI196" s="135">
        <f>IF(ISNA(VLOOKUP(A196,'Données projet'!$A$243:$I$263,5,0)),0%,VLOOKUP(A196,'Données projet'!$A$243:$I$263,5,0)*VLOOKUP('Données projet'!$B$17,'Paramètres'!$A$1:$I$89,7,0))</f>
        <v>0</v>
      </c>
      <c r="GJ196" s="135">
        <f>IF(ISNA(VLOOKUP(A196,'Données projet'!$A$243:$I$263,6,0)),0%,VLOOKUP(A196,'Données projet'!$A$243:$I$263,6,0)*VLOOKUP('Données projet'!$B$17,'Paramètres'!$A$1:$I$89,7,0))</f>
        <v>0</v>
      </c>
      <c r="GK196" s="135">
        <f>IF(ISNA(VLOOKUP(A196,'Données projet'!$A$243:$I$263,7,0)),0%,VLOOKUP(A196,'Données projet'!$A$243:$I$263,7,0))</f>
        <v>0</v>
      </c>
      <c r="GL196" s="142">
        <f>EXP(-LN(2)/35)*GL195+(1-EXP(-LN(2)/35))/(LN(2)/35)*GH196*GI196*VLOOKUP('Données projet'!$B$17,'Paramètres'!$A$1:$I$89,3,0)*0.475*44/12</f>
        <v>7.456745514</v>
      </c>
      <c r="GM196" s="142">
        <f>EXP(-LN(2)/25)*GM195+(1-EXP(-LN(2)/25))/(LN(2)/25)*Calculateur!GH196*Calculateur!GJ196*VLOOKUP('Données projet'!$B$17,'Paramètres'!$A$1:$I$89,3,0)*0.475*44/12</f>
        <v>0</v>
      </c>
      <c r="GN196" s="142">
        <f>EXP(-LN(2)/2)*GN195+(1-EXP(-LN(2)/2))/(LN(2)/2)*GH196*GK196*VLOOKUP('Données projet'!$B$17,'Paramètres'!$A$1:$I$89,3,0)*0.475*44/12</f>
        <v>0</v>
      </c>
      <c r="GO196" s="142">
        <f t="shared" si="28"/>
        <v>7.456745514</v>
      </c>
      <c r="GP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1" t="str">
        <f>VLOOKUP(A196,'Données projet'!$A$269:$I$289,2,0)</f>
        <v>#N/A</v>
      </c>
      <c r="GS196" s="131" t="str">
        <f>VLOOKUP(A196,'Données projet'!$A$269:$I$289,9,0)</f>
        <v>#N/A</v>
      </c>
      <c r="GT196" s="131" t="str">
        <f t="array" ref="GT196">INDEX(GS:GS,MIN(IF(ISNUMBER(GS196:GS392),ROW(GS196:GS392),"")))</f>
        <v/>
      </c>
      <c r="GU196" s="138">
        <f>IF('Données projet'!$A$270&gt;35,GU195+GT196-HC195,IF(A196&lt;'Données projet'!$A$270,$GR$205^A196,IF(A196='Données projet'!$A$270,'Données projet'!$B$270,GU195+GT196-HC195)))</f>
        <v>0</v>
      </c>
      <c r="GV196" s="138">
        <f>GU196*VLOOKUP('Données projet'!$B$18,'Paramètres'!$A$1:$I$89,3,0)*VLOOKUP('Données projet'!$B$18,'Paramètres'!$A$1:$I$89,5,0)</f>
        <v>0</v>
      </c>
      <c r="GW196" s="130" t="str">
        <f t="shared" si="52"/>
        <v>#NUM!</v>
      </c>
      <c r="GX196" s="141" t="str">
        <f t="shared" si="29"/>
        <v>#NUM!</v>
      </c>
      <c r="GY196" s="133" t="str">
        <f t="shared" si="30"/>
        <v>#NUM!</v>
      </c>
      <c r="GZ196" s="133">
        <f>AVERAGE(OFFSET($GY$3,0,0,'Données projet'!$E$18+1,1))-AVERAGE(OFFSET($H$3,0,0,'Données projet'!$E$18+1,1))</f>
        <v>100.5427875</v>
      </c>
      <c r="HA196" s="133">
        <f t="shared" si="53"/>
        <v>92.28663609</v>
      </c>
      <c r="HB196" s="134">
        <f>IF(ISNA(VLOOKUP(A196,'Données projet'!$A$269:$I$289,3,0)),0,VLOOKUP(A196,'Données projet'!$A$269:$I$289,3,0))</f>
        <v>0</v>
      </c>
      <c r="HC196" s="134">
        <f>IF(ISNA(VLOOKUP(A196,'Données projet'!$A$269:$I$289,4,0)),0,VLOOKUP(A196,'Données projet'!$A$269:$I$289,4,0))</f>
        <v>0</v>
      </c>
      <c r="HD196" s="135">
        <f>IF(ISNA(VLOOKUP(A196,'Données projet'!$A$269:$I$289,5,0)),0%,VLOOKUP(A196,'Données projet'!$A$269:$I$289,5,0)*VLOOKUP('Données projet'!$B$18,'Paramètres'!$A$1:$I$89,7,0))</f>
        <v>0</v>
      </c>
      <c r="HE196" s="135">
        <f>IF(ISNA(VLOOKUP(A196,'Données projet'!$A$269:$I$289,6,0)),0%,VLOOKUP(A196,'Données projet'!$A$269:$I$289,6,0)*VLOOKUP('Données projet'!$B$18,'Paramètres'!$A$1:$I$89,7,0))</f>
        <v>0</v>
      </c>
      <c r="HF196" s="135">
        <f>IF(ISNA(VLOOKUP(A196,'Données projet'!$A$269:$I$289,7,0)),0%,VLOOKUP(A196,'Données projet'!$A$269:$I$289,7,0))</f>
        <v>0</v>
      </c>
      <c r="HG196" s="142">
        <f>EXP(-LN(2)/35)*HG195+(1-EXP(-LN(2)/35))/(LN(2)/35)*HC196*HD196*VLOOKUP('Données projet'!$B$18,'Paramètres'!$A$1:$I$89,3,0)*0.475*44/12</f>
        <v>5.077886387</v>
      </c>
      <c r="HH196" s="142">
        <f>EXP(-LN(2)/25)*HH195+(1-EXP(-LN(2)/25))/(LN(2)/25)*Calculateur!HC196*Calculateur!HE196*VLOOKUP('Données projet'!$B$18,'Paramètres'!$A$1:$I$89,3,0)*0.475*44/12</f>
        <v>0</v>
      </c>
      <c r="HI196" s="142">
        <f>EXP(-LN(2)/2)*HI195+(1-EXP(-LN(2)/2))/(LN(2)/2)*HC196*HF196*VLOOKUP('Données projet'!$B$18,'Paramètres'!$A$1:$I$89,3,0)*0.475*44/12</f>
        <v>0</v>
      </c>
      <c r="HJ196" s="143">
        <f t="shared" si="31"/>
        <v>5.077886387</v>
      </c>
    </row>
    <row r="197" ht="15.75" customHeight="1">
      <c r="A197" s="125">
        <f t="shared" si="32"/>
        <v>194</v>
      </c>
      <c r="B197" s="126">
        <f>'Scénario référence'!$B$16*5+'Scénario référence'!$B$17*0+'Scénario référence'!$B$18*5</f>
        <v>0</v>
      </c>
      <c r="C197" s="140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105.924</v>
      </c>
      <c r="D197" s="127">
        <f t="shared" si="33"/>
        <v>28.36854701</v>
      </c>
      <c r="E197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7">
        <f>IF(OR('Scénario référence'!$F$8&gt;0,'Scénario référence'!$F$9&gt;0),('Scénario référence'!$F$8+'Scénario référence'!$F$9)*10,0)</f>
        <v>10</v>
      </c>
      <c r="G197" s="127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1036.644223</v>
      </c>
      <c r="H197" s="128">
        <f t="shared" si="1"/>
        <v>527.226186</v>
      </c>
      <c r="I197" s="12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1" t="str">
        <f>VLOOKUP(A197,'Données projet'!$A$35:$I$55,2,0)</f>
        <v>#N/A</v>
      </c>
      <c r="L197" s="131" t="str">
        <f>VLOOKUP(A197,'Données projet'!$A$35:$I$55,9,0)</f>
        <v>#N/A</v>
      </c>
      <c r="M197" s="131" t="str">
        <f t="array" ref="M197">INDEX(L:L,MIN(IF(ISNUMBER(L197:L393),ROW(L197:L393),"")))</f>
        <v/>
      </c>
      <c r="N197" s="130">
        <f>IF('Données projet'!$A$36&gt;35,N196+M197-V196,IF(A197&lt;'Données projet'!$A$36,$K$205^A197,IF(A197='Données projet'!$A$36,'Données projet'!$B$36,N196+M197-V196)))</f>
        <v>0</v>
      </c>
      <c r="O197" s="130">
        <f>N197*VLOOKUP('Données projet'!$B$9,'Paramètres'!$A$1:$I$89,3,0)*VLOOKUP('Données projet'!$B$9,'Paramètres'!$A$1:$I$89,5,0)</f>
        <v>0</v>
      </c>
      <c r="P197" s="130">
        <f t="shared" si="34"/>
        <v>0</v>
      </c>
      <c r="Q197" s="141">
        <f t="shared" si="2"/>
        <v>0</v>
      </c>
      <c r="R197" s="133">
        <f t="shared" si="3"/>
        <v>293.3333333</v>
      </c>
      <c r="S197" s="133">
        <f>AVERAGE(OFFSET($R$3,0,0,'Données projet'!$E$9+1,1))-AVERAGE(OFFSET($H$3,0,0,'Données projet'!$E$9+1,1))</f>
        <v>126.9946492</v>
      </c>
      <c r="T197" s="133">
        <f t="shared" si="35"/>
        <v>140.039049</v>
      </c>
      <c r="U197" s="134">
        <f>IF(ISNA(VLOOKUP(A197,'Données projet'!$A$35:$I$55,3,0)),0,VLOOKUP(A197,'Données projet'!$A$35:$I$55,3,0))</f>
        <v>0</v>
      </c>
      <c r="V197" s="134">
        <f>IF(ISNA(VLOOKUP(A197,'Données projet'!$A$35:$I$55,4,0)),0,VLOOKUP(A197,'Données projet'!$A$35:$I$55,4,0))</f>
        <v>0</v>
      </c>
      <c r="W197" s="135">
        <f>IF(ISNA(VLOOKUP(A197,'Données projet'!$A$35:$I$55,5,0)),0%,VLOOKUP(A197,'Données projet'!$A$35:$I$55,5,0)*VLOOKUP('Données projet'!$B$9,'Paramètres'!$A$1:$I$89,7,0))</f>
        <v>0</v>
      </c>
      <c r="X197" s="135">
        <f>IF(ISNA(VLOOKUP(A197,'Données projet'!$A$35:$I$55,6,0)),0%,VLOOKUP(A197,'Données projet'!$A$35:$I$55,6,0)*VLOOKUP('Données projet'!$B$9,'Paramètres'!$A$1:$I$89,7,0))</f>
        <v>0</v>
      </c>
      <c r="Y197" s="135">
        <f>IF(ISNA(VLOOKUP(A197,'Données projet'!$A$35:$I$55,7,0)),0%,VLOOKUP(A197,'Données projet'!$A$35:$I$55,7,0))</f>
        <v>0</v>
      </c>
      <c r="Z197" s="142">
        <f>EXP(-LN(2)/35)*Z196+(1-EXP(-LN(2)/35))/(LN(2)/35)*V197*W197*VLOOKUP('Données projet'!$B$9,'Paramètres'!$A$1:$I$89,3,0)*0.475*44/12</f>
        <v>7.477037971</v>
      </c>
      <c r="AA197" s="142">
        <f>EXP(-LN(2)/25)*AA196+(1-EXP(-LN(2)/25))/(LN(2)/25)*Calculateur!V197*Calculateur!X197*VLOOKUP('Données projet'!$B$9,'Paramètres'!$A$1:$I$89,3,0)*0.475*44/12</f>
        <v>0.5658353415</v>
      </c>
      <c r="AB197" s="142">
        <f>EXP(-LN(2)/2)*AB196+(1-EXP(-LN(2)/2))/(LN(2)/2)*V197*Y197*VLOOKUP('Données projet'!$B$9,'Paramètres'!$A$1:$I$89,3,0)*0.475*44/12</f>
        <v>0</v>
      </c>
      <c r="AC197" s="143">
        <f t="shared" si="4"/>
        <v>8.042873312</v>
      </c>
      <c r="AD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1" t="str">
        <f>VLOOKUP(A197,'Données projet'!$A$61:$I$81,2,0)</f>
        <v>#N/A</v>
      </c>
      <c r="AG197" s="131" t="str">
        <f>VLOOKUP(A197,'Données projet'!$A$61:$I$81,9,0)</f>
        <v>#N/A</v>
      </c>
      <c r="AH197" s="131" t="str">
        <f t="array" ref="AH197">INDEX(AG:AG,MIN(IF(ISNUMBER(AG197:AG393),ROW(AG197:AG393),"")))</f>
        <v/>
      </c>
      <c r="AI197" s="130">
        <f>IF('Données projet'!$A$62&gt;35,AI196+AH197-AQ196,IF(A197&lt;'Données projet'!$A$62,$AF$205^A197,IF(A197='Données projet'!$A$62,'Données projet'!$B$62,AI196+AH197-AQ196)))</f>
        <v>0</v>
      </c>
      <c r="AJ197" s="130">
        <f>AI197*VLOOKUP('Données projet'!$B$10,'Paramètres'!$A$1:$I$89,3,0)*VLOOKUP('Données projet'!$B$10,'Paramètres'!$A$1:$I$89,5,0)</f>
        <v>0</v>
      </c>
      <c r="AK197" s="130" t="str">
        <f t="shared" si="36"/>
        <v>#NUM!</v>
      </c>
      <c r="AL197" s="141" t="str">
        <f t="shared" si="5"/>
        <v>#NUM!</v>
      </c>
      <c r="AM197" s="133" t="str">
        <f t="shared" si="6"/>
        <v>#NUM!</v>
      </c>
      <c r="AN197" s="133">
        <f>AVERAGE(OFFSET($AM$3,0,0,'Données projet'!$E$10+1,1))-AVERAGE(OFFSET($H$3,0,0,'Données projet'!$E$10+1,1))</f>
        <v>196.874484</v>
      </c>
      <c r="AO197" s="133">
        <f t="shared" si="37"/>
        <v>217.5750859</v>
      </c>
      <c r="AP197" s="134">
        <f>IF(ISNA(VLOOKUP(A197,'Données projet'!$A$61:$I$81,3,0)),0,VLOOKUP(A197,'Données projet'!$A$61:$I$81,3,0))</f>
        <v>0</v>
      </c>
      <c r="AQ197" s="134">
        <f>IF(ISNA(VLOOKUP(A197,'Données projet'!$A$61:$I$81,4,0)),0,VLOOKUP(A197,'Données projet'!$A$61:$I$81,4,0))</f>
        <v>0</v>
      </c>
      <c r="AR197" s="135">
        <f>IF(ISNA(VLOOKUP(A197,'Données projet'!$A$61:$I$81,5,0)),0%,VLOOKUP(A197,'Données projet'!$A$61:$I$81,5,0)*VLOOKUP('Données projet'!$B$10,'Paramètres'!$A$1:$I$89,7,0))</f>
        <v>0</v>
      </c>
      <c r="AS197" s="135">
        <f>IF(ISNA(VLOOKUP(A197,'Données projet'!$A$61:$I$81,6,0)),0%,VLOOKUP(A197,'Données projet'!$A$61:$I$81,6,0)*VLOOKUP('Données projet'!$B$10,'Paramètres'!$A$1:$I$89,7,0))</f>
        <v>0</v>
      </c>
      <c r="AT197" s="135">
        <f>IF(ISNA(VLOOKUP(A197,'Données projet'!$A$61:$I$81,7,0)),0%,VLOOKUP(A197,'Données projet'!$A$61:$I$81,7,0))</f>
        <v>0</v>
      </c>
      <c r="AU197" s="142">
        <f>EXP(-LN(2)/35)*AU196+(1-EXP(-LN(2)/35))/(LN(2)/35)*AQ197*AR197*VLOOKUP('Données projet'!$B$10,'Paramètres'!$A$1:$I$89,3,0)*0.475*44/12</f>
        <v>10.3928704</v>
      </c>
      <c r="AV197" s="142">
        <f>EXP(-LN(2)/25)*AV196+(1-EXP(-LN(2)/25))/(LN(2)/25)*Calculateur!AQ197*Calculateur!AS197*VLOOKUP('Données projet'!$B$10,'Paramètres'!$A$1:$I$89,3,0)*0.475*44/12</f>
        <v>0.8699725935</v>
      </c>
      <c r="AW197" s="142">
        <f>EXP(-LN(2)/2)*AW196+(1-EXP(-LN(2)/2))/(LN(2)/2)*AQ197*AT197*VLOOKUP('Données projet'!$B$10,'Paramètres'!$A$1:$I$89,3,0)*0.475*44/12</f>
        <v>0</v>
      </c>
      <c r="AX197" s="142">
        <f t="shared" si="7"/>
        <v>11.262843</v>
      </c>
      <c r="AY197" s="13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1" t="str">
        <f>VLOOKUP(A197,'Données projet'!$A$87:$I$107,2,0)</f>
        <v>#N/A</v>
      </c>
      <c r="BB197" s="131" t="str">
        <f>VLOOKUP(A197,'Données projet'!$A$87:$I$107,9,0)</f>
        <v>#N/A</v>
      </c>
      <c r="BC197" s="131" t="str">
        <f t="array" ref="BC197">INDEX(BB:BB,MIN(IF(ISNUMBER(BB197:BB393),ROW(BB197:BB393),"")))</f>
        <v/>
      </c>
      <c r="BD197" s="130">
        <f>IF('Données projet'!$A$88&gt;35,BD196+BC197-BL196,IF(A197&lt;'Données projet'!$A$88,$BA$205^A197,IF(A197='Données projet'!$A$88,'Données projet'!$B$88,BD196+BC197-BL196)))</f>
        <v>0</v>
      </c>
      <c r="BE197" s="130">
        <f>BD197*VLOOKUP('Données projet'!$B$11,'Paramètres'!$A$1:$I$89,3,0)*VLOOKUP('Données projet'!$B$11,'Paramètres'!$A$1:$I$89,5,0)</f>
        <v>0</v>
      </c>
      <c r="BF197" s="130" t="str">
        <f t="shared" si="38"/>
        <v>#NUM!</v>
      </c>
      <c r="BG197" s="141" t="str">
        <f t="shared" si="8"/>
        <v>#NUM!</v>
      </c>
      <c r="BH197" s="133" t="str">
        <f t="shared" si="9"/>
        <v>#NUM!</v>
      </c>
      <c r="BI197" s="133">
        <f>AVERAGE(OFFSET($BH$3,0,0,'Données projet'!$E$11+1,1))-AVERAGE(OFFSET($H$3,0,0,'Données projet'!$E$11+1,1))</f>
        <v>134.0948534</v>
      </c>
      <c r="BJ197" s="133">
        <f t="shared" si="39"/>
        <v>108.4102536</v>
      </c>
      <c r="BK197" s="134">
        <f>IF(ISNA(VLOOKUP(A197,'Données projet'!$A$87:$I$107,3,0)),0,VLOOKUP(A197,'Données projet'!$A$87:$I$107,3,0))</f>
        <v>0</v>
      </c>
      <c r="BL197" s="134">
        <f>IF(ISNA(VLOOKUP(A197,'Données projet'!$A$87:$I$107,4,0)),0,VLOOKUP(A197,'Données projet'!$A$87:$I$107,4,0))</f>
        <v>0</v>
      </c>
      <c r="BM197" s="135">
        <f>IF(ISNA(VLOOKUP(A197,'Données projet'!$A$87:$I$107,5,0)),0%,VLOOKUP(A197,'Données projet'!$A$87:$I$107,5,0)*VLOOKUP('Données projet'!$B$11,'Paramètres'!$A$1:$I$89,7,0))</f>
        <v>0</v>
      </c>
      <c r="BN197" s="135">
        <f>IF(ISNA(VLOOKUP(A197,'Données projet'!$A$87:$I$107,6,0)),0%,VLOOKUP(A197,'Données projet'!$A$87:$I$107,6,0)*VLOOKUP('Données projet'!$B$11,'Paramètres'!$A$1:$I$89,7,0))</f>
        <v>0</v>
      </c>
      <c r="BO197" s="135">
        <f>IF(ISNA(VLOOKUP(A197,'Données projet'!$A$87:$I$107,7,0)),0%,VLOOKUP(A197,'Données projet'!$A$87:$I$107,7,0))</f>
        <v>0</v>
      </c>
      <c r="BP197" s="142">
        <f>EXP(-LN(2)/35)*BP196+(1-EXP(-LN(2)/35))/(LN(2)/35)*BL197*BM197*VLOOKUP('Données projet'!$B$11,'Paramètres'!$A$1:$I$89,3,0)*0.475*44/12</f>
        <v>14.37528072</v>
      </c>
      <c r="BQ197" s="142">
        <f>EXP(-LN(2)/25)*BQ196+(1-EXP(-LN(2)/25))/(LN(2)/25)*Calculateur!BL197*Calculateur!BN197*VLOOKUP('Données projet'!$B$11,'Paramètres'!$A$1:$I$89,3,0)*0.475*44/12</f>
        <v>0.5487794589</v>
      </c>
      <c r="BR197" s="142">
        <f>EXP(-LN(2)/2)*BR196+(1-EXP(-LN(2)/2))/(LN(2)/2)*BL197*BO197*VLOOKUP('Données projet'!$B$11,'Paramètres'!$A$1:$I$89,3,0)*0.475*44/12</f>
        <v>0</v>
      </c>
      <c r="BS197" s="143">
        <f t="shared" si="10"/>
        <v>14.92406018</v>
      </c>
      <c r="BT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1" t="str">
        <f>VLOOKUP(A197,'Données projet'!$A$113:$I$133,2,0)</f>
        <v>#N/A</v>
      </c>
      <c r="BW197" s="131" t="str">
        <f>VLOOKUP(A197,'Données projet'!$A$113:$I$133,9,0)</f>
        <v>#N/A</v>
      </c>
      <c r="BX197" s="131" t="str">
        <f t="array" ref="BX197">INDEX(BW:BW,MIN(IF(ISNUMBER(BW197:BW393),ROW(BW197:BW393),"")))</f>
        <v/>
      </c>
      <c r="BY197" s="130">
        <f>IF('Données projet'!$A$114&gt;35,BY196+BX197-CG196,IF(A197&lt;'Données projet'!$A$114,$BV$205^A197,IF(A197='Données projet'!$A$114,'Données projet'!$B$114,BY196+BX197-CG196)))</f>
        <v>0</v>
      </c>
      <c r="BZ197" s="130">
        <f>BY197*VLOOKUP('Données projet'!$B$12,'Paramètres'!$A$1:$I$89,3,0)*VLOOKUP('Données projet'!$B$12,'Paramètres'!$A$1:$I$89,5,0)</f>
        <v>0</v>
      </c>
      <c r="CA197" s="130" t="str">
        <f t="shared" si="40"/>
        <v>#NUM!</v>
      </c>
      <c r="CB197" s="141" t="str">
        <f t="shared" si="11"/>
        <v>#NUM!</v>
      </c>
      <c r="CC197" s="133" t="str">
        <f t="shared" si="12"/>
        <v>#NUM!</v>
      </c>
      <c r="CD197" s="133">
        <f>AVERAGE(OFFSET($CC$3,0,0,'Données projet'!$E$12+1,1))-AVERAGE(OFFSET($H$3,0,0,'Données projet'!$E$12+1,1))</f>
        <v>258.1672054</v>
      </c>
      <c r="CE197" s="133">
        <f t="shared" si="41"/>
        <v>296.0724261</v>
      </c>
      <c r="CF197" s="134">
        <f>IF(ISNA(VLOOKUP(A197,'Données projet'!$A$113:$I$133,3,0)),0,VLOOKUP(A197,'Données projet'!$A$113:$I$133,3,0))</f>
        <v>0</v>
      </c>
      <c r="CG197" s="134">
        <f>IF(ISNA(VLOOKUP(A197,'Données projet'!$A$113:$I$133,4,0)),0,VLOOKUP(A197,'Données projet'!$A$113:$I$133,4,0))</f>
        <v>0</v>
      </c>
      <c r="CH197" s="135">
        <f>IF(ISNA(VLOOKUP(A197,'Données projet'!$A$113:$I$133,5,0)),0%,VLOOKUP(A197,'Données projet'!$A$113:$I$133,5,0)*VLOOKUP('Données projet'!$B$12,'Paramètres'!$A$1:$I$89,7,0))</f>
        <v>0</v>
      </c>
      <c r="CI197" s="135">
        <f>IF(ISNA(VLOOKUP(A197,'Données projet'!$A$113:$I$133,6,0)),0%,VLOOKUP(A197,'Données projet'!$A$113:$I$133,6,0)*VLOOKUP('Données projet'!$B$12,'Paramètres'!$A$1:$I$89,7,0))</f>
        <v>0</v>
      </c>
      <c r="CJ197" s="135">
        <f>IF(ISNA(VLOOKUP(A197,'Données projet'!$A$113:$I$133,7,0)),0%,VLOOKUP(A197,'Données projet'!$A$113:$I$133,7,0))</f>
        <v>0</v>
      </c>
      <c r="CK197" s="142">
        <f>EXP(-LN(2)/35)*CK196+(1-EXP(-LN(2)/35))/(LN(2)/35)*CG197*CH197*VLOOKUP('Données projet'!$B$12,'Paramètres'!$A$1:$I$89,3,0)*0.475*44/12</f>
        <v>18.17475241</v>
      </c>
      <c r="CL197" s="142">
        <f>EXP(-LN(2)/25)*CL196+(1-EXP(-LN(2)/25))/(LN(2)/25)*Calculateur!CG197*Calculateur!CI197*VLOOKUP('Données projet'!$B$12,'Paramètres'!$A$1:$I$89,3,0)*0.475*44/12</f>
        <v>0.9625903236</v>
      </c>
      <c r="CM197" s="142">
        <f>EXP(-LN(2)/2)*CM196+(1-EXP(-LN(2)/2))/(LN(2)/2)*CG197*CJ197*VLOOKUP('Données projet'!$B$12,'Paramètres'!$A$1:$I$89,3,0)*0.475*44/12</f>
        <v>0</v>
      </c>
      <c r="CN197" s="143">
        <f t="shared" si="13"/>
        <v>19.13734274</v>
      </c>
      <c r="CO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1" t="str">
        <f>VLOOKUP(A197,'Données projet'!$A$139:$I$159,2,0)</f>
        <v>#N/A</v>
      </c>
      <c r="CR197" s="131" t="str">
        <f>VLOOKUP(A197,'Données projet'!$A$139:$I$159,9,0)</f>
        <v>#N/A</v>
      </c>
      <c r="CS197" s="131" t="str">
        <f t="array" ref="CS197">INDEX(CR:CR,MIN(IF(ISNUMBER(CR197:CR393),ROW(CR197:CR393),"")))</f>
        <v/>
      </c>
      <c r="CT197" s="138">
        <f>IF('Données projet'!$A$140&gt;35,CT196+CS197-DB196,IF(A197&lt;'Données projet'!$A$140,$CQ$205^A197,IF(A197='Données projet'!$A$140,'Données projet'!$B$140,CT196+CS197-DB196)))</f>
        <v>0</v>
      </c>
      <c r="CU197" s="138">
        <f>CT197*VLOOKUP('Données projet'!$B$13,'Paramètres'!$A$1:$I$89,3,0)*VLOOKUP('Données projet'!$B$13,'Paramètres'!$A$1:$I$89,5,0)</f>
        <v>0</v>
      </c>
      <c r="CV197" s="130" t="str">
        <f t="shared" si="42"/>
        <v>#NUM!</v>
      </c>
      <c r="CW197" s="141" t="str">
        <f t="shared" si="14"/>
        <v>#NUM!</v>
      </c>
      <c r="CX197" s="133" t="str">
        <f t="shared" si="15"/>
        <v>#NUM!</v>
      </c>
      <c r="CY197" s="133">
        <f>AVERAGE(OFFSET($CX$3,0,0,'Données projet'!$E$13+1,1))-AVERAGE(OFFSET($H$3,0,0,'Données projet'!$E$13+1,1))</f>
        <v>223.783507</v>
      </c>
      <c r="CZ197" s="133">
        <f t="shared" si="43"/>
        <v>84.92349117</v>
      </c>
      <c r="DA197" s="134">
        <f>IF(ISNA(VLOOKUP(A197,'Données projet'!$A$139:$I$159,3,0)),0,VLOOKUP(A197,'Données projet'!$A$139:$I$159,3,0))</f>
        <v>0</v>
      </c>
      <c r="DB197" s="134">
        <f>IF(ISNA(VLOOKUP(A197,'Données projet'!$A$139:$I$159,4,0)),0,VLOOKUP(A197,'Données projet'!$A$139:$I$159,4,0))</f>
        <v>0</v>
      </c>
      <c r="DC197" s="135">
        <f>IF(ISNA(VLOOKUP(A197,'Données projet'!$A$139:$I$159,5,0)),0%,VLOOKUP(A197,'Données projet'!$A$139:$I$159,5,0)*VLOOKUP('Données projet'!$B$13,'Paramètres'!$A$1:$I$89,7,0))</f>
        <v>0</v>
      </c>
      <c r="DD197" s="135">
        <f>IF(ISNA(VLOOKUP(A197,'Données projet'!$A$139:$I$159,6,0)),0%,VLOOKUP(A197,'Données projet'!$A$139:$I$159,6,0)*VLOOKUP('Données projet'!$B$13,'Paramètres'!$A$1:$I$89,7,0))</f>
        <v>0</v>
      </c>
      <c r="DE197" s="135">
        <f>IF(ISNA(VLOOKUP(A197,'Données projet'!$A$139:$I$159,7,0)),0%,VLOOKUP(A197,'Données projet'!$A$139:$I$159,7,0))</f>
        <v>0</v>
      </c>
      <c r="DF197" s="142">
        <f>EXP(-LN(2)/35)*DF196+(1-EXP(-LN(2)/35))/(LN(2)/35)*DB197*DC197*VLOOKUP('Données projet'!$B$13,'Paramètres'!$A$1:$I$89,3,0)*0.475*44/12</f>
        <v>46.67989569</v>
      </c>
      <c r="DG197" s="142">
        <f>EXP(-LN(2)/25)*DG196+(1-EXP(-LN(2)/25))/(LN(2)/25)*Calculateur!DB197*Calculateur!DD197*VLOOKUP('Données projet'!$B$13,'Paramètres'!$A$1:$I$89,3,0)*0.475*44/12</f>
        <v>0</v>
      </c>
      <c r="DH197" s="142">
        <f>EXP(-LN(2)/2)*DH196+(1-EXP(-LN(2)/2))/(LN(2)/2)*DB197*DE197*VLOOKUP('Données projet'!$B$13,'Paramètres'!$A$1:$I$89,3,0)*0.475*44/12</f>
        <v>0</v>
      </c>
      <c r="DI197" s="143">
        <f t="shared" si="16"/>
        <v>46.67989569</v>
      </c>
      <c r="DJ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1" t="str">
        <f>VLOOKUP(A197,'Données projet'!$A$165:$I$185,2,0)</f>
        <v>#N/A</v>
      </c>
      <c r="DM197" s="131" t="str">
        <f>VLOOKUP(A197,'Données projet'!$A$165:$I$185,9,0)</f>
        <v>#N/A</v>
      </c>
      <c r="DN197" s="131" t="str">
        <f t="array" ref="DN197">INDEX(DM:DM,MIN(IF(ISNUMBER(DM197:DM393),ROW(DM197:DM393),"")))</f>
        <v/>
      </c>
      <c r="DO197" s="138">
        <f>IF('Données projet'!$A$166&gt;35,DO196+DN197-DW196,IF(A197&lt;'Données projet'!$A$166,$DL$205^A197,IF(A197='Données projet'!$A$166,'Données projet'!$B$166,DO196+DN197-DW196)))</f>
        <v>0</v>
      </c>
      <c r="DP197" s="138">
        <f>DO197*VLOOKUP('Données projet'!$B$14,'Paramètres'!$A$1:$I$89,3,0)*VLOOKUP('Données projet'!$B$14,'Paramètres'!$A$1:$I$89,5,0)</f>
        <v>0</v>
      </c>
      <c r="DQ197" s="130" t="str">
        <f t="shared" si="44"/>
        <v>#NUM!</v>
      </c>
      <c r="DR197" s="141" t="str">
        <f t="shared" si="17"/>
        <v>#NUM!</v>
      </c>
      <c r="DS197" s="133" t="str">
        <f t="shared" si="18"/>
        <v>#NUM!</v>
      </c>
      <c r="DT197" s="133">
        <f>AVERAGE(OFFSET($DS$3,0,0,'Données projet'!$E$14+1,1))-AVERAGE(OFFSET($H$3,0,0,'Données projet'!$E$14+1,1))</f>
        <v>287.9334714</v>
      </c>
      <c r="DU197" s="133">
        <f t="shared" si="45"/>
        <v>156.6796502</v>
      </c>
      <c r="DV197" s="134">
        <f>IF(ISNA(VLOOKUP(A197,'Données projet'!$A$165:$I$185,3,0)),0,VLOOKUP(A197,'Données projet'!$A$165:$I$185,3,0))</f>
        <v>0</v>
      </c>
      <c r="DW197" s="134">
        <f>IF(ISNA(VLOOKUP(A197,'Données projet'!$A$165:$I$185,4,0)),0,VLOOKUP(A197,'Données projet'!$A$165:$I$185,4,0))</f>
        <v>0</v>
      </c>
      <c r="DX197" s="135">
        <f>IF(ISNA(VLOOKUP(A197,'Données projet'!$A$165:$I$185,5,0)),0%,VLOOKUP(A197,'Données projet'!$A$165:$I$185,5,0)*VLOOKUP('Données projet'!$B$14,'Paramètres'!$A$1:$I$89,7,0))</f>
        <v>0</v>
      </c>
      <c r="DY197" s="135">
        <f>IF(ISNA(VLOOKUP(A197,'Données projet'!$A$165:$I$185,6,0)),0%,VLOOKUP(A197,'Données projet'!$A$165:$I$185,6,0)*VLOOKUP('Données projet'!$B$14,'Paramètres'!$A$1:$I$89,7,0))</f>
        <v>0</v>
      </c>
      <c r="DZ197" s="135">
        <f>IF(ISNA(VLOOKUP(A197,'Données projet'!$A$165:$I$185,7,0)),0%,VLOOKUP(A197,'Données projet'!$A$165:$I$185,7,0))</f>
        <v>0</v>
      </c>
      <c r="EA197" s="142">
        <f>EXP(-LN(2)/35)*EA196+(1-EXP(-LN(2)/35))/(LN(2)/35)*DW197*DX197*VLOOKUP('Données projet'!$B$14,'Paramètres'!$A$1:$I$89,3,0)*0.475*44/12</f>
        <v>54.22883002</v>
      </c>
      <c r="EB197" s="142">
        <f>EXP(-LN(2)/25)*EB196+(1-EXP(-LN(2)/25))/(LN(2)/25)*Calculateur!DW197*Calculateur!DY197*VLOOKUP('Données projet'!$B$14,'Paramètres'!$A$1:$I$89,3,0)*0.475*44/12</f>
        <v>0</v>
      </c>
      <c r="EC197" s="142">
        <f>EXP(-LN(2)/2)*EC196+(1-EXP(-LN(2)/2))/(LN(2)/2)*DW197*DZ197*VLOOKUP('Données projet'!$B$14,'Paramètres'!$A$1:$I$89,3,0)*0.475*44/12</f>
        <v>0</v>
      </c>
      <c r="ED197" s="143">
        <f t="shared" si="19"/>
        <v>54.22883002</v>
      </c>
      <c r="EE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1" t="str">
        <f>VLOOKUP(A197,'Données projet'!$A$191:$I$211,2,0)</f>
        <v>#N/A</v>
      </c>
      <c r="EH197" s="131" t="str">
        <f>VLOOKUP(A197,'Données projet'!$A$191:$I$211,9,0)</f>
        <v>#N/A</v>
      </c>
      <c r="EI197" s="131" t="str">
        <f t="array" ref="EI197">INDEX(EH:EH,MIN(IF(ISNUMBER(EH197:EH393),ROW(EH197:EH393),"")))</f>
        <v/>
      </c>
      <c r="EJ197" s="138">
        <f>IF('Données projet'!$A$192&gt;35,EJ196+EI197-ER196,IF(A197&lt;'Données projet'!$A$192,$EG$205^A197,IF(A197='Données projet'!$A$192,'Données projet'!$B$192,EJ196+EI197-ER196)))</f>
        <v>0</v>
      </c>
      <c r="EK197" s="138">
        <f>EJ197*VLOOKUP('Données projet'!$B$15,'Paramètres'!$A$1:$I$89,3,0)*VLOOKUP('Données projet'!$B$15,'Paramètres'!$A$1:$I$89,5,0)</f>
        <v>0</v>
      </c>
      <c r="EL197" s="130" t="str">
        <f t="shared" si="46"/>
        <v>#NUM!</v>
      </c>
      <c r="EM197" s="141" t="str">
        <f t="shared" si="20"/>
        <v>#NUM!</v>
      </c>
      <c r="EN197" s="133" t="str">
        <f t="shared" si="21"/>
        <v>#NUM!</v>
      </c>
      <c r="EO197" s="133">
        <f>AVERAGE(OFFSET($EN$3,0,0,'Données projet'!$E$15+1,1))-AVERAGE(OFFSET($H$3,0,0,'Données projet'!$E$15+1,1))</f>
        <v>130.3193339</v>
      </c>
      <c r="EP197" s="133">
        <f t="shared" si="47"/>
        <v>82.22784365</v>
      </c>
      <c r="EQ197" s="134">
        <f>IF(ISNA(VLOOKUP(A197,'Données projet'!$A$191:$I$211,3,0)),0,VLOOKUP(A197,'Données projet'!$A$191:$I$211,3,0))</f>
        <v>0</v>
      </c>
      <c r="ER197" s="134">
        <f>IF(ISNA(VLOOKUP(A197,'Données projet'!$A$191:$I$211,4,0)),0,VLOOKUP(A197,'Données projet'!$A$191:$I$211,4,0))</f>
        <v>0</v>
      </c>
      <c r="ES197" s="135">
        <f>IF(ISNA(VLOOKUP(A197,'Données projet'!$A$191:$I$211,5,0)),0%,VLOOKUP(A197,'Données projet'!$A$191:$I$211,5,0)*VLOOKUP('Données projet'!$B$15,'Paramètres'!$A$1:$I$89,7,0))</f>
        <v>0</v>
      </c>
      <c r="ET197" s="135">
        <f>IF(ISNA(VLOOKUP(A197,'Données projet'!$A$191:$I$211,6,0)),0%,VLOOKUP(A197,'Données projet'!$A$191:$I$211,6,0)*VLOOKUP('Données projet'!$B$15,'Paramètres'!$A$1:$I$89,7,0))</f>
        <v>0</v>
      </c>
      <c r="EU197" s="135">
        <f>IF(ISNA(VLOOKUP(A197,'Données projet'!$A$191:$I$211,7,0)),0%,VLOOKUP(A197,'Données projet'!$A$191:$I$211,7,0))</f>
        <v>0</v>
      </c>
      <c r="EV197" s="142">
        <f>EXP(-LN(2)/35)*EV196+(1-EXP(-LN(2)/35))/(LN(2)/35)*ER197*ES197*VLOOKUP('Données projet'!$B$15,'Paramètres'!$A$1:$I$89,3,0)*0.475*44/12</f>
        <v>11.11348512</v>
      </c>
      <c r="EW197" s="142">
        <f>EXP(-LN(2)/25)*EW196+(1-EXP(-LN(2)/25))/(LN(2)/25)*Calculateur!ER197*Calculateur!ET197*VLOOKUP('Données projet'!$B$15,'Paramètres'!$A$1:$I$89,3,0)*0.475*44/12</f>
        <v>0</v>
      </c>
      <c r="EX197" s="142">
        <f>EXP(-LN(2)/2)*EX196+(1-EXP(-LN(2)/2))/(LN(2)/2)*ER197*EU197*VLOOKUP('Données projet'!$B$15,'Paramètres'!$A$1:$I$89,3,0)*0.475*44/12</f>
        <v>0</v>
      </c>
      <c r="EY197" s="143">
        <f t="shared" si="22"/>
        <v>11.11348512</v>
      </c>
      <c r="EZ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1" t="str">
        <f>VLOOKUP(A197,'Données projet'!$A$217:$I$237,2,0)</f>
        <v>#N/A</v>
      </c>
      <c r="FC197" s="131" t="str">
        <f>VLOOKUP(A197,'Données projet'!$A$217:$I$237,9,0)</f>
        <v>#N/A</v>
      </c>
      <c r="FD197" s="131" t="str">
        <f t="array" ref="FD197">INDEX(FC:FC,MIN(IF(ISNUMBER(FC197:FC393),ROW(FC197:FC393),"")))</f>
        <v/>
      </c>
      <c r="FE197" s="130">
        <f>IF('Données projet'!$A$218&gt;35,FE196+FD197-FM196,IF(A197&lt;'Données projet'!$A$218,$FB$205^A197,IF(A197='Données projet'!$A$218,'Données projet'!$B$218,FE196+FD197-FM196)))</f>
        <v>0</v>
      </c>
      <c r="FF197" s="138">
        <f>FE197*VLOOKUP('Données projet'!$B$16,'Paramètres'!$A$1:$I$89,3,0)*VLOOKUP('Données projet'!$B$16,'Paramètres'!$A$1:$I$89,5,0)</f>
        <v>0</v>
      </c>
      <c r="FG197" s="130">
        <f t="shared" si="48"/>
        <v>0</v>
      </c>
      <c r="FH197" s="141">
        <f t="shared" si="23"/>
        <v>0</v>
      </c>
      <c r="FI197" s="133">
        <f t="shared" si="24"/>
        <v>293.3333333</v>
      </c>
      <c r="FJ197" s="133">
        <f>AVERAGE(OFFSET($FI$3,0,0,'Données projet'!$E$16+1,1))-AVERAGE(OFFSET($H$3,0,0,'Données projet'!$E$16+1,1))</f>
        <v>305.6252353</v>
      </c>
      <c r="FK197" s="133">
        <f t="shared" si="49"/>
        <v>331.397916</v>
      </c>
      <c r="FL197" s="134">
        <f>IF(ISNA(VLOOKUP(A197,'Données projet'!$A$217:$I$237,3,0)),0,VLOOKUP(A197,'Données projet'!$A$217:$I$237,3,0))</f>
        <v>0</v>
      </c>
      <c r="FM197" s="134">
        <f>IF(ISNA(VLOOKUP(A197,'Données projet'!$A$217:$I$237,4,0)),0,VLOOKUP(A197,'Données projet'!$A$217:$I$237,4,0))</f>
        <v>0</v>
      </c>
      <c r="FN197" s="135">
        <f>IF(ISNA(VLOOKUP(A197,'Données projet'!$A$217:$I$237,5,0)),0%,VLOOKUP(A197,'Données projet'!$A$217:$I$237,5,0)*VLOOKUP('Données projet'!$B$16,'Paramètres'!$A$1:$I$89,7,0))</f>
        <v>0</v>
      </c>
      <c r="FO197" s="135">
        <f>IF(ISNA(VLOOKUP(A197,'Données projet'!$A$217:$I$237,6,0)),0%,VLOOKUP(A197,'Données projet'!$A$217:$I$237,6,0)*VLOOKUP('Données projet'!$B$16,'Paramètres'!$A$1:$I$89,7,0))</f>
        <v>0</v>
      </c>
      <c r="FP197" s="135">
        <f>IF(ISNA(VLOOKUP(A197,'Données projet'!$A$217:$I$237,7,0)),0%,VLOOKUP(A197,'Données projet'!$A$217:$I$237,7,0))</f>
        <v>0</v>
      </c>
      <c r="FQ197" s="142">
        <f>EXP(-LN(2)/35)*FQ196+(1-EXP(-LN(2)/35))/(LN(2)/35)*FM197*FN197*VLOOKUP('Données projet'!$B$16,'Paramètres'!$A$1:$I$89,3,0)*0.475*44/12</f>
        <v>6.919587962</v>
      </c>
      <c r="FR197" s="142">
        <f>EXP(-LN(2)/25)*FR196+(1-EXP(-LN(2)/25))/(LN(2)/25)*Calculateur!FM197*Calculateur!FO197*VLOOKUP('Données projet'!$B$16,'Paramètres'!$A$1:$I$89,3,0)*0.475*44/12</f>
        <v>0</v>
      </c>
      <c r="FS197" s="142">
        <f>EXP(-LN(2)/2)*FS196+(1-EXP(-LN(2)/2))/(LN(2)/2)*FM197*FP197*VLOOKUP('Données projet'!$B$16,'Paramètres'!$A$1:$I$89,3,0)*0.475*44/12</f>
        <v>0</v>
      </c>
      <c r="FT197" s="143">
        <f t="shared" si="25"/>
        <v>6.919587962</v>
      </c>
      <c r="FU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1" t="str">
        <f>VLOOKUP(A197,'Données projet'!$A$243:$I$263,2,0)</f>
        <v>#N/A</v>
      </c>
      <c r="FX197" s="131" t="str">
        <f>VLOOKUP(A197,'Données projet'!$A$243:$I$263,9,0)</f>
        <v>#N/A</v>
      </c>
      <c r="FY197" s="131" t="str">
        <f t="array" ref="FY197">INDEX(FX:FX,MIN(IF(ISNUMBER(FX197:FX393),ROW(FX197:FX393),"")))</f>
        <v/>
      </c>
      <c r="FZ197" s="138">
        <f>IF('Données projet'!$A$244&gt;35,FZ196+FY197-GH196,IF(A197&lt;'Données projet'!$A$244,$FW$205^A197,IF(A197='Données projet'!$A$244,'Données projet'!$B$244,FZ196+FY197-GH196)))</f>
        <v>0</v>
      </c>
      <c r="GA197" s="138">
        <f>FZ197*VLOOKUP('Données projet'!$B$17,'Paramètres'!$A$1:$I$89,3,0)*VLOOKUP('Données projet'!$B$17,'Paramètres'!$A$1:$I$89,5,0)</f>
        <v>0</v>
      </c>
      <c r="GB197" s="130">
        <f t="shared" si="50"/>
        <v>0</v>
      </c>
      <c r="GC197" s="141">
        <f t="shared" si="26"/>
        <v>0</v>
      </c>
      <c r="GD197" s="133">
        <f t="shared" si="27"/>
        <v>293.3333333</v>
      </c>
      <c r="GE197" s="133">
        <f>AVERAGE(OFFSET($GD$3,0,0,'Données projet'!$E$17+1,1))-AVERAGE(OFFSET($H$3,0,0,'Données projet'!$E$17+1,1))</f>
        <v>118.7368745</v>
      </c>
      <c r="GF197" s="133">
        <f t="shared" si="51"/>
        <v>135.1233677</v>
      </c>
      <c r="GG197" s="134">
        <f>IF(ISNA(VLOOKUP(A197,'Données projet'!$A$243:$I$263,3,0)),0,VLOOKUP(A197,'Données projet'!$A$243:$I$263,3,0))</f>
        <v>0</v>
      </c>
      <c r="GH197" s="134">
        <f>IF(ISNA(VLOOKUP(A197,'Données projet'!$A$243:$I$263,4,0)),0,VLOOKUP(A197,'Données projet'!$A$243:$I$263,4,0))</f>
        <v>0</v>
      </c>
      <c r="GI197" s="135">
        <f>IF(ISNA(VLOOKUP(A197,'Données projet'!$A$243:$I$263,5,0)),0%,VLOOKUP(A197,'Données projet'!$A$243:$I$263,5,0)*VLOOKUP('Données projet'!$B$17,'Paramètres'!$A$1:$I$89,7,0))</f>
        <v>0</v>
      </c>
      <c r="GJ197" s="135">
        <f>IF(ISNA(VLOOKUP(A197,'Données projet'!$A$243:$I$263,6,0)),0%,VLOOKUP(A197,'Données projet'!$A$243:$I$263,6,0)*VLOOKUP('Données projet'!$B$17,'Paramètres'!$A$1:$I$89,7,0))</f>
        <v>0</v>
      </c>
      <c r="GK197" s="135">
        <f>IF(ISNA(VLOOKUP(A197,'Données projet'!$A$243:$I$263,7,0)),0%,VLOOKUP(A197,'Données projet'!$A$243:$I$263,7,0))</f>
        <v>0</v>
      </c>
      <c r="GL197" s="142">
        <f>EXP(-LN(2)/35)*GL196+(1-EXP(-LN(2)/35))/(LN(2)/35)*GH197*GI197*VLOOKUP('Données projet'!$B$17,'Paramètres'!$A$1:$I$89,3,0)*0.475*44/12</f>
        <v>7.310523283</v>
      </c>
      <c r="GM197" s="142">
        <f>EXP(-LN(2)/25)*GM196+(1-EXP(-LN(2)/25))/(LN(2)/25)*Calculateur!GH197*Calculateur!GJ197*VLOOKUP('Données projet'!$B$17,'Paramètres'!$A$1:$I$89,3,0)*0.475*44/12</f>
        <v>0</v>
      </c>
      <c r="GN197" s="142">
        <f>EXP(-LN(2)/2)*GN196+(1-EXP(-LN(2)/2))/(LN(2)/2)*GH197*GK197*VLOOKUP('Données projet'!$B$17,'Paramètres'!$A$1:$I$89,3,0)*0.475*44/12</f>
        <v>0</v>
      </c>
      <c r="GO197" s="142">
        <f t="shared" si="28"/>
        <v>7.310523283</v>
      </c>
      <c r="GP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1" t="str">
        <f>VLOOKUP(A197,'Données projet'!$A$269:$I$289,2,0)</f>
        <v>#N/A</v>
      </c>
      <c r="GS197" s="131" t="str">
        <f>VLOOKUP(A197,'Données projet'!$A$269:$I$289,9,0)</f>
        <v>#N/A</v>
      </c>
      <c r="GT197" s="131" t="str">
        <f t="array" ref="GT197">INDEX(GS:GS,MIN(IF(ISNUMBER(GS197:GS393),ROW(GS197:GS393),"")))</f>
        <v/>
      </c>
      <c r="GU197" s="138">
        <f>IF('Données projet'!$A$270&gt;35,GU196+GT197-HC196,IF(A197&lt;'Données projet'!$A$270,$GR$205^A197,IF(A197='Données projet'!$A$270,'Données projet'!$B$270,GU196+GT197-HC196)))</f>
        <v>0</v>
      </c>
      <c r="GV197" s="138">
        <f>GU197*VLOOKUP('Données projet'!$B$18,'Paramètres'!$A$1:$I$89,3,0)*VLOOKUP('Données projet'!$B$18,'Paramètres'!$A$1:$I$89,5,0)</f>
        <v>0</v>
      </c>
      <c r="GW197" s="130" t="str">
        <f t="shared" si="52"/>
        <v>#NUM!</v>
      </c>
      <c r="GX197" s="141" t="str">
        <f t="shared" si="29"/>
        <v>#NUM!</v>
      </c>
      <c r="GY197" s="133" t="str">
        <f t="shared" si="30"/>
        <v>#NUM!</v>
      </c>
      <c r="GZ197" s="133">
        <f>AVERAGE(OFFSET($GY$3,0,0,'Données projet'!$E$18+1,1))-AVERAGE(OFFSET($H$3,0,0,'Données projet'!$E$18+1,1))</f>
        <v>100.5427875</v>
      </c>
      <c r="HA197" s="133">
        <f t="shared" si="53"/>
        <v>92.28663609</v>
      </c>
      <c r="HB197" s="134">
        <f>IF(ISNA(VLOOKUP(A197,'Données projet'!$A$269:$I$289,3,0)),0,VLOOKUP(A197,'Données projet'!$A$269:$I$289,3,0))</f>
        <v>0</v>
      </c>
      <c r="HC197" s="134">
        <f>IF(ISNA(VLOOKUP(A197,'Données projet'!$A$269:$I$289,4,0)),0,VLOOKUP(A197,'Données projet'!$A$269:$I$289,4,0))</f>
        <v>0</v>
      </c>
      <c r="HD197" s="135">
        <f>IF(ISNA(VLOOKUP(A197,'Données projet'!$A$269:$I$289,5,0)),0%,VLOOKUP(A197,'Données projet'!$A$269:$I$289,5,0)*VLOOKUP('Données projet'!$B$18,'Paramètres'!$A$1:$I$89,7,0))</f>
        <v>0</v>
      </c>
      <c r="HE197" s="135">
        <f>IF(ISNA(VLOOKUP(A197,'Données projet'!$A$269:$I$289,6,0)),0%,VLOOKUP(A197,'Données projet'!$A$269:$I$289,6,0)*VLOOKUP('Données projet'!$B$18,'Paramètres'!$A$1:$I$89,7,0))</f>
        <v>0</v>
      </c>
      <c r="HF197" s="135">
        <f>IF(ISNA(VLOOKUP(A197,'Données projet'!$A$269:$I$289,7,0)),0%,VLOOKUP(A197,'Données projet'!$A$269:$I$289,7,0))</f>
        <v>0</v>
      </c>
      <c r="HG197" s="142">
        <f>EXP(-LN(2)/35)*HG196+(1-EXP(-LN(2)/35))/(LN(2)/35)*HC197*HD197*VLOOKUP('Données projet'!$B$18,'Paramètres'!$A$1:$I$89,3,0)*0.475*44/12</f>
        <v>4.978312132</v>
      </c>
      <c r="HH197" s="142">
        <f>EXP(-LN(2)/25)*HH196+(1-EXP(-LN(2)/25))/(LN(2)/25)*Calculateur!HC197*Calculateur!HE197*VLOOKUP('Données projet'!$B$18,'Paramètres'!$A$1:$I$89,3,0)*0.475*44/12</f>
        <v>0</v>
      </c>
      <c r="HI197" s="142">
        <f>EXP(-LN(2)/2)*HI196+(1-EXP(-LN(2)/2))/(LN(2)/2)*HC197*HF197*VLOOKUP('Données projet'!$B$18,'Paramètres'!$A$1:$I$89,3,0)*0.475*44/12</f>
        <v>0</v>
      </c>
      <c r="HJ197" s="143">
        <f t="shared" si="31"/>
        <v>4.978312132</v>
      </c>
    </row>
    <row r="198" ht="15.75" customHeight="1">
      <c r="A198" s="125">
        <f t="shared" si="32"/>
        <v>195</v>
      </c>
      <c r="B198" s="126">
        <f>'Scénario référence'!$B$16*5+'Scénario référence'!$B$17*0+'Scénario référence'!$B$18*5</f>
        <v>0</v>
      </c>
      <c r="C198" s="140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106.47</v>
      </c>
      <c r="D198" s="127">
        <f t="shared" si="33"/>
        <v>28.49771682</v>
      </c>
      <c r="E198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7">
        <f>IF(OR('Scénario référence'!$F$8&gt;0,'Scénario référence'!$F$9&gt;0),('Scénario référence'!$F$8+'Scénario référence'!$F$9)*10,0)</f>
        <v>10</v>
      </c>
      <c r="G198" s="127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1041.85606</v>
      </c>
      <c r="H198" s="128">
        <f t="shared" si="1"/>
        <v>528.4021068</v>
      </c>
      <c r="I198" s="12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1" t="str">
        <f>VLOOKUP(A198,'Données projet'!$A$35:$I$55,2,0)</f>
        <v>#N/A</v>
      </c>
      <c r="L198" s="131" t="str">
        <f>VLOOKUP(A198,'Données projet'!$A$35:$I$55,9,0)</f>
        <v>#N/A</v>
      </c>
      <c r="M198" s="131" t="str">
        <f t="array" ref="M198">INDEX(L:L,MIN(IF(ISNUMBER(L198:L394),ROW(L198:L394),"")))</f>
        <v/>
      </c>
      <c r="N198" s="130">
        <f>IF('Données projet'!$A$36&gt;35,N197+M198-V197,IF(A198&lt;'Données projet'!$A$36,$K$205^A198,IF(A198='Données projet'!$A$36,'Données projet'!$B$36,N197+M198-V197)))</f>
        <v>0</v>
      </c>
      <c r="O198" s="130">
        <f>N198*VLOOKUP('Données projet'!$B$9,'Paramètres'!$A$1:$I$89,3,0)*VLOOKUP('Données projet'!$B$9,'Paramètres'!$A$1:$I$89,5,0)</f>
        <v>0</v>
      </c>
      <c r="P198" s="130">
        <f t="shared" si="34"/>
        <v>0</v>
      </c>
      <c r="Q198" s="141">
        <f t="shared" si="2"/>
        <v>0</v>
      </c>
      <c r="R198" s="133">
        <f t="shared" si="3"/>
        <v>293.3333333</v>
      </c>
      <c r="S198" s="133">
        <f>AVERAGE(OFFSET($R$3,0,0,'Données projet'!$E$9+1,1))-AVERAGE(OFFSET($H$3,0,0,'Données projet'!$E$9+1,1))</f>
        <v>126.9946492</v>
      </c>
      <c r="T198" s="133">
        <f t="shared" si="35"/>
        <v>140.039049</v>
      </c>
      <c r="U198" s="134">
        <f>IF(ISNA(VLOOKUP(A198,'Données projet'!$A$35:$I$55,3,0)),0,VLOOKUP(A198,'Données projet'!$A$35:$I$55,3,0))</f>
        <v>0</v>
      </c>
      <c r="V198" s="134">
        <f>IF(ISNA(VLOOKUP(A198,'Données projet'!$A$35:$I$55,4,0)),0,VLOOKUP(A198,'Données projet'!$A$35:$I$55,4,0))</f>
        <v>0</v>
      </c>
      <c r="W198" s="135">
        <f>IF(ISNA(VLOOKUP(A198,'Données projet'!$A$35:$I$55,5,0)),0%,VLOOKUP(A198,'Données projet'!$A$35:$I$55,5,0)*VLOOKUP('Données projet'!$B$9,'Paramètres'!$A$1:$I$89,7,0))</f>
        <v>0</v>
      </c>
      <c r="X198" s="135">
        <f>IF(ISNA(VLOOKUP(A198,'Données projet'!$A$35:$I$55,6,0)),0%,VLOOKUP(A198,'Données projet'!$A$35:$I$55,6,0)*VLOOKUP('Données projet'!$B$9,'Paramètres'!$A$1:$I$89,7,0))</f>
        <v>0</v>
      </c>
      <c r="Y198" s="135">
        <f>IF(ISNA(VLOOKUP(A198,'Données projet'!$A$35:$I$55,7,0)),0%,VLOOKUP(A198,'Données projet'!$A$35:$I$55,7,0))</f>
        <v>0</v>
      </c>
      <c r="Z198" s="142">
        <f>EXP(-LN(2)/35)*Z197+(1-EXP(-LN(2)/35))/(LN(2)/35)*V198*W198*VLOOKUP('Données projet'!$B$9,'Paramètres'!$A$1:$I$89,3,0)*0.475*44/12</f>
        <v>7.330417817</v>
      </c>
      <c r="AA198" s="142">
        <f>EXP(-LN(2)/25)*AA197+(1-EXP(-LN(2)/25))/(LN(2)/25)*Calculateur!V198*Calculateur!X198*VLOOKUP('Données projet'!$B$9,'Paramètres'!$A$1:$I$89,3,0)*0.475*44/12</f>
        <v>0.5503625443</v>
      </c>
      <c r="AB198" s="142">
        <f>EXP(-LN(2)/2)*AB197+(1-EXP(-LN(2)/2))/(LN(2)/2)*V198*Y198*VLOOKUP('Données projet'!$B$9,'Paramètres'!$A$1:$I$89,3,0)*0.475*44/12</f>
        <v>0</v>
      </c>
      <c r="AC198" s="143">
        <f t="shared" si="4"/>
        <v>7.880780361</v>
      </c>
      <c r="AD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1" t="str">
        <f>VLOOKUP(A198,'Données projet'!$A$61:$I$81,2,0)</f>
        <v>#N/A</v>
      </c>
      <c r="AG198" s="131" t="str">
        <f>VLOOKUP(A198,'Données projet'!$A$61:$I$81,9,0)</f>
        <v>#N/A</v>
      </c>
      <c r="AH198" s="131" t="str">
        <f t="array" ref="AH198">INDEX(AG:AG,MIN(IF(ISNUMBER(AG198:AG394),ROW(AG198:AG394),"")))</f>
        <v/>
      </c>
      <c r="AI198" s="130">
        <f>IF('Données projet'!$A$62&gt;35,AI197+AH198-AQ197,IF(A198&lt;'Données projet'!$A$62,$AF$205^A198,IF(A198='Données projet'!$A$62,'Données projet'!$B$62,AI197+AH198-AQ197)))</f>
        <v>0</v>
      </c>
      <c r="AJ198" s="130">
        <f>AI198*VLOOKUP('Données projet'!$B$10,'Paramètres'!$A$1:$I$89,3,0)*VLOOKUP('Données projet'!$B$10,'Paramètres'!$A$1:$I$89,5,0)</f>
        <v>0</v>
      </c>
      <c r="AK198" s="130" t="str">
        <f t="shared" si="36"/>
        <v>#NUM!</v>
      </c>
      <c r="AL198" s="141" t="str">
        <f t="shared" si="5"/>
        <v>#NUM!</v>
      </c>
      <c r="AM198" s="133" t="str">
        <f t="shared" si="6"/>
        <v>#NUM!</v>
      </c>
      <c r="AN198" s="133">
        <f>AVERAGE(OFFSET($AM$3,0,0,'Données projet'!$E$10+1,1))-AVERAGE(OFFSET($H$3,0,0,'Données projet'!$E$10+1,1))</f>
        <v>196.874484</v>
      </c>
      <c r="AO198" s="133">
        <f t="shared" si="37"/>
        <v>217.5750859</v>
      </c>
      <c r="AP198" s="134">
        <f>IF(ISNA(VLOOKUP(A198,'Données projet'!$A$61:$I$81,3,0)),0,VLOOKUP(A198,'Données projet'!$A$61:$I$81,3,0))</f>
        <v>0</v>
      </c>
      <c r="AQ198" s="134">
        <f>IF(ISNA(VLOOKUP(A198,'Données projet'!$A$61:$I$81,4,0)),0,VLOOKUP(A198,'Données projet'!$A$61:$I$81,4,0))</f>
        <v>0</v>
      </c>
      <c r="AR198" s="135">
        <f>IF(ISNA(VLOOKUP(A198,'Données projet'!$A$61:$I$81,5,0)),0%,VLOOKUP(A198,'Données projet'!$A$61:$I$81,5,0)*VLOOKUP('Données projet'!$B$10,'Paramètres'!$A$1:$I$89,7,0))</f>
        <v>0</v>
      </c>
      <c r="AS198" s="135">
        <f>IF(ISNA(VLOOKUP(A198,'Données projet'!$A$61:$I$81,6,0)),0%,VLOOKUP(A198,'Données projet'!$A$61:$I$81,6,0)*VLOOKUP('Données projet'!$B$10,'Paramètres'!$A$1:$I$89,7,0))</f>
        <v>0</v>
      </c>
      <c r="AT198" s="135">
        <f>IF(ISNA(VLOOKUP(A198,'Données projet'!$A$61:$I$81,7,0)),0%,VLOOKUP(A198,'Données projet'!$A$61:$I$81,7,0))</f>
        <v>0</v>
      </c>
      <c r="AU198" s="142">
        <f>EXP(-LN(2)/35)*AU197+(1-EXP(-LN(2)/35))/(LN(2)/35)*AQ198*AR198*VLOOKUP('Données projet'!$B$10,'Paramètres'!$A$1:$I$89,3,0)*0.475*44/12</f>
        <v>10.18907255</v>
      </c>
      <c r="AV198" s="142">
        <f>EXP(-LN(2)/25)*AV197+(1-EXP(-LN(2)/25))/(LN(2)/25)*Calculateur!AQ198*Calculateur!AS198*VLOOKUP('Données projet'!$B$10,'Paramètres'!$A$1:$I$89,3,0)*0.475*44/12</f>
        <v>0.8461831472</v>
      </c>
      <c r="AW198" s="142">
        <f>EXP(-LN(2)/2)*AW197+(1-EXP(-LN(2)/2))/(LN(2)/2)*AQ198*AT198*VLOOKUP('Données projet'!$B$10,'Paramètres'!$A$1:$I$89,3,0)*0.475*44/12</f>
        <v>0</v>
      </c>
      <c r="AX198" s="142">
        <f t="shared" si="7"/>
        <v>11.0352557</v>
      </c>
      <c r="AY198" s="13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1" t="str">
        <f>VLOOKUP(A198,'Données projet'!$A$87:$I$107,2,0)</f>
        <v>#N/A</v>
      </c>
      <c r="BB198" s="131" t="str">
        <f>VLOOKUP(A198,'Données projet'!$A$87:$I$107,9,0)</f>
        <v>#N/A</v>
      </c>
      <c r="BC198" s="131" t="str">
        <f t="array" ref="BC198">INDEX(BB:BB,MIN(IF(ISNUMBER(BB198:BB394),ROW(BB198:BB394),"")))</f>
        <v/>
      </c>
      <c r="BD198" s="130">
        <f>IF('Données projet'!$A$88&gt;35,BD197+BC198-BL197,IF(A198&lt;'Données projet'!$A$88,$BA$205^A198,IF(A198='Données projet'!$A$88,'Données projet'!$B$88,BD197+BC198-BL197)))</f>
        <v>0</v>
      </c>
      <c r="BE198" s="130">
        <f>BD198*VLOOKUP('Données projet'!$B$11,'Paramètres'!$A$1:$I$89,3,0)*VLOOKUP('Données projet'!$B$11,'Paramètres'!$A$1:$I$89,5,0)</f>
        <v>0</v>
      </c>
      <c r="BF198" s="130" t="str">
        <f t="shared" si="38"/>
        <v>#NUM!</v>
      </c>
      <c r="BG198" s="141" t="str">
        <f t="shared" si="8"/>
        <v>#NUM!</v>
      </c>
      <c r="BH198" s="133" t="str">
        <f t="shared" si="9"/>
        <v>#NUM!</v>
      </c>
      <c r="BI198" s="133">
        <f>AVERAGE(OFFSET($BH$3,0,0,'Données projet'!$E$11+1,1))-AVERAGE(OFFSET($H$3,0,0,'Données projet'!$E$11+1,1))</f>
        <v>134.0948534</v>
      </c>
      <c r="BJ198" s="133">
        <f t="shared" si="39"/>
        <v>108.4102536</v>
      </c>
      <c r="BK198" s="134">
        <f>IF(ISNA(VLOOKUP(A198,'Données projet'!$A$87:$I$107,3,0)),0,VLOOKUP(A198,'Données projet'!$A$87:$I$107,3,0))</f>
        <v>0</v>
      </c>
      <c r="BL198" s="134">
        <f>IF(ISNA(VLOOKUP(A198,'Données projet'!$A$87:$I$107,4,0)),0,VLOOKUP(A198,'Données projet'!$A$87:$I$107,4,0))</f>
        <v>0</v>
      </c>
      <c r="BM198" s="135">
        <f>IF(ISNA(VLOOKUP(A198,'Données projet'!$A$87:$I$107,5,0)),0%,VLOOKUP(A198,'Données projet'!$A$87:$I$107,5,0)*VLOOKUP('Données projet'!$B$11,'Paramètres'!$A$1:$I$89,7,0))</f>
        <v>0</v>
      </c>
      <c r="BN198" s="135">
        <f>IF(ISNA(VLOOKUP(A198,'Données projet'!$A$87:$I$107,6,0)),0%,VLOOKUP(A198,'Données projet'!$A$87:$I$107,6,0)*VLOOKUP('Données projet'!$B$11,'Paramètres'!$A$1:$I$89,7,0))</f>
        <v>0</v>
      </c>
      <c r="BO198" s="135">
        <f>IF(ISNA(VLOOKUP(A198,'Données projet'!$A$87:$I$107,7,0)),0%,VLOOKUP(A198,'Données projet'!$A$87:$I$107,7,0))</f>
        <v>0</v>
      </c>
      <c r="BP198" s="142">
        <f>EXP(-LN(2)/35)*BP197+(1-EXP(-LN(2)/35))/(LN(2)/35)*BL198*BM198*VLOOKUP('Données projet'!$B$11,'Paramètres'!$A$1:$I$89,3,0)*0.475*44/12</f>
        <v>14.09339024</v>
      </c>
      <c r="BQ198" s="142">
        <f>EXP(-LN(2)/25)*BQ197+(1-EXP(-LN(2)/25))/(LN(2)/25)*Calculateur!BL198*Calculateur!BN198*VLOOKUP('Données projet'!$B$11,'Paramètres'!$A$1:$I$89,3,0)*0.475*44/12</f>
        <v>0.5337730558</v>
      </c>
      <c r="BR198" s="142">
        <f>EXP(-LN(2)/2)*BR197+(1-EXP(-LN(2)/2))/(LN(2)/2)*BL198*BO198*VLOOKUP('Données projet'!$B$11,'Paramètres'!$A$1:$I$89,3,0)*0.475*44/12</f>
        <v>0</v>
      </c>
      <c r="BS198" s="143">
        <f t="shared" si="10"/>
        <v>14.62716329</v>
      </c>
      <c r="BT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1" t="str">
        <f>VLOOKUP(A198,'Données projet'!$A$113:$I$133,2,0)</f>
        <v>#N/A</v>
      </c>
      <c r="BW198" s="131" t="str">
        <f>VLOOKUP(A198,'Données projet'!$A$113:$I$133,9,0)</f>
        <v>#N/A</v>
      </c>
      <c r="BX198" s="131" t="str">
        <f t="array" ref="BX198">INDEX(BW:BW,MIN(IF(ISNUMBER(BW198:BW394),ROW(BW198:BW394),"")))</f>
        <v/>
      </c>
      <c r="BY198" s="130">
        <f>IF('Données projet'!$A$114&gt;35,BY197+BX198-CG197,IF(A198&lt;'Données projet'!$A$114,$BV$205^A198,IF(A198='Données projet'!$A$114,'Données projet'!$B$114,BY197+BX198-CG197)))</f>
        <v>0</v>
      </c>
      <c r="BZ198" s="130">
        <f>BY198*VLOOKUP('Données projet'!$B$12,'Paramètres'!$A$1:$I$89,3,0)*VLOOKUP('Données projet'!$B$12,'Paramètres'!$A$1:$I$89,5,0)</f>
        <v>0</v>
      </c>
      <c r="CA198" s="130" t="str">
        <f t="shared" si="40"/>
        <v>#NUM!</v>
      </c>
      <c r="CB198" s="141" t="str">
        <f t="shared" si="11"/>
        <v>#NUM!</v>
      </c>
      <c r="CC198" s="133" t="str">
        <f t="shared" si="12"/>
        <v>#NUM!</v>
      </c>
      <c r="CD198" s="133">
        <f>AVERAGE(OFFSET($CC$3,0,0,'Données projet'!$E$12+1,1))-AVERAGE(OFFSET($H$3,0,0,'Données projet'!$E$12+1,1))</f>
        <v>258.1672054</v>
      </c>
      <c r="CE198" s="133">
        <f t="shared" si="41"/>
        <v>296.0724261</v>
      </c>
      <c r="CF198" s="134">
        <f>IF(ISNA(VLOOKUP(A198,'Données projet'!$A$113:$I$133,3,0)),0,VLOOKUP(A198,'Données projet'!$A$113:$I$133,3,0))</f>
        <v>0</v>
      </c>
      <c r="CG198" s="134">
        <f>IF(ISNA(VLOOKUP(A198,'Données projet'!$A$113:$I$133,4,0)),0,VLOOKUP(A198,'Données projet'!$A$113:$I$133,4,0))</f>
        <v>0</v>
      </c>
      <c r="CH198" s="135">
        <f>IF(ISNA(VLOOKUP(A198,'Données projet'!$A$113:$I$133,5,0)),0%,VLOOKUP(A198,'Données projet'!$A$113:$I$133,5,0)*VLOOKUP('Données projet'!$B$12,'Paramètres'!$A$1:$I$89,7,0))</f>
        <v>0</v>
      </c>
      <c r="CI198" s="135">
        <f>IF(ISNA(VLOOKUP(A198,'Données projet'!$A$113:$I$133,6,0)),0%,VLOOKUP(A198,'Données projet'!$A$113:$I$133,6,0)*VLOOKUP('Données projet'!$B$12,'Paramètres'!$A$1:$I$89,7,0))</f>
        <v>0</v>
      </c>
      <c r="CJ198" s="135">
        <f>IF(ISNA(VLOOKUP(A198,'Données projet'!$A$113:$I$133,7,0)),0%,VLOOKUP(A198,'Données projet'!$A$113:$I$133,7,0))</f>
        <v>0</v>
      </c>
      <c r="CK198" s="142">
        <f>EXP(-LN(2)/35)*CK197+(1-EXP(-LN(2)/35))/(LN(2)/35)*CG198*CH198*VLOOKUP('Données projet'!$B$12,'Paramètres'!$A$1:$I$89,3,0)*0.475*44/12</f>
        <v>17.8183566</v>
      </c>
      <c r="CL198" s="142">
        <f>EXP(-LN(2)/25)*CL197+(1-EXP(-LN(2)/25))/(LN(2)/25)*Calculateur!CG198*Calculateur!CI198*VLOOKUP('Données projet'!$B$12,'Paramètres'!$A$1:$I$89,3,0)*0.475*44/12</f>
        <v>0.9362682406</v>
      </c>
      <c r="CM198" s="142">
        <f>EXP(-LN(2)/2)*CM197+(1-EXP(-LN(2)/2))/(LN(2)/2)*CG198*CJ198*VLOOKUP('Données projet'!$B$12,'Paramètres'!$A$1:$I$89,3,0)*0.475*44/12</f>
        <v>0</v>
      </c>
      <c r="CN198" s="143">
        <f t="shared" si="13"/>
        <v>18.75462484</v>
      </c>
      <c r="CO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1" t="str">
        <f>VLOOKUP(A198,'Données projet'!$A$139:$I$159,2,0)</f>
        <v>#N/A</v>
      </c>
      <c r="CR198" s="131" t="str">
        <f>VLOOKUP(A198,'Données projet'!$A$139:$I$159,9,0)</f>
        <v>#N/A</v>
      </c>
      <c r="CS198" s="131" t="str">
        <f t="array" ref="CS198">INDEX(CR:CR,MIN(IF(ISNUMBER(CR198:CR394),ROW(CR198:CR394),"")))</f>
        <v/>
      </c>
      <c r="CT198" s="138">
        <f>IF('Données projet'!$A$140&gt;35,CT197+CS198-DB197,IF(A198&lt;'Données projet'!$A$140,$CQ$205^A198,IF(A198='Données projet'!$A$140,'Données projet'!$B$140,CT197+CS198-DB197)))</f>
        <v>0</v>
      </c>
      <c r="CU198" s="138">
        <f>CT198*VLOOKUP('Données projet'!$B$13,'Paramètres'!$A$1:$I$89,3,0)*VLOOKUP('Données projet'!$B$13,'Paramètres'!$A$1:$I$89,5,0)</f>
        <v>0</v>
      </c>
      <c r="CV198" s="130" t="str">
        <f t="shared" si="42"/>
        <v>#NUM!</v>
      </c>
      <c r="CW198" s="141" t="str">
        <f t="shared" si="14"/>
        <v>#NUM!</v>
      </c>
      <c r="CX198" s="133" t="str">
        <f t="shared" si="15"/>
        <v>#NUM!</v>
      </c>
      <c r="CY198" s="133">
        <f>AVERAGE(OFFSET($CX$3,0,0,'Données projet'!$E$13+1,1))-AVERAGE(OFFSET($H$3,0,0,'Données projet'!$E$13+1,1))</f>
        <v>223.783507</v>
      </c>
      <c r="CZ198" s="133">
        <f t="shared" si="43"/>
        <v>84.92349117</v>
      </c>
      <c r="DA198" s="134">
        <f>IF(ISNA(VLOOKUP(A198,'Données projet'!$A$139:$I$159,3,0)),0,VLOOKUP(A198,'Données projet'!$A$139:$I$159,3,0))</f>
        <v>0</v>
      </c>
      <c r="DB198" s="134">
        <f>IF(ISNA(VLOOKUP(A198,'Données projet'!$A$139:$I$159,4,0)),0,VLOOKUP(A198,'Données projet'!$A$139:$I$159,4,0))</f>
        <v>0</v>
      </c>
      <c r="DC198" s="135">
        <f>IF(ISNA(VLOOKUP(A198,'Données projet'!$A$139:$I$159,5,0)),0%,VLOOKUP(A198,'Données projet'!$A$139:$I$159,5,0)*VLOOKUP('Données projet'!$B$13,'Paramètres'!$A$1:$I$89,7,0))</f>
        <v>0</v>
      </c>
      <c r="DD198" s="135">
        <f>IF(ISNA(VLOOKUP(A198,'Données projet'!$A$139:$I$159,6,0)),0%,VLOOKUP(A198,'Données projet'!$A$139:$I$159,6,0)*VLOOKUP('Données projet'!$B$13,'Paramètres'!$A$1:$I$89,7,0))</f>
        <v>0</v>
      </c>
      <c r="DE198" s="135">
        <f>IF(ISNA(VLOOKUP(A198,'Données projet'!$A$139:$I$159,7,0)),0%,VLOOKUP(A198,'Données projet'!$A$139:$I$159,7,0))</f>
        <v>0</v>
      </c>
      <c r="DF198" s="142">
        <f>EXP(-LN(2)/35)*DF197+(1-EXP(-LN(2)/35))/(LN(2)/35)*DB198*DC198*VLOOKUP('Données projet'!$B$13,'Paramètres'!$A$1:$I$89,3,0)*0.475*44/12</f>
        <v>45.76453141</v>
      </c>
      <c r="DG198" s="142">
        <f>EXP(-LN(2)/25)*DG197+(1-EXP(-LN(2)/25))/(LN(2)/25)*Calculateur!DB198*Calculateur!DD198*VLOOKUP('Données projet'!$B$13,'Paramètres'!$A$1:$I$89,3,0)*0.475*44/12</f>
        <v>0</v>
      </c>
      <c r="DH198" s="142">
        <f>EXP(-LN(2)/2)*DH197+(1-EXP(-LN(2)/2))/(LN(2)/2)*DB198*DE198*VLOOKUP('Données projet'!$B$13,'Paramètres'!$A$1:$I$89,3,0)*0.475*44/12</f>
        <v>0</v>
      </c>
      <c r="DI198" s="143">
        <f t="shared" si="16"/>
        <v>45.76453141</v>
      </c>
      <c r="DJ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1" t="str">
        <f>VLOOKUP(A198,'Données projet'!$A$165:$I$185,2,0)</f>
        <v>#N/A</v>
      </c>
      <c r="DM198" s="131" t="str">
        <f>VLOOKUP(A198,'Données projet'!$A$165:$I$185,9,0)</f>
        <v>#N/A</v>
      </c>
      <c r="DN198" s="131" t="str">
        <f t="array" ref="DN198">INDEX(DM:DM,MIN(IF(ISNUMBER(DM198:DM394),ROW(DM198:DM394),"")))</f>
        <v/>
      </c>
      <c r="DO198" s="138">
        <f>IF('Données projet'!$A$166&gt;35,DO197+DN198-DW197,IF(A198&lt;'Données projet'!$A$166,$DL$205^A198,IF(A198='Données projet'!$A$166,'Données projet'!$B$166,DO197+DN198-DW197)))</f>
        <v>0</v>
      </c>
      <c r="DP198" s="138">
        <f>DO198*VLOOKUP('Données projet'!$B$14,'Paramètres'!$A$1:$I$89,3,0)*VLOOKUP('Données projet'!$B$14,'Paramètres'!$A$1:$I$89,5,0)</f>
        <v>0</v>
      </c>
      <c r="DQ198" s="130" t="str">
        <f t="shared" si="44"/>
        <v>#NUM!</v>
      </c>
      <c r="DR198" s="141" t="str">
        <f t="shared" si="17"/>
        <v>#NUM!</v>
      </c>
      <c r="DS198" s="133" t="str">
        <f t="shared" si="18"/>
        <v>#NUM!</v>
      </c>
      <c r="DT198" s="133">
        <f>AVERAGE(OFFSET($DS$3,0,0,'Données projet'!$E$14+1,1))-AVERAGE(OFFSET($H$3,0,0,'Données projet'!$E$14+1,1))</f>
        <v>287.9334714</v>
      </c>
      <c r="DU198" s="133">
        <f t="shared" si="45"/>
        <v>156.6796502</v>
      </c>
      <c r="DV198" s="134">
        <f>IF(ISNA(VLOOKUP(A198,'Données projet'!$A$165:$I$185,3,0)),0,VLOOKUP(A198,'Données projet'!$A$165:$I$185,3,0))</f>
        <v>0</v>
      </c>
      <c r="DW198" s="134">
        <f>IF(ISNA(VLOOKUP(A198,'Données projet'!$A$165:$I$185,4,0)),0,VLOOKUP(A198,'Données projet'!$A$165:$I$185,4,0))</f>
        <v>0</v>
      </c>
      <c r="DX198" s="135">
        <f>IF(ISNA(VLOOKUP(A198,'Données projet'!$A$165:$I$185,5,0)),0%,VLOOKUP(A198,'Données projet'!$A$165:$I$185,5,0)*VLOOKUP('Données projet'!$B$14,'Paramètres'!$A$1:$I$89,7,0))</f>
        <v>0</v>
      </c>
      <c r="DY198" s="135">
        <f>IF(ISNA(VLOOKUP(A198,'Données projet'!$A$165:$I$185,6,0)),0%,VLOOKUP(A198,'Données projet'!$A$165:$I$185,6,0)*VLOOKUP('Données projet'!$B$14,'Paramètres'!$A$1:$I$89,7,0))</f>
        <v>0</v>
      </c>
      <c r="DZ198" s="135">
        <f>IF(ISNA(VLOOKUP(A198,'Données projet'!$A$165:$I$185,7,0)),0%,VLOOKUP(A198,'Données projet'!$A$165:$I$185,7,0))</f>
        <v>0</v>
      </c>
      <c r="EA198" s="142">
        <f>EXP(-LN(2)/35)*EA197+(1-EXP(-LN(2)/35))/(LN(2)/35)*DW198*DX198*VLOOKUP('Données projet'!$B$14,'Paramètres'!$A$1:$I$89,3,0)*0.475*44/12</f>
        <v>53.16543574</v>
      </c>
      <c r="EB198" s="142">
        <f>EXP(-LN(2)/25)*EB197+(1-EXP(-LN(2)/25))/(LN(2)/25)*Calculateur!DW198*Calculateur!DY198*VLOOKUP('Données projet'!$B$14,'Paramètres'!$A$1:$I$89,3,0)*0.475*44/12</f>
        <v>0</v>
      </c>
      <c r="EC198" s="142">
        <f>EXP(-LN(2)/2)*EC197+(1-EXP(-LN(2)/2))/(LN(2)/2)*DW198*DZ198*VLOOKUP('Données projet'!$B$14,'Paramètres'!$A$1:$I$89,3,0)*0.475*44/12</f>
        <v>0</v>
      </c>
      <c r="ED198" s="143">
        <f t="shared" si="19"/>
        <v>53.16543574</v>
      </c>
      <c r="EE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1" t="str">
        <f>VLOOKUP(A198,'Données projet'!$A$191:$I$211,2,0)</f>
        <v>#N/A</v>
      </c>
      <c r="EH198" s="131" t="str">
        <f>VLOOKUP(A198,'Données projet'!$A$191:$I$211,9,0)</f>
        <v>#N/A</v>
      </c>
      <c r="EI198" s="131" t="str">
        <f t="array" ref="EI198">INDEX(EH:EH,MIN(IF(ISNUMBER(EH198:EH394),ROW(EH198:EH394),"")))</f>
        <v/>
      </c>
      <c r="EJ198" s="138">
        <f>IF('Données projet'!$A$192&gt;35,EJ197+EI198-ER197,IF(A198&lt;'Données projet'!$A$192,$EG$205^A198,IF(A198='Données projet'!$A$192,'Données projet'!$B$192,EJ197+EI198-ER197)))</f>
        <v>0</v>
      </c>
      <c r="EK198" s="138">
        <f>EJ198*VLOOKUP('Données projet'!$B$15,'Paramètres'!$A$1:$I$89,3,0)*VLOOKUP('Données projet'!$B$15,'Paramètres'!$A$1:$I$89,5,0)</f>
        <v>0</v>
      </c>
      <c r="EL198" s="130" t="str">
        <f t="shared" si="46"/>
        <v>#NUM!</v>
      </c>
      <c r="EM198" s="141" t="str">
        <f t="shared" si="20"/>
        <v>#NUM!</v>
      </c>
      <c r="EN198" s="133" t="str">
        <f t="shared" si="21"/>
        <v>#NUM!</v>
      </c>
      <c r="EO198" s="133">
        <f>AVERAGE(OFFSET($EN$3,0,0,'Données projet'!$E$15+1,1))-AVERAGE(OFFSET($H$3,0,0,'Données projet'!$E$15+1,1))</f>
        <v>130.3193339</v>
      </c>
      <c r="EP198" s="133">
        <f t="shared" si="47"/>
        <v>82.22784365</v>
      </c>
      <c r="EQ198" s="134">
        <f>IF(ISNA(VLOOKUP(A198,'Données projet'!$A$191:$I$211,3,0)),0,VLOOKUP(A198,'Données projet'!$A$191:$I$211,3,0))</f>
        <v>0</v>
      </c>
      <c r="ER198" s="134">
        <f>IF(ISNA(VLOOKUP(A198,'Données projet'!$A$191:$I$211,4,0)),0,VLOOKUP(A198,'Données projet'!$A$191:$I$211,4,0))</f>
        <v>0</v>
      </c>
      <c r="ES198" s="135">
        <f>IF(ISNA(VLOOKUP(A198,'Données projet'!$A$191:$I$211,5,0)),0%,VLOOKUP(A198,'Données projet'!$A$191:$I$211,5,0)*VLOOKUP('Données projet'!$B$15,'Paramètres'!$A$1:$I$89,7,0))</f>
        <v>0</v>
      </c>
      <c r="ET198" s="135">
        <f>IF(ISNA(VLOOKUP(A198,'Données projet'!$A$191:$I$211,6,0)),0%,VLOOKUP(A198,'Données projet'!$A$191:$I$211,6,0)*VLOOKUP('Données projet'!$B$15,'Paramètres'!$A$1:$I$89,7,0))</f>
        <v>0</v>
      </c>
      <c r="EU198" s="135">
        <f>IF(ISNA(VLOOKUP(A198,'Données projet'!$A$191:$I$211,7,0)),0%,VLOOKUP(A198,'Données projet'!$A$191:$I$211,7,0))</f>
        <v>0</v>
      </c>
      <c r="EV198" s="142">
        <f>EXP(-LN(2)/35)*EV197+(1-EXP(-LN(2)/35))/(LN(2)/35)*ER198*ES198*VLOOKUP('Données projet'!$B$15,'Paramètres'!$A$1:$I$89,3,0)*0.475*44/12</f>
        <v>10.89555645</v>
      </c>
      <c r="EW198" s="142">
        <f>EXP(-LN(2)/25)*EW197+(1-EXP(-LN(2)/25))/(LN(2)/25)*Calculateur!ER198*Calculateur!ET198*VLOOKUP('Données projet'!$B$15,'Paramètres'!$A$1:$I$89,3,0)*0.475*44/12</f>
        <v>0</v>
      </c>
      <c r="EX198" s="142">
        <f>EXP(-LN(2)/2)*EX197+(1-EXP(-LN(2)/2))/(LN(2)/2)*ER198*EU198*VLOOKUP('Données projet'!$B$15,'Paramètres'!$A$1:$I$89,3,0)*0.475*44/12</f>
        <v>0</v>
      </c>
      <c r="EY198" s="143">
        <f t="shared" si="22"/>
        <v>10.89555645</v>
      </c>
      <c r="EZ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1" t="str">
        <f>VLOOKUP(A198,'Données projet'!$A$217:$I$237,2,0)</f>
        <v>#N/A</v>
      </c>
      <c r="FC198" s="131" t="str">
        <f>VLOOKUP(A198,'Données projet'!$A$217:$I$237,9,0)</f>
        <v>#N/A</v>
      </c>
      <c r="FD198" s="131" t="str">
        <f t="array" ref="FD198">INDEX(FC:FC,MIN(IF(ISNUMBER(FC198:FC394),ROW(FC198:FC394),"")))</f>
        <v/>
      </c>
      <c r="FE198" s="130">
        <f>IF('Données projet'!$A$218&gt;35,FE197+FD198-FM197,IF(A198&lt;'Données projet'!$A$218,$FB$205^A198,IF(A198='Données projet'!$A$218,'Données projet'!$B$218,FE197+FD198-FM197)))</f>
        <v>0</v>
      </c>
      <c r="FF198" s="138">
        <f>FE198*VLOOKUP('Données projet'!$B$16,'Paramètres'!$A$1:$I$89,3,0)*VLOOKUP('Données projet'!$B$16,'Paramètres'!$A$1:$I$89,5,0)</f>
        <v>0</v>
      </c>
      <c r="FG198" s="130">
        <f t="shared" si="48"/>
        <v>0</v>
      </c>
      <c r="FH198" s="141">
        <f t="shared" si="23"/>
        <v>0</v>
      </c>
      <c r="FI198" s="133">
        <f t="shared" si="24"/>
        <v>293.3333333</v>
      </c>
      <c r="FJ198" s="133">
        <f>AVERAGE(OFFSET($FI$3,0,0,'Données projet'!$E$16+1,1))-AVERAGE(OFFSET($H$3,0,0,'Données projet'!$E$16+1,1))</f>
        <v>305.6252353</v>
      </c>
      <c r="FK198" s="133">
        <f t="shared" si="49"/>
        <v>331.397916</v>
      </c>
      <c r="FL198" s="134">
        <f>IF(ISNA(VLOOKUP(A198,'Données projet'!$A$217:$I$237,3,0)),0,VLOOKUP(A198,'Données projet'!$A$217:$I$237,3,0))</f>
        <v>0</v>
      </c>
      <c r="FM198" s="134">
        <f>IF(ISNA(VLOOKUP(A198,'Données projet'!$A$217:$I$237,4,0)),0,VLOOKUP(A198,'Données projet'!$A$217:$I$237,4,0))</f>
        <v>0</v>
      </c>
      <c r="FN198" s="135">
        <f>IF(ISNA(VLOOKUP(A198,'Données projet'!$A$217:$I$237,5,0)),0%,VLOOKUP(A198,'Données projet'!$A$217:$I$237,5,0)*VLOOKUP('Données projet'!$B$16,'Paramètres'!$A$1:$I$89,7,0))</f>
        <v>0</v>
      </c>
      <c r="FO198" s="135">
        <f>IF(ISNA(VLOOKUP(A198,'Données projet'!$A$217:$I$237,6,0)),0%,VLOOKUP(A198,'Données projet'!$A$217:$I$237,6,0)*VLOOKUP('Données projet'!$B$16,'Paramètres'!$A$1:$I$89,7,0))</f>
        <v>0</v>
      </c>
      <c r="FP198" s="135">
        <f>IF(ISNA(VLOOKUP(A198,'Données projet'!$A$217:$I$237,7,0)),0%,VLOOKUP(A198,'Données projet'!$A$217:$I$237,7,0))</f>
        <v>0</v>
      </c>
      <c r="FQ198" s="142">
        <f>EXP(-LN(2)/35)*FQ197+(1-EXP(-LN(2)/35))/(LN(2)/35)*FM198*FN198*VLOOKUP('Données projet'!$B$16,'Paramètres'!$A$1:$I$89,3,0)*0.475*44/12</f>
        <v>6.783899063</v>
      </c>
      <c r="FR198" s="142">
        <f>EXP(-LN(2)/25)*FR197+(1-EXP(-LN(2)/25))/(LN(2)/25)*Calculateur!FM198*Calculateur!FO198*VLOOKUP('Données projet'!$B$16,'Paramètres'!$A$1:$I$89,3,0)*0.475*44/12</f>
        <v>0</v>
      </c>
      <c r="FS198" s="142">
        <f>EXP(-LN(2)/2)*FS197+(1-EXP(-LN(2)/2))/(LN(2)/2)*FM198*FP198*VLOOKUP('Données projet'!$B$16,'Paramètres'!$A$1:$I$89,3,0)*0.475*44/12</f>
        <v>0</v>
      </c>
      <c r="FT198" s="143">
        <f t="shared" si="25"/>
        <v>6.783899063</v>
      </c>
      <c r="FU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1" t="str">
        <f>VLOOKUP(A198,'Données projet'!$A$243:$I$263,2,0)</f>
        <v>#N/A</v>
      </c>
      <c r="FX198" s="131" t="str">
        <f>VLOOKUP(A198,'Données projet'!$A$243:$I$263,9,0)</f>
        <v>#N/A</v>
      </c>
      <c r="FY198" s="131" t="str">
        <f t="array" ref="FY198">INDEX(FX:FX,MIN(IF(ISNUMBER(FX198:FX394),ROW(FX198:FX394),"")))</f>
        <v/>
      </c>
      <c r="FZ198" s="138">
        <f>IF('Données projet'!$A$244&gt;35,FZ197+FY198-GH197,IF(A198&lt;'Données projet'!$A$244,$FW$205^A198,IF(A198='Données projet'!$A$244,'Données projet'!$B$244,FZ197+FY198-GH197)))</f>
        <v>0</v>
      </c>
      <c r="GA198" s="138">
        <f>FZ198*VLOOKUP('Données projet'!$B$17,'Paramètres'!$A$1:$I$89,3,0)*VLOOKUP('Données projet'!$B$17,'Paramètres'!$A$1:$I$89,5,0)</f>
        <v>0</v>
      </c>
      <c r="GB198" s="130">
        <f t="shared" si="50"/>
        <v>0</v>
      </c>
      <c r="GC198" s="141">
        <f t="shared" si="26"/>
        <v>0</v>
      </c>
      <c r="GD198" s="133">
        <f t="shared" si="27"/>
        <v>293.3333333</v>
      </c>
      <c r="GE198" s="133">
        <f>AVERAGE(OFFSET($GD$3,0,0,'Données projet'!$E$17+1,1))-AVERAGE(OFFSET($H$3,0,0,'Données projet'!$E$17+1,1))</f>
        <v>118.7368745</v>
      </c>
      <c r="GF198" s="133">
        <f t="shared" si="51"/>
        <v>135.1233677</v>
      </c>
      <c r="GG198" s="134">
        <f>IF(ISNA(VLOOKUP(A198,'Données projet'!$A$243:$I$263,3,0)),0,VLOOKUP(A198,'Données projet'!$A$243:$I$263,3,0))</f>
        <v>0</v>
      </c>
      <c r="GH198" s="134">
        <f>IF(ISNA(VLOOKUP(A198,'Données projet'!$A$243:$I$263,4,0)),0,VLOOKUP(A198,'Données projet'!$A$243:$I$263,4,0))</f>
        <v>0</v>
      </c>
      <c r="GI198" s="135">
        <f>IF(ISNA(VLOOKUP(A198,'Données projet'!$A$243:$I$263,5,0)),0%,VLOOKUP(A198,'Données projet'!$A$243:$I$263,5,0)*VLOOKUP('Données projet'!$B$17,'Paramètres'!$A$1:$I$89,7,0))</f>
        <v>0</v>
      </c>
      <c r="GJ198" s="135">
        <f>IF(ISNA(VLOOKUP(A198,'Données projet'!$A$243:$I$263,6,0)),0%,VLOOKUP(A198,'Données projet'!$A$243:$I$263,6,0)*VLOOKUP('Données projet'!$B$17,'Paramètres'!$A$1:$I$89,7,0))</f>
        <v>0</v>
      </c>
      <c r="GK198" s="135">
        <f>IF(ISNA(VLOOKUP(A198,'Données projet'!$A$243:$I$263,7,0)),0%,VLOOKUP(A198,'Données projet'!$A$243:$I$263,7,0))</f>
        <v>0</v>
      </c>
      <c r="GL198" s="142">
        <f>EXP(-LN(2)/35)*GL197+(1-EXP(-LN(2)/35))/(LN(2)/35)*GH198*GI198*VLOOKUP('Données projet'!$B$17,'Paramètres'!$A$1:$I$89,3,0)*0.475*44/12</f>
        <v>7.16716838</v>
      </c>
      <c r="GM198" s="142">
        <f>EXP(-LN(2)/25)*GM197+(1-EXP(-LN(2)/25))/(LN(2)/25)*Calculateur!GH198*Calculateur!GJ198*VLOOKUP('Données projet'!$B$17,'Paramètres'!$A$1:$I$89,3,0)*0.475*44/12</f>
        <v>0</v>
      </c>
      <c r="GN198" s="142">
        <f>EXP(-LN(2)/2)*GN197+(1-EXP(-LN(2)/2))/(LN(2)/2)*GH198*GK198*VLOOKUP('Données projet'!$B$17,'Paramètres'!$A$1:$I$89,3,0)*0.475*44/12</f>
        <v>0</v>
      </c>
      <c r="GO198" s="142">
        <f t="shared" si="28"/>
        <v>7.16716838</v>
      </c>
      <c r="GP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1" t="str">
        <f>VLOOKUP(A198,'Données projet'!$A$269:$I$289,2,0)</f>
        <v>#N/A</v>
      </c>
      <c r="GS198" s="131" t="str">
        <f>VLOOKUP(A198,'Données projet'!$A$269:$I$289,9,0)</f>
        <v>#N/A</v>
      </c>
      <c r="GT198" s="131" t="str">
        <f t="array" ref="GT198">INDEX(GS:GS,MIN(IF(ISNUMBER(GS198:GS394),ROW(GS198:GS394),"")))</f>
        <v/>
      </c>
      <c r="GU198" s="138">
        <f>IF('Données projet'!$A$270&gt;35,GU197+GT198-HC197,IF(A198&lt;'Données projet'!$A$270,$GR$205^A198,IF(A198='Données projet'!$A$270,'Données projet'!$B$270,GU197+GT198-HC197)))</f>
        <v>0</v>
      </c>
      <c r="GV198" s="138">
        <f>GU198*VLOOKUP('Données projet'!$B$18,'Paramètres'!$A$1:$I$89,3,0)*VLOOKUP('Données projet'!$B$18,'Paramètres'!$A$1:$I$89,5,0)</f>
        <v>0</v>
      </c>
      <c r="GW198" s="130" t="str">
        <f t="shared" si="52"/>
        <v>#NUM!</v>
      </c>
      <c r="GX198" s="141" t="str">
        <f t="shared" si="29"/>
        <v>#NUM!</v>
      </c>
      <c r="GY198" s="133" t="str">
        <f t="shared" si="30"/>
        <v>#NUM!</v>
      </c>
      <c r="GZ198" s="133">
        <f>AVERAGE(OFFSET($GY$3,0,0,'Données projet'!$E$18+1,1))-AVERAGE(OFFSET($H$3,0,0,'Données projet'!$E$18+1,1))</f>
        <v>100.5427875</v>
      </c>
      <c r="HA198" s="133">
        <f t="shared" si="53"/>
        <v>92.28663609</v>
      </c>
      <c r="HB198" s="134">
        <f>IF(ISNA(VLOOKUP(A198,'Données projet'!$A$269:$I$289,3,0)),0,VLOOKUP(A198,'Données projet'!$A$269:$I$289,3,0))</f>
        <v>0</v>
      </c>
      <c r="HC198" s="134">
        <f>IF(ISNA(VLOOKUP(A198,'Données projet'!$A$269:$I$289,4,0)),0,VLOOKUP(A198,'Données projet'!$A$269:$I$289,4,0))</f>
        <v>0</v>
      </c>
      <c r="HD198" s="135">
        <f>IF(ISNA(VLOOKUP(A198,'Données projet'!$A$269:$I$289,5,0)),0%,VLOOKUP(A198,'Données projet'!$A$269:$I$289,5,0)*VLOOKUP('Données projet'!$B$18,'Paramètres'!$A$1:$I$89,7,0))</f>
        <v>0</v>
      </c>
      <c r="HE198" s="135">
        <f>IF(ISNA(VLOOKUP(A198,'Données projet'!$A$269:$I$289,6,0)),0%,VLOOKUP(A198,'Données projet'!$A$269:$I$289,6,0)*VLOOKUP('Données projet'!$B$18,'Paramètres'!$A$1:$I$89,7,0))</f>
        <v>0</v>
      </c>
      <c r="HF198" s="135">
        <f>IF(ISNA(VLOOKUP(A198,'Données projet'!$A$269:$I$289,7,0)),0%,VLOOKUP(A198,'Données projet'!$A$269:$I$289,7,0))</f>
        <v>0</v>
      </c>
      <c r="HG198" s="142">
        <f>EXP(-LN(2)/35)*HG197+(1-EXP(-LN(2)/35))/(LN(2)/35)*HC198*HD198*VLOOKUP('Données projet'!$B$18,'Paramètres'!$A$1:$I$89,3,0)*0.475*44/12</f>
        <v>4.880690468</v>
      </c>
      <c r="HH198" s="142">
        <f>EXP(-LN(2)/25)*HH197+(1-EXP(-LN(2)/25))/(LN(2)/25)*Calculateur!HC198*Calculateur!HE198*VLOOKUP('Données projet'!$B$18,'Paramètres'!$A$1:$I$89,3,0)*0.475*44/12</f>
        <v>0</v>
      </c>
      <c r="HI198" s="142">
        <f>EXP(-LN(2)/2)*HI197+(1-EXP(-LN(2)/2))/(LN(2)/2)*HC198*HF198*VLOOKUP('Données projet'!$B$18,'Paramètres'!$A$1:$I$89,3,0)*0.475*44/12</f>
        <v>0</v>
      </c>
      <c r="HJ198" s="143">
        <f t="shared" si="31"/>
        <v>4.880690468</v>
      </c>
    </row>
    <row r="199" ht="15.75" customHeight="1">
      <c r="A199" s="125">
        <f t="shared" si="32"/>
        <v>196</v>
      </c>
      <c r="B199" s="126">
        <f>'Scénario référence'!$B$16*5+'Scénario référence'!$B$17*0+'Scénario référence'!$B$18*5</f>
        <v>0</v>
      </c>
      <c r="C199" s="140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107.016</v>
      </c>
      <c r="D199" s="127">
        <f t="shared" si="33"/>
        <v>28.62680954</v>
      </c>
      <c r="E199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7">
        <f>IF(OR('Scénario référence'!$F$8&gt;0,'Scénario référence'!$F$9&gt;0),('Scénario référence'!$F$8+'Scénario référence'!$F$9)*10,0)</f>
        <v>10</v>
      </c>
      <c r="G199" s="127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1047.067302</v>
      </c>
      <c r="H199" s="128">
        <f t="shared" si="1"/>
        <v>529.5778933</v>
      </c>
      <c r="I199" s="12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1" t="str">
        <f>VLOOKUP(A199,'Données projet'!$A$35:$I$55,2,0)</f>
        <v>#N/A</v>
      </c>
      <c r="L199" s="131" t="str">
        <f>VLOOKUP(A199,'Données projet'!$A$35:$I$55,9,0)</f>
        <v>#N/A</v>
      </c>
      <c r="M199" s="131" t="str">
        <f t="array" ref="M199">INDEX(L:L,MIN(IF(ISNUMBER(L199:L395),ROW(L199:L395),"")))</f>
        <v/>
      </c>
      <c r="N199" s="130">
        <f>IF('Données projet'!$A$36&gt;35,N198+M199-V198,IF(A199&lt;'Données projet'!$A$36,$K$205^A199,IF(A199='Données projet'!$A$36,'Données projet'!$B$36,N198+M199-V198)))</f>
        <v>0</v>
      </c>
      <c r="O199" s="130">
        <f>N199*VLOOKUP('Données projet'!$B$9,'Paramètres'!$A$1:$I$89,3,0)*VLOOKUP('Données projet'!$B$9,'Paramètres'!$A$1:$I$89,5,0)</f>
        <v>0</v>
      </c>
      <c r="P199" s="130">
        <f t="shared" si="34"/>
        <v>0</v>
      </c>
      <c r="Q199" s="141">
        <f t="shared" si="2"/>
        <v>0</v>
      </c>
      <c r="R199" s="133">
        <f t="shared" si="3"/>
        <v>293.3333333</v>
      </c>
      <c r="S199" s="133">
        <f>AVERAGE(OFFSET($R$3,0,0,'Données projet'!$E$9+1,1))-AVERAGE(OFFSET($H$3,0,0,'Données projet'!$E$9+1,1))</f>
        <v>126.9946492</v>
      </c>
      <c r="T199" s="133">
        <f t="shared" si="35"/>
        <v>140.039049</v>
      </c>
      <c r="U199" s="134">
        <f>IF(ISNA(VLOOKUP(A199,'Données projet'!$A$35:$I$55,3,0)),0,VLOOKUP(A199,'Données projet'!$A$35:$I$55,3,0))</f>
        <v>0</v>
      </c>
      <c r="V199" s="134">
        <f>IF(ISNA(VLOOKUP(A199,'Données projet'!$A$35:$I$55,4,0)),0,VLOOKUP(A199,'Données projet'!$A$35:$I$55,4,0))</f>
        <v>0</v>
      </c>
      <c r="W199" s="135">
        <f>IF(ISNA(VLOOKUP(A199,'Données projet'!$A$35:$I$55,5,0)),0%,VLOOKUP(A199,'Données projet'!$A$35:$I$55,5,0)*VLOOKUP('Données projet'!$B$9,'Paramètres'!$A$1:$I$89,7,0))</f>
        <v>0</v>
      </c>
      <c r="X199" s="135">
        <f>IF(ISNA(VLOOKUP(A199,'Données projet'!$A$35:$I$55,6,0)),0%,VLOOKUP(A199,'Données projet'!$A$35:$I$55,6,0)*VLOOKUP('Données projet'!$B$9,'Paramètres'!$A$1:$I$89,7,0))</f>
        <v>0</v>
      </c>
      <c r="Y199" s="135">
        <f>IF(ISNA(VLOOKUP(A199,'Données projet'!$A$35:$I$55,7,0)),0%,VLOOKUP(A199,'Données projet'!$A$35:$I$55,7,0))</f>
        <v>0</v>
      </c>
      <c r="Z199" s="142">
        <f>EXP(-LN(2)/35)*Z198+(1-EXP(-LN(2)/35))/(LN(2)/35)*V199*W199*VLOOKUP('Données projet'!$B$9,'Paramètres'!$A$1:$I$89,3,0)*0.475*44/12</f>
        <v>7.186672795</v>
      </c>
      <c r="AA199" s="142">
        <f>EXP(-LN(2)/25)*AA198+(1-EXP(-LN(2)/25))/(LN(2)/25)*Calculateur!V199*Calculateur!X199*VLOOKUP('Données projet'!$B$9,'Paramètres'!$A$1:$I$89,3,0)*0.475*44/12</f>
        <v>0.5353128516</v>
      </c>
      <c r="AB199" s="142">
        <f>EXP(-LN(2)/2)*AB198+(1-EXP(-LN(2)/2))/(LN(2)/2)*V199*Y199*VLOOKUP('Données projet'!$B$9,'Paramètres'!$A$1:$I$89,3,0)*0.475*44/12</f>
        <v>0</v>
      </c>
      <c r="AC199" s="143">
        <f t="shared" si="4"/>
        <v>7.721985646</v>
      </c>
      <c r="AD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1" t="str">
        <f>VLOOKUP(A199,'Données projet'!$A$61:$I$81,2,0)</f>
        <v>#N/A</v>
      </c>
      <c r="AG199" s="131" t="str">
        <f>VLOOKUP(A199,'Données projet'!$A$61:$I$81,9,0)</f>
        <v>#N/A</v>
      </c>
      <c r="AH199" s="131" t="str">
        <f t="array" ref="AH199">INDEX(AG:AG,MIN(IF(ISNUMBER(AG199:AG395),ROW(AG199:AG395),"")))</f>
        <v/>
      </c>
      <c r="AI199" s="130">
        <f>IF('Données projet'!$A$62&gt;35,AI198+AH199-AQ198,IF(A199&lt;'Données projet'!$A$62,$AF$205^A199,IF(A199='Données projet'!$A$62,'Données projet'!$B$62,AI198+AH199-AQ198)))</f>
        <v>0</v>
      </c>
      <c r="AJ199" s="130">
        <f>AI199*VLOOKUP('Données projet'!$B$10,'Paramètres'!$A$1:$I$89,3,0)*VLOOKUP('Données projet'!$B$10,'Paramètres'!$A$1:$I$89,5,0)</f>
        <v>0</v>
      </c>
      <c r="AK199" s="130" t="str">
        <f t="shared" si="36"/>
        <v>#NUM!</v>
      </c>
      <c r="AL199" s="141" t="str">
        <f t="shared" si="5"/>
        <v>#NUM!</v>
      </c>
      <c r="AM199" s="133" t="str">
        <f t="shared" si="6"/>
        <v>#NUM!</v>
      </c>
      <c r="AN199" s="133">
        <f>AVERAGE(OFFSET($AM$3,0,0,'Données projet'!$E$10+1,1))-AVERAGE(OFFSET($H$3,0,0,'Données projet'!$E$10+1,1))</f>
        <v>196.874484</v>
      </c>
      <c r="AO199" s="133">
        <f t="shared" si="37"/>
        <v>217.5750859</v>
      </c>
      <c r="AP199" s="134">
        <f>IF(ISNA(VLOOKUP(A199,'Données projet'!$A$61:$I$81,3,0)),0,VLOOKUP(A199,'Données projet'!$A$61:$I$81,3,0))</f>
        <v>0</v>
      </c>
      <c r="AQ199" s="134">
        <f>IF(ISNA(VLOOKUP(A199,'Données projet'!$A$61:$I$81,4,0)),0,VLOOKUP(A199,'Données projet'!$A$61:$I$81,4,0))</f>
        <v>0</v>
      </c>
      <c r="AR199" s="135">
        <f>IF(ISNA(VLOOKUP(A199,'Données projet'!$A$61:$I$81,5,0)),0%,VLOOKUP(A199,'Données projet'!$A$61:$I$81,5,0)*VLOOKUP('Données projet'!$B$10,'Paramètres'!$A$1:$I$89,7,0))</f>
        <v>0</v>
      </c>
      <c r="AS199" s="135">
        <f>IF(ISNA(VLOOKUP(A199,'Données projet'!$A$61:$I$81,6,0)),0%,VLOOKUP(A199,'Données projet'!$A$61:$I$81,6,0)*VLOOKUP('Données projet'!$B$10,'Paramètres'!$A$1:$I$89,7,0))</f>
        <v>0</v>
      </c>
      <c r="AT199" s="135">
        <f>IF(ISNA(VLOOKUP(A199,'Données projet'!$A$61:$I$81,7,0)),0%,VLOOKUP(A199,'Données projet'!$A$61:$I$81,7,0))</f>
        <v>0</v>
      </c>
      <c r="AU199" s="142">
        <f>EXP(-LN(2)/35)*AU198+(1-EXP(-LN(2)/35))/(LN(2)/35)*AQ199*AR199*VLOOKUP('Données projet'!$B$10,'Paramètres'!$A$1:$I$89,3,0)*0.475*44/12</f>
        <v>9.989271056</v>
      </c>
      <c r="AV199" s="142">
        <f>EXP(-LN(2)/25)*AV198+(1-EXP(-LN(2)/25))/(LN(2)/25)*Calculateur!AQ199*Calculateur!AS199*VLOOKUP('Données projet'!$B$10,'Paramètres'!$A$1:$I$89,3,0)*0.475*44/12</f>
        <v>0.8230442245</v>
      </c>
      <c r="AW199" s="142">
        <f>EXP(-LN(2)/2)*AW198+(1-EXP(-LN(2)/2))/(LN(2)/2)*AQ199*AT199*VLOOKUP('Données projet'!$B$10,'Paramètres'!$A$1:$I$89,3,0)*0.475*44/12</f>
        <v>0</v>
      </c>
      <c r="AX199" s="142">
        <f t="shared" si="7"/>
        <v>10.81231528</v>
      </c>
      <c r="AY199" s="13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1" t="str">
        <f>VLOOKUP(A199,'Données projet'!$A$87:$I$107,2,0)</f>
        <v>#N/A</v>
      </c>
      <c r="BB199" s="131" t="str">
        <f>VLOOKUP(A199,'Données projet'!$A$87:$I$107,9,0)</f>
        <v>#N/A</v>
      </c>
      <c r="BC199" s="131" t="str">
        <f t="array" ref="BC199">INDEX(BB:BB,MIN(IF(ISNUMBER(BB199:BB395),ROW(BB199:BB395),"")))</f>
        <v/>
      </c>
      <c r="BD199" s="130">
        <f>IF('Données projet'!$A$88&gt;35,BD198+BC199-BL198,IF(A199&lt;'Données projet'!$A$88,$BA$205^A199,IF(A199='Données projet'!$A$88,'Données projet'!$B$88,BD198+BC199-BL198)))</f>
        <v>0</v>
      </c>
      <c r="BE199" s="130">
        <f>BD199*VLOOKUP('Données projet'!$B$11,'Paramètres'!$A$1:$I$89,3,0)*VLOOKUP('Données projet'!$B$11,'Paramètres'!$A$1:$I$89,5,0)</f>
        <v>0</v>
      </c>
      <c r="BF199" s="130" t="str">
        <f t="shared" si="38"/>
        <v>#NUM!</v>
      </c>
      <c r="BG199" s="141" t="str">
        <f t="shared" si="8"/>
        <v>#NUM!</v>
      </c>
      <c r="BH199" s="133" t="str">
        <f t="shared" si="9"/>
        <v>#NUM!</v>
      </c>
      <c r="BI199" s="133">
        <f>AVERAGE(OFFSET($BH$3,0,0,'Données projet'!$E$11+1,1))-AVERAGE(OFFSET($H$3,0,0,'Données projet'!$E$11+1,1))</f>
        <v>134.0948534</v>
      </c>
      <c r="BJ199" s="133">
        <f t="shared" si="39"/>
        <v>108.4102536</v>
      </c>
      <c r="BK199" s="134">
        <f>IF(ISNA(VLOOKUP(A199,'Données projet'!$A$87:$I$107,3,0)),0,VLOOKUP(A199,'Données projet'!$A$87:$I$107,3,0))</f>
        <v>0</v>
      </c>
      <c r="BL199" s="134">
        <f>IF(ISNA(VLOOKUP(A199,'Données projet'!$A$87:$I$107,4,0)),0,VLOOKUP(A199,'Données projet'!$A$87:$I$107,4,0))</f>
        <v>0</v>
      </c>
      <c r="BM199" s="135">
        <f>IF(ISNA(VLOOKUP(A199,'Données projet'!$A$87:$I$107,5,0)),0%,VLOOKUP(A199,'Données projet'!$A$87:$I$107,5,0)*VLOOKUP('Données projet'!$B$11,'Paramètres'!$A$1:$I$89,7,0))</f>
        <v>0</v>
      </c>
      <c r="BN199" s="135">
        <f>IF(ISNA(VLOOKUP(A199,'Données projet'!$A$87:$I$107,6,0)),0%,VLOOKUP(A199,'Données projet'!$A$87:$I$107,6,0)*VLOOKUP('Données projet'!$B$11,'Paramètres'!$A$1:$I$89,7,0))</f>
        <v>0</v>
      </c>
      <c r="BO199" s="135">
        <f>IF(ISNA(VLOOKUP(A199,'Données projet'!$A$87:$I$107,7,0)),0%,VLOOKUP(A199,'Données projet'!$A$87:$I$107,7,0))</f>
        <v>0</v>
      </c>
      <c r="BP199" s="142">
        <f>EXP(-LN(2)/35)*BP198+(1-EXP(-LN(2)/35))/(LN(2)/35)*BL199*BM199*VLOOKUP('Données projet'!$B$11,'Paramètres'!$A$1:$I$89,3,0)*0.475*44/12</f>
        <v>13.81702745</v>
      </c>
      <c r="BQ199" s="142">
        <f>EXP(-LN(2)/25)*BQ198+(1-EXP(-LN(2)/25))/(LN(2)/25)*Calculateur!BL199*Calculateur!BN199*VLOOKUP('Données projet'!$B$11,'Paramètres'!$A$1:$I$89,3,0)*0.475*44/12</f>
        <v>0.5191770035</v>
      </c>
      <c r="BR199" s="142">
        <f>EXP(-LN(2)/2)*BR198+(1-EXP(-LN(2)/2))/(LN(2)/2)*BL199*BO199*VLOOKUP('Données projet'!$B$11,'Paramètres'!$A$1:$I$89,3,0)*0.475*44/12</f>
        <v>0</v>
      </c>
      <c r="BS199" s="143">
        <f t="shared" si="10"/>
        <v>14.33620445</v>
      </c>
      <c r="BT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1" t="str">
        <f>VLOOKUP(A199,'Données projet'!$A$113:$I$133,2,0)</f>
        <v>#N/A</v>
      </c>
      <c r="BW199" s="131" t="str">
        <f>VLOOKUP(A199,'Données projet'!$A$113:$I$133,9,0)</f>
        <v>#N/A</v>
      </c>
      <c r="BX199" s="131" t="str">
        <f t="array" ref="BX199">INDEX(BW:BW,MIN(IF(ISNUMBER(BW199:BW395),ROW(BW199:BW395),"")))</f>
        <v/>
      </c>
      <c r="BY199" s="130">
        <f>IF('Données projet'!$A$114&gt;35,BY198+BX199-CG198,IF(A199&lt;'Données projet'!$A$114,$BV$205^A199,IF(A199='Données projet'!$A$114,'Données projet'!$B$114,BY198+BX199-CG198)))</f>
        <v>0</v>
      </c>
      <c r="BZ199" s="130">
        <f>BY199*VLOOKUP('Données projet'!$B$12,'Paramètres'!$A$1:$I$89,3,0)*VLOOKUP('Données projet'!$B$12,'Paramètres'!$A$1:$I$89,5,0)</f>
        <v>0</v>
      </c>
      <c r="CA199" s="130" t="str">
        <f t="shared" si="40"/>
        <v>#NUM!</v>
      </c>
      <c r="CB199" s="141" t="str">
        <f t="shared" si="11"/>
        <v>#NUM!</v>
      </c>
      <c r="CC199" s="133" t="str">
        <f t="shared" si="12"/>
        <v>#NUM!</v>
      </c>
      <c r="CD199" s="133">
        <f>AVERAGE(OFFSET($CC$3,0,0,'Données projet'!$E$12+1,1))-AVERAGE(OFFSET($H$3,0,0,'Données projet'!$E$12+1,1))</f>
        <v>258.1672054</v>
      </c>
      <c r="CE199" s="133">
        <f t="shared" si="41"/>
        <v>296.0724261</v>
      </c>
      <c r="CF199" s="134">
        <f>IF(ISNA(VLOOKUP(A199,'Données projet'!$A$113:$I$133,3,0)),0,VLOOKUP(A199,'Données projet'!$A$113:$I$133,3,0))</f>
        <v>0</v>
      </c>
      <c r="CG199" s="134">
        <f>IF(ISNA(VLOOKUP(A199,'Données projet'!$A$113:$I$133,4,0)),0,VLOOKUP(A199,'Données projet'!$A$113:$I$133,4,0))</f>
        <v>0</v>
      </c>
      <c r="CH199" s="135">
        <f>IF(ISNA(VLOOKUP(A199,'Données projet'!$A$113:$I$133,5,0)),0%,VLOOKUP(A199,'Données projet'!$A$113:$I$133,5,0)*VLOOKUP('Données projet'!$B$12,'Paramètres'!$A$1:$I$89,7,0))</f>
        <v>0</v>
      </c>
      <c r="CI199" s="135">
        <f>IF(ISNA(VLOOKUP(A199,'Données projet'!$A$113:$I$133,6,0)),0%,VLOOKUP(A199,'Données projet'!$A$113:$I$133,6,0)*VLOOKUP('Données projet'!$B$12,'Paramètres'!$A$1:$I$89,7,0))</f>
        <v>0</v>
      </c>
      <c r="CJ199" s="135">
        <f>IF(ISNA(VLOOKUP(A199,'Données projet'!$A$113:$I$133,7,0)),0%,VLOOKUP(A199,'Données projet'!$A$113:$I$133,7,0))</f>
        <v>0</v>
      </c>
      <c r="CK199" s="142">
        <f>EXP(-LN(2)/35)*CK198+(1-EXP(-LN(2)/35))/(LN(2)/35)*CG199*CH199*VLOOKUP('Données projet'!$B$12,'Paramètres'!$A$1:$I$89,3,0)*0.475*44/12</f>
        <v>17.4689495</v>
      </c>
      <c r="CL199" s="142">
        <f>EXP(-LN(2)/25)*CL198+(1-EXP(-LN(2)/25))/(LN(2)/25)*Calculateur!CG199*Calculateur!CI199*VLOOKUP('Données projet'!$B$12,'Paramètres'!$A$1:$I$89,3,0)*0.475*44/12</f>
        <v>0.9106659363</v>
      </c>
      <c r="CM199" s="142">
        <f>EXP(-LN(2)/2)*CM198+(1-EXP(-LN(2)/2))/(LN(2)/2)*CG199*CJ199*VLOOKUP('Données projet'!$B$12,'Paramètres'!$A$1:$I$89,3,0)*0.475*44/12</f>
        <v>0</v>
      </c>
      <c r="CN199" s="143">
        <f t="shared" si="13"/>
        <v>18.37961544</v>
      </c>
      <c r="CO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1" t="str">
        <f>VLOOKUP(A199,'Données projet'!$A$139:$I$159,2,0)</f>
        <v>#N/A</v>
      </c>
      <c r="CR199" s="131" t="str">
        <f>VLOOKUP(A199,'Données projet'!$A$139:$I$159,9,0)</f>
        <v>#N/A</v>
      </c>
      <c r="CS199" s="131" t="str">
        <f t="array" ref="CS199">INDEX(CR:CR,MIN(IF(ISNUMBER(CR199:CR395),ROW(CR199:CR395),"")))</f>
        <v/>
      </c>
      <c r="CT199" s="138">
        <f>IF('Données projet'!$A$140&gt;35,CT198+CS199-DB198,IF(A199&lt;'Données projet'!$A$140,$CQ$205^A199,IF(A199='Données projet'!$A$140,'Données projet'!$B$140,CT198+CS199-DB198)))</f>
        <v>0</v>
      </c>
      <c r="CU199" s="138">
        <f>CT199*VLOOKUP('Données projet'!$B$13,'Paramètres'!$A$1:$I$89,3,0)*VLOOKUP('Données projet'!$B$13,'Paramètres'!$A$1:$I$89,5,0)</f>
        <v>0</v>
      </c>
      <c r="CV199" s="130" t="str">
        <f t="shared" si="42"/>
        <v>#NUM!</v>
      </c>
      <c r="CW199" s="141" t="str">
        <f t="shared" si="14"/>
        <v>#NUM!</v>
      </c>
      <c r="CX199" s="133" t="str">
        <f t="shared" si="15"/>
        <v>#NUM!</v>
      </c>
      <c r="CY199" s="133">
        <f>AVERAGE(OFFSET($CX$3,0,0,'Données projet'!$E$13+1,1))-AVERAGE(OFFSET($H$3,0,0,'Données projet'!$E$13+1,1))</f>
        <v>223.783507</v>
      </c>
      <c r="CZ199" s="133">
        <f t="shared" si="43"/>
        <v>84.92349117</v>
      </c>
      <c r="DA199" s="134">
        <f>IF(ISNA(VLOOKUP(A199,'Données projet'!$A$139:$I$159,3,0)),0,VLOOKUP(A199,'Données projet'!$A$139:$I$159,3,0))</f>
        <v>0</v>
      </c>
      <c r="DB199" s="134">
        <f>IF(ISNA(VLOOKUP(A199,'Données projet'!$A$139:$I$159,4,0)),0,VLOOKUP(A199,'Données projet'!$A$139:$I$159,4,0))</f>
        <v>0</v>
      </c>
      <c r="DC199" s="135">
        <f>IF(ISNA(VLOOKUP(A199,'Données projet'!$A$139:$I$159,5,0)),0%,VLOOKUP(A199,'Données projet'!$A$139:$I$159,5,0)*VLOOKUP('Données projet'!$B$13,'Paramètres'!$A$1:$I$89,7,0))</f>
        <v>0</v>
      </c>
      <c r="DD199" s="135">
        <f>IF(ISNA(VLOOKUP(A199,'Données projet'!$A$139:$I$159,6,0)),0%,VLOOKUP(A199,'Données projet'!$A$139:$I$159,6,0)*VLOOKUP('Données projet'!$B$13,'Paramètres'!$A$1:$I$89,7,0))</f>
        <v>0</v>
      </c>
      <c r="DE199" s="135">
        <f>IF(ISNA(VLOOKUP(A199,'Données projet'!$A$139:$I$159,7,0)),0%,VLOOKUP(A199,'Données projet'!$A$139:$I$159,7,0))</f>
        <v>0</v>
      </c>
      <c r="DF199" s="142">
        <f>EXP(-LN(2)/35)*DF198+(1-EXP(-LN(2)/35))/(LN(2)/35)*DB199*DC199*VLOOKUP('Données projet'!$B$13,'Paramètres'!$A$1:$I$89,3,0)*0.475*44/12</f>
        <v>44.86711686</v>
      </c>
      <c r="DG199" s="142">
        <f>EXP(-LN(2)/25)*DG198+(1-EXP(-LN(2)/25))/(LN(2)/25)*Calculateur!DB199*Calculateur!DD199*VLOOKUP('Données projet'!$B$13,'Paramètres'!$A$1:$I$89,3,0)*0.475*44/12</f>
        <v>0</v>
      </c>
      <c r="DH199" s="142">
        <f>EXP(-LN(2)/2)*DH198+(1-EXP(-LN(2)/2))/(LN(2)/2)*DB199*DE199*VLOOKUP('Données projet'!$B$13,'Paramètres'!$A$1:$I$89,3,0)*0.475*44/12</f>
        <v>0</v>
      </c>
      <c r="DI199" s="143">
        <f t="shared" si="16"/>
        <v>44.86711686</v>
      </c>
      <c r="DJ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1" t="str">
        <f>VLOOKUP(A199,'Données projet'!$A$165:$I$185,2,0)</f>
        <v>#N/A</v>
      </c>
      <c r="DM199" s="131" t="str">
        <f>VLOOKUP(A199,'Données projet'!$A$165:$I$185,9,0)</f>
        <v>#N/A</v>
      </c>
      <c r="DN199" s="131" t="str">
        <f t="array" ref="DN199">INDEX(DM:DM,MIN(IF(ISNUMBER(DM199:DM395),ROW(DM199:DM395),"")))</f>
        <v/>
      </c>
      <c r="DO199" s="138">
        <f>IF('Données projet'!$A$166&gt;35,DO198+DN199-DW198,IF(A199&lt;'Données projet'!$A$166,$DL$205^A199,IF(A199='Données projet'!$A$166,'Données projet'!$B$166,DO198+DN199-DW198)))</f>
        <v>0</v>
      </c>
      <c r="DP199" s="138">
        <f>DO199*VLOOKUP('Données projet'!$B$14,'Paramètres'!$A$1:$I$89,3,0)*VLOOKUP('Données projet'!$B$14,'Paramètres'!$A$1:$I$89,5,0)</f>
        <v>0</v>
      </c>
      <c r="DQ199" s="130" t="str">
        <f t="shared" si="44"/>
        <v>#NUM!</v>
      </c>
      <c r="DR199" s="141" t="str">
        <f t="shared" si="17"/>
        <v>#NUM!</v>
      </c>
      <c r="DS199" s="133" t="str">
        <f t="shared" si="18"/>
        <v>#NUM!</v>
      </c>
      <c r="DT199" s="133">
        <f>AVERAGE(OFFSET($DS$3,0,0,'Données projet'!$E$14+1,1))-AVERAGE(OFFSET($H$3,0,0,'Données projet'!$E$14+1,1))</f>
        <v>287.9334714</v>
      </c>
      <c r="DU199" s="133">
        <f t="shared" si="45"/>
        <v>156.6796502</v>
      </c>
      <c r="DV199" s="134">
        <f>IF(ISNA(VLOOKUP(A199,'Données projet'!$A$165:$I$185,3,0)),0,VLOOKUP(A199,'Données projet'!$A$165:$I$185,3,0))</f>
        <v>0</v>
      </c>
      <c r="DW199" s="134">
        <f>IF(ISNA(VLOOKUP(A199,'Données projet'!$A$165:$I$185,4,0)),0,VLOOKUP(A199,'Données projet'!$A$165:$I$185,4,0))</f>
        <v>0</v>
      </c>
      <c r="DX199" s="135">
        <f>IF(ISNA(VLOOKUP(A199,'Données projet'!$A$165:$I$185,5,0)),0%,VLOOKUP(A199,'Données projet'!$A$165:$I$185,5,0)*VLOOKUP('Données projet'!$B$14,'Paramètres'!$A$1:$I$89,7,0))</f>
        <v>0</v>
      </c>
      <c r="DY199" s="135">
        <f>IF(ISNA(VLOOKUP(A199,'Données projet'!$A$165:$I$185,6,0)),0%,VLOOKUP(A199,'Données projet'!$A$165:$I$185,6,0)*VLOOKUP('Données projet'!$B$14,'Paramètres'!$A$1:$I$89,7,0))</f>
        <v>0</v>
      </c>
      <c r="DZ199" s="135">
        <f>IF(ISNA(VLOOKUP(A199,'Données projet'!$A$165:$I$185,7,0)),0%,VLOOKUP(A199,'Données projet'!$A$165:$I$185,7,0))</f>
        <v>0</v>
      </c>
      <c r="EA199" s="142">
        <f>EXP(-LN(2)/35)*EA198+(1-EXP(-LN(2)/35))/(LN(2)/35)*DW199*DX199*VLOOKUP('Données projet'!$B$14,'Paramètres'!$A$1:$I$89,3,0)*0.475*44/12</f>
        <v>52.12289397</v>
      </c>
      <c r="EB199" s="142">
        <f>EXP(-LN(2)/25)*EB198+(1-EXP(-LN(2)/25))/(LN(2)/25)*Calculateur!DW199*Calculateur!DY199*VLOOKUP('Données projet'!$B$14,'Paramètres'!$A$1:$I$89,3,0)*0.475*44/12</f>
        <v>0</v>
      </c>
      <c r="EC199" s="142">
        <f>EXP(-LN(2)/2)*EC198+(1-EXP(-LN(2)/2))/(LN(2)/2)*DW199*DZ199*VLOOKUP('Données projet'!$B$14,'Paramètres'!$A$1:$I$89,3,0)*0.475*44/12</f>
        <v>0</v>
      </c>
      <c r="ED199" s="143">
        <f t="shared" si="19"/>
        <v>52.12289397</v>
      </c>
      <c r="EE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1" t="str">
        <f>VLOOKUP(A199,'Données projet'!$A$191:$I$211,2,0)</f>
        <v>#N/A</v>
      </c>
      <c r="EH199" s="131" t="str">
        <f>VLOOKUP(A199,'Données projet'!$A$191:$I$211,9,0)</f>
        <v>#N/A</v>
      </c>
      <c r="EI199" s="131" t="str">
        <f t="array" ref="EI199">INDEX(EH:EH,MIN(IF(ISNUMBER(EH199:EH395),ROW(EH199:EH395),"")))</f>
        <v/>
      </c>
      <c r="EJ199" s="138">
        <f>IF('Données projet'!$A$192&gt;35,EJ198+EI199-ER198,IF(A199&lt;'Données projet'!$A$192,$EG$205^A199,IF(A199='Données projet'!$A$192,'Données projet'!$B$192,EJ198+EI199-ER198)))</f>
        <v>0</v>
      </c>
      <c r="EK199" s="138">
        <f>EJ199*VLOOKUP('Données projet'!$B$15,'Paramètres'!$A$1:$I$89,3,0)*VLOOKUP('Données projet'!$B$15,'Paramètres'!$A$1:$I$89,5,0)</f>
        <v>0</v>
      </c>
      <c r="EL199" s="130" t="str">
        <f t="shared" si="46"/>
        <v>#NUM!</v>
      </c>
      <c r="EM199" s="141" t="str">
        <f t="shared" si="20"/>
        <v>#NUM!</v>
      </c>
      <c r="EN199" s="133" t="str">
        <f t="shared" si="21"/>
        <v>#NUM!</v>
      </c>
      <c r="EO199" s="133">
        <f>AVERAGE(OFFSET($EN$3,0,0,'Données projet'!$E$15+1,1))-AVERAGE(OFFSET($H$3,0,0,'Données projet'!$E$15+1,1))</f>
        <v>130.3193339</v>
      </c>
      <c r="EP199" s="133">
        <f t="shared" si="47"/>
        <v>82.22784365</v>
      </c>
      <c r="EQ199" s="134">
        <f>IF(ISNA(VLOOKUP(A199,'Données projet'!$A$191:$I$211,3,0)),0,VLOOKUP(A199,'Données projet'!$A$191:$I$211,3,0))</f>
        <v>0</v>
      </c>
      <c r="ER199" s="134">
        <f>IF(ISNA(VLOOKUP(A199,'Données projet'!$A$191:$I$211,4,0)),0,VLOOKUP(A199,'Données projet'!$A$191:$I$211,4,0))</f>
        <v>0</v>
      </c>
      <c r="ES199" s="135">
        <f>IF(ISNA(VLOOKUP(A199,'Données projet'!$A$191:$I$211,5,0)),0%,VLOOKUP(A199,'Données projet'!$A$191:$I$211,5,0)*VLOOKUP('Données projet'!$B$15,'Paramètres'!$A$1:$I$89,7,0))</f>
        <v>0</v>
      </c>
      <c r="ET199" s="135">
        <f>IF(ISNA(VLOOKUP(A199,'Données projet'!$A$191:$I$211,6,0)),0%,VLOOKUP(A199,'Données projet'!$A$191:$I$211,6,0)*VLOOKUP('Données projet'!$B$15,'Paramètres'!$A$1:$I$89,7,0))</f>
        <v>0</v>
      </c>
      <c r="EU199" s="135">
        <f>IF(ISNA(VLOOKUP(A199,'Données projet'!$A$191:$I$211,7,0)),0%,VLOOKUP(A199,'Données projet'!$A$191:$I$211,7,0))</f>
        <v>0</v>
      </c>
      <c r="EV199" s="142">
        <f>EXP(-LN(2)/35)*EV198+(1-EXP(-LN(2)/35))/(LN(2)/35)*ER199*ES199*VLOOKUP('Données projet'!$B$15,'Paramètres'!$A$1:$I$89,3,0)*0.475*44/12</f>
        <v>10.68190123</v>
      </c>
      <c r="EW199" s="142">
        <f>EXP(-LN(2)/25)*EW198+(1-EXP(-LN(2)/25))/(LN(2)/25)*Calculateur!ER199*Calculateur!ET199*VLOOKUP('Données projet'!$B$15,'Paramètres'!$A$1:$I$89,3,0)*0.475*44/12</f>
        <v>0</v>
      </c>
      <c r="EX199" s="142">
        <f>EXP(-LN(2)/2)*EX198+(1-EXP(-LN(2)/2))/(LN(2)/2)*ER199*EU199*VLOOKUP('Données projet'!$B$15,'Paramètres'!$A$1:$I$89,3,0)*0.475*44/12</f>
        <v>0</v>
      </c>
      <c r="EY199" s="143">
        <f t="shared" si="22"/>
        <v>10.68190123</v>
      </c>
      <c r="EZ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1" t="str">
        <f>VLOOKUP(A199,'Données projet'!$A$217:$I$237,2,0)</f>
        <v>#N/A</v>
      </c>
      <c r="FC199" s="131" t="str">
        <f>VLOOKUP(A199,'Données projet'!$A$217:$I$237,9,0)</f>
        <v>#N/A</v>
      </c>
      <c r="FD199" s="131" t="str">
        <f t="array" ref="FD199">INDEX(FC:FC,MIN(IF(ISNUMBER(FC199:FC395),ROW(FC199:FC395),"")))</f>
        <v/>
      </c>
      <c r="FE199" s="130">
        <f>IF('Données projet'!$A$218&gt;35,FE198+FD199-FM198,IF(A199&lt;'Données projet'!$A$218,$FB$205^A199,IF(A199='Données projet'!$A$218,'Données projet'!$B$218,FE198+FD199-FM198)))</f>
        <v>0</v>
      </c>
      <c r="FF199" s="138">
        <f>FE199*VLOOKUP('Données projet'!$B$16,'Paramètres'!$A$1:$I$89,3,0)*VLOOKUP('Données projet'!$B$16,'Paramètres'!$A$1:$I$89,5,0)</f>
        <v>0</v>
      </c>
      <c r="FG199" s="130">
        <f t="shared" si="48"/>
        <v>0</v>
      </c>
      <c r="FH199" s="141">
        <f t="shared" si="23"/>
        <v>0</v>
      </c>
      <c r="FI199" s="133">
        <f t="shared" si="24"/>
        <v>293.3333333</v>
      </c>
      <c r="FJ199" s="133">
        <f>AVERAGE(OFFSET($FI$3,0,0,'Données projet'!$E$16+1,1))-AVERAGE(OFFSET($H$3,0,0,'Données projet'!$E$16+1,1))</f>
        <v>305.6252353</v>
      </c>
      <c r="FK199" s="133">
        <f t="shared" si="49"/>
        <v>331.397916</v>
      </c>
      <c r="FL199" s="134">
        <f>IF(ISNA(VLOOKUP(A199,'Données projet'!$A$217:$I$237,3,0)),0,VLOOKUP(A199,'Données projet'!$A$217:$I$237,3,0))</f>
        <v>0</v>
      </c>
      <c r="FM199" s="134">
        <f>IF(ISNA(VLOOKUP(A199,'Données projet'!$A$217:$I$237,4,0)),0,VLOOKUP(A199,'Données projet'!$A$217:$I$237,4,0))</f>
        <v>0</v>
      </c>
      <c r="FN199" s="135">
        <f>IF(ISNA(VLOOKUP(A199,'Données projet'!$A$217:$I$237,5,0)),0%,VLOOKUP(A199,'Données projet'!$A$217:$I$237,5,0)*VLOOKUP('Données projet'!$B$16,'Paramètres'!$A$1:$I$89,7,0))</f>
        <v>0</v>
      </c>
      <c r="FO199" s="135">
        <f>IF(ISNA(VLOOKUP(A199,'Données projet'!$A$217:$I$237,6,0)),0%,VLOOKUP(A199,'Données projet'!$A$217:$I$237,6,0)*VLOOKUP('Données projet'!$B$16,'Paramètres'!$A$1:$I$89,7,0))</f>
        <v>0</v>
      </c>
      <c r="FP199" s="135">
        <f>IF(ISNA(VLOOKUP(A199,'Données projet'!$A$217:$I$237,7,0)),0%,VLOOKUP(A199,'Données projet'!$A$217:$I$237,7,0))</f>
        <v>0</v>
      </c>
      <c r="FQ199" s="142">
        <f>EXP(-LN(2)/35)*FQ198+(1-EXP(-LN(2)/35))/(LN(2)/35)*FM199*FN199*VLOOKUP('Données projet'!$B$16,'Paramètres'!$A$1:$I$89,3,0)*0.475*44/12</f>
        <v>6.65087094</v>
      </c>
      <c r="FR199" s="142">
        <f>EXP(-LN(2)/25)*FR198+(1-EXP(-LN(2)/25))/(LN(2)/25)*Calculateur!FM199*Calculateur!FO199*VLOOKUP('Données projet'!$B$16,'Paramètres'!$A$1:$I$89,3,0)*0.475*44/12</f>
        <v>0</v>
      </c>
      <c r="FS199" s="142">
        <f>EXP(-LN(2)/2)*FS198+(1-EXP(-LN(2)/2))/(LN(2)/2)*FM199*FP199*VLOOKUP('Données projet'!$B$16,'Paramètres'!$A$1:$I$89,3,0)*0.475*44/12</f>
        <v>0</v>
      </c>
      <c r="FT199" s="143">
        <f t="shared" si="25"/>
        <v>6.65087094</v>
      </c>
      <c r="FU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1" t="str">
        <f>VLOOKUP(A199,'Données projet'!$A$243:$I$263,2,0)</f>
        <v>#N/A</v>
      </c>
      <c r="FX199" s="131" t="str">
        <f>VLOOKUP(A199,'Données projet'!$A$243:$I$263,9,0)</f>
        <v>#N/A</v>
      </c>
      <c r="FY199" s="131" t="str">
        <f t="array" ref="FY199">INDEX(FX:FX,MIN(IF(ISNUMBER(FX199:FX395),ROW(FX199:FX395),"")))</f>
        <v/>
      </c>
      <c r="FZ199" s="138">
        <f>IF('Données projet'!$A$244&gt;35,FZ198+FY199-GH198,IF(A199&lt;'Données projet'!$A$244,$FW$205^A199,IF(A199='Données projet'!$A$244,'Données projet'!$B$244,FZ198+FY199-GH198)))</f>
        <v>0</v>
      </c>
      <c r="GA199" s="138">
        <f>FZ199*VLOOKUP('Données projet'!$B$17,'Paramètres'!$A$1:$I$89,3,0)*VLOOKUP('Données projet'!$B$17,'Paramètres'!$A$1:$I$89,5,0)</f>
        <v>0</v>
      </c>
      <c r="GB199" s="130">
        <f t="shared" si="50"/>
        <v>0</v>
      </c>
      <c r="GC199" s="141">
        <f t="shared" si="26"/>
        <v>0</v>
      </c>
      <c r="GD199" s="133">
        <f t="shared" si="27"/>
        <v>293.3333333</v>
      </c>
      <c r="GE199" s="133">
        <f>AVERAGE(OFFSET($GD$3,0,0,'Données projet'!$E$17+1,1))-AVERAGE(OFFSET($H$3,0,0,'Données projet'!$E$17+1,1))</f>
        <v>118.7368745</v>
      </c>
      <c r="GF199" s="133">
        <f t="shared" si="51"/>
        <v>135.1233677</v>
      </c>
      <c r="GG199" s="134">
        <f>IF(ISNA(VLOOKUP(A199,'Données projet'!$A$243:$I$263,3,0)),0,VLOOKUP(A199,'Données projet'!$A$243:$I$263,3,0))</f>
        <v>0</v>
      </c>
      <c r="GH199" s="134">
        <f>IF(ISNA(VLOOKUP(A199,'Données projet'!$A$243:$I$263,4,0)),0,VLOOKUP(A199,'Données projet'!$A$243:$I$263,4,0))</f>
        <v>0</v>
      </c>
      <c r="GI199" s="135">
        <f>IF(ISNA(VLOOKUP(A199,'Données projet'!$A$243:$I$263,5,0)),0%,VLOOKUP(A199,'Données projet'!$A$243:$I$263,5,0)*VLOOKUP('Données projet'!$B$17,'Paramètres'!$A$1:$I$89,7,0))</f>
        <v>0</v>
      </c>
      <c r="GJ199" s="135">
        <f>IF(ISNA(VLOOKUP(A199,'Données projet'!$A$243:$I$263,6,0)),0%,VLOOKUP(A199,'Données projet'!$A$243:$I$263,6,0)*VLOOKUP('Données projet'!$B$17,'Paramètres'!$A$1:$I$89,7,0))</f>
        <v>0</v>
      </c>
      <c r="GK199" s="135">
        <f>IF(ISNA(VLOOKUP(A199,'Données projet'!$A$243:$I$263,7,0)),0%,VLOOKUP(A199,'Données projet'!$A$243:$I$263,7,0))</f>
        <v>0</v>
      </c>
      <c r="GL199" s="142">
        <f>EXP(-LN(2)/35)*GL198+(1-EXP(-LN(2)/35))/(LN(2)/35)*GH199*GI199*VLOOKUP('Données projet'!$B$17,'Paramètres'!$A$1:$I$89,3,0)*0.475*44/12</f>
        <v>7.02662458</v>
      </c>
      <c r="GM199" s="142">
        <f>EXP(-LN(2)/25)*GM198+(1-EXP(-LN(2)/25))/(LN(2)/25)*Calculateur!GH199*Calculateur!GJ199*VLOOKUP('Données projet'!$B$17,'Paramètres'!$A$1:$I$89,3,0)*0.475*44/12</f>
        <v>0</v>
      </c>
      <c r="GN199" s="142">
        <f>EXP(-LN(2)/2)*GN198+(1-EXP(-LN(2)/2))/(LN(2)/2)*GH199*GK199*VLOOKUP('Données projet'!$B$17,'Paramètres'!$A$1:$I$89,3,0)*0.475*44/12</f>
        <v>0</v>
      </c>
      <c r="GO199" s="142">
        <f t="shared" si="28"/>
        <v>7.02662458</v>
      </c>
      <c r="GP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1" t="str">
        <f>VLOOKUP(A199,'Données projet'!$A$269:$I$289,2,0)</f>
        <v>#N/A</v>
      </c>
      <c r="GS199" s="131" t="str">
        <f>VLOOKUP(A199,'Données projet'!$A$269:$I$289,9,0)</f>
        <v>#N/A</v>
      </c>
      <c r="GT199" s="131" t="str">
        <f t="array" ref="GT199">INDEX(GS:GS,MIN(IF(ISNUMBER(GS199:GS395),ROW(GS199:GS395),"")))</f>
        <v/>
      </c>
      <c r="GU199" s="138">
        <f>IF('Données projet'!$A$270&gt;35,GU198+GT199-HC198,IF(A199&lt;'Données projet'!$A$270,$GR$205^A199,IF(A199='Données projet'!$A$270,'Données projet'!$B$270,GU198+GT199-HC198)))</f>
        <v>0</v>
      </c>
      <c r="GV199" s="138">
        <f>GU199*VLOOKUP('Données projet'!$B$18,'Paramètres'!$A$1:$I$89,3,0)*VLOOKUP('Données projet'!$B$18,'Paramètres'!$A$1:$I$89,5,0)</f>
        <v>0</v>
      </c>
      <c r="GW199" s="130" t="str">
        <f t="shared" si="52"/>
        <v>#NUM!</v>
      </c>
      <c r="GX199" s="141" t="str">
        <f t="shared" si="29"/>
        <v>#NUM!</v>
      </c>
      <c r="GY199" s="133" t="str">
        <f t="shared" si="30"/>
        <v>#NUM!</v>
      </c>
      <c r="GZ199" s="133">
        <f>AVERAGE(OFFSET($GY$3,0,0,'Données projet'!$E$18+1,1))-AVERAGE(OFFSET($H$3,0,0,'Données projet'!$E$18+1,1))</f>
        <v>100.5427875</v>
      </c>
      <c r="HA199" s="133">
        <f t="shared" si="53"/>
        <v>92.28663609</v>
      </c>
      <c r="HB199" s="134">
        <f>IF(ISNA(VLOOKUP(A199,'Données projet'!$A$269:$I$289,3,0)),0,VLOOKUP(A199,'Données projet'!$A$269:$I$289,3,0))</f>
        <v>0</v>
      </c>
      <c r="HC199" s="134">
        <f>IF(ISNA(VLOOKUP(A199,'Données projet'!$A$269:$I$289,4,0)),0,VLOOKUP(A199,'Données projet'!$A$269:$I$289,4,0))</f>
        <v>0</v>
      </c>
      <c r="HD199" s="135">
        <f>IF(ISNA(VLOOKUP(A199,'Données projet'!$A$269:$I$289,5,0)),0%,VLOOKUP(A199,'Données projet'!$A$269:$I$289,5,0)*VLOOKUP('Données projet'!$B$18,'Paramètres'!$A$1:$I$89,7,0))</f>
        <v>0</v>
      </c>
      <c r="HE199" s="135">
        <f>IF(ISNA(VLOOKUP(A199,'Données projet'!$A$269:$I$289,6,0)),0%,VLOOKUP(A199,'Données projet'!$A$269:$I$289,6,0)*VLOOKUP('Données projet'!$B$18,'Paramètres'!$A$1:$I$89,7,0))</f>
        <v>0</v>
      </c>
      <c r="HF199" s="135">
        <f>IF(ISNA(VLOOKUP(A199,'Données projet'!$A$269:$I$289,7,0)),0%,VLOOKUP(A199,'Données projet'!$A$269:$I$289,7,0))</f>
        <v>0</v>
      </c>
      <c r="HG199" s="142">
        <f>EXP(-LN(2)/35)*HG198+(1-EXP(-LN(2)/35))/(LN(2)/35)*HC199*HD199*VLOOKUP('Données projet'!$B$18,'Paramètres'!$A$1:$I$89,3,0)*0.475*44/12</f>
        <v>4.784983105</v>
      </c>
      <c r="HH199" s="142">
        <f>EXP(-LN(2)/25)*HH198+(1-EXP(-LN(2)/25))/(LN(2)/25)*Calculateur!HC199*Calculateur!HE199*VLOOKUP('Données projet'!$B$18,'Paramètres'!$A$1:$I$89,3,0)*0.475*44/12</f>
        <v>0</v>
      </c>
      <c r="HI199" s="142">
        <f>EXP(-LN(2)/2)*HI198+(1-EXP(-LN(2)/2))/(LN(2)/2)*HC199*HF199*VLOOKUP('Données projet'!$B$18,'Paramètres'!$A$1:$I$89,3,0)*0.475*44/12</f>
        <v>0</v>
      </c>
      <c r="HJ199" s="143">
        <f t="shared" si="31"/>
        <v>4.784983105</v>
      </c>
    </row>
    <row r="200" ht="15.75" customHeight="1">
      <c r="A200" s="125">
        <f t="shared" si="32"/>
        <v>197</v>
      </c>
      <c r="B200" s="126">
        <f>'Scénario référence'!$B$16*5+'Scénario référence'!$B$17*0+'Scénario référence'!$B$18*5</f>
        <v>0</v>
      </c>
      <c r="C200" s="140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107.562</v>
      </c>
      <c r="D200" s="127">
        <f t="shared" si="33"/>
        <v>28.75582563</v>
      </c>
      <c r="E200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7">
        <f>IF(OR('Scénario référence'!$F$8&gt;0,'Scénario référence'!$F$9&gt;0),('Scénario référence'!$F$8+'Scénario référence'!$F$9)*10,0)</f>
        <v>10</v>
      </c>
      <c r="G200" s="127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</v>
      </c>
      <c r="H200" s="128">
        <f t="shared" si="1"/>
        <v>530.7535463</v>
      </c>
      <c r="I200" s="12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1" t="str">
        <f>VLOOKUP(A200,'Données projet'!$A$35:$I$55,2,0)</f>
        <v>#N/A</v>
      </c>
      <c r="L200" s="131" t="str">
        <f>VLOOKUP(A200,'Données projet'!$A$35:$I$55,9,0)</f>
        <v>#N/A</v>
      </c>
      <c r="M200" s="131" t="str">
        <f t="array" ref="M200">INDEX(L:L,MIN(IF(ISNUMBER(L200:L396),ROW(L200:L396),"")))</f>
        <v/>
      </c>
      <c r="N200" s="130">
        <f>IF('Données projet'!$A$36&gt;35,N199+M200-V199,IF(A200&lt;'Données projet'!$A$36,$K$205^A200,IF(A200='Données projet'!$A$36,'Données projet'!$B$36,N199+M200-V199)))</f>
        <v>0</v>
      </c>
      <c r="O200" s="130">
        <f>N200*VLOOKUP('Données projet'!$B$9,'Paramètres'!$A$1:$I$89,3,0)*VLOOKUP('Données projet'!$B$9,'Paramètres'!$A$1:$I$89,5,0)</f>
        <v>0</v>
      </c>
      <c r="P200" s="130">
        <f t="shared" si="34"/>
        <v>0</v>
      </c>
      <c r="Q200" s="141">
        <f t="shared" si="2"/>
        <v>0</v>
      </c>
      <c r="R200" s="133">
        <f t="shared" si="3"/>
        <v>293.3333333</v>
      </c>
      <c r="S200" s="133">
        <f>AVERAGE(OFFSET($R$3,0,0,'Données projet'!$E$9+1,1))-AVERAGE(OFFSET($H$3,0,0,'Données projet'!$E$9+1,1))</f>
        <v>126.9946492</v>
      </c>
      <c r="T200" s="133">
        <f t="shared" si="35"/>
        <v>140.039049</v>
      </c>
      <c r="U200" s="134">
        <f>IF(ISNA(VLOOKUP(A200,'Données projet'!$A$35:$I$55,3,0)),0,VLOOKUP(A200,'Données projet'!$A$35:$I$55,3,0))</f>
        <v>0</v>
      </c>
      <c r="V200" s="134">
        <f>IF(ISNA(VLOOKUP(A200,'Données projet'!$A$35:$I$55,4,0)),0,VLOOKUP(A200,'Données projet'!$A$35:$I$55,4,0))</f>
        <v>0</v>
      </c>
      <c r="W200" s="135">
        <f>IF(ISNA(VLOOKUP(A200,'Données projet'!$A$35:$I$55,5,0)),0%,VLOOKUP(A200,'Données projet'!$A$35:$I$55,5,0)*VLOOKUP('Données projet'!$B$9,'Paramètres'!$A$1:$I$89,7,0))</f>
        <v>0</v>
      </c>
      <c r="X200" s="135">
        <f>IF(ISNA(VLOOKUP(A200,'Données projet'!$A$35:$I$55,6,0)),0%,VLOOKUP(A200,'Données projet'!$A$35:$I$55,6,0)*VLOOKUP('Données projet'!$B$9,'Paramètres'!$A$1:$I$89,7,0))</f>
        <v>0</v>
      </c>
      <c r="Y200" s="135">
        <f>IF(ISNA(VLOOKUP(A200,'Données projet'!$A$35:$I$55,7,0)),0%,VLOOKUP(A200,'Données projet'!$A$35:$I$55,7,0))</f>
        <v>0</v>
      </c>
      <c r="Z200" s="142">
        <f>EXP(-LN(2)/35)*Z199+(1-EXP(-LN(2)/35))/(LN(2)/35)*V200*W200*VLOOKUP('Données projet'!$B$9,'Paramètres'!$A$1:$I$89,3,0)*0.475*44/12</f>
        <v>7.045746524</v>
      </c>
      <c r="AA200" s="142">
        <f>EXP(-LN(2)/25)*AA199+(1-EXP(-LN(2)/25))/(LN(2)/25)*Calculateur!V200*Calculateur!X200*VLOOKUP('Données projet'!$B$9,'Paramètres'!$A$1:$I$89,3,0)*0.475*44/12</f>
        <v>0.5206746935</v>
      </c>
      <c r="AB200" s="142">
        <f>EXP(-LN(2)/2)*AB199+(1-EXP(-LN(2)/2))/(LN(2)/2)*V200*Y200*VLOOKUP('Données projet'!$B$9,'Paramètres'!$A$1:$I$89,3,0)*0.475*44/12</f>
        <v>0</v>
      </c>
      <c r="AC200" s="143">
        <f t="shared" si="4"/>
        <v>7.566421218</v>
      </c>
      <c r="AD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1" t="str">
        <f>VLOOKUP(A200,'Données projet'!$A$61:$I$81,2,0)</f>
        <v>#N/A</v>
      </c>
      <c r="AG200" s="131" t="str">
        <f>VLOOKUP(A200,'Données projet'!$A$61:$I$81,9,0)</f>
        <v>#N/A</v>
      </c>
      <c r="AH200" s="131" t="str">
        <f t="array" ref="AH200">INDEX(AG:AG,MIN(IF(ISNUMBER(AG200:AG396),ROW(AG200:AG396),"")))</f>
        <v/>
      </c>
      <c r="AI200" s="130">
        <f>IF('Données projet'!$A$62&gt;35,AI199+AH200-AQ199,IF(A200&lt;'Données projet'!$A$62,$AF$205^A200,IF(A200='Données projet'!$A$62,'Données projet'!$B$62,AI199+AH200-AQ199)))</f>
        <v>0</v>
      </c>
      <c r="AJ200" s="130">
        <f>AI200*VLOOKUP('Données projet'!$B$10,'Paramètres'!$A$1:$I$89,3,0)*VLOOKUP('Données projet'!$B$10,'Paramètres'!$A$1:$I$89,5,0)</f>
        <v>0</v>
      </c>
      <c r="AK200" s="130" t="str">
        <f t="shared" si="36"/>
        <v>#NUM!</v>
      </c>
      <c r="AL200" s="141" t="str">
        <f t="shared" si="5"/>
        <v>#NUM!</v>
      </c>
      <c r="AM200" s="133" t="str">
        <f t="shared" si="6"/>
        <v>#NUM!</v>
      </c>
      <c r="AN200" s="133">
        <f>AVERAGE(OFFSET($AM$3,0,0,'Données projet'!$E$10+1,1))-AVERAGE(OFFSET($H$3,0,0,'Données projet'!$E$10+1,1))</f>
        <v>196.874484</v>
      </c>
      <c r="AO200" s="133">
        <f t="shared" si="37"/>
        <v>217.5750859</v>
      </c>
      <c r="AP200" s="134">
        <f>IF(ISNA(VLOOKUP(A200,'Données projet'!$A$61:$I$81,3,0)),0,VLOOKUP(A200,'Données projet'!$A$61:$I$81,3,0))</f>
        <v>0</v>
      </c>
      <c r="AQ200" s="134">
        <f>IF(ISNA(VLOOKUP(A200,'Données projet'!$A$61:$I$81,4,0)),0,VLOOKUP(A200,'Données projet'!$A$61:$I$81,4,0))</f>
        <v>0</v>
      </c>
      <c r="AR200" s="135">
        <f>IF(ISNA(VLOOKUP(A200,'Données projet'!$A$61:$I$81,5,0)),0%,VLOOKUP(A200,'Données projet'!$A$61:$I$81,5,0)*VLOOKUP('Données projet'!$B$10,'Paramètres'!$A$1:$I$89,7,0))</f>
        <v>0</v>
      </c>
      <c r="AS200" s="135">
        <f>IF(ISNA(VLOOKUP(A200,'Données projet'!$A$61:$I$81,6,0)),0%,VLOOKUP(A200,'Données projet'!$A$61:$I$81,6,0)*VLOOKUP('Données projet'!$B$10,'Paramètres'!$A$1:$I$89,7,0))</f>
        <v>0</v>
      </c>
      <c r="AT200" s="135">
        <f>IF(ISNA(VLOOKUP(A200,'Données projet'!$A$61:$I$81,7,0)),0%,VLOOKUP(A200,'Données projet'!$A$61:$I$81,7,0))</f>
        <v>0</v>
      </c>
      <c r="AU200" s="142">
        <f>EXP(-LN(2)/35)*AU199+(1-EXP(-LN(2)/35))/(LN(2)/35)*AQ200*AR200*VLOOKUP('Données projet'!$B$10,'Paramètres'!$A$1:$I$89,3,0)*0.475*44/12</f>
        <v>9.793387543</v>
      </c>
      <c r="AV200" s="142">
        <f>EXP(-LN(2)/25)*AV199+(1-EXP(-LN(2)/25))/(LN(2)/25)*Calculateur!AQ200*Calculateur!AS200*VLOOKUP('Données projet'!$B$10,'Paramètres'!$A$1:$I$89,3,0)*0.475*44/12</f>
        <v>0.8005380369</v>
      </c>
      <c r="AW200" s="142">
        <f>EXP(-LN(2)/2)*AW199+(1-EXP(-LN(2)/2))/(LN(2)/2)*AQ200*AT200*VLOOKUP('Données projet'!$B$10,'Paramètres'!$A$1:$I$89,3,0)*0.475*44/12</f>
        <v>0</v>
      </c>
      <c r="AX200" s="142">
        <f t="shared" si="7"/>
        <v>10.59392558</v>
      </c>
      <c r="AY200" s="13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1" t="str">
        <f>VLOOKUP(A200,'Données projet'!$A$87:$I$107,2,0)</f>
        <v>#N/A</v>
      </c>
      <c r="BB200" s="131" t="str">
        <f>VLOOKUP(A200,'Données projet'!$A$87:$I$107,9,0)</f>
        <v>#N/A</v>
      </c>
      <c r="BC200" s="131" t="str">
        <f t="array" ref="BC200">INDEX(BB:BB,MIN(IF(ISNUMBER(BB200:BB396),ROW(BB200:BB396),"")))</f>
        <v/>
      </c>
      <c r="BD200" s="130">
        <f>IF('Données projet'!$A$88&gt;35,BD199+BC200-BL199,IF(A200&lt;'Données projet'!$A$88,$BA$205^A200,IF(A200='Données projet'!$A$88,'Données projet'!$B$88,BD199+BC200-BL199)))</f>
        <v>0</v>
      </c>
      <c r="BE200" s="130">
        <f>BD200*VLOOKUP('Données projet'!$B$11,'Paramètres'!$A$1:$I$89,3,0)*VLOOKUP('Données projet'!$B$11,'Paramètres'!$A$1:$I$89,5,0)</f>
        <v>0</v>
      </c>
      <c r="BF200" s="130" t="str">
        <f t="shared" si="38"/>
        <v>#NUM!</v>
      </c>
      <c r="BG200" s="141" t="str">
        <f t="shared" si="8"/>
        <v>#NUM!</v>
      </c>
      <c r="BH200" s="133" t="str">
        <f t="shared" si="9"/>
        <v>#NUM!</v>
      </c>
      <c r="BI200" s="133">
        <f>AVERAGE(OFFSET($BH$3,0,0,'Données projet'!$E$11+1,1))-AVERAGE(OFFSET($H$3,0,0,'Données projet'!$E$11+1,1))</f>
        <v>134.0948534</v>
      </c>
      <c r="BJ200" s="133">
        <f t="shared" si="39"/>
        <v>108.4102536</v>
      </c>
      <c r="BK200" s="134">
        <f>IF(ISNA(VLOOKUP(A200,'Données projet'!$A$87:$I$107,3,0)),0,VLOOKUP(A200,'Données projet'!$A$87:$I$107,3,0))</f>
        <v>0</v>
      </c>
      <c r="BL200" s="134">
        <f>IF(ISNA(VLOOKUP(A200,'Données projet'!$A$87:$I$107,4,0)),0,VLOOKUP(A200,'Données projet'!$A$87:$I$107,4,0))</f>
        <v>0</v>
      </c>
      <c r="BM200" s="135">
        <f>IF(ISNA(VLOOKUP(A200,'Données projet'!$A$87:$I$107,5,0)),0%,VLOOKUP(A200,'Données projet'!$A$87:$I$107,5,0)*VLOOKUP('Données projet'!$B$11,'Paramètres'!$A$1:$I$89,7,0))</f>
        <v>0</v>
      </c>
      <c r="BN200" s="135">
        <f>IF(ISNA(VLOOKUP(A200,'Données projet'!$A$87:$I$107,6,0)),0%,VLOOKUP(A200,'Données projet'!$A$87:$I$107,6,0)*VLOOKUP('Données projet'!$B$11,'Paramètres'!$A$1:$I$89,7,0))</f>
        <v>0</v>
      </c>
      <c r="BO200" s="135">
        <f>IF(ISNA(VLOOKUP(A200,'Données projet'!$A$87:$I$107,7,0)),0%,VLOOKUP(A200,'Données projet'!$A$87:$I$107,7,0))</f>
        <v>0</v>
      </c>
      <c r="BP200" s="142">
        <f>EXP(-LN(2)/35)*BP199+(1-EXP(-LN(2)/35))/(LN(2)/35)*BL200*BM200*VLOOKUP('Données projet'!$B$11,'Paramètres'!$A$1:$I$89,3,0)*0.475*44/12</f>
        <v>13.54608397</v>
      </c>
      <c r="BQ200" s="142">
        <f>EXP(-LN(2)/25)*BQ199+(1-EXP(-LN(2)/25))/(LN(2)/25)*Calculateur!BL200*Calculateur!BN200*VLOOKUP('Données projet'!$B$11,'Paramètres'!$A$1:$I$89,3,0)*0.475*44/12</f>
        <v>0.504980081</v>
      </c>
      <c r="BR200" s="142">
        <f>EXP(-LN(2)/2)*BR199+(1-EXP(-LN(2)/2))/(LN(2)/2)*BL200*BO200*VLOOKUP('Données projet'!$B$11,'Paramètres'!$A$1:$I$89,3,0)*0.475*44/12</f>
        <v>0</v>
      </c>
      <c r="BS200" s="143">
        <f t="shared" si="10"/>
        <v>14.05106405</v>
      </c>
      <c r="BT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1" t="str">
        <f>VLOOKUP(A200,'Données projet'!$A$113:$I$133,2,0)</f>
        <v>#N/A</v>
      </c>
      <c r="BW200" s="131" t="str">
        <f>VLOOKUP(A200,'Données projet'!$A$113:$I$133,9,0)</f>
        <v>#N/A</v>
      </c>
      <c r="BX200" s="131" t="str">
        <f t="array" ref="BX200">INDEX(BW:BW,MIN(IF(ISNUMBER(BW200:BW396),ROW(BW200:BW396),"")))</f>
        <v/>
      </c>
      <c r="BY200" s="130">
        <f>IF('Données projet'!$A$114&gt;35,BY199+BX200-CG199,IF(A200&lt;'Données projet'!$A$114,$BV$205^A200,IF(A200='Données projet'!$A$114,'Données projet'!$B$114,BY199+BX200-CG199)))</f>
        <v>0</v>
      </c>
      <c r="BZ200" s="130">
        <f>BY200*VLOOKUP('Données projet'!$B$12,'Paramètres'!$A$1:$I$89,3,0)*VLOOKUP('Données projet'!$B$12,'Paramètres'!$A$1:$I$89,5,0)</f>
        <v>0</v>
      </c>
      <c r="CA200" s="130" t="str">
        <f t="shared" si="40"/>
        <v>#NUM!</v>
      </c>
      <c r="CB200" s="141" t="str">
        <f t="shared" si="11"/>
        <v>#NUM!</v>
      </c>
      <c r="CC200" s="133" t="str">
        <f t="shared" si="12"/>
        <v>#NUM!</v>
      </c>
      <c r="CD200" s="133">
        <f>AVERAGE(OFFSET($CC$3,0,0,'Données projet'!$E$12+1,1))-AVERAGE(OFFSET($H$3,0,0,'Données projet'!$E$12+1,1))</f>
        <v>258.1672054</v>
      </c>
      <c r="CE200" s="133">
        <f t="shared" si="41"/>
        <v>296.0724261</v>
      </c>
      <c r="CF200" s="134">
        <f>IF(ISNA(VLOOKUP(A200,'Données projet'!$A$113:$I$133,3,0)),0,VLOOKUP(A200,'Données projet'!$A$113:$I$133,3,0))</f>
        <v>0</v>
      </c>
      <c r="CG200" s="134">
        <f>IF(ISNA(VLOOKUP(A200,'Données projet'!$A$113:$I$133,4,0)),0,VLOOKUP(A200,'Données projet'!$A$113:$I$133,4,0))</f>
        <v>0</v>
      </c>
      <c r="CH200" s="135">
        <f>IF(ISNA(VLOOKUP(A200,'Données projet'!$A$113:$I$133,5,0)),0%,VLOOKUP(A200,'Données projet'!$A$113:$I$133,5,0)*VLOOKUP('Données projet'!$B$12,'Paramètres'!$A$1:$I$89,7,0))</f>
        <v>0</v>
      </c>
      <c r="CI200" s="135">
        <f>IF(ISNA(VLOOKUP(A200,'Données projet'!$A$113:$I$133,6,0)),0%,VLOOKUP(A200,'Données projet'!$A$113:$I$133,6,0)*VLOOKUP('Données projet'!$B$12,'Paramètres'!$A$1:$I$89,7,0))</f>
        <v>0</v>
      </c>
      <c r="CJ200" s="135">
        <f>IF(ISNA(VLOOKUP(A200,'Données projet'!$A$113:$I$133,7,0)),0%,VLOOKUP(A200,'Données projet'!$A$113:$I$133,7,0))</f>
        <v>0</v>
      </c>
      <c r="CK200" s="142">
        <f>EXP(-LN(2)/35)*CK199+(1-EXP(-LN(2)/35))/(LN(2)/35)*CG200*CH200*VLOOKUP('Données projet'!$B$12,'Paramètres'!$A$1:$I$89,3,0)*0.475*44/12</f>
        <v>17.12639405</v>
      </c>
      <c r="CL200" s="142">
        <f>EXP(-LN(2)/25)*CL199+(1-EXP(-LN(2)/25))/(LN(2)/25)*Calculateur!CG200*Calculateur!CI200*VLOOKUP('Données projet'!$B$12,'Paramètres'!$A$1:$I$89,3,0)*0.475*44/12</f>
        <v>0.8857637284</v>
      </c>
      <c r="CM200" s="142">
        <f>EXP(-LN(2)/2)*CM199+(1-EXP(-LN(2)/2))/(LN(2)/2)*CG200*CJ200*VLOOKUP('Données projet'!$B$12,'Paramètres'!$A$1:$I$89,3,0)*0.475*44/12</f>
        <v>0</v>
      </c>
      <c r="CN200" s="143">
        <f t="shared" si="13"/>
        <v>18.01215778</v>
      </c>
      <c r="CO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1" t="str">
        <f>VLOOKUP(A200,'Données projet'!$A$139:$I$159,2,0)</f>
        <v>#N/A</v>
      </c>
      <c r="CR200" s="131" t="str">
        <f>VLOOKUP(A200,'Données projet'!$A$139:$I$159,9,0)</f>
        <v>#N/A</v>
      </c>
      <c r="CS200" s="131" t="str">
        <f t="array" ref="CS200">INDEX(CR:CR,MIN(IF(ISNUMBER(CR200:CR396),ROW(CR200:CR396),"")))</f>
        <v/>
      </c>
      <c r="CT200" s="138">
        <f>IF('Données projet'!$A$140&gt;35,CT199+CS200-DB199,IF(A200&lt;'Données projet'!$A$140,$CQ$205^A200,IF(A200='Données projet'!$A$140,'Données projet'!$B$140,CT199+CS200-DB199)))</f>
        <v>0</v>
      </c>
      <c r="CU200" s="138">
        <f>CT200*VLOOKUP('Données projet'!$B$13,'Paramètres'!$A$1:$I$89,3,0)*VLOOKUP('Données projet'!$B$13,'Paramètres'!$A$1:$I$89,5,0)</f>
        <v>0</v>
      </c>
      <c r="CV200" s="130" t="str">
        <f t="shared" si="42"/>
        <v>#NUM!</v>
      </c>
      <c r="CW200" s="141" t="str">
        <f t="shared" si="14"/>
        <v>#NUM!</v>
      </c>
      <c r="CX200" s="133" t="str">
        <f t="shared" si="15"/>
        <v>#NUM!</v>
      </c>
      <c r="CY200" s="133">
        <f>AVERAGE(OFFSET($CX$3,0,0,'Données projet'!$E$13+1,1))-AVERAGE(OFFSET($H$3,0,0,'Données projet'!$E$13+1,1))</f>
        <v>223.783507</v>
      </c>
      <c r="CZ200" s="133">
        <f t="shared" si="43"/>
        <v>84.92349117</v>
      </c>
      <c r="DA200" s="134">
        <f>IF(ISNA(VLOOKUP(A200,'Données projet'!$A$139:$I$159,3,0)),0,VLOOKUP(A200,'Données projet'!$A$139:$I$159,3,0))</f>
        <v>0</v>
      </c>
      <c r="DB200" s="134">
        <f>IF(ISNA(VLOOKUP(A200,'Données projet'!$A$139:$I$159,4,0)),0,VLOOKUP(A200,'Données projet'!$A$139:$I$159,4,0))</f>
        <v>0</v>
      </c>
      <c r="DC200" s="135">
        <f>IF(ISNA(VLOOKUP(A200,'Données projet'!$A$139:$I$159,5,0)),0%,VLOOKUP(A200,'Données projet'!$A$139:$I$159,5,0)*VLOOKUP('Données projet'!$B$13,'Paramètres'!$A$1:$I$89,7,0))</f>
        <v>0</v>
      </c>
      <c r="DD200" s="135">
        <f>IF(ISNA(VLOOKUP(A200,'Données projet'!$A$139:$I$159,6,0)),0%,VLOOKUP(A200,'Données projet'!$A$139:$I$159,6,0)*VLOOKUP('Données projet'!$B$13,'Paramètres'!$A$1:$I$89,7,0))</f>
        <v>0</v>
      </c>
      <c r="DE200" s="135">
        <f>IF(ISNA(VLOOKUP(A200,'Données projet'!$A$139:$I$159,7,0)),0%,VLOOKUP(A200,'Données projet'!$A$139:$I$159,7,0))</f>
        <v>0</v>
      </c>
      <c r="DF200" s="142">
        <f>EXP(-LN(2)/35)*DF199+(1-EXP(-LN(2)/35))/(LN(2)/35)*DB200*DC200*VLOOKUP('Données projet'!$B$13,'Paramètres'!$A$1:$I$89,3,0)*0.475*44/12</f>
        <v>43.98730007</v>
      </c>
      <c r="DG200" s="142">
        <f>EXP(-LN(2)/25)*DG199+(1-EXP(-LN(2)/25))/(LN(2)/25)*Calculateur!DB200*Calculateur!DD200*VLOOKUP('Données projet'!$B$13,'Paramètres'!$A$1:$I$89,3,0)*0.475*44/12</f>
        <v>0</v>
      </c>
      <c r="DH200" s="142">
        <f>EXP(-LN(2)/2)*DH199+(1-EXP(-LN(2)/2))/(LN(2)/2)*DB200*DE200*VLOOKUP('Données projet'!$B$13,'Paramètres'!$A$1:$I$89,3,0)*0.475*44/12</f>
        <v>0</v>
      </c>
      <c r="DI200" s="143">
        <f t="shared" si="16"/>
        <v>43.98730007</v>
      </c>
      <c r="DJ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1" t="str">
        <f>VLOOKUP(A200,'Données projet'!$A$165:$I$185,2,0)</f>
        <v>#N/A</v>
      </c>
      <c r="DM200" s="131" t="str">
        <f>VLOOKUP(A200,'Données projet'!$A$165:$I$185,9,0)</f>
        <v>#N/A</v>
      </c>
      <c r="DN200" s="131" t="str">
        <f t="array" ref="DN200">INDEX(DM:DM,MIN(IF(ISNUMBER(DM200:DM396),ROW(DM200:DM396),"")))</f>
        <v/>
      </c>
      <c r="DO200" s="138">
        <f>IF('Données projet'!$A$166&gt;35,DO199+DN200-DW199,IF(A200&lt;'Données projet'!$A$166,$DL$205^A200,IF(A200='Données projet'!$A$166,'Données projet'!$B$166,DO199+DN200-DW199)))</f>
        <v>0</v>
      </c>
      <c r="DP200" s="138">
        <f>DO200*VLOOKUP('Données projet'!$B$14,'Paramètres'!$A$1:$I$89,3,0)*VLOOKUP('Données projet'!$B$14,'Paramètres'!$A$1:$I$89,5,0)</f>
        <v>0</v>
      </c>
      <c r="DQ200" s="130" t="str">
        <f t="shared" si="44"/>
        <v>#NUM!</v>
      </c>
      <c r="DR200" s="141" t="str">
        <f t="shared" si="17"/>
        <v>#NUM!</v>
      </c>
      <c r="DS200" s="133" t="str">
        <f t="shared" si="18"/>
        <v>#NUM!</v>
      </c>
      <c r="DT200" s="133">
        <f>AVERAGE(OFFSET($DS$3,0,0,'Données projet'!$E$14+1,1))-AVERAGE(OFFSET($H$3,0,0,'Données projet'!$E$14+1,1))</f>
        <v>287.9334714</v>
      </c>
      <c r="DU200" s="133">
        <f t="shared" si="45"/>
        <v>156.6796502</v>
      </c>
      <c r="DV200" s="134">
        <f>IF(ISNA(VLOOKUP(A200,'Données projet'!$A$165:$I$185,3,0)),0,VLOOKUP(A200,'Données projet'!$A$165:$I$185,3,0))</f>
        <v>0</v>
      </c>
      <c r="DW200" s="134">
        <f>IF(ISNA(VLOOKUP(A200,'Données projet'!$A$165:$I$185,4,0)),0,VLOOKUP(A200,'Données projet'!$A$165:$I$185,4,0))</f>
        <v>0</v>
      </c>
      <c r="DX200" s="135">
        <f>IF(ISNA(VLOOKUP(A200,'Données projet'!$A$165:$I$185,5,0)),0%,VLOOKUP(A200,'Données projet'!$A$165:$I$185,5,0)*VLOOKUP('Données projet'!$B$14,'Paramètres'!$A$1:$I$89,7,0))</f>
        <v>0</v>
      </c>
      <c r="DY200" s="135">
        <f>IF(ISNA(VLOOKUP(A200,'Données projet'!$A$165:$I$185,6,0)),0%,VLOOKUP(A200,'Données projet'!$A$165:$I$185,6,0)*VLOOKUP('Données projet'!$B$14,'Paramètres'!$A$1:$I$89,7,0))</f>
        <v>0</v>
      </c>
      <c r="DZ200" s="135">
        <f>IF(ISNA(VLOOKUP(A200,'Données projet'!$A$165:$I$185,7,0)),0%,VLOOKUP(A200,'Données projet'!$A$165:$I$185,7,0))</f>
        <v>0</v>
      </c>
      <c r="EA200" s="142">
        <f>EXP(-LN(2)/35)*EA199+(1-EXP(-LN(2)/35))/(LN(2)/35)*DW200*DX200*VLOOKUP('Données projet'!$B$14,'Paramètres'!$A$1:$I$89,3,0)*0.475*44/12</f>
        <v>51.10079581</v>
      </c>
      <c r="EB200" s="142">
        <f>EXP(-LN(2)/25)*EB199+(1-EXP(-LN(2)/25))/(LN(2)/25)*Calculateur!DW200*Calculateur!DY200*VLOOKUP('Données projet'!$B$14,'Paramètres'!$A$1:$I$89,3,0)*0.475*44/12</f>
        <v>0</v>
      </c>
      <c r="EC200" s="142">
        <f>EXP(-LN(2)/2)*EC199+(1-EXP(-LN(2)/2))/(LN(2)/2)*DW200*DZ200*VLOOKUP('Données projet'!$B$14,'Paramètres'!$A$1:$I$89,3,0)*0.475*44/12</f>
        <v>0</v>
      </c>
      <c r="ED200" s="143">
        <f t="shared" si="19"/>
        <v>51.10079581</v>
      </c>
      <c r="EE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1" t="str">
        <f>VLOOKUP(A200,'Données projet'!$A$191:$I$211,2,0)</f>
        <v>#N/A</v>
      </c>
      <c r="EH200" s="131" t="str">
        <f>VLOOKUP(A200,'Données projet'!$A$191:$I$211,9,0)</f>
        <v>#N/A</v>
      </c>
      <c r="EI200" s="131" t="str">
        <f t="array" ref="EI200">INDEX(EH:EH,MIN(IF(ISNUMBER(EH200:EH396),ROW(EH200:EH396),"")))</f>
        <v/>
      </c>
      <c r="EJ200" s="138">
        <f>IF('Données projet'!$A$192&gt;35,EJ199+EI200-ER199,IF(A200&lt;'Données projet'!$A$192,$EG$205^A200,IF(A200='Données projet'!$A$192,'Données projet'!$B$192,EJ199+EI200-ER199)))</f>
        <v>0</v>
      </c>
      <c r="EK200" s="138">
        <f>EJ200*VLOOKUP('Données projet'!$B$15,'Paramètres'!$A$1:$I$89,3,0)*VLOOKUP('Données projet'!$B$15,'Paramètres'!$A$1:$I$89,5,0)</f>
        <v>0</v>
      </c>
      <c r="EL200" s="130" t="str">
        <f t="shared" si="46"/>
        <v>#NUM!</v>
      </c>
      <c r="EM200" s="141" t="str">
        <f t="shared" si="20"/>
        <v>#NUM!</v>
      </c>
      <c r="EN200" s="133" t="str">
        <f t="shared" si="21"/>
        <v>#NUM!</v>
      </c>
      <c r="EO200" s="133">
        <f>AVERAGE(OFFSET($EN$3,0,0,'Données projet'!$E$15+1,1))-AVERAGE(OFFSET($H$3,0,0,'Données projet'!$E$15+1,1))</f>
        <v>130.3193339</v>
      </c>
      <c r="EP200" s="133">
        <f t="shared" si="47"/>
        <v>82.22784365</v>
      </c>
      <c r="EQ200" s="134">
        <f>IF(ISNA(VLOOKUP(A200,'Données projet'!$A$191:$I$211,3,0)),0,VLOOKUP(A200,'Données projet'!$A$191:$I$211,3,0))</f>
        <v>0</v>
      </c>
      <c r="ER200" s="134">
        <f>IF(ISNA(VLOOKUP(A200,'Données projet'!$A$191:$I$211,4,0)),0,VLOOKUP(A200,'Données projet'!$A$191:$I$211,4,0))</f>
        <v>0</v>
      </c>
      <c r="ES200" s="135">
        <f>IF(ISNA(VLOOKUP(A200,'Données projet'!$A$191:$I$211,5,0)),0%,VLOOKUP(A200,'Données projet'!$A$191:$I$211,5,0)*VLOOKUP('Données projet'!$B$15,'Paramètres'!$A$1:$I$89,7,0))</f>
        <v>0</v>
      </c>
      <c r="ET200" s="135">
        <f>IF(ISNA(VLOOKUP(A200,'Données projet'!$A$191:$I$211,6,0)),0%,VLOOKUP(A200,'Données projet'!$A$191:$I$211,6,0)*VLOOKUP('Données projet'!$B$15,'Paramètres'!$A$1:$I$89,7,0))</f>
        <v>0</v>
      </c>
      <c r="EU200" s="135">
        <f>IF(ISNA(VLOOKUP(A200,'Données projet'!$A$191:$I$211,7,0)),0%,VLOOKUP(A200,'Données projet'!$A$191:$I$211,7,0))</f>
        <v>0</v>
      </c>
      <c r="EV200" s="142">
        <f>EXP(-LN(2)/35)*EV199+(1-EXP(-LN(2)/35))/(LN(2)/35)*ER200*ES200*VLOOKUP('Données projet'!$B$15,'Paramètres'!$A$1:$I$89,3,0)*0.475*44/12</f>
        <v>10.47243567</v>
      </c>
      <c r="EW200" s="142">
        <f>EXP(-LN(2)/25)*EW199+(1-EXP(-LN(2)/25))/(LN(2)/25)*Calculateur!ER200*Calculateur!ET200*VLOOKUP('Données projet'!$B$15,'Paramètres'!$A$1:$I$89,3,0)*0.475*44/12</f>
        <v>0</v>
      </c>
      <c r="EX200" s="142">
        <f>EXP(-LN(2)/2)*EX199+(1-EXP(-LN(2)/2))/(LN(2)/2)*ER200*EU200*VLOOKUP('Données projet'!$B$15,'Paramètres'!$A$1:$I$89,3,0)*0.475*44/12</f>
        <v>0</v>
      </c>
      <c r="EY200" s="143">
        <f t="shared" si="22"/>
        <v>10.47243567</v>
      </c>
      <c r="EZ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1" t="str">
        <f>VLOOKUP(A200,'Données projet'!$A$217:$I$237,2,0)</f>
        <v>#N/A</v>
      </c>
      <c r="FC200" s="131" t="str">
        <f>VLOOKUP(A200,'Données projet'!$A$217:$I$237,9,0)</f>
        <v>#N/A</v>
      </c>
      <c r="FD200" s="131" t="str">
        <f t="array" ref="FD200">INDEX(FC:FC,MIN(IF(ISNUMBER(FC200:FC396),ROW(FC200:FC396),"")))</f>
        <v/>
      </c>
      <c r="FE200" s="130">
        <f>IF('Données projet'!$A$218&gt;35,FE199+FD200-FM199,IF(A200&lt;'Données projet'!$A$218,$FB$205^A200,IF(A200='Données projet'!$A$218,'Données projet'!$B$218,FE199+FD200-FM199)))</f>
        <v>0</v>
      </c>
      <c r="FF200" s="138">
        <f>FE200*VLOOKUP('Données projet'!$B$16,'Paramètres'!$A$1:$I$89,3,0)*VLOOKUP('Données projet'!$B$16,'Paramètres'!$A$1:$I$89,5,0)</f>
        <v>0</v>
      </c>
      <c r="FG200" s="130">
        <f t="shared" si="48"/>
        <v>0</v>
      </c>
      <c r="FH200" s="141">
        <f t="shared" si="23"/>
        <v>0</v>
      </c>
      <c r="FI200" s="133">
        <f t="shared" si="24"/>
        <v>293.3333333</v>
      </c>
      <c r="FJ200" s="133">
        <f>AVERAGE(OFFSET($FI$3,0,0,'Données projet'!$E$16+1,1))-AVERAGE(OFFSET($H$3,0,0,'Données projet'!$E$16+1,1))</f>
        <v>305.6252353</v>
      </c>
      <c r="FK200" s="133">
        <f t="shared" si="49"/>
        <v>331.397916</v>
      </c>
      <c r="FL200" s="134">
        <f>IF(ISNA(VLOOKUP(A200,'Données projet'!$A$217:$I$237,3,0)),0,VLOOKUP(A200,'Données projet'!$A$217:$I$237,3,0))</f>
        <v>0</v>
      </c>
      <c r="FM200" s="134">
        <f>IF(ISNA(VLOOKUP(A200,'Données projet'!$A$217:$I$237,4,0)),0,VLOOKUP(A200,'Données projet'!$A$217:$I$237,4,0))</f>
        <v>0</v>
      </c>
      <c r="FN200" s="135">
        <f>IF(ISNA(VLOOKUP(A200,'Données projet'!$A$217:$I$237,5,0)),0%,VLOOKUP(A200,'Données projet'!$A$217:$I$237,5,0)*VLOOKUP('Données projet'!$B$16,'Paramètres'!$A$1:$I$89,7,0))</f>
        <v>0</v>
      </c>
      <c r="FO200" s="135">
        <f>IF(ISNA(VLOOKUP(A200,'Données projet'!$A$217:$I$237,6,0)),0%,VLOOKUP(A200,'Données projet'!$A$217:$I$237,6,0)*VLOOKUP('Données projet'!$B$16,'Paramètres'!$A$1:$I$89,7,0))</f>
        <v>0</v>
      </c>
      <c r="FP200" s="135">
        <f>IF(ISNA(VLOOKUP(A200,'Données projet'!$A$217:$I$237,7,0)),0%,VLOOKUP(A200,'Données projet'!$A$217:$I$237,7,0))</f>
        <v>0</v>
      </c>
      <c r="FQ200" s="142">
        <f>EXP(-LN(2)/35)*FQ199+(1-EXP(-LN(2)/35))/(LN(2)/35)*FM200*FN200*VLOOKUP('Données projet'!$B$16,'Paramètres'!$A$1:$I$89,3,0)*0.475*44/12</f>
        <v>6.520451418</v>
      </c>
      <c r="FR200" s="142">
        <f>EXP(-LN(2)/25)*FR199+(1-EXP(-LN(2)/25))/(LN(2)/25)*Calculateur!FM200*Calculateur!FO200*VLOOKUP('Données projet'!$B$16,'Paramètres'!$A$1:$I$89,3,0)*0.475*44/12</f>
        <v>0</v>
      </c>
      <c r="FS200" s="142">
        <f>EXP(-LN(2)/2)*FS199+(1-EXP(-LN(2)/2))/(LN(2)/2)*FM200*FP200*VLOOKUP('Données projet'!$B$16,'Paramètres'!$A$1:$I$89,3,0)*0.475*44/12</f>
        <v>0</v>
      </c>
      <c r="FT200" s="143">
        <f t="shared" si="25"/>
        <v>6.520451418</v>
      </c>
      <c r="FU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1" t="str">
        <f>VLOOKUP(A200,'Données projet'!$A$243:$I$263,2,0)</f>
        <v>#N/A</v>
      </c>
      <c r="FX200" s="131" t="str">
        <f>VLOOKUP(A200,'Données projet'!$A$243:$I$263,9,0)</f>
        <v>#N/A</v>
      </c>
      <c r="FY200" s="131" t="str">
        <f t="array" ref="FY200">INDEX(FX:FX,MIN(IF(ISNUMBER(FX200:FX396),ROW(FX200:FX396),"")))</f>
        <v/>
      </c>
      <c r="FZ200" s="138">
        <f>IF('Données projet'!$A$244&gt;35,FZ199+FY200-GH199,IF(A200&lt;'Données projet'!$A$244,$FW$205^A200,IF(A200='Données projet'!$A$244,'Données projet'!$B$244,FZ199+FY200-GH199)))</f>
        <v>0</v>
      </c>
      <c r="GA200" s="138">
        <f>FZ200*VLOOKUP('Données projet'!$B$17,'Paramètres'!$A$1:$I$89,3,0)*VLOOKUP('Données projet'!$B$17,'Paramètres'!$A$1:$I$89,5,0)</f>
        <v>0</v>
      </c>
      <c r="GB200" s="130">
        <f t="shared" si="50"/>
        <v>0</v>
      </c>
      <c r="GC200" s="141">
        <f t="shared" si="26"/>
        <v>0</v>
      </c>
      <c r="GD200" s="133">
        <f t="shared" si="27"/>
        <v>293.3333333</v>
      </c>
      <c r="GE200" s="133">
        <f>AVERAGE(OFFSET($GD$3,0,0,'Données projet'!$E$17+1,1))-AVERAGE(OFFSET($H$3,0,0,'Données projet'!$E$17+1,1))</f>
        <v>118.7368745</v>
      </c>
      <c r="GF200" s="133">
        <f t="shared" si="51"/>
        <v>135.1233677</v>
      </c>
      <c r="GG200" s="134">
        <f>IF(ISNA(VLOOKUP(A200,'Données projet'!$A$243:$I$263,3,0)),0,VLOOKUP(A200,'Données projet'!$A$243:$I$263,3,0))</f>
        <v>0</v>
      </c>
      <c r="GH200" s="134">
        <f>IF(ISNA(VLOOKUP(A200,'Données projet'!$A$243:$I$263,4,0)),0,VLOOKUP(A200,'Données projet'!$A$243:$I$263,4,0))</f>
        <v>0</v>
      </c>
      <c r="GI200" s="135">
        <f>IF(ISNA(VLOOKUP(A200,'Données projet'!$A$243:$I$263,5,0)),0%,VLOOKUP(A200,'Données projet'!$A$243:$I$263,5,0)*VLOOKUP('Données projet'!$B$17,'Paramètres'!$A$1:$I$89,7,0))</f>
        <v>0</v>
      </c>
      <c r="GJ200" s="135">
        <f>IF(ISNA(VLOOKUP(A200,'Données projet'!$A$243:$I$263,6,0)),0%,VLOOKUP(A200,'Données projet'!$A$243:$I$263,6,0)*VLOOKUP('Données projet'!$B$17,'Paramètres'!$A$1:$I$89,7,0))</f>
        <v>0</v>
      </c>
      <c r="GK200" s="135">
        <f>IF(ISNA(VLOOKUP(A200,'Données projet'!$A$243:$I$263,7,0)),0%,VLOOKUP(A200,'Données projet'!$A$243:$I$263,7,0))</f>
        <v>0</v>
      </c>
      <c r="GL200" s="142">
        <f>EXP(-LN(2)/35)*GL199+(1-EXP(-LN(2)/35))/(LN(2)/35)*GH200*GI200*VLOOKUP('Données projet'!$B$17,'Paramètres'!$A$1:$I$89,3,0)*0.475*44/12</f>
        <v>6.888836758</v>
      </c>
      <c r="GM200" s="142">
        <f>EXP(-LN(2)/25)*GM199+(1-EXP(-LN(2)/25))/(LN(2)/25)*Calculateur!GH200*Calculateur!GJ200*VLOOKUP('Données projet'!$B$17,'Paramètres'!$A$1:$I$89,3,0)*0.475*44/12</f>
        <v>0</v>
      </c>
      <c r="GN200" s="142">
        <f>EXP(-LN(2)/2)*GN199+(1-EXP(-LN(2)/2))/(LN(2)/2)*GH200*GK200*VLOOKUP('Données projet'!$B$17,'Paramètres'!$A$1:$I$89,3,0)*0.475*44/12</f>
        <v>0</v>
      </c>
      <c r="GO200" s="142">
        <f t="shared" si="28"/>
        <v>6.888836758</v>
      </c>
      <c r="GP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1" t="str">
        <f>VLOOKUP(A200,'Données projet'!$A$269:$I$289,2,0)</f>
        <v>#N/A</v>
      </c>
      <c r="GS200" s="131" t="str">
        <f>VLOOKUP(A200,'Données projet'!$A$269:$I$289,9,0)</f>
        <v>#N/A</v>
      </c>
      <c r="GT200" s="131" t="str">
        <f t="array" ref="GT200">INDEX(GS:GS,MIN(IF(ISNUMBER(GS200:GS396),ROW(GS200:GS396),"")))</f>
        <v/>
      </c>
      <c r="GU200" s="138">
        <f>IF('Données projet'!$A$270&gt;35,GU199+GT200-HC199,IF(A200&lt;'Données projet'!$A$270,$GR$205^A200,IF(A200='Données projet'!$A$270,'Données projet'!$B$270,GU199+GT200-HC199)))</f>
        <v>0</v>
      </c>
      <c r="GV200" s="138">
        <f>GU200*VLOOKUP('Données projet'!$B$18,'Paramètres'!$A$1:$I$89,3,0)*VLOOKUP('Données projet'!$B$18,'Paramètres'!$A$1:$I$89,5,0)</f>
        <v>0</v>
      </c>
      <c r="GW200" s="130" t="str">
        <f t="shared" si="52"/>
        <v>#NUM!</v>
      </c>
      <c r="GX200" s="141" t="str">
        <f t="shared" si="29"/>
        <v>#NUM!</v>
      </c>
      <c r="GY200" s="133" t="str">
        <f t="shared" si="30"/>
        <v>#NUM!</v>
      </c>
      <c r="GZ200" s="133">
        <f>AVERAGE(OFFSET($GY$3,0,0,'Données projet'!$E$18+1,1))-AVERAGE(OFFSET($H$3,0,0,'Données projet'!$E$18+1,1))</f>
        <v>100.5427875</v>
      </c>
      <c r="HA200" s="133">
        <f t="shared" si="53"/>
        <v>92.28663609</v>
      </c>
      <c r="HB200" s="134">
        <f>IF(ISNA(VLOOKUP(A200,'Données projet'!$A$269:$I$289,3,0)),0,VLOOKUP(A200,'Données projet'!$A$269:$I$289,3,0))</f>
        <v>0</v>
      </c>
      <c r="HC200" s="134">
        <f>IF(ISNA(VLOOKUP(A200,'Données projet'!$A$269:$I$289,4,0)),0,VLOOKUP(A200,'Données projet'!$A$269:$I$289,4,0))</f>
        <v>0</v>
      </c>
      <c r="HD200" s="135">
        <f>IF(ISNA(VLOOKUP(A200,'Données projet'!$A$269:$I$289,5,0)),0%,VLOOKUP(A200,'Données projet'!$A$269:$I$289,5,0)*VLOOKUP('Données projet'!$B$18,'Paramètres'!$A$1:$I$89,7,0))</f>
        <v>0</v>
      </c>
      <c r="HE200" s="135">
        <f>IF(ISNA(VLOOKUP(A200,'Données projet'!$A$269:$I$289,6,0)),0%,VLOOKUP(A200,'Données projet'!$A$269:$I$289,6,0)*VLOOKUP('Données projet'!$B$18,'Paramètres'!$A$1:$I$89,7,0))</f>
        <v>0</v>
      </c>
      <c r="HF200" s="135">
        <f>IF(ISNA(VLOOKUP(A200,'Données projet'!$A$269:$I$289,7,0)),0%,VLOOKUP(A200,'Données projet'!$A$269:$I$289,7,0))</f>
        <v>0</v>
      </c>
      <c r="HG200" s="142">
        <f>EXP(-LN(2)/35)*HG199+(1-EXP(-LN(2)/35))/(LN(2)/35)*HC200*HD200*VLOOKUP('Données projet'!$B$18,'Paramètres'!$A$1:$I$89,3,0)*0.475*44/12</f>
        <v>4.691152504</v>
      </c>
      <c r="HH200" s="142">
        <f>EXP(-LN(2)/25)*HH199+(1-EXP(-LN(2)/25))/(LN(2)/25)*Calculateur!HC200*Calculateur!HE200*VLOOKUP('Données projet'!$B$18,'Paramètres'!$A$1:$I$89,3,0)*0.475*44/12</f>
        <v>0</v>
      </c>
      <c r="HI200" s="142">
        <f>EXP(-LN(2)/2)*HI199+(1-EXP(-LN(2)/2))/(LN(2)/2)*HC200*HF200*VLOOKUP('Données projet'!$B$18,'Paramètres'!$A$1:$I$89,3,0)*0.475*44/12</f>
        <v>0</v>
      </c>
      <c r="HJ200" s="143">
        <f t="shared" si="31"/>
        <v>4.691152504</v>
      </c>
    </row>
    <row r="201" ht="15.75" customHeight="1">
      <c r="A201" s="125">
        <f t="shared" si="32"/>
        <v>198</v>
      </c>
      <c r="B201" s="126">
        <f>'Scénario référence'!$B$16*5+'Scénario référence'!$B$17*0+'Scénario référence'!$B$18*5</f>
        <v>0</v>
      </c>
      <c r="C201" s="140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108.108</v>
      </c>
      <c r="D201" s="127">
        <f t="shared" si="33"/>
        <v>28.8847655</v>
      </c>
      <c r="E201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7">
        <f>IF(OR('Scénario référence'!$F$8&gt;0,'Scénario référence'!$F$9&gt;0),('Scénario référence'!$F$8+'Scénario référence'!$F$9)*10,0)</f>
        <v>10</v>
      </c>
      <c r="G201" s="127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</v>
      </c>
      <c r="H201" s="128">
        <f t="shared" si="1"/>
        <v>531.9290666</v>
      </c>
      <c r="I201" s="12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1" t="str">
        <f>VLOOKUP(A201,'Données projet'!$A$35:$I$55,2,0)</f>
        <v>#N/A</v>
      </c>
      <c r="L201" s="131" t="str">
        <f>VLOOKUP(A201,'Données projet'!$A$35:$I$55,9,0)</f>
        <v>#N/A</v>
      </c>
      <c r="M201" s="131" t="str">
        <f t="array" ref="M201">INDEX(L:L,MIN(IF(ISNUMBER(L201:L397),ROW(L201:L397),"")))</f>
        <v/>
      </c>
      <c r="N201" s="130">
        <f>IF('Données projet'!$A$36&gt;35,N200+M201-V200,IF(A201&lt;'Données projet'!$A$36,$K$205^A201,IF(A201='Données projet'!$A$36,'Données projet'!$B$36,N200+M201-V200)))</f>
        <v>0</v>
      </c>
      <c r="O201" s="130">
        <f>N201*VLOOKUP('Données projet'!$B$9,'Paramètres'!$A$1:$I$89,3,0)*VLOOKUP('Données projet'!$B$9,'Paramètres'!$A$1:$I$89,5,0)</f>
        <v>0</v>
      </c>
      <c r="P201" s="130">
        <f t="shared" si="34"/>
        <v>0</v>
      </c>
      <c r="Q201" s="141">
        <f t="shared" si="2"/>
        <v>0</v>
      </c>
      <c r="R201" s="133">
        <f t="shared" si="3"/>
        <v>293.3333333</v>
      </c>
      <c r="S201" s="133">
        <f>AVERAGE(OFFSET($R$3,0,0,'Données projet'!$E$9+1,1))-AVERAGE(OFFSET($H$3,0,0,'Données projet'!$E$9+1,1))</f>
        <v>126.9946492</v>
      </c>
      <c r="T201" s="133">
        <f t="shared" si="35"/>
        <v>140.039049</v>
      </c>
      <c r="U201" s="134">
        <f>IF(ISNA(VLOOKUP(A201,'Données projet'!$A$35:$I$55,3,0)),0,VLOOKUP(A201,'Données projet'!$A$35:$I$55,3,0))</f>
        <v>0</v>
      </c>
      <c r="V201" s="134">
        <f>IF(ISNA(VLOOKUP(A201,'Données projet'!$A$35:$I$55,4,0)),0,VLOOKUP(A201,'Données projet'!$A$35:$I$55,4,0))</f>
        <v>0</v>
      </c>
      <c r="W201" s="135">
        <f>IF(ISNA(VLOOKUP(A201,'Données projet'!$A$35:$I$55,5,0)),0%,VLOOKUP(A201,'Données projet'!$A$35:$I$55,5,0)*VLOOKUP('Données projet'!$B$9,'Paramètres'!$A$1:$I$89,7,0))</f>
        <v>0</v>
      </c>
      <c r="X201" s="135">
        <f>IF(ISNA(VLOOKUP(A201,'Données projet'!$A$35:$I$55,6,0)),0%,VLOOKUP(A201,'Données projet'!$A$35:$I$55,6,0)*VLOOKUP('Données projet'!$B$9,'Paramètres'!$A$1:$I$89,7,0))</f>
        <v>0</v>
      </c>
      <c r="Y201" s="135">
        <f>IF(ISNA(VLOOKUP(A201,'Données projet'!$A$35:$I$55,7,0)),0%,VLOOKUP(A201,'Données projet'!$A$35:$I$55,7,0))</f>
        <v>0</v>
      </c>
      <c r="Z201" s="142">
        <f>EXP(-LN(2)/35)*Z200+(1-EXP(-LN(2)/35))/(LN(2)/35)*V201*W201*VLOOKUP('Données projet'!$B$9,'Paramètres'!$A$1:$I$89,3,0)*0.475*44/12</f>
        <v>6.907583733</v>
      </c>
      <c r="AA201" s="142">
        <f>EXP(-LN(2)/25)*AA200+(1-EXP(-LN(2)/25))/(LN(2)/25)*Calculateur!V201*Calculateur!X201*VLOOKUP('Données projet'!$B$9,'Paramètres'!$A$1:$I$89,3,0)*0.475*44/12</f>
        <v>0.5064368166</v>
      </c>
      <c r="AB201" s="142">
        <f>EXP(-LN(2)/2)*AB200+(1-EXP(-LN(2)/2))/(LN(2)/2)*V201*Y201*VLOOKUP('Données projet'!$B$9,'Paramètres'!$A$1:$I$89,3,0)*0.475*44/12</f>
        <v>0</v>
      </c>
      <c r="AC201" s="143">
        <f t="shared" si="4"/>
        <v>7.414020549</v>
      </c>
      <c r="AD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1" t="str">
        <f>VLOOKUP(A201,'Données projet'!$A$61:$I$81,2,0)</f>
        <v>#N/A</v>
      </c>
      <c r="AG201" s="131" t="str">
        <f>VLOOKUP(A201,'Données projet'!$A$61:$I$81,9,0)</f>
        <v>#N/A</v>
      </c>
      <c r="AH201" s="131" t="str">
        <f t="array" ref="AH201">INDEX(AG:AG,MIN(IF(ISNUMBER(AG201:AG397),ROW(AG201:AG397),"")))</f>
        <v/>
      </c>
      <c r="AI201" s="130">
        <f>IF('Données projet'!$A$62&gt;35,AI200+AH201-AQ200,IF(A201&lt;'Données projet'!$A$62,$AF$205^A201,IF(A201='Données projet'!$A$62,'Données projet'!$B$62,AI200+AH201-AQ200)))</f>
        <v>0</v>
      </c>
      <c r="AJ201" s="130">
        <f>AI201*VLOOKUP('Données projet'!$B$10,'Paramètres'!$A$1:$I$89,3,0)*VLOOKUP('Données projet'!$B$10,'Paramètres'!$A$1:$I$89,5,0)</f>
        <v>0</v>
      </c>
      <c r="AK201" s="130" t="str">
        <f t="shared" si="36"/>
        <v>#NUM!</v>
      </c>
      <c r="AL201" s="141" t="str">
        <f t="shared" si="5"/>
        <v>#NUM!</v>
      </c>
      <c r="AM201" s="133" t="str">
        <f t="shared" si="6"/>
        <v>#NUM!</v>
      </c>
      <c r="AN201" s="133">
        <f>AVERAGE(OFFSET($AM$3,0,0,'Données projet'!$E$10+1,1))-AVERAGE(OFFSET($H$3,0,0,'Données projet'!$E$10+1,1))</f>
        <v>196.874484</v>
      </c>
      <c r="AO201" s="133">
        <f t="shared" si="37"/>
        <v>217.5750859</v>
      </c>
      <c r="AP201" s="134">
        <f>IF(ISNA(VLOOKUP(A201,'Données projet'!$A$61:$I$81,3,0)),0,VLOOKUP(A201,'Données projet'!$A$61:$I$81,3,0))</f>
        <v>0</v>
      </c>
      <c r="AQ201" s="134">
        <f>IF(ISNA(VLOOKUP(A201,'Données projet'!$A$61:$I$81,4,0)),0,VLOOKUP(A201,'Données projet'!$A$61:$I$81,4,0))</f>
        <v>0</v>
      </c>
      <c r="AR201" s="135">
        <f>IF(ISNA(VLOOKUP(A201,'Données projet'!$A$61:$I$81,5,0)),0%,VLOOKUP(A201,'Données projet'!$A$61:$I$81,5,0)*VLOOKUP('Données projet'!$B$10,'Paramètres'!$A$1:$I$89,7,0))</f>
        <v>0</v>
      </c>
      <c r="AS201" s="135">
        <f>IF(ISNA(VLOOKUP(A201,'Données projet'!$A$61:$I$81,6,0)),0%,VLOOKUP(A201,'Données projet'!$A$61:$I$81,6,0)*VLOOKUP('Données projet'!$B$10,'Paramètres'!$A$1:$I$89,7,0))</f>
        <v>0</v>
      </c>
      <c r="AT201" s="135">
        <f>IF(ISNA(VLOOKUP(A201,'Données projet'!$A$61:$I$81,7,0)),0%,VLOOKUP(A201,'Données projet'!$A$61:$I$81,7,0))</f>
        <v>0</v>
      </c>
      <c r="AU201" s="142">
        <f>EXP(-LN(2)/35)*AU200+(1-EXP(-LN(2)/35))/(LN(2)/35)*AQ201*AR201*VLOOKUP('Données projet'!$B$10,'Paramètres'!$A$1:$I$89,3,0)*0.475*44/12</f>
        <v>9.601345187</v>
      </c>
      <c r="AV201" s="142">
        <f>EXP(-LN(2)/25)*AV200+(1-EXP(-LN(2)/25))/(LN(2)/25)*Calculateur!AQ201*Calculateur!AS201*VLOOKUP('Données projet'!$B$10,'Paramètres'!$A$1:$I$89,3,0)*0.475*44/12</f>
        <v>0.7786472822</v>
      </c>
      <c r="AW201" s="142">
        <f>EXP(-LN(2)/2)*AW200+(1-EXP(-LN(2)/2))/(LN(2)/2)*AQ201*AT201*VLOOKUP('Données projet'!$B$10,'Paramètres'!$A$1:$I$89,3,0)*0.475*44/12</f>
        <v>0</v>
      </c>
      <c r="AX201" s="142">
        <f t="shared" si="7"/>
        <v>10.37999247</v>
      </c>
      <c r="AY201" s="13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1" t="str">
        <f>VLOOKUP(A201,'Données projet'!$A$87:$I$107,2,0)</f>
        <v>#N/A</v>
      </c>
      <c r="BB201" s="131" t="str">
        <f>VLOOKUP(A201,'Données projet'!$A$87:$I$107,9,0)</f>
        <v>#N/A</v>
      </c>
      <c r="BC201" s="131" t="str">
        <f t="array" ref="BC201">INDEX(BB:BB,MIN(IF(ISNUMBER(BB201:BB397),ROW(BB201:BB397),"")))</f>
        <v/>
      </c>
      <c r="BD201" s="130">
        <f>IF('Données projet'!$A$88&gt;35,BD200+BC201-BL200,IF(A201&lt;'Données projet'!$A$88,$BA$205^A201,IF(A201='Données projet'!$A$88,'Données projet'!$B$88,BD200+BC201-BL200)))</f>
        <v>0</v>
      </c>
      <c r="BE201" s="130">
        <f>BD201*VLOOKUP('Données projet'!$B$11,'Paramètres'!$A$1:$I$89,3,0)*VLOOKUP('Données projet'!$B$11,'Paramètres'!$A$1:$I$89,5,0)</f>
        <v>0</v>
      </c>
      <c r="BF201" s="130" t="str">
        <f t="shared" si="38"/>
        <v>#NUM!</v>
      </c>
      <c r="BG201" s="141" t="str">
        <f t="shared" si="8"/>
        <v>#NUM!</v>
      </c>
      <c r="BH201" s="133" t="str">
        <f t="shared" si="9"/>
        <v>#NUM!</v>
      </c>
      <c r="BI201" s="133">
        <f>AVERAGE(OFFSET($BH$3,0,0,'Données projet'!$E$11+1,1))-AVERAGE(OFFSET($H$3,0,0,'Données projet'!$E$11+1,1))</f>
        <v>134.0948534</v>
      </c>
      <c r="BJ201" s="133">
        <f t="shared" si="39"/>
        <v>108.4102536</v>
      </c>
      <c r="BK201" s="134">
        <f>IF(ISNA(VLOOKUP(A201,'Données projet'!$A$87:$I$107,3,0)),0,VLOOKUP(A201,'Données projet'!$A$87:$I$107,3,0))</f>
        <v>0</v>
      </c>
      <c r="BL201" s="134">
        <f>IF(ISNA(VLOOKUP(A201,'Données projet'!$A$87:$I$107,4,0)),0,VLOOKUP(A201,'Données projet'!$A$87:$I$107,4,0))</f>
        <v>0</v>
      </c>
      <c r="BM201" s="135">
        <f>IF(ISNA(VLOOKUP(A201,'Données projet'!$A$87:$I$107,5,0)),0%,VLOOKUP(A201,'Données projet'!$A$87:$I$107,5,0)*VLOOKUP('Données projet'!$B$11,'Paramètres'!$A$1:$I$89,7,0))</f>
        <v>0</v>
      </c>
      <c r="BN201" s="135">
        <f>IF(ISNA(VLOOKUP(A201,'Données projet'!$A$87:$I$107,6,0)),0%,VLOOKUP(A201,'Données projet'!$A$87:$I$107,6,0)*VLOOKUP('Données projet'!$B$11,'Paramètres'!$A$1:$I$89,7,0))</f>
        <v>0</v>
      </c>
      <c r="BO201" s="135">
        <f>IF(ISNA(VLOOKUP(A201,'Données projet'!$A$87:$I$107,7,0)),0%,VLOOKUP(A201,'Données projet'!$A$87:$I$107,7,0))</f>
        <v>0</v>
      </c>
      <c r="BP201" s="142">
        <f>EXP(-LN(2)/35)*BP200+(1-EXP(-LN(2)/35))/(LN(2)/35)*BL201*BM201*VLOOKUP('Données projet'!$B$11,'Paramètres'!$A$1:$I$89,3,0)*0.475*44/12</f>
        <v>13.28045353</v>
      </c>
      <c r="BQ201" s="142">
        <f>EXP(-LN(2)/25)*BQ200+(1-EXP(-LN(2)/25))/(LN(2)/25)*Calculateur!BL201*Calculateur!BN201*VLOOKUP('Données projet'!$B$11,'Paramètres'!$A$1:$I$89,3,0)*0.475*44/12</f>
        <v>0.4911713741</v>
      </c>
      <c r="BR201" s="142">
        <f>EXP(-LN(2)/2)*BR200+(1-EXP(-LN(2)/2))/(LN(2)/2)*BL201*BO201*VLOOKUP('Données projet'!$B$11,'Paramètres'!$A$1:$I$89,3,0)*0.475*44/12</f>
        <v>0</v>
      </c>
      <c r="BS201" s="143">
        <f t="shared" si="10"/>
        <v>13.7716249</v>
      </c>
      <c r="BT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1" t="str">
        <f>VLOOKUP(A201,'Données projet'!$A$113:$I$133,2,0)</f>
        <v>#N/A</v>
      </c>
      <c r="BW201" s="131" t="str">
        <f>VLOOKUP(A201,'Données projet'!$A$113:$I$133,9,0)</f>
        <v>#N/A</v>
      </c>
      <c r="BX201" s="131" t="str">
        <f t="array" ref="BX201">INDEX(BW:BW,MIN(IF(ISNUMBER(BW201:BW397),ROW(BW201:BW397),"")))</f>
        <v/>
      </c>
      <c r="BY201" s="130">
        <f>IF('Données projet'!$A$114&gt;35,BY200+BX201-CG200,IF(A201&lt;'Données projet'!$A$114,$BV$205^A201,IF(A201='Données projet'!$A$114,'Données projet'!$B$114,BY200+BX201-CG200)))</f>
        <v>0</v>
      </c>
      <c r="BZ201" s="130">
        <f>BY201*VLOOKUP('Données projet'!$B$12,'Paramètres'!$A$1:$I$89,3,0)*VLOOKUP('Données projet'!$B$12,'Paramètres'!$A$1:$I$89,5,0)</f>
        <v>0</v>
      </c>
      <c r="CA201" s="130" t="str">
        <f t="shared" si="40"/>
        <v>#NUM!</v>
      </c>
      <c r="CB201" s="141" t="str">
        <f t="shared" si="11"/>
        <v>#NUM!</v>
      </c>
      <c r="CC201" s="133" t="str">
        <f t="shared" si="12"/>
        <v>#NUM!</v>
      </c>
      <c r="CD201" s="133">
        <f>AVERAGE(OFFSET($CC$3,0,0,'Données projet'!$E$12+1,1))-AVERAGE(OFFSET($H$3,0,0,'Données projet'!$E$12+1,1))</f>
        <v>258.1672054</v>
      </c>
      <c r="CE201" s="133">
        <f t="shared" si="41"/>
        <v>296.0724261</v>
      </c>
      <c r="CF201" s="134">
        <f>IF(ISNA(VLOOKUP(A201,'Données projet'!$A$113:$I$133,3,0)),0,VLOOKUP(A201,'Données projet'!$A$113:$I$133,3,0))</f>
        <v>0</v>
      </c>
      <c r="CG201" s="134">
        <f>IF(ISNA(VLOOKUP(A201,'Données projet'!$A$113:$I$133,4,0)),0,VLOOKUP(A201,'Données projet'!$A$113:$I$133,4,0))</f>
        <v>0</v>
      </c>
      <c r="CH201" s="135">
        <f>IF(ISNA(VLOOKUP(A201,'Données projet'!$A$113:$I$133,5,0)),0%,VLOOKUP(A201,'Données projet'!$A$113:$I$133,5,0)*VLOOKUP('Données projet'!$B$12,'Paramètres'!$A$1:$I$89,7,0))</f>
        <v>0</v>
      </c>
      <c r="CI201" s="135">
        <f>IF(ISNA(VLOOKUP(A201,'Données projet'!$A$113:$I$133,6,0)),0%,VLOOKUP(A201,'Données projet'!$A$113:$I$133,6,0)*VLOOKUP('Données projet'!$B$12,'Paramètres'!$A$1:$I$89,7,0))</f>
        <v>0</v>
      </c>
      <c r="CJ201" s="135">
        <f>IF(ISNA(VLOOKUP(A201,'Données projet'!$A$113:$I$133,7,0)),0%,VLOOKUP(A201,'Données projet'!$A$113:$I$133,7,0))</f>
        <v>0</v>
      </c>
      <c r="CK201" s="142">
        <f>EXP(-LN(2)/35)*CK200+(1-EXP(-LN(2)/35))/(LN(2)/35)*CG201*CH201*VLOOKUP('Données projet'!$B$12,'Paramètres'!$A$1:$I$89,3,0)*0.475*44/12</f>
        <v>16.79055591</v>
      </c>
      <c r="CL201" s="142">
        <f>EXP(-LN(2)/25)*CL200+(1-EXP(-LN(2)/25))/(LN(2)/25)*Calculateur!CG201*Calculateur!CI201*VLOOKUP('Données projet'!$B$12,'Paramètres'!$A$1:$I$89,3,0)*0.475*44/12</f>
        <v>0.8615424727</v>
      </c>
      <c r="CM201" s="142">
        <f>EXP(-LN(2)/2)*CM200+(1-EXP(-LN(2)/2))/(LN(2)/2)*CG201*CJ201*VLOOKUP('Données projet'!$B$12,'Paramètres'!$A$1:$I$89,3,0)*0.475*44/12</f>
        <v>0</v>
      </c>
      <c r="CN201" s="143">
        <f t="shared" si="13"/>
        <v>17.65209839</v>
      </c>
      <c r="CO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1" t="str">
        <f>VLOOKUP(A201,'Données projet'!$A$139:$I$159,2,0)</f>
        <v>#N/A</v>
      </c>
      <c r="CR201" s="131" t="str">
        <f>VLOOKUP(A201,'Données projet'!$A$139:$I$159,9,0)</f>
        <v>#N/A</v>
      </c>
      <c r="CS201" s="131" t="str">
        <f t="array" ref="CS201">INDEX(CR:CR,MIN(IF(ISNUMBER(CR201:CR397),ROW(CR201:CR397),"")))</f>
        <v/>
      </c>
      <c r="CT201" s="138">
        <f>IF('Données projet'!$A$140&gt;35,CT200+CS201-DB200,IF(A201&lt;'Données projet'!$A$140,$CQ$205^A201,IF(A201='Données projet'!$A$140,'Données projet'!$B$140,CT200+CS201-DB200)))</f>
        <v>0</v>
      </c>
      <c r="CU201" s="138">
        <f>CT201*VLOOKUP('Données projet'!$B$13,'Paramètres'!$A$1:$I$89,3,0)*VLOOKUP('Données projet'!$B$13,'Paramètres'!$A$1:$I$89,5,0)</f>
        <v>0</v>
      </c>
      <c r="CV201" s="130" t="str">
        <f t="shared" si="42"/>
        <v>#NUM!</v>
      </c>
      <c r="CW201" s="141" t="str">
        <f t="shared" si="14"/>
        <v>#NUM!</v>
      </c>
      <c r="CX201" s="133" t="str">
        <f t="shared" si="15"/>
        <v>#NUM!</v>
      </c>
      <c r="CY201" s="133">
        <f>AVERAGE(OFFSET($CX$3,0,0,'Données projet'!$E$13+1,1))-AVERAGE(OFFSET($H$3,0,0,'Données projet'!$E$13+1,1))</f>
        <v>223.783507</v>
      </c>
      <c r="CZ201" s="133">
        <f t="shared" si="43"/>
        <v>84.92349117</v>
      </c>
      <c r="DA201" s="134">
        <f>IF(ISNA(VLOOKUP(A201,'Données projet'!$A$139:$I$159,3,0)),0,VLOOKUP(A201,'Données projet'!$A$139:$I$159,3,0))</f>
        <v>0</v>
      </c>
      <c r="DB201" s="134">
        <f>IF(ISNA(VLOOKUP(A201,'Données projet'!$A$139:$I$159,4,0)),0,VLOOKUP(A201,'Données projet'!$A$139:$I$159,4,0))</f>
        <v>0</v>
      </c>
      <c r="DC201" s="135">
        <f>IF(ISNA(VLOOKUP(A201,'Données projet'!$A$139:$I$159,5,0)),0%,VLOOKUP(A201,'Données projet'!$A$139:$I$159,5,0)*VLOOKUP('Données projet'!$B$13,'Paramètres'!$A$1:$I$89,7,0))</f>
        <v>0</v>
      </c>
      <c r="DD201" s="135">
        <f>IF(ISNA(VLOOKUP(A201,'Données projet'!$A$139:$I$159,6,0)),0%,VLOOKUP(A201,'Données projet'!$A$139:$I$159,6,0)*VLOOKUP('Données projet'!$B$13,'Paramètres'!$A$1:$I$89,7,0))</f>
        <v>0</v>
      </c>
      <c r="DE201" s="135">
        <f>IF(ISNA(VLOOKUP(A201,'Données projet'!$A$139:$I$159,7,0)),0%,VLOOKUP(A201,'Données projet'!$A$139:$I$159,7,0))</f>
        <v>0</v>
      </c>
      <c r="DF201" s="142">
        <f>EXP(-LN(2)/35)*DF200+(1-EXP(-LN(2)/35))/(LN(2)/35)*DB201*DC201*VLOOKUP('Données projet'!$B$13,'Paramètres'!$A$1:$I$89,3,0)*0.475*44/12</f>
        <v>43.12473594</v>
      </c>
      <c r="DG201" s="142">
        <f>EXP(-LN(2)/25)*DG200+(1-EXP(-LN(2)/25))/(LN(2)/25)*Calculateur!DB201*Calculateur!DD201*VLOOKUP('Données projet'!$B$13,'Paramètres'!$A$1:$I$89,3,0)*0.475*44/12</f>
        <v>0</v>
      </c>
      <c r="DH201" s="142">
        <f>EXP(-LN(2)/2)*DH200+(1-EXP(-LN(2)/2))/(LN(2)/2)*DB201*DE201*VLOOKUP('Données projet'!$B$13,'Paramètres'!$A$1:$I$89,3,0)*0.475*44/12</f>
        <v>0</v>
      </c>
      <c r="DI201" s="143">
        <f t="shared" si="16"/>
        <v>43.12473594</v>
      </c>
      <c r="DJ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1" t="str">
        <f>VLOOKUP(A201,'Données projet'!$A$165:$I$185,2,0)</f>
        <v>#N/A</v>
      </c>
      <c r="DM201" s="131" t="str">
        <f>VLOOKUP(A201,'Données projet'!$A$165:$I$185,9,0)</f>
        <v>#N/A</v>
      </c>
      <c r="DN201" s="131" t="str">
        <f t="array" ref="DN201">INDEX(DM:DM,MIN(IF(ISNUMBER(DM201:DM397),ROW(DM201:DM397),"")))</f>
        <v/>
      </c>
      <c r="DO201" s="138">
        <f>IF('Données projet'!$A$166&gt;35,DO200+DN201-DW200,IF(A201&lt;'Données projet'!$A$166,$DL$205^A201,IF(A201='Données projet'!$A$166,'Données projet'!$B$166,DO200+DN201-DW200)))</f>
        <v>0</v>
      </c>
      <c r="DP201" s="138">
        <f>DO201*VLOOKUP('Données projet'!$B$14,'Paramètres'!$A$1:$I$89,3,0)*VLOOKUP('Données projet'!$B$14,'Paramètres'!$A$1:$I$89,5,0)</f>
        <v>0</v>
      </c>
      <c r="DQ201" s="130" t="str">
        <f t="shared" si="44"/>
        <v>#NUM!</v>
      </c>
      <c r="DR201" s="141" t="str">
        <f t="shared" si="17"/>
        <v>#NUM!</v>
      </c>
      <c r="DS201" s="133" t="str">
        <f t="shared" si="18"/>
        <v>#NUM!</v>
      </c>
      <c r="DT201" s="133">
        <f>AVERAGE(OFFSET($DS$3,0,0,'Données projet'!$E$14+1,1))-AVERAGE(OFFSET($H$3,0,0,'Données projet'!$E$14+1,1))</f>
        <v>287.9334714</v>
      </c>
      <c r="DU201" s="133">
        <f t="shared" si="45"/>
        <v>156.6796502</v>
      </c>
      <c r="DV201" s="134">
        <f>IF(ISNA(VLOOKUP(A201,'Données projet'!$A$165:$I$185,3,0)),0,VLOOKUP(A201,'Données projet'!$A$165:$I$185,3,0))</f>
        <v>0</v>
      </c>
      <c r="DW201" s="134">
        <f>IF(ISNA(VLOOKUP(A201,'Données projet'!$A$165:$I$185,4,0)),0,VLOOKUP(A201,'Données projet'!$A$165:$I$185,4,0))</f>
        <v>0</v>
      </c>
      <c r="DX201" s="135">
        <f>IF(ISNA(VLOOKUP(A201,'Données projet'!$A$165:$I$185,5,0)),0%,VLOOKUP(A201,'Données projet'!$A$165:$I$185,5,0)*VLOOKUP('Données projet'!$B$14,'Paramètres'!$A$1:$I$89,7,0))</f>
        <v>0</v>
      </c>
      <c r="DY201" s="135">
        <f>IF(ISNA(VLOOKUP(A201,'Données projet'!$A$165:$I$185,6,0)),0%,VLOOKUP(A201,'Données projet'!$A$165:$I$185,6,0)*VLOOKUP('Données projet'!$B$14,'Paramètres'!$A$1:$I$89,7,0))</f>
        <v>0</v>
      </c>
      <c r="DZ201" s="135">
        <f>IF(ISNA(VLOOKUP(A201,'Données projet'!$A$165:$I$185,7,0)),0%,VLOOKUP(A201,'Données projet'!$A$165:$I$185,7,0))</f>
        <v>0</v>
      </c>
      <c r="EA201" s="142">
        <f>EXP(-LN(2)/35)*EA200+(1-EXP(-LN(2)/35))/(LN(2)/35)*DW201*DX201*VLOOKUP('Données projet'!$B$14,'Paramètres'!$A$1:$I$89,3,0)*0.475*44/12</f>
        <v>50.09874037</v>
      </c>
      <c r="EB201" s="142">
        <f>EXP(-LN(2)/25)*EB200+(1-EXP(-LN(2)/25))/(LN(2)/25)*Calculateur!DW201*Calculateur!DY201*VLOOKUP('Données projet'!$B$14,'Paramètres'!$A$1:$I$89,3,0)*0.475*44/12</f>
        <v>0</v>
      </c>
      <c r="EC201" s="142">
        <f>EXP(-LN(2)/2)*EC200+(1-EXP(-LN(2)/2))/(LN(2)/2)*DW201*DZ201*VLOOKUP('Données projet'!$B$14,'Paramètres'!$A$1:$I$89,3,0)*0.475*44/12</f>
        <v>0</v>
      </c>
      <c r="ED201" s="143">
        <f t="shared" si="19"/>
        <v>50.09874037</v>
      </c>
      <c r="EE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1" t="str">
        <f>VLOOKUP(A201,'Données projet'!$A$191:$I$211,2,0)</f>
        <v>#N/A</v>
      </c>
      <c r="EH201" s="131" t="str">
        <f>VLOOKUP(A201,'Données projet'!$A$191:$I$211,9,0)</f>
        <v>#N/A</v>
      </c>
      <c r="EI201" s="131" t="str">
        <f t="array" ref="EI201">INDEX(EH:EH,MIN(IF(ISNUMBER(EH201:EH397),ROW(EH201:EH397),"")))</f>
        <v/>
      </c>
      <c r="EJ201" s="138">
        <f>IF('Données projet'!$A$192&gt;35,EJ200+EI201-ER200,IF(A201&lt;'Données projet'!$A$192,$EG$205^A201,IF(A201='Données projet'!$A$192,'Données projet'!$B$192,EJ200+EI201-ER200)))</f>
        <v>0</v>
      </c>
      <c r="EK201" s="138">
        <f>EJ201*VLOOKUP('Données projet'!$B$15,'Paramètres'!$A$1:$I$89,3,0)*VLOOKUP('Données projet'!$B$15,'Paramètres'!$A$1:$I$89,5,0)</f>
        <v>0</v>
      </c>
      <c r="EL201" s="130" t="str">
        <f t="shared" si="46"/>
        <v>#NUM!</v>
      </c>
      <c r="EM201" s="141" t="str">
        <f t="shared" si="20"/>
        <v>#NUM!</v>
      </c>
      <c r="EN201" s="133" t="str">
        <f t="shared" si="21"/>
        <v>#NUM!</v>
      </c>
      <c r="EO201" s="133">
        <f>AVERAGE(OFFSET($EN$3,0,0,'Données projet'!$E$15+1,1))-AVERAGE(OFFSET($H$3,0,0,'Données projet'!$E$15+1,1))</f>
        <v>130.3193339</v>
      </c>
      <c r="EP201" s="133">
        <f t="shared" si="47"/>
        <v>82.22784365</v>
      </c>
      <c r="EQ201" s="134">
        <f>IF(ISNA(VLOOKUP(A201,'Données projet'!$A$191:$I$211,3,0)),0,VLOOKUP(A201,'Données projet'!$A$191:$I$211,3,0))</f>
        <v>0</v>
      </c>
      <c r="ER201" s="134">
        <f>IF(ISNA(VLOOKUP(A201,'Données projet'!$A$191:$I$211,4,0)),0,VLOOKUP(A201,'Données projet'!$A$191:$I$211,4,0))</f>
        <v>0</v>
      </c>
      <c r="ES201" s="135">
        <f>IF(ISNA(VLOOKUP(A201,'Données projet'!$A$191:$I$211,5,0)),0%,VLOOKUP(A201,'Données projet'!$A$191:$I$211,5,0)*VLOOKUP('Données projet'!$B$15,'Paramètres'!$A$1:$I$89,7,0))</f>
        <v>0</v>
      </c>
      <c r="ET201" s="135">
        <f>IF(ISNA(VLOOKUP(A201,'Données projet'!$A$191:$I$211,6,0)),0%,VLOOKUP(A201,'Données projet'!$A$191:$I$211,6,0)*VLOOKUP('Données projet'!$B$15,'Paramètres'!$A$1:$I$89,7,0))</f>
        <v>0</v>
      </c>
      <c r="EU201" s="135">
        <f>IF(ISNA(VLOOKUP(A201,'Données projet'!$A$191:$I$211,7,0)),0%,VLOOKUP(A201,'Données projet'!$A$191:$I$211,7,0))</f>
        <v>0</v>
      </c>
      <c r="EV201" s="142">
        <f>EXP(-LN(2)/35)*EV200+(1-EXP(-LN(2)/35))/(LN(2)/35)*ER201*ES201*VLOOKUP('Données projet'!$B$15,'Paramètres'!$A$1:$I$89,3,0)*0.475*44/12</f>
        <v>10.26707759</v>
      </c>
      <c r="EW201" s="142">
        <f>EXP(-LN(2)/25)*EW200+(1-EXP(-LN(2)/25))/(LN(2)/25)*Calculateur!ER201*Calculateur!ET201*VLOOKUP('Données projet'!$B$15,'Paramètres'!$A$1:$I$89,3,0)*0.475*44/12</f>
        <v>0</v>
      </c>
      <c r="EX201" s="142">
        <f>EXP(-LN(2)/2)*EX200+(1-EXP(-LN(2)/2))/(LN(2)/2)*ER201*EU201*VLOOKUP('Données projet'!$B$15,'Paramètres'!$A$1:$I$89,3,0)*0.475*44/12</f>
        <v>0</v>
      </c>
      <c r="EY201" s="143">
        <f t="shared" si="22"/>
        <v>10.26707759</v>
      </c>
      <c r="EZ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1" t="str">
        <f>VLOOKUP(A201,'Données projet'!$A$217:$I$237,2,0)</f>
        <v>#N/A</v>
      </c>
      <c r="FC201" s="131" t="str">
        <f>VLOOKUP(A201,'Données projet'!$A$217:$I$237,9,0)</f>
        <v>#N/A</v>
      </c>
      <c r="FD201" s="131" t="str">
        <f t="array" ref="FD201">INDEX(FC:FC,MIN(IF(ISNUMBER(FC201:FC397),ROW(FC201:FC397),"")))</f>
        <v/>
      </c>
      <c r="FE201" s="130">
        <f>IF('Données projet'!$A$218&gt;35,FE200+FD201-FM200,IF(A201&lt;'Données projet'!$A$218,$FB$205^A201,IF(A201='Données projet'!$A$218,'Données projet'!$B$218,FE200+FD201-FM200)))</f>
        <v>0</v>
      </c>
      <c r="FF201" s="138">
        <f>FE201*VLOOKUP('Données projet'!$B$16,'Paramètres'!$A$1:$I$89,3,0)*VLOOKUP('Données projet'!$B$16,'Paramètres'!$A$1:$I$89,5,0)</f>
        <v>0</v>
      </c>
      <c r="FG201" s="130">
        <f t="shared" si="48"/>
        <v>0</v>
      </c>
      <c r="FH201" s="141">
        <f t="shared" si="23"/>
        <v>0</v>
      </c>
      <c r="FI201" s="133">
        <f t="shared" si="24"/>
        <v>293.3333333</v>
      </c>
      <c r="FJ201" s="133">
        <f>AVERAGE(OFFSET($FI$3,0,0,'Données projet'!$E$16+1,1))-AVERAGE(OFFSET($H$3,0,0,'Données projet'!$E$16+1,1))</f>
        <v>305.6252353</v>
      </c>
      <c r="FK201" s="133">
        <f t="shared" si="49"/>
        <v>331.397916</v>
      </c>
      <c r="FL201" s="134">
        <f>IF(ISNA(VLOOKUP(A201,'Données projet'!$A$217:$I$237,3,0)),0,VLOOKUP(A201,'Données projet'!$A$217:$I$237,3,0))</f>
        <v>0</v>
      </c>
      <c r="FM201" s="134">
        <f>IF(ISNA(VLOOKUP(A201,'Données projet'!$A$217:$I$237,4,0)),0,VLOOKUP(A201,'Données projet'!$A$217:$I$237,4,0))</f>
        <v>0</v>
      </c>
      <c r="FN201" s="135">
        <f>IF(ISNA(VLOOKUP(A201,'Données projet'!$A$217:$I$237,5,0)),0%,VLOOKUP(A201,'Données projet'!$A$217:$I$237,5,0)*VLOOKUP('Données projet'!$B$16,'Paramètres'!$A$1:$I$89,7,0))</f>
        <v>0</v>
      </c>
      <c r="FO201" s="135">
        <f>IF(ISNA(VLOOKUP(A201,'Données projet'!$A$217:$I$237,6,0)),0%,VLOOKUP(A201,'Données projet'!$A$217:$I$237,6,0)*VLOOKUP('Données projet'!$B$16,'Paramètres'!$A$1:$I$89,7,0))</f>
        <v>0</v>
      </c>
      <c r="FP201" s="135">
        <f>IF(ISNA(VLOOKUP(A201,'Données projet'!$A$217:$I$237,7,0)),0%,VLOOKUP(A201,'Données projet'!$A$217:$I$237,7,0))</f>
        <v>0</v>
      </c>
      <c r="FQ201" s="142">
        <f>EXP(-LN(2)/35)*FQ200+(1-EXP(-LN(2)/35))/(LN(2)/35)*FM201*FN201*VLOOKUP('Données projet'!$B$16,'Paramètres'!$A$1:$I$89,3,0)*0.475*44/12</f>
        <v>6.392589342</v>
      </c>
      <c r="FR201" s="142">
        <f>EXP(-LN(2)/25)*FR200+(1-EXP(-LN(2)/25))/(LN(2)/25)*Calculateur!FM201*Calculateur!FO201*VLOOKUP('Données projet'!$B$16,'Paramètres'!$A$1:$I$89,3,0)*0.475*44/12</f>
        <v>0</v>
      </c>
      <c r="FS201" s="142">
        <f>EXP(-LN(2)/2)*FS200+(1-EXP(-LN(2)/2))/(LN(2)/2)*FM201*FP201*VLOOKUP('Données projet'!$B$16,'Paramètres'!$A$1:$I$89,3,0)*0.475*44/12</f>
        <v>0</v>
      </c>
      <c r="FT201" s="143">
        <f t="shared" si="25"/>
        <v>6.392589342</v>
      </c>
      <c r="FU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1" t="str">
        <f>VLOOKUP(A201,'Données projet'!$A$243:$I$263,2,0)</f>
        <v>#N/A</v>
      </c>
      <c r="FX201" s="131" t="str">
        <f>VLOOKUP(A201,'Données projet'!$A$243:$I$263,9,0)</f>
        <v>#N/A</v>
      </c>
      <c r="FY201" s="131" t="str">
        <f t="array" ref="FY201">INDEX(FX:FX,MIN(IF(ISNUMBER(FX201:FX397),ROW(FX201:FX397),"")))</f>
        <v/>
      </c>
      <c r="FZ201" s="138">
        <f>IF('Données projet'!$A$244&gt;35,FZ200+FY201-GH200,IF(A201&lt;'Données projet'!$A$244,$FW$205^A201,IF(A201='Données projet'!$A$244,'Données projet'!$B$244,FZ200+FY201-GH200)))</f>
        <v>0</v>
      </c>
      <c r="GA201" s="138">
        <f>FZ201*VLOOKUP('Données projet'!$B$17,'Paramètres'!$A$1:$I$89,3,0)*VLOOKUP('Données projet'!$B$17,'Paramètres'!$A$1:$I$89,5,0)</f>
        <v>0</v>
      </c>
      <c r="GB201" s="130">
        <f t="shared" si="50"/>
        <v>0</v>
      </c>
      <c r="GC201" s="141">
        <f t="shared" si="26"/>
        <v>0</v>
      </c>
      <c r="GD201" s="133">
        <f t="shared" si="27"/>
        <v>293.3333333</v>
      </c>
      <c r="GE201" s="133">
        <f>AVERAGE(OFFSET($GD$3,0,0,'Données projet'!$E$17+1,1))-AVERAGE(OFFSET($H$3,0,0,'Données projet'!$E$17+1,1))</f>
        <v>118.7368745</v>
      </c>
      <c r="GF201" s="133">
        <f t="shared" si="51"/>
        <v>135.1233677</v>
      </c>
      <c r="GG201" s="134">
        <f>IF(ISNA(VLOOKUP(A201,'Données projet'!$A$243:$I$263,3,0)),0,VLOOKUP(A201,'Données projet'!$A$243:$I$263,3,0))</f>
        <v>0</v>
      </c>
      <c r="GH201" s="134">
        <f>IF(ISNA(VLOOKUP(A201,'Données projet'!$A$243:$I$263,4,0)),0,VLOOKUP(A201,'Données projet'!$A$243:$I$263,4,0))</f>
        <v>0</v>
      </c>
      <c r="GI201" s="135">
        <f>IF(ISNA(VLOOKUP(A201,'Données projet'!$A$243:$I$263,5,0)),0%,VLOOKUP(A201,'Données projet'!$A$243:$I$263,5,0)*VLOOKUP('Données projet'!$B$17,'Paramètres'!$A$1:$I$89,7,0))</f>
        <v>0</v>
      </c>
      <c r="GJ201" s="135">
        <f>IF(ISNA(VLOOKUP(A201,'Données projet'!$A$243:$I$263,6,0)),0%,VLOOKUP(A201,'Données projet'!$A$243:$I$263,6,0)*VLOOKUP('Données projet'!$B$17,'Paramètres'!$A$1:$I$89,7,0))</f>
        <v>0</v>
      </c>
      <c r="GK201" s="135">
        <f>IF(ISNA(VLOOKUP(A201,'Données projet'!$A$243:$I$263,7,0)),0%,VLOOKUP(A201,'Données projet'!$A$243:$I$263,7,0))</f>
        <v>0</v>
      </c>
      <c r="GL201" s="142">
        <f>EXP(-LN(2)/35)*GL200+(1-EXP(-LN(2)/35))/(LN(2)/35)*GH201*GI201*VLOOKUP('Données projet'!$B$17,'Paramètres'!$A$1:$I$89,3,0)*0.475*44/12</f>
        <v>6.753750871</v>
      </c>
      <c r="GM201" s="142">
        <f>EXP(-LN(2)/25)*GM200+(1-EXP(-LN(2)/25))/(LN(2)/25)*Calculateur!GH201*Calculateur!GJ201*VLOOKUP('Données projet'!$B$17,'Paramètres'!$A$1:$I$89,3,0)*0.475*44/12</f>
        <v>0</v>
      </c>
      <c r="GN201" s="142">
        <f>EXP(-LN(2)/2)*GN200+(1-EXP(-LN(2)/2))/(LN(2)/2)*GH201*GK201*VLOOKUP('Données projet'!$B$17,'Paramètres'!$A$1:$I$89,3,0)*0.475*44/12</f>
        <v>0</v>
      </c>
      <c r="GO201" s="142">
        <f t="shared" si="28"/>
        <v>6.753750871</v>
      </c>
      <c r="GP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1" t="str">
        <f>VLOOKUP(A201,'Données projet'!$A$269:$I$289,2,0)</f>
        <v>#N/A</v>
      </c>
      <c r="GS201" s="131" t="str">
        <f>VLOOKUP(A201,'Données projet'!$A$269:$I$289,9,0)</f>
        <v>#N/A</v>
      </c>
      <c r="GT201" s="131" t="str">
        <f t="array" ref="GT201">INDEX(GS:GS,MIN(IF(ISNUMBER(GS201:GS397),ROW(GS201:GS397),"")))</f>
        <v/>
      </c>
      <c r="GU201" s="138">
        <f>IF('Données projet'!$A$270&gt;35,GU200+GT201-HC200,IF(A201&lt;'Données projet'!$A$270,$GR$205^A201,IF(A201='Données projet'!$A$270,'Données projet'!$B$270,GU200+GT201-HC200)))</f>
        <v>0</v>
      </c>
      <c r="GV201" s="138">
        <f>GU201*VLOOKUP('Données projet'!$B$18,'Paramètres'!$A$1:$I$89,3,0)*VLOOKUP('Données projet'!$B$18,'Paramètres'!$A$1:$I$89,5,0)</f>
        <v>0</v>
      </c>
      <c r="GW201" s="130" t="str">
        <f t="shared" si="52"/>
        <v>#NUM!</v>
      </c>
      <c r="GX201" s="141" t="str">
        <f t="shared" si="29"/>
        <v>#NUM!</v>
      </c>
      <c r="GY201" s="133" t="str">
        <f t="shared" si="30"/>
        <v>#NUM!</v>
      </c>
      <c r="GZ201" s="133">
        <f>AVERAGE(OFFSET($GY$3,0,0,'Données projet'!$E$18+1,1))-AVERAGE(OFFSET($H$3,0,0,'Données projet'!$E$18+1,1))</f>
        <v>100.5427875</v>
      </c>
      <c r="HA201" s="133">
        <f t="shared" si="53"/>
        <v>92.28663609</v>
      </c>
      <c r="HB201" s="134">
        <f>IF(ISNA(VLOOKUP(A201,'Données projet'!$A$269:$I$289,3,0)),0,VLOOKUP(A201,'Données projet'!$A$269:$I$289,3,0))</f>
        <v>0</v>
      </c>
      <c r="HC201" s="134">
        <f>IF(ISNA(VLOOKUP(A201,'Données projet'!$A$269:$I$289,4,0)),0,VLOOKUP(A201,'Données projet'!$A$269:$I$289,4,0))</f>
        <v>0</v>
      </c>
      <c r="HD201" s="135">
        <f>IF(ISNA(VLOOKUP(A201,'Données projet'!$A$269:$I$289,5,0)),0%,VLOOKUP(A201,'Données projet'!$A$269:$I$289,5,0)*VLOOKUP('Données projet'!$B$18,'Paramètres'!$A$1:$I$89,7,0))</f>
        <v>0</v>
      </c>
      <c r="HE201" s="135">
        <f>IF(ISNA(VLOOKUP(A201,'Données projet'!$A$269:$I$289,6,0)),0%,VLOOKUP(A201,'Données projet'!$A$269:$I$289,6,0)*VLOOKUP('Données projet'!$B$18,'Paramètres'!$A$1:$I$89,7,0))</f>
        <v>0</v>
      </c>
      <c r="HF201" s="135">
        <f>IF(ISNA(VLOOKUP(A201,'Données projet'!$A$269:$I$289,7,0)),0%,VLOOKUP(A201,'Données projet'!$A$269:$I$289,7,0))</f>
        <v>0</v>
      </c>
      <c r="HG201" s="142">
        <f>EXP(-LN(2)/35)*HG200+(1-EXP(-LN(2)/35))/(LN(2)/35)*HC201*HD201*VLOOKUP('Données projet'!$B$18,'Paramètres'!$A$1:$I$89,3,0)*0.475*44/12</f>
        <v>4.599161865</v>
      </c>
      <c r="HH201" s="142">
        <f>EXP(-LN(2)/25)*HH200+(1-EXP(-LN(2)/25))/(LN(2)/25)*Calculateur!HC201*Calculateur!HE201*VLOOKUP('Données projet'!$B$18,'Paramètres'!$A$1:$I$89,3,0)*0.475*44/12</f>
        <v>0</v>
      </c>
      <c r="HI201" s="142">
        <f>EXP(-LN(2)/2)*HI200+(1-EXP(-LN(2)/2))/(LN(2)/2)*HC201*HF201*VLOOKUP('Données projet'!$B$18,'Paramètres'!$A$1:$I$89,3,0)*0.475*44/12</f>
        <v>0</v>
      </c>
      <c r="HJ201" s="143">
        <f t="shared" si="31"/>
        <v>4.599161865</v>
      </c>
    </row>
    <row r="202" ht="15.75" customHeight="1">
      <c r="A202" s="125">
        <f t="shared" si="32"/>
        <v>199</v>
      </c>
      <c r="B202" s="126">
        <f>'Scénario référence'!$B$16*5+'Scénario référence'!$B$17*0+'Scénario référence'!$B$18*5</f>
        <v>0</v>
      </c>
      <c r="C202" s="140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108.654</v>
      </c>
      <c r="D202" s="127">
        <f t="shared" si="33"/>
        <v>29.01362959</v>
      </c>
      <c r="E202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7">
        <f>IF(OR('Scénario référence'!$F$8&gt;0,'Scénario référence'!$F$9&gt;0),('Scénario référence'!$F$8+'Scénario référence'!$F$9)*10,0)</f>
        <v>10</v>
      </c>
      <c r="G202" s="127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1062.697492</v>
      </c>
      <c r="H202" s="128">
        <f t="shared" si="1"/>
        <v>533.1044549</v>
      </c>
      <c r="I202" s="12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1" t="str">
        <f>VLOOKUP(A202,'Données projet'!$A$35:$I$55,2,0)</f>
        <v>#N/A</v>
      </c>
      <c r="L202" s="131" t="str">
        <f>VLOOKUP(A202,'Données projet'!$A$35:$I$55,9,0)</f>
        <v>#N/A</v>
      </c>
      <c r="M202" s="131" t="str">
        <f t="array" ref="M202">INDEX(L:L,MIN(IF(ISNUMBER(L202:L398),ROW(L202:L398),"")))</f>
        <v/>
      </c>
      <c r="N202" s="130">
        <f>IF('Données projet'!$A$36&gt;35,N201+M202-V201,IF(A202&lt;'Données projet'!$A$36,$K$205^A202,IF(A202='Données projet'!$A$36,'Données projet'!$B$36,N201+M202-V201)))</f>
        <v>0</v>
      </c>
      <c r="O202" s="130">
        <f>N202*VLOOKUP('Données projet'!$B$9,'Paramètres'!$A$1:$I$89,3,0)*VLOOKUP('Données projet'!$B$9,'Paramètres'!$A$1:$I$89,5,0)</f>
        <v>0</v>
      </c>
      <c r="P202" s="130">
        <f t="shared" si="34"/>
        <v>0</v>
      </c>
      <c r="Q202" s="141">
        <f t="shared" si="2"/>
        <v>0</v>
      </c>
      <c r="R202" s="133">
        <f t="shared" si="3"/>
        <v>293.3333333</v>
      </c>
      <c r="S202" s="133">
        <f>AVERAGE(OFFSET($R$3,0,0,'Données projet'!$E$9+1,1))-AVERAGE(OFFSET($H$3,0,0,'Données projet'!$E$9+1,1))</f>
        <v>126.9946492</v>
      </c>
      <c r="T202" s="133">
        <f t="shared" si="35"/>
        <v>140.039049</v>
      </c>
      <c r="U202" s="134">
        <f>IF(ISNA(VLOOKUP(A202,'Données projet'!$A$35:$I$55,3,0)),0,VLOOKUP(A202,'Données projet'!$A$35:$I$55,3,0))</f>
        <v>0</v>
      </c>
      <c r="V202" s="134">
        <f>IF(ISNA(VLOOKUP(A202,'Données projet'!$A$35:$I$55,4,0)),0,VLOOKUP(A202,'Données projet'!$A$35:$I$55,4,0))</f>
        <v>0</v>
      </c>
      <c r="W202" s="135">
        <f>IF(ISNA(VLOOKUP(A202,'Données projet'!$A$35:$I$55,5,0)),0%,VLOOKUP(A202,'Données projet'!$A$35:$I$55,5,0)*VLOOKUP('Données projet'!$B$9,'Paramètres'!$A$1:$I$89,7,0))</f>
        <v>0</v>
      </c>
      <c r="X202" s="135">
        <f>IF(ISNA(VLOOKUP(A202,'Données projet'!$A$35:$I$55,6,0)),0%,VLOOKUP(A202,'Données projet'!$A$35:$I$55,6,0)*VLOOKUP('Données projet'!$B$9,'Paramètres'!$A$1:$I$89,7,0))</f>
        <v>0</v>
      </c>
      <c r="Y202" s="135">
        <f>IF(ISNA(VLOOKUP(A202,'Données projet'!$A$35:$I$55,7,0)),0%,VLOOKUP(A202,'Données projet'!$A$35:$I$55,7,0))</f>
        <v>0</v>
      </c>
      <c r="Z202" s="142">
        <f>EXP(-LN(2)/35)*Z201+(1-EXP(-LN(2)/35))/(LN(2)/35)*V202*W202*VLOOKUP('Données projet'!$B$9,'Paramètres'!$A$1:$I$89,3,0)*0.475*44/12</f>
        <v>6.772130229</v>
      </c>
      <c r="AA202" s="142">
        <f>EXP(-LN(2)/25)*AA201+(1-EXP(-LN(2)/25))/(LN(2)/25)*Calculateur!V202*Calculateur!X202*VLOOKUP('Données projet'!$B$9,'Paramètres'!$A$1:$I$89,3,0)*0.475*44/12</f>
        <v>0.4925882753</v>
      </c>
      <c r="AB202" s="142">
        <f>EXP(-LN(2)/2)*AB201+(1-EXP(-LN(2)/2))/(LN(2)/2)*V202*Y202*VLOOKUP('Données projet'!$B$9,'Paramètres'!$A$1:$I$89,3,0)*0.475*44/12</f>
        <v>0</v>
      </c>
      <c r="AC202" s="143">
        <f t="shared" si="4"/>
        <v>7.264718504</v>
      </c>
      <c r="AD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1" t="str">
        <f>VLOOKUP(A202,'Données projet'!$A$61:$I$81,2,0)</f>
        <v>#N/A</v>
      </c>
      <c r="AG202" s="131" t="str">
        <f>VLOOKUP(A202,'Données projet'!$A$61:$I$81,9,0)</f>
        <v>#N/A</v>
      </c>
      <c r="AH202" s="131" t="str">
        <f t="array" ref="AH202">INDEX(AG:AG,MIN(IF(ISNUMBER(AG202:AG398),ROW(AG202:AG398),"")))</f>
        <v/>
      </c>
      <c r="AI202" s="130">
        <f>IF('Données projet'!$A$62&gt;35,AI201+AH202-AQ201,IF(A202&lt;'Données projet'!$A$62,$AF$205^A202,IF(A202='Données projet'!$A$62,'Données projet'!$B$62,AI201+AH202-AQ201)))</f>
        <v>0</v>
      </c>
      <c r="AJ202" s="130">
        <f>AI202*VLOOKUP('Données projet'!$B$10,'Paramètres'!$A$1:$I$89,3,0)*VLOOKUP('Données projet'!$B$10,'Paramètres'!$A$1:$I$89,5,0)</f>
        <v>0</v>
      </c>
      <c r="AK202" s="130" t="str">
        <f t="shared" si="36"/>
        <v>#NUM!</v>
      </c>
      <c r="AL202" s="141" t="str">
        <f t="shared" si="5"/>
        <v>#NUM!</v>
      </c>
      <c r="AM202" s="133" t="str">
        <f t="shared" si="6"/>
        <v>#NUM!</v>
      </c>
      <c r="AN202" s="133">
        <f>AVERAGE(OFFSET($AM$3,0,0,'Données projet'!$E$10+1,1))-AVERAGE(OFFSET($H$3,0,0,'Données projet'!$E$10+1,1))</f>
        <v>196.874484</v>
      </c>
      <c r="AO202" s="133">
        <f t="shared" si="37"/>
        <v>217.5750859</v>
      </c>
      <c r="AP202" s="134">
        <f>IF(ISNA(VLOOKUP(A202,'Données projet'!$A$61:$I$81,3,0)),0,VLOOKUP(A202,'Données projet'!$A$61:$I$81,3,0))</f>
        <v>0</v>
      </c>
      <c r="AQ202" s="134">
        <f>IF(ISNA(VLOOKUP(A202,'Données projet'!$A$61:$I$81,4,0)),0,VLOOKUP(A202,'Données projet'!$A$61:$I$81,4,0))</f>
        <v>0</v>
      </c>
      <c r="AR202" s="135">
        <f>IF(ISNA(VLOOKUP(A202,'Données projet'!$A$61:$I$81,5,0)),0%,VLOOKUP(A202,'Données projet'!$A$61:$I$81,5,0)*VLOOKUP('Données projet'!$B$10,'Paramètres'!$A$1:$I$89,7,0))</f>
        <v>0</v>
      </c>
      <c r="AS202" s="135">
        <f>IF(ISNA(VLOOKUP(A202,'Données projet'!$A$61:$I$81,6,0)),0%,VLOOKUP(A202,'Données projet'!$A$61:$I$81,6,0)*VLOOKUP('Données projet'!$B$10,'Paramètres'!$A$1:$I$89,7,0))</f>
        <v>0</v>
      </c>
      <c r="AT202" s="135">
        <f>IF(ISNA(VLOOKUP(A202,'Données projet'!$A$61:$I$81,7,0)),0%,VLOOKUP(A202,'Données projet'!$A$61:$I$81,7,0))</f>
        <v>0</v>
      </c>
      <c r="AU202" s="142">
        <f>EXP(-LN(2)/35)*AU201+(1-EXP(-LN(2)/35))/(LN(2)/35)*AQ202*AR202*VLOOKUP('Données projet'!$B$10,'Paramètres'!$A$1:$I$89,3,0)*0.475*44/12</f>
        <v>9.413068664</v>
      </c>
      <c r="AV202" s="142">
        <f>EXP(-LN(2)/25)*AV201+(1-EXP(-LN(2)/25))/(LN(2)/25)*Calculateur!AQ202*Calculateur!AS202*VLOOKUP('Données projet'!$B$10,'Paramètres'!$A$1:$I$89,3,0)*0.475*44/12</f>
        <v>0.7573551313</v>
      </c>
      <c r="AW202" s="142">
        <f>EXP(-LN(2)/2)*AW201+(1-EXP(-LN(2)/2))/(LN(2)/2)*AQ202*AT202*VLOOKUP('Données projet'!$B$10,'Paramètres'!$A$1:$I$89,3,0)*0.475*44/12</f>
        <v>0</v>
      </c>
      <c r="AX202" s="142">
        <f t="shared" si="7"/>
        <v>10.1704238</v>
      </c>
      <c r="AY202" s="13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1" t="str">
        <f>VLOOKUP(A202,'Données projet'!$A$87:$I$107,2,0)</f>
        <v>#N/A</v>
      </c>
      <c r="BB202" s="131" t="str">
        <f>VLOOKUP(A202,'Données projet'!$A$87:$I$107,9,0)</f>
        <v>#N/A</v>
      </c>
      <c r="BC202" s="131" t="str">
        <f t="array" ref="BC202">INDEX(BB:BB,MIN(IF(ISNUMBER(BB202:BB398),ROW(BB202:BB398),"")))</f>
        <v/>
      </c>
      <c r="BD202" s="130">
        <f>IF('Données projet'!$A$88&gt;35,BD201+BC202-BL201,IF(A202&lt;'Données projet'!$A$88,$BA$205^A202,IF(A202='Données projet'!$A$88,'Données projet'!$B$88,BD201+BC202-BL201)))</f>
        <v>0</v>
      </c>
      <c r="BE202" s="130">
        <f>BD202*VLOOKUP('Données projet'!$B$11,'Paramètres'!$A$1:$I$89,3,0)*VLOOKUP('Données projet'!$B$11,'Paramètres'!$A$1:$I$89,5,0)</f>
        <v>0</v>
      </c>
      <c r="BF202" s="130" t="str">
        <f t="shared" si="38"/>
        <v>#NUM!</v>
      </c>
      <c r="BG202" s="141" t="str">
        <f t="shared" si="8"/>
        <v>#NUM!</v>
      </c>
      <c r="BH202" s="133" t="str">
        <f t="shared" si="9"/>
        <v>#NUM!</v>
      </c>
      <c r="BI202" s="133">
        <f>AVERAGE(OFFSET($BH$3,0,0,'Données projet'!$E$11+1,1))-AVERAGE(OFFSET($H$3,0,0,'Données projet'!$E$11+1,1))</f>
        <v>134.0948534</v>
      </c>
      <c r="BJ202" s="133">
        <f t="shared" si="39"/>
        <v>108.4102536</v>
      </c>
      <c r="BK202" s="134">
        <f>IF(ISNA(VLOOKUP(A202,'Données projet'!$A$87:$I$107,3,0)),0,VLOOKUP(A202,'Données projet'!$A$87:$I$107,3,0))</f>
        <v>0</v>
      </c>
      <c r="BL202" s="134">
        <f>IF(ISNA(VLOOKUP(A202,'Données projet'!$A$87:$I$107,4,0)),0,VLOOKUP(A202,'Données projet'!$A$87:$I$107,4,0))</f>
        <v>0</v>
      </c>
      <c r="BM202" s="135">
        <f>IF(ISNA(VLOOKUP(A202,'Données projet'!$A$87:$I$107,5,0)),0%,VLOOKUP(A202,'Données projet'!$A$87:$I$107,5,0)*VLOOKUP('Données projet'!$B$11,'Paramètres'!$A$1:$I$89,7,0))</f>
        <v>0</v>
      </c>
      <c r="BN202" s="135">
        <f>IF(ISNA(VLOOKUP(A202,'Données projet'!$A$87:$I$107,6,0)),0%,VLOOKUP(A202,'Données projet'!$A$87:$I$107,6,0)*VLOOKUP('Données projet'!$B$11,'Paramètres'!$A$1:$I$89,7,0))</f>
        <v>0</v>
      </c>
      <c r="BO202" s="135">
        <f>IF(ISNA(VLOOKUP(A202,'Données projet'!$A$87:$I$107,7,0)),0%,VLOOKUP(A202,'Données projet'!$A$87:$I$107,7,0))</f>
        <v>0</v>
      </c>
      <c r="BP202" s="142">
        <f>EXP(-LN(2)/35)*BP201+(1-EXP(-LN(2)/35))/(LN(2)/35)*BL202*BM202*VLOOKUP('Données projet'!$B$11,'Paramètres'!$A$1:$I$89,3,0)*0.475*44/12</f>
        <v>13.02003193</v>
      </c>
      <c r="BQ202" s="142">
        <f>EXP(-LN(2)/25)*BQ201+(1-EXP(-LN(2)/25))/(LN(2)/25)*Calculateur!BL202*Calculateur!BN202*VLOOKUP('Données projet'!$B$11,'Paramètres'!$A$1:$I$89,3,0)*0.475*44/12</f>
        <v>0.4777402671</v>
      </c>
      <c r="BR202" s="142">
        <f>EXP(-LN(2)/2)*BR201+(1-EXP(-LN(2)/2))/(LN(2)/2)*BL202*BO202*VLOOKUP('Données projet'!$B$11,'Paramètres'!$A$1:$I$89,3,0)*0.475*44/12</f>
        <v>0</v>
      </c>
      <c r="BS202" s="143">
        <f t="shared" si="10"/>
        <v>13.4977722</v>
      </c>
      <c r="BT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1" t="str">
        <f>VLOOKUP(A202,'Données projet'!$A$113:$I$133,2,0)</f>
        <v>#N/A</v>
      </c>
      <c r="BW202" s="131" t="str">
        <f>VLOOKUP(A202,'Données projet'!$A$113:$I$133,9,0)</f>
        <v>#N/A</v>
      </c>
      <c r="BX202" s="131" t="str">
        <f t="array" ref="BX202">INDEX(BW:BW,MIN(IF(ISNUMBER(BW202:BW398),ROW(BW202:BW398),"")))</f>
        <v/>
      </c>
      <c r="BY202" s="130">
        <f>IF('Données projet'!$A$114&gt;35,BY201+BX202-CG201,IF(A202&lt;'Données projet'!$A$114,$BV$205^A202,IF(A202='Données projet'!$A$114,'Données projet'!$B$114,BY201+BX202-CG201)))</f>
        <v>0</v>
      </c>
      <c r="BZ202" s="130">
        <f>BY202*VLOOKUP('Données projet'!$B$12,'Paramètres'!$A$1:$I$89,3,0)*VLOOKUP('Données projet'!$B$12,'Paramètres'!$A$1:$I$89,5,0)</f>
        <v>0</v>
      </c>
      <c r="CA202" s="130" t="str">
        <f t="shared" si="40"/>
        <v>#NUM!</v>
      </c>
      <c r="CB202" s="141" t="str">
        <f t="shared" si="11"/>
        <v>#NUM!</v>
      </c>
      <c r="CC202" s="133" t="str">
        <f t="shared" si="12"/>
        <v>#NUM!</v>
      </c>
      <c r="CD202" s="133">
        <f>AVERAGE(OFFSET($CC$3,0,0,'Données projet'!$E$12+1,1))-AVERAGE(OFFSET($H$3,0,0,'Données projet'!$E$12+1,1))</f>
        <v>258.1672054</v>
      </c>
      <c r="CE202" s="133">
        <f t="shared" si="41"/>
        <v>296.0724261</v>
      </c>
      <c r="CF202" s="134">
        <f>IF(ISNA(VLOOKUP(A202,'Données projet'!$A$113:$I$133,3,0)),0,VLOOKUP(A202,'Données projet'!$A$113:$I$133,3,0))</f>
        <v>0</v>
      </c>
      <c r="CG202" s="134">
        <f>IF(ISNA(VLOOKUP(A202,'Données projet'!$A$113:$I$133,4,0)),0,VLOOKUP(A202,'Données projet'!$A$113:$I$133,4,0))</f>
        <v>0</v>
      </c>
      <c r="CH202" s="135">
        <f>IF(ISNA(VLOOKUP(A202,'Données projet'!$A$113:$I$133,5,0)),0%,VLOOKUP(A202,'Données projet'!$A$113:$I$133,5,0)*VLOOKUP('Données projet'!$B$12,'Paramètres'!$A$1:$I$89,7,0))</f>
        <v>0</v>
      </c>
      <c r="CI202" s="135">
        <f>IF(ISNA(VLOOKUP(A202,'Données projet'!$A$113:$I$133,6,0)),0%,VLOOKUP(A202,'Données projet'!$A$113:$I$133,6,0)*VLOOKUP('Données projet'!$B$12,'Paramètres'!$A$1:$I$89,7,0))</f>
        <v>0</v>
      </c>
      <c r="CJ202" s="135">
        <f>IF(ISNA(VLOOKUP(A202,'Données projet'!$A$113:$I$133,7,0)),0%,VLOOKUP(A202,'Données projet'!$A$113:$I$133,7,0))</f>
        <v>0</v>
      </c>
      <c r="CK202" s="142">
        <f>EXP(-LN(2)/35)*CK201+(1-EXP(-LN(2)/35))/(LN(2)/35)*CG202*CH202*VLOOKUP('Données projet'!$B$12,'Paramètres'!$A$1:$I$89,3,0)*0.475*44/12</f>
        <v>16.46130335</v>
      </c>
      <c r="CL202" s="142">
        <f>EXP(-LN(2)/25)*CL201+(1-EXP(-LN(2)/25))/(LN(2)/25)*Calculateur!CG202*Calculateur!CI202*VLOOKUP('Données projet'!$B$12,'Paramètres'!$A$1:$I$89,3,0)*0.475*44/12</f>
        <v>0.8379835485</v>
      </c>
      <c r="CM202" s="142">
        <f>EXP(-LN(2)/2)*CM201+(1-EXP(-LN(2)/2))/(LN(2)/2)*CG202*CJ202*VLOOKUP('Données projet'!$B$12,'Paramètres'!$A$1:$I$89,3,0)*0.475*44/12</f>
        <v>0</v>
      </c>
      <c r="CN202" s="143">
        <f t="shared" si="13"/>
        <v>17.2992869</v>
      </c>
      <c r="CO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1" t="str">
        <f>VLOOKUP(A202,'Données projet'!$A$139:$I$159,2,0)</f>
        <v>#N/A</v>
      </c>
      <c r="CR202" s="131" t="str">
        <f>VLOOKUP(A202,'Données projet'!$A$139:$I$159,9,0)</f>
        <v>#N/A</v>
      </c>
      <c r="CS202" s="131" t="str">
        <f t="array" ref="CS202">INDEX(CR:CR,MIN(IF(ISNUMBER(CR202:CR398),ROW(CR202:CR398),"")))</f>
        <v/>
      </c>
      <c r="CT202" s="138">
        <f>IF('Données projet'!$A$140&gt;35,CT201+CS202-DB201,IF(A202&lt;'Données projet'!$A$140,$CQ$205^A202,IF(A202='Données projet'!$A$140,'Données projet'!$B$140,CT201+CS202-DB201)))</f>
        <v>0</v>
      </c>
      <c r="CU202" s="138">
        <f>CT202*VLOOKUP('Données projet'!$B$13,'Paramètres'!$A$1:$I$89,3,0)*VLOOKUP('Données projet'!$B$13,'Paramètres'!$A$1:$I$89,5,0)</f>
        <v>0</v>
      </c>
      <c r="CV202" s="130" t="str">
        <f t="shared" si="42"/>
        <v>#NUM!</v>
      </c>
      <c r="CW202" s="141" t="str">
        <f t="shared" si="14"/>
        <v>#NUM!</v>
      </c>
      <c r="CX202" s="133" t="str">
        <f t="shared" si="15"/>
        <v>#NUM!</v>
      </c>
      <c r="CY202" s="133">
        <f>AVERAGE(OFFSET($CX$3,0,0,'Données projet'!$E$13+1,1))-AVERAGE(OFFSET($H$3,0,0,'Données projet'!$E$13+1,1))</f>
        <v>223.783507</v>
      </c>
      <c r="CZ202" s="133">
        <f t="shared" si="43"/>
        <v>84.92349117</v>
      </c>
      <c r="DA202" s="134">
        <f>IF(ISNA(VLOOKUP(A202,'Données projet'!$A$139:$I$159,3,0)),0,VLOOKUP(A202,'Données projet'!$A$139:$I$159,3,0))</f>
        <v>0</v>
      </c>
      <c r="DB202" s="134">
        <f>IF(ISNA(VLOOKUP(A202,'Données projet'!$A$139:$I$159,4,0)),0,VLOOKUP(A202,'Données projet'!$A$139:$I$159,4,0))</f>
        <v>0</v>
      </c>
      <c r="DC202" s="135">
        <f>IF(ISNA(VLOOKUP(A202,'Données projet'!$A$139:$I$159,5,0)),0%,VLOOKUP(A202,'Données projet'!$A$139:$I$159,5,0)*VLOOKUP('Données projet'!$B$13,'Paramètres'!$A$1:$I$89,7,0))</f>
        <v>0</v>
      </c>
      <c r="DD202" s="135">
        <f>IF(ISNA(VLOOKUP(A202,'Données projet'!$A$139:$I$159,6,0)),0%,VLOOKUP(A202,'Données projet'!$A$139:$I$159,6,0)*VLOOKUP('Données projet'!$B$13,'Paramètres'!$A$1:$I$89,7,0))</f>
        <v>0</v>
      </c>
      <c r="DE202" s="135">
        <f>IF(ISNA(VLOOKUP(A202,'Données projet'!$A$139:$I$159,7,0)),0%,VLOOKUP(A202,'Données projet'!$A$139:$I$159,7,0))</f>
        <v>0</v>
      </c>
      <c r="DF202" s="142">
        <f>EXP(-LN(2)/35)*DF201+(1-EXP(-LN(2)/35))/(LN(2)/35)*DB202*DC202*VLOOKUP('Données projet'!$B$13,'Paramètres'!$A$1:$I$89,3,0)*0.475*44/12</f>
        <v>42.27908617</v>
      </c>
      <c r="DG202" s="142">
        <f>EXP(-LN(2)/25)*DG201+(1-EXP(-LN(2)/25))/(LN(2)/25)*Calculateur!DB202*Calculateur!DD202*VLOOKUP('Données projet'!$B$13,'Paramètres'!$A$1:$I$89,3,0)*0.475*44/12</f>
        <v>0</v>
      </c>
      <c r="DH202" s="142">
        <f>EXP(-LN(2)/2)*DH201+(1-EXP(-LN(2)/2))/(LN(2)/2)*DB202*DE202*VLOOKUP('Données projet'!$B$13,'Paramètres'!$A$1:$I$89,3,0)*0.475*44/12</f>
        <v>0</v>
      </c>
      <c r="DI202" s="143">
        <f t="shared" si="16"/>
        <v>42.27908617</v>
      </c>
      <c r="DJ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1" t="str">
        <f>VLOOKUP(A202,'Données projet'!$A$165:$I$185,2,0)</f>
        <v>#N/A</v>
      </c>
      <c r="DM202" s="131" t="str">
        <f>VLOOKUP(A202,'Données projet'!$A$165:$I$185,9,0)</f>
        <v>#N/A</v>
      </c>
      <c r="DN202" s="131" t="str">
        <f t="array" ref="DN202">INDEX(DM:DM,MIN(IF(ISNUMBER(DM202:DM398),ROW(DM202:DM398),"")))</f>
        <v/>
      </c>
      <c r="DO202" s="138">
        <f>IF('Données projet'!$A$166&gt;35,DO201+DN202-DW201,IF(A202&lt;'Données projet'!$A$166,$DL$205^A202,IF(A202='Données projet'!$A$166,'Données projet'!$B$166,DO201+DN202-DW201)))</f>
        <v>0</v>
      </c>
      <c r="DP202" s="138">
        <f>DO202*VLOOKUP('Données projet'!$B$14,'Paramètres'!$A$1:$I$89,3,0)*VLOOKUP('Données projet'!$B$14,'Paramètres'!$A$1:$I$89,5,0)</f>
        <v>0</v>
      </c>
      <c r="DQ202" s="130" t="str">
        <f t="shared" si="44"/>
        <v>#NUM!</v>
      </c>
      <c r="DR202" s="141" t="str">
        <f t="shared" si="17"/>
        <v>#NUM!</v>
      </c>
      <c r="DS202" s="133" t="str">
        <f t="shared" si="18"/>
        <v>#NUM!</v>
      </c>
      <c r="DT202" s="133">
        <f>AVERAGE(OFFSET($DS$3,0,0,'Données projet'!$E$14+1,1))-AVERAGE(OFFSET($H$3,0,0,'Données projet'!$E$14+1,1))</f>
        <v>287.9334714</v>
      </c>
      <c r="DU202" s="133">
        <f t="shared" si="45"/>
        <v>156.6796502</v>
      </c>
      <c r="DV202" s="134">
        <f>IF(ISNA(VLOOKUP(A202,'Données projet'!$A$165:$I$185,3,0)),0,VLOOKUP(A202,'Données projet'!$A$165:$I$185,3,0))</f>
        <v>0</v>
      </c>
      <c r="DW202" s="134">
        <f>IF(ISNA(VLOOKUP(A202,'Données projet'!$A$165:$I$185,4,0)),0,VLOOKUP(A202,'Données projet'!$A$165:$I$185,4,0))</f>
        <v>0</v>
      </c>
      <c r="DX202" s="135">
        <f>IF(ISNA(VLOOKUP(A202,'Données projet'!$A$165:$I$185,5,0)),0%,VLOOKUP(A202,'Données projet'!$A$165:$I$185,5,0)*VLOOKUP('Données projet'!$B$14,'Paramètres'!$A$1:$I$89,7,0))</f>
        <v>0</v>
      </c>
      <c r="DY202" s="135">
        <f>IF(ISNA(VLOOKUP(A202,'Données projet'!$A$165:$I$185,6,0)),0%,VLOOKUP(A202,'Données projet'!$A$165:$I$185,6,0)*VLOOKUP('Données projet'!$B$14,'Paramètres'!$A$1:$I$89,7,0))</f>
        <v>0</v>
      </c>
      <c r="DZ202" s="135">
        <f>IF(ISNA(VLOOKUP(A202,'Données projet'!$A$165:$I$185,7,0)),0%,VLOOKUP(A202,'Données projet'!$A$165:$I$185,7,0))</f>
        <v>0</v>
      </c>
      <c r="EA202" s="142">
        <f>EXP(-LN(2)/35)*EA201+(1-EXP(-LN(2)/35))/(LN(2)/35)*DW202*DX202*VLOOKUP('Données projet'!$B$14,'Paramètres'!$A$1:$I$89,3,0)*0.475*44/12</f>
        <v>49.11633463</v>
      </c>
      <c r="EB202" s="142">
        <f>EXP(-LN(2)/25)*EB201+(1-EXP(-LN(2)/25))/(LN(2)/25)*Calculateur!DW202*Calculateur!DY202*VLOOKUP('Données projet'!$B$14,'Paramètres'!$A$1:$I$89,3,0)*0.475*44/12</f>
        <v>0</v>
      </c>
      <c r="EC202" s="142">
        <f>EXP(-LN(2)/2)*EC201+(1-EXP(-LN(2)/2))/(LN(2)/2)*DW202*DZ202*VLOOKUP('Données projet'!$B$14,'Paramètres'!$A$1:$I$89,3,0)*0.475*44/12</f>
        <v>0</v>
      </c>
      <c r="ED202" s="143">
        <f t="shared" si="19"/>
        <v>49.11633463</v>
      </c>
      <c r="EE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1" t="str">
        <f>VLOOKUP(A202,'Données projet'!$A$191:$I$211,2,0)</f>
        <v>#N/A</v>
      </c>
      <c r="EH202" s="131" t="str">
        <f>VLOOKUP(A202,'Données projet'!$A$191:$I$211,9,0)</f>
        <v>#N/A</v>
      </c>
      <c r="EI202" s="131" t="str">
        <f t="array" ref="EI202">INDEX(EH:EH,MIN(IF(ISNUMBER(EH202:EH398),ROW(EH202:EH398),"")))</f>
        <v/>
      </c>
      <c r="EJ202" s="138">
        <f>IF('Données projet'!$A$192&gt;35,EJ201+EI202-ER201,IF(A202&lt;'Données projet'!$A$192,$EG$205^A202,IF(A202='Données projet'!$A$192,'Données projet'!$B$192,EJ201+EI202-ER201)))</f>
        <v>0</v>
      </c>
      <c r="EK202" s="138">
        <f>EJ202*VLOOKUP('Données projet'!$B$15,'Paramètres'!$A$1:$I$89,3,0)*VLOOKUP('Données projet'!$B$15,'Paramètres'!$A$1:$I$89,5,0)</f>
        <v>0</v>
      </c>
      <c r="EL202" s="130" t="str">
        <f t="shared" si="46"/>
        <v>#NUM!</v>
      </c>
      <c r="EM202" s="141" t="str">
        <f t="shared" si="20"/>
        <v>#NUM!</v>
      </c>
      <c r="EN202" s="133" t="str">
        <f t="shared" si="21"/>
        <v>#NUM!</v>
      </c>
      <c r="EO202" s="133">
        <f>AVERAGE(OFFSET($EN$3,0,0,'Données projet'!$E$15+1,1))-AVERAGE(OFFSET($H$3,0,0,'Données projet'!$E$15+1,1))</f>
        <v>130.3193339</v>
      </c>
      <c r="EP202" s="133">
        <f t="shared" si="47"/>
        <v>82.22784365</v>
      </c>
      <c r="EQ202" s="134">
        <f>IF(ISNA(VLOOKUP(A202,'Données projet'!$A$191:$I$211,3,0)),0,VLOOKUP(A202,'Données projet'!$A$191:$I$211,3,0))</f>
        <v>0</v>
      </c>
      <c r="ER202" s="134">
        <f>IF(ISNA(VLOOKUP(A202,'Données projet'!$A$191:$I$211,4,0)),0,VLOOKUP(A202,'Données projet'!$A$191:$I$211,4,0))</f>
        <v>0</v>
      </c>
      <c r="ES202" s="135">
        <f>IF(ISNA(VLOOKUP(A202,'Données projet'!$A$191:$I$211,5,0)),0%,VLOOKUP(A202,'Données projet'!$A$191:$I$211,5,0)*VLOOKUP('Données projet'!$B$15,'Paramètres'!$A$1:$I$89,7,0))</f>
        <v>0</v>
      </c>
      <c r="ET202" s="135">
        <f>IF(ISNA(VLOOKUP(A202,'Données projet'!$A$191:$I$211,6,0)),0%,VLOOKUP(A202,'Données projet'!$A$191:$I$211,6,0)*VLOOKUP('Données projet'!$B$15,'Paramètres'!$A$1:$I$89,7,0))</f>
        <v>0</v>
      </c>
      <c r="EU202" s="135">
        <f>IF(ISNA(VLOOKUP(A202,'Données projet'!$A$191:$I$211,7,0)),0%,VLOOKUP(A202,'Données projet'!$A$191:$I$211,7,0))</f>
        <v>0</v>
      </c>
      <c r="EV202" s="142">
        <f>EXP(-LN(2)/35)*EV201+(1-EXP(-LN(2)/35))/(LN(2)/35)*ER202*ES202*VLOOKUP('Données projet'!$B$15,'Paramètres'!$A$1:$I$89,3,0)*0.475*44/12</f>
        <v>10.06574646</v>
      </c>
      <c r="EW202" s="142">
        <f>EXP(-LN(2)/25)*EW201+(1-EXP(-LN(2)/25))/(LN(2)/25)*Calculateur!ER202*Calculateur!ET202*VLOOKUP('Données projet'!$B$15,'Paramètres'!$A$1:$I$89,3,0)*0.475*44/12</f>
        <v>0</v>
      </c>
      <c r="EX202" s="142">
        <f>EXP(-LN(2)/2)*EX201+(1-EXP(-LN(2)/2))/(LN(2)/2)*ER202*EU202*VLOOKUP('Données projet'!$B$15,'Paramètres'!$A$1:$I$89,3,0)*0.475*44/12</f>
        <v>0</v>
      </c>
      <c r="EY202" s="143">
        <f t="shared" si="22"/>
        <v>10.06574646</v>
      </c>
      <c r="EZ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1" t="str">
        <f>VLOOKUP(A202,'Données projet'!$A$217:$I$237,2,0)</f>
        <v>#N/A</v>
      </c>
      <c r="FC202" s="131" t="str">
        <f>VLOOKUP(A202,'Données projet'!$A$217:$I$237,9,0)</f>
        <v>#N/A</v>
      </c>
      <c r="FD202" s="131" t="str">
        <f t="array" ref="FD202">INDEX(FC:FC,MIN(IF(ISNUMBER(FC202:FC398),ROW(FC202:FC398),"")))</f>
        <v/>
      </c>
      <c r="FE202" s="130">
        <f>IF('Données projet'!$A$218&gt;35,FE201+FD202-FM201,IF(A202&lt;'Données projet'!$A$218,$FB$205^A202,IF(A202='Données projet'!$A$218,'Données projet'!$B$218,FE201+FD202-FM201)))</f>
        <v>0</v>
      </c>
      <c r="FF202" s="138">
        <f>FE202*VLOOKUP('Données projet'!$B$16,'Paramètres'!$A$1:$I$89,3,0)*VLOOKUP('Données projet'!$B$16,'Paramètres'!$A$1:$I$89,5,0)</f>
        <v>0</v>
      </c>
      <c r="FG202" s="130">
        <f t="shared" si="48"/>
        <v>0</v>
      </c>
      <c r="FH202" s="141">
        <f t="shared" si="23"/>
        <v>0</v>
      </c>
      <c r="FI202" s="133">
        <f t="shared" si="24"/>
        <v>293.3333333</v>
      </c>
      <c r="FJ202" s="133">
        <f>AVERAGE(OFFSET($FI$3,0,0,'Données projet'!$E$16+1,1))-AVERAGE(OFFSET($H$3,0,0,'Données projet'!$E$16+1,1))</f>
        <v>305.6252353</v>
      </c>
      <c r="FK202" s="133">
        <f t="shared" si="49"/>
        <v>331.397916</v>
      </c>
      <c r="FL202" s="134">
        <f>IF(ISNA(VLOOKUP(A202,'Données projet'!$A$217:$I$237,3,0)),0,VLOOKUP(A202,'Données projet'!$A$217:$I$237,3,0))</f>
        <v>0</v>
      </c>
      <c r="FM202" s="134">
        <f>IF(ISNA(VLOOKUP(A202,'Données projet'!$A$217:$I$237,4,0)),0,VLOOKUP(A202,'Données projet'!$A$217:$I$237,4,0))</f>
        <v>0</v>
      </c>
      <c r="FN202" s="135">
        <f>IF(ISNA(VLOOKUP(A202,'Données projet'!$A$217:$I$237,5,0)),0%,VLOOKUP(A202,'Données projet'!$A$217:$I$237,5,0)*VLOOKUP('Données projet'!$B$16,'Paramètres'!$A$1:$I$89,7,0))</f>
        <v>0</v>
      </c>
      <c r="FO202" s="135">
        <f>IF(ISNA(VLOOKUP(A202,'Données projet'!$A$217:$I$237,6,0)),0%,VLOOKUP(A202,'Données projet'!$A$217:$I$237,6,0)*VLOOKUP('Données projet'!$B$16,'Paramètres'!$A$1:$I$89,7,0))</f>
        <v>0</v>
      </c>
      <c r="FP202" s="135">
        <f>IF(ISNA(VLOOKUP(A202,'Données projet'!$A$217:$I$237,7,0)),0%,VLOOKUP(A202,'Données projet'!$A$217:$I$237,7,0))</f>
        <v>0</v>
      </c>
      <c r="FQ202" s="142">
        <f>EXP(-LN(2)/35)*FQ201+(1-EXP(-LN(2)/35))/(LN(2)/35)*FM202*FN202*VLOOKUP('Données projet'!$B$16,'Paramètres'!$A$1:$I$89,3,0)*0.475*44/12</f>
        <v>6.267234564</v>
      </c>
      <c r="FR202" s="142">
        <f>EXP(-LN(2)/25)*FR201+(1-EXP(-LN(2)/25))/(LN(2)/25)*Calculateur!FM202*Calculateur!FO202*VLOOKUP('Données projet'!$B$16,'Paramètres'!$A$1:$I$89,3,0)*0.475*44/12</f>
        <v>0</v>
      </c>
      <c r="FS202" s="142">
        <f>EXP(-LN(2)/2)*FS201+(1-EXP(-LN(2)/2))/(LN(2)/2)*FM202*FP202*VLOOKUP('Données projet'!$B$16,'Paramètres'!$A$1:$I$89,3,0)*0.475*44/12</f>
        <v>0</v>
      </c>
      <c r="FT202" s="143">
        <f t="shared" si="25"/>
        <v>6.267234564</v>
      </c>
      <c r="FU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1" t="str">
        <f>VLOOKUP(A202,'Données projet'!$A$243:$I$263,2,0)</f>
        <v>#N/A</v>
      </c>
      <c r="FX202" s="131" t="str">
        <f>VLOOKUP(A202,'Données projet'!$A$243:$I$263,9,0)</f>
        <v>#N/A</v>
      </c>
      <c r="FY202" s="131" t="str">
        <f t="array" ref="FY202">INDEX(FX:FX,MIN(IF(ISNUMBER(FX202:FX398),ROW(FX202:FX398),"")))</f>
        <v/>
      </c>
      <c r="FZ202" s="138">
        <f>IF('Données projet'!$A$244&gt;35,FZ201+FY202-GH201,IF(A202&lt;'Données projet'!$A$244,$FW$205^A202,IF(A202='Données projet'!$A$244,'Données projet'!$B$244,FZ201+FY202-GH201)))</f>
        <v>0</v>
      </c>
      <c r="GA202" s="138">
        <f>FZ202*VLOOKUP('Données projet'!$B$17,'Paramètres'!$A$1:$I$89,3,0)*VLOOKUP('Données projet'!$B$17,'Paramètres'!$A$1:$I$89,5,0)</f>
        <v>0</v>
      </c>
      <c r="GB202" s="130">
        <f t="shared" si="50"/>
        <v>0</v>
      </c>
      <c r="GC202" s="141">
        <f t="shared" si="26"/>
        <v>0</v>
      </c>
      <c r="GD202" s="133">
        <f t="shared" si="27"/>
        <v>293.3333333</v>
      </c>
      <c r="GE202" s="133">
        <f>AVERAGE(OFFSET($GD$3,0,0,'Données projet'!$E$17+1,1))-AVERAGE(OFFSET($H$3,0,0,'Données projet'!$E$17+1,1))</f>
        <v>118.7368745</v>
      </c>
      <c r="GF202" s="133">
        <f t="shared" si="51"/>
        <v>135.1233677</v>
      </c>
      <c r="GG202" s="134">
        <f>IF(ISNA(VLOOKUP(A202,'Données projet'!$A$243:$I$263,3,0)),0,VLOOKUP(A202,'Données projet'!$A$243:$I$263,3,0))</f>
        <v>0</v>
      </c>
      <c r="GH202" s="134">
        <f>IF(ISNA(VLOOKUP(A202,'Données projet'!$A$243:$I$263,4,0)),0,VLOOKUP(A202,'Données projet'!$A$243:$I$263,4,0))</f>
        <v>0</v>
      </c>
      <c r="GI202" s="135">
        <f>IF(ISNA(VLOOKUP(A202,'Données projet'!$A$243:$I$263,5,0)),0%,VLOOKUP(A202,'Données projet'!$A$243:$I$263,5,0)*VLOOKUP('Données projet'!$B$17,'Paramètres'!$A$1:$I$89,7,0))</f>
        <v>0</v>
      </c>
      <c r="GJ202" s="135">
        <f>IF(ISNA(VLOOKUP(A202,'Données projet'!$A$243:$I$263,6,0)),0%,VLOOKUP(A202,'Données projet'!$A$243:$I$263,6,0)*VLOOKUP('Données projet'!$B$17,'Paramètres'!$A$1:$I$89,7,0))</f>
        <v>0</v>
      </c>
      <c r="GK202" s="135">
        <f>IF(ISNA(VLOOKUP(A202,'Données projet'!$A$243:$I$263,7,0)),0%,VLOOKUP(A202,'Données projet'!$A$243:$I$263,7,0))</f>
        <v>0</v>
      </c>
      <c r="GL202" s="142">
        <f>EXP(-LN(2)/35)*GL201+(1-EXP(-LN(2)/35))/(LN(2)/35)*GH202*GI202*VLOOKUP('Données projet'!$B$17,'Paramètres'!$A$1:$I$89,3,0)*0.475*44/12</f>
        <v>6.621313936</v>
      </c>
      <c r="GM202" s="142">
        <f>EXP(-LN(2)/25)*GM201+(1-EXP(-LN(2)/25))/(LN(2)/25)*Calculateur!GH202*Calculateur!GJ202*VLOOKUP('Données projet'!$B$17,'Paramètres'!$A$1:$I$89,3,0)*0.475*44/12</f>
        <v>0</v>
      </c>
      <c r="GN202" s="142">
        <f>EXP(-LN(2)/2)*GN201+(1-EXP(-LN(2)/2))/(LN(2)/2)*GH202*GK202*VLOOKUP('Données projet'!$B$17,'Paramètres'!$A$1:$I$89,3,0)*0.475*44/12</f>
        <v>0</v>
      </c>
      <c r="GO202" s="142">
        <f t="shared" si="28"/>
        <v>6.621313936</v>
      </c>
      <c r="GP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1" t="str">
        <f>VLOOKUP(A202,'Données projet'!$A$269:$I$289,2,0)</f>
        <v>#N/A</v>
      </c>
      <c r="GS202" s="131" t="str">
        <f>VLOOKUP(A202,'Données projet'!$A$269:$I$289,9,0)</f>
        <v>#N/A</v>
      </c>
      <c r="GT202" s="131" t="str">
        <f t="array" ref="GT202">INDEX(GS:GS,MIN(IF(ISNUMBER(GS202:GS398),ROW(GS202:GS398),"")))</f>
        <v/>
      </c>
      <c r="GU202" s="138">
        <f>IF('Données projet'!$A$270&gt;35,GU201+GT202-HC201,IF(A202&lt;'Données projet'!$A$270,$GR$205^A202,IF(A202='Données projet'!$A$270,'Données projet'!$B$270,GU201+GT202-HC201)))</f>
        <v>0</v>
      </c>
      <c r="GV202" s="138">
        <f>GU202*VLOOKUP('Données projet'!$B$18,'Paramètres'!$A$1:$I$89,3,0)*VLOOKUP('Données projet'!$B$18,'Paramètres'!$A$1:$I$89,5,0)</f>
        <v>0</v>
      </c>
      <c r="GW202" s="130" t="str">
        <f t="shared" si="52"/>
        <v>#NUM!</v>
      </c>
      <c r="GX202" s="141" t="str">
        <f t="shared" si="29"/>
        <v>#NUM!</v>
      </c>
      <c r="GY202" s="133" t="str">
        <f t="shared" si="30"/>
        <v>#NUM!</v>
      </c>
      <c r="GZ202" s="133">
        <f>AVERAGE(OFFSET($GY$3,0,0,'Données projet'!$E$18+1,1))-AVERAGE(OFFSET($H$3,0,0,'Données projet'!$E$18+1,1))</f>
        <v>100.5427875</v>
      </c>
      <c r="HA202" s="133">
        <f t="shared" si="53"/>
        <v>92.28663609</v>
      </c>
      <c r="HB202" s="134">
        <f>IF(ISNA(VLOOKUP(A202,'Données projet'!$A$269:$I$289,3,0)),0,VLOOKUP(A202,'Données projet'!$A$269:$I$289,3,0))</f>
        <v>0</v>
      </c>
      <c r="HC202" s="134">
        <f>IF(ISNA(VLOOKUP(A202,'Données projet'!$A$269:$I$289,4,0)),0,VLOOKUP(A202,'Données projet'!$A$269:$I$289,4,0))</f>
        <v>0</v>
      </c>
      <c r="HD202" s="135">
        <f>IF(ISNA(VLOOKUP(A202,'Données projet'!$A$269:$I$289,5,0)),0%,VLOOKUP(A202,'Données projet'!$A$269:$I$289,5,0)*VLOOKUP('Données projet'!$B$18,'Paramètres'!$A$1:$I$89,7,0))</f>
        <v>0</v>
      </c>
      <c r="HE202" s="135">
        <f>IF(ISNA(VLOOKUP(A202,'Données projet'!$A$269:$I$289,6,0)),0%,VLOOKUP(A202,'Données projet'!$A$269:$I$289,6,0)*VLOOKUP('Données projet'!$B$18,'Paramètres'!$A$1:$I$89,7,0))</f>
        <v>0</v>
      </c>
      <c r="HF202" s="135">
        <f>IF(ISNA(VLOOKUP(A202,'Données projet'!$A$269:$I$289,7,0)),0%,VLOOKUP(A202,'Données projet'!$A$269:$I$289,7,0))</f>
        <v>0</v>
      </c>
      <c r="HG202" s="142">
        <f>EXP(-LN(2)/35)*HG201+(1-EXP(-LN(2)/35))/(LN(2)/35)*HC202*HD202*VLOOKUP('Données projet'!$B$18,'Paramètres'!$A$1:$I$89,3,0)*0.475*44/12</f>
        <v>4.508975106</v>
      </c>
      <c r="HH202" s="142">
        <f>EXP(-LN(2)/25)*HH201+(1-EXP(-LN(2)/25))/(LN(2)/25)*Calculateur!HC202*Calculateur!HE202*VLOOKUP('Données projet'!$B$18,'Paramètres'!$A$1:$I$89,3,0)*0.475*44/12</f>
        <v>0</v>
      </c>
      <c r="HI202" s="142">
        <f>EXP(-LN(2)/2)*HI201+(1-EXP(-LN(2)/2))/(LN(2)/2)*HC202*HF202*VLOOKUP('Données projet'!$B$18,'Paramètres'!$A$1:$I$89,3,0)*0.475*44/12</f>
        <v>0</v>
      </c>
      <c r="HJ202" s="143">
        <f t="shared" si="31"/>
        <v>4.508975106</v>
      </c>
    </row>
    <row r="203" ht="15.75" customHeight="1">
      <c r="A203" s="125">
        <f t="shared" si="32"/>
        <v>200</v>
      </c>
      <c r="B203" s="126">
        <f>'Scénario référence'!$B$16*5+'Scénario référence'!$B$17*0+'Scénario référence'!$B$18*5</f>
        <v>0</v>
      </c>
      <c r="C203" s="140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109.2</v>
      </c>
      <c r="D203" s="127">
        <f t="shared" si="33"/>
        <v>29.14241833</v>
      </c>
      <c r="E203" s="127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7">
        <f>IF(OR('Scénario référence'!$F$8&gt;0,'Scénario référence'!$F$9&gt;0),('Scénario référence'!$F$8+'Scénario référence'!$F$9)*10,0)</f>
        <v>10</v>
      </c>
      <c r="G203" s="127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</v>
      </c>
      <c r="H203" s="128">
        <f t="shared" si="1"/>
        <v>534.2797119</v>
      </c>
      <c r="I203" s="12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1" t="str">
        <f>VLOOKUP(A203,'Données projet'!$A$35:$I$55,2,0)</f>
        <v>#N/A</v>
      </c>
      <c r="L203" s="131" t="str">
        <f>VLOOKUP(A203,'Données projet'!$A$35:$I$55,9,0)</f>
        <v>#N/A</v>
      </c>
      <c r="M203" s="131" t="str">
        <f t="array" ref="M203">INDEX(L:L,MIN(IF(ISNUMBER(L203:L399),ROW(L203:L399),"")))</f>
        <v/>
      </c>
      <c r="N203" s="130">
        <f>IF('Données projet'!$A$36&gt;35,N202+M203-V202,IF(A203&lt;'Données projet'!$A$36,$K$205^A203,IF(A203='Données projet'!$A$36,'Données projet'!$B$36,N202+M203-V202)))</f>
        <v>0</v>
      </c>
      <c r="O203" s="130">
        <f>N203*VLOOKUP('Données projet'!$B$9,'Paramètres'!$A$1:$I$89,3,0)*VLOOKUP('Données projet'!$B$9,'Paramètres'!$A$1:$I$89,5,0)</f>
        <v>0</v>
      </c>
      <c r="P203" s="130">
        <f t="shared" si="34"/>
        <v>0</v>
      </c>
      <c r="Q203" s="141">
        <f t="shared" si="2"/>
        <v>0</v>
      </c>
      <c r="R203" s="133">
        <f t="shared" si="3"/>
        <v>293.3333333</v>
      </c>
      <c r="S203" s="133">
        <f>AVERAGE(OFFSET($R$3,0,0,'Données projet'!$E$9+1,1))-AVERAGE(OFFSET($H$3,0,0,'Données projet'!$E$9+1,1))</f>
        <v>126.9946492</v>
      </c>
      <c r="T203" s="133">
        <f t="shared" si="35"/>
        <v>140.039049</v>
      </c>
      <c r="U203" s="134">
        <f>IF(ISNA(VLOOKUP(A203,'Données projet'!$A$35:$I$55,3,0)),0,VLOOKUP(A203,'Données projet'!$A$35:$I$55,3,0))</f>
        <v>0</v>
      </c>
      <c r="V203" s="134">
        <f>IF(ISNA(VLOOKUP(A203,'Données projet'!$A$35:$I$55,4,0)),0,VLOOKUP(A203,'Données projet'!$A$35:$I$55,4,0))</f>
        <v>0</v>
      </c>
      <c r="W203" s="135">
        <f>IF(ISNA(VLOOKUP(A203,'Données projet'!$A$35:$I$55,5,0)),0%,VLOOKUP(A203,'Données projet'!$A$35:$I$55,5,0)*VLOOKUP('Données projet'!$B$9,'Paramètres'!$A$1:$I$89,7,0))</f>
        <v>0</v>
      </c>
      <c r="X203" s="135">
        <f>IF(ISNA(VLOOKUP(A203,'Données projet'!$A$35:$I$55,6,0)),0%,VLOOKUP(A203,'Données projet'!$A$35:$I$55,6,0)*VLOOKUP('Données projet'!$B$9,'Paramètres'!$A$1:$I$89,7,0))</f>
        <v>0</v>
      </c>
      <c r="Y203" s="135">
        <f>IF(ISNA(VLOOKUP(A203,'Données projet'!$A$35:$I$55,7,0)),0%,VLOOKUP(A203,'Données projet'!$A$35:$I$55,7,0))</f>
        <v>0</v>
      </c>
      <c r="Z203" s="142">
        <f>EXP(-LN(2)/35)*Z202+(1-EXP(-LN(2)/35))/(LN(2)/35)*V203*W203*VLOOKUP('Données projet'!$B$9,'Paramètres'!$A$1:$I$89,3,0)*0.475*44/12</f>
        <v>6.639332886</v>
      </c>
      <c r="AA203" s="142">
        <f>EXP(-LN(2)/25)*AA202+(1-EXP(-LN(2)/25))/(LN(2)/25)*Calculateur!V203*Calculateur!X203*VLOOKUP('Données projet'!$B$9,'Paramètres'!$A$1:$I$89,3,0)*0.475*44/12</f>
        <v>0.479118423</v>
      </c>
      <c r="AB203" s="142">
        <f>EXP(-LN(2)/2)*AB202+(1-EXP(-LN(2)/2))/(LN(2)/2)*V203*Y203*VLOOKUP('Données projet'!$B$9,'Paramètres'!$A$1:$I$89,3,0)*0.475*44/12</f>
        <v>0</v>
      </c>
      <c r="AC203" s="143">
        <f t="shared" si="4"/>
        <v>7.118451309</v>
      </c>
      <c r="AD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1" t="str">
        <f>VLOOKUP(A203,'Données projet'!$A$61:$I$81,2,0)</f>
        <v>#N/A</v>
      </c>
      <c r="AG203" s="131" t="str">
        <f>VLOOKUP(A203,'Données projet'!$A$61:$I$81,9,0)</f>
        <v>#N/A</v>
      </c>
      <c r="AH203" s="131" t="str">
        <f t="array" ref="AH203">INDEX(AG:AG,MIN(IF(ISNUMBER(AG203:AG399),ROW(AG203:AG399),"")))</f>
        <v/>
      </c>
      <c r="AI203" s="130">
        <f>IF('Données projet'!$A$62&gt;35,AI202+AH203-AQ202,IF(A203&lt;'Données projet'!$A$62,$AF$205^A203,IF(A203='Données projet'!$A$62,'Données projet'!$B$62,AI202+AH203-AQ202)))</f>
        <v>0</v>
      </c>
      <c r="AJ203" s="130">
        <f>AI203*VLOOKUP('Données projet'!$B$10,'Paramètres'!$A$1:$I$89,3,0)*VLOOKUP('Données projet'!$B$10,'Paramètres'!$A$1:$I$89,5,0)</f>
        <v>0</v>
      </c>
      <c r="AK203" s="130" t="str">
        <f t="shared" si="36"/>
        <v>#NUM!</v>
      </c>
      <c r="AL203" s="141" t="str">
        <f t="shared" si="5"/>
        <v>#NUM!</v>
      </c>
      <c r="AM203" s="133" t="str">
        <f t="shared" si="6"/>
        <v>#NUM!</v>
      </c>
      <c r="AN203" s="133">
        <f>AVERAGE(OFFSET($AM$3,0,0,'Données projet'!$E$10+1,1))-AVERAGE(OFFSET($H$3,0,0,'Données projet'!$E$10+1,1))</f>
        <v>196.874484</v>
      </c>
      <c r="AO203" s="133">
        <f t="shared" si="37"/>
        <v>217.5750859</v>
      </c>
      <c r="AP203" s="134">
        <f>IF(ISNA(VLOOKUP(A203,'Données projet'!$A$61:$I$81,3,0)),0,VLOOKUP(A203,'Données projet'!$A$61:$I$81,3,0))</f>
        <v>0</v>
      </c>
      <c r="AQ203" s="134">
        <f>IF(ISNA(VLOOKUP(A203,'Données projet'!$A$61:$I$81,4,0)),0,VLOOKUP(A203,'Données projet'!$A$61:$I$81,4,0))</f>
        <v>0</v>
      </c>
      <c r="AR203" s="135">
        <f>IF(ISNA(VLOOKUP(A203,'Données projet'!$A$61:$I$81,5,0)),0%,VLOOKUP(A203,'Données projet'!$A$61:$I$81,5,0)*VLOOKUP('Données projet'!$B$10,'Paramètres'!$A$1:$I$89,7,0))</f>
        <v>0</v>
      </c>
      <c r="AS203" s="135">
        <f>IF(ISNA(VLOOKUP(A203,'Données projet'!$A$61:$I$81,6,0)),0%,VLOOKUP(A203,'Données projet'!$A$61:$I$81,6,0)*VLOOKUP('Données projet'!$B$10,'Paramètres'!$A$1:$I$89,7,0))</f>
        <v>0</v>
      </c>
      <c r="AT203" s="135">
        <f>IF(ISNA(VLOOKUP(A203,'Données projet'!$A$61:$I$81,7,0)),0%,VLOOKUP(A203,'Données projet'!$A$61:$I$81,7,0))</f>
        <v>0</v>
      </c>
      <c r="AU203" s="142">
        <f>EXP(-LN(2)/35)*AU202+(1-EXP(-LN(2)/35))/(LN(2)/35)*AQ203*AR203*VLOOKUP('Données projet'!$B$10,'Paramètres'!$A$1:$I$89,3,0)*0.475*44/12</f>
        <v>9.228484129</v>
      </c>
      <c r="AV203" s="142">
        <f>EXP(-LN(2)/25)*AV202+(1-EXP(-LN(2)/25))/(LN(2)/25)*Calculateur!AQ203*Calculateur!AS203*VLOOKUP('Données projet'!$B$10,'Paramètres'!$A$1:$I$89,3,0)*0.475*44/12</f>
        <v>0.7366452154</v>
      </c>
      <c r="AW203" s="142">
        <f>EXP(-LN(2)/2)*AW202+(1-EXP(-LN(2)/2))/(LN(2)/2)*AQ203*AT203*VLOOKUP('Données projet'!$B$10,'Paramètres'!$A$1:$I$89,3,0)*0.475*44/12</f>
        <v>0</v>
      </c>
      <c r="AX203" s="142">
        <f t="shared" si="7"/>
        <v>9.965129344</v>
      </c>
      <c r="AY203" s="13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1" t="str">
        <f>VLOOKUP(A203,'Données projet'!$A$87:$I$107,2,0)</f>
        <v>#N/A</v>
      </c>
      <c r="BB203" s="131" t="str">
        <f>VLOOKUP(A203,'Données projet'!$A$87:$I$107,9,0)</f>
        <v>#N/A</v>
      </c>
      <c r="BC203" s="131" t="str">
        <f t="array" ref="BC203">INDEX(BB:BB,MIN(IF(ISNUMBER(BB203:BB399),ROW(BB203:BB399),"")))</f>
        <v/>
      </c>
      <c r="BD203" s="130">
        <f>IF('Données projet'!$A$88&gt;35,BD202+BC203-BL202,IF(A203&lt;'Données projet'!$A$88,$BA$205^A203,IF(A203='Données projet'!$A$88,'Données projet'!$B$88,BD202+BC203-BL202)))</f>
        <v>0</v>
      </c>
      <c r="BE203" s="130">
        <f>BD203*VLOOKUP('Données projet'!$B$11,'Paramètres'!$A$1:$I$89,3,0)*VLOOKUP('Données projet'!$B$11,'Paramètres'!$A$1:$I$89,5,0)</f>
        <v>0</v>
      </c>
      <c r="BF203" s="130" t="str">
        <f t="shared" si="38"/>
        <v>#NUM!</v>
      </c>
      <c r="BG203" s="141" t="str">
        <f t="shared" si="8"/>
        <v>#NUM!</v>
      </c>
      <c r="BH203" s="133" t="str">
        <f t="shared" si="9"/>
        <v>#NUM!</v>
      </c>
      <c r="BI203" s="133">
        <f>AVERAGE(OFFSET($BH$3,0,0,'Données projet'!$E$11+1,1))-AVERAGE(OFFSET($H$3,0,0,'Données projet'!$E$11+1,1))</f>
        <v>134.0948534</v>
      </c>
      <c r="BJ203" s="133">
        <f t="shared" si="39"/>
        <v>108.4102536</v>
      </c>
      <c r="BK203" s="134">
        <f>IF(ISNA(VLOOKUP(A203,'Données projet'!$A$87:$I$107,3,0)),0,VLOOKUP(A203,'Données projet'!$A$87:$I$107,3,0))</f>
        <v>0</v>
      </c>
      <c r="BL203" s="134">
        <f>IF(ISNA(VLOOKUP(A203,'Données projet'!$A$87:$I$107,4,0)),0,VLOOKUP(A203,'Données projet'!$A$87:$I$107,4,0))</f>
        <v>0</v>
      </c>
      <c r="BM203" s="135">
        <f>IF(ISNA(VLOOKUP(A203,'Données projet'!$A$87:$I$107,5,0)),0%,VLOOKUP(A203,'Données projet'!$A$87:$I$107,5,0)*VLOOKUP('Données projet'!$B$11,'Paramètres'!$A$1:$I$89,7,0))</f>
        <v>0</v>
      </c>
      <c r="BN203" s="135">
        <f>IF(ISNA(VLOOKUP(A203,'Données projet'!$A$87:$I$107,6,0)),0%,VLOOKUP(A203,'Données projet'!$A$87:$I$107,6,0)*VLOOKUP('Données projet'!$B$11,'Paramètres'!$A$1:$I$89,7,0))</f>
        <v>0</v>
      </c>
      <c r="BO203" s="135">
        <f>IF(ISNA(VLOOKUP(A203,'Données projet'!$A$87:$I$107,7,0)),0%,VLOOKUP(A203,'Données projet'!$A$87:$I$107,7,0))</f>
        <v>0</v>
      </c>
      <c r="BP203" s="142">
        <f>EXP(-LN(2)/35)*BP202+(1-EXP(-LN(2)/35))/(LN(2)/35)*BL203*BM203*VLOOKUP('Données projet'!$B$11,'Paramètres'!$A$1:$I$89,3,0)*0.475*44/12</f>
        <v>12.76471705</v>
      </c>
      <c r="BQ203" s="142">
        <f>EXP(-LN(2)/25)*BQ202+(1-EXP(-LN(2)/25))/(LN(2)/25)*Calculateur!BL203*Calculateur!BN203*VLOOKUP('Données projet'!$B$11,'Paramètres'!$A$1:$I$89,3,0)*0.475*44/12</f>
        <v>0.4646764344</v>
      </c>
      <c r="BR203" s="142">
        <f>EXP(-LN(2)/2)*BR202+(1-EXP(-LN(2)/2))/(LN(2)/2)*BL203*BO203*VLOOKUP('Données projet'!$B$11,'Paramètres'!$A$1:$I$89,3,0)*0.475*44/12</f>
        <v>0</v>
      </c>
      <c r="BS203" s="143">
        <f t="shared" si="10"/>
        <v>13.22939348</v>
      </c>
      <c r="BT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1" t="str">
        <f>VLOOKUP(A203,'Données projet'!$A$113:$I$133,2,0)</f>
        <v>#N/A</v>
      </c>
      <c r="BW203" s="131" t="str">
        <f>VLOOKUP(A203,'Données projet'!$A$113:$I$133,9,0)</f>
        <v>#N/A</v>
      </c>
      <c r="BX203" s="131" t="str">
        <f t="array" ref="BX203">INDEX(BW:BW,MIN(IF(ISNUMBER(BW203:BW399),ROW(BW203:BW399),"")))</f>
        <v/>
      </c>
      <c r="BY203" s="130">
        <f>IF('Données projet'!$A$114&gt;35,BY202+BX203-CG202,IF(A203&lt;'Données projet'!$A$114,$BV$205^A203,IF(A203='Données projet'!$A$114,'Données projet'!$B$114,BY202+BX203-CG202)))</f>
        <v>0</v>
      </c>
      <c r="BZ203" s="130">
        <f>BY203*VLOOKUP('Données projet'!$B$12,'Paramètres'!$A$1:$I$89,3,0)*VLOOKUP('Données projet'!$B$12,'Paramètres'!$A$1:$I$89,5,0)</f>
        <v>0</v>
      </c>
      <c r="CA203" s="130" t="str">
        <f t="shared" si="40"/>
        <v>#NUM!</v>
      </c>
      <c r="CB203" s="141" t="str">
        <f t="shared" si="11"/>
        <v>#NUM!</v>
      </c>
      <c r="CC203" s="133" t="str">
        <f t="shared" si="12"/>
        <v>#NUM!</v>
      </c>
      <c r="CD203" s="133">
        <f>AVERAGE(OFFSET($CC$3,0,0,'Données projet'!$E$12+1,1))-AVERAGE(OFFSET($H$3,0,0,'Données projet'!$E$12+1,1))</f>
        <v>258.1672054</v>
      </c>
      <c r="CE203" s="133">
        <f t="shared" si="41"/>
        <v>296.0724261</v>
      </c>
      <c r="CF203" s="134">
        <f>IF(ISNA(VLOOKUP(A203,'Données projet'!$A$113:$I$133,3,0)),0,VLOOKUP(A203,'Données projet'!$A$113:$I$133,3,0))</f>
        <v>0</v>
      </c>
      <c r="CG203" s="134">
        <f>IF(ISNA(VLOOKUP(A203,'Données projet'!$A$113:$I$133,4,0)),0,VLOOKUP(A203,'Données projet'!$A$113:$I$133,4,0))</f>
        <v>0</v>
      </c>
      <c r="CH203" s="135">
        <f>IF(ISNA(VLOOKUP(A203,'Données projet'!$A$113:$I$133,5,0)),0%,VLOOKUP(A203,'Données projet'!$A$113:$I$133,5,0)*VLOOKUP('Données projet'!$B$12,'Paramètres'!$A$1:$I$89,7,0))</f>
        <v>0</v>
      </c>
      <c r="CI203" s="135">
        <f>IF(ISNA(VLOOKUP(A203,'Données projet'!$A$113:$I$133,6,0)),0%,VLOOKUP(A203,'Données projet'!$A$113:$I$133,6,0)*VLOOKUP('Données projet'!$B$12,'Paramètres'!$A$1:$I$89,7,0))</f>
        <v>0</v>
      </c>
      <c r="CJ203" s="135">
        <f>IF(ISNA(VLOOKUP(A203,'Données projet'!$A$113:$I$133,7,0)),0%,VLOOKUP(A203,'Données projet'!$A$113:$I$133,7,0))</f>
        <v>0</v>
      </c>
      <c r="CK203" s="142">
        <f>EXP(-LN(2)/35)*CK202+(1-EXP(-LN(2)/35))/(LN(2)/35)*CG203*CH203*VLOOKUP('Données projet'!$B$12,'Paramètres'!$A$1:$I$89,3,0)*0.475*44/12</f>
        <v>16.13850723</v>
      </c>
      <c r="CL203" s="142">
        <f>EXP(-LN(2)/25)*CL202+(1-EXP(-LN(2)/25))/(LN(2)/25)*Calculateur!CG203*Calculateur!CI203*VLOOKUP('Données projet'!$B$12,'Paramètres'!$A$1:$I$89,3,0)*0.475*44/12</f>
        <v>0.8150688443</v>
      </c>
      <c r="CM203" s="142">
        <f>EXP(-LN(2)/2)*CM202+(1-EXP(-LN(2)/2))/(LN(2)/2)*CG203*CJ203*VLOOKUP('Données projet'!$B$12,'Paramètres'!$A$1:$I$89,3,0)*0.475*44/12</f>
        <v>0</v>
      </c>
      <c r="CN203" s="143">
        <f t="shared" si="13"/>
        <v>16.95357608</v>
      </c>
      <c r="CO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1" t="str">
        <f>VLOOKUP(A203,'Données projet'!$A$139:$I$159,2,0)</f>
        <v>#N/A</v>
      </c>
      <c r="CR203" s="131" t="str">
        <f>VLOOKUP(A203,'Données projet'!$A$139:$I$159,9,0)</f>
        <v>#N/A</v>
      </c>
      <c r="CS203" s="131" t="str">
        <f t="array" ref="CS203">INDEX(CR:CR,MIN(IF(ISNUMBER(CR203:CR399),ROW(CR203:CR399),"")))</f>
        <v/>
      </c>
      <c r="CT203" s="138">
        <f>IF('Données projet'!$A$140&gt;35,CT202+CS203-DB202,IF(A203&lt;'Données projet'!$A$140,$CQ$205^A203,IF(A203='Données projet'!$A$140,'Données projet'!$B$140,CT202+CS203-DB202)))</f>
        <v>0</v>
      </c>
      <c r="CU203" s="138">
        <f>CT203*VLOOKUP('Données projet'!$B$13,'Paramètres'!$A$1:$I$89,3,0)*VLOOKUP('Données projet'!$B$13,'Paramètres'!$A$1:$I$89,5,0)</f>
        <v>0</v>
      </c>
      <c r="CV203" s="130" t="str">
        <f t="shared" si="42"/>
        <v>#NUM!</v>
      </c>
      <c r="CW203" s="141" t="str">
        <f t="shared" si="14"/>
        <v>#NUM!</v>
      </c>
      <c r="CX203" s="133" t="str">
        <f t="shared" si="15"/>
        <v>#NUM!</v>
      </c>
      <c r="CY203" s="133">
        <f>AVERAGE(OFFSET($CX$3,0,0,'Données projet'!$E$13+1,1))-AVERAGE(OFFSET($H$3,0,0,'Données projet'!$E$13+1,1))</f>
        <v>223.783507</v>
      </c>
      <c r="CZ203" s="133">
        <f t="shared" si="43"/>
        <v>84.92349117</v>
      </c>
      <c r="DA203" s="134">
        <f>IF(ISNA(VLOOKUP(A203,'Données projet'!$A$139:$I$159,3,0)),0,VLOOKUP(A203,'Données projet'!$A$139:$I$159,3,0))</f>
        <v>0</v>
      </c>
      <c r="DB203" s="134">
        <f>IF(ISNA(VLOOKUP(A203,'Données projet'!$A$139:$I$159,4,0)),0,VLOOKUP(A203,'Données projet'!$A$139:$I$159,4,0))</f>
        <v>0</v>
      </c>
      <c r="DC203" s="135">
        <f>IF(ISNA(VLOOKUP(A203,'Données projet'!$A$139:$I$159,5,0)),0%,VLOOKUP(A203,'Données projet'!$A$139:$I$159,5,0)*VLOOKUP('Données projet'!$B$13,'Paramètres'!$A$1:$I$89,7,0))</f>
        <v>0</v>
      </c>
      <c r="DD203" s="135">
        <f>IF(ISNA(VLOOKUP(A203,'Données projet'!$A$139:$I$159,6,0)),0%,VLOOKUP(A203,'Données projet'!$A$139:$I$159,6,0)*VLOOKUP('Données projet'!$B$13,'Paramètres'!$A$1:$I$89,7,0))</f>
        <v>0</v>
      </c>
      <c r="DE203" s="135">
        <f>IF(ISNA(VLOOKUP(A203,'Données projet'!$A$139:$I$159,7,0)),0%,VLOOKUP(A203,'Données projet'!$A$139:$I$159,7,0))</f>
        <v>0</v>
      </c>
      <c r="DF203" s="142">
        <f>EXP(-LN(2)/35)*DF202+(1-EXP(-LN(2)/35))/(LN(2)/35)*DB203*DC203*VLOOKUP('Données projet'!$B$13,'Paramètres'!$A$1:$I$89,3,0)*0.475*44/12</f>
        <v>41.45001908</v>
      </c>
      <c r="DG203" s="142">
        <f>EXP(-LN(2)/25)*DG202+(1-EXP(-LN(2)/25))/(LN(2)/25)*Calculateur!DB203*Calculateur!DD203*VLOOKUP('Données projet'!$B$13,'Paramètres'!$A$1:$I$89,3,0)*0.475*44/12</f>
        <v>0</v>
      </c>
      <c r="DH203" s="142">
        <f>EXP(-LN(2)/2)*DH202+(1-EXP(-LN(2)/2))/(LN(2)/2)*DB203*DE203*VLOOKUP('Données projet'!$B$13,'Paramètres'!$A$1:$I$89,3,0)*0.475*44/12</f>
        <v>0</v>
      </c>
      <c r="DI203" s="143">
        <f t="shared" si="16"/>
        <v>41.45001908</v>
      </c>
      <c r="DJ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1" t="str">
        <f>VLOOKUP(A203,'Données projet'!$A$165:$I$185,2,0)</f>
        <v>#N/A</v>
      </c>
      <c r="DM203" s="131" t="str">
        <f>VLOOKUP(A203,'Données projet'!$A$165:$I$185,9,0)</f>
        <v>#N/A</v>
      </c>
      <c r="DN203" s="131" t="str">
        <f t="array" ref="DN203">INDEX(DM:DM,MIN(IF(ISNUMBER(DM203:DM399),ROW(DM203:DM399),"")))</f>
        <v/>
      </c>
      <c r="DO203" s="138">
        <f>IF('Données projet'!$A$166&gt;35,DO202+DN203-DW202,IF(A203&lt;'Données projet'!$A$166,$DL$205^A203,IF(A203='Données projet'!$A$166,'Données projet'!$B$166,DO202+DN203-DW202)))</f>
        <v>0</v>
      </c>
      <c r="DP203" s="138">
        <f>DO203*VLOOKUP('Données projet'!$B$14,'Paramètres'!$A$1:$I$89,3,0)*VLOOKUP('Données projet'!$B$14,'Paramètres'!$A$1:$I$89,5,0)</f>
        <v>0</v>
      </c>
      <c r="DQ203" s="130" t="str">
        <f t="shared" si="44"/>
        <v>#NUM!</v>
      </c>
      <c r="DR203" s="141" t="str">
        <f t="shared" si="17"/>
        <v>#NUM!</v>
      </c>
      <c r="DS203" s="133" t="str">
        <f t="shared" si="18"/>
        <v>#NUM!</v>
      </c>
      <c r="DT203" s="133">
        <f>AVERAGE(OFFSET($DS$3,0,0,'Données projet'!$E$14+1,1))-AVERAGE(OFFSET($H$3,0,0,'Données projet'!$E$14+1,1))</f>
        <v>287.9334714</v>
      </c>
      <c r="DU203" s="133">
        <f t="shared" si="45"/>
        <v>156.6796502</v>
      </c>
      <c r="DV203" s="134">
        <f>IF(ISNA(VLOOKUP(A203,'Données projet'!$A$165:$I$185,3,0)),0,VLOOKUP(A203,'Données projet'!$A$165:$I$185,3,0))</f>
        <v>0</v>
      </c>
      <c r="DW203" s="134">
        <f>IF(ISNA(VLOOKUP(A203,'Données projet'!$A$165:$I$185,4,0)),0,VLOOKUP(A203,'Données projet'!$A$165:$I$185,4,0))</f>
        <v>0</v>
      </c>
      <c r="DX203" s="135">
        <f>IF(ISNA(VLOOKUP(A203,'Données projet'!$A$165:$I$185,5,0)),0%,VLOOKUP(A203,'Données projet'!$A$165:$I$185,5,0)*VLOOKUP('Données projet'!$B$14,'Paramètres'!$A$1:$I$89,7,0))</f>
        <v>0</v>
      </c>
      <c r="DY203" s="135">
        <f>IF(ISNA(VLOOKUP(A203,'Données projet'!$A$165:$I$185,6,0)),0%,VLOOKUP(A203,'Données projet'!$A$165:$I$185,6,0)*VLOOKUP('Données projet'!$B$14,'Paramètres'!$A$1:$I$89,7,0))</f>
        <v>0</v>
      </c>
      <c r="DZ203" s="135">
        <f>IF(ISNA(VLOOKUP(A203,'Données projet'!$A$165:$I$185,7,0)),0%,VLOOKUP(A203,'Données projet'!$A$165:$I$185,7,0))</f>
        <v>0</v>
      </c>
      <c r="EA203" s="142">
        <f>EXP(-LN(2)/35)*EA202+(1-EXP(-LN(2)/35))/(LN(2)/35)*DW203*DX203*VLOOKUP('Données projet'!$B$14,'Paramètres'!$A$1:$I$89,3,0)*0.475*44/12</f>
        <v>48.15319327</v>
      </c>
      <c r="EB203" s="142">
        <f>EXP(-LN(2)/25)*EB202+(1-EXP(-LN(2)/25))/(LN(2)/25)*Calculateur!DW203*Calculateur!DY203*VLOOKUP('Données projet'!$B$14,'Paramètres'!$A$1:$I$89,3,0)*0.475*44/12</f>
        <v>0</v>
      </c>
      <c r="EC203" s="142">
        <f>EXP(-LN(2)/2)*EC202+(1-EXP(-LN(2)/2))/(LN(2)/2)*DW203*DZ203*VLOOKUP('Données projet'!$B$14,'Paramètres'!$A$1:$I$89,3,0)*0.475*44/12</f>
        <v>0</v>
      </c>
      <c r="ED203" s="143">
        <f t="shared" si="19"/>
        <v>48.15319327</v>
      </c>
      <c r="EE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1" t="str">
        <f>VLOOKUP(A203,'Données projet'!$A$191:$I$211,2,0)</f>
        <v>#N/A</v>
      </c>
      <c r="EH203" s="131" t="str">
        <f>VLOOKUP(A203,'Données projet'!$A$191:$I$211,9,0)</f>
        <v>#N/A</v>
      </c>
      <c r="EI203" s="131" t="str">
        <f t="array" ref="EI203">INDEX(EH:EH,MIN(IF(ISNUMBER(EH203:EH399),ROW(EH203:EH399),"")))</f>
        <v/>
      </c>
      <c r="EJ203" s="138">
        <f>IF('Données projet'!$A$192&gt;35,EJ202+EI203-ER202,IF(A203&lt;'Données projet'!$A$192,$EG$205^A203,IF(A203='Données projet'!$A$192,'Données projet'!$B$192,EJ202+EI203-ER202)))</f>
        <v>0</v>
      </c>
      <c r="EK203" s="138">
        <f>EJ203*VLOOKUP('Données projet'!$B$15,'Paramètres'!$A$1:$I$89,3,0)*VLOOKUP('Données projet'!$B$15,'Paramètres'!$A$1:$I$89,5,0)</f>
        <v>0</v>
      </c>
      <c r="EL203" s="130" t="str">
        <f t="shared" si="46"/>
        <v>#NUM!</v>
      </c>
      <c r="EM203" s="141" t="str">
        <f t="shared" si="20"/>
        <v>#NUM!</v>
      </c>
      <c r="EN203" s="133" t="str">
        <f t="shared" si="21"/>
        <v>#NUM!</v>
      </c>
      <c r="EO203" s="133">
        <f>AVERAGE(OFFSET($EN$3,0,0,'Données projet'!$E$15+1,1))-AVERAGE(OFFSET($H$3,0,0,'Données projet'!$E$15+1,1))</f>
        <v>130.3193339</v>
      </c>
      <c r="EP203" s="133">
        <f t="shared" si="47"/>
        <v>82.22784365</v>
      </c>
      <c r="EQ203" s="134">
        <f>IF(ISNA(VLOOKUP(A203,'Données projet'!$A$191:$I$211,3,0)),0,VLOOKUP(A203,'Données projet'!$A$191:$I$211,3,0))</f>
        <v>0</v>
      </c>
      <c r="ER203" s="134">
        <f>IF(ISNA(VLOOKUP(A203,'Données projet'!$A$191:$I$211,4,0)),0,VLOOKUP(A203,'Données projet'!$A$191:$I$211,4,0))</f>
        <v>0</v>
      </c>
      <c r="ES203" s="135">
        <f>IF(ISNA(VLOOKUP(A203,'Données projet'!$A$191:$I$211,5,0)),0%,VLOOKUP(A203,'Données projet'!$A$191:$I$211,5,0)*VLOOKUP('Données projet'!$B$15,'Paramètres'!$A$1:$I$89,7,0))</f>
        <v>0</v>
      </c>
      <c r="ET203" s="135">
        <f>IF(ISNA(VLOOKUP(A203,'Données projet'!$A$191:$I$211,6,0)),0%,VLOOKUP(A203,'Données projet'!$A$191:$I$211,6,0)*VLOOKUP('Données projet'!$B$15,'Paramètres'!$A$1:$I$89,7,0))</f>
        <v>0</v>
      </c>
      <c r="EU203" s="135">
        <f>IF(ISNA(VLOOKUP(A203,'Données projet'!$A$191:$I$211,7,0)),0%,VLOOKUP(A203,'Données projet'!$A$191:$I$211,7,0))</f>
        <v>0</v>
      </c>
      <c r="EV203" s="142">
        <f>EXP(-LN(2)/35)*EV202+(1-EXP(-LN(2)/35))/(LN(2)/35)*ER203*ES203*VLOOKUP('Données projet'!$B$15,'Paramètres'!$A$1:$I$89,3,0)*0.475*44/12</f>
        <v>9.868363313</v>
      </c>
      <c r="EW203" s="142">
        <f>EXP(-LN(2)/25)*EW202+(1-EXP(-LN(2)/25))/(LN(2)/25)*Calculateur!ER203*Calculateur!ET203*VLOOKUP('Données projet'!$B$15,'Paramètres'!$A$1:$I$89,3,0)*0.475*44/12</f>
        <v>0</v>
      </c>
      <c r="EX203" s="142">
        <f>EXP(-LN(2)/2)*EX202+(1-EXP(-LN(2)/2))/(LN(2)/2)*ER203*EU203*VLOOKUP('Données projet'!$B$15,'Paramètres'!$A$1:$I$89,3,0)*0.475*44/12</f>
        <v>0</v>
      </c>
      <c r="EY203" s="143">
        <f t="shared" si="22"/>
        <v>9.868363313</v>
      </c>
      <c r="EZ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1" t="str">
        <f>VLOOKUP(A203,'Données projet'!$A$217:$I$237,2,0)</f>
        <v>#N/A</v>
      </c>
      <c r="FC203" s="131" t="str">
        <f>VLOOKUP(A203,'Données projet'!$A$217:$I$237,9,0)</f>
        <v>#N/A</v>
      </c>
      <c r="FD203" s="131" t="str">
        <f t="array" ref="FD203">INDEX(FC:FC,MIN(IF(ISNUMBER(FC203:FC399),ROW(FC203:FC399),"")))</f>
        <v/>
      </c>
      <c r="FE203" s="130">
        <f>IF('Données projet'!$A$218&gt;35,FE202+FD203-FM202,IF(A203&lt;'Données projet'!$A$218,$FB$205^A203,IF(A203='Données projet'!$A$218,'Données projet'!$B$218,FE202+FD203-FM202)))</f>
        <v>0</v>
      </c>
      <c r="FF203" s="138">
        <f>FE203*VLOOKUP('Données projet'!$B$16,'Paramètres'!$A$1:$I$89,3,0)*VLOOKUP('Données projet'!$B$16,'Paramètres'!$A$1:$I$89,5,0)</f>
        <v>0</v>
      </c>
      <c r="FG203" s="130">
        <f t="shared" si="48"/>
        <v>0</v>
      </c>
      <c r="FH203" s="141">
        <f t="shared" si="23"/>
        <v>0</v>
      </c>
      <c r="FI203" s="133">
        <f t="shared" si="24"/>
        <v>293.3333333</v>
      </c>
      <c r="FJ203" s="133">
        <f>AVERAGE(OFFSET($FI$3,0,0,'Données projet'!$E$16+1,1))-AVERAGE(OFFSET($H$3,0,0,'Données projet'!$E$16+1,1))</f>
        <v>305.6252353</v>
      </c>
      <c r="FK203" s="133">
        <f t="shared" si="49"/>
        <v>331.397916</v>
      </c>
      <c r="FL203" s="134">
        <f>IF(ISNA(VLOOKUP(A203,'Données projet'!$A$217:$I$237,3,0)),0,VLOOKUP(A203,'Données projet'!$A$217:$I$237,3,0))</f>
        <v>0</v>
      </c>
      <c r="FM203" s="134">
        <f>IF(ISNA(VLOOKUP(A203,'Données projet'!$A$217:$I$237,4,0)),0,VLOOKUP(A203,'Données projet'!$A$217:$I$237,4,0))</f>
        <v>0</v>
      </c>
      <c r="FN203" s="135">
        <f>IF(ISNA(VLOOKUP(A203,'Données projet'!$A$217:$I$237,5,0)),0%,VLOOKUP(A203,'Données projet'!$A$217:$I$237,5,0)*VLOOKUP('Données projet'!$B$16,'Paramètres'!$A$1:$I$89,7,0))</f>
        <v>0</v>
      </c>
      <c r="FO203" s="135">
        <f>IF(ISNA(VLOOKUP(A203,'Données projet'!$A$217:$I$237,6,0)),0%,VLOOKUP(A203,'Données projet'!$A$217:$I$237,6,0)*VLOOKUP('Données projet'!$B$16,'Paramètres'!$A$1:$I$89,7,0))</f>
        <v>0</v>
      </c>
      <c r="FP203" s="135">
        <f>IF(ISNA(VLOOKUP(A203,'Données projet'!$A$217:$I$237,7,0)),0%,VLOOKUP(A203,'Données projet'!$A$217:$I$237,7,0))</f>
        <v>0</v>
      </c>
      <c r="FQ203" s="142">
        <f>EXP(-LN(2)/35)*FQ202+(1-EXP(-LN(2)/35))/(LN(2)/35)*FM203*FN203*VLOOKUP('Données projet'!$B$16,'Paramètres'!$A$1:$I$89,3,0)*0.475*44/12</f>
        <v>6.144337917</v>
      </c>
      <c r="FR203" s="142">
        <f>EXP(-LN(2)/25)*FR202+(1-EXP(-LN(2)/25))/(LN(2)/25)*Calculateur!FM203*Calculateur!FO203*VLOOKUP('Données projet'!$B$16,'Paramètres'!$A$1:$I$89,3,0)*0.475*44/12</f>
        <v>0</v>
      </c>
      <c r="FS203" s="142">
        <f>EXP(-LN(2)/2)*FS202+(1-EXP(-LN(2)/2))/(LN(2)/2)*FM203*FP203*VLOOKUP('Données projet'!$B$16,'Paramètres'!$A$1:$I$89,3,0)*0.475*44/12</f>
        <v>0</v>
      </c>
      <c r="FT203" s="143">
        <f t="shared" si="25"/>
        <v>6.144337917</v>
      </c>
      <c r="FU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1" t="str">
        <f>VLOOKUP(A203,'Données projet'!$A$243:$I$263,2,0)</f>
        <v>#N/A</v>
      </c>
      <c r="FX203" s="131" t="str">
        <f>VLOOKUP(A203,'Données projet'!$A$243:$I$263,9,0)</f>
        <v>#N/A</v>
      </c>
      <c r="FY203" s="131" t="str">
        <f t="array" ref="FY203">INDEX(FX:FX,MIN(IF(ISNUMBER(FX203:FX399),ROW(FX203:FX399),"")))</f>
        <v/>
      </c>
      <c r="FZ203" s="138">
        <f>IF('Données projet'!$A$244&gt;35,FZ202+FY203-GH202,IF(A203&lt;'Données projet'!$A$244,$FW$205^A203,IF(A203='Données projet'!$A$244,'Données projet'!$B$244,FZ202+FY203-GH202)))</f>
        <v>0</v>
      </c>
      <c r="GA203" s="138">
        <f>FZ203*VLOOKUP('Données projet'!$B$17,'Paramètres'!$A$1:$I$89,3,0)*VLOOKUP('Données projet'!$B$17,'Paramètres'!$A$1:$I$89,5,0)</f>
        <v>0</v>
      </c>
      <c r="GB203" s="130">
        <f t="shared" si="50"/>
        <v>0</v>
      </c>
      <c r="GC203" s="141">
        <f t="shared" si="26"/>
        <v>0</v>
      </c>
      <c r="GD203" s="133">
        <f t="shared" si="27"/>
        <v>293.3333333</v>
      </c>
      <c r="GE203" s="133">
        <f>AVERAGE(OFFSET($GD$3,0,0,'Données projet'!$E$17+1,1))-AVERAGE(OFFSET($H$3,0,0,'Données projet'!$E$17+1,1))</f>
        <v>118.7368745</v>
      </c>
      <c r="GF203" s="133">
        <f t="shared" si="51"/>
        <v>135.1233677</v>
      </c>
      <c r="GG203" s="134">
        <f>IF(ISNA(VLOOKUP(A203,'Données projet'!$A$243:$I$263,3,0)),0,VLOOKUP(A203,'Données projet'!$A$243:$I$263,3,0))</f>
        <v>0</v>
      </c>
      <c r="GH203" s="134">
        <f>IF(ISNA(VLOOKUP(A203,'Données projet'!$A$243:$I$263,4,0)),0,VLOOKUP(A203,'Données projet'!$A$243:$I$263,4,0))</f>
        <v>0</v>
      </c>
      <c r="GI203" s="135">
        <f>IF(ISNA(VLOOKUP(A203,'Données projet'!$A$243:$I$263,5,0)),0%,VLOOKUP(A203,'Données projet'!$A$243:$I$263,5,0)*VLOOKUP('Données projet'!$B$17,'Paramètres'!$A$1:$I$89,7,0))</f>
        <v>0</v>
      </c>
      <c r="GJ203" s="135">
        <f>IF(ISNA(VLOOKUP(A203,'Données projet'!$A$243:$I$263,6,0)),0%,VLOOKUP(A203,'Données projet'!$A$243:$I$263,6,0)*VLOOKUP('Données projet'!$B$17,'Paramètres'!$A$1:$I$89,7,0))</f>
        <v>0</v>
      </c>
      <c r="GK203" s="135">
        <f>IF(ISNA(VLOOKUP(A203,'Données projet'!$A$243:$I$263,7,0)),0%,VLOOKUP(A203,'Données projet'!$A$243:$I$263,7,0))</f>
        <v>0</v>
      </c>
      <c r="GL203" s="142">
        <f>EXP(-LN(2)/35)*GL202+(1-EXP(-LN(2)/35))/(LN(2)/35)*GH203*GI203*VLOOKUP('Données projet'!$B$17,'Paramètres'!$A$1:$I$89,3,0)*0.475*44/12</f>
        <v>6.491474008</v>
      </c>
      <c r="GM203" s="142">
        <f>EXP(-LN(2)/25)*GM202+(1-EXP(-LN(2)/25))/(LN(2)/25)*Calculateur!GH203*Calculateur!GJ203*VLOOKUP('Données projet'!$B$17,'Paramètres'!$A$1:$I$89,3,0)*0.475*44/12</f>
        <v>0</v>
      </c>
      <c r="GN203" s="142">
        <f>EXP(-LN(2)/2)*GN202+(1-EXP(-LN(2)/2))/(LN(2)/2)*GH203*GK203*VLOOKUP('Données projet'!$B$17,'Paramètres'!$A$1:$I$89,3,0)*0.475*44/12</f>
        <v>0</v>
      </c>
      <c r="GO203" s="142">
        <f t="shared" si="28"/>
        <v>6.491474008</v>
      </c>
      <c r="GP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1" t="str">
        <f>VLOOKUP(A203,'Données projet'!$A$269:$I$289,2,0)</f>
        <v>#N/A</v>
      </c>
      <c r="GS203" s="131" t="str">
        <f>VLOOKUP(A203,'Données projet'!$A$269:$I$289,9,0)</f>
        <v>#N/A</v>
      </c>
      <c r="GT203" s="131" t="str">
        <f t="array" ref="GT203">INDEX(GS:GS,MIN(IF(ISNUMBER(GS203:GS399),ROW(GS203:GS399),"")))</f>
        <v/>
      </c>
      <c r="GU203" s="138">
        <f>IF('Données projet'!$A$270&gt;35,GU202+GT203-HC202,IF(A203&lt;'Données projet'!$A$270,$GR$205^A203,IF(A203='Données projet'!$A$270,'Données projet'!$B$270,GU202+GT203-HC202)))</f>
        <v>0</v>
      </c>
      <c r="GV203" s="138">
        <f>GU203*VLOOKUP('Données projet'!$B$18,'Paramètres'!$A$1:$I$89,3,0)*VLOOKUP('Données projet'!$B$18,'Paramètres'!$A$1:$I$89,5,0)</f>
        <v>0</v>
      </c>
      <c r="GW203" s="130" t="str">
        <f t="shared" si="52"/>
        <v>#NUM!</v>
      </c>
      <c r="GX203" s="141" t="str">
        <f t="shared" si="29"/>
        <v>#NUM!</v>
      </c>
      <c r="GY203" s="133" t="str">
        <f t="shared" si="30"/>
        <v>#NUM!</v>
      </c>
      <c r="GZ203" s="133">
        <f>AVERAGE(OFFSET($GY$3,0,0,'Données projet'!$E$18+1,1))-AVERAGE(OFFSET($H$3,0,0,'Données projet'!$E$18+1,1))</f>
        <v>100.5427875</v>
      </c>
      <c r="HA203" s="133">
        <f t="shared" si="53"/>
        <v>92.28663609</v>
      </c>
      <c r="HB203" s="134">
        <f>IF(ISNA(VLOOKUP(A203,'Données projet'!$A$269:$I$289,3,0)),0,VLOOKUP(A203,'Données projet'!$A$269:$I$289,3,0))</f>
        <v>0</v>
      </c>
      <c r="HC203" s="134">
        <f>IF(ISNA(VLOOKUP(A203,'Données projet'!$A$269:$I$289,4,0)),0,VLOOKUP(A203,'Données projet'!$A$269:$I$289,4,0))</f>
        <v>0</v>
      </c>
      <c r="HD203" s="135">
        <f>IF(ISNA(VLOOKUP(A203,'Données projet'!$A$269:$I$289,5,0)),0%,VLOOKUP(A203,'Données projet'!$A$269:$I$289,5,0)*VLOOKUP('Données projet'!$B$18,'Paramètres'!$A$1:$I$89,7,0))</f>
        <v>0</v>
      </c>
      <c r="HE203" s="135">
        <f>IF(ISNA(VLOOKUP(A203,'Données projet'!$A$269:$I$289,6,0)),0%,VLOOKUP(A203,'Données projet'!$A$269:$I$289,6,0)*VLOOKUP('Données projet'!$B$18,'Paramètres'!$A$1:$I$89,7,0))</f>
        <v>0</v>
      </c>
      <c r="HF203" s="135">
        <f>IF(ISNA(VLOOKUP(A203,'Données projet'!$A$269:$I$289,7,0)),0%,VLOOKUP(A203,'Données projet'!$A$269:$I$289,7,0))</f>
        <v>0</v>
      </c>
      <c r="HG203" s="142">
        <f>EXP(-LN(2)/35)*HG202+(1-EXP(-LN(2)/35))/(LN(2)/35)*HC203*HD203*VLOOKUP('Données projet'!$B$18,'Paramètres'!$A$1:$I$89,3,0)*0.475*44/12</f>
        <v>4.420556854</v>
      </c>
      <c r="HH203" s="142">
        <f>EXP(-LN(2)/25)*HH202+(1-EXP(-LN(2)/25))/(LN(2)/25)*Calculateur!HC203*Calculateur!HE203*VLOOKUP('Données projet'!$B$18,'Paramètres'!$A$1:$I$89,3,0)*0.475*44/12</f>
        <v>0</v>
      </c>
      <c r="HI203" s="142">
        <f>EXP(-LN(2)/2)*HI202+(1-EXP(-LN(2)/2))/(LN(2)/2)*HC203*HF203*VLOOKUP('Données projet'!$B$18,'Paramètres'!$A$1:$I$89,3,0)*0.475*44/12</f>
        <v>0</v>
      </c>
      <c r="HJ203" s="143">
        <f t="shared" si="31"/>
        <v>4.420556854</v>
      </c>
    </row>
    <row r="204" ht="15.75" customHeight="1">
      <c r="A204" s="9"/>
      <c r="B204" s="125"/>
      <c r="C204" s="147"/>
      <c r="D204" s="148"/>
      <c r="E204" s="148"/>
      <c r="F204" s="148"/>
      <c r="G204" s="127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47"/>
      <c r="I204" s="147"/>
      <c r="J204" s="147"/>
      <c r="K204" s="149" t="s">
        <v>127</v>
      </c>
      <c r="L204" s="40"/>
      <c r="M204" s="40"/>
      <c r="N204" s="40"/>
      <c r="O204" s="147"/>
      <c r="P204" s="147"/>
      <c r="Q204" s="148"/>
      <c r="R204" s="150"/>
      <c r="S204" s="150"/>
      <c r="T204" s="150"/>
      <c r="U204" s="40"/>
      <c r="V204" s="40"/>
      <c r="W204" s="151"/>
      <c r="X204" s="151"/>
      <c r="Y204" s="151"/>
      <c r="Z204" s="147"/>
      <c r="AA204" s="147"/>
      <c r="AB204" s="147"/>
      <c r="AC204" s="147"/>
      <c r="AD204" s="147"/>
      <c r="AE204" s="147"/>
      <c r="AF204" s="152" t="s">
        <v>127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52" t="s">
        <v>127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52" t="s">
        <v>127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52" t="s">
        <v>127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52" t="s">
        <v>127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52" t="s">
        <v>127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52" t="s">
        <v>127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52" t="s">
        <v>127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52" t="s">
        <v>127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25"/>
      <c r="C205" s="147"/>
      <c r="D205" s="148"/>
      <c r="E205" s="148"/>
      <c r="F205" s="148"/>
      <c r="G205" s="127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47"/>
      <c r="I205" s="147"/>
      <c r="J205" s="147"/>
      <c r="K205" s="153">
        <f>EXP(LN('Données projet'!B36)/'Données projet'!A36)</f>
        <v>1.201293267</v>
      </c>
      <c r="L205" s="40"/>
      <c r="M205" s="40"/>
      <c r="N205" s="40"/>
      <c r="O205" s="147"/>
      <c r="P205" s="147"/>
      <c r="Q205" s="148"/>
      <c r="R205" s="150"/>
      <c r="S205" s="150"/>
      <c r="T205" s="150"/>
      <c r="U205" s="40"/>
      <c r="V205" s="40"/>
      <c r="W205" s="151"/>
      <c r="X205" s="151"/>
      <c r="Y205" s="151"/>
      <c r="Z205" s="147"/>
      <c r="AA205" s="147"/>
      <c r="AB205" s="147"/>
      <c r="AC205" s="147"/>
      <c r="AD205" s="147"/>
      <c r="AE205" s="147"/>
      <c r="AF205" s="154">
        <f>EXP(LN('Données projet'!B62)/'Données projet'!A62)</f>
        <v>1.244502252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53">
        <f>EXP(LN('Données projet'!B88)/'Données projet'!A88)</f>
        <v>1.179064602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53">
        <f>EXP(LN('Données projet'!B114)/'Données projet'!A114)</f>
        <v>1.248754891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53">
        <f>EXP(LN('Données projet'!B140)/'Données projet'!A140)</f>
        <v>1.145736768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53">
        <f>EXP(LN('Données projet'!B166)/'Données projet'!A166)</f>
        <v>1.205486815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53">
        <f>EXP(LN('Données projet'!B192)/'Données projet'!A192)</f>
        <v>1.158997234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53">
        <f>EXP(LN('Données projet'!B218)/'Données projet'!A218)</f>
        <v>1.370477457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53">
        <f>EXP(LN('Données projet'!B244)/'Données projet'!A244)</f>
        <v>1.189207115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53">
        <f>EXP(LN('Données projet'!B270)/'Données projet'!A270)</f>
        <v>1.145736768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55" t="s">
        <v>128</v>
      </c>
      <c r="B1" s="156" t="s">
        <v>129</v>
      </c>
      <c r="C1" s="157" t="s">
        <v>130</v>
      </c>
      <c r="D1" s="156" t="s">
        <v>131</v>
      </c>
      <c r="E1" s="157" t="s">
        <v>132</v>
      </c>
      <c r="F1" s="157" t="s">
        <v>131</v>
      </c>
      <c r="G1" s="157" t="s">
        <v>133</v>
      </c>
      <c r="H1" s="157" t="s">
        <v>131</v>
      </c>
      <c r="I1" s="158" t="s">
        <v>134</v>
      </c>
      <c r="J1" s="40"/>
      <c r="K1" s="40"/>
      <c r="L1" s="40"/>
      <c r="M1" s="40"/>
      <c r="N1" s="4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59" t="s">
        <v>135</v>
      </c>
      <c r="B2" s="160" t="s">
        <v>136</v>
      </c>
      <c r="C2" s="161">
        <v>0.62</v>
      </c>
      <c r="D2" s="161" t="s">
        <v>137</v>
      </c>
      <c r="E2" s="161">
        <v>1.56</v>
      </c>
      <c r="F2" s="161" t="s">
        <v>138</v>
      </c>
      <c r="G2" s="162">
        <v>0.43</v>
      </c>
      <c r="H2" s="163" t="s">
        <v>139</v>
      </c>
      <c r="I2" s="164">
        <v>0.25</v>
      </c>
      <c r="J2" s="40"/>
      <c r="K2" s="40"/>
      <c r="L2" s="40"/>
      <c r="M2" s="40"/>
      <c r="N2" s="40"/>
      <c r="O2" s="165" t="s">
        <v>140</v>
      </c>
      <c r="P2" s="166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67" t="s">
        <v>141</v>
      </c>
      <c r="B3" s="168" t="s">
        <v>142</v>
      </c>
      <c r="C3" s="169">
        <v>0.64</v>
      </c>
      <c r="D3" s="169" t="s">
        <v>137</v>
      </c>
      <c r="E3" s="169">
        <v>1.56</v>
      </c>
      <c r="F3" s="170" t="s">
        <v>138</v>
      </c>
      <c r="G3" s="171">
        <v>0.43</v>
      </c>
      <c r="H3" s="169" t="s">
        <v>139</v>
      </c>
      <c r="I3" s="172">
        <v>0.25</v>
      </c>
      <c r="J3" s="40"/>
      <c r="K3" s="40"/>
      <c r="L3" s="40"/>
      <c r="M3" s="40"/>
      <c r="N3" s="40"/>
      <c r="O3" s="173"/>
      <c r="P3" s="174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67" t="s">
        <v>143</v>
      </c>
      <c r="B4" s="168" t="s">
        <v>144</v>
      </c>
      <c r="C4" s="169">
        <v>0.42</v>
      </c>
      <c r="D4" s="169" t="s">
        <v>137</v>
      </c>
      <c r="E4" s="169">
        <v>1.56</v>
      </c>
      <c r="F4" s="170" t="s">
        <v>138</v>
      </c>
      <c r="G4" s="171">
        <v>0.43</v>
      </c>
      <c r="H4" s="169" t="s">
        <v>139</v>
      </c>
      <c r="I4" s="172">
        <v>0.25</v>
      </c>
      <c r="J4" s="40"/>
      <c r="K4" s="40"/>
      <c r="L4" s="40"/>
      <c r="M4" s="40"/>
      <c r="N4" s="4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67" t="s">
        <v>145</v>
      </c>
      <c r="B5" s="168" t="s">
        <v>146</v>
      </c>
      <c r="C5" s="169">
        <v>0.42</v>
      </c>
      <c r="D5" s="169" t="s">
        <v>137</v>
      </c>
      <c r="E5" s="169">
        <v>1.56</v>
      </c>
      <c r="F5" s="170" t="s">
        <v>138</v>
      </c>
      <c r="G5" s="171">
        <v>0.43</v>
      </c>
      <c r="H5" s="169" t="s">
        <v>139</v>
      </c>
      <c r="I5" s="172">
        <v>0.25</v>
      </c>
      <c r="J5" s="40"/>
      <c r="K5" s="40"/>
      <c r="L5" s="40"/>
      <c r="M5" s="40"/>
      <c r="N5" s="40"/>
      <c r="O5" s="165" t="s">
        <v>147</v>
      </c>
      <c r="P5" s="166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67" t="s">
        <v>148</v>
      </c>
      <c r="B6" s="168" t="s">
        <v>149</v>
      </c>
      <c r="C6" s="169">
        <v>0.42</v>
      </c>
      <c r="D6" s="169" t="s">
        <v>137</v>
      </c>
      <c r="E6" s="169">
        <v>1.56</v>
      </c>
      <c r="F6" s="170" t="s">
        <v>138</v>
      </c>
      <c r="G6" s="171">
        <v>0.43</v>
      </c>
      <c r="H6" s="169" t="s">
        <v>139</v>
      </c>
      <c r="I6" s="172">
        <v>0.25</v>
      </c>
      <c r="J6" s="40"/>
      <c r="K6" s="40"/>
      <c r="L6" s="40"/>
      <c r="M6" s="40"/>
      <c r="N6" s="40"/>
      <c r="O6" s="175"/>
      <c r="P6" s="176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67" t="s">
        <v>150</v>
      </c>
      <c r="B7" s="168" t="s">
        <v>151</v>
      </c>
      <c r="C7" s="169">
        <v>0.52</v>
      </c>
      <c r="D7" s="169" t="s">
        <v>137</v>
      </c>
      <c r="E7" s="169">
        <v>1.56</v>
      </c>
      <c r="F7" s="170" t="s">
        <v>138</v>
      </c>
      <c r="G7" s="171">
        <v>0.43</v>
      </c>
      <c r="H7" s="169" t="s">
        <v>139</v>
      </c>
      <c r="I7" s="172">
        <v>0.25</v>
      </c>
      <c r="J7" s="40"/>
      <c r="K7" s="40"/>
      <c r="L7" s="40"/>
      <c r="M7" s="40"/>
      <c r="N7" s="40"/>
      <c r="O7" s="175"/>
      <c r="P7" s="176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7" t="s">
        <v>21</v>
      </c>
      <c r="B8" s="168" t="s">
        <v>152</v>
      </c>
      <c r="C8" s="169">
        <v>0.36</v>
      </c>
      <c r="D8" s="169" t="s">
        <v>137</v>
      </c>
      <c r="E8" s="169">
        <v>1.3</v>
      </c>
      <c r="F8" s="170" t="s">
        <v>138</v>
      </c>
      <c r="G8" s="171">
        <v>0.55</v>
      </c>
      <c r="H8" s="169" t="s">
        <v>153</v>
      </c>
      <c r="I8" s="172">
        <v>0.43</v>
      </c>
      <c r="J8" s="40"/>
      <c r="K8" s="40"/>
      <c r="L8" s="40"/>
      <c r="M8" s="40"/>
      <c r="N8" s="40"/>
      <c r="O8" s="173"/>
      <c r="P8" s="174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67" t="s">
        <v>154</v>
      </c>
      <c r="B9" s="168" t="s">
        <v>155</v>
      </c>
      <c r="C9" s="169">
        <v>0.61</v>
      </c>
      <c r="D9" s="169" t="s">
        <v>137</v>
      </c>
      <c r="E9" s="169">
        <v>1.56</v>
      </c>
      <c r="F9" s="170" t="s">
        <v>138</v>
      </c>
      <c r="G9" s="171">
        <v>0.43</v>
      </c>
      <c r="H9" s="169" t="s">
        <v>139</v>
      </c>
      <c r="I9" s="172">
        <v>0.25</v>
      </c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67" t="s">
        <v>156</v>
      </c>
      <c r="B10" s="168" t="s">
        <v>157</v>
      </c>
      <c r="C10" s="169">
        <v>0.66</v>
      </c>
      <c r="D10" s="169" t="s">
        <v>137</v>
      </c>
      <c r="E10" s="169">
        <v>1.56</v>
      </c>
      <c r="F10" s="170" t="s">
        <v>138</v>
      </c>
      <c r="G10" s="171">
        <v>0.43</v>
      </c>
      <c r="H10" s="169" t="s">
        <v>139</v>
      </c>
      <c r="I10" s="172">
        <v>0.25</v>
      </c>
      <c r="J10" s="40"/>
      <c r="K10" s="40"/>
      <c r="L10" s="40"/>
      <c r="M10" s="40"/>
      <c r="N10" s="40"/>
      <c r="O10" s="165" t="s">
        <v>158</v>
      </c>
      <c r="P10" s="166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67" t="s">
        <v>29</v>
      </c>
      <c r="B11" s="168" t="s">
        <v>159</v>
      </c>
      <c r="C11" s="169">
        <v>0.47</v>
      </c>
      <c r="D11" s="169" t="s">
        <v>137</v>
      </c>
      <c r="E11" s="169">
        <v>1.56</v>
      </c>
      <c r="F11" s="170" t="s">
        <v>138</v>
      </c>
      <c r="G11" s="171">
        <v>0.43</v>
      </c>
      <c r="H11" s="169" t="s">
        <v>139</v>
      </c>
      <c r="I11" s="172">
        <v>0.25</v>
      </c>
      <c r="J11" s="40"/>
      <c r="K11" s="40"/>
      <c r="L11" s="40"/>
      <c r="M11" s="40"/>
      <c r="N11" s="40"/>
      <c r="O11" s="173"/>
      <c r="P11" s="174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67" t="s">
        <v>160</v>
      </c>
      <c r="B12" s="168" t="s">
        <v>161</v>
      </c>
      <c r="C12" s="169">
        <v>0.67</v>
      </c>
      <c r="D12" s="169" t="s">
        <v>137</v>
      </c>
      <c r="E12" s="169">
        <v>1.56</v>
      </c>
      <c r="F12" s="170" t="s">
        <v>138</v>
      </c>
      <c r="G12" s="171">
        <v>0.43</v>
      </c>
      <c r="H12" s="169" t="s">
        <v>162</v>
      </c>
      <c r="I12" s="172">
        <v>0.25</v>
      </c>
      <c r="J12" s="40"/>
      <c r="K12" s="40"/>
      <c r="L12" s="40"/>
      <c r="M12" s="40"/>
      <c r="N12" s="4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67" t="s">
        <v>163</v>
      </c>
      <c r="B13" s="168" t="s">
        <v>164</v>
      </c>
      <c r="C13" s="169">
        <v>0.7</v>
      </c>
      <c r="D13" s="169" t="s">
        <v>137</v>
      </c>
      <c r="E13" s="169">
        <v>1.56</v>
      </c>
      <c r="F13" s="170" t="s">
        <v>138</v>
      </c>
      <c r="G13" s="171">
        <v>0.43</v>
      </c>
      <c r="H13" s="169" t="s">
        <v>162</v>
      </c>
      <c r="I13" s="172">
        <v>0.25</v>
      </c>
      <c r="J13" s="40"/>
      <c r="K13" s="40"/>
      <c r="L13" s="40"/>
      <c r="M13" s="40"/>
      <c r="N13" s="4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67" t="s">
        <v>165</v>
      </c>
      <c r="B14" s="168" t="s">
        <v>166</v>
      </c>
      <c r="C14" s="169">
        <v>0.54</v>
      </c>
      <c r="D14" s="169" t="s">
        <v>137</v>
      </c>
      <c r="E14" s="169">
        <v>1.56</v>
      </c>
      <c r="F14" s="170" t="s">
        <v>138</v>
      </c>
      <c r="G14" s="171">
        <v>0.43</v>
      </c>
      <c r="H14" s="169" t="s">
        <v>162</v>
      </c>
      <c r="I14" s="172">
        <v>0.25</v>
      </c>
      <c r="J14" s="40"/>
      <c r="K14" s="40"/>
      <c r="L14" s="40"/>
      <c r="M14" s="40"/>
      <c r="N14" s="4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67" t="s">
        <v>25</v>
      </c>
      <c r="B15" s="168" t="s">
        <v>167</v>
      </c>
      <c r="C15" s="169">
        <v>0.65</v>
      </c>
      <c r="D15" s="169" t="s">
        <v>137</v>
      </c>
      <c r="E15" s="169">
        <v>1.56</v>
      </c>
      <c r="F15" s="170" t="s">
        <v>138</v>
      </c>
      <c r="G15" s="171">
        <v>0.43</v>
      </c>
      <c r="H15" s="169" t="s">
        <v>162</v>
      </c>
      <c r="I15" s="172">
        <v>0.25</v>
      </c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67" t="s">
        <v>168</v>
      </c>
      <c r="B16" s="168" t="s">
        <v>169</v>
      </c>
      <c r="C16" s="169">
        <v>0.56</v>
      </c>
      <c r="D16" s="169" t="s">
        <v>137</v>
      </c>
      <c r="E16" s="169">
        <v>1.56</v>
      </c>
      <c r="F16" s="170" t="s">
        <v>138</v>
      </c>
      <c r="G16" s="171">
        <v>0.43</v>
      </c>
      <c r="H16" s="169" t="s">
        <v>162</v>
      </c>
      <c r="I16" s="172">
        <v>0.25</v>
      </c>
      <c r="J16" s="40"/>
      <c r="K16" s="40"/>
      <c r="L16" s="40"/>
      <c r="M16" s="40"/>
      <c r="N16" s="4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67" t="s">
        <v>27</v>
      </c>
      <c r="B17" s="168" t="s">
        <v>170</v>
      </c>
      <c r="C17" s="169">
        <v>0.58</v>
      </c>
      <c r="D17" s="169" t="s">
        <v>137</v>
      </c>
      <c r="E17" s="169">
        <v>1.56</v>
      </c>
      <c r="F17" s="170" t="s">
        <v>138</v>
      </c>
      <c r="G17" s="171">
        <v>0.43</v>
      </c>
      <c r="H17" s="169" t="s">
        <v>162</v>
      </c>
      <c r="I17" s="172">
        <v>0.25</v>
      </c>
      <c r="J17" s="40"/>
      <c r="K17" s="40"/>
      <c r="L17" s="40"/>
      <c r="M17" s="40"/>
      <c r="N17" s="4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67" t="s">
        <v>171</v>
      </c>
      <c r="B18" s="168" t="s">
        <v>172</v>
      </c>
      <c r="C18" s="169">
        <v>0.64</v>
      </c>
      <c r="D18" s="169" t="s">
        <v>137</v>
      </c>
      <c r="E18" s="169">
        <v>1.56</v>
      </c>
      <c r="F18" s="170" t="s">
        <v>138</v>
      </c>
      <c r="G18" s="171">
        <v>0.43</v>
      </c>
      <c r="H18" s="169" t="s">
        <v>162</v>
      </c>
      <c r="I18" s="172">
        <v>0.25</v>
      </c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67" t="s">
        <v>173</v>
      </c>
      <c r="B19" s="168" t="s">
        <v>174</v>
      </c>
      <c r="C19" s="169">
        <v>0.73</v>
      </c>
      <c r="D19" s="169" t="s">
        <v>137</v>
      </c>
      <c r="E19" s="169">
        <v>1.56</v>
      </c>
      <c r="F19" s="170" t="s">
        <v>138</v>
      </c>
      <c r="G19" s="171">
        <v>0.43</v>
      </c>
      <c r="H19" s="169" t="s">
        <v>162</v>
      </c>
      <c r="I19" s="172">
        <v>0.25</v>
      </c>
      <c r="J19" s="40"/>
      <c r="K19" s="40"/>
      <c r="L19" s="40"/>
      <c r="M19" s="40"/>
      <c r="N19" s="4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67" t="s">
        <v>35</v>
      </c>
      <c r="B20" s="168" t="s">
        <v>175</v>
      </c>
      <c r="C20" s="169">
        <v>0.69</v>
      </c>
      <c r="D20" s="169" t="s">
        <v>176</v>
      </c>
      <c r="E20" s="169">
        <v>1.56</v>
      </c>
      <c r="F20" s="170" t="s">
        <v>138</v>
      </c>
      <c r="G20" s="171">
        <v>0.43</v>
      </c>
      <c r="H20" s="169" t="s">
        <v>177</v>
      </c>
      <c r="I20" s="172">
        <v>0.25</v>
      </c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67" t="s">
        <v>178</v>
      </c>
      <c r="B21" s="168" t="s">
        <v>179</v>
      </c>
      <c r="C21" s="169">
        <v>0.36</v>
      </c>
      <c r="D21" s="169" t="s">
        <v>137</v>
      </c>
      <c r="E21" s="169">
        <v>1.3</v>
      </c>
      <c r="F21" s="170" t="s">
        <v>138</v>
      </c>
      <c r="G21" s="171">
        <v>0.55</v>
      </c>
      <c r="H21" s="169" t="s">
        <v>153</v>
      </c>
      <c r="I21" s="172">
        <v>0.43</v>
      </c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67" t="s">
        <v>180</v>
      </c>
      <c r="B22" s="168" t="s">
        <v>181</v>
      </c>
      <c r="C22" s="169">
        <v>0.4</v>
      </c>
      <c r="D22" s="169" t="s">
        <v>137</v>
      </c>
      <c r="E22" s="169">
        <v>1.3</v>
      </c>
      <c r="F22" s="170" t="s">
        <v>138</v>
      </c>
      <c r="G22" s="171">
        <v>0.55</v>
      </c>
      <c r="H22" s="169" t="s">
        <v>153</v>
      </c>
      <c r="I22" s="172">
        <v>0.43</v>
      </c>
      <c r="J22" s="40"/>
      <c r="K22" s="40"/>
      <c r="L22" s="40"/>
      <c r="M22" s="40"/>
      <c r="N22" s="4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67" t="s">
        <v>182</v>
      </c>
      <c r="B23" s="168" t="s">
        <v>183</v>
      </c>
      <c r="C23" s="169">
        <v>0.43</v>
      </c>
      <c r="D23" s="169" t="s">
        <v>137</v>
      </c>
      <c r="E23" s="169">
        <v>1.3</v>
      </c>
      <c r="F23" s="170" t="s">
        <v>138</v>
      </c>
      <c r="G23" s="171">
        <v>0.55</v>
      </c>
      <c r="H23" s="169" t="s">
        <v>153</v>
      </c>
      <c r="I23" s="172">
        <v>0.43</v>
      </c>
      <c r="J23" s="40"/>
      <c r="K23" s="40"/>
      <c r="L23" s="40"/>
      <c r="M23" s="40"/>
      <c r="N23" s="4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67" t="s">
        <v>184</v>
      </c>
      <c r="B24" s="168" t="s">
        <v>185</v>
      </c>
      <c r="C24" s="169">
        <v>0.37</v>
      </c>
      <c r="D24" s="169" t="s">
        <v>137</v>
      </c>
      <c r="E24" s="169">
        <v>1.3</v>
      </c>
      <c r="F24" s="170" t="s">
        <v>138</v>
      </c>
      <c r="G24" s="171">
        <v>0.55</v>
      </c>
      <c r="H24" s="169" t="s">
        <v>162</v>
      </c>
      <c r="I24" s="172">
        <v>0.43</v>
      </c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67" t="s">
        <v>186</v>
      </c>
      <c r="B25" s="168" t="s">
        <v>187</v>
      </c>
      <c r="C25" s="169">
        <v>0.36</v>
      </c>
      <c r="D25" s="169" t="s">
        <v>137</v>
      </c>
      <c r="E25" s="169">
        <v>1.3</v>
      </c>
      <c r="F25" s="170" t="s">
        <v>138</v>
      </c>
      <c r="G25" s="171">
        <v>0.55</v>
      </c>
      <c r="H25" s="169" t="s">
        <v>162</v>
      </c>
      <c r="I25" s="172">
        <v>0.43</v>
      </c>
      <c r="J25" s="40"/>
      <c r="K25" s="40"/>
      <c r="L25" s="40"/>
      <c r="M25" s="40"/>
      <c r="N25" s="4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67" t="s">
        <v>188</v>
      </c>
      <c r="B26" s="168" t="s">
        <v>189</v>
      </c>
      <c r="C26" s="169">
        <v>0.56</v>
      </c>
      <c r="D26" s="169" t="s">
        <v>137</v>
      </c>
      <c r="E26" s="169">
        <v>1.56</v>
      </c>
      <c r="F26" s="170" t="s">
        <v>138</v>
      </c>
      <c r="G26" s="171">
        <v>0.53</v>
      </c>
      <c r="H26" s="169" t="s">
        <v>190</v>
      </c>
      <c r="I26" s="172">
        <v>0.25</v>
      </c>
      <c r="J26" s="40"/>
      <c r="K26" s="40"/>
      <c r="L26" s="40"/>
      <c r="M26" s="40"/>
      <c r="N26" s="4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67" t="s">
        <v>191</v>
      </c>
      <c r="B27" s="168" t="s">
        <v>192</v>
      </c>
      <c r="C27" s="169">
        <v>0.51</v>
      </c>
      <c r="D27" s="169" t="s">
        <v>137</v>
      </c>
      <c r="E27" s="169">
        <v>1.56</v>
      </c>
      <c r="F27" s="170" t="s">
        <v>138</v>
      </c>
      <c r="G27" s="171">
        <v>0.53</v>
      </c>
      <c r="H27" s="169" t="s">
        <v>190</v>
      </c>
      <c r="I27" s="172">
        <v>0.25</v>
      </c>
      <c r="J27" s="40"/>
      <c r="K27" s="40"/>
      <c r="L27" s="40"/>
      <c r="M27" s="40"/>
      <c r="N27" s="4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67" t="s">
        <v>193</v>
      </c>
      <c r="B28" s="168" t="s">
        <v>194</v>
      </c>
      <c r="C28" s="169">
        <v>0.51</v>
      </c>
      <c r="D28" s="169" t="s">
        <v>137</v>
      </c>
      <c r="E28" s="169">
        <v>1.56</v>
      </c>
      <c r="F28" s="170" t="s">
        <v>138</v>
      </c>
      <c r="G28" s="171">
        <v>0.53</v>
      </c>
      <c r="H28" s="169" t="s">
        <v>190</v>
      </c>
      <c r="I28" s="172">
        <v>0.25</v>
      </c>
      <c r="J28" s="40"/>
      <c r="K28" s="40"/>
      <c r="L28" s="40"/>
      <c r="M28" s="40"/>
      <c r="N28" s="4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67" t="s">
        <v>195</v>
      </c>
      <c r="B29" s="168" t="s">
        <v>195</v>
      </c>
      <c r="C29" s="169">
        <v>0.56</v>
      </c>
      <c r="D29" s="169" t="s">
        <v>137</v>
      </c>
      <c r="E29" s="169">
        <v>1.56</v>
      </c>
      <c r="F29" s="170" t="s">
        <v>138</v>
      </c>
      <c r="G29" s="171">
        <v>0.53</v>
      </c>
      <c r="H29" s="169" t="s">
        <v>190</v>
      </c>
      <c r="I29" s="172">
        <v>0.25</v>
      </c>
      <c r="J29" s="40"/>
      <c r="K29" s="40"/>
      <c r="L29" s="40"/>
      <c r="M29" s="40"/>
      <c r="N29" s="4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67" t="s">
        <v>196</v>
      </c>
      <c r="B30" s="168" t="s">
        <v>197</v>
      </c>
      <c r="C30" s="169">
        <v>0.55</v>
      </c>
      <c r="D30" s="169" t="s">
        <v>137</v>
      </c>
      <c r="E30" s="169">
        <v>1.56</v>
      </c>
      <c r="F30" s="170" t="s">
        <v>138</v>
      </c>
      <c r="G30" s="171">
        <v>0.53</v>
      </c>
      <c r="H30" s="169" t="s">
        <v>162</v>
      </c>
      <c r="I30" s="172">
        <v>0.25</v>
      </c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67" t="s">
        <v>198</v>
      </c>
      <c r="B31" s="168" t="s">
        <v>199</v>
      </c>
      <c r="C31" s="169">
        <v>0.56</v>
      </c>
      <c r="D31" s="169" t="s">
        <v>137</v>
      </c>
      <c r="E31" s="169">
        <v>1.56</v>
      </c>
      <c r="F31" s="170" t="s">
        <v>138</v>
      </c>
      <c r="G31" s="171">
        <v>0.43</v>
      </c>
      <c r="H31" s="169" t="s">
        <v>139</v>
      </c>
      <c r="I31" s="172">
        <v>0.25</v>
      </c>
      <c r="J31" s="40"/>
      <c r="K31" s="40"/>
      <c r="L31" s="40"/>
      <c r="M31" s="40"/>
      <c r="N31" s="4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67" t="s">
        <v>200</v>
      </c>
      <c r="B32" s="168" t="s">
        <v>201</v>
      </c>
      <c r="C32" s="169">
        <v>0.48</v>
      </c>
      <c r="D32" s="169" t="s">
        <v>137</v>
      </c>
      <c r="E32" s="169">
        <v>1.3</v>
      </c>
      <c r="F32" s="170" t="s">
        <v>138</v>
      </c>
      <c r="G32" s="171">
        <v>0.6</v>
      </c>
      <c r="H32" s="169" t="s">
        <v>202</v>
      </c>
      <c r="I32" s="172">
        <v>0.43</v>
      </c>
      <c r="J32" s="40"/>
      <c r="K32" s="40"/>
      <c r="L32" s="40"/>
      <c r="M32" s="40"/>
      <c r="N32" s="4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67" t="s">
        <v>203</v>
      </c>
      <c r="B33" s="168" t="s">
        <v>204</v>
      </c>
      <c r="C33" s="169">
        <v>0.42</v>
      </c>
      <c r="D33" s="169" t="s">
        <v>137</v>
      </c>
      <c r="E33" s="169">
        <v>1.3</v>
      </c>
      <c r="F33" s="170" t="s">
        <v>138</v>
      </c>
      <c r="G33" s="171">
        <v>0.6</v>
      </c>
      <c r="H33" s="169" t="s">
        <v>205</v>
      </c>
      <c r="I33" s="172">
        <v>0.43</v>
      </c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67" t="s">
        <v>206</v>
      </c>
      <c r="B34" s="168" t="s">
        <v>207</v>
      </c>
      <c r="C34" s="169">
        <v>0.42</v>
      </c>
      <c r="D34" s="169" t="s">
        <v>208</v>
      </c>
      <c r="E34" s="169">
        <v>1.3</v>
      </c>
      <c r="F34" s="170" t="s">
        <v>138</v>
      </c>
      <c r="G34" s="171">
        <v>0.6</v>
      </c>
      <c r="H34" s="168" t="s">
        <v>209</v>
      </c>
      <c r="I34" s="172">
        <v>0.43</v>
      </c>
      <c r="J34" s="40"/>
      <c r="K34" s="40"/>
      <c r="L34" s="40"/>
      <c r="M34" s="40"/>
      <c r="N34" s="4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67" t="s">
        <v>210</v>
      </c>
      <c r="B35" s="168" t="s">
        <v>211</v>
      </c>
      <c r="C35" s="169">
        <v>0.5</v>
      </c>
      <c r="D35" s="169" t="s">
        <v>137</v>
      </c>
      <c r="E35" s="169">
        <v>1.56</v>
      </c>
      <c r="F35" s="170" t="s">
        <v>138</v>
      </c>
      <c r="G35" s="171">
        <v>0.43</v>
      </c>
      <c r="H35" s="169" t="s">
        <v>139</v>
      </c>
      <c r="I35" s="172">
        <v>0.25</v>
      </c>
      <c r="J35" s="40"/>
      <c r="K35" s="40"/>
      <c r="L35" s="40"/>
      <c r="M35" s="40"/>
      <c r="N35" s="4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67" t="s">
        <v>212</v>
      </c>
      <c r="B36" s="168" t="s">
        <v>213</v>
      </c>
      <c r="C36" s="169">
        <v>0.55</v>
      </c>
      <c r="D36" s="169" t="s">
        <v>137</v>
      </c>
      <c r="E36" s="169">
        <v>1.56</v>
      </c>
      <c r="F36" s="170" t="s">
        <v>138</v>
      </c>
      <c r="G36" s="171">
        <v>0.53</v>
      </c>
      <c r="H36" s="169" t="s">
        <v>190</v>
      </c>
      <c r="I36" s="172">
        <v>0.25</v>
      </c>
      <c r="J36" s="40"/>
      <c r="K36" s="40"/>
      <c r="L36" s="40"/>
      <c r="M36" s="40"/>
      <c r="N36" s="4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67" t="s">
        <v>214</v>
      </c>
      <c r="B37" s="168" t="s">
        <v>215</v>
      </c>
      <c r="C37" s="169">
        <v>0.52</v>
      </c>
      <c r="D37" s="169" t="s">
        <v>137</v>
      </c>
      <c r="E37" s="169">
        <v>1.56</v>
      </c>
      <c r="F37" s="170" t="s">
        <v>138</v>
      </c>
      <c r="G37" s="171">
        <v>0.53</v>
      </c>
      <c r="H37" s="169" t="s">
        <v>190</v>
      </c>
      <c r="I37" s="172">
        <v>0.25</v>
      </c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67" t="s">
        <v>216</v>
      </c>
      <c r="B38" s="168" t="s">
        <v>217</v>
      </c>
      <c r="C38" s="169">
        <v>0.52</v>
      </c>
      <c r="D38" s="169" t="s">
        <v>137</v>
      </c>
      <c r="E38" s="169">
        <v>1.56</v>
      </c>
      <c r="F38" s="170" t="s">
        <v>138</v>
      </c>
      <c r="G38" s="171">
        <v>0.43</v>
      </c>
      <c r="H38" s="169" t="s">
        <v>139</v>
      </c>
      <c r="I38" s="172">
        <v>0.25</v>
      </c>
      <c r="J38" s="40"/>
      <c r="K38" s="40"/>
      <c r="L38" s="40"/>
      <c r="M38" s="40"/>
      <c r="N38" s="4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67" t="s">
        <v>218</v>
      </c>
      <c r="B39" s="168" t="s">
        <v>219</v>
      </c>
      <c r="C39" s="169">
        <v>0.313</v>
      </c>
      <c r="D39" s="169" t="s">
        <v>220</v>
      </c>
      <c r="E39" s="169">
        <v>1.56</v>
      </c>
      <c r="F39" s="170" t="s">
        <v>138</v>
      </c>
      <c r="G39" s="171">
        <v>0.6</v>
      </c>
      <c r="H39" s="169" t="s">
        <v>221</v>
      </c>
      <c r="I39" s="172">
        <v>1.03</v>
      </c>
      <c r="J39" s="40"/>
      <c r="K39" s="40"/>
      <c r="L39" s="40"/>
      <c r="M39" s="40"/>
      <c r="N39" s="4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67" t="s">
        <v>222</v>
      </c>
      <c r="B40" s="168" t="s">
        <v>219</v>
      </c>
      <c r="C40" s="169">
        <v>0.352</v>
      </c>
      <c r="D40" s="169" t="s">
        <v>220</v>
      </c>
      <c r="E40" s="169">
        <v>1.56</v>
      </c>
      <c r="F40" s="170" t="s">
        <v>138</v>
      </c>
      <c r="G40" s="171">
        <v>0.6</v>
      </c>
      <c r="H40" s="169" t="s">
        <v>221</v>
      </c>
      <c r="I40" s="172">
        <v>1.03</v>
      </c>
      <c r="J40" s="40"/>
      <c r="K40" s="40"/>
      <c r="L40" s="40"/>
      <c r="M40" s="40"/>
      <c r="N40" s="4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67" t="s">
        <v>223</v>
      </c>
      <c r="B41" s="168" t="s">
        <v>219</v>
      </c>
      <c r="C41" s="169">
        <v>0.322</v>
      </c>
      <c r="D41" s="169" t="s">
        <v>220</v>
      </c>
      <c r="E41" s="169">
        <v>1.56</v>
      </c>
      <c r="F41" s="170" t="s">
        <v>138</v>
      </c>
      <c r="G41" s="171">
        <v>0.6</v>
      </c>
      <c r="H41" s="169" t="s">
        <v>221</v>
      </c>
      <c r="I41" s="172">
        <v>1.03</v>
      </c>
      <c r="J41" s="40"/>
      <c r="K41" s="40"/>
      <c r="L41" s="40"/>
      <c r="M41" s="40"/>
      <c r="N41" s="4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67" t="s">
        <v>224</v>
      </c>
      <c r="B42" s="168" t="s">
        <v>219</v>
      </c>
      <c r="C42" s="169">
        <v>0.311</v>
      </c>
      <c r="D42" s="169" t="s">
        <v>220</v>
      </c>
      <c r="E42" s="169">
        <v>1.56</v>
      </c>
      <c r="F42" s="170" t="s">
        <v>138</v>
      </c>
      <c r="G42" s="171">
        <v>0.6</v>
      </c>
      <c r="H42" s="169" t="s">
        <v>221</v>
      </c>
      <c r="I42" s="172">
        <v>1.03</v>
      </c>
      <c r="J42" s="40"/>
      <c r="K42" s="40"/>
      <c r="L42" s="40"/>
      <c r="M42" s="40"/>
      <c r="N42" s="4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67" t="s">
        <v>225</v>
      </c>
      <c r="B43" s="168" t="s">
        <v>219</v>
      </c>
      <c r="C43" s="169">
        <v>0.339</v>
      </c>
      <c r="D43" s="169" t="s">
        <v>220</v>
      </c>
      <c r="E43" s="169">
        <v>1.56</v>
      </c>
      <c r="F43" s="170" t="s">
        <v>138</v>
      </c>
      <c r="G43" s="171">
        <v>0.6</v>
      </c>
      <c r="H43" s="169" t="s">
        <v>221</v>
      </c>
      <c r="I43" s="172">
        <v>1.03</v>
      </c>
      <c r="J43" s="40"/>
      <c r="K43" s="40"/>
      <c r="L43" s="40"/>
      <c r="M43" s="40"/>
      <c r="N43" s="40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67" t="s">
        <v>226</v>
      </c>
      <c r="B44" s="168" t="s">
        <v>219</v>
      </c>
      <c r="C44" s="169">
        <v>0.336</v>
      </c>
      <c r="D44" s="169" t="s">
        <v>220</v>
      </c>
      <c r="E44" s="169">
        <v>1.56</v>
      </c>
      <c r="F44" s="170" t="s">
        <v>138</v>
      </c>
      <c r="G44" s="171">
        <v>0.6</v>
      </c>
      <c r="H44" s="169" t="s">
        <v>221</v>
      </c>
      <c r="I44" s="172">
        <v>1.03</v>
      </c>
      <c r="J44" s="40"/>
      <c r="K44" s="40"/>
      <c r="L44" s="40"/>
      <c r="M44" s="40"/>
      <c r="N44" s="4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67" t="s">
        <v>227</v>
      </c>
      <c r="B45" s="168" t="s">
        <v>219</v>
      </c>
      <c r="C45" s="169">
        <v>0.329</v>
      </c>
      <c r="D45" s="169" t="s">
        <v>220</v>
      </c>
      <c r="E45" s="169">
        <v>1.56</v>
      </c>
      <c r="F45" s="170" t="s">
        <v>138</v>
      </c>
      <c r="G45" s="171">
        <v>0.6</v>
      </c>
      <c r="H45" s="169" t="s">
        <v>221</v>
      </c>
      <c r="I45" s="172">
        <v>1.03</v>
      </c>
      <c r="J45" s="40"/>
      <c r="K45" s="40"/>
      <c r="L45" s="40"/>
      <c r="M45" s="40"/>
      <c r="N45" s="40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67" t="s">
        <v>228</v>
      </c>
      <c r="B46" s="168" t="s">
        <v>219</v>
      </c>
      <c r="C46" s="169">
        <v>0.343</v>
      </c>
      <c r="D46" s="169" t="s">
        <v>220</v>
      </c>
      <c r="E46" s="169">
        <v>1.56</v>
      </c>
      <c r="F46" s="170" t="s">
        <v>138</v>
      </c>
      <c r="G46" s="171">
        <v>0.6</v>
      </c>
      <c r="H46" s="169" t="s">
        <v>221</v>
      </c>
      <c r="I46" s="172">
        <v>1.03</v>
      </c>
      <c r="J46" s="40"/>
      <c r="K46" s="40"/>
      <c r="L46" s="40"/>
      <c r="M46" s="40"/>
      <c r="N46" s="4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67" t="s">
        <v>229</v>
      </c>
      <c r="B47" s="168" t="s">
        <v>219</v>
      </c>
      <c r="C47" s="169">
        <v>0.325</v>
      </c>
      <c r="D47" s="169" t="s">
        <v>220</v>
      </c>
      <c r="E47" s="169">
        <v>1.56</v>
      </c>
      <c r="F47" s="170" t="s">
        <v>138</v>
      </c>
      <c r="G47" s="171">
        <v>0.6</v>
      </c>
      <c r="H47" s="169" t="s">
        <v>221</v>
      </c>
      <c r="I47" s="172">
        <v>1.03</v>
      </c>
      <c r="J47" s="40"/>
      <c r="K47" s="40"/>
      <c r="L47" s="40"/>
      <c r="M47" s="40"/>
      <c r="N47" s="4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67" t="s">
        <v>230</v>
      </c>
      <c r="B48" s="168" t="s">
        <v>219</v>
      </c>
      <c r="C48" s="169">
        <v>0.32</v>
      </c>
      <c r="D48" s="169" t="s">
        <v>220</v>
      </c>
      <c r="E48" s="169">
        <v>1.56</v>
      </c>
      <c r="F48" s="170" t="s">
        <v>138</v>
      </c>
      <c r="G48" s="171">
        <v>0.6</v>
      </c>
      <c r="H48" s="169" t="s">
        <v>221</v>
      </c>
      <c r="I48" s="172">
        <v>1.03</v>
      </c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67" t="s">
        <v>231</v>
      </c>
      <c r="B49" s="168" t="s">
        <v>219</v>
      </c>
      <c r="C49" s="169">
        <v>0.282</v>
      </c>
      <c r="D49" s="169" t="s">
        <v>220</v>
      </c>
      <c r="E49" s="169">
        <v>1.56</v>
      </c>
      <c r="F49" s="170" t="s">
        <v>138</v>
      </c>
      <c r="G49" s="171">
        <v>0.6</v>
      </c>
      <c r="H49" s="169" t="s">
        <v>221</v>
      </c>
      <c r="I49" s="172">
        <v>1.03</v>
      </c>
      <c r="J49" s="40"/>
      <c r="K49" s="40"/>
      <c r="L49" s="40"/>
      <c r="M49" s="40"/>
      <c r="N49" s="4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67" t="s">
        <v>232</v>
      </c>
      <c r="B50" s="168" t="s">
        <v>219</v>
      </c>
      <c r="C50" s="169">
        <v>0.328</v>
      </c>
      <c r="D50" s="169" t="s">
        <v>220</v>
      </c>
      <c r="E50" s="169">
        <v>1.56</v>
      </c>
      <c r="F50" s="170" t="s">
        <v>138</v>
      </c>
      <c r="G50" s="171">
        <v>0.6</v>
      </c>
      <c r="H50" s="169" t="s">
        <v>221</v>
      </c>
      <c r="I50" s="172">
        <v>1.03</v>
      </c>
      <c r="J50" s="40"/>
      <c r="K50" s="40"/>
      <c r="L50" s="40"/>
      <c r="M50" s="40"/>
      <c r="N50" s="4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67" t="s">
        <v>233</v>
      </c>
      <c r="B51" s="168" t="s">
        <v>219</v>
      </c>
      <c r="C51" s="169">
        <v>0.326</v>
      </c>
      <c r="D51" s="169" t="s">
        <v>220</v>
      </c>
      <c r="E51" s="169">
        <v>1.56</v>
      </c>
      <c r="F51" s="170" t="s">
        <v>138</v>
      </c>
      <c r="G51" s="171">
        <v>0.6</v>
      </c>
      <c r="H51" s="169" t="s">
        <v>221</v>
      </c>
      <c r="I51" s="172">
        <v>1.03</v>
      </c>
      <c r="J51" s="40"/>
      <c r="K51" s="40"/>
      <c r="L51" s="40"/>
      <c r="M51" s="40"/>
      <c r="N51" s="4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67" t="s">
        <v>234</v>
      </c>
      <c r="B52" s="168" t="s">
        <v>219</v>
      </c>
      <c r="C52" s="169">
        <v>0.359</v>
      </c>
      <c r="D52" s="169" t="s">
        <v>220</v>
      </c>
      <c r="E52" s="169">
        <v>1.56</v>
      </c>
      <c r="F52" s="170" t="s">
        <v>138</v>
      </c>
      <c r="G52" s="171">
        <v>0.6</v>
      </c>
      <c r="H52" s="169" t="s">
        <v>221</v>
      </c>
      <c r="I52" s="172">
        <v>1.03</v>
      </c>
      <c r="J52" s="40"/>
      <c r="K52" s="40"/>
      <c r="L52" s="40"/>
      <c r="M52" s="40"/>
      <c r="N52" s="4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67" t="s">
        <v>235</v>
      </c>
      <c r="B53" s="168" t="s">
        <v>219</v>
      </c>
      <c r="C53" s="169">
        <v>0.346</v>
      </c>
      <c r="D53" s="169" t="s">
        <v>220</v>
      </c>
      <c r="E53" s="169">
        <v>1.56</v>
      </c>
      <c r="F53" s="170" t="s">
        <v>138</v>
      </c>
      <c r="G53" s="171">
        <v>0.6</v>
      </c>
      <c r="H53" s="169" t="s">
        <v>221</v>
      </c>
      <c r="I53" s="172">
        <v>1.03</v>
      </c>
      <c r="J53" s="40"/>
      <c r="K53" s="40"/>
      <c r="L53" s="40"/>
      <c r="M53" s="40"/>
      <c r="N53" s="4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67" t="s">
        <v>236</v>
      </c>
      <c r="B54" s="168" t="s">
        <v>219</v>
      </c>
      <c r="C54" s="169">
        <v>0.326</v>
      </c>
      <c r="D54" s="169" t="s">
        <v>220</v>
      </c>
      <c r="E54" s="169">
        <v>1.56</v>
      </c>
      <c r="F54" s="170" t="s">
        <v>138</v>
      </c>
      <c r="G54" s="171">
        <v>0.6</v>
      </c>
      <c r="H54" s="169" t="s">
        <v>221</v>
      </c>
      <c r="I54" s="172">
        <v>1.03</v>
      </c>
      <c r="J54" s="40"/>
      <c r="K54" s="40"/>
      <c r="L54" s="40"/>
      <c r="M54" s="40"/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67" t="s">
        <v>237</v>
      </c>
      <c r="B55" s="168" t="s">
        <v>219</v>
      </c>
      <c r="C55" s="169">
        <v>0.305</v>
      </c>
      <c r="D55" s="169" t="s">
        <v>220</v>
      </c>
      <c r="E55" s="169">
        <v>1.56</v>
      </c>
      <c r="F55" s="170" t="s">
        <v>138</v>
      </c>
      <c r="G55" s="171">
        <v>0.6</v>
      </c>
      <c r="H55" s="169" t="s">
        <v>221</v>
      </c>
      <c r="I55" s="172">
        <v>1.03</v>
      </c>
      <c r="J55" s="40"/>
      <c r="K55" s="40"/>
      <c r="L55" s="40"/>
      <c r="M55" s="40"/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67" t="s">
        <v>238</v>
      </c>
      <c r="B56" s="168" t="s">
        <v>219</v>
      </c>
      <c r="C56" s="169">
        <v>0.323</v>
      </c>
      <c r="D56" s="169" t="s">
        <v>220</v>
      </c>
      <c r="E56" s="169">
        <v>1.56</v>
      </c>
      <c r="F56" s="170" t="s">
        <v>138</v>
      </c>
      <c r="G56" s="171">
        <v>0.6</v>
      </c>
      <c r="H56" s="169" t="s">
        <v>221</v>
      </c>
      <c r="I56" s="172">
        <v>1.03</v>
      </c>
      <c r="J56" s="40"/>
      <c r="K56" s="40"/>
      <c r="L56" s="40"/>
      <c r="M56" s="40"/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67" t="s">
        <v>239</v>
      </c>
      <c r="B57" s="168" t="s">
        <v>219</v>
      </c>
      <c r="C57" s="169">
        <v>0.367</v>
      </c>
      <c r="D57" s="169" t="s">
        <v>220</v>
      </c>
      <c r="E57" s="169">
        <v>1.56</v>
      </c>
      <c r="F57" s="170" t="s">
        <v>138</v>
      </c>
      <c r="G57" s="171">
        <v>0.6</v>
      </c>
      <c r="H57" s="169" t="s">
        <v>221</v>
      </c>
      <c r="I57" s="172">
        <v>1.03</v>
      </c>
      <c r="J57" s="40"/>
      <c r="K57" s="40"/>
      <c r="L57" s="40"/>
      <c r="M57" s="40"/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67" t="s">
        <v>240</v>
      </c>
      <c r="B58" s="168" t="s">
        <v>219</v>
      </c>
      <c r="C58" s="169">
        <v>0.36</v>
      </c>
      <c r="D58" s="169" t="s">
        <v>220</v>
      </c>
      <c r="E58" s="169">
        <v>1.56</v>
      </c>
      <c r="F58" s="170" t="s">
        <v>138</v>
      </c>
      <c r="G58" s="171">
        <v>0.6</v>
      </c>
      <c r="H58" s="169" t="s">
        <v>221</v>
      </c>
      <c r="I58" s="172">
        <v>1.03</v>
      </c>
      <c r="J58" s="40"/>
      <c r="K58" s="40"/>
      <c r="L58" s="40"/>
      <c r="M58" s="40"/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67" t="s">
        <v>241</v>
      </c>
      <c r="B59" s="168" t="s">
        <v>219</v>
      </c>
      <c r="C59" s="169">
        <v>0.368</v>
      </c>
      <c r="D59" s="169" t="s">
        <v>220</v>
      </c>
      <c r="E59" s="169">
        <v>1.56</v>
      </c>
      <c r="F59" s="170" t="s">
        <v>138</v>
      </c>
      <c r="G59" s="171">
        <v>0.6</v>
      </c>
      <c r="H59" s="169" t="s">
        <v>221</v>
      </c>
      <c r="I59" s="172">
        <v>1.03</v>
      </c>
      <c r="J59" s="40"/>
      <c r="K59" s="40"/>
      <c r="L59" s="40"/>
      <c r="M59" s="40"/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67" t="s">
        <v>242</v>
      </c>
      <c r="B60" s="168" t="s">
        <v>219</v>
      </c>
      <c r="C60" s="169">
        <v>0.306</v>
      </c>
      <c r="D60" s="169" t="s">
        <v>220</v>
      </c>
      <c r="E60" s="169">
        <v>1.56</v>
      </c>
      <c r="F60" s="170" t="s">
        <v>138</v>
      </c>
      <c r="G60" s="171">
        <v>0.6</v>
      </c>
      <c r="H60" s="169" t="s">
        <v>221</v>
      </c>
      <c r="I60" s="172">
        <v>1.03</v>
      </c>
      <c r="J60" s="40"/>
      <c r="K60" s="40"/>
      <c r="L60" s="40"/>
      <c r="M60" s="40"/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67" t="s">
        <v>243</v>
      </c>
      <c r="B61" s="168" t="s">
        <v>219</v>
      </c>
      <c r="C61" s="169">
        <v>0.313</v>
      </c>
      <c r="D61" s="169" t="s">
        <v>220</v>
      </c>
      <c r="E61" s="169">
        <v>1.56</v>
      </c>
      <c r="F61" s="170" t="s">
        <v>138</v>
      </c>
      <c r="G61" s="171">
        <v>0.6</v>
      </c>
      <c r="H61" s="169" t="s">
        <v>221</v>
      </c>
      <c r="I61" s="172">
        <v>1.03</v>
      </c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67" t="s">
        <v>244</v>
      </c>
      <c r="B62" s="168" t="s">
        <v>245</v>
      </c>
      <c r="C62" s="169">
        <v>0.37</v>
      </c>
      <c r="D62" s="169" t="s">
        <v>137</v>
      </c>
      <c r="E62" s="169">
        <v>1.56</v>
      </c>
      <c r="F62" s="170" t="s">
        <v>138</v>
      </c>
      <c r="G62" s="171">
        <v>0.6</v>
      </c>
      <c r="H62" s="169" t="s">
        <v>221</v>
      </c>
      <c r="I62" s="172">
        <v>1.03</v>
      </c>
      <c r="J62" s="40"/>
      <c r="K62" s="40"/>
      <c r="L62" s="40"/>
      <c r="M62" s="40"/>
      <c r="N62" s="4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67" t="s">
        <v>246</v>
      </c>
      <c r="B63" s="168" t="s">
        <v>247</v>
      </c>
      <c r="C63" s="169">
        <v>0.45</v>
      </c>
      <c r="D63" s="169" t="s">
        <v>137</v>
      </c>
      <c r="E63" s="169">
        <v>1.3</v>
      </c>
      <c r="F63" s="170" t="s">
        <v>138</v>
      </c>
      <c r="G63" s="171">
        <v>0.45</v>
      </c>
      <c r="H63" s="169" t="s">
        <v>248</v>
      </c>
      <c r="I63" s="172">
        <v>0.43</v>
      </c>
      <c r="J63" s="40"/>
      <c r="K63" s="40"/>
      <c r="L63" s="40"/>
      <c r="M63" s="40"/>
      <c r="N63" s="40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67" t="s">
        <v>249</v>
      </c>
      <c r="B64" s="168" t="s">
        <v>250</v>
      </c>
      <c r="C64" s="169">
        <v>0.39</v>
      </c>
      <c r="D64" s="169" t="s">
        <v>137</v>
      </c>
      <c r="E64" s="169">
        <v>1.3</v>
      </c>
      <c r="F64" s="170" t="s">
        <v>138</v>
      </c>
      <c r="G64" s="171">
        <v>0.45</v>
      </c>
      <c r="H64" s="169" t="s">
        <v>248</v>
      </c>
      <c r="I64" s="172">
        <v>0.43</v>
      </c>
      <c r="J64" s="40"/>
      <c r="K64" s="40"/>
      <c r="L64" s="40"/>
      <c r="M64" s="40"/>
      <c r="N64" s="4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67" t="s">
        <v>251</v>
      </c>
      <c r="B65" s="168" t="s">
        <v>252</v>
      </c>
      <c r="C65" s="169">
        <v>0.44</v>
      </c>
      <c r="D65" s="169" t="s">
        <v>137</v>
      </c>
      <c r="E65" s="169">
        <v>1.3</v>
      </c>
      <c r="F65" s="170" t="s">
        <v>138</v>
      </c>
      <c r="G65" s="171">
        <v>0.45</v>
      </c>
      <c r="H65" s="169" t="s">
        <v>248</v>
      </c>
      <c r="I65" s="172">
        <v>0.43</v>
      </c>
      <c r="J65" s="40"/>
      <c r="K65" s="40"/>
      <c r="L65" s="40"/>
      <c r="M65" s="40"/>
      <c r="N65" s="40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67" t="s">
        <v>19</v>
      </c>
      <c r="B66" s="168" t="s">
        <v>253</v>
      </c>
      <c r="C66" s="169">
        <v>0.46</v>
      </c>
      <c r="D66" s="169" t="s">
        <v>137</v>
      </c>
      <c r="E66" s="169">
        <v>1.3</v>
      </c>
      <c r="F66" s="170" t="s">
        <v>138</v>
      </c>
      <c r="G66" s="171">
        <v>0.45</v>
      </c>
      <c r="H66" s="169" t="s">
        <v>248</v>
      </c>
      <c r="I66" s="172">
        <v>0.43</v>
      </c>
      <c r="J66" s="40"/>
      <c r="K66" s="40"/>
      <c r="L66" s="40"/>
      <c r="M66" s="40"/>
      <c r="N66" s="40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67" t="s">
        <v>254</v>
      </c>
      <c r="B67" s="168" t="s">
        <v>255</v>
      </c>
      <c r="C67" s="169">
        <v>0.46</v>
      </c>
      <c r="D67" s="169" t="s">
        <v>137</v>
      </c>
      <c r="E67" s="169">
        <v>1.3</v>
      </c>
      <c r="F67" s="170" t="s">
        <v>138</v>
      </c>
      <c r="G67" s="171">
        <v>0.45</v>
      </c>
      <c r="H67" s="169" t="s">
        <v>162</v>
      </c>
      <c r="I67" s="172">
        <v>0.59</v>
      </c>
      <c r="J67" s="40"/>
      <c r="K67" s="40"/>
      <c r="L67" s="40"/>
      <c r="M67" s="40"/>
      <c r="N67" s="4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67" t="s">
        <v>256</v>
      </c>
      <c r="B68" s="168" t="s">
        <v>257</v>
      </c>
      <c r="C68" s="169">
        <v>0.44</v>
      </c>
      <c r="D68" s="169" t="s">
        <v>137</v>
      </c>
      <c r="E68" s="169">
        <v>1.3</v>
      </c>
      <c r="F68" s="170" t="s">
        <v>138</v>
      </c>
      <c r="G68" s="171">
        <v>0.45</v>
      </c>
      <c r="H68" s="169" t="s">
        <v>248</v>
      </c>
      <c r="I68" s="172">
        <v>0.43</v>
      </c>
      <c r="J68" s="40"/>
      <c r="K68" s="40"/>
      <c r="L68" s="40"/>
      <c r="M68" s="40"/>
      <c r="N68" s="40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67" t="s">
        <v>258</v>
      </c>
      <c r="B69" s="168" t="s">
        <v>259</v>
      </c>
      <c r="C69" s="169">
        <v>0.46</v>
      </c>
      <c r="D69" s="169" t="s">
        <v>137</v>
      </c>
      <c r="E69" s="169">
        <v>1.3</v>
      </c>
      <c r="F69" s="170" t="s">
        <v>138</v>
      </c>
      <c r="G69" s="171">
        <v>0.45</v>
      </c>
      <c r="H69" s="169" t="s">
        <v>248</v>
      </c>
      <c r="I69" s="172">
        <v>0.43</v>
      </c>
      <c r="J69" s="40"/>
      <c r="K69" s="40"/>
      <c r="L69" s="40"/>
      <c r="M69" s="40"/>
      <c r="N69" s="40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67" t="s">
        <v>260</v>
      </c>
      <c r="B70" s="168" t="s">
        <v>261</v>
      </c>
      <c r="C70" s="169">
        <v>0.48</v>
      </c>
      <c r="D70" s="169" t="s">
        <v>137</v>
      </c>
      <c r="E70" s="169">
        <v>2.4</v>
      </c>
      <c r="F70" s="169" t="s">
        <v>262</v>
      </c>
      <c r="G70" s="171">
        <v>0.45</v>
      </c>
      <c r="H70" s="169" t="s">
        <v>248</v>
      </c>
      <c r="I70" s="172">
        <v>0.43</v>
      </c>
      <c r="J70" s="40"/>
      <c r="K70" s="40"/>
      <c r="L70" s="40"/>
      <c r="M70" s="40"/>
      <c r="N70" s="4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67" t="s">
        <v>263</v>
      </c>
      <c r="B71" s="168" t="s">
        <v>264</v>
      </c>
      <c r="C71" s="169">
        <v>0.46</v>
      </c>
      <c r="D71" s="169" t="s">
        <v>265</v>
      </c>
      <c r="E71" s="169">
        <v>1.3</v>
      </c>
      <c r="F71" s="170" t="s">
        <v>138</v>
      </c>
      <c r="G71" s="171">
        <v>0.45</v>
      </c>
      <c r="H71" s="169" t="s">
        <v>248</v>
      </c>
      <c r="I71" s="172">
        <v>0.43</v>
      </c>
      <c r="J71" s="40"/>
      <c r="K71" s="40"/>
      <c r="L71" s="40"/>
      <c r="M71" s="40"/>
      <c r="N71" s="40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67" t="s">
        <v>16</v>
      </c>
      <c r="B72" s="168" t="s">
        <v>266</v>
      </c>
      <c r="C72" s="169">
        <v>0.44</v>
      </c>
      <c r="D72" s="169" t="s">
        <v>137</v>
      </c>
      <c r="E72" s="169">
        <v>1.3</v>
      </c>
      <c r="F72" s="170" t="s">
        <v>138</v>
      </c>
      <c r="G72" s="171">
        <v>0.45</v>
      </c>
      <c r="H72" s="169" t="s">
        <v>248</v>
      </c>
      <c r="I72" s="172">
        <v>0.43</v>
      </c>
      <c r="J72" s="40"/>
      <c r="K72" s="40"/>
      <c r="L72" s="40"/>
      <c r="M72" s="40"/>
      <c r="N72" s="40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67" t="s">
        <v>267</v>
      </c>
      <c r="B73" s="168" t="s">
        <v>268</v>
      </c>
      <c r="C73" s="169">
        <v>0.46</v>
      </c>
      <c r="D73" s="169" t="s">
        <v>269</v>
      </c>
      <c r="E73" s="169">
        <v>1.3</v>
      </c>
      <c r="F73" s="170" t="s">
        <v>138</v>
      </c>
      <c r="G73" s="171">
        <v>0.45</v>
      </c>
      <c r="H73" s="169" t="s">
        <v>248</v>
      </c>
      <c r="I73" s="172">
        <v>0.43</v>
      </c>
      <c r="J73" s="40"/>
      <c r="K73" s="40"/>
      <c r="L73" s="40"/>
      <c r="M73" s="40"/>
      <c r="N73" s="40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67" t="s">
        <v>270</v>
      </c>
      <c r="B74" s="168" t="s">
        <v>271</v>
      </c>
      <c r="C74" s="169">
        <v>0.34</v>
      </c>
      <c r="D74" s="169" t="s">
        <v>137</v>
      </c>
      <c r="E74" s="169">
        <v>1.3</v>
      </c>
      <c r="F74" s="170" t="s">
        <v>138</v>
      </c>
      <c r="G74" s="171">
        <v>0.45</v>
      </c>
      <c r="H74" s="169" t="s">
        <v>248</v>
      </c>
      <c r="I74" s="172">
        <v>0.43</v>
      </c>
      <c r="J74" s="40"/>
      <c r="K74" s="40"/>
      <c r="L74" s="40"/>
      <c r="M74" s="40"/>
      <c r="N74" s="4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67" t="s">
        <v>272</v>
      </c>
      <c r="B75" s="168" t="s">
        <v>273</v>
      </c>
      <c r="C75" s="169">
        <v>0.5</v>
      </c>
      <c r="D75" s="169" t="s">
        <v>137</v>
      </c>
      <c r="E75" s="169">
        <v>1.56</v>
      </c>
      <c r="F75" s="170" t="s">
        <v>138</v>
      </c>
      <c r="G75" s="171">
        <v>0.53</v>
      </c>
      <c r="H75" s="169" t="s">
        <v>190</v>
      </c>
      <c r="I75" s="172">
        <v>0.25</v>
      </c>
      <c r="J75" s="40"/>
      <c r="K75" s="40"/>
      <c r="L75" s="40"/>
      <c r="M75" s="40"/>
      <c r="N75" s="4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67" t="s">
        <v>31</v>
      </c>
      <c r="B76" s="168" t="s">
        <v>274</v>
      </c>
      <c r="C76" s="169">
        <v>0.58</v>
      </c>
      <c r="D76" s="169" t="s">
        <v>137</v>
      </c>
      <c r="E76" s="169">
        <v>1.56</v>
      </c>
      <c r="F76" s="170" t="s">
        <v>138</v>
      </c>
      <c r="G76" s="171">
        <v>0.3</v>
      </c>
      <c r="H76" s="169" t="s">
        <v>275</v>
      </c>
      <c r="I76" s="172">
        <v>0.25</v>
      </c>
      <c r="J76" s="40"/>
      <c r="K76" s="40"/>
      <c r="L76" s="40"/>
      <c r="M76" s="40"/>
      <c r="N76" s="4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67" t="s">
        <v>276</v>
      </c>
      <c r="B77" s="168" t="s">
        <v>277</v>
      </c>
      <c r="C77" s="169">
        <v>0.37</v>
      </c>
      <c r="D77" s="169" t="s">
        <v>137</v>
      </c>
      <c r="E77" s="169">
        <v>1.3</v>
      </c>
      <c r="F77" s="170" t="s">
        <v>138</v>
      </c>
      <c r="G77" s="171">
        <v>0.55</v>
      </c>
      <c r="H77" s="169" t="s">
        <v>162</v>
      </c>
      <c r="I77" s="172">
        <v>0.43</v>
      </c>
      <c r="J77" s="40"/>
      <c r="K77" s="40"/>
      <c r="L77" s="40"/>
      <c r="M77" s="40"/>
      <c r="N77" s="4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67" t="s">
        <v>278</v>
      </c>
      <c r="B78" s="168" t="s">
        <v>279</v>
      </c>
      <c r="C78" s="169">
        <v>0.37</v>
      </c>
      <c r="D78" s="169" t="s">
        <v>137</v>
      </c>
      <c r="E78" s="169">
        <v>1.3</v>
      </c>
      <c r="F78" s="170" t="s">
        <v>138</v>
      </c>
      <c r="G78" s="171">
        <v>0.55</v>
      </c>
      <c r="H78" s="169" t="s">
        <v>162</v>
      </c>
      <c r="I78" s="172">
        <v>0.43</v>
      </c>
      <c r="J78" s="40"/>
      <c r="K78" s="40"/>
      <c r="L78" s="40"/>
      <c r="M78" s="40"/>
      <c r="N78" s="4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67" t="s">
        <v>23</v>
      </c>
      <c r="B79" s="168" t="s">
        <v>280</v>
      </c>
      <c r="C79" s="169">
        <v>0.38</v>
      </c>
      <c r="D79" s="169" t="s">
        <v>137</v>
      </c>
      <c r="E79" s="169">
        <v>1.3</v>
      </c>
      <c r="F79" s="170" t="s">
        <v>138</v>
      </c>
      <c r="G79" s="171">
        <v>0.55</v>
      </c>
      <c r="H79" s="169" t="s">
        <v>153</v>
      </c>
      <c r="I79" s="172">
        <v>0.43</v>
      </c>
      <c r="J79" s="40"/>
      <c r="K79" s="40"/>
      <c r="L79" s="40"/>
      <c r="M79" s="40"/>
      <c r="N79" s="4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67" t="s">
        <v>281</v>
      </c>
      <c r="B80" s="168" t="s">
        <v>282</v>
      </c>
      <c r="C80" s="169">
        <v>0.36</v>
      </c>
      <c r="D80" s="169" t="s">
        <v>137</v>
      </c>
      <c r="E80" s="169">
        <v>1.3</v>
      </c>
      <c r="F80" s="170" t="s">
        <v>138</v>
      </c>
      <c r="G80" s="171">
        <v>0.55</v>
      </c>
      <c r="H80" s="169" t="s">
        <v>153</v>
      </c>
      <c r="I80" s="172">
        <v>0.43</v>
      </c>
      <c r="J80" s="40"/>
      <c r="K80" s="40"/>
      <c r="L80" s="40"/>
      <c r="M80" s="40"/>
      <c r="N80" s="4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67" t="s">
        <v>283</v>
      </c>
      <c r="B81" s="168" t="s">
        <v>284</v>
      </c>
      <c r="C81" s="169">
        <v>0.37</v>
      </c>
      <c r="D81" s="169" t="s">
        <v>137</v>
      </c>
      <c r="E81" s="169">
        <v>1.56</v>
      </c>
      <c r="F81" s="170" t="s">
        <v>138</v>
      </c>
      <c r="G81" s="171">
        <v>0.43</v>
      </c>
      <c r="H81" s="169" t="s">
        <v>139</v>
      </c>
      <c r="I81" s="172">
        <v>0.25</v>
      </c>
      <c r="J81" s="40"/>
      <c r="K81" s="40"/>
      <c r="L81" s="40"/>
      <c r="M81" s="40"/>
      <c r="N81" s="4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67" t="s">
        <v>285</v>
      </c>
      <c r="B82" s="168" t="s">
        <v>286</v>
      </c>
      <c r="C82" s="169">
        <v>0.35</v>
      </c>
      <c r="D82" s="169" t="s">
        <v>287</v>
      </c>
      <c r="E82" s="169">
        <v>1.3</v>
      </c>
      <c r="F82" s="170" t="s">
        <v>138</v>
      </c>
      <c r="G82" s="171">
        <v>0.55</v>
      </c>
      <c r="H82" s="169" t="s">
        <v>153</v>
      </c>
      <c r="I82" s="172">
        <v>0.43</v>
      </c>
      <c r="J82" s="40"/>
      <c r="K82" s="40"/>
      <c r="L82" s="40"/>
      <c r="M82" s="40"/>
      <c r="N82" s="4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67" t="s">
        <v>288</v>
      </c>
      <c r="B83" s="168" t="s">
        <v>289</v>
      </c>
      <c r="C83" s="169">
        <v>0.34</v>
      </c>
      <c r="D83" s="169" t="s">
        <v>137</v>
      </c>
      <c r="E83" s="169">
        <v>1.3</v>
      </c>
      <c r="F83" s="170" t="s">
        <v>138</v>
      </c>
      <c r="G83" s="171">
        <v>0.55</v>
      </c>
      <c r="H83" s="169" t="s">
        <v>153</v>
      </c>
      <c r="I83" s="172">
        <v>0.43</v>
      </c>
      <c r="J83" s="40"/>
      <c r="K83" s="40"/>
      <c r="L83" s="40"/>
      <c r="M83" s="40"/>
      <c r="N83" s="4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67" t="s">
        <v>290</v>
      </c>
      <c r="B84" s="168" t="s">
        <v>291</v>
      </c>
      <c r="C84" s="169">
        <v>0.31</v>
      </c>
      <c r="D84" s="169" t="s">
        <v>137</v>
      </c>
      <c r="E84" s="169">
        <v>1.3</v>
      </c>
      <c r="F84" s="170" t="s">
        <v>138</v>
      </c>
      <c r="G84" s="171">
        <v>0.55</v>
      </c>
      <c r="H84" s="169" t="s">
        <v>153</v>
      </c>
      <c r="I84" s="172">
        <v>0.43</v>
      </c>
      <c r="J84" s="40"/>
      <c r="K84" s="40"/>
      <c r="L84" s="40"/>
      <c r="M84" s="40"/>
      <c r="N84" s="4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67" t="s">
        <v>33</v>
      </c>
      <c r="B85" s="168" t="s">
        <v>292</v>
      </c>
      <c r="C85" s="169">
        <v>0.43</v>
      </c>
      <c r="D85" s="169" t="s">
        <v>137</v>
      </c>
      <c r="E85" s="169">
        <v>1.56</v>
      </c>
      <c r="F85" s="170" t="s">
        <v>138</v>
      </c>
      <c r="G85" s="171">
        <v>0.53</v>
      </c>
      <c r="H85" s="169" t="s">
        <v>190</v>
      </c>
      <c r="I85" s="172">
        <v>0.25</v>
      </c>
      <c r="J85" s="40"/>
      <c r="K85" s="40"/>
      <c r="L85" s="40"/>
      <c r="M85" s="40"/>
      <c r="N85" s="4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67" t="s">
        <v>293</v>
      </c>
      <c r="B86" s="168" t="s">
        <v>294</v>
      </c>
      <c r="C86" s="169">
        <v>0.38</v>
      </c>
      <c r="D86" s="169" t="s">
        <v>137</v>
      </c>
      <c r="E86" s="169">
        <v>1.56</v>
      </c>
      <c r="F86" s="170" t="s">
        <v>138</v>
      </c>
      <c r="G86" s="171">
        <v>0.6</v>
      </c>
      <c r="H86" s="169" t="s">
        <v>295</v>
      </c>
      <c r="I86" s="172">
        <v>0.25</v>
      </c>
      <c r="J86" s="40"/>
      <c r="K86" s="40"/>
      <c r="L86" s="40"/>
      <c r="M86" s="40"/>
      <c r="N86" s="40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67" t="s">
        <v>296</v>
      </c>
      <c r="B87" s="168" t="s">
        <v>297</v>
      </c>
      <c r="C87" s="169">
        <v>0.41</v>
      </c>
      <c r="D87" s="169" t="s">
        <v>298</v>
      </c>
      <c r="E87" s="169">
        <v>1.56</v>
      </c>
      <c r="F87" s="170" t="s">
        <v>138</v>
      </c>
      <c r="G87" s="171">
        <v>0.43</v>
      </c>
      <c r="H87" s="169" t="s">
        <v>139</v>
      </c>
      <c r="I87" s="172">
        <v>0.25</v>
      </c>
      <c r="J87" s="40"/>
      <c r="K87" s="40"/>
      <c r="L87" s="40"/>
      <c r="M87" s="40"/>
      <c r="N87" s="40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67" t="s">
        <v>97</v>
      </c>
      <c r="B88" s="177"/>
      <c r="C88" s="169">
        <v>0.42</v>
      </c>
      <c r="D88" s="169" t="s">
        <v>137</v>
      </c>
      <c r="E88" s="169">
        <v>1.3</v>
      </c>
      <c r="F88" s="170" t="s">
        <v>138</v>
      </c>
      <c r="G88" s="178"/>
      <c r="H88" s="177"/>
      <c r="I88" s="17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80" t="s">
        <v>299</v>
      </c>
      <c r="B89" s="181"/>
      <c r="C89" s="182">
        <v>0.57</v>
      </c>
      <c r="D89" s="183" t="s">
        <v>137</v>
      </c>
      <c r="E89" s="182">
        <v>1.56</v>
      </c>
      <c r="F89" s="182" t="s">
        <v>138</v>
      </c>
      <c r="G89" s="181"/>
      <c r="H89" s="181"/>
      <c r="I89" s="18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67" t="s">
        <v>98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67" t="s">
        <v>99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67" t="s">
        <v>100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94" t="s">
        <v>300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85" t="s">
        <v>301</v>
      </c>
      <c r="B5" s="186" t="s">
        <v>302</v>
      </c>
      <c r="C5" s="187" t="str">
        <f>Calculateur!S2</f>
        <v>ΔStock moyen de long terme (tCO₂/ha)</v>
      </c>
      <c r="D5" s="187" t="str">
        <f>Calculateur!T2</f>
        <v>Δstock CO₂ 30 ans (tCO₂/ha)</v>
      </c>
      <c r="E5" s="187" t="s">
        <v>303</v>
      </c>
      <c r="F5" s="187" t="s">
        <v>304</v>
      </c>
      <c r="G5" s="187" t="s">
        <v>305</v>
      </c>
      <c r="H5" s="188" t="s">
        <v>306</v>
      </c>
      <c r="I5" s="189" t="s">
        <v>307</v>
      </c>
      <c r="J5" s="190" t="s">
        <v>308</v>
      </c>
      <c r="K5" s="191" t="s">
        <v>309</v>
      </c>
      <c r="L5" s="149" t="s">
        <v>310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92" t="str">
        <f>IF('Données projet'!$B$9="","",'Données projet'!$B$9)</f>
        <v>Pin sylvestre</v>
      </c>
      <c r="B6" s="193">
        <f>'Données projet'!D9</f>
        <v>2.03999947</v>
      </c>
      <c r="C6" s="194">
        <f>IF(OR('Données projet'!B9="",'Données projet'!C9="",'Données projet'!C9=0%),0,Calculateur!S3)</f>
        <v>126.9946492</v>
      </c>
      <c r="D6" s="194">
        <f>IF(OR('Données projet'!B9="",'Données projet'!C9="",'Données projet'!C9=0%),0,Calculateur!T3)</f>
        <v>140.039049</v>
      </c>
      <c r="E6" s="194">
        <f t="shared" ref="E6:E15" si="1">MIN(C6,D6)</f>
        <v>126.9946492</v>
      </c>
      <c r="F6" s="194">
        <f t="shared" ref="F6:F15" si="2">E6*B6</f>
        <v>259.069017</v>
      </c>
      <c r="G6" s="194">
        <f>F6*(100%-'Données projet'!$C$24)*(100%-'Données projet'!$C$25)*(100%-'Données projet'!$C$26)*(100%-'Données projet'!$C$27)</f>
        <v>233.1621153</v>
      </c>
      <c r="H6" s="195">
        <f>IF(OR('Données projet'!B9="",'Données projet'!C9="",'Données projet'!C9=0%),0,AVERAGE(Calculateur!$AC$3:$AC$33)*B6)</f>
        <v>2.194215529</v>
      </c>
      <c r="I6" s="196">
        <f>H6*(100%-'Données projet'!$C$24)*(100%-'Données projet'!$C$25)*(100%-'Données projet'!$C$26)*(100%-'Données projet'!$C$27)</f>
        <v>1.974793976</v>
      </c>
      <c r="J6" s="197">
        <f>IF(OR('Données projet'!B9="",'Données projet'!C9="",'Données projet'!C9=0%),0,SUM(Calculateur!$V$3:$V$33)*VLOOKUP('Données projet'!$B$9,'Paramètres'!$A$1:$I$89,9,0)*B6)</f>
        <v>30.70199202</v>
      </c>
      <c r="K6" s="198">
        <f>J6*(100%-'Données projet'!$C$24)*(100%-'Données projet'!$C$25)*(100%-'Données projet'!$C$26)*(100%-'Données projet'!$C$27)</f>
        <v>27.63179282</v>
      </c>
      <c r="L6" s="199">
        <f t="shared" ref="L6:L15" si="3">G6+I6+K6</f>
        <v>262.7687021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200" t="str">
        <f>IF('Données projet'!$B$10="","",'Données projet'!$B$10)</f>
        <v>Pin laricio</v>
      </c>
      <c r="B7" s="201">
        <f>'Données projet'!D10</f>
        <v>2.173334215</v>
      </c>
      <c r="C7" s="194">
        <f>IF(OR('Données projet'!B10="",'Données projet'!C10="",'Données projet'!C10=0%),0,Calculateur!AN3)</f>
        <v>196.874484</v>
      </c>
      <c r="D7" s="194">
        <f>IF(OR('Données projet'!B10="",'Données projet'!C10="",'Données projet'!C10=0%),0,Calculateur!AO3)</f>
        <v>217.5750859</v>
      </c>
      <c r="E7" s="194">
        <f t="shared" si="1"/>
        <v>196.874484</v>
      </c>
      <c r="F7" s="194">
        <f t="shared" si="2"/>
        <v>427.874052</v>
      </c>
      <c r="G7" s="194">
        <f>F7*(100%-'Données projet'!$C$24)*(100%-'Données projet'!$C$25)*(100%-'Données projet'!$C$26)*(100%-'Données projet'!$C$27)</f>
        <v>385.0866468</v>
      </c>
      <c r="H7" s="202">
        <f>IF(OR('Données projet'!B10="",'Données projet'!C10="",'Données projet'!C10=0%),0,AVERAGE(Calculateur!$AX$3:$AX$33)*B7)</f>
        <v>6.403089659</v>
      </c>
      <c r="I7" s="196">
        <f>H7*(100%-'Données projet'!$C$24)*(100%-'Données projet'!$C$25)*(100%-'Données projet'!$C$26)*(100%-'Données projet'!$C$27)</f>
        <v>5.762780693</v>
      </c>
      <c r="J7" s="197">
        <f>IF(OR('Données projet'!B10="",'Données projet'!C10="",'Données projet'!C10=0%),0,SUM(Calculateur!$AQ$3:$AQ$33)*VLOOKUP('Données projet'!$B$10,'Paramètres'!$A$1:$I$89,9,0)*B7)</f>
        <v>62.61375872</v>
      </c>
      <c r="K7" s="198">
        <f>J7*(100%-'Données projet'!$C$24)*(100%-'Données projet'!$C$25)*(100%-'Données projet'!$C$26)*(100%-'Données projet'!$C$27)</f>
        <v>56.35238285</v>
      </c>
      <c r="L7" s="199">
        <f t="shared" si="3"/>
        <v>447.2018104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200" t="str">
        <f>IF('Données projet'!$B$11="","",'Données projet'!$B$11)</f>
        <v>Cèdre de l'Atlas</v>
      </c>
      <c r="B8" s="201">
        <f>'Données projet'!D11</f>
        <v>2.306668959</v>
      </c>
      <c r="C8" s="194">
        <f>IF(OR('Données projet'!B11="",'Données projet'!C11="",'Données projet'!C11=0%),0,Calculateur!BI3)</f>
        <v>134.0948534</v>
      </c>
      <c r="D8" s="194">
        <f>IF(OR('Données projet'!B11="",'Données projet'!C11="",'Données projet'!C11=0%),0,Calculateur!BJ3)</f>
        <v>108.4102536</v>
      </c>
      <c r="E8" s="194">
        <f t="shared" si="1"/>
        <v>108.4102536</v>
      </c>
      <c r="F8" s="194">
        <f t="shared" si="2"/>
        <v>250.0665669</v>
      </c>
      <c r="G8" s="194">
        <f>F8*(100%-'Données projet'!$C$24)*(100%-'Données projet'!$C$25)*(100%-'Données projet'!$C$26)*(100%-'Données projet'!$C$27)</f>
        <v>225.0599102</v>
      </c>
      <c r="H8" s="202">
        <f>IF(OR('Données projet'!B11="",'Données projet'!C11="",'Données projet'!C11=0%),0,AVERAGE(Calculateur!$BS$3:$BS$33)*B8)</f>
        <v>1.21191402</v>
      </c>
      <c r="I8" s="196">
        <f>H8*(100%-'Données projet'!$C$24)*(100%-'Données projet'!$C$25)*(100%-'Données projet'!$C$26)*(100%-'Données projet'!$C$27)</f>
        <v>1.090722618</v>
      </c>
      <c r="J8" s="197">
        <f>IF(OR('Données projet'!B11="",'Données projet'!C11="",'Données projet'!C11=0%),0,SUM(Calculateur!$BL$3:$BL$33)*VLOOKUP('Données projet'!$B$11,'Paramètres'!$A$1:$I$89,9,0)*B8)</f>
        <v>39.6747061</v>
      </c>
      <c r="K8" s="198">
        <f>J8*(100%-'Données projet'!$C$24)*(100%-'Données projet'!$C$25)*(100%-'Données projet'!$C$26)*(100%-'Données projet'!$C$27)</f>
        <v>35.70723549</v>
      </c>
      <c r="L8" s="199">
        <f t="shared" si="3"/>
        <v>261.8578683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200" t="str">
        <f>IF('Données projet'!$B$12="","",'Données projet'!$B$12)</f>
        <v>Sapin pectiné</v>
      </c>
      <c r="B9" s="201">
        <f>'Données projet'!D12</f>
        <v>2.573338448</v>
      </c>
      <c r="C9" s="194">
        <f>IF(OR('Données projet'!B12="",'Données projet'!C12="",'Données projet'!C12=0%),0,Calculateur!CD3)</f>
        <v>258.1672054</v>
      </c>
      <c r="D9" s="194">
        <f>IF(OR('Données projet'!B12="",'Données projet'!C12="",'Données projet'!C12=0%),0,Calculateur!CE3)</f>
        <v>296.0724261</v>
      </c>
      <c r="E9" s="194">
        <f t="shared" si="1"/>
        <v>258.1672054</v>
      </c>
      <c r="F9" s="194">
        <f t="shared" si="2"/>
        <v>664.3515957</v>
      </c>
      <c r="G9" s="194">
        <f>F9*(100%-'Données projet'!$C$24)*(100%-'Données projet'!$C$25)*(100%-'Données projet'!$C$26)*(100%-'Données projet'!$C$27)</f>
        <v>597.9164362</v>
      </c>
      <c r="H9" s="202">
        <f>IF(OR('Données projet'!B12="",'Données projet'!C12="",'Données projet'!C12=0%),0,AVERAGE(Calculateur!$CN$3:$CN$33)*B9)</f>
        <v>12.85419217</v>
      </c>
      <c r="I9" s="196">
        <f>H9*(100%-'Données projet'!$C$24)*(100%-'Données projet'!$C$25)*(100%-'Données projet'!$C$26)*(100%-'Données projet'!$C$27)</f>
        <v>11.56877295</v>
      </c>
      <c r="J9" s="197">
        <f>IF(OR('Données projet'!B12="",'Données projet'!C12="",'Données projet'!C12=0%),0,SUM(Calculateur!$CG$3:$CG$33)*VLOOKUP('Données projet'!$B$12,'Paramètres'!$A$1:$I$89,9,0)*B9)</f>
        <v>142.7430837</v>
      </c>
      <c r="K9" s="198">
        <f>J9*(100%-'Données projet'!$C$24)*(100%-'Données projet'!$C$25)*(100%-'Données projet'!$C$26)*(100%-'Données projet'!$C$27)</f>
        <v>128.4687754</v>
      </c>
      <c r="L9" s="199">
        <f t="shared" si="3"/>
        <v>737.9539845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200" t="str">
        <f>IF('Données projet'!$B$13="","",'Données projet'!$B$13)</f>
        <v>Chêne pubescent</v>
      </c>
      <c r="B10" s="201">
        <f>'Données projet'!D13</f>
        <v>1.80000325</v>
      </c>
      <c r="C10" s="194">
        <f>IF(OR('Données projet'!B13="",'Données projet'!C13="",'Données projet'!C13=0%),0,Calculateur!CY3)</f>
        <v>223.783507</v>
      </c>
      <c r="D10" s="194">
        <f>IF(OR('Données projet'!B13="",'Données projet'!C13="",'Données projet'!C13=0%),0,Calculateur!CZ3)</f>
        <v>84.92349117</v>
      </c>
      <c r="E10" s="194">
        <f t="shared" si="1"/>
        <v>84.92349117</v>
      </c>
      <c r="F10" s="194">
        <f t="shared" si="2"/>
        <v>152.8625601</v>
      </c>
      <c r="G10" s="194">
        <f>F10*(100%-'Données projet'!$C$24)*(100%-'Données projet'!$C$25)*(100%-'Données projet'!$C$26)*(100%-'Données projet'!$C$27)</f>
        <v>137.5763041</v>
      </c>
      <c r="H10" s="202">
        <f>IF(OR('Données projet'!B13="",'Données projet'!C13="",'Données projet'!C13=0%),0,AVERAGE(Calculateur!$DI$3:$DI$33)*B10)</f>
        <v>0</v>
      </c>
      <c r="I10" s="196">
        <f>H10*(100%-'Données projet'!$C$24)*(100%-'Données projet'!$C$25)*(100%-'Données projet'!$C$26)*(100%-'Données projet'!$C$27)</f>
        <v>0</v>
      </c>
      <c r="J10" s="197">
        <f>IF(OR('Données projet'!B13="",'Données projet'!C13="",'Données projet'!C13=0%),0,SUM(Calculateur!$DB$3:$DB$33)*VLOOKUP('Données projet'!$B$13,'Paramètres'!$A$1:$I$89,9,0)*B10)</f>
        <v>0</v>
      </c>
      <c r="K10" s="198">
        <f>J10*(100%-'Données projet'!$C$24)*(100%-'Données projet'!$C$25)*(100%-'Données projet'!$C$26)*(100%-'Données projet'!$C$27)</f>
        <v>0</v>
      </c>
      <c r="L10" s="199">
        <f t="shared" si="3"/>
        <v>137.5763041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200" t="str">
        <f>IF('Données projet'!$B$14="","",'Données projet'!$B$14)</f>
        <v>Chêne sessile</v>
      </c>
      <c r="B11" s="201">
        <f>'Données projet'!D14</f>
        <v>1.991677871</v>
      </c>
      <c r="C11" s="194">
        <f>IF(OR('Données projet'!B14="",'Données projet'!C14="",'Données projet'!C14=0%),0,Calculateur!DT3)</f>
        <v>287.9334714</v>
      </c>
      <c r="D11" s="194">
        <f>IF(OR('Données projet'!B14="",'Données projet'!C14="",'Données projet'!C14=0%),0,Calculateur!DU3)</f>
        <v>156.6796502</v>
      </c>
      <c r="E11" s="194">
        <f t="shared" si="1"/>
        <v>156.6796502</v>
      </c>
      <c r="F11" s="194">
        <f t="shared" si="2"/>
        <v>312.0553923</v>
      </c>
      <c r="G11" s="194">
        <f>F11*(100%-'Données projet'!$C$24)*(100%-'Données projet'!$C$25)*(100%-'Données projet'!$C$26)*(100%-'Données projet'!$C$27)</f>
        <v>280.849853</v>
      </c>
      <c r="H11" s="202">
        <f>IF(OR('Données projet'!B14="",'Données projet'!C14="",'Données projet'!C14=0%),0,AVERAGE(Calculateur!$ED$3:$ED$33)*B11)</f>
        <v>0</v>
      </c>
      <c r="I11" s="196">
        <f>H11*(100%-'Données projet'!$C$24)*(100%-'Données projet'!$C$25)*(100%-'Données projet'!$C$26)*(100%-'Données projet'!$C$27)</f>
        <v>0</v>
      </c>
      <c r="J11" s="197">
        <f>IF(OR('Données projet'!B14="",'Données projet'!C14="",'Données projet'!C14=0%),0,SUM(Calculateur!$DW$3:$DW$33)*VLOOKUP('Données projet'!$B$14,'Paramètres'!$A$1:$I$89,9,0)*B11)</f>
        <v>14.43966457</v>
      </c>
      <c r="K11" s="198">
        <f>J11*(100%-'Données projet'!$C$24)*(100%-'Données projet'!$C$25)*(100%-'Données projet'!$C$26)*(100%-'Données projet'!$C$27)</f>
        <v>12.99569811</v>
      </c>
      <c r="L11" s="199">
        <f t="shared" si="3"/>
        <v>293.8455511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200" t="str">
        <f>IF('Données projet'!$B$15="","",'Données projet'!$B$15)</f>
        <v>Châtaignier</v>
      </c>
      <c r="B12" s="201">
        <f>'Données projet'!D15</f>
        <v>1.125002032</v>
      </c>
      <c r="C12" s="194">
        <f>IF(OR('Données projet'!B15="",'Données projet'!C15="",'Données projet'!C15=0%),0,Calculateur!EO3)</f>
        <v>130.3193339</v>
      </c>
      <c r="D12" s="194">
        <f>IF(OR('Données projet'!B15="",'Données projet'!C15="",'Données projet'!C15=0%),0,Calculateur!EP3)</f>
        <v>82.22784365</v>
      </c>
      <c r="E12" s="194">
        <f t="shared" si="1"/>
        <v>82.22784365</v>
      </c>
      <c r="F12" s="194">
        <f t="shared" si="2"/>
        <v>92.50649115</v>
      </c>
      <c r="G12" s="194">
        <f>F12*(100%-'Données projet'!$C$24)*(100%-'Données projet'!$C$25)*(100%-'Données projet'!$C$26)*(100%-'Données projet'!$C$27)</f>
        <v>83.25584203</v>
      </c>
      <c r="H12" s="202">
        <f>IF(OR('Données projet'!B15="",'Données projet'!C15="",'Données projet'!C15=0%),0,AVERAGE(Calculateur!$EY$3:$EY$33)*B12)</f>
        <v>0.03035574366</v>
      </c>
      <c r="I12" s="196">
        <f>H12*(100%-'Données projet'!$C$24)*(100%-'Données projet'!$C$25)*(100%-'Données projet'!$C$26)*(100%-'Données projet'!$C$27)</f>
        <v>0.0273201693</v>
      </c>
      <c r="J12" s="197">
        <f>IF(OR('Données projet'!B15="",'Données projet'!C15="",'Données projet'!C15=0%),0,SUM(Calculateur!$ER$3:$ER$33)*VLOOKUP('Données projet'!$B$15,'Paramètres'!$A$1:$I$89,9,0)*B12)</f>
        <v>3.375006095</v>
      </c>
      <c r="K12" s="198">
        <f>J12*(100%-'Données projet'!$C$24)*(100%-'Données projet'!$C$25)*(100%-'Données projet'!$C$26)*(100%-'Données projet'!$C$27)</f>
        <v>3.037505485</v>
      </c>
      <c r="L12" s="199">
        <f t="shared" si="3"/>
        <v>86.32066769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200" t="str">
        <f>IF('Données projet'!$B$16="","",'Données projet'!$B$16)</f>
        <v>Robinier faux-acacia</v>
      </c>
      <c r="B13" s="201">
        <f>'Données projet'!D16</f>
        <v>0.6449937906</v>
      </c>
      <c r="C13" s="194">
        <f>IF(OR('Données projet'!B16="",'Données projet'!C16="",'Données projet'!C16=0%),0,Calculateur!FJ3)</f>
        <v>305.6252353</v>
      </c>
      <c r="D13" s="194">
        <f>IF(OR('Données projet'!B16="",'Données projet'!C16="",'Données projet'!C16=0%),0,Calculateur!FK3)</f>
        <v>331.397916</v>
      </c>
      <c r="E13" s="194">
        <f t="shared" si="1"/>
        <v>305.6252353</v>
      </c>
      <c r="F13" s="194">
        <f t="shared" si="2"/>
        <v>197.126379</v>
      </c>
      <c r="G13" s="194">
        <f>F13*(100%-'Données projet'!$C$24)*(100%-'Données projet'!$C$25)*(100%-'Données projet'!$C$26)*(100%-'Données projet'!$C$27)</f>
        <v>177.4137411</v>
      </c>
      <c r="H13" s="202">
        <f>IF(OR('Données projet'!B16="",'Données projet'!C16="",'Données projet'!C16=0%),0,AVERAGE(Calculateur!$FT$3:$FT$33)*B13)</f>
        <v>0</v>
      </c>
      <c r="I13" s="196">
        <f>H13*(100%-'Données projet'!$C$24)*(100%-'Données projet'!$C$25)*(100%-'Données projet'!$C$26)*(100%-'Données projet'!$C$27)</f>
        <v>0</v>
      </c>
      <c r="J13" s="197">
        <f>IF(OR('Données projet'!C16="",'Données projet'!C16=0%),0,SUM(Calculateur!$FM$3:$FM$33)*VLOOKUP('Données projet'!$B$16,'Paramètres'!$A$1:$I$89,9,0)*B13)</f>
        <v>15.31860253</v>
      </c>
      <c r="K13" s="198">
        <f>J13*(100%-'Données projet'!$C$24)*(100%-'Données projet'!$C$25)*(100%-'Données projet'!$C$26)*(100%-'Données projet'!$C$27)</f>
        <v>13.78674227</v>
      </c>
      <c r="L13" s="199">
        <f t="shared" si="3"/>
        <v>191.2004834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200" t="str">
        <f>IF('Données projet'!$B$17="","",'Données projet'!$B$17)</f>
        <v>Tilleul</v>
      </c>
      <c r="B14" s="201">
        <f>'Données projet'!D17</f>
        <v>0.2066704343</v>
      </c>
      <c r="C14" s="194">
        <f>IF(OR('Données projet'!B17="",'Données projet'!C17="",'Données projet'!C17=0%),0,Calculateur!GE3)</f>
        <v>118.7368745</v>
      </c>
      <c r="D14" s="194">
        <f>IF(OR('Données projet'!B17="",'Données projet'!C17="",'Données projet'!C17=0%),0,Calculateur!GF3)</f>
        <v>135.1233677</v>
      </c>
      <c r="E14" s="194">
        <f t="shared" si="1"/>
        <v>118.7368745</v>
      </c>
      <c r="F14" s="194">
        <f t="shared" si="2"/>
        <v>24.53940142</v>
      </c>
      <c r="G14" s="194">
        <f>F14*(100%-'Données projet'!$C$24)*(100%-'Données projet'!$C$25)*(100%-'Données projet'!$C$26)*(100%-'Données projet'!$C$27)</f>
        <v>22.08546128</v>
      </c>
      <c r="H14" s="202">
        <f>IF(OR('Données projet'!B17="",'Données projet'!C17="",'Données projet'!C17=0%),0,AVERAGE(Calculateur!$GO$3:$GO$33)*B14)</f>
        <v>0</v>
      </c>
      <c r="I14" s="196">
        <f>H14*(100%-'Données projet'!$C$24)*(100%-'Données projet'!$C$25)*(100%-'Données projet'!$C$26)*(100%-'Données projet'!$C$27)</f>
        <v>0</v>
      </c>
      <c r="J14" s="197">
        <f>IF(OR('Données projet'!B17="",'Données projet'!C17="",'Données projet'!C17=0%),0,SUM(Calculateur!$GH$3:$GH$33)*VLOOKUP('Données projet'!$B$17,'Paramètres'!$A$1:$I$89,9,0)*B14)</f>
        <v>1.8083663</v>
      </c>
      <c r="K14" s="198">
        <f>J14*(100%-'Données projet'!$C$24)*(100%-'Données projet'!$C$25)*(100%-'Données projet'!$C$26)*(100%-'Données projet'!$C$27)</f>
        <v>1.62752967</v>
      </c>
      <c r="L14" s="199">
        <f t="shared" si="3"/>
        <v>23.71299095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203" t="str">
        <f>IF('Données projet'!B18="","",'Données projet'!B18)</f>
        <v>Cormier</v>
      </c>
      <c r="B15" s="204">
        <f>'Données projet'!D18</f>
        <v>0.9400036288</v>
      </c>
      <c r="C15" s="205">
        <f>IF(OR('Données projet'!B18="",'Données projet'!C18="",'Données projet'!C18=0%),0,Calculateur!GZ3)</f>
        <v>100.5427875</v>
      </c>
      <c r="D15" s="205">
        <f>IF(OR('Données projet'!B18="",'Données projet'!C18="",'Données projet'!C18=0%),0,Calculateur!HA3)</f>
        <v>92.28663609</v>
      </c>
      <c r="E15" s="205">
        <f t="shared" si="1"/>
        <v>92.28663609</v>
      </c>
      <c r="F15" s="206">
        <f t="shared" si="2"/>
        <v>86.74977281</v>
      </c>
      <c r="G15" s="206">
        <f>F15*(100%-'Données projet'!$C$24)*(100%-'Données projet'!$C$25)*(100%-'Données projet'!$C$26)*(100%-'Données projet'!$C$27)</f>
        <v>78.07479553</v>
      </c>
      <c r="H15" s="207">
        <f>IF(OR('Données projet'!B18="",'Données projet'!C18="",'Données projet'!C18=0%),0,AVERAGE(Calculateur!$HJ$3:$HJ$33)*B15)</f>
        <v>0</v>
      </c>
      <c r="I15" s="208">
        <f>H15*(100%-'Données projet'!$C$24)*(100%-'Données projet'!$C$25)*(100%-'Données projet'!$C$26)*(100%-'Données projet'!$C$27)</f>
        <v>0</v>
      </c>
      <c r="J15" s="209">
        <f>IF(OR('Données projet'!B18="",'Données projet'!C18="",'Données projet'!C18=0%),0,SUM(Calculateur!$HC$3:$HC$33)*VLOOKUP('Données projet'!$B$18,'Paramètres'!$A$1:$I$89,9,0)*B15)</f>
        <v>0</v>
      </c>
      <c r="K15" s="210">
        <f>J15*(100%-'Données projet'!$C$24)*(100%-'Données projet'!$C$25)*(100%-'Données projet'!$C$26)*(100%-'Données projet'!$C$27)</f>
        <v>0</v>
      </c>
      <c r="L15" s="211">
        <f t="shared" si="3"/>
        <v>78.07479553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212"/>
      <c r="B16" s="213"/>
      <c r="C16" s="150"/>
      <c r="D16" s="9"/>
      <c r="E16" s="9"/>
      <c r="F16" s="214">
        <f t="shared" ref="F16:L16" si="4">SUM(F6:F15)</f>
        <v>2467.201228</v>
      </c>
      <c r="G16" s="215">
        <f t="shared" si="4"/>
        <v>2220.481106</v>
      </c>
      <c r="H16" s="216">
        <f t="shared" si="4"/>
        <v>22.69376712</v>
      </c>
      <c r="I16" s="216">
        <f t="shared" si="4"/>
        <v>20.42439041</v>
      </c>
      <c r="J16" s="217">
        <f t="shared" si="4"/>
        <v>310.6751801</v>
      </c>
      <c r="K16" s="217">
        <f t="shared" si="4"/>
        <v>279.6076621</v>
      </c>
      <c r="L16" s="218">
        <f t="shared" si="4"/>
        <v>2520.513158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212"/>
      <c r="B17" s="213"/>
      <c r="C17" s="150"/>
      <c r="D17" s="9"/>
      <c r="E17" s="9"/>
      <c r="F17" s="219" t="s">
        <v>311</v>
      </c>
      <c r="G17" s="220"/>
      <c r="H17" s="220"/>
      <c r="I17" s="220"/>
      <c r="J17" s="220"/>
      <c r="K17" s="220"/>
      <c r="L17" s="22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212"/>
      <c r="B18" s="213"/>
      <c r="C18" s="150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21" t="str">
        <f>A6</f>
        <v>Pin sylvestre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21" t="str">
        <f>A7</f>
        <v>Pin laricio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21" t="str">
        <f>A8</f>
        <v>Cèdre de l'Atlas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21" t="str">
        <f>A9</f>
        <v>Sapin pectiné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21" t="str">
        <f>A10</f>
        <v>Chêne pubescent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21" t="str">
        <f>A11</f>
        <v>Chêne sessile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21" t="str">
        <f>A12</f>
        <v>Châtaignier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21" t="str">
        <f>A13</f>
        <v>Robinier faux-acacia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21" t="str">
        <f>A14</f>
        <v>Tilleul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21" t="str">
        <f>A15</f>
        <v>Cormier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22"/>
      <c r="J358" s="222"/>
      <c r="K358" s="222"/>
      <c r="L358" s="222"/>
      <c r="M358" s="22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22"/>
      <c r="J359" s="222"/>
      <c r="K359" s="222"/>
      <c r="L359" s="222"/>
      <c r="M359" s="22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22"/>
      <c r="J360" s="222"/>
      <c r="K360" s="222"/>
      <c r="L360" s="222"/>
      <c r="M360" s="22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22"/>
      <c r="J361" s="222"/>
      <c r="K361" s="222"/>
      <c r="L361" s="222"/>
      <c r="M361" s="22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22"/>
      <c r="J362" s="222"/>
      <c r="K362" s="222"/>
      <c r="L362" s="222"/>
      <c r="M362" s="22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22"/>
      <c r="J363" s="222"/>
      <c r="K363" s="222"/>
      <c r="L363" s="222"/>
      <c r="M363" s="22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22"/>
      <c r="J364" s="222"/>
      <c r="K364" s="222"/>
      <c r="L364" s="222"/>
      <c r="M364" s="22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22"/>
      <c r="J365" s="222"/>
      <c r="K365" s="222"/>
      <c r="L365" s="222"/>
      <c r="M365" s="22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22"/>
      <c r="J366" s="222"/>
      <c r="K366" s="222"/>
      <c r="L366" s="222"/>
      <c r="M366" s="22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22"/>
      <c r="J367" s="222"/>
      <c r="K367" s="222"/>
      <c r="L367" s="222"/>
      <c r="M367" s="22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22"/>
      <c r="J368" s="222"/>
      <c r="K368" s="222"/>
      <c r="L368" s="222"/>
      <c r="M368" s="22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22"/>
      <c r="J369" s="222"/>
      <c r="K369" s="222"/>
      <c r="L369" s="222"/>
      <c r="M369" s="22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22"/>
      <c r="J370" s="222"/>
      <c r="K370" s="222"/>
      <c r="L370" s="222"/>
      <c r="M370" s="22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22"/>
      <c r="J371" s="222"/>
      <c r="K371" s="222"/>
      <c r="L371" s="222"/>
      <c r="M371" s="22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22"/>
      <c r="J372" s="222"/>
      <c r="K372" s="222"/>
      <c r="L372" s="222"/>
      <c r="M372" s="22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22"/>
      <c r="J373" s="222"/>
      <c r="K373" s="222"/>
      <c r="L373" s="222"/>
      <c r="M373" s="22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22"/>
      <c r="J374" s="222"/>
      <c r="K374" s="222"/>
      <c r="L374" s="222"/>
      <c r="M374" s="22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22"/>
      <c r="J375" s="222"/>
      <c r="K375" s="222"/>
      <c r="L375" s="222"/>
      <c r="M375" s="22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22"/>
      <c r="J376" s="222"/>
      <c r="K376" s="222"/>
      <c r="L376" s="222"/>
      <c r="M376" s="22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22"/>
      <c r="J377" s="222"/>
      <c r="K377" s="222"/>
      <c r="L377" s="222"/>
      <c r="M377" s="22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22"/>
      <c r="J378" s="222"/>
      <c r="K378" s="222"/>
      <c r="L378" s="222"/>
      <c r="M378" s="22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22"/>
      <c r="J379" s="222"/>
      <c r="K379" s="222"/>
      <c r="L379" s="222"/>
      <c r="M379" s="22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22"/>
      <c r="J380" s="222"/>
      <c r="K380" s="222"/>
      <c r="L380" s="222"/>
      <c r="M380" s="22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22"/>
      <c r="J381" s="222"/>
      <c r="K381" s="222"/>
      <c r="L381" s="222"/>
      <c r="M381" s="22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22"/>
      <c r="J382" s="222"/>
      <c r="K382" s="222"/>
      <c r="L382" s="222"/>
      <c r="M382" s="22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22"/>
      <c r="J383" s="222"/>
      <c r="K383" s="222"/>
      <c r="L383" s="222"/>
      <c r="M383" s="22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22"/>
      <c r="J384" s="222"/>
      <c r="K384" s="222"/>
      <c r="L384" s="222"/>
      <c r="M384" s="22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22"/>
      <c r="J385" s="222"/>
      <c r="K385" s="222"/>
      <c r="L385" s="222"/>
      <c r="M385" s="22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22"/>
      <c r="J386" s="222"/>
      <c r="K386" s="222"/>
      <c r="L386" s="222"/>
      <c r="M386" s="22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22"/>
      <c r="J387" s="222"/>
      <c r="K387" s="222"/>
      <c r="L387" s="222"/>
      <c r="M387" s="22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22"/>
      <c r="J388" s="222"/>
      <c r="K388" s="222"/>
      <c r="L388" s="222"/>
      <c r="M388" s="22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22"/>
      <c r="J389" s="222"/>
      <c r="K389" s="222"/>
      <c r="L389" s="222"/>
      <c r="M389" s="22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22"/>
      <c r="J390" s="222"/>
      <c r="K390" s="222"/>
      <c r="L390" s="222"/>
      <c r="M390" s="22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22"/>
      <c r="J391" s="222"/>
      <c r="K391" s="222"/>
      <c r="L391" s="222"/>
      <c r="M391" s="22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22"/>
      <c r="J392" s="222"/>
      <c r="K392" s="222"/>
      <c r="L392" s="222"/>
      <c r="M392" s="22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22"/>
      <c r="J393" s="222"/>
      <c r="K393" s="222"/>
      <c r="L393" s="222"/>
      <c r="M393" s="22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22"/>
      <c r="J394" s="222"/>
      <c r="K394" s="222"/>
      <c r="L394" s="222"/>
      <c r="M394" s="22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22"/>
      <c r="J395" s="222"/>
      <c r="K395" s="222"/>
      <c r="L395" s="222"/>
      <c r="M395" s="22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22"/>
      <c r="J396" s="222"/>
      <c r="K396" s="222"/>
      <c r="L396" s="222"/>
      <c r="M396" s="22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22"/>
      <c r="J397" s="222"/>
      <c r="K397" s="222"/>
      <c r="L397" s="222"/>
      <c r="M397" s="22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22"/>
      <c r="J398" s="222"/>
      <c r="K398" s="222"/>
      <c r="L398" s="222"/>
      <c r="M398" s="22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22"/>
      <c r="J399" s="222"/>
      <c r="K399" s="222"/>
      <c r="L399" s="222"/>
      <c r="M399" s="22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22"/>
      <c r="J400" s="222"/>
      <c r="K400" s="222"/>
      <c r="L400" s="222"/>
      <c r="M400" s="22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22"/>
      <c r="J401" s="222"/>
      <c r="K401" s="222"/>
      <c r="L401" s="222"/>
      <c r="M401" s="22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22"/>
      <c r="J402" s="222"/>
      <c r="K402" s="222"/>
      <c r="L402" s="222"/>
      <c r="M402" s="22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22"/>
      <c r="J403" s="222"/>
      <c r="K403" s="222"/>
      <c r="L403" s="222"/>
      <c r="M403" s="22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22"/>
      <c r="J404" s="222"/>
      <c r="K404" s="222"/>
      <c r="L404" s="222"/>
      <c r="M404" s="22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22"/>
      <c r="J405" s="222"/>
      <c r="K405" s="222"/>
      <c r="L405" s="222"/>
      <c r="M405" s="22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22"/>
      <c r="J406" s="222"/>
      <c r="K406" s="222"/>
      <c r="L406" s="222"/>
      <c r="M406" s="22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22"/>
      <c r="J407" s="222"/>
      <c r="K407" s="222"/>
      <c r="L407" s="222"/>
      <c r="M407" s="22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22"/>
      <c r="J408" s="222"/>
      <c r="K408" s="222"/>
      <c r="L408" s="222"/>
      <c r="M408" s="22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22"/>
      <c r="J409" s="222"/>
      <c r="K409" s="222"/>
      <c r="L409" s="222"/>
      <c r="M409" s="22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22"/>
      <c r="J410" s="222"/>
      <c r="K410" s="222"/>
      <c r="L410" s="222"/>
      <c r="M410" s="22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22"/>
      <c r="J411" s="222"/>
      <c r="K411" s="222"/>
      <c r="L411" s="222"/>
      <c r="M411" s="22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22"/>
      <c r="J412" s="222"/>
      <c r="K412" s="222"/>
      <c r="L412" s="222"/>
      <c r="M412" s="22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22"/>
      <c r="J413" s="222"/>
      <c r="K413" s="222"/>
      <c r="L413" s="222"/>
      <c r="M413" s="22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22"/>
      <c r="J414" s="222"/>
      <c r="K414" s="222"/>
      <c r="L414" s="222"/>
      <c r="M414" s="22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22"/>
      <c r="J415" s="222"/>
      <c r="K415" s="222"/>
      <c r="L415" s="222"/>
      <c r="M415" s="22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22"/>
      <c r="J416" s="222"/>
      <c r="K416" s="222"/>
      <c r="L416" s="222"/>
      <c r="M416" s="22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22"/>
      <c r="J417" s="222"/>
      <c r="K417" s="222"/>
      <c r="L417" s="222"/>
      <c r="M417" s="22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22"/>
      <c r="J418" s="222"/>
      <c r="K418" s="222"/>
      <c r="L418" s="222"/>
      <c r="M418" s="22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22"/>
      <c r="J419" s="222"/>
      <c r="K419" s="222"/>
      <c r="L419" s="222"/>
      <c r="M419" s="22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22"/>
      <c r="J420" s="222"/>
      <c r="K420" s="222"/>
      <c r="L420" s="222"/>
      <c r="M420" s="22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22"/>
      <c r="J421" s="222"/>
      <c r="K421" s="222"/>
      <c r="L421" s="222"/>
      <c r="M421" s="22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22"/>
      <c r="J422" s="222"/>
      <c r="K422" s="222"/>
      <c r="L422" s="222"/>
      <c r="M422" s="22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22"/>
      <c r="J423" s="222"/>
      <c r="K423" s="222"/>
      <c r="L423" s="222"/>
      <c r="M423" s="22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22"/>
      <c r="J424" s="222"/>
      <c r="K424" s="222"/>
      <c r="L424" s="222"/>
      <c r="M424" s="22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22"/>
      <c r="J425" s="222"/>
      <c r="K425" s="222"/>
      <c r="L425" s="222"/>
      <c r="M425" s="22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22"/>
      <c r="J426" s="222"/>
      <c r="K426" s="222"/>
      <c r="L426" s="222"/>
      <c r="M426" s="22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22"/>
      <c r="J427" s="222"/>
      <c r="K427" s="222"/>
      <c r="L427" s="222"/>
      <c r="M427" s="22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22"/>
      <c r="J428" s="222"/>
      <c r="K428" s="222"/>
      <c r="L428" s="222"/>
      <c r="M428" s="22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22"/>
      <c r="J429" s="222"/>
      <c r="K429" s="222"/>
      <c r="L429" s="222"/>
      <c r="M429" s="22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22"/>
      <c r="J430" s="222"/>
      <c r="K430" s="222"/>
      <c r="L430" s="222"/>
      <c r="M430" s="22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22"/>
      <c r="J431" s="222"/>
      <c r="K431" s="222"/>
      <c r="L431" s="222"/>
      <c r="M431" s="22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22"/>
      <c r="J432" s="222"/>
      <c r="K432" s="222"/>
      <c r="L432" s="222"/>
      <c r="M432" s="22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22"/>
      <c r="J433" s="222"/>
      <c r="K433" s="222"/>
      <c r="L433" s="222"/>
      <c r="M433" s="22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22"/>
      <c r="J434" s="222"/>
      <c r="K434" s="222"/>
      <c r="L434" s="222"/>
      <c r="M434" s="22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22"/>
      <c r="J435" s="222"/>
      <c r="K435" s="222"/>
      <c r="L435" s="222"/>
      <c r="M435" s="22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22"/>
      <c r="J436" s="222"/>
      <c r="K436" s="222"/>
      <c r="L436" s="222"/>
      <c r="M436" s="22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22"/>
      <c r="J437" s="222"/>
      <c r="K437" s="222"/>
      <c r="L437" s="222"/>
      <c r="M437" s="22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22"/>
      <c r="J438" s="222"/>
      <c r="K438" s="222"/>
      <c r="L438" s="222"/>
      <c r="M438" s="22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22"/>
      <c r="J439" s="222"/>
      <c r="K439" s="222"/>
      <c r="L439" s="222"/>
      <c r="M439" s="22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22"/>
      <c r="J440" s="222"/>
      <c r="K440" s="222"/>
      <c r="L440" s="222"/>
      <c r="M440" s="22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22"/>
      <c r="J441" s="222"/>
      <c r="K441" s="222"/>
      <c r="L441" s="222"/>
      <c r="M441" s="22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22"/>
      <c r="J442" s="222"/>
      <c r="K442" s="222"/>
      <c r="L442" s="222"/>
      <c r="M442" s="22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22"/>
      <c r="J443" s="222"/>
      <c r="K443" s="222"/>
      <c r="L443" s="222"/>
      <c r="M443" s="22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22"/>
      <c r="J444" s="222"/>
      <c r="K444" s="222"/>
      <c r="L444" s="222"/>
      <c r="M444" s="22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22"/>
      <c r="J445" s="222"/>
      <c r="K445" s="222"/>
      <c r="L445" s="222"/>
      <c r="M445" s="22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22"/>
      <c r="J446" s="222"/>
      <c r="K446" s="222"/>
      <c r="L446" s="222"/>
      <c r="M446" s="22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22"/>
      <c r="J447" s="222"/>
      <c r="K447" s="222"/>
      <c r="L447" s="222"/>
      <c r="M447" s="22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22"/>
      <c r="J448" s="222"/>
      <c r="K448" s="222"/>
      <c r="L448" s="222"/>
      <c r="M448" s="22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22"/>
      <c r="J449" s="222"/>
      <c r="K449" s="222"/>
      <c r="L449" s="222"/>
      <c r="M449" s="22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22"/>
      <c r="J450" s="222"/>
      <c r="K450" s="222"/>
      <c r="L450" s="222"/>
      <c r="M450" s="22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22"/>
      <c r="J451" s="222"/>
      <c r="K451" s="222"/>
      <c r="L451" s="222"/>
      <c r="M451" s="22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22"/>
      <c r="J452" s="222"/>
      <c r="K452" s="222"/>
      <c r="L452" s="222"/>
      <c r="M452" s="22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22"/>
      <c r="J453" s="222"/>
      <c r="K453" s="222"/>
      <c r="L453" s="222"/>
      <c r="M453" s="22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22"/>
      <c r="J454" s="222"/>
      <c r="K454" s="222"/>
      <c r="L454" s="222"/>
      <c r="M454" s="22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22"/>
      <c r="J455" s="222"/>
      <c r="K455" s="222"/>
      <c r="L455" s="222"/>
      <c r="M455" s="22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22"/>
      <c r="J456" s="222"/>
      <c r="K456" s="222"/>
      <c r="L456" s="222"/>
      <c r="M456" s="22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22"/>
      <c r="J457" s="222"/>
      <c r="K457" s="222"/>
      <c r="L457" s="222"/>
      <c r="M457" s="22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22"/>
      <c r="J458" s="222"/>
      <c r="K458" s="222"/>
      <c r="L458" s="222"/>
      <c r="M458" s="22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22"/>
      <c r="J459" s="222"/>
      <c r="K459" s="222"/>
      <c r="L459" s="222"/>
      <c r="M459" s="22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22"/>
      <c r="J460" s="222"/>
      <c r="K460" s="222"/>
      <c r="L460" s="222"/>
      <c r="M460" s="22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22"/>
      <c r="J461" s="222"/>
      <c r="K461" s="222"/>
      <c r="L461" s="222"/>
      <c r="M461" s="22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22"/>
      <c r="J462" s="222"/>
      <c r="K462" s="222"/>
      <c r="L462" s="222"/>
      <c r="M462" s="22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22"/>
      <c r="J463" s="222"/>
      <c r="K463" s="222"/>
      <c r="L463" s="222"/>
      <c r="M463" s="22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22"/>
      <c r="J464" s="222"/>
      <c r="K464" s="222"/>
      <c r="L464" s="222"/>
      <c r="M464" s="22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22"/>
      <c r="J465" s="222"/>
      <c r="K465" s="222"/>
      <c r="L465" s="222"/>
      <c r="M465" s="22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22"/>
      <c r="J466" s="222"/>
      <c r="K466" s="222"/>
      <c r="L466" s="222"/>
      <c r="M466" s="22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22"/>
      <c r="J467" s="222"/>
      <c r="K467" s="222"/>
      <c r="L467" s="222"/>
      <c r="M467" s="22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22"/>
      <c r="J468" s="222"/>
      <c r="K468" s="222"/>
      <c r="L468" s="222"/>
      <c r="M468" s="22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22"/>
      <c r="J469" s="222"/>
      <c r="K469" s="222"/>
      <c r="L469" s="222"/>
      <c r="M469" s="22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22"/>
      <c r="J470" s="222"/>
      <c r="K470" s="222"/>
      <c r="L470" s="222"/>
      <c r="M470" s="22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22"/>
      <c r="J471" s="222"/>
      <c r="K471" s="222"/>
      <c r="L471" s="222"/>
      <c r="M471" s="22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22"/>
      <c r="J472" s="222"/>
      <c r="K472" s="222"/>
      <c r="L472" s="222"/>
      <c r="M472" s="22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22"/>
      <c r="J473" s="222"/>
      <c r="K473" s="222"/>
      <c r="L473" s="222"/>
      <c r="M473" s="22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22"/>
      <c r="J474" s="222"/>
      <c r="K474" s="222"/>
      <c r="L474" s="222"/>
      <c r="M474" s="22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22"/>
      <c r="J475" s="222"/>
      <c r="K475" s="222"/>
      <c r="L475" s="222"/>
      <c r="M475" s="22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22"/>
      <c r="J476" s="222"/>
      <c r="K476" s="222"/>
      <c r="L476" s="222"/>
      <c r="M476" s="22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22"/>
      <c r="J477" s="222"/>
      <c r="K477" s="222"/>
      <c r="L477" s="222"/>
      <c r="M477" s="22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22"/>
      <c r="J478" s="222"/>
      <c r="K478" s="222"/>
      <c r="L478" s="222"/>
      <c r="M478" s="22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22"/>
      <c r="J479" s="222"/>
      <c r="K479" s="222"/>
      <c r="L479" s="222"/>
      <c r="M479" s="22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22"/>
      <c r="J480" s="222"/>
      <c r="K480" s="222"/>
      <c r="L480" s="222"/>
      <c r="M480" s="22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22"/>
      <c r="J481" s="222"/>
      <c r="K481" s="222"/>
      <c r="L481" s="222"/>
      <c r="M481" s="22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22"/>
      <c r="J482" s="222"/>
      <c r="K482" s="222"/>
      <c r="L482" s="222"/>
      <c r="M482" s="22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22"/>
      <c r="J483" s="222"/>
      <c r="K483" s="222"/>
      <c r="L483" s="222"/>
      <c r="M483" s="22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22"/>
      <c r="J484" s="222"/>
      <c r="K484" s="222"/>
      <c r="L484" s="222"/>
      <c r="M484" s="22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22"/>
      <c r="J485" s="222"/>
      <c r="K485" s="222"/>
      <c r="L485" s="222"/>
      <c r="M485" s="22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22"/>
      <c r="J486" s="222"/>
      <c r="K486" s="222"/>
      <c r="L486" s="222"/>
      <c r="M486" s="22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22"/>
      <c r="J487" s="222"/>
      <c r="K487" s="222"/>
      <c r="L487" s="222"/>
      <c r="M487" s="22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22"/>
      <c r="J488" s="222"/>
      <c r="K488" s="222"/>
      <c r="L488" s="222"/>
      <c r="M488" s="22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22"/>
      <c r="J489" s="222"/>
      <c r="K489" s="222"/>
      <c r="L489" s="222"/>
      <c r="M489" s="22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22"/>
      <c r="J490" s="222"/>
      <c r="K490" s="222"/>
      <c r="L490" s="222"/>
      <c r="M490" s="22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22"/>
      <c r="J491" s="222"/>
      <c r="K491" s="222"/>
      <c r="L491" s="222"/>
      <c r="M491" s="22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22"/>
      <c r="J492" s="222"/>
      <c r="K492" s="222"/>
      <c r="L492" s="222"/>
      <c r="M492" s="22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22"/>
      <c r="J493" s="222"/>
      <c r="K493" s="222"/>
      <c r="L493" s="222"/>
      <c r="M493" s="22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22"/>
      <c r="J494" s="222"/>
      <c r="K494" s="222"/>
      <c r="L494" s="222"/>
      <c r="M494" s="22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22"/>
      <c r="J495" s="222"/>
      <c r="K495" s="222"/>
      <c r="L495" s="222"/>
      <c r="M495" s="22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22"/>
      <c r="J496" s="222"/>
      <c r="K496" s="222"/>
      <c r="L496" s="222"/>
      <c r="M496" s="22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22"/>
      <c r="J497" s="222"/>
      <c r="K497" s="222"/>
      <c r="L497" s="222"/>
      <c r="M497" s="22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22"/>
      <c r="J498" s="222"/>
      <c r="K498" s="222"/>
      <c r="L498" s="222"/>
      <c r="M498" s="22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22"/>
      <c r="J499" s="222"/>
      <c r="K499" s="222"/>
      <c r="L499" s="222"/>
      <c r="M499" s="22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22"/>
      <c r="J500" s="222"/>
      <c r="K500" s="222"/>
      <c r="L500" s="222"/>
      <c r="M500" s="22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22"/>
      <c r="J501" s="222"/>
      <c r="K501" s="222"/>
      <c r="L501" s="222"/>
      <c r="M501" s="22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22"/>
      <c r="J502" s="222"/>
      <c r="K502" s="222"/>
      <c r="L502" s="222"/>
      <c r="M502" s="22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22"/>
      <c r="J503" s="222"/>
      <c r="K503" s="222"/>
      <c r="L503" s="222"/>
      <c r="M503" s="22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22"/>
      <c r="J504" s="222"/>
      <c r="K504" s="222"/>
      <c r="L504" s="222"/>
      <c r="M504" s="22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22"/>
      <c r="J505" s="222"/>
      <c r="K505" s="222"/>
      <c r="L505" s="222"/>
      <c r="M505" s="22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22"/>
      <c r="J506" s="222"/>
      <c r="K506" s="222"/>
      <c r="L506" s="222"/>
      <c r="M506" s="22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22"/>
      <c r="J507" s="222"/>
      <c r="K507" s="222"/>
      <c r="L507" s="222"/>
      <c r="M507" s="22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22"/>
      <c r="J508" s="222"/>
      <c r="K508" s="222"/>
      <c r="L508" s="222"/>
      <c r="M508" s="22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22"/>
      <c r="J509" s="222"/>
      <c r="K509" s="222"/>
      <c r="L509" s="222"/>
      <c r="M509" s="22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22"/>
      <c r="J510" s="222"/>
      <c r="K510" s="222"/>
      <c r="L510" s="222"/>
      <c r="M510" s="22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22"/>
      <c r="J511" s="222"/>
      <c r="K511" s="222"/>
      <c r="L511" s="222"/>
      <c r="M511" s="22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22"/>
      <c r="J512" s="222"/>
      <c r="K512" s="222"/>
      <c r="L512" s="222"/>
      <c r="M512" s="22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22"/>
      <c r="J513" s="222"/>
      <c r="K513" s="222"/>
      <c r="L513" s="222"/>
      <c r="M513" s="22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22"/>
      <c r="J514" s="222"/>
      <c r="K514" s="222"/>
      <c r="L514" s="222"/>
      <c r="M514" s="22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22"/>
      <c r="J515" s="222"/>
      <c r="K515" s="222"/>
      <c r="L515" s="222"/>
      <c r="M515" s="22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22"/>
      <c r="J516" s="222"/>
      <c r="K516" s="222"/>
      <c r="L516" s="222"/>
      <c r="M516" s="22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22"/>
      <c r="J517" s="222"/>
      <c r="K517" s="222"/>
      <c r="L517" s="222"/>
      <c r="M517" s="22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22"/>
      <c r="J518" s="222"/>
      <c r="K518" s="222"/>
      <c r="L518" s="222"/>
      <c r="M518" s="22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22"/>
      <c r="J519" s="222"/>
      <c r="K519" s="222"/>
      <c r="L519" s="222"/>
      <c r="M519" s="22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22"/>
      <c r="J520" s="222"/>
      <c r="K520" s="222"/>
      <c r="L520" s="222"/>
      <c r="M520" s="22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22"/>
      <c r="J521" s="222"/>
      <c r="K521" s="222"/>
      <c r="L521" s="222"/>
      <c r="M521" s="22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22"/>
      <c r="J522" s="222"/>
      <c r="K522" s="222"/>
      <c r="L522" s="222"/>
      <c r="M522" s="22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22"/>
      <c r="J523" s="222"/>
      <c r="K523" s="222"/>
      <c r="L523" s="222"/>
      <c r="M523" s="22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22"/>
      <c r="J524" s="222"/>
      <c r="K524" s="222"/>
      <c r="L524" s="222"/>
      <c r="M524" s="22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22"/>
      <c r="J525" s="222"/>
      <c r="K525" s="222"/>
      <c r="L525" s="222"/>
      <c r="M525" s="22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22"/>
      <c r="J526" s="222"/>
      <c r="K526" s="222"/>
      <c r="L526" s="222"/>
      <c r="M526" s="22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22"/>
      <c r="J527" s="222"/>
      <c r="K527" s="222"/>
      <c r="L527" s="222"/>
      <c r="M527" s="22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22"/>
      <c r="J528" s="222"/>
      <c r="K528" s="222"/>
      <c r="L528" s="222"/>
      <c r="M528" s="22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22"/>
      <c r="J529" s="222"/>
      <c r="K529" s="222"/>
      <c r="L529" s="222"/>
      <c r="M529" s="22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22"/>
      <c r="J530" s="222"/>
      <c r="K530" s="222"/>
      <c r="L530" s="222"/>
      <c r="M530" s="22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22"/>
      <c r="J531" s="222"/>
      <c r="K531" s="222"/>
      <c r="L531" s="222"/>
      <c r="M531" s="22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22"/>
      <c r="J532" s="222"/>
      <c r="K532" s="222"/>
      <c r="L532" s="222"/>
      <c r="M532" s="22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22"/>
      <c r="J533" s="222"/>
      <c r="K533" s="222"/>
      <c r="L533" s="222"/>
      <c r="M533" s="22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22"/>
      <c r="J534" s="222"/>
      <c r="K534" s="222"/>
      <c r="L534" s="222"/>
      <c r="M534" s="22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22"/>
      <c r="J535" s="222"/>
      <c r="K535" s="222"/>
      <c r="L535" s="222"/>
      <c r="M535" s="22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22"/>
      <c r="J536" s="222"/>
      <c r="K536" s="222"/>
      <c r="L536" s="222"/>
      <c r="M536" s="22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22"/>
      <c r="J537" s="222"/>
      <c r="K537" s="222"/>
      <c r="L537" s="222"/>
      <c r="M537" s="22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22"/>
      <c r="J538" s="222"/>
      <c r="K538" s="222"/>
      <c r="L538" s="222"/>
      <c r="M538" s="22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22"/>
      <c r="J539" s="222"/>
      <c r="K539" s="222"/>
      <c r="L539" s="222"/>
      <c r="M539" s="22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22"/>
      <c r="J540" s="222"/>
      <c r="K540" s="222"/>
      <c r="L540" s="222"/>
      <c r="M540" s="22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22"/>
      <c r="J541" s="222"/>
      <c r="K541" s="222"/>
      <c r="L541" s="222"/>
      <c r="M541" s="22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22"/>
      <c r="J542" s="222"/>
      <c r="K542" s="222"/>
      <c r="L542" s="222"/>
      <c r="M542" s="22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22"/>
      <c r="J543" s="222"/>
      <c r="K543" s="222"/>
      <c r="L543" s="222"/>
      <c r="M543" s="22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22"/>
      <c r="J544" s="222"/>
      <c r="K544" s="222"/>
      <c r="L544" s="222"/>
      <c r="M544" s="22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22"/>
      <c r="J545" s="222"/>
      <c r="K545" s="222"/>
      <c r="L545" s="222"/>
      <c r="M545" s="22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22"/>
      <c r="J546" s="222"/>
      <c r="K546" s="222"/>
      <c r="L546" s="222"/>
      <c r="M546" s="22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22"/>
      <c r="J547" s="222"/>
      <c r="K547" s="222"/>
      <c r="L547" s="222"/>
      <c r="M547" s="22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22"/>
      <c r="J548" s="222"/>
      <c r="K548" s="222"/>
      <c r="L548" s="222"/>
      <c r="M548" s="22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22"/>
      <c r="J549" s="222"/>
      <c r="K549" s="222"/>
      <c r="L549" s="222"/>
      <c r="M549" s="22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22"/>
      <c r="J550" s="222"/>
      <c r="K550" s="222"/>
      <c r="L550" s="222"/>
      <c r="M550" s="22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22"/>
      <c r="J551" s="222"/>
      <c r="K551" s="222"/>
      <c r="L551" s="222"/>
      <c r="M551" s="22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22"/>
      <c r="J552" s="222"/>
      <c r="K552" s="222"/>
      <c r="L552" s="222"/>
      <c r="M552" s="22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22"/>
      <c r="J553" s="222"/>
      <c r="K553" s="222"/>
      <c r="L553" s="222"/>
      <c r="M553" s="22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22"/>
      <c r="J554" s="222"/>
      <c r="K554" s="222"/>
      <c r="L554" s="222"/>
      <c r="M554" s="22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22"/>
      <c r="J555" s="222"/>
      <c r="K555" s="222"/>
      <c r="L555" s="222"/>
      <c r="M555" s="22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22"/>
      <c r="J556" s="222"/>
      <c r="K556" s="222"/>
      <c r="L556" s="222"/>
      <c r="M556" s="22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22"/>
      <c r="J557" s="222"/>
      <c r="K557" s="222"/>
      <c r="L557" s="222"/>
      <c r="M557" s="22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22"/>
      <c r="J558" s="222"/>
      <c r="K558" s="222"/>
      <c r="L558" s="222"/>
      <c r="M558" s="22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22"/>
      <c r="J559" s="222"/>
      <c r="K559" s="222"/>
      <c r="L559" s="222"/>
      <c r="M559" s="22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22"/>
      <c r="J560" s="222"/>
      <c r="K560" s="222"/>
      <c r="L560" s="222"/>
      <c r="M560" s="22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22"/>
      <c r="J561" s="222"/>
      <c r="K561" s="222"/>
      <c r="L561" s="222"/>
      <c r="M561" s="22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22"/>
      <c r="J562" s="222"/>
      <c r="K562" s="222"/>
      <c r="L562" s="222"/>
      <c r="M562" s="22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22"/>
      <c r="J563" s="222"/>
      <c r="K563" s="222"/>
      <c r="L563" s="222"/>
      <c r="M563" s="22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22"/>
      <c r="J564" s="222"/>
      <c r="K564" s="222"/>
      <c r="L564" s="222"/>
      <c r="M564" s="22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22"/>
      <c r="J565" s="222"/>
      <c r="K565" s="222"/>
      <c r="L565" s="222"/>
      <c r="M565" s="22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22"/>
      <c r="J566" s="222"/>
      <c r="K566" s="222"/>
      <c r="L566" s="222"/>
      <c r="M566" s="22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22"/>
      <c r="J567" s="222"/>
      <c r="K567" s="222"/>
      <c r="L567" s="222"/>
      <c r="M567" s="22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22"/>
      <c r="J568" s="222"/>
      <c r="K568" s="222"/>
      <c r="L568" s="222"/>
      <c r="M568" s="22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22"/>
      <c r="J569" s="222"/>
      <c r="K569" s="222"/>
      <c r="L569" s="222"/>
      <c r="M569" s="22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22"/>
      <c r="J570" s="222"/>
      <c r="K570" s="222"/>
      <c r="L570" s="222"/>
      <c r="M570" s="22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22"/>
      <c r="J571" s="222"/>
      <c r="K571" s="222"/>
      <c r="L571" s="222"/>
      <c r="M571" s="22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22"/>
      <c r="J572" s="222"/>
      <c r="K572" s="222"/>
      <c r="L572" s="222"/>
      <c r="M572" s="22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22"/>
      <c r="J573" s="222"/>
      <c r="K573" s="222"/>
      <c r="L573" s="222"/>
      <c r="M573" s="22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22"/>
      <c r="J574" s="222"/>
      <c r="K574" s="222"/>
      <c r="L574" s="222"/>
      <c r="M574" s="22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22"/>
      <c r="J575" s="222"/>
      <c r="K575" s="222"/>
      <c r="L575" s="222"/>
      <c r="M575" s="22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22"/>
      <c r="J576" s="222"/>
      <c r="K576" s="222"/>
      <c r="L576" s="222"/>
      <c r="M576" s="22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22"/>
      <c r="J577" s="222"/>
      <c r="K577" s="222"/>
      <c r="L577" s="222"/>
      <c r="M577" s="22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22"/>
      <c r="J578" s="222"/>
      <c r="K578" s="222"/>
      <c r="L578" s="222"/>
      <c r="M578" s="22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22"/>
      <c r="J579" s="222"/>
      <c r="K579" s="222"/>
      <c r="L579" s="222"/>
      <c r="M579" s="22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22"/>
      <c r="J580" s="222"/>
      <c r="K580" s="222"/>
      <c r="L580" s="222"/>
      <c r="M580" s="22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22"/>
      <c r="J581" s="222"/>
      <c r="K581" s="222"/>
      <c r="L581" s="222"/>
      <c r="M581" s="22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22"/>
      <c r="J582" s="222"/>
      <c r="K582" s="222"/>
      <c r="L582" s="222"/>
      <c r="M582" s="22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22"/>
      <c r="J583" s="222"/>
      <c r="K583" s="222"/>
      <c r="L583" s="222"/>
      <c r="M583" s="22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22"/>
      <c r="J584" s="222"/>
      <c r="K584" s="222"/>
      <c r="L584" s="222"/>
      <c r="M584" s="22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22"/>
      <c r="J585" s="222"/>
      <c r="K585" s="222"/>
      <c r="L585" s="222"/>
      <c r="M585" s="22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22"/>
      <c r="J586" s="222"/>
      <c r="K586" s="222"/>
      <c r="L586" s="222"/>
      <c r="M586" s="22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22"/>
      <c r="J587" s="222"/>
      <c r="K587" s="222"/>
      <c r="L587" s="222"/>
      <c r="M587" s="22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22"/>
      <c r="J588" s="222"/>
      <c r="K588" s="222"/>
      <c r="L588" s="222"/>
      <c r="M588" s="22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22"/>
      <c r="J589" s="222"/>
      <c r="K589" s="222"/>
      <c r="L589" s="222"/>
      <c r="M589" s="22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22"/>
      <c r="J590" s="222"/>
      <c r="K590" s="222"/>
      <c r="L590" s="222"/>
      <c r="M590" s="22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22"/>
      <c r="J591" s="222"/>
      <c r="K591" s="222"/>
      <c r="L591" s="222"/>
      <c r="M591" s="22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22"/>
      <c r="J592" s="222"/>
      <c r="K592" s="222"/>
      <c r="L592" s="222"/>
      <c r="M592" s="22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22"/>
      <c r="J593" s="222"/>
      <c r="K593" s="222"/>
      <c r="L593" s="222"/>
      <c r="M593" s="22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22"/>
      <c r="J594" s="222"/>
      <c r="K594" s="222"/>
      <c r="L594" s="222"/>
      <c r="M594" s="22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22"/>
      <c r="J595" s="222"/>
      <c r="K595" s="222"/>
      <c r="L595" s="222"/>
      <c r="M595" s="22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22"/>
      <c r="J596" s="222"/>
      <c r="K596" s="222"/>
      <c r="L596" s="222"/>
      <c r="M596" s="22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22"/>
      <c r="J597" s="222"/>
      <c r="K597" s="222"/>
      <c r="L597" s="222"/>
      <c r="M597" s="22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22"/>
      <c r="J598" s="222"/>
      <c r="K598" s="222"/>
      <c r="L598" s="222"/>
      <c r="M598" s="22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22"/>
      <c r="J599" s="222"/>
      <c r="K599" s="222"/>
      <c r="L599" s="222"/>
      <c r="M599" s="22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22"/>
      <c r="J600" s="222"/>
      <c r="K600" s="222"/>
      <c r="L600" s="222"/>
      <c r="M600" s="22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22"/>
      <c r="J601" s="222"/>
      <c r="K601" s="222"/>
      <c r="L601" s="222"/>
      <c r="M601" s="22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22"/>
      <c r="J602" s="222"/>
      <c r="K602" s="222"/>
      <c r="L602" s="222"/>
      <c r="M602" s="22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22"/>
      <c r="J603" s="222"/>
      <c r="K603" s="222"/>
      <c r="L603" s="222"/>
      <c r="M603" s="22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22"/>
      <c r="J604" s="222"/>
      <c r="K604" s="222"/>
      <c r="L604" s="222"/>
      <c r="M604" s="22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22"/>
      <c r="J605" s="222"/>
      <c r="K605" s="222"/>
      <c r="L605" s="222"/>
      <c r="M605" s="22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22"/>
      <c r="J606" s="222"/>
      <c r="K606" s="222"/>
      <c r="L606" s="222"/>
      <c r="M606" s="22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22"/>
      <c r="J607" s="222"/>
      <c r="K607" s="222"/>
      <c r="L607" s="222"/>
      <c r="M607" s="22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22"/>
      <c r="J608" s="222"/>
      <c r="K608" s="222"/>
      <c r="L608" s="222"/>
      <c r="M608" s="22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22"/>
      <c r="J609" s="222"/>
      <c r="K609" s="222"/>
      <c r="L609" s="222"/>
      <c r="M609" s="22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22"/>
      <c r="J610" s="222"/>
      <c r="K610" s="222"/>
      <c r="L610" s="222"/>
      <c r="M610" s="22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22"/>
      <c r="J611" s="222"/>
      <c r="K611" s="222"/>
      <c r="L611" s="222"/>
      <c r="M611" s="22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22"/>
      <c r="J612" s="222"/>
      <c r="K612" s="222"/>
      <c r="L612" s="222"/>
      <c r="M612" s="22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22"/>
      <c r="J613" s="222"/>
      <c r="K613" s="222"/>
      <c r="L613" s="222"/>
      <c r="M613" s="22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22"/>
      <c r="J614" s="222"/>
      <c r="K614" s="222"/>
      <c r="L614" s="222"/>
      <c r="M614" s="22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22"/>
      <c r="J615" s="222"/>
      <c r="K615" s="222"/>
      <c r="L615" s="222"/>
      <c r="M615" s="22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22"/>
      <c r="J616" s="222"/>
      <c r="K616" s="222"/>
      <c r="L616" s="222"/>
      <c r="M616" s="22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22"/>
      <c r="J617" s="222"/>
      <c r="K617" s="222"/>
      <c r="L617" s="222"/>
      <c r="M617" s="22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22"/>
      <c r="J618" s="222"/>
      <c r="K618" s="222"/>
      <c r="L618" s="222"/>
      <c r="M618" s="22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22"/>
      <c r="J619" s="222"/>
      <c r="K619" s="222"/>
      <c r="L619" s="222"/>
      <c r="M619" s="22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22"/>
      <c r="J620" s="222"/>
      <c r="K620" s="222"/>
      <c r="L620" s="222"/>
      <c r="M620" s="22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22"/>
      <c r="J621" s="222"/>
      <c r="K621" s="222"/>
      <c r="L621" s="222"/>
      <c r="M621" s="22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22"/>
      <c r="J622" s="222"/>
      <c r="K622" s="222"/>
      <c r="L622" s="222"/>
      <c r="M622" s="22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22"/>
      <c r="J623" s="222"/>
      <c r="K623" s="222"/>
      <c r="L623" s="222"/>
      <c r="M623" s="22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22"/>
      <c r="J624" s="222"/>
      <c r="K624" s="222"/>
      <c r="L624" s="222"/>
      <c r="M624" s="22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22"/>
      <c r="J625" s="222"/>
      <c r="K625" s="222"/>
      <c r="L625" s="222"/>
      <c r="M625" s="22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22"/>
      <c r="J626" s="222"/>
      <c r="K626" s="222"/>
      <c r="L626" s="222"/>
      <c r="M626" s="22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22"/>
      <c r="J627" s="222"/>
      <c r="K627" s="222"/>
      <c r="L627" s="222"/>
      <c r="M627" s="22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22"/>
      <c r="J628" s="222"/>
      <c r="K628" s="222"/>
      <c r="L628" s="222"/>
      <c r="M628" s="22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22"/>
      <c r="J629" s="222"/>
      <c r="K629" s="222"/>
      <c r="L629" s="222"/>
      <c r="M629" s="22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22"/>
      <c r="J630" s="222"/>
      <c r="K630" s="222"/>
      <c r="L630" s="222"/>
      <c r="M630" s="22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22"/>
      <c r="J631" s="222"/>
      <c r="K631" s="222"/>
      <c r="L631" s="222"/>
      <c r="M631" s="22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22"/>
      <c r="J632" s="222"/>
      <c r="K632" s="222"/>
      <c r="L632" s="222"/>
      <c r="M632" s="22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22"/>
      <c r="J633" s="222"/>
      <c r="K633" s="222"/>
      <c r="L633" s="222"/>
      <c r="M633" s="22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22"/>
      <c r="J634" s="222"/>
      <c r="K634" s="222"/>
      <c r="L634" s="222"/>
      <c r="M634" s="22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22"/>
      <c r="J635" s="222"/>
      <c r="K635" s="222"/>
      <c r="L635" s="222"/>
      <c r="M635" s="22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22"/>
      <c r="J636" s="222"/>
      <c r="K636" s="222"/>
      <c r="L636" s="222"/>
      <c r="M636" s="22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22"/>
      <c r="J637" s="222"/>
      <c r="K637" s="222"/>
      <c r="L637" s="222"/>
      <c r="M637" s="22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22"/>
      <c r="J638" s="222"/>
      <c r="K638" s="222"/>
      <c r="L638" s="222"/>
      <c r="M638" s="22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22"/>
      <c r="J639" s="222"/>
      <c r="K639" s="222"/>
      <c r="L639" s="222"/>
      <c r="M639" s="22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22"/>
      <c r="J640" s="222"/>
      <c r="K640" s="222"/>
      <c r="L640" s="222"/>
      <c r="M640" s="22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22"/>
      <c r="J641" s="222"/>
      <c r="K641" s="222"/>
      <c r="L641" s="222"/>
      <c r="M641" s="22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22"/>
      <c r="J642" s="222"/>
      <c r="K642" s="222"/>
      <c r="L642" s="222"/>
      <c r="M642" s="22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22"/>
      <c r="J643" s="222"/>
      <c r="K643" s="222"/>
      <c r="L643" s="222"/>
      <c r="M643" s="22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22"/>
      <c r="J644" s="222"/>
      <c r="K644" s="222"/>
      <c r="L644" s="222"/>
      <c r="M644" s="22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22"/>
      <c r="J645" s="222"/>
      <c r="K645" s="222"/>
      <c r="L645" s="222"/>
      <c r="M645" s="22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22"/>
      <c r="J646" s="222"/>
      <c r="K646" s="222"/>
      <c r="L646" s="222"/>
      <c r="M646" s="22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22"/>
      <c r="J647" s="222"/>
      <c r="K647" s="222"/>
      <c r="L647" s="222"/>
      <c r="M647" s="22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22"/>
      <c r="J648" s="222"/>
      <c r="K648" s="222"/>
      <c r="L648" s="222"/>
      <c r="M648" s="22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22"/>
      <c r="J649" s="222"/>
      <c r="K649" s="222"/>
      <c r="L649" s="222"/>
      <c r="M649" s="22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22"/>
      <c r="J650" s="222"/>
      <c r="K650" s="222"/>
      <c r="L650" s="222"/>
      <c r="M650" s="22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22"/>
      <c r="J651" s="222"/>
      <c r="K651" s="222"/>
      <c r="L651" s="222"/>
      <c r="M651" s="22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22"/>
      <c r="J652" s="222"/>
      <c r="K652" s="222"/>
      <c r="L652" s="222"/>
      <c r="M652" s="22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22"/>
      <c r="J653" s="222"/>
      <c r="K653" s="222"/>
      <c r="L653" s="222"/>
      <c r="M653" s="22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22"/>
      <c r="J654" s="222"/>
      <c r="K654" s="222"/>
      <c r="L654" s="222"/>
      <c r="M654" s="22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22"/>
      <c r="J655" s="222"/>
      <c r="K655" s="222"/>
      <c r="L655" s="222"/>
      <c r="M655" s="22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22"/>
      <c r="J656" s="222"/>
      <c r="K656" s="222"/>
      <c r="L656" s="222"/>
      <c r="M656" s="22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22"/>
      <c r="J657" s="222"/>
      <c r="K657" s="222"/>
      <c r="L657" s="222"/>
      <c r="M657" s="22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22"/>
      <c r="J658" s="222"/>
      <c r="K658" s="222"/>
      <c r="L658" s="222"/>
      <c r="M658" s="22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22"/>
      <c r="J659" s="222"/>
      <c r="K659" s="222"/>
      <c r="L659" s="222"/>
      <c r="M659" s="22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22"/>
      <c r="J660" s="222"/>
      <c r="K660" s="222"/>
      <c r="L660" s="222"/>
      <c r="M660" s="22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22"/>
      <c r="J661" s="222"/>
      <c r="K661" s="222"/>
      <c r="L661" s="222"/>
      <c r="M661" s="22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22"/>
      <c r="J662" s="222"/>
      <c r="K662" s="222"/>
      <c r="L662" s="222"/>
      <c r="M662" s="22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22"/>
      <c r="J663" s="222"/>
      <c r="K663" s="222"/>
      <c r="L663" s="222"/>
      <c r="M663" s="22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22"/>
      <c r="J664" s="222"/>
      <c r="K664" s="222"/>
      <c r="L664" s="222"/>
      <c r="M664" s="22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22"/>
      <c r="J665" s="222"/>
      <c r="K665" s="222"/>
      <c r="L665" s="222"/>
      <c r="M665" s="22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22"/>
      <c r="J666" s="222"/>
      <c r="K666" s="222"/>
      <c r="L666" s="222"/>
      <c r="M666" s="22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22"/>
      <c r="J667" s="222"/>
      <c r="K667" s="222"/>
      <c r="L667" s="222"/>
      <c r="M667" s="22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22"/>
      <c r="J668" s="222"/>
      <c r="K668" s="222"/>
      <c r="L668" s="222"/>
      <c r="M668" s="22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22"/>
      <c r="J669" s="222"/>
      <c r="K669" s="222"/>
      <c r="L669" s="222"/>
      <c r="M669" s="22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22"/>
      <c r="J670" s="222"/>
      <c r="K670" s="222"/>
      <c r="L670" s="222"/>
      <c r="M670" s="22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22"/>
      <c r="J671" s="222"/>
      <c r="K671" s="222"/>
      <c r="L671" s="222"/>
      <c r="M671" s="22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22"/>
      <c r="J672" s="222"/>
      <c r="K672" s="222"/>
      <c r="L672" s="222"/>
      <c r="M672" s="22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22"/>
      <c r="J673" s="222"/>
      <c r="K673" s="222"/>
      <c r="L673" s="222"/>
      <c r="M673" s="22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22"/>
      <c r="J674" s="222"/>
      <c r="K674" s="222"/>
      <c r="L674" s="222"/>
      <c r="M674" s="22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22"/>
      <c r="J675" s="222"/>
      <c r="K675" s="222"/>
      <c r="L675" s="222"/>
      <c r="M675" s="22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22"/>
      <c r="J676" s="222"/>
      <c r="K676" s="222"/>
      <c r="L676" s="222"/>
      <c r="M676" s="22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22"/>
      <c r="J677" s="222"/>
      <c r="K677" s="222"/>
      <c r="L677" s="222"/>
      <c r="M677" s="22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22"/>
      <c r="J678" s="222"/>
      <c r="K678" s="222"/>
      <c r="L678" s="222"/>
      <c r="M678" s="22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22"/>
      <c r="J679" s="222"/>
      <c r="K679" s="222"/>
      <c r="L679" s="222"/>
      <c r="M679" s="22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22"/>
      <c r="J680" s="222"/>
      <c r="K680" s="222"/>
      <c r="L680" s="222"/>
      <c r="M680" s="22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22"/>
      <c r="J681" s="222"/>
      <c r="K681" s="222"/>
      <c r="L681" s="222"/>
      <c r="M681" s="22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22"/>
      <c r="J682" s="222"/>
      <c r="K682" s="222"/>
      <c r="L682" s="222"/>
      <c r="M682" s="22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22"/>
      <c r="J683" s="222"/>
      <c r="K683" s="222"/>
      <c r="L683" s="222"/>
      <c r="M683" s="22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22"/>
      <c r="J684" s="222"/>
      <c r="K684" s="222"/>
      <c r="L684" s="222"/>
      <c r="M684" s="22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22"/>
      <c r="J685" s="222"/>
      <c r="K685" s="222"/>
      <c r="L685" s="222"/>
      <c r="M685" s="22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22"/>
      <c r="J686" s="222"/>
      <c r="K686" s="222"/>
      <c r="L686" s="222"/>
      <c r="M686" s="22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22"/>
      <c r="J687" s="222"/>
      <c r="K687" s="222"/>
      <c r="L687" s="222"/>
      <c r="M687" s="22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22"/>
      <c r="J688" s="222"/>
      <c r="K688" s="222"/>
      <c r="L688" s="222"/>
      <c r="M688" s="22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22"/>
      <c r="J689" s="222"/>
      <c r="K689" s="222"/>
      <c r="L689" s="222"/>
      <c r="M689" s="22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22"/>
      <c r="J690" s="222"/>
      <c r="K690" s="222"/>
      <c r="L690" s="222"/>
      <c r="M690" s="22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22"/>
      <c r="J691" s="222"/>
      <c r="K691" s="222"/>
      <c r="L691" s="222"/>
      <c r="M691" s="22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22"/>
      <c r="J692" s="222"/>
      <c r="K692" s="222"/>
      <c r="L692" s="222"/>
      <c r="M692" s="22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22"/>
      <c r="J693" s="222"/>
      <c r="K693" s="222"/>
      <c r="L693" s="222"/>
      <c r="M693" s="22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22"/>
      <c r="J694" s="222"/>
      <c r="K694" s="222"/>
      <c r="L694" s="222"/>
      <c r="M694" s="22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22"/>
      <c r="J695" s="222"/>
      <c r="K695" s="222"/>
      <c r="L695" s="222"/>
      <c r="M695" s="22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22"/>
      <c r="J696" s="222"/>
      <c r="K696" s="222"/>
      <c r="L696" s="222"/>
      <c r="M696" s="22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22"/>
      <c r="J697" s="222"/>
      <c r="K697" s="222"/>
      <c r="L697" s="222"/>
      <c r="M697" s="22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22"/>
      <c r="J698" s="222"/>
      <c r="K698" s="222"/>
      <c r="L698" s="222"/>
      <c r="M698" s="22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22"/>
      <c r="J699" s="222"/>
      <c r="K699" s="222"/>
      <c r="L699" s="222"/>
      <c r="M699" s="22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22"/>
      <c r="J700" s="222"/>
      <c r="K700" s="222"/>
      <c r="L700" s="222"/>
      <c r="M700" s="22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22"/>
      <c r="J701" s="222"/>
      <c r="K701" s="222"/>
      <c r="L701" s="222"/>
      <c r="M701" s="22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22"/>
      <c r="J702" s="222"/>
      <c r="K702" s="222"/>
      <c r="L702" s="222"/>
      <c r="M702" s="22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22"/>
      <c r="J703" s="222"/>
      <c r="K703" s="222"/>
      <c r="L703" s="222"/>
      <c r="M703" s="22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22"/>
      <c r="J704" s="222"/>
      <c r="K704" s="222"/>
      <c r="L704" s="222"/>
      <c r="M704" s="22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22"/>
      <c r="J705" s="222"/>
      <c r="K705" s="222"/>
      <c r="L705" s="222"/>
      <c r="M705" s="22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22"/>
      <c r="J706" s="222"/>
      <c r="K706" s="222"/>
      <c r="L706" s="222"/>
      <c r="M706" s="22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22"/>
      <c r="J707" s="222"/>
      <c r="K707" s="222"/>
      <c r="L707" s="222"/>
      <c r="M707" s="22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22"/>
      <c r="J708" s="222"/>
      <c r="K708" s="222"/>
      <c r="L708" s="222"/>
      <c r="M708" s="22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22"/>
      <c r="J709" s="222"/>
      <c r="K709" s="222"/>
      <c r="L709" s="222"/>
      <c r="M709" s="22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22"/>
      <c r="J710" s="222"/>
      <c r="K710" s="222"/>
      <c r="L710" s="222"/>
      <c r="M710" s="22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22"/>
      <c r="J711" s="222"/>
      <c r="K711" s="222"/>
      <c r="L711" s="222"/>
      <c r="M711" s="22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22"/>
      <c r="J712" s="222"/>
      <c r="K712" s="222"/>
      <c r="L712" s="222"/>
      <c r="M712" s="22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22"/>
      <c r="J713" s="222"/>
      <c r="K713" s="222"/>
      <c r="L713" s="222"/>
      <c r="M713" s="22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22"/>
      <c r="J714" s="222"/>
      <c r="K714" s="222"/>
      <c r="L714" s="222"/>
      <c r="M714" s="22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22"/>
      <c r="J715" s="222"/>
      <c r="K715" s="222"/>
      <c r="L715" s="222"/>
      <c r="M715" s="22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22"/>
      <c r="J716" s="222"/>
      <c r="K716" s="222"/>
      <c r="L716" s="222"/>
      <c r="M716" s="22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22"/>
      <c r="J717" s="222"/>
      <c r="K717" s="222"/>
      <c r="L717" s="222"/>
      <c r="M717" s="22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22"/>
      <c r="J718" s="222"/>
      <c r="K718" s="222"/>
      <c r="L718" s="222"/>
      <c r="M718" s="22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22"/>
      <c r="J719" s="222"/>
      <c r="K719" s="222"/>
      <c r="L719" s="222"/>
      <c r="M719" s="22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22"/>
      <c r="J720" s="222"/>
      <c r="K720" s="222"/>
      <c r="L720" s="222"/>
      <c r="M720" s="22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22"/>
      <c r="J721" s="222"/>
      <c r="K721" s="222"/>
      <c r="L721" s="222"/>
      <c r="M721" s="22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22"/>
      <c r="J722" s="222"/>
      <c r="K722" s="222"/>
      <c r="L722" s="222"/>
      <c r="M722" s="22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22"/>
      <c r="J723" s="222"/>
      <c r="K723" s="222"/>
      <c r="L723" s="222"/>
      <c r="M723" s="22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22"/>
      <c r="J724" s="222"/>
      <c r="K724" s="222"/>
      <c r="L724" s="222"/>
      <c r="M724" s="22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22"/>
      <c r="J725" s="222"/>
      <c r="K725" s="222"/>
      <c r="L725" s="222"/>
      <c r="M725" s="22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22"/>
      <c r="J726" s="222"/>
      <c r="K726" s="222"/>
      <c r="L726" s="222"/>
      <c r="M726" s="22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22"/>
      <c r="J727" s="222"/>
      <c r="K727" s="222"/>
      <c r="L727" s="222"/>
      <c r="M727" s="22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22"/>
      <c r="J728" s="222"/>
      <c r="K728" s="222"/>
      <c r="L728" s="222"/>
      <c r="M728" s="22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22"/>
      <c r="J729" s="222"/>
      <c r="K729" s="222"/>
      <c r="L729" s="222"/>
      <c r="M729" s="22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22"/>
      <c r="J730" s="222"/>
      <c r="K730" s="222"/>
      <c r="L730" s="222"/>
      <c r="M730" s="22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22"/>
      <c r="J731" s="222"/>
      <c r="K731" s="222"/>
      <c r="L731" s="222"/>
      <c r="M731" s="22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22"/>
      <c r="J732" s="222"/>
      <c r="K732" s="222"/>
      <c r="L732" s="222"/>
      <c r="M732" s="22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22"/>
      <c r="J733" s="222"/>
      <c r="K733" s="222"/>
      <c r="L733" s="222"/>
      <c r="M733" s="22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22"/>
      <c r="J734" s="222"/>
      <c r="K734" s="222"/>
      <c r="L734" s="222"/>
      <c r="M734" s="22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22"/>
      <c r="J735" s="222"/>
      <c r="K735" s="222"/>
      <c r="L735" s="222"/>
      <c r="M735" s="22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22"/>
      <c r="J736" s="222"/>
      <c r="K736" s="222"/>
      <c r="L736" s="222"/>
      <c r="M736" s="22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22"/>
      <c r="J737" s="222"/>
      <c r="K737" s="222"/>
      <c r="L737" s="222"/>
      <c r="M737" s="22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22"/>
      <c r="J738" s="222"/>
      <c r="K738" s="222"/>
      <c r="L738" s="222"/>
      <c r="M738" s="22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22"/>
      <c r="J739" s="222"/>
      <c r="K739" s="222"/>
      <c r="L739" s="222"/>
      <c r="M739" s="22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22"/>
      <c r="J740" s="222"/>
      <c r="K740" s="222"/>
      <c r="L740" s="222"/>
      <c r="M740" s="22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22"/>
      <c r="J741" s="222"/>
      <c r="K741" s="222"/>
      <c r="L741" s="222"/>
      <c r="M741" s="22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22"/>
      <c r="J742" s="222"/>
      <c r="K742" s="222"/>
      <c r="L742" s="222"/>
      <c r="M742" s="22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22"/>
      <c r="J743" s="222"/>
      <c r="K743" s="222"/>
      <c r="L743" s="222"/>
      <c r="M743" s="22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22"/>
      <c r="J744" s="222"/>
      <c r="K744" s="222"/>
      <c r="L744" s="222"/>
      <c r="M744" s="22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22"/>
      <c r="J745" s="222"/>
      <c r="K745" s="222"/>
      <c r="L745" s="222"/>
      <c r="M745" s="22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22"/>
      <c r="J746" s="222"/>
      <c r="K746" s="222"/>
      <c r="L746" s="222"/>
      <c r="M746" s="22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22"/>
      <c r="J747" s="222"/>
      <c r="K747" s="222"/>
      <c r="L747" s="222"/>
      <c r="M747" s="22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22"/>
      <c r="J748" s="222"/>
      <c r="K748" s="222"/>
      <c r="L748" s="222"/>
      <c r="M748" s="22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22"/>
      <c r="J749" s="222"/>
      <c r="K749" s="222"/>
      <c r="L749" s="222"/>
      <c r="M749" s="22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22"/>
      <c r="J750" s="222"/>
      <c r="K750" s="222"/>
      <c r="L750" s="222"/>
      <c r="M750" s="22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22"/>
      <c r="J751" s="222"/>
      <c r="K751" s="222"/>
      <c r="L751" s="222"/>
      <c r="M751" s="22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22"/>
      <c r="J752" s="222"/>
      <c r="K752" s="222"/>
      <c r="L752" s="222"/>
      <c r="M752" s="22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22"/>
      <c r="J753" s="222"/>
      <c r="K753" s="222"/>
      <c r="L753" s="222"/>
      <c r="M753" s="22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22"/>
      <c r="J754" s="222"/>
      <c r="K754" s="222"/>
      <c r="L754" s="222"/>
      <c r="M754" s="22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22"/>
      <c r="J755" s="222"/>
      <c r="K755" s="222"/>
      <c r="L755" s="222"/>
      <c r="M755" s="22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22"/>
      <c r="J756" s="222"/>
      <c r="K756" s="222"/>
      <c r="L756" s="222"/>
      <c r="M756" s="22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22"/>
      <c r="J757" s="222"/>
      <c r="K757" s="222"/>
      <c r="L757" s="222"/>
      <c r="M757" s="22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22"/>
      <c r="J758" s="222"/>
      <c r="K758" s="222"/>
      <c r="L758" s="222"/>
      <c r="M758" s="22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22"/>
      <c r="J759" s="222"/>
      <c r="K759" s="222"/>
      <c r="L759" s="222"/>
      <c r="M759" s="22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22"/>
      <c r="J760" s="222"/>
      <c r="K760" s="222"/>
      <c r="L760" s="222"/>
      <c r="M760" s="22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22"/>
      <c r="J761" s="222"/>
      <c r="K761" s="222"/>
      <c r="L761" s="222"/>
      <c r="M761" s="22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22"/>
      <c r="J762" s="222"/>
      <c r="K762" s="222"/>
      <c r="L762" s="222"/>
      <c r="M762" s="22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22"/>
      <c r="J763" s="222"/>
      <c r="K763" s="222"/>
      <c r="L763" s="222"/>
      <c r="M763" s="22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22"/>
      <c r="J764" s="222"/>
      <c r="K764" s="222"/>
      <c r="L764" s="222"/>
      <c r="M764" s="22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22"/>
      <c r="J765" s="222"/>
      <c r="K765" s="222"/>
      <c r="L765" s="222"/>
      <c r="M765" s="22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22"/>
      <c r="J766" s="222"/>
      <c r="K766" s="222"/>
      <c r="L766" s="222"/>
      <c r="M766" s="22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22"/>
      <c r="J767" s="222"/>
      <c r="K767" s="222"/>
      <c r="L767" s="222"/>
      <c r="M767" s="22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22"/>
      <c r="J768" s="222"/>
      <c r="K768" s="222"/>
      <c r="L768" s="222"/>
      <c r="M768" s="22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22"/>
      <c r="J769" s="222"/>
      <c r="K769" s="222"/>
      <c r="L769" s="222"/>
      <c r="M769" s="22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22"/>
      <c r="J770" s="222"/>
      <c r="K770" s="222"/>
      <c r="L770" s="222"/>
      <c r="M770" s="22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22"/>
      <c r="J771" s="222"/>
      <c r="K771" s="222"/>
      <c r="L771" s="222"/>
      <c r="M771" s="22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22"/>
      <c r="J772" s="222"/>
      <c r="K772" s="222"/>
      <c r="L772" s="222"/>
      <c r="M772" s="22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22"/>
      <c r="J773" s="222"/>
      <c r="K773" s="222"/>
      <c r="L773" s="222"/>
      <c r="M773" s="22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22"/>
      <c r="J774" s="222"/>
      <c r="K774" s="222"/>
      <c r="L774" s="222"/>
      <c r="M774" s="22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22"/>
      <c r="J775" s="222"/>
      <c r="K775" s="222"/>
      <c r="L775" s="222"/>
      <c r="M775" s="22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22"/>
      <c r="J776" s="222"/>
      <c r="K776" s="222"/>
      <c r="L776" s="222"/>
      <c r="M776" s="22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22"/>
      <c r="J777" s="222"/>
      <c r="K777" s="222"/>
      <c r="L777" s="222"/>
      <c r="M777" s="22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22"/>
      <c r="J778" s="222"/>
      <c r="K778" s="222"/>
      <c r="L778" s="222"/>
      <c r="M778" s="22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22"/>
      <c r="J779" s="222"/>
      <c r="K779" s="222"/>
      <c r="L779" s="222"/>
      <c r="M779" s="22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22"/>
      <c r="J780" s="222"/>
      <c r="K780" s="222"/>
      <c r="L780" s="222"/>
      <c r="M780" s="22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22"/>
      <c r="J781" s="222"/>
      <c r="K781" s="222"/>
      <c r="L781" s="222"/>
      <c r="M781" s="22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22"/>
      <c r="J782" s="222"/>
      <c r="K782" s="222"/>
      <c r="L782" s="222"/>
      <c r="M782" s="22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22"/>
      <c r="J783" s="222"/>
      <c r="K783" s="222"/>
      <c r="L783" s="222"/>
      <c r="M783" s="22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22"/>
      <c r="J784" s="222"/>
      <c r="K784" s="222"/>
      <c r="L784" s="222"/>
      <c r="M784" s="22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22"/>
      <c r="J785" s="222"/>
      <c r="K785" s="222"/>
      <c r="L785" s="222"/>
      <c r="M785" s="22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22"/>
      <c r="J786" s="222"/>
      <c r="K786" s="222"/>
      <c r="L786" s="222"/>
      <c r="M786" s="22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22"/>
      <c r="J787" s="222"/>
      <c r="K787" s="222"/>
      <c r="L787" s="222"/>
      <c r="M787" s="22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22"/>
      <c r="J788" s="222"/>
      <c r="K788" s="222"/>
      <c r="L788" s="222"/>
      <c r="M788" s="22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22"/>
      <c r="J789" s="222"/>
      <c r="K789" s="222"/>
      <c r="L789" s="222"/>
      <c r="M789" s="22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22"/>
      <c r="J790" s="222"/>
      <c r="K790" s="222"/>
      <c r="L790" s="222"/>
      <c r="M790" s="22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22"/>
      <c r="J791" s="222"/>
      <c r="K791" s="222"/>
      <c r="L791" s="222"/>
      <c r="M791" s="22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22"/>
      <c r="J792" s="222"/>
      <c r="K792" s="222"/>
      <c r="L792" s="222"/>
      <c r="M792" s="22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22"/>
      <c r="J793" s="222"/>
      <c r="K793" s="222"/>
      <c r="L793" s="222"/>
      <c r="M793" s="22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22"/>
      <c r="J794" s="222"/>
      <c r="K794" s="222"/>
      <c r="L794" s="222"/>
      <c r="M794" s="22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22"/>
      <c r="J795" s="222"/>
      <c r="K795" s="222"/>
      <c r="L795" s="222"/>
      <c r="M795" s="22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22"/>
      <c r="J796" s="222"/>
      <c r="K796" s="222"/>
      <c r="L796" s="222"/>
      <c r="M796" s="22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22"/>
      <c r="J797" s="222"/>
      <c r="K797" s="222"/>
      <c r="L797" s="222"/>
      <c r="M797" s="22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22"/>
      <c r="J798" s="222"/>
      <c r="K798" s="222"/>
      <c r="L798" s="222"/>
      <c r="M798" s="22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22"/>
      <c r="J799" s="222"/>
      <c r="K799" s="222"/>
      <c r="L799" s="222"/>
      <c r="M799" s="22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22"/>
      <c r="J800" s="222"/>
      <c r="K800" s="222"/>
      <c r="L800" s="222"/>
      <c r="M800" s="22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22"/>
      <c r="J801" s="222"/>
      <c r="K801" s="222"/>
      <c r="L801" s="222"/>
      <c r="M801" s="22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22"/>
      <c r="J802" s="222"/>
      <c r="K802" s="222"/>
      <c r="L802" s="222"/>
      <c r="M802" s="22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22"/>
      <c r="J803" s="222"/>
      <c r="K803" s="222"/>
      <c r="L803" s="222"/>
      <c r="M803" s="22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22"/>
      <c r="J804" s="222"/>
      <c r="K804" s="222"/>
      <c r="L804" s="222"/>
      <c r="M804" s="22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22"/>
      <c r="J805" s="222"/>
      <c r="K805" s="222"/>
      <c r="L805" s="222"/>
      <c r="M805" s="22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22"/>
      <c r="J806" s="222"/>
      <c r="K806" s="222"/>
      <c r="L806" s="222"/>
      <c r="M806" s="22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22"/>
      <c r="J807" s="222"/>
      <c r="K807" s="222"/>
      <c r="L807" s="222"/>
      <c r="M807" s="22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22"/>
      <c r="J808" s="222"/>
      <c r="K808" s="222"/>
      <c r="L808" s="222"/>
      <c r="M808" s="22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22"/>
      <c r="J809" s="222"/>
      <c r="K809" s="222"/>
      <c r="L809" s="222"/>
      <c r="M809" s="22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22"/>
      <c r="J810" s="222"/>
      <c r="K810" s="222"/>
      <c r="L810" s="222"/>
      <c r="M810" s="22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22"/>
      <c r="J811" s="222"/>
      <c r="K811" s="222"/>
      <c r="L811" s="222"/>
      <c r="M811" s="22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22"/>
      <c r="J812" s="222"/>
      <c r="K812" s="222"/>
      <c r="L812" s="222"/>
      <c r="M812" s="22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22"/>
      <c r="J813" s="222"/>
      <c r="K813" s="222"/>
      <c r="L813" s="222"/>
      <c r="M813" s="22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22"/>
      <c r="J814" s="222"/>
      <c r="K814" s="222"/>
      <c r="L814" s="222"/>
      <c r="M814" s="22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22"/>
      <c r="J815" s="222"/>
      <c r="K815" s="222"/>
      <c r="L815" s="222"/>
      <c r="M815" s="22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22"/>
      <c r="J816" s="222"/>
      <c r="K816" s="222"/>
      <c r="L816" s="222"/>
      <c r="M816" s="22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22"/>
      <c r="J817" s="222"/>
      <c r="K817" s="222"/>
      <c r="L817" s="222"/>
      <c r="M817" s="22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22"/>
      <c r="J818" s="222"/>
      <c r="K818" s="222"/>
      <c r="L818" s="222"/>
      <c r="M818" s="22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22"/>
      <c r="J819" s="222"/>
      <c r="K819" s="222"/>
      <c r="L819" s="222"/>
      <c r="M819" s="22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22"/>
      <c r="J820" s="222"/>
      <c r="K820" s="222"/>
      <c r="L820" s="222"/>
      <c r="M820" s="22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22"/>
      <c r="J821" s="222"/>
      <c r="K821" s="222"/>
      <c r="L821" s="222"/>
      <c r="M821" s="22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22"/>
      <c r="J822" s="222"/>
      <c r="K822" s="222"/>
      <c r="L822" s="222"/>
      <c r="M822" s="22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22"/>
      <c r="J823" s="222"/>
      <c r="K823" s="222"/>
      <c r="L823" s="222"/>
      <c r="M823" s="22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22"/>
      <c r="J824" s="222"/>
      <c r="K824" s="222"/>
      <c r="L824" s="222"/>
      <c r="M824" s="22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22"/>
      <c r="J825" s="222"/>
      <c r="K825" s="222"/>
      <c r="L825" s="222"/>
      <c r="M825" s="22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22"/>
      <c r="J826" s="222"/>
      <c r="K826" s="222"/>
      <c r="L826" s="222"/>
      <c r="M826" s="22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22"/>
      <c r="J827" s="222"/>
      <c r="K827" s="222"/>
      <c r="L827" s="222"/>
      <c r="M827" s="22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22"/>
      <c r="J828" s="222"/>
      <c r="K828" s="222"/>
      <c r="L828" s="222"/>
      <c r="M828" s="22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22"/>
      <c r="J829" s="222"/>
      <c r="K829" s="222"/>
      <c r="L829" s="222"/>
      <c r="M829" s="22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22"/>
      <c r="J830" s="222"/>
      <c r="K830" s="222"/>
      <c r="L830" s="222"/>
      <c r="M830" s="22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22"/>
      <c r="J831" s="222"/>
      <c r="K831" s="222"/>
      <c r="L831" s="222"/>
      <c r="M831" s="22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22"/>
      <c r="J832" s="222"/>
      <c r="K832" s="222"/>
      <c r="L832" s="222"/>
      <c r="M832" s="22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22"/>
      <c r="J833" s="222"/>
      <c r="K833" s="222"/>
      <c r="L833" s="222"/>
      <c r="M833" s="22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22"/>
      <c r="J834" s="222"/>
      <c r="K834" s="222"/>
      <c r="L834" s="222"/>
      <c r="M834" s="22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22"/>
      <c r="J835" s="222"/>
      <c r="K835" s="222"/>
      <c r="L835" s="222"/>
      <c r="M835" s="22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22"/>
      <c r="J836" s="222"/>
      <c r="K836" s="222"/>
      <c r="L836" s="222"/>
      <c r="M836" s="22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22"/>
      <c r="J837" s="222"/>
      <c r="K837" s="222"/>
      <c r="L837" s="222"/>
      <c r="M837" s="22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22"/>
      <c r="J838" s="222"/>
      <c r="K838" s="222"/>
      <c r="L838" s="222"/>
      <c r="M838" s="22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22"/>
      <c r="J839" s="222"/>
      <c r="K839" s="222"/>
      <c r="L839" s="222"/>
      <c r="M839" s="22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22"/>
      <c r="J840" s="222"/>
      <c r="K840" s="222"/>
      <c r="L840" s="222"/>
      <c r="M840" s="22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22"/>
      <c r="J841" s="222"/>
      <c r="K841" s="222"/>
      <c r="L841" s="222"/>
      <c r="M841" s="22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22"/>
      <c r="J842" s="222"/>
      <c r="K842" s="222"/>
      <c r="L842" s="222"/>
      <c r="M842" s="22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22"/>
      <c r="J843" s="222"/>
      <c r="K843" s="222"/>
      <c r="L843" s="222"/>
      <c r="M843" s="22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22"/>
      <c r="J844" s="222"/>
      <c r="K844" s="222"/>
      <c r="L844" s="222"/>
      <c r="M844" s="22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22"/>
      <c r="J845" s="222"/>
      <c r="K845" s="222"/>
      <c r="L845" s="222"/>
      <c r="M845" s="22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22"/>
      <c r="J846" s="222"/>
      <c r="K846" s="222"/>
      <c r="L846" s="222"/>
      <c r="M846" s="22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22"/>
      <c r="J847" s="222"/>
      <c r="K847" s="222"/>
      <c r="L847" s="222"/>
      <c r="M847" s="22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22"/>
      <c r="J848" s="222"/>
      <c r="K848" s="222"/>
      <c r="L848" s="222"/>
      <c r="M848" s="22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22"/>
      <c r="J849" s="222"/>
      <c r="K849" s="222"/>
      <c r="L849" s="222"/>
      <c r="M849" s="22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22"/>
      <c r="J850" s="222"/>
      <c r="K850" s="222"/>
      <c r="L850" s="222"/>
      <c r="M850" s="22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22"/>
      <c r="J851" s="222"/>
      <c r="K851" s="222"/>
      <c r="L851" s="222"/>
      <c r="M851" s="22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22"/>
      <c r="J852" s="222"/>
      <c r="K852" s="222"/>
      <c r="L852" s="222"/>
      <c r="M852" s="22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22"/>
      <c r="J853" s="222"/>
      <c r="K853" s="222"/>
      <c r="L853" s="222"/>
      <c r="M853" s="22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22"/>
      <c r="J854" s="222"/>
      <c r="K854" s="222"/>
      <c r="L854" s="222"/>
      <c r="M854" s="22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22"/>
      <c r="J855" s="222"/>
      <c r="K855" s="222"/>
      <c r="L855" s="222"/>
      <c r="M855" s="22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22"/>
      <c r="J856" s="222"/>
      <c r="K856" s="222"/>
      <c r="L856" s="222"/>
      <c r="M856" s="22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22"/>
      <c r="J857" s="222"/>
      <c r="K857" s="222"/>
      <c r="L857" s="222"/>
      <c r="M857" s="22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22"/>
      <c r="J858" s="222"/>
      <c r="K858" s="222"/>
      <c r="L858" s="222"/>
      <c r="M858" s="22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22"/>
      <c r="J859" s="222"/>
      <c r="K859" s="222"/>
      <c r="L859" s="222"/>
      <c r="M859" s="22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22"/>
      <c r="J860" s="222"/>
      <c r="K860" s="222"/>
      <c r="L860" s="222"/>
      <c r="M860" s="22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22"/>
      <c r="J861" s="222"/>
      <c r="K861" s="222"/>
      <c r="L861" s="222"/>
      <c r="M861" s="22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22"/>
      <c r="J862" s="222"/>
      <c r="K862" s="222"/>
      <c r="L862" s="222"/>
      <c r="M862" s="22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22"/>
      <c r="J863" s="222"/>
      <c r="K863" s="222"/>
      <c r="L863" s="222"/>
      <c r="M863" s="22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22"/>
      <c r="J864" s="222"/>
      <c r="K864" s="222"/>
      <c r="L864" s="222"/>
      <c r="M864" s="22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22"/>
      <c r="J865" s="222"/>
      <c r="K865" s="222"/>
      <c r="L865" s="222"/>
      <c r="M865" s="22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22"/>
      <c r="J866" s="222"/>
      <c r="K866" s="222"/>
      <c r="L866" s="222"/>
      <c r="M866" s="22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22"/>
      <c r="J867" s="222"/>
      <c r="K867" s="222"/>
      <c r="L867" s="222"/>
      <c r="M867" s="22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22"/>
      <c r="J868" s="222"/>
      <c r="K868" s="222"/>
      <c r="L868" s="222"/>
      <c r="M868" s="22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22"/>
      <c r="J869" s="222"/>
      <c r="K869" s="222"/>
      <c r="L869" s="222"/>
      <c r="M869" s="22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22"/>
      <c r="J870" s="222"/>
      <c r="K870" s="222"/>
      <c r="L870" s="222"/>
      <c r="M870" s="22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22"/>
      <c r="J871" s="222"/>
      <c r="K871" s="222"/>
      <c r="L871" s="222"/>
      <c r="M871" s="22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22"/>
      <c r="J872" s="222"/>
      <c r="K872" s="222"/>
      <c r="L872" s="222"/>
      <c r="M872" s="22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22"/>
      <c r="J873" s="222"/>
      <c r="K873" s="222"/>
      <c r="L873" s="222"/>
      <c r="M873" s="22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22"/>
      <c r="J874" s="222"/>
      <c r="K874" s="222"/>
      <c r="L874" s="222"/>
      <c r="M874" s="22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22"/>
      <c r="J875" s="222"/>
      <c r="K875" s="222"/>
      <c r="L875" s="222"/>
      <c r="M875" s="22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22"/>
      <c r="J876" s="222"/>
      <c r="K876" s="222"/>
      <c r="L876" s="222"/>
      <c r="M876" s="22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22"/>
      <c r="J877" s="222"/>
      <c r="K877" s="222"/>
      <c r="L877" s="222"/>
      <c r="M877" s="22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22"/>
      <c r="J878" s="222"/>
      <c r="K878" s="222"/>
      <c r="L878" s="222"/>
      <c r="M878" s="22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22"/>
      <c r="J879" s="222"/>
      <c r="K879" s="222"/>
      <c r="L879" s="222"/>
      <c r="M879" s="22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22"/>
      <c r="J880" s="222"/>
      <c r="K880" s="222"/>
      <c r="L880" s="222"/>
      <c r="M880" s="22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22"/>
      <c r="J881" s="222"/>
      <c r="K881" s="222"/>
      <c r="L881" s="222"/>
      <c r="M881" s="22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22"/>
      <c r="J882" s="222"/>
      <c r="K882" s="222"/>
      <c r="L882" s="222"/>
      <c r="M882" s="22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22"/>
      <c r="J883" s="222"/>
      <c r="K883" s="222"/>
      <c r="L883" s="222"/>
      <c r="M883" s="22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22"/>
      <c r="J884" s="222"/>
      <c r="K884" s="222"/>
      <c r="L884" s="222"/>
      <c r="M884" s="22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22"/>
      <c r="J885" s="222"/>
      <c r="K885" s="222"/>
      <c r="L885" s="222"/>
      <c r="M885" s="22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22"/>
      <c r="J886" s="222"/>
      <c r="K886" s="222"/>
      <c r="L886" s="222"/>
      <c r="M886" s="22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22"/>
      <c r="J887" s="222"/>
      <c r="K887" s="222"/>
      <c r="L887" s="222"/>
      <c r="M887" s="22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22"/>
      <c r="J888" s="222"/>
      <c r="K888" s="222"/>
      <c r="L888" s="222"/>
      <c r="M888" s="22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22"/>
      <c r="J889" s="222"/>
      <c r="K889" s="222"/>
      <c r="L889" s="222"/>
      <c r="M889" s="22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22"/>
      <c r="J890" s="222"/>
      <c r="K890" s="222"/>
      <c r="L890" s="222"/>
      <c r="M890" s="22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22"/>
      <c r="J891" s="222"/>
      <c r="K891" s="222"/>
      <c r="L891" s="222"/>
      <c r="M891" s="22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22"/>
      <c r="J892" s="222"/>
      <c r="K892" s="222"/>
      <c r="L892" s="222"/>
      <c r="M892" s="22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22"/>
      <c r="J893" s="222"/>
      <c r="K893" s="222"/>
      <c r="L893" s="222"/>
      <c r="M893" s="22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22"/>
      <c r="J894" s="222"/>
      <c r="K894" s="222"/>
      <c r="L894" s="222"/>
      <c r="M894" s="22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22"/>
      <c r="J895" s="222"/>
      <c r="K895" s="222"/>
      <c r="L895" s="222"/>
      <c r="M895" s="22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22"/>
      <c r="J896" s="222"/>
      <c r="K896" s="222"/>
      <c r="L896" s="222"/>
      <c r="M896" s="22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22"/>
      <c r="J897" s="222"/>
      <c r="K897" s="222"/>
      <c r="L897" s="222"/>
      <c r="M897" s="22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22"/>
      <c r="J898" s="222"/>
      <c r="K898" s="222"/>
      <c r="L898" s="222"/>
      <c r="M898" s="22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22"/>
      <c r="J899" s="222"/>
      <c r="K899" s="222"/>
      <c r="L899" s="222"/>
      <c r="M899" s="22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22"/>
      <c r="J900" s="222"/>
      <c r="K900" s="222"/>
      <c r="L900" s="222"/>
      <c r="M900" s="22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22"/>
      <c r="J901" s="222"/>
      <c r="K901" s="222"/>
      <c r="L901" s="222"/>
      <c r="M901" s="22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22"/>
      <c r="J902" s="222"/>
      <c r="K902" s="222"/>
      <c r="L902" s="222"/>
      <c r="M902" s="22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22"/>
      <c r="J903" s="222"/>
      <c r="K903" s="222"/>
      <c r="L903" s="222"/>
      <c r="M903" s="22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22"/>
      <c r="J904" s="222"/>
      <c r="K904" s="222"/>
      <c r="L904" s="222"/>
      <c r="M904" s="22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22"/>
      <c r="J905" s="222"/>
      <c r="K905" s="222"/>
      <c r="L905" s="222"/>
      <c r="M905" s="22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22"/>
      <c r="J906" s="222"/>
      <c r="K906" s="222"/>
      <c r="L906" s="222"/>
      <c r="M906" s="22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22"/>
      <c r="J907" s="222"/>
      <c r="K907" s="222"/>
      <c r="L907" s="222"/>
      <c r="M907" s="22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22"/>
      <c r="J908" s="222"/>
      <c r="K908" s="222"/>
      <c r="L908" s="222"/>
      <c r="M908" s="22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22"/>
      <c r="J909" s="222"/>
      <c r="K909" s="222"/>
      <c r="L909" s="222"/>
      <c r="M909" s="22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22"/>
      <c r="J910" s="222"/>
      <c r="K910" s="222"/>
      <c r="L910" s="222"/>
      <c r="M910" s="22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22"/>
      <c r="J911" s="222"/>
      <c r="K911" s="222"/>
      <c r="L911" s="222"/>
      <c r="M911" s="22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22"/>
      <c r="J912" s="222"/>
      <c r="K912" s="222"/>
      <c r="L912" s="222"/>
      <c r="M912" s="22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22"/>
      <c r="J913" s="222"/>
      <c r="K913" s="222"/>
      <c r="L913" s="222"/>
      <c r="M913" s="22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22"/>
      <c r="J914" s="222"/>
      <c r="K914" s="222"/>
      <c r="L914" s="222"/>
      <c r="M914" s="22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22"/>
      <c r="J915" s="222"/>
      <c r="K915" s="222"/>
      <c r="L915" s="222"/>
      <c r="M915" s="22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22"/>
      <c r="J916" s="222"/>
      <c r="K916" s="222"/>
      <c r="L916" s="222"/>
      <c r="M916" s="22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22"/>
      <c r="J917" s="222"/>
      <c r="K917" s="222"/>
      <c r="L917" s="222"/>
      <c r="M917" s="22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22"/>
      <c r="J918" s="222"/>
      <c r="K918" s="222"/>
      <c r="L918" s="222"/>
      <c r="M918" s="22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22"/>
      <c r="J919" s="222"/>
      <c r="K919" s="222"/>
      <c r="L919" s="222"/>
      <c r="M919" s="22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22"/>
      <c r="J920" s="222"/>
      <c r="K920" s="222"/>
      <c r="L920" s="222"/>
      <c r="M920" s="22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22"/>
      <c r="J921" s="222"/>
      <c r="K921" s="222"/>
      <c r="L921" s="222"/>
      <c r="M921" s="22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22"/>
      <c r="J922" s="222"/>
      <c r="K922" s="222"/>
      <c r="L922" s="222"/>
      <c r="M922" s="22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22"/>
      <c r="J923" s="222"/>
      <c r="K923" s="222"/>
      <c r="L923" s="222"/>
      <c r="M923" s="22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22"/>
      <c r="J924" s="222"/>
      <c r="K924" s="222"/>
      <c r="L924" s="222"/>
      <c r="M924" s="22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22"/>
      <c r="J925" s="222"/>
      <c r="K925" s="222"/>
      <c r="L925" s="222"/>
      <c r="M925" s="22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22"/>
      <c r="J926" s="222"/>
      <c r="K926" s="222"/>
      <c r="L926" s="222"/>
      <c r="M926" s="22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22"/>
      <c r="J927" s="222"/>
      <c r="K927" s="222"/>
      <c r="L927" s="222"/>
      <c r="M927" s="22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22"/>
      <c r="J928" s="222"/>
      <c r="K928" s="222"/>
      <c r="L928" s="222"/>
      <c r="M928" s="22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22"/>
      <c r="J929" s="222"/>
      <c r="K929" s="222"/>
      <c r="L929" s="222"/>
      <c r="M929" s="22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22"/>
      <c r="J930" s="222"/>
      <c r="K930" s="222"/>
      <c r="L930" s="222"/>
      <c r="M930" s="22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22"/>
      <c r="J931" s="222"/>
      <c r="K931" s="222"/>
      <c r="L931" s="222"/>
      <c r="M931" s="22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22"/>
      <c r="J932" s="222"/>
      <c r="K932" s="222"/>
      <c r="L932" s="222"/>
      <c r="M932" s="22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22"/>
      <c r="J933" s="222"/>
      <c r="K933" s="222"/>
      <c r="L933" s="222"/>
      <c r="M933" s="22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22"/>
      <c r="J934" s="222"/>
      <c r="K934" s="222"/>
      <c r="L934" s="222"/>
      <c r="M934" s="22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22"/>
      <c r="J935" s="222"/>
      <c r="K935" s="222"/>
      <c r="L935" s="222"/>
      <c r="M935" s="22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22"/>
      <c r="J936" s="222"/>
      <c r="K936" s="222"/>
      <c r="L936" s="222"/>
      <c r="M936" s="22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22"/>
      <c r="J937" s="222"/>
      <c r="K937" s="222"/>
      <c r="L937" s="222"/>
      <c r="M937" s="22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22"/>
      <c r="J938" s="222"/>
      <c r="K938" s="222"/>
      <c r="L938" s="222"/>
      <c r="M938" s="22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22"/>
      <c r="J939" s="222"/>
      <c r="K939" s="222"/>
      <c r="L939" s="222"/>
      <c r="M939" s="22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22"/>
      <c r="J940" s="222"/>
      <c r="K940" s="222"/>
      <c r="L940" s="222"/>
      <c r="M940" s="22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22"/>
      <c r="J941" s="222"/>
      <c r="K941" s="222"/>
      <c r="L941" s="222"/>
      <c r="M941" s="22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22"/>
      <c r="J942" s="222"/>
      <c r="K942" s="222"/>
      <c r="L942" s="222"/>
      <c r="M942" s="22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22"/>
      <c r="J943" s="222"/>
      <c r="K943" s="222"/>
      <c r="L943" s="222"/>
      <c r="M943" s="22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22"/>
      <c r="J944" s="222"/>
      <c r="K944" s="222"/>
      <c r="L944" s="222"/>
      <c r="M944" s="22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22"/>
      <c r="J945" s="222"/>
      <c r="K945" s="222"/>
      <c r="L945" s="222"/>
      <c r="M945" s="22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22"/>
      <c r="J946" s="222"/>
      <c r="K946" s="222"/>
      <c r="L946" s="222"/>
      <c r="M946" s="22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22"/>
      <c r="J947" s="222"/>
      <c r="K947" s="222"/>
      <c r="L947" s="222"/>
      <c r="M947" s="22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22"/>
      <c r="J948" s="222"/>
      <c r="K948" s="222"/>
      <c r="L948" s="222"/>
      <c r="M948" s="22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22"/>
      <c r="J949" s="222"/>
      <c r="K949" s="222"/>
      <c r="L949" s="222"/>
      <c r="M949" s="22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22"/>
      <c r="J950" s="222"/>
      <c r="K950" s="222"/>
      <c r="L950" s="222"/>
      <c r="M950" s="22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22"/>
      <c r="J951" s="222"/>
      <c r="K951" s="222"/>
      <c r="L951" s="222"/>
      <c r="M951" s="22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22"/>
      <c r="J952" s="222"/>
      <c r="K952" s="222"/>
      <c r="L952" s="222"/>
      <c r="M952" s="22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22"/>
      <c r="J953" s="222"/>
      <c r="K953" s="222"/>
      <c r="L953" s="222"/>
      <c r="M953" s="22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22"/>
      <c r="J954" s="222"/>
      <c r="K954" s="222"/>
      <c r="L954" s="222"/>
      <c r="M954" s="22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22"/>
      <c r="J955" s="222"/>
      <c r="K955" s="222"/>
      <c r="L955" s="222"/>
      <c r="M955" s="22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22"/>
      <c r="J956" s="222"/>
      <c r="K956" s="222"/>
      <c r="L956" s="222"/>
      <c r="M956" s="22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22"/>
      <c r="J957" s="222"/>
      <c r="K957" s="222"/>
      <c r="L957" s="222"/>
      <c r="M957" s="22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22"/>
      <c r="J958" s="222"/>
      <c r="K958" s="222"/>
      <c r="L958" s="222"/>
      <c r="M958" s="22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22"/>
      <c r="J959" s="222"/>
      <c r="K959" s="222"/>
      <c r="L959" s="222"/>
      <c r="M959" s="22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22"/>
      <c r="J960" s="222"/>
      <c r="K960" s="222"/>
      <c r="L960" s="222"/>
      <c r="M960" s="22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22"/>
      <c r="J961" s="222"/>
      <c r="K961" s="222"/>
      <c r="L961" s="222"/>
      <c r="M961" s="22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22"/>
      <c r="J962" s="222"/>
      <c r="K962" s="222"/>
      <c r="L962" s="222"/>
      <c r="M962" s="22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22"/>
      <c r="J963" s="222"/>
      <c r="K963" s="222"/>
      <c r="L963" s="222"/>
      <c r="M963" s="22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22"/>
      <c r="J964" s="222"/>
      <c r="K964" s="222"/>
      <c r="L964" s="222"/>
      <c r="M964" s="22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22"/>
      <c r="J965" s="222"/>
      <c r="K965" s="222"/>
      <c r="L965" s="222"/>
      <c r="M965" s="22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22"/>
      <c r="J966" s="222"/>
      <c r="K966" s="222"/>
      <c r="L966" s="222"/>
      <c r="M966" s="22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22"/>
      <c r="J967" s="222"/>
      <c r="K967" s="222"/>
      <c r="L967" s="222"/>
      <c r="M967" s="22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22"/>
      <c r="J968" s="222"/>
      <c r="K968" s="222"/>
      <c r="L968" s="222"/>
      <c r="M968" s="22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22"/>
      <c r="J969" s="222"/>
      <c r="K969" s="222"/>
      <c r="L969" s="222"/>
      <c r="M969" s="22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22"/>
      <c r="J970" s="222"/>
      <c r="K970" s="222"/>
      <c r="L970" s="222"/>
      <c r="M970" s="22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22"/>
      <c r="J971" s="222"/>
      <c r="K971" s="222"/>
      <c r="L971" s="222"/>
      <c r="M971" s="22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22"/>
      <c r="J972" s="222"/>
      <c r="K972" s="222"/>
      <c r="L972" s="222"/>
      <c r="M972" s="22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22"/>
      <c r="J973" s="222"/>
      <c r="K973" s="222"/>
      <c r="L973" s="222"/>
      <c r="M973" s="22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22"/>
      <c r="J974" s="222"/>
      <c r="K974" s="222"/>
      <c r="L974" s="222"/>
      <c r="M974" s="22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22"/>
      <c r="J975" s="222"/>
      <c r="K975" s="222"/>
      <c r="L975" s="222"/>
      <c r="M975" s="22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22"/>
      <c r="J976" s="222"/>
      <c r="K976" s="222"/>
      <c r="L976" s="222"/>
      <c r="M976" s="22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22"/>
      <c r="J977" s="222"/>
      <c r="K977" s="222"/>
      <c r="L977" s="222"/>
      <c r="M977" s="22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22"/>
      <c r="J978" s="222"/>
      <c r="K978" s="222"/>
      <c r="L978" s="222"/>
      <c r="M978" s="22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22"/>
      <c r="J979" s="222"/>
      <c r="K979" s="222"/>
      <c r="L979" s="222"/>
      <c r="M979" s="22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22"/>
      <c r="J980" s="222"/>
      <c r="K980" s="222"/>
      <c r="L980" s="222"/>
      <c r="M980" s="22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22"/>
      <c r="J981" s="222"/>
      <c r="K981" s="222"/>
      <c r="L981" s="222"/>
      <c r="M981" s="22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22"/>
      <c r="J982" s="222"/>
      <c r="K982" s="222"/>
      <c r="L982" s="222"/>
      <c r="M982" s="22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22"/>
      <c r="J983" s="222"/>
      <c r="K983" s="222"/>
      <c r="L983" s="222"/>
      <c r="M983" s="22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22"/>
      <c r="J984" s="222"/>
      <c r="K984" s="222"/>
      <c r="L984" s="222"/>
      <c r="M984" s="22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22"/>
      <c r="J985" s="222"/>
      <c r="K985" s="222"/>
      <c r="L985" s="222"/>
      <c r="M985" s="22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22"/>
      <c r="J986" s="222"/>
      <c r="K986" s="222"/>
      <c r="L986" s="222"/>
      <c r="M986" s="22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22"/>
      <c r="J987" s="222"/>
      <c r="K987" s="222"/>
      <c r="L987" s="222"/>
      <c r="M987" s="22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22"/>
      <c r="J988" s="222"/>
      <c r="K988" s="222"/>
      <c r="L988" s="222"/>
      <c r="M988" s="22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22"/>
      <c r="J989" s="222"/>
      <c r="K989" s="222"/>
      <c r="L989" s="222"/>
      <c r="M989" s="22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22"/>
      <c r="J990" s="222"/>
      <c r="K990" s="222"/>
      <c r="L990" s="222"/>
      <c r="M990" s="22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22"/>
      <c r="J991" s="222"/>
      <c r="K991" s="222"/>
      <c r="L991" s="222"/>
      <c r="M991" s="22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22"/>
      <c r="J992" s="222"/>
      <c r="K992" s="222"/>
      <c r="L992" s="222"/>
      <c r="M992" s="22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22"/>
      <c r="J993" s="222"/>
      <c r="K993" s="222"/>
      <c r="L993" s="222"/>
      <c r="M993" s="22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22"/>
      <c r="J994" s="222"/>
      <c r="K994" s="222"/>
      <c r="L994" s="222"/>
      <c r="M994" s="22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22"/>
      <c r="J995" s="222"/>
      <c r="K995" s="222"/>
      <c r="L995" s="222"/>
      <c r="M995" s="22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22"/>
      <c r="J996" s="222"/>
      <c r="K996" s="222"/>
      <c r="L996" s="222"/>
      <c r="M996" s="22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22"/>
      <c r="J997" s="222"/>
      <c r="K997" s="222"/>
      <c r="L997" s="222"/>
      <c r="M997" s="22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22"/>
      <c r="J998" s="222"/>
      <c r="K998" s="222"/>
      <c r="L998" s="222"/>
      <c r="M998" s="22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22"/>
      <c r="J999" s="222"/>
      <c r="K999" s="222"/>
      <c r="L999" s="222"/>
      <c r="M999" s="22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22"/>
      <c r="J1000" s="222"/>
      <c r="K1000" s="222"/>
      <c r="L1000" s="222"/>
      <c r="M1000" s="22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94" t="s">
        <v>312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21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313</v>
      </c>
      <c r="I4" s="12"/>
      <c r="J4" s="9"/>
      <c r="K4" s="223" t="s">
        <v>314</v>
      </c>
      <c r="L4" s="62"/>
      <c r="M4" s="22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25"/>
      <c r="I6" s="225"/>
      <c r="J6" s="22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26"/>
      <c r="B7" s="227"/>
      <c r="C7" s="227"/>
      <c r="D7" s="227"/>
      <c r="E7" s="228"/>
      <c r="F7" s="228" t="s">
        <v>4</v>
      </c>
      <c r="G7" s="227"/>
      <c r="H7" s="227"/>
      <c r="I7" s="227"/>
      <c r="J7" s="229"/>
      <c r="K7" s="230"/>
      <c r="L7" s="231"/>
      <c r="M7" s="231"/>
      <c r="N7" s="232" t="s">
        <v>315</v>
      </c>
      <c r="O7" s="232"/>
      <c r="P7" s="231"/>
      <c r="Q7" s="233"/>
      <c r="R7" s="234" t="s">
        <v>316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35"/>
      <c r="K8" s="236"/>
      <c r="L8" s="9"/>
      <c r="M8" s="9"/>
      <c r="N8" s="9"/>
      <c r="O8" s="9"/>
      <c r="P8" s="9"/>
      <c r="Q8" s="23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4" t="s">
        <v>317</v>
      </c>
      <c r="B9" s="9"/>
      <c r="C9" s="9"/>
      <c r="D9" s="9"/>
      <c r="E9" s="9"/>
      <c r="F9" s="238"/>
      <c r="G9" s="54" t="s">
        <v>318</v>
      </c>
      <c r="H9" s="9"/>
      <c r="I9" s="9"/>
      <c r="J9" s="235"/>
      <c r="K9" s="236"/>
      <c r="L9" s="9"/>
      <c r="M9" s="9"/>
      <c r="N9" s="9"/>
      <c r="O9" s="9"/>
      <c r="P9" s="9"/>
      <c r="Q9" s="237"/>
      <c r="R9" s="9"/>
      <c r="S9" s="9"/>
      <c r="T9" s="41" t="s">
        <v>319</v>
      </c>
      <c r="U9" s="239" t="s">
        <v>320</v>
      </c>
      <c r="V9" s="41" t="s">
        <v>321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4" t="s">
        <v>322</v>
      </c>
      <c r="B10" s="9"/>
      <c r="C10" s="9"/>
      <c r="D10" s="9"/>
      <c r="E10" s="9"/>
      <c r="F10" s="238"/>
      <c r="G10" s="54" t="s">
        <v>323</v>
      </c>
      <c r="H10" s="9"/>
      <c r="I10" s="9"/>
      <c r="J10" s="235"/>
      <c r="K10" s="236"/>
      <c r="L10" s="9"/>
      <c r="M10" s="9"/>
      <c r="N10" s="9"/>
      <c r="O10" s="9"/>
      <c r="P10" s="9"/>
      <c r="Q10" s="237"/>
      <c r="R10" s="9"/>
      <c r="S10" s="41" t="str">
        <f>B14</f>
        <v>Pin sylvestre</v>
      </c>
      <c r="T10" s="24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-748.7801445</v>
      </c>
      <c r="U10" s="241">
        <f>'Données projet'!D9</f>
        <v>2.03999947</v>
      </c>
      <c r="V10" s="240">
        <f t="shared" ref="V10:V19" si="1">U10*T10</f>
        <v>-1527.511098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4" t="s">
        <v>324</v>
      </c>
      <c r="B11" s="9"/>
      <c r="C11" s="9"/>
      <c r="D11" s="9"/>
      <c r="E11" s="9"/>
      <c r="F11" s="238"/>
      <c r="G11" s="54" t="s">
        <v>325</v>
      </c>
      <c r="H11" s="9"/>
      <c r="I11" s="9"/>
      <c r="J11" s="235"/>
      <c r="K11" s="236"/>
      <c r="L11" s="9"/>
      <c r="M11" s="9"/>
      <c r="N11" s="9"/>
      <c r="O11" s="9"/>
      <c r="P11" s="9"/>
      <c r="Q11" s="237"/>
      <c r="R11" s="9"/>
      <c r="S11" s="41" t="str">
        <f>B45</f>
        <v>Pin laricio</v>
      </c>
      <c r="T11" s="24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-269.7266135</v>
      </c>
      <c r="U11" s="241">
        <f>'Données projet'!D10</f>
        <v>2.173334215</v>
      </c>
      <c r="V11" s="240">
        <f t="shared" si="1"/>
        <v>-586.2060777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38"/>
      <c r="G12" s="9"/>
      <c r="H12" s="9"/>
      <c r="I12" s="9"/>
      <c r="J12" s="235"/>
      <c r="K12" s="236"/>
      <c r="L12" s="54"/>
      <c r="M12" s="9"/>
      <c r="N12" s="9"/>
      <c r="O12" s="9"/>
      <c r="P12" s="9"/>
      <c r="Q12" s="237"/>
      <c r="R12" s="9"/>
      <c r="S12" s="41" t="str">
        <f>B76</f>
        <v>Cèdre de l'Atlas</v>
      </c>
      <c r="T12" s="24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-2397.735591</v>
      </c>
      <c r="U12" s="241">
        <f>'Données projet'!D11</f>
        <v>2.306668959</v>
      </c>
      <c r="V12" s="240">
        <f t="shared" si="1"/>
        <v>-5530.782259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38"/>
      <c r="G13" s="9"/>
      <c r="H13" s="9"/>
      <c r="I13" s="9"/>
      <c r="J13" s="9"/>
      <c r="K13" s="236"/>
      <c r="L13" s="54" t="s">
        <v>326</v>
      </c>
      <c r="M13" s="9"/>
      <c r="N13" s="9"/>
      <c r="O13" s="9"/>
      <c r="P13" s="9"/>
      <c r="Q13" s="237"/>
      <c r="R13" s="9"/>
      <c r="S13" s="41" t="str">
        <f>B107</f>
        <v>Sapin pectiné</v>
      </c>
      <c r="T13" s="24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1631.559891</v>
      </c>
      <c r="U13" s="241">
        <f>'Données projet'!D12</f>
        <v>2.573338448</v>
      </c>
      <c r="V13" s="240">
        <f t="shared" si="1"/>
        <v>4198.555799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7" t="s">
        <v>15</v>
      </c>
      <c r="B14" s="242" t="str">
        <f>IF('Données projet'!$B$9="","",'Données projet'!$B$9)</f>
        <v>Pin sylvestre</v>
      </c>
      <c r="C14" s="9"/>
      <c r="D14" s="9"/>
      <c r="E14" s="9"/>
      <c r="F14" s="238"/>
      <c r="G14" s="9"/>
      <c r="H14" s="41" t="s">
        <v>102</v>
      </c>
      <c r="I14" s="41" t="s">
        <v>327</v>
      </c>
      <c r="J14" s="53"/>
      <c r="K14" s="236"/>
      <c r="L14" s="54"/>
      <c r="M14" s="9"/>
      <c r="N14" s="9"/>
      <c r="O14" s="9"/>
      <c r="P14" s="9"/>
      <c r="Q14" s="237"/>
      <c r="R14" s="9"/>
      <c r="S14" s="41" t="str">
        <f>B138</f>
        <v>Chêne pubescent</v>
      </c>
      <c r="T14" s="24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-2307.308657</v>
      </c>
      <c r="U14" s="241">
        <f>'Données projet'!D13</f>
        <v>1.80000325</v>
      </c>
      <c r="V14" s="240">
        <f t="shared" si="1"/>
        <v>-4153.163082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38"/>
      <c r="G15" s="243" t="s">
        <v>328</v>
      </c>
      <c r="H15" s="32"/>
      <c r="I15" s="244"/>
      <c r="J15" s="54"/>
      <c r="K15" s="236"/>
      <c r="L15" s="54"/>
      <c r="M15" s="9"/>
      <c r="N15" s="9"/>
      <c r="O15" s="9"/>
      <c r="P15" s="9"/>
      <c r="Q15" s="237"/>
      <c r="R15" s="9"/>
      <c r="S15" s="41" t="str">
        <f>B169</f>
        <v>Chêne sessile</v>
      </c>
      <c r="T15" s="24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-1744.529979</v>
      </c>
      <c r="U15" s="241">
        <f>'Données projet'!D14</f>
        <v>1.991677871</v>
      </c>
      <c r="V15" s="240">
        <f t="shared" si="1"/>
        <v>-3474.541755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1" t="s">
        <v>55</v>
      </c>
      <c r="B16" s="65" t="s">
        <v>329</v>
      </c>
      <c r="C16" s="65" t="s">
        <v>330</v>
      </c>
      <c r="D16" s="41" t="s">
        <v>331</v>
      </c>
      <c r="E16" s="41" t="s">
        <v>332</v>
      </c>
      <c r="F16" s="238"/>
      <c r="G16" s="245"/>
      <c r="H16" s="32"/>
      <c r="I16" s="244"/>
      <c r="J16" s="54"/>
      <c r="K16" s="236"/>
      <c r="L16" s="223" t="s">
        <v>333</v>
      </c>
      <c r="M16" s="62"/>
      <c r="N16" s="108">
        <v>60.0</v>
      </c>
      <c r="O16" s="9"/>
      <c r="P16" s="9"/>
      <c r="Q16" s="237"/>
      <c r="R16" s="9"/>
      <c r="S16" s="41" t="str">
        <f>B200</f>
        <v>Châtaignier</v>
      </c>
      <c r="T16" s="24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-1130.222365</v>
      </c>
      <c r="U16" s="241">
        <f>'Données projet'!D15</f>
        <v>1.125002032</v>
      </c>
      <c r="V16" s="240">
        <f t="shared" si="1"/>
        <v>-1271.502456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1">
        <v>0.0</v>
      </c>
      <c r="B17" s="246" t="s">
        <v>219</v>
      </c>
      <c r="C17" s="247" t="s">
        <v>219</v>
      </c>
      <c r="D17" s="248" t="s">
        <v>219</v>
      </c>
      <c r="E17" s="249" t="s">
        <v>334</v>
      </c>
      <c r="F17" s="238"/>
      <c r="G17" s="245"/>
      <c r="H17" s="9"/>
      <c r="I17" s="9"/>
      <c r="J17" s="54"/>
      <c r="K17" s="236"/>
      <c r="L17" s="61" t="s">
        <v>335</v>
      </c>
      <c r="M17" s="62"/>
      <c r="N17" s="250">
        <f>VLOOKUP(N16,Calculateur!$A$2:$H$153,3,0)/VLOOKUP('Scénario référence'!$G$15,'Paramètres'!A1:I89,3,0)/VLOOKUP('Scénario référence'!$G$15,'Paramètres'!A1:I89,5,0)</f>
        <v>60</v>
      </c>
      <c r="O17" s="9"/>
      <c r="P17" s="9"/>
      <c r="Q17" s="237"/>
      <c r="R17" s="9"/>
      <c r="S17" s="41" t="str">
        <f>B231</f>
        <v>Robinier faux-acacia</v>
      </c>
      <c r="T17" s="24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-552.9707439</v>
      </c>
      <c r="U17" s="241">
        <f>'Données projet'!D16</f>
        <v>0.6449937906</v>
      </c>
      <c r="V17" s="240">
        <f t="shared" si="1"/>
        <v>-356.6626962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1">
        <v>1.0</v>
      </c>
      <c r="B18" s="246" t="s">
        <v>219</v>
      </c>
      <c r="C18" s="247" t="s">
        <v>219</v>
      </c>
      <c r="D18" s="248" t="s">
        <v>219</v>
      </c>
      <c r="E18" s="251"/>
      <c r="F18" s="238"/>
      <c r="G18" s="245"/>
      <c r="H18" s="9"/>
      <c r="I18" s="9"/>
      <c r="J18" s="54"/>
      <c r="K18" s="236"/>
      <c r="L18" s="61" t="s">
        <v>330</v>
      </c>
      <c r="M18" s="62"/>
      <c r="N18" s="252">
        <v>10.0</v>
      </c>
      <c r="O18" s="9"/>
      <c r="P18" s="9"/>
      <c r="Q18" s="237"/>
      <c r="R18" s="9"/>
      <c r="S18" s="41" t="str">
        <f>B262</f>
        <v>Tilleul</v>
      </c>
      <c r="T18" s="24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-1367.124723</v>
      </c>
      <c r="U18" s="241">
        <f>'Données projet'!D17</f>
        <v>0.2066704343</v>
      </c>
      <c r="V18" s="240">
        <f t="shared" si="1"/>
        <v>-282.5442602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1">
        <v>2.0</v>
      </c>
      <c r="B19" s="246" t="s">
        <v>219</v>
      </c>
      <c r="C19" s="247" t="s">
        <v>219</v>
      </c>
      <c r="D19" s="248" t="s">
        <v>219</v>
      </c>
      <c r="E19" s="251"/>
      <c r="F19" s="238"/>
      <c r="G19" s="245"/>
      <c r="H19" s="41" t="s">
        <v>102</v>
      </c>
      <c r="I19" s="41" t="s">
        <v>336</v>
      </c>
      <c r="J19" s="54"/>
      <c r="K19" s="236"/>
      <c r="L19" s="223" t="s">
        <v>337</v>
      </c>
      <c r="M19" s="62"/>
      <c r="N19" s="253">
        <f>N17*N18</f>
        <v>600</v>
      </c>
      <c r="O19" s="9"/>
      <c r="P19" s="9"/>
      <c r="Q19" s="237"/>
      <c r="R19" s="9"/>
      <c r="S19" s="41" t="str">
        <f>B293</f>
        <v>Cormier</v>
      </c>
      <c r="T19" s="24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-2661.417011</v>
      </c>
      <c r="U19" s="241">
        <f>'Données projet'!D18</f>
        <v>0.9400036288</v>
      </c>
      <c r="V19" s="240">
        <f t="shared" si="1"/>
        <v>-2501.741648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1">
        <v>3.0</v>
      </c>
      <c r="B20" s="246" t="s">
        <v>219</v>
      </c>
      <c r="C20" s="247" t="s">
        <v>219</v>
      </c>
      <c r="D20" s="248" t="s">
        <v>219</v>
      </c>
      <c r="E20" s="251"/>
      <c r="F20" s="238"/>
      <c r="G20" s="245"/>
      <c r="H20" s="254">
        <v>0.0</v>
      </c>
      <c r="I20" s="255">
        <v>5121.427065</v>
      </c>
      <c r="J20" s="9"/>
      <c r="K20" s="236"/>
      <c r="L20" s="9"/>
      <c r="M20" s="9"/>
      <c r="N20" s="9"/>
      <c r="O20" s="9"/>
      <c r="P20" s="9"/>
      <c r="Q20" s="23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1">
        <v>4.0</v>
      </c>
      <c r="B21" s="246" t="s">
        <v>219</v>
      </c>
      <c r="C21" s="247" t="s">
        <v>219</v>
      </c>
      <c r="D21" s="248" t="s">
        <v>219</v>
      </c>
      <c r="E21" s="251"/>
      <c r="F21" s="238"/>
      <c r="G21" s="9"/>
      <c r="H21" s="254">
        <v>1.0</v>
      </c>
      <c r="I21" s="255">
        <v>580.0</v>
      </c>
      <c r="J21" s="9"/>
      <c r="K21" s="236"/>
      <c r="L21" s="9"/>
      <c r="M21" s="9"/>
      <c r="N21" s="9"/>
      <c r="O21" s="9"/>
      <c r="P21" s="9"/>
      <c r="Q21" s="23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1">
        <v>5.0</v>
      </c>
      <c r="B22" s="246" t="s">
        <v>219</v>
      </c>
      <c r="C22" s="247" t="s">
        <v>219</v>
      </c>
      <c r="D22" s="248" t="s">
        <v>219</v>
      </c>
      <c r="E22" s="251"/>
      <c r="F22" s="238"/>
      <c r="G22" s="9"/>
      <c r="H22" s="254">
        <v>2.0</v>
      </c>
      <c r="I22" s="255">
        <v>580.0</v>
      </c>
      <c r="J22" s="9"/>
      <c r="K22" s="236"/>
      <c r="L22" s="9"/>
      <c r="M22" s="9"/>
      <c r="N22" s="9"/>
      <c r="O22" s="9"/>
      <c r="P22" s="9"/>
      <c r="Q22" s="23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50">
        <f>'Données projet'!A36</f>
        <v>25</v>
      </c>
      <c r="B23" s="256">
        <f>'Données projet'!D36</f>
        <v>12</v>
      </c>
      <c r="C23" s="251">
        <f>'Données projet'!E36*30+SUM('Données projet'!F36:G36)*19.4+'Données projet'!H36*10</f>
        <v>19.4</v>
      </c>
      <c r="D23" s="257">
        <f t="shared" ref="D23:D42" si="2">B23*C23</f>
        <v>232.8</v>
      </c>
      <c r="E23" s="251"/>
      <c r="F23" s="238"/>
      <c r="G23" s="9"/>
      <c r="H23" s="254">
        <v>3.0</v>
      </c>
      <c r="I23" s="244"/>
      <c r="J23" s="9"/>
      <c r="K23" s="236"/>
      <c r="L23" s="258" t="s">
        <v>338</v>
      </c>
      <c r="O23" s="9"/>
      <c r="P23" s="9"/>
      <c r="Q23" s="237"/>
      <c r="R23" s="9"/>
      <c r="S23" s="41" t="s">
        <v>339</v>
      </c>
      <c r="T23" s="2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-113576.3273</v>
      </c>
      <c r="U23" s="63"/>
      <c r="V23" s="62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50">
        <f>'Données projet'!A37</f>
        <v>30</v>
      </c>
      <c r="B24" s="256">
        <f>'Données projet'!D37</f>
        <v>23</v>
      </c>
      <c r="C24" s="251">
        <f>'Données projet'!E37*30+SUM('Données projet'!F37:G37)*19.4+'Données projet'!H37*10</f>
        <v>21.52</v>
      </c>
      <c r="D24" s="257">
        <f t="shared" si="2"/>
        <v>494.96</v>
      </c>
      <c r="E24" s="251"/>
      <c r="F24" s="260"/>
      <c r="G24" s="9"/>
      <c r="H24" s="254">
        <v>4.0</v>
      </c>
      <c r="I24" s="244"/>
      <c r="J24" s="9"/>
      <c r="K24" s="236"/>
      <c r="L24" s="9"/>
      <c r="M24" s="9"/>
      <c r="N24" s="9"/>
      <c r="O24" s="9"/>
      <c r="P24" s="9"/>
      <c r="Q24" s="237"/>
      <c r="R24" s="9"/>
      <c r="S24" s="41" t="s">
        <v>340</v>
      </c>
      <c r="T24" s="261">
        <f>'Scénario référence'!$B$8*$M$30*'Données projet'!$C$5+('Scénario référence'!B9+'Scénario référence'!B10+'Scénario référence'!F8+'Scénario référence'!F9)*$N$19/(1+M4)^N16*'Données projet'!$C$5</f>
        <v>675.8925133</v>
      </c>
      <c r="U24" s="63"/>
      <c r="V24" s="62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50">
        <f>'Données projet'!A38</f>
        <v>35</v>
      </c>
      <c r="B25" s="256">
        <f>'Données projet'!D38</f>
        <v>28</v>
      </c>
      <c r="C25" s="251">
        <f>'Données projet'!E38*30+SUM('Données projet'!F38:G38)*19.4+'Données projet'!H38*10</f>
        <v>21.52</v>
      </c>
      <c r="D25" s="257">
        <f t="shared" si="2"/>
        <v>602.56</v>
      </c>
      <c r="E25" s="251"/>
      <c r="F25" s="260"/>
      <c r="G25" s="9"/>
      <c r="H25" s="254">
        <v>5.0</v>
      </c>
      <c r="I25" s="244"/>
      <c r="J25" s="9"/>
      <c r="K25" s="236"/>
      <c r="L25" s="177" t="s">
        <v>341</v>
      </c>
      <c r="M25" s="177"/>
      <c r="N25" s="177"/>
      <c r="O25" s="177"/>
      <c r="P25" s="262"/>
      <c r="Q25" s="237"/>
      <c r="R25" s="9"/>
      <c r="S25" s="60" t="s">
        <v>342</v>
      </c>
      <c r="T25" s="263">
        <f>T23-T24</f>
        <v>-114252.2198</v>
      </c>
      <c r="U25" s="63"/>
      <c r="V25" s="62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50">
        <f>'Données projet'!A39</f>
        <v>40</v>
      </c>
      <c r="B26" s="256">
        <f>'Données projet'!D39</f>
        <v>37</v>
      </c>
      <c r="C26" s="251">
        <f>'Données projet'!E39*30+SUM('Données projet'!F39:G39)*19.4+'Données projet'!H39*10</f>
        <v>23.64</v>
      </c>
      <c r="D26" s="257">
        <f t="shared" si="2"/>
        <v>874.68</v>
      </c>
      <c r="E26" s="251"/>
      <c r="F26" s="260"/>
      <c r="G26" s="59"/>
      <c r="H26" s="32"/>
      <c r="I26" s="244"/>
      <c r="J26" s="9"/>
      <c r="K26" s="236"/>
      <c r="L26" s="264" t="s">
        <v>343</v>
      </c>
      <c r="M26" s="265"/>
      <c r="N26" s="265"/>
      <c r="O26" s="265"/>
      <c r="P26" s="266"/>
      <c r="Q26" s="237"/>
      <c r="R26" s="9"/>
      <c r="S26" s="60" t="s">
        <v>344</v>
      </c>
      <c r="T26" s="267" t="str">
        <f>IF(T25&lt;0,"Votre projet est additionnel","Votre projet n'est pas additionnel")</f>
        <v>Votre projet est additionnel</v>
      </c>
      <c r="U26" s="63"/>
      <c r="V26" s="62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50">
        <f>'Données projet'!A40</f>
        <v>50</v>
      </c>
      <c r="B27" s="256">
        <f>'Données projet'!D40</f>
        <v>65</v>
      </c>
      <c r="C27" s="251">
        <f>'Données projet'!E40*30+SUM('Données projet'!F40:G40)*19.4+'Données projet'!H40*10</f>
        <v>25.76</v>
      </c>
      <c r="D27" s="257">
        <f t="shared" si="2"/>
        <v>1674.4</v>
      </c>
      <c r="E27" s="251"/>
      <c r="F27" s="260"/>
      <c r="G27" s="59"/>
      <c r="H27" s="32"/>
      <c r="I27" s="244"/>
      <c r="J27" s="9"/>
      <c r="K27" s="236"/>
      <c r="L27" s="268"/>
      <c r="M27" s="269"/>
      <c r="N27" s="269"/>
      <c r="O27" s="269"/>
      <c r="P27" s="270"/>
      <c r="Q27" s="237"/>
      <c r="R27" s="9"/>
      <c r="S27" s="271" t="s">
        <v>345</v>
      </c>
      <c r="T27" s="265"/>
      <c r="U27" s="265"/>
      <c r="V27" s="26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50">
        <f>'Données projet'!A41</f>
        <v>60</v>
      </c>
      <c r="B28" s="256">
        <f>'Données projet'!D41</f>
        <v>329</v>
      </c>
      <c r="C28" s="251">
        <f>'Données projet'!E41*30+SUM('Données projet'!F41:G41)*19.4+'Données projet'!H41*10</f>
        <v>27.88</v>
      </c>
      <c r="D28" s="257">
        <f t="shared" si="2"/>
        <v>9172.52</v>
      </c>
      <c r="E28" s="251"/>
      <c r="F28" s="260"/>
      <c r="G28" s="24"/>
      <c r="H28" s="32"/>
      <c r="I28" s="244"/>
      <c r="J28" s="9"/>
      <c r="K28" s="236"/>
      <c r="L28" s="9"/>
      <c r="M28" s="9"/>
      <c r="N28" s="9"/>
      <c r="O28" s="9"/>
      <c r="P28" s="9"/>
      <c r="Q28" s="23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72" t="str">
        <f>'Données projet'!A42</f>
        <v/>
      </c>
      <c r="B29" s="272" t="str">
        <f>'Données projet'!D42</f>
        <v/>
      </c>
      <c r="C29" s="251"/>
      <c r="D29" s="257">
        <f t="shared" si="2"/>
        <v>0</v>
      </c>
      <c r="E29" s="251"/>
      <c r="F29" s="260"/>
      <c r="G29" s="273"/>
      <c r="H29" s="32"/>
      <c r="I29" s="244"/>
      <c r="J29" s="9"/>
      <c r="K29" s="236"/>
      <c r="L29" s="9"/>
      <c r="M29" s="9"/>
      <c r="N29" s="9"/>
      <c r="O29" s="9"/>
      <c r="P29" s="9"/>
      <c r="Q29" s="23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72" t="str">
        <f>'Données projet'!A43</f>
        <v/>
      </c>
      <c r="B30" s="272" t="str">
        <f>'Données projet'!D43</f>
        <v/>
      </c>
      <c r="C30" s="251"/>
      <c r="D30" s="257">
        <f t="shared" si="2"/>
        <v>0</v>
      </c>
      <c r="E30" s="251"/>
      <c r="F30" s="260"/>
      <c r="G30" s="273"/>
      <c r="H30" s="32"/>
      <c r="I30" s="244"/>
      <c r="J30" s="9"/>
      <c r="K30" s="274"/>
      <c r="L30" s="41" t="s">
        <v>346</v>
      </c>
      <c r="M30" s="275">
        <f>SUM(OFFSET($P$33,0,0,MIN('Données projet'!$E$9:$E$18)+1,1))</f>
        <v>0</v>
      </c>
      <c r="N30" s="9"/>
      <c r="O30" s="9"/>
      <c r="P30" s="9"/>
      <c r="Q30" s="23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72" t="str">
        <f>'Données projet'!A44</f>
        <v/>
      </c>
      <c r="B31" s="272" t="str">
        <f>'Données projet'!D44</f>
        <v/>
      </c>
      <c r="C31" s="251"/>
      <c r="D31" s="257">
        <f t="shared" si="2"/>
        <v>0</v>
      </c>
      <c r="E31" s="251"/>
      <c r="F31" s="260"/>
      <c r="G31" s="273"/>
      <c r="H31" s="32"/>
      <c r="I31" s="244"/>
      <c r="J31" s="9"/>
      <c r="K31" s="236"/>
      <c r="L31" s="9"/>
      <c r="M31" s="9"/>
      <c r="N31" s="9"/>
      <c r="O31" s="9"/>
      <c r="P31" s="9"/>
      <c r="Q31" s="23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72" t="str">
        <f>'Données projet'!A45</f>
        <v/>
      </c>
      <c r="B32" s="272" t="str">
        <f>'Données projet'!D45</f>
        <v/>
      </c>
      <c r="C32" s="251"/>
      <c r="D32" s="257">
        <f t="shared" si="2"/>
        <v>0</v>
      </c>
      <c r="E32" s="251"/>
      <c r="F32" s="260"/>
      <c r="G32" s="273"/>
      <c r="H32" s="32"/>
      <c r="I32" s="244"/>
      <c r="J32" s="9"/>
      <c r="K32" s="236"/>
      <c r="L32" s="9"/>
      <c r="M32" s="9"/>
      <c r="N32" s="9"/>
      <c r="O32" s="60" t="s">
        <v>102</v>
      </c>
      <c r="P32" s="60" t="s">
        <v>331</v>
      </c>
      <c r="Q32" s="23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72" t="str">
        <f>'Données projet'!A46</f>
        <v/>
      </c>
      <c r="B33" s="272" t="str">
        <f>'Données projet'!D46</f>
        <v/>
      </c>
      <c r="C33" s="251"/>
      <c r="D33" s="257">
        <f t="shared" si="2"/>
        <v>0</v>
      </c>
      <c r="E33" s="251"/>
      <c r="F33" s="260"/>
      <c r="G33" s="273"/>
      <c r="H33" s="32"/>
      <c r="I33" s="244"/>
      <c r="J33" s="9"/>
      <c r="K33" s="236"/>
      <c r="L33" s="9"/>
      <c r="M33" s="9"/>
      <c r="N33" s="9"/>
      <c r="O33" s="169">
        <v>0.0</v>
      </c>
      <c r="P33" s="276">
        <f t="shared" ref="P33:P132" si="3">$P$25/(1+$M$4)^O33</f>
        <v>0</v>
      </c>
      <c r="Q33" s="23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72" t="str">
        <f>'Données projet'!A47</f>
        <v/>
      </c>
      <c r="B34" s="272" t="str">
        <f>'Données projet'!D47</f>
        <v/>
      </c>
      <c r="C34" s="251"/>
      <c r="D34" s="257">
        <f t="shared" si="2"/>
        <v>0</v>
      </c>
      <c r="E34" s="251"/>
      <c r="F34" s="260"/>
      <c r="G34" s="273"/>
      <c r="H34" s="32"/>
      <c r="I34" s="244"/>
      <c r="J34" s="9"/>
      <c r="K34" s="236"/>
      <c r="L34" s="96"/>
      <c r="M34" s="96"/>
      <c r="N34" s="277"/>
      <c r="O34" s="169">
        <f>IF(O33+1&lt;=MIN('Données projet'!$E$9:$E$18),O33+1,"STOP")</f>
        <v>1</v>
      </c>
      <c r="P34" s="276">
        <f t="shared" si="3"/>
        <v>0</v>
      </c>
      <c r="Q34" s="23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72" t="str">
        <f>'Données projet'!A48</f>
        <v/>
      </c>
      <c r="B35" s="272" t="str">
        <f>'Données projet'!D48</f>
        <v/>
      </c>
      <c r="C35" s="251"/>
      <c r="D35" s="257">
        <f t="shared" si="2"/>
        <v>0</v>
      </c>
      <c r="E35" s="251"/>
      <c r="F35" s="260"/>
      <c r="G35" s="273"/>
      <c r="H35" s="32"/>
      <c r="I35" s="244"/>
      <c r="J35" s="9"/>
      <c r="K35" s="236"/>
      <c r="L35" s="96"/>
      <c r="M35" s="96"/>
      <c r="N35" s="277"/>
      <c r="O35" s="169">
        <f>IF(O34+1&lt;=MIN('Données projet'!$E$9:$E$18),O34+1,"STOP")</f>
        <v>2</v>
      </c>
      <c r="P35" s="276">
        <f t="shared" si="3"/>
        <v>0</v>
      </c>
      <c r="Q35" s="23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72" t="str">
        <f>'Données projet'!A49</f>
        <v/>
      </c>
      <c r="B36" s="272" t="str">
        <f>'Données projet'!D49</f>
        <v/>
      </c>
      <c r="C36" s="251"/>
      <c r="D36" s="257">
        <f t="shared" si="2"/>
        <v>0</v>
      </c>
      <c r="E36" s="251"/>
      <c r="F36" s="260"/>
      <c r="G36" s="273"/>
      <c r="H36" s="32"/>
      <c r="I36" s="244"/>
      <c r="J36" s="9"/>
      <c r="K36" s="236"/>
      <c r="L36" s="9"/>
      <c r="M36" s="9"/>
      <c r="N36" s="9"/>
      <c r="O36" s="169">
        <f>IF(O35+1&lt;=MIN('Données projet'!$E$9:$E$18),O35+1,"STOP")</f>
        <v>3</v>
      </c>
      <c r="P36" s="276">
        <f t="shared" si="3"/>
        <v>0</v>
      </c>
      <c r="Q36" s="23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72" t="str">
        <f>'Données projet'!A50</f>
        <v/>
      </c>
      <c r="B37" s="272" t="str">
        <f>'Données projet'!D50</f>
        <v/>
      </c>
      <c r="C37" s="251"/>
      <c r="D37" s="257">
        <f t="shared" si="2"/>
        <v>0</v>
      </c>
      <c r="E37" s="251"/>
      <c r="F37" s="260"/>
      <c r="G37" s="273"/>
      <c r="H37" s="32"/>
      <c r="I37" s="244"/>
      <c r="J37" s="9"/>
      <c r="K37" s="236"/>
      <c r="L37" s="9"/>
      <c r="M37" s="9"/>
      <c r="N37" s="9"/>
      <c r="O37" s="169">
        <f>IF(O36+1&lt;=MIN('Données projet'!$E$9:$E$18),O36+1,"STOP")</f>
        <v>4</v>
      </c>
      <c r="P37" s="276">
        <f t="shared" si="3"/>
        <v>0</v>
      </c>
      <c r="Q37" s="23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72" t="str">
        <f>'Données projet'!A51</f>
        <v/>
      </c>
      <c r="B38" s="272" t="str">
        <f>'Données projet'!D51</f>
        <v/>
      </c>
      <c r="C38" s="251"/>
      <c r="D38" s="257">
        <f t="shared" si="2"/>
        <v>0</v>
      </c>
      <c r="E38" s="251"/>
      <c r="F38" s="260"/>
      <c r="G38" s="273"/>
      <c r="H38" s="32"/>
      <c r="I38" s="244"/>
      <c r="J38" s="9"/>
      <c r="K38" s="236"/>
      <c r="L38" s="9"/>
      <c r="M38" s="9"/>
      <c r="N38" s="9"/>
      <c r="O38" s="169">
        <f>IF(O37+1&lt;=MIN('Données projet'!$E$9:$E$18),O37+1,"STOP")</f>
        <v>5</v>
      </c>
      <c r="P38" s="276">
        <f t="shared" si="3"/>
        <v>0</v>
      </c>
      <c r="Q38" s="23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72" t="str">
        <f>'Données projet'!A52</f>
        <v/>
      </c>
      <c r="B39" s="272" t="str">
        <f>'Données projet'!D52</f>
        <v/>
      </c>
      <c r="C39" s="251"/>
      <c r="D39" s="257">
        <f t="shared" si="2"/>
        <v>0</v>
      </c>
      <c r="E39" s="251"/>
      <c r="F39" s="260"/>
      <c r="G39" s="273"/>
      <c r="H39" s="32"/>
      <c r="I39" s="244"/>
      <c r="J39" s="9"/>
      <c r="K39" s="236"/>
      <c r="L39" s="9"/>
      <c r="M39" s="9"/>
      <c r="N39" s="9"/>
      <c r="O39" s="169">
        <f>IF(O38+1&lt;=MIN('Données projet'!$E$9:$E$18),O38+1,"STOP")</f>
        <v>6</v>
      </c>
      <c r="P39" s="276">
        <f t="shared" si="3"/>
        <v>0</v>
      </c>
      <c r="Q39" s="23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72" t="str">
        <f>'Données projet'!A53</f>
        <v/>
      </c>
      <c r="B40" s="272" t="str">
        <f>'Données projet'!D53</f>
        <v/>
      </c>
      <c r="C40" s="251"/>
      <c r="D40" s="257">
        <f t="shared" si="2"/>
        <v>0</v>
      </c>
      <c r="E40" s="251"/>
      <c r="F40" s="260"/>
      <c r="G40" s="273"/>
      <c r="H40" s="32"/>
      <c r="I40" s="244"/>
      <c r="J40" s="9"/>
      <c r="K40" s="236"/>
      <c r="L40" s="9"/>
      <c r="M40" s="9"/>
      <c r="N40" s="9"/>
      <c r="O40" s="169">
        <f>IF(O39+1&lt;=MIN('Données projet'!$E$9:$E$18),O39+1,"STOP")</f>
        <v>7</v>
      </c>
      <c r="P40" s="276">
        <f t="shared" si="3"/>
        <v>0</v>
      </c>
      <c r="Q40" s="23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72" t="str">
        <f>'Données projet'!A54</f>
        <v/>
      </c>
      <c r="B41" s="272" t="str">
        <f>'Données projet'!D54</f>
        <v/>
      </c>
      <c r="C41" s="251"/>
      <c r="D41" s="257">
        <f t="shared" si="2"/>
        <v>0</v>
      </c>
      <c r="E41" s="251"/>
      <c r="F41" s="260"/>
      <c r="G41" s="273"/>
      <c r="H41" s="32"/>
      <c r="I41" s="244"/>
      <c r="J41" s="9"/>
      <c r="K41" s="236"/>
      <c r="L41" s="9"/>
      <c r="M41" s="9"/>
      <c r="N41" s="9"/>
      <c r="O41" s="169">
        <f>IF(O40+1&lt;=MIN('Données projet'!$E$9:$E$18),O40+1,"STOP")</f>
        <v>8</v>
      </c>
      <c r="P41" s="276">
        <f t="shared" si="3"/>
        <v>0</v>
      </c>
      <c r="Q41" s="23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72" t="str">
        <f>'Données projet'!A55</f>
        <v/>
      </c>
      <c r="B42" s="272" t="str">
        <f>'Données projet'!D55</f>
        <v/>
      </c>
      <c r="C42" s="251"/>
      <c r="D42" s="257">
        <f t="shared" si="2"/>
        <v>0</v>
      </c>
      <c r="E42" s="251"/>
      <c r="F42" s="260"/>
      <c r="G42" s="273"/>
      <c r="H42" s="32"/>
      <c r="I42" s="244"/>
      <c r="J42" s="9"/>
      <c r="K42" s="236"/>
      <c r="L42" s="9"/>
      <c r="M42" s="9"/>
      <c r="N42" s="9"/>
      <c r="O42" s="169">
        <f>IF(O41+1&lt;=MIN('Données projet'!$E$9:$E$18),O41+1,"STOP")</f>
        <v>9</v>
      </c>
      <c r="P42" s="276">
        <f t="shared" si="3"/>
        <v>0</v>
      </c>
      <c r="Q42" s="23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78"/>
      <c r="B43" s="278"/>
      <c r="C43" s="278"/>
      <c r="D43" s="95"/>
      <c r="E43" s="95"/>
      <c r="F43" s="279"/>
      <c r="G43" s="273"/>
      <c r="H43" s="32"/>
      <c r="I43" s="244"/>
      <c r="J43" s="9"/>
      <c r="K43" s="236"/>
      <c r="L43" s="9"/>
      <c r="M43" s="9"/>
      <c r="N43" s="9"/>
      <c r="O43" s="169">
        <f>IF(O42+1&lt;=MIN('Données projet'!$E$9:$E$18),O42+1,"STOP")</f>
        <v>10</v>
      </c>
      <c r="P43" s="276">
        <f t="shared" si="3"/>
        <v>0</v>
      </c>
      <c r="Q43" s="23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38"/>
      <c r="G44" s="273"/>
      <c r="H44" s="32"/>
      <c r="I44" s="244"/>
      <c r="J44" s="9"/>
      <c r="K44" s="236"/>
      <c r="L44" s="9"/>
      <c r="M44" s="9"/>
      <c r="N44" s="9"/>
      <c r="O44" s="169">
        <f>IF(O43+1&lt;=MIN('Données projet'!$E$9:$E$18),O43+1,"STOP")</f>
        <v>11</v>
      </c>
      <c r="P44" s="276">
        <f t="shared" si="3"/>
        <v>0</v>
      </c>
      <c r="Q44" s="23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7" t="s">
        <v>18</v>
      </c>
      <c r="B45" s="242" t="str">
        <f>IF('Données projet'!$B$10="","",'Données projet'!$B$10)</f>
        <v>Pin laricio</v>
      </c>
      <c r="C45" s="9"/>
      <c r="D45" s="9"/>
      <c r="E45" s="9"/>
      <c r="F45" s="238"/>
      <c r="G45" s="273"/>
      <c r="H45" s="32"/>
      <c r="I45" s="244"/>
      <c r="J45" s="9"/>
      <c r="K45" s="236"/>
      <c r="L45" s="9"/>
      <c r="M45" s="9"/>
      <c r="N45" s="9"/>
      <c r="O45" s="169">
        <f>IF(O44+1&lt;=MIN('Données projet'!$E$9:$E$18),O44+1,"STOP")</f>
        <v>12</v>
      </c>
      <c r="P45" s="276">
        <f t="shared" si="3"/>
        <v>0</v>
      </c>
      <c r="Q45" s="23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38"/>
      <c r="G46" s="273"/>
      <c r="H46" s="32"/>
      <c r="I46" s="244"/>
      <c r="J46" s="9"/>
      <c r="K46" s="236"/>
      <c r="L46" s="278"/>
      <c r="M46" s="278"/>
      <c r="N46" s="278"/>
      <c r="O46" s="169">
        <f>IF(O45+1&lt;=MIN('Données projet'!$E$9:$E$18),O45+1,"STOP")</f>
        <v>13</v>
      </c>
      <c r="P46" s="280">
        <f t="shared" si="3"/>
        <v>0</v>
      </c>
      <c r="Q46" s="23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1" t="s">
        <v>55</v>
      </c>
      <c r="B47" s="65" t="s">
        <v>329</v>
      </c>
      <c r="C47" s="65" t="s">
        <v>330</v>
      </c>
      <c r="D47" s="41" t="s">
        <v>331</v>
      </c>
      <c r="E47" s="41" t="s">
        <v>332</v>
      </c>
      <c r="F47" s="281"/>
      <c r="G47" s="273"/>
      <c r="H47" s="32"/>
      <c r="I47" s="244"/>
      <c r="J47" s="9"/>
      <c r="K47" s="236"/>
      <c r="L47" s="9"/>
      <c r="M47" s="9"/>
      <c r="N47" s="9"/>
      <c r="O47" s="169">
        <f>IF(O46+1&lt;=MIN('Données projet'!$E$9:$E$18),O46+1,"STOP")</f>
        <v>14</v>
      </c>
      <c r="P47" s="276">
        <f t="shared" si="3"/>
        <v>0</v>
      </c>
      <c r="Q47" s="23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1">
        <v>0.0</v>
      </c>
      <c r="B48" s="246" t="s">
        <v>219</v>
      </c>
      <c r="C48" s="247" t="s">
        <v>219</v>
      </c>
      <c r="D48" s="248" t="s">
        <v>219</v>
      </c>
      <c r="E48" s="249" t="s">
        <v>347</v>
      </c>
      <c r="F48" s="281"/>
      <c r="G48" s="273"/>
      <c r="H48" s="32"/>
      <c r="I48" s="244"/>
      <c r="J48" s="9"/>
      <c r="K48" s="236"/>
      <c r="L48" s="9"/>
      <c r="M48" s="9"/>
      <c r="N48" s="9"/>
      <c r="O48" s="169">
        <f>IF(O47+1&lt;=MIN('Données projet'!$E$9:$E$18),O47+1,"STOP")</f>
        <v>15</v>
      </c>
      <c r="P48" s="276">
        <f t="shared" si="3"/>
        <v>0</v>
      </c>
      <c r="Q48" s="23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1">
        <v>1.0</v>
      </c>
      <c r="B49" s="246" t="s">
        <v>219</v>
      </c>
      <c r="C49" s="247" t="s">
        <v>219</v>
      </c>
      <c r="D49" s="248" t="s">
        <v>219</v>
      </c>
      <c r="E49" s="251"/>
      <c r="F49" s="281"/>
      <c r="G49" s="278"/>
      <c r="H49" s="32"/>
      <c r="I49" s="244"/>
      <c r="J49" s="278"/>
      <c r="K49" s="282"/>
      <c r="L49" s="9"/>
      <c r="M49" s="9"/>
      <c r="N49" s="9"/>
      <c r="O49" s="169">
        <f>IF(O48+1&lt;=MIN('Données projet'!$E$9:$E$18),O48+1,"STOP")</f>
        <v>16</v>
      </c>
      <c r="P49" s="276">
        <f t="shared" si="3"/>
        <v>0</v>
      </c>
      <c r="Q49" s="283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</row>
    <row r="50" ht="15.75" customHeight="1">
      <c r="A50" s="51">
        <v>2.0</v>
      </c>
      <c r="B50" s="246" t="s">
        <v>219</v>
      </c>
      <c r="C50" s="247" t="s">
        <v>219</v>
      </c>
      <c r="D50" s="248" t="s">
        <v>219</v>
      </c>
      <c r="E50" s="251"/>
      <c r="F50" s="281"/>
      <c r="G50" s="9"/>
      <c r="H50" s="32"/>
      <c r="I50" s="244"/>
      <c r="J50" s="9"/>
      <c r="K50" s="236"/>
      <c r="L50" s="9"/>
      <c r="M50" s="9"/>
      <c r="N50" s="9"/>
      <c r="O50" s="169">
        <f>IF(O49+1&lt;=MIN('Données projet'!$E$9:$E$18),O49+1,"STOP")</f>
        <v>17</v>
      </c>
      <c r="P50" s="276">
        <f t="shared" si="3"/>
        <v>0</v>
      </c>
      <c r="Q50" s="23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1">
        <v>3.0</v>
      </c>
      <c r="B51" s="246" t="s">
        <v>219</v>
      </c>
      <c r="C51" s="247" t="s">
        <v>219</v>
      </c>
      <c r="D51" s="248" t="s">
        <v>219</v>
      </c>
      <c r="E51" s="251"/>
      <c r="F51" s="281"/>
      <c r="G51" s="9"/>
      <c r="H51" s="32"/>
      <c r="I51" s="244"/>
      <c r="J51" s="9"/>
      <c r="K51" s="236"/>
      <c r="L51" s="9"/>
      <c r="M51" s="9"/>
      <c r="N51" s="9"/>
      <c r="O51" s="169">
        <f>IF(O50+1&lt;=MIN('Données projet'!$E$9:$E$18),O50+1,"STOP")</f>
        <v>18</v>
      </c>
      <c r="P51" s="276">
        <f t="shared" si="3"/>
        <v>0</v>
      </c>
      <c r="Q51" s="23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1">
        <v>4.0</v>
      </c>
      <c r="B52" s="246" t="s">
        <v>219</v>
      </c>
      <c r="C52" s="247" t="s">
        <v>219</v>
      </c>
      <c r="D52" s="248" t="s">
        <v>219</v>
      </c>
      <c r="E52" s="251"/>
      <c r="F52" s="281"/>
      <c r="G52" s="9"/>
      <c r="H52" s="32"/>
      <c r="I52" s="244"/>
      <c r="J52" s="9"/>
      <c r="K52" s="236"/>
      <c r="L52" s="9"/>
      <c r="M52" s="9"/>
      <c r="N52" s="9"/>
      <c r="O52" s="169">
        <f>IF(O51+1&lt;=MIN('Données projet'!$E$9:$E$18),O51+1,"STOP")</f>
        <v>19</v>
      </c>
      <c r="P52" s="276">
        <f t="shared" si="3"/>
        <v>0</v>
      </c>
      <c r="Q52" s="23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1">
        <v>5.0</v>
      </c>
      <c r="B53" s="246" t="s">
        <v>219</v>
      </c>
      <c r="C53" s="247" t="s">
        <v>219</v>
      </c>
      <c r="D53" s="248" t="s">
        <v>219</v>
      </c>
      <c r="E53" s="251"/>
      <c r="F53" s="281"/>
      <c r="G53" s="24"/>
      <c r="H53" s="32"/>
      <c r="I53" s="244"/>
      <c r="J53" s="9"/>
      <c r="K53" s="236"/>
      <c r="L53" s="9"/>
      <c r="M53" s="9"/>
      <c r="N53" s="9"/>
      <c r="O53" s="169">
        <f>IF(O52+1&lt;=MIN('Données projet'!$E$9:$E$18),O52+1,"STOP")</f>
        <v>20</v>
      </c>
      <c r="P53" s="276">
        <f t="shared" si="3"/>
        <v>0</v>
      </c>
      <c r="Q53" s="23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72">
        <f>'Données projet'!A62</f>
        <v>22</v>
      </c>
      <c r="B54" s="284">
        <f>'Données projet'!D62</f>
        <v>16</v>
      </c>
      <c r="C54" s="244">
        <f>'Données projet'!E62*30+SUM('Données projet'!F62:G62)*19.4+'Données projet'!H62*10</f>
        <v>19.4</v>
      </c>
      <c r="D54" s="253">
        <f t="shared" ref="D54:D73" si="4">B54*C54</f>
        <v>310.4</v>
      </c>
      <c r="E54" s="251"/>
      <c r="F54" s="285"/>
      <c r="G54" s="24"/>
      <c r="H54" s="32"/>
      <c r="I54" s="244"/>
      <c r="J54" s="9"/>
      <c r="K54" s="236"/>
      <c r="L54" s="9"/>
      <c r="M54" s="9"/>
      <c r="N54" s="9"/>
      <c r="O54" s="169">
        <f>IF(O53+1&lt;=MIN('Données projet'!$E$9:$E$18),O53+1,"STOP")</f>
        <v>21</v>
      </c>
      <c r="P54" s="276">
        <f t="shared" si="3"/>
        <v>0</v>
      </c>
      <c r="Q54" s="23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72">
        <f>'Données projet'!A63</f>
        <v>25</v>
      </c>
      <c r="B55" s="284">
        <f>'Données projet'!D63</f>
        <v>17</v>
      </c>
      <c r="C55" s="244">
        <f>'Données projet'!E63*30+SUM('Données projet'!F63:G63)*19.4+'Données projet'!H63*10</f>
        <v>19.4</v>
      </c>
      <c r="D55" s="253">
        <f t="shared" si="4"/>
        <v>329.8</v>
      </c>
      <c r="E55" s="251"/>
      <c r="F55" s="285"/>
      <c r="G55" s="24"/>
      <c r="H55" s="32"/>
      <c r="I55" s="244"/>
      <c r="J55" s="9"/>
      <c r="K55" s="236"/>
      <c r="L55" s="9"/>
      <c r="M55" s="9"/>
      <c r="N55" s="9"/>
      <c r="O55" s="169">
        <f>IF(O54+1&lt;=MIN('Données projet'!$E$9:$E$18),O54+1,"STOP")</f>
        <v>22</v>
      </c>
      <c r="P55" s="276">
        <f t="shared" si="3"/>
        <v>0</v>
      </c>
      <c r="Q55" s="23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72">
        <f>'Données projet'!A64</f>
        <v>30</v>
      </c>
      <c r="B56" s="284">
        <f>'Données projet'!D64</f>
        <v>34</v>
      </c>
      <c r="C56" s="244">
        <f>'Données projet'!E64*30+SUM('Données projet'!F64:G64)*19.4+'Données projet'!H64*10</f>
        <v>21.52</v>
      </c>
      <c r="D56" s="253">
        <f t="shared" si="4"/>
        <v>731.68</v>
      </c>
      <c r="E56" s="251"/>
      <c r="F56" s="285"/>
      <c r="G56" s="24"/>
      <c r="H56" s="32"/>
      <c r="I56" s="244"/>
      <c r="J56" s="9"/>
      <c r="K56" s="236"/>
      <c r="L56" s="9"/>
      <c r="M56" s="9"/>
      <c r="N56" s="9"/>
      <c r="O56" s="169">
        <f>IF(O55+1&lt;=MIN('Données projet'!$E$9:$E$18),O55+1,"STOP")</f>
        <v>23</v>
      </c>
      <c r="P56" s="276">
        <f t="shared" si="3"/>
        <v>0</v>
      </c>
      <c r="Q56" s="23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72">
        <f>'Données projet'!A65</f>
        <v>35</v>
      </c>
      <c r="B57" s="284">
        <f>'Données projet'!D65</f>
        <v>41</v>
      </c>
      <c r="C57" s="244">
        <f>'Données projet'!E65*30+SUM('Données projet'!F65:G65)*19.4+'Données projet'!H65*10</f>
        <v>21.52</v>
      </c>
      <c r="D57" s="253">
        <f t="shared" si="4"/>
        <v>882.32</v>
      </c>
      <c r="E57" s="251"/>
      <c r="F57" s="285"/>
      <c r="G57" s="24"/>
      <c r="H57" s="32"/>
      <c r="I57" s="244"/>
      <c r="J57" s="9"/>
      <c r="K57" s="236"/>
      <c r="L57" s="9"/>
      <c r="M57" s="9"/>
      <c r="N57" s="9"/>
      <c r="O57" s="169">
        <f>IF(O56+1&lt;=MIN('Données projet'!$E$9:$E$18),O56+1,"STOP")</f>
        <v>24</v>
      </c>
      <c r="P57" s="276">
        <f t="shared" si="3"/>
        <v>0</v>
      </c>
      <c r="Q57" s="23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72">
        <f>'Données projet'!A66</f>
        <v>40</v>
      </c>
      <c r="B58" s="284">
        <f>'Données projet'!D66</f>
        <v>41</v>
      </c>
      <c r="C58" s="244">
        <f>'Données projet'!E66*30+SUM('Données projet'!F66:G66)*19.4+'Données projet'!H66*10</f>
        <v>23.64</v>
      </c>
      <c r="D58" s="253">
        <f t="shared" si="4"/>
        <v>969.24</v>
      </c>
      <c r="E58" s="251"/>
      <c r="F58" s="285"/>
      <c r="G58" s="24"/>
      <c r="H58" s="32"/>
      <c r="I58" s="244"/>
      <c r="J58" s="9"/>
      <c r="K58" s="236"/>
      <c r="L58" s="9"/>
      <c r="M58" s="9"/>
      <c r="N58" s="9"/>
      <c r="O58" s="169">
        <f>IF(O57+1&lt;=MIN('Données projet'!$E$9:$E$18),O57+1,"STOP")</f>
        <v>25</v>
      </c>
      <c r="P58" s="276">
        <f t="shared" si="3"/>
        <v>0</v>
      </c>
      <c r="Q58" s="23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72">
        <f>'Données projet'!A67</f>
        <v>45</v>
      </c>
      <c r="B59" s="284">
        <f>'Données projet'!D67</f>
        <v>53</v>
      </c>
      <c r="C59" s="244">
        <f>'Données projet'!E67*30+SUM('Données projet'!F67:G67)*19.4+'Données projet'!H67*10</f>
        <v>23.64</v>
      </c>
      <c r="D59" s="253">
        <f t="shared" si="4"/>
        <v>1252.92</v>
      </c>
      <c r="E59" s="251"/>
      <c r="F59" s="285"/>
      <c r="G59" s="24"/>
      <c r="H59" s="32"/>
      <c r="I59" s="244"/>
      <c r="J59" s="9"/>
      <c r="K59" s="236"/>
      <c r="L59" s="9"/>
      <c r="M59" s="9"/>
      <c r="N59" s="9"/>
      <c r="O59" s="169">
        <f>IF(O58+1&lt;=MIN('Données projet'!$E$9:$E$18),O58+1,"STOP")</f>
        <v>26</v>
      </c>
      <c r="P59" s="276">
        <f t="shared" si="3"/>
        <v>0</v>
      </c>
      <c r="Q59" s="23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72">
        <f>'Données projet'!A68</f>
        <v>50</v>
      </c>
      <c r="B60" s="284">
        <f>'Données projet'!D68</f>
        <v>53</v>
      </c>
      <c r="C60" s="244">
        <f>'Données projet'!E68*30+SUM('Données projet'!F68:G68)*19.4+'Données projet'!H68*10</f>
        <v>25.76</v>
      </c>
      <c r="D60" s="253">
        <f t="shared" si="4"/>
        <v>1365.28</v>
      </c>
      <c r="E60" s="251"/>
      <c r="F60" s="285"/>
      <c r="G60" s="286"/>
      <c r="H60" s="32"/>
      <c r="I60" s="244"/>
      <c r="J60" s="9"/>
      <c r="K60" s="236"/>
      <c r="L60" s="9"/>
      <c r="M60" s="9"/>
      <c r="N60" s="9"/>
      <c r="O60" s="169">
        <f>IF(O59+1&lt;=MIN('Données projet'!$E$9:$E$18),O59+1,"STOP")</f>
        <v>27</v>
      </c>
      <c r="P60" s="276">
        <f t="shared" si="3"/>
        <v>0</v>
      </c>
      <c r="Q60" s="23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72">
        <f>'Données projet'!A69</f>
        <v>58</v>
      </c>
      <c r="B61" s="284" t="str">
        <f>'Données projet'!D69</f>
        <v/>
      </c>
      <c r="C61" s="244">
        <f>'Données projet'!E69*30+SUM('Données projet'!F69:G69)*19.4+'Données projet'!H69*10</f>
        <v>25.76</v>
      </c>
      <c r="D61" s="253">
        <f t="shared" si="4"/>
        <v>0</v>
      </c>
      <c r="E61" s="251"/>
      <c r="F61" s="285"/>
      <c r="G61" s="286"/>
      <c r="H61" s="32"/>
      <c r="I61" s="244"/>
      <c r="J61" s="9"/>
      <c r="K61" s="236"/>
      <c r="L61" s="9"/>
      <c r="M61" s="9"/>
      <c r="N61" s="9"/>
      <c r="O61" s="169">
        <f>IF(O60+1&lt;=MIN('Données projet'!$E$9:$E$18),O60+1,"STOP")</f>
        <v>28</v>
      </c>
      <c r="P61" s="276">
        <f t="shared" si="3"/>
        <v>0</v>
      </c>
      <c r="Q61" s="23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72">
        <f>'Données projet'!A70</f>
        <v>60</v>
      </c>
      <c r="B62" s="284">
        <f>'Données projet'!D70</f>
        <v>440</v>
      </c>
      <c r="C62" s="244">
        <f>'Données projet'!E70*30+SUM('Données projet'!F70:G70)*19.4+'Données projet'!H70*10</f>
        <v>27.88</v>
      </c>
      <c r="D62" s="253">
        <f t="shared" si="4"/>
        <v>12267.2</v>
      </c>
      <c r="E62" s="251"/>
      <c r="F62" s="285"/>
      <c r="G62" s="286"/>
      <c r="H62" s="32"/>
      <c r="I62" s="244"/>
      <c r="J62" s="9"/>
      <c r="K62" s="236"/>
      <c r="L62" s="9"/>
      <c r="M62" s="9"/>
      <c r="N62" s="9"/>
      <c r="O62" s="169">
        <f>IF(O61+1&lt;=MIN('Données projet'!$E$9:$E$18),O61+1,"STOP")</f>
        <v>29</v>
      </c>
      <c r="P62" s="276">
        <f t="shared" si="3"/>
        <v>0</v>
      </c>
      <c r="Q62" s="23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72" t="str">
        <f>'Données projet'!A71</f>
        <v/>
      </c>
      <c r="B63" s="272" t="str">
        <f>'Données projet'!D71</f>
        <v/>
      </c>
      <c r="C63" s="244"/>
      <c r="D63" s="253">
        <f t="shared" si="4"/>
        <v>0</v>
      </c>
      <c r="E63" s="251"/>
      <c r="F63" s="285"/>
      <c r="G63" s="286"/>
      <c r="H63" s="32"/>
      <c r="I63" s="244"/>
      <c r="J63" s="9"/>
      <c r="K63" s="236"/>
      <c r="L63" s="9"/>
      <c r="M63" s="9"/>
      <c r="N63" s="9"/>
      <c r="O63" s="169">
        <f>IF(O62+1&lt;=MIN('Données projet'!$E$9:$E$18),O62+1,"STOP")</f>
        <v>30</v>
      </c>
      <c r="P63" s="276">
        <f t="shared" si="3"/>
        <v>0</v>
      </c>
      <c r="Q63" s="23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72" t="str">
        <f>'Données projet'!A72</f>
        <v/>
      </c>
      <c r="B64" s="272" t="str">
        <f>'Données projet'!D72</f>
        <v/>
      </c>
      <c r="C64" s="244"/>
      <c r="D64" s="253">
        <f t="shared" si="4"/>
        <v>0</v>
      </c>
      <c r="E64" s="251"/>
      <c r="F64" s="285"/>
      <c r="G64" s="286"/>
      <c r="H64" s="32"/>
      <c r="I64" s="244"/>
      <c r="J64" s="287"/>
      <c r="K64" s="236"/>
      <c r="L64" s="9"/>
      <c r="M64" s="9"/>
      <c r="N64" s="9"/>
      <c r="O64" s="169">
        <f>IF(O63+1&lt;=MIN('Données projet'!$E$9:$E$18),O63+1,"STOP")</f>
        <v>31</v>
      </c>
      <c r="P64" s="276">
        <f t="shared" si="3"/>
        <v>0</v>
      </c>
      <c r="Q64" s="23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72" t="str">
        <f>'Données projet'!A73</f>
        <v/>
      </c>
      <c r="B65" s="272" t="str">
        <f>'Données projet'!D73</f>
        <v/>
      </c>
      <c r="C65" s="244"/>
      <c r="D65" s="253">
        <f t="shared" si="4"/>
        <v>0</v>
      </c>
      <c r="E65" s="251"/>
      <c r="F65" s="285"/>
      <c r="G65" s="286"/>
      <c r="H65" s="32"/>
      <c r="I65" s="244"/>
      <c r="J65" s="287"/>
      <c r="K65" s="236"/>
      <c r="L65" s="9"/>
      <c r="M65" s="9"/>
      <c r="N65" s="9"/>
      <c r="O65" s="169">
        <f>IF(O64+1&lt;=MIN('Données projet'!$E$9:$E$18),O64+1,"STOP")</f>
        <v>32</v>
      </c>
      <c r="P65" s="276">
        <f t="shared" si="3"/>
        <v>0</v>
      </c>
      <c r="Q65" s="23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72" t="str">
        <f>'Données projet'!A74</f>
        <v/>
      </c>
      <c r="B66" s="272" t="str">
        <f>'Données projet'!D74</f>
        <v/>
      </c>
      <c r="C66" s="244"/>
      <c r="D66" s="253">
        <f t="shared" si="4"/>
        <v>0</v>
      </c>
      <c r="E66" s="251"/>
      <c r="F66" s="285"/>
      <c r="G66" s="286"/>
      <c r="H66" s="32"/>
      <c r="I66" s="244"/>
      <c r="J66" s="287"/>
      <c r="K66" s="236"/>
      <c r="L66" s="9"/>
      <c r="M66" s="9"/>
      <c r="N66" s="9"/>
      <c r="O66" s="169">
        <f>IF(O65+1&lt;=MIN('Données projet'!$E$9:$E$18),O65+1,"STOP")</f>
        <v>33</v>
      </c>
      <c r="P66" s="276">
        <f t="shared" si="3"/>
        <v>0</v>
      </c>
      <c r="Q66" s="23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72" t="str">
        <f>'Données projet'!A75</f>
        <v/>
      </c>
      <c r="B67" s="272" t="str">
        <f>'Données projet'!D75</f>
        <v/>
      </c>
      <c r="C67" s="244"/>
      <c r="D67" s="253">
        <f t="shared" si="4"/>
        <v>0</v>
      </c>
      <c r="E67" s="251"/>
      <c r="F67" s="285"/>
      <c r="G67" s="286"/>
      <c r="H67" s="32"/>
      <c r="I67" s="244"/>
      <c r="J67" s="287"/>
      <c r="K67" s="236"/>
      <c r="L67" s="9"/>
      <c r="M67" s="9"/>
      <c r="N67" s="9"/>
      <c r="O67" s="169">
        <f>IF(O66+1&lt;=MIN('Données projet'!$E$9:$E$18),O66+1,"STOP")</f>
        <v>34</v>
      </c>
      <c r="P67" s="276">
        <f t="shared" si="3"/>
        <v>0</v>
      </c>
      <c r="Q67" s="23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72" t="str">
        <f>'Données projet'!A76</f>
        <v/>
      </c>
      <c r="B68" s="272" t="str">
        <f>'Données projet'!D76</f>
        <v/>
      </c>
      <c r="C68" s="244"/>
      <c r="D68" s="253">
        <f t="shared" si="4"/>
        <v>0</v>
      </c>
      <c r="E68" s="251"/>
      <c r="F68" s="285"/>
      <c r="G68" s="286"/>
      <c r="H68" s="32"/>
      <c r="I68" s="244"/>
      <c r="J68" s="287"/>
      <c r="K68" s="236"/>
      <c r="L68" s="9"/>
      <c r="M68" s="9"/>
      <c r="N68" s="9"/>
      <c r="O68" s="169">
        <f>IF(O67+1&lt;=MIN('Données projet'!$E$9:$E$18),O67+1,"STOP")</f>
        <v>35</v>
      </c>
      <c r="P68" s="276">
        <f t="shared" si="3"/>
        <v>0</v>
      </c>
      <c r="Q68" s="23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72" t="str">
        <f>'Données projet'!A77</f>
        <v/>
      </c>
      <c r="B69" s="272" t="str">
        <f>'Données projet'!D77</f>
        <v/>
      </c>
      <c r="C69" s="244"/>
      <c r="D69" s="253">
        <f t="shared" si="4"/>
        <v>0</v>
      </c>
      <c r="E69" s="251"/>
      <c r="F69" s="285"/>
      <c r="G69" s="286"/>
      <c r="H69" s="32"/>
      <c r="I69" s="244"/>
      <c r="J69" s="287"/>
      <c r="K69" s="236"/>
      <c r="L69" s="9"/>
      <c r="M69" s="9"/>
      <c r="N69" s="9"/>
      <c r="O69" s="169">
        <f>IF(O68+1&lt;=MIN('Données projet'!$E$9:$E$18),O68+1,"STOP")</f>
        <v>36</v>
      </c>
      <c r="P69" s="276">
        <f t="shared" si="3"/>
        <v>0</v>
      </c>
      <c r="Q69" s="23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72" t="str">
        <f>'Données projet'!A78</f>
        <v/>
      </c>
      <c r="B70" s="272" t="str">
        <f>'Données projet'!D78</f>
        <v/>
      </c>
      <c r="C70" s="244"/>
      <c r="D70" s="253">
        <f t="shared" si="4"/>
        <v>0</v>
      </c>
      <c r="E70" s="251"/>
      <c r="F70" s="285"/>
      <c r="G70" s="286"/>
      <c r="H70" s="32"/>
      <c r="I70" s="244"/>
      <c r="J70" s="287"/>
      <c r="K70" s="236"/>
      <c r="L70" s="9"/>
      <c r="M70" s="9"/>
      <c r="N70" s="9"/>
      <c r="O70" s="169">
        <f>IF(O69+1&lt;=MIN('Données projet'!$E$9:$E$18),O69+1,"STOP")</f>
        <v>37</v>
      </c>
      <c r="P70" s="276">
        <f t="shared" si="3"/>
        <v>0</v>
      </c>
      <c r="Q70" s="23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72" t="str">
        <f>'Données projet'!A79</f>
        <v/>
      </c>
      <c r="B71" s="272" t="str">
        <f>'Données projet'!D79</f>
        <v/>
      </c>
      <c r="C71" s="244"/>
      <c r="D71" s="253">
        <f t="shared" si="4"/>
        <v>0</v>
      </c>
      <c r="E71" s="251"/>
      <c r="F71" s="285"/>
      <c r="G71" s="286"/>
      <c r="H71" s="32"/>
      <c r="I71" s="244"/>
      <c r="J71" s="287"/>
      <c r="K71" s="236"/>
      <c r="L71" s="9"/>
      <c r="M71" s="9"/>
      <c r="N71" s="9"/>
      <c r="O71" s="169">
        <f>IF(O70+1&lt;=MIN('Données projet'!$E$9:$E$18),O70+1,"STOP")</f>
        <v>38</v>
      </c>
      <c r="P71" s="276">
        <f t="shared" si="3"/>
        <v>0</v>
      </c>
      <c r="Q71" s="23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72" t="str">
        <f>'Données projet'!A80</f>
        <v/>
      </c>
      <c r="B72" s="272" t="str">
        <f>'Données projet'!D80</f>
        <v/>
      </c>
      <c r="C72" s="244"/>
      <c r="D72" s="253">
        <f t="shared" si="4"/>
        <v>0</v>
      </c>
      <c r="E72" s="251"/>
      <c r="F72" s="285"/>
      <c r="G72" s="286"/>
      <c r="H72" s="32"/>
      <c r="I72" s="244"/>
      <c r="J72" s="9"/>
      <c r="K72" s="236"/>
      <c r="L72" s="9"/>
      <c r="M72" s="9"/>
      <c r="N72" s="9"/>
      <c r="O72" s="169">
        <f>IF(O71+1&lt;=MIN('Données projet'!$E$9:$E$18),O71+1,"STOP")</f>
        <v>39</v>
      </c>
      <c r="P72" s="276">
        <f t="shared" si="3"/>
        <v>0</v>
      </c>
      <c r="Q72" s="23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72" t="str">
        <f>'Données projet'!A81</f>
        <v/>
      </c>
      <c r="B73" s="272" t="str">
        <f>'Données projet'!D81</f>
        <v/>
      </c>
      <c r="C73" s="244"/>
      <c r="D73" s="253">
        <f t="shared" si="4"/>
        <v>0</v>
      </c>
      <c r="E73" s="251"/>
      <c r="F73" s="285"/>
      <c r="G73" s="286"/>
      <c r="H73" s="32"/>
      <c r="I73" s="244"/>
      <c r="J73" s="9"/>
      <c r="K73" s="236"/>
      <c r="L73" s="9"/>
      <c r="M73" s="9"/>
      <c r="N73" s="9"/>
      <c r="O73" s="169">
        <f>IF(O72+1&lt;=MIN('Données projet'!$E$9:$E$18),O72+1,"STOP")</f>
        <v>40</v>
      </c>
      <c r="P73" s="276">
        <f t="shared" si="3"/>
        <v>0</v>
      </c>
      <c r="Q73" s="23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38"/>
      <c r="G74" s="286"/>
      <c r="H74" s="32"/>
      <c r="I74" s="244"/>
      <c r="J74" s="9"/>
      <c r="K74" s="236"/>
      <c r="L74" s="9"/>
      <c r="M74" s="9"/>
      <c r="N74" s="9"/>
      <c r="O74" s="169">
        <f>IF(O73+1&lt;=MIN('Données projet'!$E$9:$E$18),O73+1,"STOP")</f>
        <v>41</v>
      </c>
      <c r="P74" s="276">
        <f t="shared" si="3"/>
        <v>0</v>
      </c>
      <c r="Q74" s="23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38"/>
      <c r="G75" s="286"/>
      <c r="H75" s="32"/>
      <c r="I75" s="244"/>
      <c r="J75" s="9"/>
      <c r="K75" s="236"/>
      <c r="L75" s="9"/>
      <c r="M75" s="9"/>
      <c r="N75" s="9"/>
      <c r="O75" s="169">
        <f>IF(O74+1&lt;=MIN('Données projet'!$E$9:$E$18),O74+1,"STOP")</f>
        <v>42</v>
      </c>
      <c r="P75" s="276">
        <f t="shared" si="3"/>
        <v>0</v>
      </c>
      <c r="Q75" s="23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7" t="s">
        <v>20</v>
      </c>
      <c r="B76" s="242" t="str">
        <f>IF('Données projet'!B11="","",'Données projet'!B11)</f>
        <v>Cèdre de l'Atlas</v>
      </c>
      <c r="C76" s="9"/>
      <c r="D76" s="9"/>
      <c r="E76" s="9"/>
      <c r="F76" s="238"/>
      <c r="G76" s="286"/>
      <c r="H76" s="32"/>
      <c r="I76" s="244"/>
      <c r="J76" s="9"/>
      <c r="K76" s="236"/>
      <c r="L76" s="9"/>
      <c r="M76" s="9"/>
      <c r="N76" s="9"/>
      <c r="O76" s="169">
        <f>IF(O75+1&lt;=MIN('Données projet'!$E$9:$E$18),O75+1,"STOP")</f>
        <v>43</v>
      </c>
      <c r="P76" s="276">
        <f t="shared" si="3"/>
        <v>0</v>
      </c>
      <c r="Q76" s="23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38"/>
      <c r="G77" s="286"/>
      <c r="H77" s="32"/>
      <c r="I77" s="244"/>
      <c r="J77" s="9"/>
      <c r="K77" s="236"/>
      <c r="L77" s="9"/>
      <c r="M77" s="9"/>
      <c r="N77" s="9"/>
      <c r="O77" s="169">
        <f>IF(O76+1&lt;=MIN('Données projet'!$E$9:$E$18),O76+1,"STOP")</f>
        <v>44</v>
      </c>
      <c r="P77" s="276">
        <f t="shared" si="3"/>
        <v>0</v>
      </c>
      <c r="Q77" s="23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1" t="s">
        <v>55</v>
      </c>
      <c r="B78" s="65" t="s">
        <v>329</v>
      </c>
      <c r="C78" s="65" t="s">
        <v>330</v>
      </c>
      <c r="D78" s="41" t="s">
        <v>331</v>
      </c>
      <c r="E78" s="41" t="s">
        <v>332</v>
      </c>
      <c r="F78" s="281"/>
      <c r="G78" s="286"/>
      <c r="H78" s="32"/>
      <c r="I78" s="244"/>
      <c r="J78" s="9"/>
      <c r="K78" s="236"/>
      <c r="L78" s="9"/>
      <c r="M78" s="9"/>
      <c r="N78" s="9"/>
      <c r="O78" s="169">
        <f>IF(O77+1&lt;=MIN('Données projet'!$E$9:$E$18),O77+1,"STOP")</f>
        <v>45</v>
      </c>
      <c r="P78" s="276">
        <f t="shared" si="3"/>
        <v>0</v>
      </c>
      <c r="Q78" s="23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1">
        <v>0.0</v>
      </c>
      <c r="B79" s="246" t="s">
        <v>219</v>
      </c>
      <c r="C79" s="247" t="s">
        <v>219</v>
      </c>
      <c r="D79" s="248" t="s">
        <v>219</v>
      </c>
      <c r="E79" s="249" t="s">
        <v>348</v>
      </c>
      <c r="F79" s="281"/>
      <c r="G79" s="286"/>
      <c r="H79" s="32"/>
      <c r="I79" s="244"/>
      <c r="J79" s="9"/>
      <c r="K79" s="236"/>
      <c r="L79" s="9"/>
      <c r="M79" s="9"/>
      <c r="N79" s="9"/>
      <c r="O79" s="169">
        <f>IF(O78+1&lt;=MIN('Données projet'!$E$9:$E$18),O78+1,"STOP")</f>
        <v>46</v>
      </c>
      <c r="P79" s="276">
        <f t="shared" si="3"/>
        <v>0</v>
      </c>
      <c r="Q79" s="23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1">
        <v>1.0</v>
      </c>
      <c r="B80" s="246" t="s">
        <v>219</v>
      </c>
      <c r="C80" s="247" t="s">
        <v>219</v>
      </c>
      <c r="D80" s="248" t="s">
        <v>219</v>
      </c>
      <c r="E80" s="251"/>
      <c r="F80" s="281"/>
      <c r="G80" s="9"/>
      <c r="H80" s="32"/>
      <c r="I80" s="244"/>
      <c r="J80" s="9"/>
      <c r="K80" s="236"/>
      <c r="L80" s="9"/>
      <c r="M80" s="9"/>
      <c r="N80" s="9"/>
      <c r="O80" s="169">
        <f>IF(O79+1&lt;=MIN('Données projet'!$E$9:$E$18),O79+1,"STOP")</f>
        <v>47</v>
      </c>
      <c r="P80" s="276">
        <f t="shared" si="3"/>
        <v>0</v>
      </c>
      <c r="Q80" s="23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1">
        <v>2.0</v>
      </c>
      <c r="B81" s="246" t="s">
        <v>219</v>
      </c>
      <c r="C81" s="247" t="s">
        <v>219</v>
      </c>
      <c r="D81" s="248" t="s">
        <v>219</v>
      </c>
      <c r="E81" s="251"/>
      <c r="F81" s="281"/>
      <c r="G81" s="9"/>
      <c r="H81" s="32"/>
      <c r="I81" s="244"/>
      <c r="J81" s="9"/>
      <c r="K81" s="236"/>
      <c r="L81" s="9"/>
      <c r="M81" s="9"/>
      <c r="N81" s="9"/>
      <c r="O81" s="169">
        <f>IF(O80+1&lt;=MIN('Données projet'!$E$9:$E$18),O80+1,"STOP")</f>
        <v>48</v>
      </c>
      <c r="P81" s="276">
        <f t="shared" si="3"/>
        <v>0</v>
      </c>
      <c r="Q81" s="23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1">
        <v>3.0</v>
      </c>
      <c r="B82" s="246" t="s">
        <v>219</v>
      </c>
      <c r="C82" s="247" t="s">
        <v>219</v>
      </c>
      <c r="D82" s="248" t="s">
        <v>219</v>
      </c>
      <c r="E82" s="251"/>
      <c r="F82" s="281"/>
      <c r="G82" s="9"/>
      <c r="H82" s="32"/>
      <c r="I82" s="244"/>
      <c r="J82" s="9"/>
      <c r="K82" s="236"/>
      <c r="L82" s="9"/>
      <c r="M82" s="9"/>
      <c r="N82" s="9"/>
      <c r="O82" s="169">
        <f>IF(O81+1&lt;=MIN('Données projet'!$E$9:$E$18),O81+1,"STOP")</f>
        <v>49</v>
      </c>
      <c r="P82" s="276">
        <f t="shared" si="3"/>
        <v>0</v>
      </c>
      <c r="Q82" s="23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1">
        <v>4.0</v>
      </c>
      <c r="B83" s="246" t="s">
        <v>219</v>
      </c>
      <c r="C83" s="247" t="s">
        <v>219</v>
      </c>
      <c r="D83" s="248" t="s">
        <v>219</v>
      </c>
      <c r="E83" s="251"/>
      <c r="F83" s="281"/>
      <c r="G83" s="9"/>
      <c r="H83" s="32"/>
      <c r="I83" s="244"/>
      <c r="J83" s="9"/>
      <c r="K83" s="236"/>
      <c r="L83" s="9"/>
      <c r="M83" s="9"/>
      <c r="N83" s="9"/>
      <c r="O83" s="169">
        <f>IF(O82+1&lt;=MIN('Données projet'!$E$9:$E$18),O82+1,"STOP")</f>
        <v>50</v>
      </c>
      <c r="P83" s="276">
        <f t="shared" si="3"/>
        <v>0</v>
      </c>
      <c r="Q83" s="23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1">
        <v>5.0</v>
      </c>
      <c r="B84" s="246" t="s">
        <v>219</v>
      </c>
      <c r="C84" s="247" t="s">
        <v>219</v>
      </c>
      <c r="D84" s="248" t="s">
        <v>219</v>
      </c>
      <c r="E84" s="251"/>
      <c r="F84" s="281"/>
      <c r="G84" s="24"/>
      <c r="H84" s="32"/>
      <c r="I84" s="244"/>
      <c r="J84" s="9"/>
      <c r="K84" s="236"/>
      <c r="L84" s="9"/>
      <c r="M84" s="9"/>
      <c r="N84" s="9"/>
      <c r="O84" s="169">
        <f>IF(O83+1&lt;=MIN('Données projet'!$E$9:$E$18),O83+1,"STOP")</f>
        <v>51</v>
      </c>
      <c r="P84" s="276">
        <f t="shared" si="3"/>
        <v>0</v>
      </c>
      <c r="Q84" s="23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72">
        <f>'Données projet'!A88</f>
        <v>30</v>
      </c>
      <c r="B85" s="288">
        <f>'Données projet'!D88</f>
        <v>40</v>
      </c>
      <c r="C85" s="244">
        <f>'Données projet'!E88*30+SUM('Données projet'!F88:G88)*19.4+'Données projet'!H88*10</f>
        <v>21.52</v>
      </c>
      <c r="D85" s="253">
        <f t="shared" ref="D85:D104" si="5">B85*C85</f>
        <v>860.8</v>
      </c>
      <c r="E85" s="251"/>
      <c r="F85" s="285"/>
      <c r="G85" s="24"/>
      <c r="H85" s="32"/>
      <c r="I85" s="244"/>
      <c r="J85" s="9"/>
      <c r="K85" s="236"/>
      <c r="L85" s="9"/>
      <c r="M85" s="9"/>
      <c r="N85" s="9"/>
      <c r="O85" s="169">
        <f>IF(O84+1&lt;=MIN('Données projet'!$E$9:$E$18),O84+1,"STOP")</f>
        <v>52</v>
      </c>
      <c r="P85" s="276">
        <f t="shared" si="3"/>
        <v>0</v>
      </c>
      <c r="Q85" s="23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72">
        <f>'Données projet'!A89</f>
        <v>40</v>
      </c>
      <c r="B86" s="288">
        <f>'Données projet'!D89</f>
        <v>50</v>
      </c>
      <c r="C86" s="244">
        <f>'Données projet'!E89*30+SUM('Données projet'!F89:G89)*19.4+'Données projet'!H89*10</f>
        <v>23.64</v>
      </c>
      <c r="D86" s="253">
        <f t="shared" si="5"/>
        <v>1182</v>
      </c>
      <c r="E86" s="251"/>
      <c r="F86" s="285"/>
      <c r="G86" s="24"/>
      <c r="H86" s="32"/>
      <c r="I86" s="244"/>
      <c r="J86" s="9"/>
      <c r="K86" s="236"/>
      <c r="L86" s="9"/>
      <c r="M86" s="9"/>
      <c r="N86" s="9"/>
      <c r="O86" s="169">
        <f>IF(O85+1&lt;=MIN('Données projet'!$E$9:$E$18),O85+1,"STOP")</f>
        <v>53</v>
      </c>
      <c r="P86" s="276">
        <f t="shared" si="3"/>
        <v>0</v>
      </c>
      <c r="Q86" s="23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72">
        <f>'Données projet'!A90</f>
        <v>50</v>
      </c>
      <c r="B87" s="288">
        <f>'Données projet'!D90</f>
        <v>50</v>
      </c>
      <c r="C87" s="244">
        <f>'Données projet'!E90*30+SUM('Données projet'!F90:G90)*19.4+'Données projet'!H90*10</f>
        <v>25.76</v>
      </c>
      <c r="D87" s="253">
        <f t="shared" si="5"/>
        <v>1288</v>
      </c>
      <c r="E87" s="251"/>
      <c r="F87" s="285"/>
      <c r="G87" s="24"/>
      <c r="H87" s="32"/>
      <c r="I87" s="244"/>
      <c r="J87" s="9"/>
      <c r="K87" s="236"/>
      <c r="L87" s="9"/>
      <c r="M87" s="9"/>
      <c r="N87" s="9"/>
      <c r="O87" s="169">
        <f>IF(O86+1&lt;=MIN('Données projet'!$E$9:$E$18),O86+1,"STOP")</f>
        <v>54</v>
      </c>
      <c r="P87" s="276">
        <f t="shared" si="3"/>
        <v>0</v>
      </c>
      <c r="Q87" s="23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72">
        <f>'Données projet'!A91</f>
        <v>60</v>
      </c>
      <c r="B88" s="288">
        <f>'Données projet'!D91</f>
        <v>50</v>
      </c>
      <c r="C88" s="244">
        <f>'Données projet'!E91*30+SUM('Données projet'!F91:G91)*19.4+'Données projet'!H91*10</f>
        <v>27.88</v>
      </c>
      <c r="D88" s="253">
        <f t="shared" si="5"/>
        <v>1394</v>
      </c>
      <c r="E88" s="251"/>
      <c r="F88" s="285"/>
      <c r="G88" s="24"/>
      <c r="H88" s="32"/>
      <c r="I88" s="244"/>
      <c r="J88" s="9"/>
      <c r="K88" s="236"/>
      <c r="L88" s="9"/>
      <c r="M88" s="9"/>
      <c r="N88" s="9"/>
      <c r="O88" s="169">
        <f>IF(O87+1&lt;=MIN('Données projet'!$E$9:$E$18),O87+1,"STOP")</f>
        <v>55</v>
      </c>
      <c r="P88" s="276">
        <f t="shared" si="3"/>
        <v>0</v>
      </c>
      <c r="Q88" s="23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72">
        <f>'Données projet'!A92</f>
        <v>70</v>
      </c>
      <c r="B89" s="288">
        <f>'Données projet'!D92</f>
        <v>470</v>
      </c>
      <c r="C89" s="244">
        <f>'Données projet'!E92*30+SUM('Données projet'!F92:G92)*19.4+'Données projet'!H92*10</f>
        <v>28.94</v>
      </c>
      <c r="D89" s="253">
        <f t="shared" si="5"/>
        <v>13601.8</v>
      </c>
      <c r="E89" s="251"/>
      <c r="F89" s="285"/>
      <c r="G89" s="24"/>
      <c r="H89" s="32"/>
      <c r="I89" s="244"/>
      <c r="J89" s="9"/>
      <c r="K89" s="236"/>
      <c r="L89" s="9"/>
      <c r="M89" s="9"/>
      <c r="N89" s="9"/>
      <c r="O89" s="169">
        <f>IF(O88+1&lt;=MIN('Données projet'!$E$9:$E$18),O88+1,"STOP")</f>
        <v>56</v>
      </c>
      <c r="P89" s="276">
        <f t="shared" si="3"/>
        <v>0</v>
      </c>
      <c r="Q89" s="23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72" t="str">
        <f>'Données projet'!A93</f>
        <v/>
      </c>
      <c r="B90" s="272" t="str">
        <f>'Données projet'!D93</f>
        <v/>
      </c>
      <c r="C90" s="244"/>
      <c r="D90" s="253">
        <f t="shared" si="5"/>
        <v>0</v>
      </c>
      <c r="E90" s="251"/>
      <c r="F90" s="285"/>
      <c r="G90" s="24"/>
      <c r="H90" s="32"/>
      <c r="I90" s="244"/>
      <c r="J90" s="9"/>
      <c r="K90" s="236"/>
      <c r="L90" s="9"/>
      <c r="M90" s="9"/>
      <c r="N90" s="9"/>
      <c r="O90" s="169">
        <f>IF(O89+1&lt;=MIN('Données projet'!$E$9:$E$18),O89+1,"STOP")</f>
        <v>57</v>
      </c>
      <c r="P90" s="276">
        <f t="shared" si="3"/>
        <v>0</v>
      </c>
      <c r="Q90" s="23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72" t="str">
        <f>'Données projet'!A94</f>
        <v/>
      </c>
      <c r="B91" s="272" t="str">
        <f>'Données projet'!D94</f>
        <v/>
      </c>
      <c r="C91" s="244"/>
      <c r="D91" s="253">
        <f t="shared" si="5"/>
        <v>0</v>
      </c>
      <c r="E91" s="251"/>
      <c r="F91" s="285"/>
      <c r="G91" s="286"/>
      <c r="H91" s="32"/>
      <c r="I91" s="244"/>
      <c r="J91" s="9"/>
      <c r="K91" s="236"/>
      <c r="L91" s="9"/>
      <c r="M91" s="9"/>
      <c r="N91" s="9"/>
      <c r="O91" s="169">
        <f>IF(O90+1&lt;=MIN('Données projet'!$E$9:$E$18),O90+1,"STOP")</f>
        <v>58</v>
      </c>
      <c r="P91" s="276">
        <f t="shared" si="3"/>
        <v>0</v>
      </c>
      <c r="Q91" s="23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72" t="str">
        <f>'Données projet'!A95</f>
        <v/>
      </c>
      <c r="B92" s="272" t="str">
        <f>'Données projet'!D95</f>
        <v/>
      </c>
      <c r="C92" s="244"/>
      <c r="D92" s="253">
        <f t="shared" si="5"/>
        <v>0</v>
      </c>
      <c r="E92" s="251"/>
      <c r="F92" s="285"/>
      <c r="G92" s="286"/>
      <c r="H92" s="32"/>
      <c r="I92" s="244"/>
      <c r="J92" s="9"/>
      <c r="K92" s="236"/>
      <c r="L92" s="9"/>
      <c r="M92" s="9"/>
      <c r="N92" s="9"/>
      <c r="O92" s="169">
        <f>IF(O91+1&lt;=MIN('Données projet'!$E$9:$E$18),O91+1,"STOP")</f>
        <v>59</v>
      </c>
      <c r="P92" s="276">
        <f t="shared" si="3"/>
        <v>0</v>
      </c>
      <c r="Q92" s="23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72" t="str">
        <f>'Données projet'!A96</f>
        <v/>
      </c>
      <c r="B93" s="272" t="str">
        <f>'Données projet'!D96</f>
        <v/>
      </c>
      <c r="C93" s="244"/>
      <c r="D93" s="253">
        <f t="shared" si="5"/>
        <v>0</v>
      </c>
      <c r="E93" s="251"/>
      <c r="F93" s="285"/>
      <c r="G93" s="286"/>
      <c r="H93" s="32"/>
      <c r="I93" s="244"/>
      <c r="J93" s="9"/>
      <c r="K93" s="236"/>
      <c r="L93" s="9"/>
      <c r="M93" s="9"/>
      <c r="N93" s="9"/>
      <c r="O93" s="169">
        <f>IF(O92+1&lt;=MIN('Données projet'!$E$9:$E$18),O92+1,"STOP")</f>
        <v>60</v>
      </c>
      <c r="P93" s="276">
        <f t="shared" si="3"/>
        <v>0</v>
      </c>
      <c r="Q93" s="23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72" t="str">
        <f>'Données projet'!A97</f>
        <v/>
      </c>
      <c r="B94" s="272" t="str">
        <f>'Données projet'!D97</f>
        <v/>
      </c>
      <c r="C94" s="244"/>
      <c r="D94" s="253">
        <f t="shared" si="5"/>
        <v>0</v>
      </c>
      <c r="E94" s="251"/>
      <c r="F94" s="285"/>
      <c r="G94" s="286"/>
      <c r="H94" s="32"/>
      <c r="I94" s="244"/>
      <c r="J94" s="9"/>
      <c r="K94" s="236"/>
      <c r="L94" s="9"/>
      <c r="M94" s="9"/>
      <c r="N94" s="9"/>
      <c r="O94" s="169" t="str">
        <f>IF(O93+1&lt;=MIN('Données projet'!$E$9:$E$18),O93+1,"STOP")</f>
        <v>STOP</v>
      </c>
      <c r="P94" s="276" t="str">
        <f t="shared" si="3"/>
        <v>#VALUE!</v>
      </c>
      <c r="Q94" s="23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72" t="str">
        <f>'Données projet'!A98</f>
        <v/>
      </c>
      <c r="B95" s="272" t="str">
        <f>'Données projet'!D98</f>
        <v/>
      </c>
      <c r="C95" s="244"/>
      <c r="D95" s="253">
        <f t="shared" si="5"/>
        <v>0</v>
      </c>
      <c r="E95" s="251"/>
      <c r="F95" s="285"/>
      <c r="G95" s="286"/>
      <c r="H95" s="32"/>
      <c r="I95" s="244"/>
      <c r="J95" s="9"/>
      <c r="K95" s="236"/>
      <c r="L95" s="9"/>
      <c r="M95" s="9"/>
      <c r="N95" s="9"/>
      <c r="O95" s="169" t="str">
        <f>IF(O94+1&lt;=MIN('Données projet'!$E$9:$E$18),O94+1,"STOP")</f>
        <v>#VALUE!</v>
      </c>
      <c r="P95" s="276" t="str">
        <f t="shared" si="3"/>
        <v>#VALUE!</v>
      </c>
      <c r="Q95" s="23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72" t="str">
        <f>'Données projet'!A99</f>
        <v/>
      </c>
      <c r="B96" s="272" t="str">
        <f>'Données projet'!D99</f>
        <v/>
      </c>
      <c r="C96" s="244"/>
      <c r="D96" s="253">
        <f t="shared" si="5"/>
        <v>0</v>
      </c>
      <c r="E96" s="251"/>
      <c r="F96" s="285"/>
      <c r="G96" s="286"/>
      <c r="H96" s="32"/>
      <c r="I96" s="244"/>
      <c r="J96" s="9"/>
      <c r="K96" s="236"/>
      <c r="L96" s="9"/>
      <c r="M96" s="9"/>
      <c r="N96" s="9"/>
      <c r="O96" s="169" t="str">
        <f>IF(O95+1&lt;=MIN('Données projet'!$E$9:$E$18),O95+1,"STOP")</f>
        <v>#VALUE!</v>
      </c>
      <c r="P96" s="276" t="str">
        <f t="shared" si="3"/>
        <v>#VALUE!</v>
      </c>
      <c r="Q96" s="23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72" t="str">
        <f>'Données projet'!A100</f>
        <v/>
      </c>
      <c r="B97" s="272" t="str">
        <f>'Données projet'!D100</f>
        <v/>
      </c>
      <c r="C97" s="244"/>
      <c r="D97" s="253">
        <f t="shared" si="5"/>
        <v>0</v>
      </c>
      <c r="E97" s="251"/>
      <c r="F97" s="285"/>
      <c r="G97" s="286"/>
      <c r="H97" s="32"/>
      <c r="I97" s="244"/>
      <c r="J97" s="9"/>
      <c r="K97" s="236"/>
      <c r="L97" s="9"/>
      <c r="M97" s="9"/>
      <c r="N97" s="9"/>
      <c r="O97" s="169" t="str">
        <f>IF(O96+1&lt;=MIN('Données projet'!$E$9:$E$18),O96+1,"STOP")</f>
        <v>#VALUE!</v>
      </c>
      <c r="P97" s="276" t="str">
        <f t="shared" si="3"/>
        <v>#VALUE!</v>
      </c>
      <c r="Q97" s="23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72" t="str">
        <f>'Données projet'!A101</f>
        <v/>
      </c>
      <c r="B98" s="272" t="str">
        <f>'Données projet'!D101</f>
        <v/>
      </c>
      <c r="C98" s="244"/>
      <c r="D98" s="253">
        <f t="shared" si="5"/>
        <v>0</v>
      </c>
      <c r="E98" s="251"/>
      <c r="F98" s="285"/>
      <c r="G98" s="286"/>
      <c r="H98" s="32"/>
      <c r="I98" s="244"/>
      <c r="J98" s="9"/>
      <c r="K98" s="236"/>
      <c r="L98" s="9"/>
      <c r="M98" s="9"/>
      <c r="N98" s="9"/>
      <c r="O98" s="169" t="str">
        <f>IF(O97+1&lt;=MIN('Données projet'!$E$9:$E$18),O97+1,"STOP")</f>
        <v>#VALUE!</v>
      </c>
      <c r="P98" s="276" t="str">
        <f t="shared" si="3"/>
        <v>#VALUE!</v>
      </c>
      <c r="Q98" s="23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72" t="str">
        <f>'Données projet'!A102</f>
        <v/>
      </c>
      <c r="B99" s="272" t="str">
        <f>'Données projet'!D102</f>
        <v/>
      </c>
      <c r="C99" s="244"/>
      <c r="D99" s="253">
        <f t="shared" si="5"/>
        <v>0</v>
      </c>
      <c r="E99" s="251"/>
      <c r="F99" s="285"/>
      <c r="G99" s="286"/>
      <c r="H99" s="32"/>
      <c r="I99" s="244"/>
      <c r="J99" s="9"/>
      <c r="K99" s="236"/>
      <c r="L99" s="9"/>
      <c r="M99" s="9"/>
      <c r="N99" s="9"/>
      <c r="O99" s="169" t="str">
        <f>IF(O98+1&lt;=MIN('Données projet'!$E$9:$E$18),O98+1,"STOP")</f>
        <v>#VALUE!</v>
      </c>
      <c r="P99" s="276" t="str">
        <f t="shared" si="3"/>
        <v>#VALUE!</v>
      </c>
      <c r="Q99" s="23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72" t="str">
        <f>'Données projet'!A103</f>
        <v/>
      </c>
      <c r="B100" s="272" t="str">
        <f>'Données projet'!D103</f>
        <v/>
      </c>
      <c r="C100" s="244"/>
      <c r="D100" s="253">
        <f t="shared" si="5"/>
        <v>0</v>
      </c>
      <c r="E100" s="251"/>
      <c r="F100" s="285"/>
      <c r="G100" s="286"/>
      <c r="H100" s="32"/>
      <c r="I100" s="244"/>
      <c r="J100" s="9"/>
      <c r="K100" s="236"/>
      <c r="L100" s="9"/>
      <c r="M100" s="9"/>
      <c r="N100" s="9"/>
      <c r="O100" s="169" t="str">
        <f>IF(O99+1&lt;=MIN('Données projet'!$E$9:$E$18),O99+1,"STOP")</f>
        <v>#VALUE!</v>
      </c>
      <c r="P100" s="276" t="str">
        <f t="shared" si="3"/>
        <v>#VALUE!</v>
      </c>
      <c r="Q100" s="23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72" t="str">
        <f>'Données projet'!A104</f>
        <v/>
      </c>
      <c r="B101" s="272" t="str">
        <f>'Données projet'!D104</f>
        <v/>
      </c>
      <c r="C101" s="244"/>
      <c r="D101" s="253">
        <f t="shared" si="5"/>
        <v>0</v>
      </c>
      <c r="E101" s="251"/>
      <c r="F101" s="285"/>
      <c r="G101" s="286"/>
      <c r="H101" s="32"/>
      <c r="I101" s="244"/>
      <c r="J101" s="9"/>
      <c r="K101" s="236"/>
      <c r="L101" s="9"/>
      <c r="M101" s="9"/>
      <c r="N101" s="9"/>
      <c r="O101" s="169" t="str">
        <f>IF(O100+1&lt;=MIN('Données projet'!$E$9:$E$18),O100+1,"STOP")</f>
        <v>#VALUE!</v>
      </c>
      <c r="P101" s="276" t="str">
        <f t="shared" si="3"/>
        <v>#VALUE!</v>
      </c>
      <c r="Q101" s="23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72" t="str">
        <f>'Données projet'!A105</f>
        <v/>
      </c>
      <c r="B102" s="272" t="str">
        <f>'Données projet'!D105</f>
        <v/>
      </c>
      <c r="C102" s="244"/>
      <c r="D102" s="253">
        <f t="shared" si="5"/>
        <v>0</v>
      </c>
      <c r="E102" s="251"/>
      <c r="F102" s="285"/>
      <c r="G102" s="286"/>
      <c r="H102" s="32"/>
      <c r="I102" s="244"/>
      <c r="J102" s="9"/>
      <c r="K102" s="236"/>
      <c r="L102" s="9"/>
      <c r="M102" s="9"/>
      <c r="N102" s="9"/>
      <c r="O102" s="169" t="str">
        <f>IF(O101+1&lt;=MIN('Données projet'!$E$9:$E$18),O101+1,"STOP")</f>
        <v>#VALUE!</v>
      </c>
      <c r="P102" s="276" t="str">
        <f t="shared" si="3"/>
        <v>#VALUE!</v>
      </c>
      <c r="Q102" s="23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72" t="str">
        <f>'Données projet'!A106</f>
        <v/>
      </c>
      <c r="B103" s="272" t="str">
        <f>'Données projet'!D106</f>
        <v/>
      </c>
      <c r="C103" s="244"/>
      <c r="D103" s="253">
        <f t="shared" si="5"/>
        <v>0</v>
      </c>
      <c r="E103" s="251"/>
      <c r="F103" s="285"/>
      <c r="G103" s="286"/>
      <c r="H103" s="32"/>
      <c r="I103" s="244"/>
      <c r="J103" s="9"/>
      <c r="K103" s="236"/>
      <c r="L103" s="9"/>
      <c r="M103" s="9"/>
      <c r="N103" s="9"/>
      <c r="O103" s="169" t="str">
        <f>IF(O102+1&lt;=MIN('Données projet'!$E$9:$E$18),O102+1,"STOP")</f>
        <v>#VALUE!</v>
      </c>
      <c r="P103" s="276" t="str">
        <f t="shared" si="3"/>
        <v>#VALUE!</v>
      </c>
      <c r="Q103" s="23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72" t="str">
        <f>'Données projet'!A107</f>
        <v/>
      </c>
      <c r="B104" s="272" t="str">
        <f>'Données projet'!D107</f>
        <v/>
      </c>
      <c r="C104" s="244"/>
      <c r="D104" s="253">
        <f t="shared" si="5"/>
        <v>0</v>
      </c>
      <c r="E104" s="251"/>
      <c r="F104" s="285"/>
      <c r="G104" s="286"/>
      <c r="H104" s="32"/>
      <c r="I104" s="244"/>
      <c r="J104" s="9"/>
      <c r="K104" s="236"/>
      <c r="L104" s="9"/>
      <c r="M104" s="9"/>
      <c r="N104" s="9"/>
      <c r="O104" s="169" t="str">
        <f>IF(O103+1&lt;=MIN('Données projet'!$E$9:$E$18),O103+1,"STOP")</f>
        <v>#VALUE!</v>
      </c>
      <c r="P104" s="276" t="str">
        <f t="shared" si="3"/>
        <v>#VALUE!</v>
      </c>
      <c r="Q104" s="23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38"/>
      <c r="G105" s="286"/>
      <c r="H105" s="32"/>
      <c r="I105" s="244"/>
      <c r="J105" s="9"/>
      <c r="K105" s="236"/>
      <c r="L105" s="9"/>
      <c r="M105" s="9"/>
      <c r="N105" s="9"/>
      <c r="O105" s="169" t="str">
        <f>IF(O104+1&lt;=MIN('Données projet'!$E$9:$E$18),O104+1,"STOP")</f>
        <v>#VALUE!</v>
      </c>
      <c r="P105" s="276" t="str">
        <f t="shared" si="3"/>
        <v>#VALUE!</v>
      </c>
      <c r="Q105" s="23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38"/>
      <c r="G106" s="286"/>
      <c r="H106" s="32"/>
      <c r="I106" s="244"/>
      <c r="J106" s="9"/>
      <c r="K106" s="236"/>
      <c r="L106" s="9"/>
      <c r="M106" s="9"/>
      <c r="N106" s="9"/>
      <c r="O106" s="169" t="str">
        <f>IF(O105+1&lt;=MIN('Données projet'!$E$9:$E$18),O105+1,"STOP")</f>
        <v>#VALUE!</v>
      </c>
      <c r="P106" s="276" t="str">
        <f t="shared" si="3"/>
        <v>#VALUE!</v>
      </c>
      <c r="Q106" s="23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7" t="s">
        <v>22</v>
      </c>
      <c r="B107" s="242" t="str">
        <f>IF('Données projet'!B12="","",'Données projet'!B12)</f>
        <v>Sapin pectiné</v>
      </c>
      <c r="C107" s="9"/>
      <c r="D107" s="9"/>
      <c r="E107" s="9"/>
      <c r="F107" s="238"/>
      <c r="G107" s="286"/>
      <c r="H107" s="32"/>
      <c r="I107" s="244"/>
      <c r="J107" s="9"/>
      <c r="K107" s="236"/>
      <c r="L107" s="9"/>
      <c r="M107" s="9"/>
      <c r="N107" s="9"/>
      <c r="O107" s="169" t="str">
        <f>IF(O106+1&lt;=MIN('Données projet'!$E$9:$E$18),O106+1,"STOP")</f>
        <v>#VALUE!</v>
      </c>
      <c r="P107" s="276" t="str">
        <f t="shared" si="3"/>
        <v>#VALUE!</v>
      </c>
      <c r="Q107" s="23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38"/>
      <c r="G108" s="286"/>
      <c r="H108" s="32"/>
      <c r="I108" s="244"/>
      <c r="J108" s="9"/>
      <c r="K108" s="236"/>
      <c r="L108" s="9"/>
      <c r="M108" s="9"/>
      <c r="N108" s="9"/>
      <c r="O108" s="169" t="str">
        <f>IF(O107+1&lt;=MIN('Données projet'!$E$9:$E$18),O107+1,"STOP")</f>
        <v>#VALUE!</v>
      </c>
      <c r="P108" s="276" t="str">
        <f t="shared" si="3"/>
        <v>#VALUE!</v>
      </c>
      <c r="Q108" s="23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1" t="s">
        <v>55</v>
      </c>
      <c r="B109" s="65" t="s">
        <v>329</v>
      </c>
      <c r="C109" s="65" t="s">
        <v>330</v>
      </c>
      <c r="D109" s="41" t="s">
        <v>331</v>
      </c>
      <c r="E109" s="41" t="s">
        <v>332</v>
      </c>
      <c r="F109" s="281"/>
      <c r="G109" s="286"/>
      <c r="H109" s="32"/>
      <c r="I109" s="244"/>
      <c r="J109" s="9"/>
      <c r="K109" s="236"/>
      <c r="L109" s="9"/>
      <c r="M109" s="9"/>
      <c r="N109" s="9"/>
      <c r="O109" s="169" t="str">
        <f>IF(O108+1&lt;=MIN('Données projet'!$E$9:$E$18),O108+1,"STOP")</f>
        <v>#VALUE!</v>
      </c>
      <c r="P109" s="276" t="str">
        <f t="shared" si="3"/>
        <v>#VALUE!</v>
      </c>
      <c r="Q109" s="23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1">
        <v>0.0</v>
      </c>
      <c r="B110" s="246" t="s">
        <v>219</v>
      </c>
      <c r="C110" s="247" t="s">
        <v>219</v>
      </c>
      <c r="D110" s="248" t="s">
        <v>219</v>
      </c>
      <c r="E110" s="249" t="s">
        <v>347</v>
      </c>
      <c r="F110" s="281"/>
      <c r="G110" s="286"/>
      <c r="H110" s="32"/>
      <c r="I110" s="244"/>
      <c r="J110" s="9"/>
      <c r="K110" s="236"/>
      <c r="L110" s="9"/>
      <c r="M110" s="9"/>
      <c r="N110" s="9"/>
      <c r="O110" s="169" t="str">
        <f>IF(O109+1&lt;=MIN('Données projet'!$E$9:$E$18),O109+1,"STOP")</f>
        <v>#VALUE!</v>
      </c>
      <c r="P110" s="276" t="str">
        <f t="shared" si="3"/>
        <v>#VALUE!</v>
      </c>
      <c r="Q110" s="23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1">
        <v>1.0</v>
      </c>
      <c r="B111" s="246" t="s">
        <v>219</v>
      </c>
      <c r="C111" s="247" t="s">
        <v>219</v>
      </c>
      <c r="D111" s="248" t="s">
        <v>219</v>
      </c>
      <c r="E111" s="251"/>
      <c r="F111" s="281"/>
      <c r="G111" s="9"/>
      <c r="H111" s="32"/>
      <c r="I111" s="244"/>
      <c r="J111" s="9"/>
      <c r="K111" s="236"/>
      <c r="L111" s="9"/>
      <c r="M111" s="9"/>
      <c r="N111" s="9"/>
      <c r="O111" s="169" t="str">
        <f>IF(O110+1&lt;=MIN('Données projet'!$E$9:$E$18),O110+1,"STOP")</f>
        <v>#VALUE!</v>
      </c>
      <c r="P111" s="276" t="str">
        <f t="shared" si="3"/>
        <v>#VALUE!</v>
      </c>
      <c r="Q111" s="23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1">
        <v>2.0</v>
      </c>
      <c r="B112" s="246" t="s">
        <v>219</v>
      </c>
      <c r="C112" s="247" t="s">
        <v>219</v>
      </c>
      <c r="D112" s="248" t="s">
        <v>219</v>
      </c>
      <c r="E112" s="251"/>
      <c r="F112" s="281"/>
      <c r="G112" s="9"/>
      <c r="H112" s="32"/>
      <c r="I112" s="244"/>
      <c r="J112" s="9"/>
      <c r="K112" s="236"/>
      <c r="L112" s="9"/>
      <c r="M112" s="9"/>
      <c r="N112" s="9"/>
      <c r="O112" s="169" t="str">
        <f>IF(O111+1&lt;=MIN('Données projet'!$E$9:$E$18),O111+1,"STOP")</f>
        <v>#VALUE!</v>
      </c>
      <c r="P112" s="276" t="str">
        <f t="shared" si="3"/>
        <v>#VALUE!</v>
      </c>
      <c r="Q112" s="23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1">
        <v>3.0</v>
      </c>
      <c r="B113" s="246" t="s">
        <v>219</v>
      </c>
      <c r="C113" s="247" t="s">
        <v>219</v>
      </c>
      <c r="D113" s="248" t="s">
        <v>219</v>
      </c>
      <c r="E113" s="251"/>
      <c r="F113" s="281"/>
      <c r="G113" s="9"/>
      <c r="H113" s="32"/>
      <c r="I113" s="244"/>
      <c r="J113" s="9"/>
      <c r="K113" s="236"/>
      <c r="L113" s="9"/>
      <c r="M113" s="9"/>
      <c r="N113" s="9"/>
      <c r="O113" s="169" t="str">
        <f>IF(O112+1&lt;=MIN('Données projet'!$E$9:$E$18),O112+1,"STOP")</f>
        <v>#VALUE!</v>
      </c>
      <c r="P113" s="276" t="str">
        <f t="shared" si="3"/>
        <v>#VALUE!</v>
      </c>
      <c r="Q113" s="23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1">
        <v>4.0</v>
      </c>
      <c r="B114" s="246" t="s">
        <v>219</v>
      </c>
      <c r="C114" s="247" t="s">
        <v>219</v>
      </c>
      <c r="D114" s="248" t="s">
        <v>219</v>
      </c>
      <c r="E114" s="251"/>
      <c r="F114" s="281"/>
      <c r="G114" s="9"/>
      <c r="H114" s="32"/>
      <c r="I114" s="244"/>
      <c r="J114" s="9"/>
      <c r="K114" s="236"/>
      <c r="L114" s="9"/>
      <c r="M114" s="9"/>
      <c r="N114" s="9"/>
      <c r="O114" s="169" t="str">
        <f>IF(O113+1&lt;=MIN('Données projet'!$E$9:$E$18),O113+1,"STOP")</f>
        <v>#VALUE!</v>
      </c>
      <c r="P114" s="276" t="str">
        <f t="shared" si="3"/>
        <v>#VALUE!</v>
      </c>
      <c r="Q114" s="23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1">
        <v>5.0</v>
      </c>
      <c r="B115" s="246" t="s">
        <v>219</v>
      </c>
      <c r="C115" s="247" t="s">
        <v>219</v>
      </c>
      <c r="D115" s="248" t="s">
        <v>219</v>
      </c>
      <c r="E115" s="251"/>
      <c r="F115" s="281"/>
      <c r="G115" s="24"/>
      <c r="H115" s="32"/>
      <c r="I115" s="244"/>
      <c r="J115" s="9"/>
      <c r="K115" s="236"/>
      <c r="L115" s="9"/>
      <c r="M115" s="9"/>
      <c r="N115" s="9"/>
      <c r="O115" s="169" t="str">
        <f>IF(O114+1&lt;=MIN('Données projet'!$E$9:$E$18),O114+1,"STOP")</f>
        <v>#VALUE!</v>
      </c>
      <c r="P115" s="276" t="str">
        <f t="shared" si="3"/>
        <v>#VALUE!</v>
      </c>
      <c r="Q115" s="23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72">
        <f>'Données projet'!A114</f>
        <v>15</v>
      </c>
      <c r="B116" s="272">
        <f>'Données projet'!D114</f>
        <v>0</v>
      </c>
      <c r="C116" s="244">
        <f>'Données projet'!E114*37+SUM('Données projet'!F114:G114)*19.4+'Données projet'!H114*10</f>
        <v>19.4</v>
      </c>
      <c r="D116" s="253">
        <f t="shared" ref="D116:D135" si="6">B116*C116</f>
        <v>0</v>
      </c>
      <c r="E116" s="251"/>
      <c r="F116" s="285"/>
      <c r="G116" s="24"/>
      <c r="H116" s="32"/>
      <c r="I116" s="244"/>
      <c r="J116" s="9"/>
      <c r="K116" s="236"/>
      <c r="L116" s="9"/>
      <c r="M116" s="9"/>
      <c r="N116" s="9"/>
      <c r="O116" s="169" t="str">
        <f>IF(O115+1&lt;=MIN('Données projet'!$E$9:$E$18),O115+1,"STOP")</f>
        <v>#VALUE!</v>
      </c>
      <c r="P116" s="276" t="str">
        <f t="shared" si="3"/>
        <v>#VALUE!</v>
      </c>
      <c r="Q116" s="23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72">
        <f>'Données projet'!A115</f>
        <v>20</v>
      </c>
      <c r="B117" s="272">
        <f>'Données projet'!D115</f>
        <v>3</v>
      </c>
      <c r="C117" s="244">
        <f>'Données projet'!E115*37+SUM('Données projet'!F115:G115)*19.4+'Données projet'!H115*10</f>
        <v>19.4</v>
      </c>
      <c r="D117" s="253">
        <f t="shared" si="6"/>
        <v>58.2</v>
      </c>
      <c r="E117" s="251"/>
      <c r="F117" s="285"/>
      <c r="G117" s="24"/>
      <c r="H117" s="32"/>
      <c r="I117" s="244"/>
      <c r="J117" s="9"/>
      <c r="K117" s="236"/>
      <c r="L117" s="9"/>
      <c r="M117" s="9"/>
      <c r="N117" s="9"/>
      <c r="O117" s="169" t="str">
        <f>IF(O116+1&lt;=MIN('Données projet'!$E$9:$E$18),O116+1,"STOP")</f>
        <v>#VALUE!</v>
      </c>
      <c r="P117" s="276" t="str">
        <f t="shared" si="3"/>
        <v>#VALUE!</v>
      </c>
      <c r="Q117" s="23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72">
        <f>'Données projet'!A116</f>
        <v>25</v>
      </c>
      <c r="B118" s="272">
        <f>'Données projet'!D116</f>
        <v>63</v>
      </c>
      <c r="C118" s="244">
        <f>'Données projet'!E116*37+SUM('Données projet'!F116:G116)*19.4+'Données projet'!H116*10</f>
        <v>22.8812</v>
      </c>
      <c r="D118" s="253">
        <f t="shared" si="6"/>
        <v>1441.5156</v>
      </c>
      <c r="E118" s="251"/>
      <c r="F118" s="285"/>
      <c r="G118" s="24"/>
      <c r="H118" s="32"/>
      <c r="I118" s="244"/>
      <c r="J118" s="9"/>
      <c r="K118" s="236"/>
      <c r="L118" s="9"/>
      <c r="M118" s="9"/>
      <c r="N118" s="9"/>
      <c r="O118" s="169" t="str">
        <f>IF(O117+1&lt;=MIN('Données projet'!$E$9:$E$18),O117+1,"STOP")</f>
        <v>#VALUE!</v>
      </c>
      <c r="P118" s="276" t="str">
        <f t="shared" si="3"/>
        <v>#VALUE!</v>
      </c>
      <c r="Q118" s="23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72">
        <f>'Données projet'!A117</f>
        <v>30</v>
      </c>
      <c r="B119" s="272">
        <f>'Données projet'!D117</f>
        <v>63</v>
      </c>
      <c r="C119" s="244">
        <f>'Données projet'!E117*37+SUM('Données projet'!F117:G117)*19.4+'Données projet'!H117*10</f>
        <v>22.8812</v>
      </c>
      <c r="D119" s="253">
        <f t="shared" si="6"/>
        <v>1441.5156</v>
      </c>
      <c r="E119" s="251"/>
      <c r="F119" s="285"/>
      <c r="G119" s="24"/>
      <c r="H119" s="32"/>
      <c r="I119" s="244"/>
      <c r="J119" s="9"/>
      <c r="K119" s="236"/>
      <c r="L119" s="9"/>
      <c r="M119" s="9"/>
      <c r="N119" s="9"/>
      <c r="O119" s="169" t="str">
        <f>IF(O118+1&lt;=MIN('Données projet'!$E$9:$E$18),O118+1,"STOP")</f>
        <v>#VALUE!</v>
      </c>
      <c r="P119" s="276" t="str">
        <f t="shared" si="3"/>
        <v>#VALUE!</v>
      </c>
      <c r="Q119" s="23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72">
        <f>'Données projet'!A118</f>
        <v>35</v>
      </c>
      <c r="B120" s="272">
        <f>'Données projet'!D118</f>
        <v>63</v>
      </c>
      <c r="C120" s="244">
        <f>'Données projet'!E118*37+SUM('Données projet'!F118:G118)*19.4+'Données projet'!H118*10</f>
        <v>26.3624</v>
      </c>
      <c r="D120" s="253">
        <f t="shared" si="6"/>
        <v>1660.8312</v>
      </c>
      <c r="E120" s="251"/>
      <c r="F120" s="285"/>
      <c r="G120" s="24"/>
      <c r="H120" s="32"/>
      <c r="I120" s="244"/>
      <c r="J120" s="9"/>
      <c r="K120" s="236"/>
      <c r="L120" s="9"/>
      <c r="M120" s="9"/>
      <c r="N120" s="9"/>
      <c r="O120" s="169" t="str">
        <f>IF(O119+1&lt;=MIN('Données projet'!$E$9:$E$18),O119+1,"STOP")</f>
        <v>#VALUE!</v>
      </c>
      <c r="P120" s="276" t="str">
        <f t="shared" si="3"/>
        <v>#VALUE!</v>
      </c>
      <c r="Q120" s="23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72">
        <f>'Données projet'!A119</f>
        <v>40</v>
      </c>
      <c r="B121" s="272">
        <f>'Données projet'!D119</f>
        <v>63</v>
      </c>
      <c r="C121" s="244">
        <f>'Données projet'!E119*37+SUM('Données projet'!F119:G119)*19.4+'Données projet'!H119*10</f>
        <v>26.44</v>
      </c>
      <c r="D121" s="253">
        <f t="shared" si="6"/>
        <v>1665.72</v>
      </c>
      <c r="E121" s="251"/>
      <c r="F121" s="285"/>
      <c r="G121" s="24"/>
      <c r="H121" s="32"/>
      <c r="I121" s="244"/>
      <c r="J121" s="9"/>
      <c r="K121" s="236"/>
      <c r="L121" s="9"/>
      <c r="M121" s="9"/>
      <c r="N121" s="9"/>
      <c r="O121" s="169" t="str">
        <f>IF(O120+1&lt;=MIN('Données projet'!$E$9:$E$18),O120+1,"STOP")</f>
        <v>#VALUE!</v>
      </c>
      <c r="P121" s="276" t="str">
        <f t="shared" si="3"/>
        <v>#VALUE!</v>
      </c>
      <c r="Q121" s="23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72">
        <f>'Données projet'!A120</f>
        <v>45</v>
      </c>
      <c r="B122" s="272">
        <f>'Données projet'!D120</f>
        <v>63</v>
      </c>
      <c r="C122" s="244">
        <f>'Données projet'!E120*37+SUM('Données projet'!F120:G120)*19.4+'Données projet'!H120*10</f>
        <v>30.0376</v>
      </c>
      <c r="D122" s="253">
        <f t="shared" si="6"/>
        <v>1892.3688</v>
      </c>
      <c r="E122" s="251"/>
      <c r="F122" s="285"/>
      <c r="G122" s="286"/>
      <c r="H122" s="32"/>
      <c r="I122" s="244"/>
      <c r="J122" s="9"/>
      <c r="K122" s="236"/>
      <c r="L122" s="9"/>
      <c r="M122" s="9"/>
      <c r="N122" s="9"/>
      <c r="O122" s="169" t="str">
        <f>IF(O121+1&lt;=MIN('Données projet'!$E$9:$E$18),O121+1,"STOP")</f>
        <v>#VALUE!</v>
      </c>
      <c r="P122" s="276" t="str">
        <f t="shared" si="3"/>
        <v>#VALUE!</v>
      </c>
      <c r="Q122" s="23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72">
        <f>'Données projet'!A121</f>
        <v>50</v>
      </c>
      <c r="B123" s="272">
        <f>'Données projet'!D121</f>
        <v>63</v>
      </c>
      <c r="C123" s="244">
        <f>'Données projet'!E121*37+SUM('Données projet'!F121:G121)*19.4+'Données projet'!H121*10</f>
        <v>29.96</v>
      </c>
      <c r="D123" s="253">
        <f t="shared" si="6"/>
        <v>1887.48</v>
      </c>
      <c r="E123" s="251"/>
      <c r="F123" s="285"/>
      <c r="G123" s="286"/>
      <c r="H123" s="32"/>
      <c r="I123" s="244"/>
      <c r="J123" s="9"/>
      <c r="K123" s="236"/>
      <c r="L123" s="9"/>
      <c r="M123" s="9"/>
      <c r="N123" s="9"/>
      <c r="O123" s="169" t="str">
        <f>IF(O122+1&lt;=MIN('Données projet'!$E$9:$E$18),O122+1,"STOP")</f>
        <v>#VALUE!</v>
      </c>
      <c r="P123" s="276" t="str">
        <f t="shared" si="3"/>
        <v>#VALUE!</v>
      </c>
      <c r="Q123" s="23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72">
        <f>'Données projet'!A122</f>
        <v>55</v>
      </c>
      <c r="B124" s="272">
        <f>'Données projet'!D122</f>
        <v>63</v>
      </c>
      <c r="C124" s="244">
        <f>'Données projet'!E122*37+SUM('Données projet'!F122:G122)*19.4+'Données projet'!H122*10</f>
        <v>33.5188</v>
      </c>
      <c r="D124" s="253">
        <f t="shared" si="6"/>
        <v>2111.6844</v>
      </c>
      <c r="E124" s="251"/>
      <c r="F124" s="285"/>
      <c r="G124" s="286"/>
      <c r="H124" s="32"/>
      <c r="I124" s="244"/>
      <c r="J124" s="9"/>
      <c r="K124" s="236"/>
      <c r="L124" s="9"/>
      <c r="M124" s="9"/>
      <c r="N124" s="9"/>
      <c r="O124" s="169" t="str">
        <f>IF(O123+1&lt;=MIN('Données projet'!$E$9:$E$18),O123+1,"STOP")</f>
        <v>#VALUE!</v>
      </c>
      <c r="P124" s="276" t="str">
        <f t="shared" si="3"/>
        <v>#VALUE!</v>
      </c>
      <c r="Q124" s="23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72">
        <f>'Données projet'!A123</f>
        <v>60</v>
      </c>
      <c r="B125" s="272">
        <f>'Données projet'!D123</f>
        <v>629</v>
      </c>
      <c r="C125" s="244">
        <f>'Données projet'!E123*37+SUM('Données projet'!F123:G123)*19.4+'Données projet'!H123*10</f>
        <v>35.24</v>
      </c>
      <c r="D125" s="253">
        <f t="shared" si="6"/>
        <v>22165.96</v>
      </c>
      <c r="E125" s="251"/>
      <c r="F125" s="285"/>
      <c r="G125" s="286"/>
      <c r="H125" s="32"/>
      <c r="I125" s="244"/>
      <c r="J125" s="9"/>
      <c r="K125" s="236"/>
      <c r="L125" s="9"/>
      <c r="M125" s="9"/>
      <c r="N125" s="9"/>
      <c r="O125" s="169" t="str">
        <f>IF(O124+1&lt;=MIN('Données projet'!$E$9:$E$18),O124+1,"STOP")</f>
        <v>#VALUE!</v>
      </c>
      <c r="P125" s="276" t="str">
        <f t="shared" si="3"/>
        <v>#VALUE!</v>
      </c>
      <c r="Q125" s="23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72" t="str">
        <f>'Données projet'!A124</f>
        <v/>
      </c>
      <c r="B126" s="272" t="str">
        <f>'Données projet'!D124</f>
        <v/>
      </c>
      <c r="C126" s="244"/>
      <c r="D126" s="253">
        <f t="shared" si="6"/>
        <v>0</v>
      </c>
      <c r="E126" s="251"/>
      <c r="F126" s="285"/>
      <c r="G126" s="286"/>
      <c r="H126" s="32"/>
      <c r="I126" s="244"/>
      <c r="J126" s="9"/>
      <c r="K126" s="236"/>
      <c r="L126" s="9"/>
      <c r="M126" s="9"/>
      <c r="N126" s="9"/>
      <c r="O126" s="169" t="str">
        <f>IF(O125+1&lt;=MIN('Données projet'!$E$9:$E$18),O125+1,"STOP")</f>
        <v>#VALUE!</v>
      </c>
      <c r="P126" s="276" t="str">
        <f t="shared" si="3"/>
        <v>#VALUE!</v>
      </c>
      <c r="Q126" s="23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72" t="str">
        <f>'Données projet'!A125</f>
        <v/>
      </c>
      <c r="B127" s="272" t="str">
        <f>'Données projet'!D125</f>
        <v/>
      </c>
      <c r="C127" s="244"/>
      <c r="D127" s="253">
        <f t="shared" si="6"/>
        <v>0</v>
      </c>
      <c r="E127" s="251"/>
      <c r="F127" s="285"/>
      <c r="G127" s="286"/>
      <c r="H127" s="32"/>
      <c r="I127" s="244"/>
      <c r="J127" s="9"/>
      <c r="K127" s="236"/>
      <c r="L127" s="9"/>
      <c r="M127" s="9"/>
      <c r="N127" s="9"/>
      <c r="O127" s="169" t="str">
        <f>IF(O126+1&lt;=MIN('Données projet'!$E$9:$E$18),O126+1,"STOP")</f>
        <v>#VALUE!</v>
      </c>
      <c r="P127" s="276" t="str">
        <f t="shared" si="3"/>
        <v>#VALUE!</v>
      </c>
      <c r="Q127" s="23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72" t="str">
        <f>'Données projet'!A126</f>
        <v/>
      </c>
      <c r="B128" s="272" t="str">
        <f>'Données projet'!D126</f>
        <v/>
      </c>
      <c r="C128" s="244"/>
      <c r="D128" s="253">
        <f t="shared" si="6"/>
        <v>0</v>
      </c>
      <c r="E128" s="251"/>
      <c r="F128" s="285"/>
      <c r="G128" s="286"/>
      <c r="H128" s="32"/>
      <c r="I128" s="244"/>
      <c r="J128" s="9"/>
      <c r="K128" s="236"/>
      <c r="L128" s="9"/>
      <c r="M128" s="9"/>
      <c r="N128" s="9"/>
      <c r="O128" s="169" t="str">
        <f>IF(O127+1&lt;=MIN('Données projet'!$E$9:$E$18),O127+1,"STOP")</f>
        <v>#VALUE!</v>
      </c>
      <c r="P128" s="276" t="str">
        <f t="shared" si="3"/>
        <v>#VALUE!</v>
      </c>
      <c r="Q128" s="23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72" t="str">
        <f>'Données projet'!A127</f>
        <v/>
      </c>
      <c r="B129" s="272" t="str">
        <f>'Données projet'!D127</f>
        <v/>
      </c>
      <c r="C129" s="244"/>
      <c r="D129" s="253">
        <f t="shared" si="6"/>
        <v>0</v>
      </c>
      <c r="E129" s="251"/>
      <c r="F129" s="285"/>
      <c r="G129" s="286"/>
      <c r="H129" s="32"/>
      <c r="I129" s="244"/>
      <c r="J129" s="9"/>
      <c r="K129" s="236"/>
      <c r="L129" s="9"/>
      <c r="M129" s="9"/>
      <c r="N129" s="9"/>
      <c r="O129" s="169" t="str">
        <f>IF(O128+1&lt;=MIN('Données projet'!$E$9:$E$18),O128+1,"STOP")</f>
        <v>#VALUE!</v>
      </c>
      <c r="P129" s="276" t="str">
        <f t="shared" si="3"/>
        <v>#VALUE!</v>
      </c>
      <c r="Q129" s="23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72" t="str">
        <f>'Données projet'!A128</f>
        <v/>
      </c>
      <c r="B130" s="272" t="str">
        <f>'Données projet'!D128</f>
        <v/>
      </c>
      <c r="C130" s="244"/>
      <c r="D130" s="253">
        <f t="shared" si="6"/>
        <v>0</v>
      </c>
      <c r="E130" s="251"/>
      <c r="F130" s="285"/>
      <c r="G130" s="286"/>
      <c r="H130" s="32"/>
      <c r="I130" s="244"/>
      <c r="J130" s="9"/>
      <c r="K130" s="236"/>
      <c r="L130" s="9"/>
      <c r="M130" s="9"/>
      <c r="N130" s="9"/>
      <c r="O130" s="169" t="str">
        <f>IF(O129+1&lt;=MIN('Données projet'!$E$9:$E$18),O129+1,"STOP")</f>
        <v>#VALUE!</v>
      </c>
      <c r="P130" s="276" t="str">
        <f t="shared" si="3"/>
        <v>#VALUE!</v>
      </c>
      <c r="Q130" s="23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72" t="str">
        <f>'Données projet'!A129</f>
        <v/>
      </c>
      <c r="B131" s="272" t="str">
        <f>'Données projet'!D129</f>
        <v/>
      </c>
      <c r="C131" s="244"/>
      <c r="D131" s="253">
        <f t="shared" si="6"/>
        <v>0</v>
      </c>
      <c r="E131" s="251"/>
      <c r="F131" s="285"/>
      <c r="G131" s="286"/>
      <c r="H131" s="32"/>
      <c r="I131" s="244"/>
      <c r="J131" s="9"/>
      <c r="K131" s="236"/>
      <c r="L131" s="9"/>
      <c r="M131" s="9"/>
      <c r="N131" s="9"/>
      <c r="O131" s="169" t="str">
        <f>IF(O130+1&lt;=MIN('Données projet'!$E$9:$E$18),O130+1,"STOP")</f>
        <v>#VALUE!</v>
      </c>
      <c r="P131" s="276" t="str">
        <f t="shared" si="3"/>
        <v>#VALUE!</v>
      </c>
      <c r="Q131" s="23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72" t="str">
        <f>'Données projet'!A130</f>
        <v/>
      </c>
      <c r="B132" s="272" t="str">
        <f>'Données projet'!D130</f>
        <v/>
      </c>
      <c r="C132" s="244"/>
      <c r="D132" s="253">
        <f t="shared" si="6"/>
        <v>0</v>
      </c>
      <c r="E132" s="251"/>
      <c r="F132" s="285"/>
      <c r="G132" s="286"/>
      <c r="H132" s="32"/>
      <c r="I132" s="244"/>
      <c r="J132" s="9"/>
      <c r="K132" s="236"/>
      <c r="L132" s="9"/>
      <c r="M132" s="9"/>
      <c r="N132" s="9"/>
      <c r="O132" s="169" t="str">
        <f>IF(O131+1&lt;=MIN('Données projet'!$E$9:$E$18),O131+1,"STOP")</f>
        <v>#VALUE!</v>
      </c>
      <c r="P132" s="276" t="str">
        <f t="shared" si="3"/>
        <v>#VALUE!</v>
      </c>
      <c r="Q132" s="23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72" t="str">
        <f>'Données projet'!A131</f>
        <v/>
      </c>
      <c r="B133" s="272" t="str">
        <f>'Données projet'!D131</f>
        <v/>
      </c>
      <c r="C133" s="244"/>
      <c r="D133" s="253">
        <f t="shared" si="6"/>
        <v>0</v>
      </c>
      <c r="E133" s="251"/>
      <c r="F133" s="285"/>
      <c r="G133" s="286"/>
      <c r="H133" s="32"/>
      <c r="I133" s="244"/>
      <c r="J133" s="9"/>
      <c r="K133" s="236"/>
      <c r="L133" s="9"/>
      <c r="M133" s="9"/>
      <c r="N133" s="9"/>
      <c r="O133" s="9"/>
      <c r="P133" s="9"/>
      <c r="Q133" s="23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72" t="str">
        <f>'Données projet'!A132</f>
        <v/>
      </c>
      <c r="B134" s="272" t="str">
        <f>'Données projet'!D132</f>
        <v/>
      </c>
      <c r="C134" s="244"/>
      <c r="D134" s="253">
        <f t="shared" si="6"/>
        <v>0</v>
      </c>
      <c r="E134" s="251"/>
      <c r="F134" s="285"/>
      <c r="G134" s="286"/>
      <c r="H134" s="32"/>
      <c r="I134" s="244"/>
      <c r="J134" s="9"/>
      <c r="K134" s="236"/>
      <c r="L134" s="9"/>
      <c r="M134" s="9"/>
      <c r="N134" s="9"/>
      <c r="O134" s="9"/>
      <c r="P134" s="9"/>
      <c r="Q134" s="23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72" t="str">
        <f>'Données projet'!A133</f>
        <v/>
      </c>
      <c r="B135" s="272" t="str">
        <f>'Données projet'!D133</f>
        <v/>
      </c>
      <c r="C135" s="244"/>
      <c r="D135" s="253">
        <f t="shared" si="6"/>
        <v>0</v>
      </c>
      <c r="E135" s="251"/>
      <c r="F135" s="285"/>
      <c r="G135" s="286"/>
      <c r="H135" s="32"/>
      <c r="I135" s="244"/>
      <c r="J135" s="9"/>
      <c r="K135" s="236"/>
      <c r="L135" s="9"/>
      <c r="M135" s="9"/>
      <c r="N135" s="9"/>
      <c r="O135" s="9"/>
      <c r="P135" s="9"/>
      <c r="Q135" s="23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38"/>
      <c r="G136" s="286"/>
      <c r="H136" s="32"/>
      <c r="I136" s="244"/>
      <c r="J136" s="9"/>
      <c r="K136" s="236"/>
      <c r="L136" s="9"/>
      <c r="M136" s="9"/>
      <c r="N136" s="9"/>
      <c r="O136" s="9"/>
      <c r="P136" s="9"/>
      <c r="Q136" s="23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38"/>
      <c r="G137" s="286"/>
      <c r="H137" s="32"/>
      <c r="I137" s="244"/>
      <c r="J137" s="9"/>
      <c r="K137" s="236"/>
      <c r="L137" s="9"/>
      <c r="M137" s="9"/>
      <c r="N137" s="9"/>
      <c r="O137" s="9"/>
      <c r="P137" s="9"/>
      <c r="Q137" s="23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7" t="s">
        <v>24</v>
      </c>
      <c r="B138" s="242" t="str">
        <f>IF('Données projet'!B13="","",'Données projet'!B13)</f>
        <v>Chêne pubescent</v>
      </c>
      <c r="C138" s="9"/>
      <c r="D138" s="9"/>
      <c r="E138" s="9"/>
      <c r="F138" s="238"/>
      <c r="G138" s="286"/>
      <c r="H138" s="32"/>
      <c r="I138" s="244"/>
      <c r="J138" s="9"/>
      <c r="K138" s="236"/>
      <c r="L138" s="9"/>
      <c r="M138" s="9"/>
      <c r="N138" s="9"/>
      <c r="O138" s="9"/>
      <c r="P138" s="9"/>
      <c r="Q138" s="23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38"/>
      <c r="G139" s="286"/>
      <c r="H139" s="32"/>
      <c r="I139" s="244"/>
      <c r="J139" s="9"/>
      <c r="K139" s="236"/>
      <c r="L139" s="9"/>
      <c r="M139" s="9"/>
      <c r="N139" s="9"/>
      <c r="O139" s="9"/>
      <c r="P139" s="9"/>
      <c r="Q139" s="23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1" t="s">
        <v>55</v>
      </c>
      <c r="B140" s="65" t="s">
        <v>329</v>
      </c>
      <c r="C140" s="65" t="s">
        <v>330</v>
      </c>
      <c r="D140" s="41" t="s">
        <v>331</v>
      </c>
      <c r="E140" s="41" t="s">
        <v>332</v>
      </c>
      <c r="F140" s="281"/>
      <c r="G140" s="286"/>
      <c r="H140" s="32"/>
      <c r="I140" s="244"/>
      <c r="J140" s="9"/>
      <c r="K140" s="236"/>
      <c r="L140" s="9"/>
      <c r="M140" s="9"/>
      <c r="N140" s="9"/>
      <c r="O140" s="9"/>
      <c r="P140" s="9"/>
      <c r="Q140" s="23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1">
        <v>0.0</v>
      </c>
      <c r="B141" s="246" t="s">
        <v>219</v>
      </c>
      <c r="C141" s="247" t="s">
        <v>219</v>
      </c>
      <c r="D141" s="248" t="s">
        <v>219</v>
      </c>
      <c r="E141" s="249" t="s">
        <v>349</v>
      </c>
      <c r="F141" s="281"/>
      <c r="G141" s="286"/>
      <c r="H141" s="32"/>
      <c r="I141" s="244"/>
      <c r="J141" s="9"/>
      <c r="K141" s="236"/>
      <c r="L141" s="9"/>
      <c r="M141" s="9"/>
      <c r="N141" s="9"/>
      <c r="O141" s="9"/>
      <c r="P141" s="9"/>
      <c r="Q141" s="23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1">
        <v>1.0</v>
      </c>
      <c r="B142" s="246" t="s">
        <v>219</v>
      </c>
      <c r="C142" s="247" t="s">
        <v>219</v>
      </c>
      <c r="D142" s="248" t="s">
        <v>219</v>
      </c>
      <c r="E142" s="251"/>
      <c r="F142" s="281"/>
      <c r="G142" s="9"/>
      <c r="H142" s="32"/>
      <c r="I142" s="244"/>
      <c r="J142" s="9"/>
      <c r="K142" s="236"/>
      <c r="L142" s="9"/>
      <c r="M142" s="9"/>
      <c r="N142" s="9"/>
      <c r="O142" s="9"/>
      <c r="P142" s="9"/>
      <c r="Q142" s="23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1">
        <v>2.0</v>
      </c>
      <c r="B143" s="246" t="s">
        <v>219</v>
      </c>
      <c r="C143" s="247" t="s">
        <v>219</v>
      </c>
      <c r="D143" s="248" t="s">
        <v>219</v>
      </c>
      <c r="E143" s="251"/>
      <c r="F143" s="281"/>
      <c r="G143" s="9"/>
      <c r="H143" s="32"/>
      <c r="I143" s="244"/>
      <c r="J143" s="9"/>
      <c r="K143" s="236"/>
      <c r="L143" s="9"/>
      <c r="M143" s="9"/>
      <c r="N143" s="9"/>
      <c r="O143" s="9"/>
      <c r="P143" s="9"/>
      <c r="Q143" s="23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1">
        <v>3.0</v>
      </c>
      <c r="B144" s="246" t="s">
        <v>219</v>
      </c>
      <c r="C144" s="247" t="s">
        <v>219</v>
      </c>
      <c r="D144" s="248" t="s">
        <v>219</v>
      </c>
      <c r="E144" s="251"/>
      <c r="F144" s="281"/>
      <c r="G144" s="9"/>
      <c r="H144" s="32"/>
      <c r="I144" s="244"/>
      <c r="J144" s="9"/>
      <c r="K144" s="236"/>
      <c r="L144" s="9"/>
      <c r="M144" s="9"/>
      <c r="N144" s="9"/>
      <c r="O144" s="9"/>
      <c r="P144" s="9"/>
      <c r="Q144" s="23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1">
        <v>4.0</v>
      </c>
      <c r="B145" s="246" t="s">
        <v>219</v>
      </c>
      <c r="C145" s="247" t="s">
        <v>219</v>
      </c>
      <c r="D145" s="248" t="s">
        <v>219</v>
      </c>
      <c r="E145" s="251"/>
      <c r="F145" s="281"/>
      <c r="G145" s="9"/>
      <c r="H145" s="32"/>
      <c r="I145" s="244"/>
      <c r="J145" s="9"/>
      <c r="K145" s="236"/>
      <c r="L145" s="9"/>
      <c r="M145" s="9"/>
      <c r="N145" s="9"/>
      <c r="O145" s="9"/>
      <c r="P145" s="9"/>
      <c r="Q145" s="23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1">
        <v>5.0</v>
      </c>
      <c r="B146" s="246" t="s">
        <v>219</v>
      </c>
      <c r="C146" s="247" t="s">
        <v>219</v>
      </c>
      <c r="D146" s="248" t="s">
        <v>219</v>
      </c>
      <c r="E146" s="251"/>
      <c r="F146" s="281"/>
      <c r="G146" s="24"/>
      <c r="H146" s="32"/>
      <c r="I146" s="244"/>
      <c r="J146" s="9"/>
      <c r="K146" s="236"/>
      <c r="L146" s="9"/>
      <c r="M146" s="9"/>
      <c r="N146" s="9"/>
      <c r="O146" s="9"/>
      <c r="P146" s="9"/>
      <c r="Q146" s="23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289">
        <f>'Données projet'!A140</f>
        <v>25</v>
      </c>
      <c r="B147" s="250">
        <f>'Données projet'!D140</f>
        <v>0</v>
      </c>
      <c r="C147" s="244">
        <f>'Données projet'!E140*150+SUM('Données projet'!F140:G140)*13.8+'Données projet'!H140*10</f>
        <v>10</v>
      </c>
      <c r="D147" s="257">
        <f t="shared" ref="D147:D166" si="7">B147*C147</f>
        <v>0</v>
      </c>
      <c r="E147" s="251"/>
      <c r="F147" s="260"/>
      <c r="G147" s="24"/>
      <c r="H147" s="32"/>
      <c r="I147" s="244"/>
      <c r="J147" s="9"/>
      <c r="K147" s="23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289">
        <f>'Données projet'!A141</f>
        <v>30</v>
      </c>
      <c r="B148" s="250">
        <f>'Données projet'!D141</f>
        <v>0</v>
      </c>
      <c r="C148" s="244">
        <f>'Données projet'!E141*150+SUM('Données projet'!F141:G141)*13.8+'Données projet'!H141*10</f>
        <v>10</v>
      </c>
      <c r="D148" s="257">
        <f t="shared" si="7"/>
        <v>0</v>
      </c>
      <c r="E148" s="251"/>
      <c r="F148" s="260"/>
      <c r="G148" s="24"/>
      <c r="H148" s="32"/>
      <c r="I148" s="244"/>
      <c r="J148" s="9"/>
      <c r="K148" s="23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289">
        <f>'Données projet'!A142</f>
        <v>35</v>
      </c>
      <c r="B149" s="250">
        <f>'Données projet'!D142</f>
        <v>13</v>
      </c>
      <c r="C149" s="244">
        <f>'Données projet'!E142*150+SUM('Données projet'!F142:G142)*13.8+'Données projet'!H142*10</f>
        <v>10</v>
      </c>
      <c r="D149" s="257">
        <f t="shared" si="7"/>
        <v>130</v>
      </c>
      <c r="E149" s="251"/>
      <c r="F149" s="260"/>
      <c r="G149" s="24"/>
      <c r="H149" s="32"/>
      <c r="I149" s="244"/>
      <c r="J149" s="9"/>
      <c r="K149" s="23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289">
        <f>'Données projet'!A143</f>
        <v>40</v>
      </c>
      <c r="B150" s="250">
        <f>'Données projet'!D143</f>
        <v>14</v>
      </c>
      <c r="C150" s="244">
        <f>'Données projet'!E143*150+SUM('Données projet'!F143:G143)*13.8+'Données projet'!H143*10</f>
        <v>10</v>
      </c>
      <c r="D150" s="257">
        <f t="shared" si="7"/>
        <v>140</v>
      </c>
      <c r="E150" s="251"/>
      <c r="F150" s="260"/>
      <c r="G150" s="24"/>
      <c r="H150" s="32"/>
      <c r="I150" s="244"/>
      <c r="J150" s="9"/>
      <c r="K150" s="23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289">
        <f>'Données projet'!A144</f>
        <v>45</v>
      </c>
      <c r="B151" s="250">
        <f>'Données projet'!D144</f>
        <v>14</v>
      </c>
      <c r="C151" s="244">
        <f>'Données projet'!E144*150+SUM('Données projet'!F144:G144)*13.8+'Données projet'!H144*10</f>
        <v>38</v>
      </c>
      <c r="D151" s="257">
        <f t="shared" si="7"/>
        <v>532</v>
      </c>
      <c r="E151" s="251"/>
      <c r="F151" s="260"/>
      <c r="G151" s="24"/>
      <c r="H151" s="32"/>
      <c r="I151" s="244"/>
      <c r="J151" s="9"/>
      <c r="K151" s="23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289">
        <f>'Données projet'!A145</f>
        <v>50</v>
      </c>
      <c r="B152" s="250">
        <f>'Données projet'!D145</f>
        <v>14</v>
      </c>
      <c r="C152" s="244">
        <f>'Données projet'!E145*150+SUM('Données projet'!F145:G145)*13.8+'Données projet'!H145*10</f>
        <v>38</v>
      </c>
      <c r="D152" s="257">
        <f t="shared" si="7"/>
        <v>532</v>
      </c>
      <c r="E152" s="251"/>
      <c r="F152" s="260"/>
      <c r="G152" s="24"/>
      <c r="H152" s="32"/>
      <c r="I152" s="244"/>
      <c r="J152" s="9"/>
      <c r="K152" s="23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289">
        <f>'Données projet'!A146</f>
        <v>55</v>
      </c>
      <c r="B153" s="250">
        <f>'Données projet'!D146</f>
        <v>14</v>
      </c>
      <c r="C153" s="244">
        <f>'Données projet'!E146*150+SUM('Données projet'!F146:G146)*13.8+'Données projet'!H146*10</f>
        <v>52</v>
      </c>
      <c r="D153" s="257">
        <f t="shared" si="7"/>
        <v>728</v>
      </c>
      <c r="E153" s="251"/>
      <c r="F153" s="260"/>
      <c r="G153" s="273"/>
      <c r="H153" s="32"/>
      <c r="I153" s="244"/>
      <c r="J153" s="9"/>
      <c r="K153" s="23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289">
        <f>'Données projet'!A147</f>
        <v>60</v>
      </c>
      <c r="B154" s="250">
        <f>'Données projet'!D147</f>
        <v>14</v>
      </c>
      <c r="C154" s="244">
        <f>'Données projet'!E147*150+SUM('Données projet'!F147:G147)*13.8+'Données projet'!H147*10</f>
        <v>52</v>
      </c>
      <c r="D154" s="257">
        <f t="shared" si="7"/>
        <v>728</v>
      </c>
      <c r="E154" s="251"/>
      <c r="F154" s="260"/>
      <c r="G154" s="273"/>
      <c r="H154" s="32"/>
      <c r="I154" s="244"/>
      <c r="J154" s="9"/>
      <c r="K154" s="23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289">
        <f>'Données projet'!A148</f>
        <v>65</v>
      </c>
      <c r="B155" s="250">
        <f>'Données projet'!D148</f>
        <v>14</v>
      </c>
      <c r="C155" s="244">
        <f>'Données projet'!E148*150+SUM('Données projet'!F148:G148)*13.8+'Données projet'!H148*10</f>
        <v>66</v>
      </c>
      <c r="D155" s="257">
        <f t="shared" si="7"/>
        <v>924</v>
      </c>
      <c r="E155" s="251"/>
      <c r="F155" s="260"/>
      <c r="G155" s="273"/>
      <c r="H155" s="32"/>
      <c r="I155" s="244"/>
      <c r="J155" s="9"/>
      <c r="K155" s="23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289">
        <f>'Données projet'!A149</f>
        <v>70</v>
      </c>
      <c r="B156" s="250">
        <f>'Données projet'!D149</f>
        <v>14</v>
      </c>
      <c r="C156" s="244">
        <f>'Données projet'!E149*150+SUM('Données projet'!F149:G149)*13.8+'Données projet'!H149*10</f>
        <v>66</v>
      </c>
      <c r="D156" s="257">
        <f t="shared" si="7"/>
        <v>924</v>
      </c>
      <c r="E156" s="251"/>
      <c r="F156" s="260"/>
      <c r="G156" s="273"/>
      <c r="H156" s="32"/>
      <c r="I156" s="244"/>
      <c r="J156" s="9"/>
      <c r="K156" s="23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289">
        <f>'Données projet'!A150</f>
        <v>75</v>
      </c>
      <c r="B157" s="250">
        <f>'Données projet'!D150</f>
        <v>14</v>
      </c>
      <c r="C157" s="244">
        <f>'Données projet'!E150*150+SUM('Données projet'!F150:G150)*13.8+'Données projet'!H150*10</f>
        <v>80</v>
      </c>
      <c r="D157" s="257">
        <f t="shared" si="7"/>
        <v>1120</v>
      </c>
      <c r="E157" s="251"/>
      <c r="F157" s="260"/>
      <c r="G157" s="273"/>
      <c r="H157" s="32"/>
      <c r="I157" s="244"/>
      <c r="J157" s="9"/>
      <c r="K157" s="23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289">
        <f>'Données projet'!A151</f>
        <v>80</v>
      </c>
      <c r="B158" s="250">
        <f>'Données projet'!D151</f>
        <v>14</v>
      </c>
      <c r="C158" s="244">
        <f>'Données projet'!E151*150+SUM('Données projet'!F151:G151)*13.8+'Données projet'!H151*10</f>
        <v>80</v>
      </c>
      <c r="D158" s="257">
        <f t="shared" si="7"/>
        <v>1120</v>
      </c>
      <c r="E158" s="251"/>
      <c r="F158" s="260"/>
      <c r="G158" s="273"/>
      <c r="H158" s="32"/>
      <c r="I158" s="244"/>
      <c r="J158" s="9"/>
      <c r="K158" s="23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289">
        <f>'Données projet'!A152</f>
        <v>85</v>
      </c>
      <c r="B159" s="250">
        <f>'Données projet'!D152</f>
        <v>14</v>
      </c>
      <c r="C159" s="244">
        <f>'Données projet'!E152*150+SUM('Données projet'!F152:G152)*13.8+'Données projet'!H152*10</f>
        <v>94</v>
      </c>
      <c r="D159" s="257">
        <f t="shared" si="7"/>
        <v>1316</v>
      </c>
      <c r="E159" s="251"/>
      <c r="F159" s="260"/>
      <c r="G159" s="273"/>
      <c r="H159" s="32"/>
      <c r="I159" s="244"/>
      <c r="J159" s="9"/>
      <c r="K159" s="23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289">
        <f>'Données projet'!A153</f>
        <v>90</v>
      </c>
      <c r="B160" s="250">
        <f>'Données projet'!D153</f>
        <v>14</v>
      </c>
      <c r="C160" s="244">
        <f>'Données projet'!E153*150+SUM('Données projet'!F153:G153)*13.8+'Données projet'!H153*10</f>
        <v>94</v>
      </c>
      <c r="D160" s="257">
        <f t="shared" si="7"/>
        <v>1316</v>
      </c>
      <c r="E160" s="251"/>
      <c r="F160" s="260"/>
      <c r="G160" s="273"/>
      <c r="H160" s="32"/>
      <c r="I160" s="244"/>
      <c r="J160" s="9"/>
      <c r="K160" s="23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289">
        <f>'Données projet'!A154</f>
        <v>100</v>
      </c>
      <c r="B161" s="250">
        <f>'Données projet'!D154</f>
        <v>14</v>
      </c>
      <c r="C161" s="244">
        <f>'Données projet'!E154*150+SUM('Données projet'!F154:G154)*13.8+'Données projet'!H154*10</f>
        <v>108</v>
      </c>
      <c r="D161" s="257">
        <f t="shared" si="7"/>
        <v>1512</v>
      </c>
      <c r="E161" s="251"/>
      <c r="F161" s="260"/>
      <c r="G161" s="273"/>
      <c r="H161" s="32"/>
      <c r="I161" s="244"/>
      <c r="J161" s="9"/>
      <c r="K161" s="23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289">
        <f>'Données projet'!A155</f>
        <v>110</v>
      </c>
      <c r="B162" s="250">
        <f>'Données projet'!D155</f>
        <v>13</v>
      </c>
      <c r="C162" s="244">
        <f>'Données projet'!E155*150+SUM('Données projet'!F155:G155)*13.8+'Données projet'!H155*10</f>
        <v>108</v>
      </c>
      <c r="D162" s="257">
        <f t="shared" si="7"/>
        <v>1404</v>
      </c>
      <c r="E162" s="251"/>
      <c r="F162" s="260"/>
      <c r="G162" s="273"/>
      <c r="H162" s="32"/>
      <c r="I162" s="244"/>
      <c r="J162" s="9"/>
      <c r="K162" s="23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289">
        <f>'Données projet'!A156</f>
        <v>120</v>
      </c>
      <c r="B163" s="250">
        <f>'Données projet'!D156</f>
        <v>12</v>
      </c>
      <c r="C163" s="244">
        <f>'Données projet'!E156*150+SUM('Données projet'!F156:G156)*13.8+'Données projet'!H156*10</f>
        <v>122</v>
      </c>
      <c r="D163" s="257">
        <f t="shared" si="7"/>
        <v>1464</v>
      </c>
      <c r="E163" s="251"/>
      <c r="F163" s="260"/>
      <c r="G163" s="273"/>
      <c r="H163" s="32"/>
      <c r="I163" s="244"/>
      <c r="J163" s="9"/>
      <c r="K163" s="23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289">
        <f>'Données projet'!A157</f>
        <v>130</v>
      </c>
      <c r="B164" s="250">
        <f>'Données projet'!D157</f>
        <v>10</v>
      </c>
      <c r="C164" s="244">
        <f>'Données projet'!E157*150+SUM('Données projet'!F157:G157)*13.8+'Données projet'!H157*10</f>
        <v>122</v>
      </c>
      <c r="D164" s="257">
        <f t="shared" si="7"/>
        <v>1220</v>
      </c>
      <c r="E164" s="251"/>
      <c r="F164" s="260"/>
      <c r="G164" s="273"/>
      <c r="H164" s="32"/>
      <c r="I164" s="244"/>
      <c r="J164" s="9"/>
      <c r="K164" s="23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289">
        <f>'Données projet'!A158</f>
        <v>140</v>
      </c>
      <c r="B165" s="250">
        <f>'Données projet'!D158</f>
        <v>8</v>
      </c>
      <c r="C165" s="244">
        <f>'Données projet'!E158*150+SUM('Données projet'!F158:G158)*13.8+'Données projet'!H158*10</f>
        <v>122</v>
      </c>
      <c r="D165" s="257">
        <f t="shared" si="7"/>
        <v>976</v>
      </c>
      <c r="E165" s="251"/>
      <c r="F165" s="260"/>
      <c r="G165" s="273"/>
      <c r="H165" s="32"/>
      <c r="I165" s="244"/>
      <c r="J165" s="9"/>
      <c r="K165" s="23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289">
        <f>'Données projet'!A159</f>
        <v>150</v>
      </c>
      <c r="B166" s="250">
        <f>'Données projet'!D159</f>
        <v>217</v>
      </c>
      <c r="C166" s="244">
        <f>'Données projet'!E159*150+SUM('Données projet'!F159:G159)*13.8+'Données projet'!H159*10</f>
        <v>136</v>
      </c>
      <c r="D166" s="257">
        <f t="shared" si="7"/>
        <v>29512</v>
      </c>
      <c r="E166" s="251"/>
      <c r="F166" s="260"/>
      <c r="G166" s="273"/>
      <c r="H166" s="32"/>
      <c r="I166" s="244"/>
      <c r="J166" s="9"/>
      <c r="K166" s="23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38"/>
      <c r="G167" s="273"/>
      <c r="H167" s="32"/>
      <c r="I167" s="244"/>
      <c r="J167" s="9"/>
      <c r="K167" s="23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38"/>
      <c r="G168" s="273"/>
      <c r="H168" s="32"/>
      <c r="I168" s="244"/>
      <c r="J168" s="9"/>
      <c r="K168" s="23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7" t="s">
        <v>26</v>
      </c>
      <c r="B169" s="242" t="str">
        <f>IF('Données projet'!B14="","",'Données projet'!B14)</f>
        <v>Chêne sessile</v>
      </c>
      <c r="C169" s="9"/>
      <c r="D169" s="9"/>
      <c r="E169" s="9"/>
      <c r="F169" s="238"/>
      <c r="G169" s="273"/>
      <c r="H169" s="32"/>
      <c r="I169" s="244"/>
      <c r="J169" s="9"/>
      <c r="K169" s="23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38"/>
      <c r="G170" s="273"/>
      <c r="H170" s="32"/>
      <c r="I170" s="244"/>
      <c r="J170" s="9"/>
      <c r="K170" s="23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1" t="s">
        <v>55</v>
      </c>
      <c r="B171" s="65" t="s">
        <v>329</v>
      </c>
      <c r="C171" s="65" t="s">
        <v>330</v>
      </c>
      <c r="D171" s="41" t="s">
        <v>331</v>
      </c>
      <c r="E171" s="41" t="s">
        <v>332</v>
      </c>
      <c r="F171" s="281"/>
      <c r="G171" s="273"/>
      <c r="H171" s="32"/>
      <c r="I171" s="244"/>
      <c r="J171" s="9"/>
      <c r="K171" s="23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1">
        <v>0.0</v>
      </c>
      <c r="B172" s="246" t="s">
        <v>219</v>
      </c>
      <c r="C172" s="247" t="s">
        <v>219</v>
      </c>
      <c r="D172" s="248" t="s">
        <v>219</v>
      </c>
      <c r="E172" s="249" t="s">
        <v>349</v>
      </c>
      <c r="F172" s="281"/>
      <c r="G172" s="273"/>
      <c r="H172" s="32"/>
      <c r="I172" s="244"/>
      <c r="J172" s="9"/>
      <c r="K172" s="23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1">
        <v>1.0</v>
      </c>
      <c r="B173" s="246" t="s">
        <v>219</v>
      </c>
      <c r="C173" s="247" t="s">
        <v>219</v>
      </c>
      <c r="D173" s="248" t="s">
        <v>219</v>
      </c>
      <c r="E173" s="251"/>
      <c r="F173" s="281"/>
      <c r="G173" s="9"/>
      <c r="H173" s="32"/>
      <c r="I173" s="244"/>
      <c r="J173" s="9"/>
      <c r="K173" s="23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1">
        <v>2.0</v>
      </c>
      <c r="B174" s="246" t="s">
        <v>219</v>
      </c>
      <c r="C174" s="247" t="s">
        <v>219</v>
      </c>
      <c r="D174" s="248" t="s">
        <v>219</v>
      </c>
      <c r="E174" s="251"/>
      <c r="F174" s="281"/>
      <c r="G174" s="9"/>
      <c r="H174" s="32"/>
      <c r="I174" s="244"/>
      <c r="J174" s="9"/>
      <c r="K174" s="23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1">
        <v>3.0</v>
      </c>
      <c r="B175" s="246" t="s">
        <v>219</v>
      </c>
      <c r="C175" s="247" t="s">
        <v>219</v>
      </c>
      <c r="D175" s="248" t="s">
        <v>219</v>
      </c>
      <c r="E175" s="251"/>
      <c r="F175" s="281"/>
      <c r="G175" s="9"/>
      <c r="H175" s="32"/>
      <c r="I175" s="244"/>
      <c r="J175" s="9"/>
      <c r="K175" s="23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1">
        <v>4.0</v>
      </c>
      <c r="B176" s="246" t="s">
        <v>219</v>
      </c>
      <c r="C176" s="247" t="s">
        <v>219</v>
      </c>
      <c r="D176" s="248" t="s">
        <v>219</v>
      </c>
      <c r="E176" s="251"/>
      <c r="F176" s="281"/>
      <c r="G176" s="9"/>
      <c r="H176" s="32"/>
      <c r="I176" s="244"/>
      <c r="J176" s="9"/>
      <c r="K176" s="23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1">
        <v>5.0</v>
      </c>
      <c r="B177" s="246" t="s">
        <v>219</v>
      </c>
      <c r="C177" s="247" t="s">
        <v>219</v>
      </c>
      <c r="D177" s="248" t="s">
        <v>219</v>
      </c>
      <c r="E177" s="251"/>
      <c r="F177" s="281"/>
      <c r="G177" s="24"/>
      <c r="H177" s="32"/>
      <c r="I177" s="244"/>
      <c r="J177" s="9"/>
      <c r="K177" s="23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50">
        <f>'Données projet'!A166</f>
        <v>20</v>
      </c>
      <c r="B178" s="256">
        <f>'Données projet'!D166</f>
        <v>0</v>
      </c>
      <c r="C178" s="251">
        <f>'Données projet'!E166*150+SUM('Données projet'!F166:G166)*13.8+'Données projet'!H166*10</f>
        <v>10</v>
      </c>
      <c r="D178" s="253">
        <f t="shared" ref="D178:D197" si="8">B178*C178</f>
        <v>0</v>
      </c>
      <c r="E178" s="251"/>
      <c r="F178" s="285"/>
      <c r="G178" s="24"/>
      <c r="H178" s="32"/>
      <c r="I178" s="244"/>
      <c r="J178" s="9"/>
      <c r="K178" s="23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50">
        <f>'Données projet'!A167</f>
        <v>25</v>
      </c>
      <c r="B179" s="256">
        <f>'Données projet'!D167</f>
        <v>8</v>
      </c>
      <c r="C179" s="251">
        <f>'Données projet'!E167*150+SUM('Données projet'!F167:G167)*13.8+'Données projet'!H167*10</f>
        <v>10</v>
      </c>
      <c r="D179" s="253">
        <f t="shared" si="8"/>
        <v>80</v>
      </c>
      <c r="E179" s="251"/>
      <c r="F179" s="285"/>
      <c r="G179" s="24"/>
      <c r="H179" s="32"/>
      <c r="I179" s="244"/>
      <c r="J179" s="9"/>
      <c r="K179" s="23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50">
        <f>'Données projet'!A168</f>
        <v>30</v>
      </c>
      <c r="B180" s="256">
        <f>'Données projet'!D168</f>
        <v>21</v>
      </c>
      <c r="C180" s="251">
        <f>'Données projet'!E168*150+SUM('Données projet'!F168:G168)*13.8+'Données projet'!H168*10</f>
        <v>10</v>
      </c>
      <c r="D180" s="253">
        <f t="shared" si="8"/>
        <v>210</v>
      </c>
      <c r="E180" s="251"/>
      <c r="F180" s="285"/>
      <c r="G180" s="24"/>
      <c r="H180" s="32"/>
      <c r="I180" s="244"/>
      <c r="J180" s="9"/>
      <c r="K180" s="23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50">
        <f>'Données projet'!A169</f>
        <v>35</v>
      </c>
      <c r="B181" s="256">
        <f>'Données projet'!D169</f>
        <v>21</v>
      </c>
      <c r="C181" s="251">
        <f>'Données projet'!E169*150+SUM('Données projet'!F169:G169)*13.8+'Données projet'!H169*10</f>
        <v>10</v>
      </c>
      <c r="D181" s="253">
        <f t="shared" si="8"/>
        <v>210</v>
      </c>
      <c r="E181" s="251"/>
      <c r="F181" s="285"/>
      <c r="G181" s="24"/>
      <c r="H181" s="32"/>
      <c r="I181" s="244"/>
      <c r="J181" s="9"/>
      <c r="K181" s="23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50">
        <f>'Données projet'!A170</f>
        <v>40</v>
      </c>
      <c r="B182" s="256">
        <f>'Données projet'!D170</f>
        <v>21</v>
      </c>
      <c r="C182" s="251">
        <f>'Données projet'!E170*150+SUM('Données projet'!F170:G170)*13.8+'Données projet'!H170*10</f>
        <v>38</v>
      </c>
      <c r="D182" s="253">
        <f t="shared" si="8"/>
        <v>798</v>
      </c>
      <c r="E182" s="251"/>
      <c r="F182" s="285"/>
      <c r="G182" s="24"/>
      <c r="H182" s="32"/>
      <c r="I182" s="244"/>
      <c r="J182" s="9"/>
      <c r="K182" s="23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50">
        <f>'Données projet'!A171</f>
        <v>45</v>
      </c>
      <c r="B183" s="256">
        <f>'Données projet'!D171</f>
        <v>21</v>
      </c>
      <c r="C183" s="251">
        <f>'Données projet'!E171*150+SUM('Données projet'!F171:G171)*13.8+'Données projet'!H171*10</f>
        <v>38</v>
      </c>
      <c r="D183" s="253">
        <f t="shared" si="8"/>
        <v>798</v>
      </c>
      <c r="E183" s="251"/>
      <c r="F183" s="285"/>
      <c r="G183" s="24"/>
      <c r="H183" s="32"/>
      <c r="I183" s="244"/>
      <c r="J183" s="9"/>
      <c r="K183" s="23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50">
        <f>'Données projet'!A172</f>
        <v>50</v>
      </c>
      <c r="B184" s="256">
        <f>'Données projet'!D172</f>
        <v>21</v>
      </c>
      <c r="C184" s="251">
        <f>'Données projet'!E172*150+SUM('Données projet'!F172:G172)*13.8+'Données projet'!H172*10</f>
        <v>52</v>
      </c>
      <c r="D184" s="253">
        <f t="shared" si="8"/>
        <v>1092</v>
      </c>
      <c r="E184" s="251"/>
      <c r="F184" s="285"/>
      <c r="G184" s="286"/>
      <c r="H184" s="32"/>
      <c r="I184" s="244"/>
      <c r="J184" s="9"/>
      <c r="K184" s="23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50">
        <f>'Données projet'!A173</f>
        <v>55</v>
      </c>
      <c r="B185" s="256">
        <f>'Données projet'!D173</f>
        <v>21</v>
      </c>
      <c r="C185" s="251">
        <f>'Données projet'!E173*150+SUM('Données projet'!F173:G173)*13.8+'Données projet'!H173*10</f>
        <v>52</v>
      </c>
      <c r="D185" s="253">
        <f t="shared" si="8"/>
        <v>1092</v>
      </c>
      <c r="E185" s="251"/>
      <c r="F185" s="285"/>
      <c r="G185" s="286"/>
      <c r="H185" s="32"/>
      <c r="I185" s="244"/>
      <c r="J185" s="9"/>
      <c r="K185" s="23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50">
        <f>'Données projet'!A174</f>
        <v>60</v>
      </c>
      <c r="B186" s="256">
        <f>'Données projet'!D174</f>
        <v>21</v>
      </c>
      <c r="C186" s="251">
        <f>'Données projet'!E174*150+SUM('Données projet'!F174:G174)*13.8+'Données projet'!H174*10</f>
        <v>66</v>
      </c>
      <c r="D186" s="253">
        <f t="shared" si="8"/>
        <v>1386</v>
      </c>
      <c r="E186" s="251"/>
      <c r="F186" s="285"/>
      <c r="G186" s="286"/>
      <c r="H186" s="32"/>
      <c r="I186" s="244"/>
      <c r="J186" s="9"/>
      <c r="K186" s="23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50">
        <f>'Données projet'!A175</f>
        <v>65</v>
      </c>
      <c r="B187" s="256">
        <f>'Données projet'!D175</f>
        <v>21</v>
      </c>
      <c r="C187" s="251">
        <f>'Données projet'!E175*150+SUM('Données projet'!F175:G175)*13.8+'Données projet'!H175*10</f>
        <v>66</v>
      </c>
      <c r="D187" s="253">
        <f t="shared" si="8"/>
        <v>1386</v>
      </c>
      <c r="E187" s="251"/>
      <c r="F187" s="285"/>
      <c r="G187" s="286"/>
      <c r="H187" s="32"/>
      <c r="I187" s="244"/>
      <c r="J187" s="9"/>
      <c r="K187" s="23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50">
        <f>'Données projet'!A176</f>
        <v>70</v>
      </c>
      <c r="B188" s="256">
        <f>'Données projet'!D176</f>
        <v>21</v>
      </c>
      <c r="C188" s="251">
        <f>'Données projet'!E176*150+SUM('Données projet'!F176:G176)*13.8+'Données projet'!H176*10</f>
        <v>80</v>
      </c>
      <c r="D188" s="253">
        <f t="shared" si="8"/>
        <v>1680</v>
      </c>
      <c r="E188" s="251"/>
      <c r="F188" s="285"/>
      <c r="G188" s="286"/>
      <c r="H188" s="32"/>
      <c r="I188" s="244"/>
      <c r="J188" s="9"/>
      <c r="K188" s="23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50">
        <f>'Données projet'!A177</f>
        <v>75</v>
      </c>
      <c r="B189" s="256">
        <f>'Données projet'!D177</f>
        <v>21</v>
      </c>
      <c r="C189" s="251">
        <f>'Données projet'!E177*150+SUM('Données projet'!F177:G177)*13.8+'Données projet'!H177*10</f>
        <v>80</v>
      </c>
      <c r="D189" s="253">
        <f t="shared" si="8"/>
        <v>1680</v>
      </c>
      <c r="E189" s="251"/>
      <c r="F189" s="285"/>
      <c r="G189" s="286"/>
      <c r="H189" s="32"/>
      <c r="I189" s="244"/>
      <c r="J189" s="9"/>
      <c r="K189" s="23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50">
        <f>'Données projet'!A178</f>
        <v>80</v>
      </c>
      <c r="B190" s="256">
        <f>'Données projet'!D178</f>
        <v>21</v>
      </c>
      <c r="C190" s="251">
        <f>'Données projet'!E178*150+SUM('Données projet'!F178:G178)*13.8+'Données projet'!H178*10</f>
        <v>94</v>
      </c>
      <c r="D190" s="253">
        <f t="shared" si="8"/>
        <v>1974</v>
      </c>
      <c r="E190" s="251"/>
      <c r="F190" s="285"/>
      <c r="G190" s="286"/>
      <c r="H190" s="32"/>
      <c r="I190" s="244"/>
      <c r="J190" s="9"/>
      <c r="K190" s="23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50">
        <f>'Données projet'!A179</f>
        <v>85</v>
      </c>
      <c r="B191" s="256">
        <f>'Données projet'!D179</f>
        <v>21</v>
      </c>
      <c r="C191" s="251">
        <f>'Données projet'!E179*150+SUM('Données projet'!F179:G179)*13.8+'Données projet'!H179*10</f>
        <v>94</v>
      </c>
      <c r="D191" s="253">
        <f t="shared" si="8"/>
        <v>1974</v>
      </c>
      <c r="E191" s="251"/>
      <c r="F191" s="285"/>
      <c r="G191" s="286"/>
      <c r="H191" s="32"/>
      <c r="I191" s="244"/>
      <c r="J191" s="9"/>
      <c r="K191" s="23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50">
        <f>'Données projet'!A180</f>
        <v>90</v>
      </c>
      <c r="B192" s="256">
        <f>'Données projet'!D180</f>
        <v>21</v>
      </c>
      <c r="C192" s="251">
        <f>'Données projet'!E180*150+SUM('Données projet'!F180:G180)*13.8+'Données projet'!H180*10</f>
        <v>108</v>
      </c>
      <c r="D192" s="253">
        <f t="shared" si="8"/>
        <v>2268</v>
      </c>
      <c r="E192" s="251"/>
      <c r="F192" s="285"/>
      <c r="G192" s="286"/>
      <c r="H192" s="32"/>
      <c r="I192" s="244"/>
      <c r="J192" s="9"/>
      <c r="K192" s="23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50">
        <f>'Données projet'!A181</f>
        <v>100</v>
      </c>
      <c r="B193" s="256">
        <f>'Données projet'!D181</f>
        <v>21</v>
      </c>
      <c r="C193" s="251">
        <f>'Données projet'!E181*150+SUM('Données projet'!F181:G181)*13.8+'Données projet'!H181*10</f>
        <v>108</v>
      </c>
      <c r="D193" s="253">
        <f t="shared" si="8"/>
        <v>2268</v>
      </c>
      <c r="E193" s="251"/>
      <c r="F193" s="285"/>
      <c r="G193" s="286"/>
      <c r="H193" s="32"/>
      <c r="I193" s="244"/>
      <c r="J193" s="9"/>
      <c r="K193" s="23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50">
        <f>'Données projet'!A182</f>
        <v>110</v>
      </c>
      <c r="B194" s="256">
        <f>'Données projet'!D182</f>
        <v>19</v>
      </c>
      <c r="C194" s="251">
        <f>'Données projet'!E182*150+SUM('Données projet'!F182:G182)*13.8+'Données projet'!H182*10</f>
        <v>122</v>
      </c>
      <c r="D194" s="253">
        <f t="shared" si="8"/>
        <v>2318</v>
      </c>
      <c r="E194" s="251"/>
      <c r="F194" s="285"/>
      <c r="G194" s="286"/>
      <c r="H194" s="32"/>
      <c r="I194" s="244"/>
      <c r="J194" s="9"/>
      <c r="K194" s="23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50">
        <f>'Données projet'!A183</f>
        <v>120</v>
      </c>
      <c r="B195" s="256">
        <f>'Données projet'!D183</f>
        <v>17</v>
      </c>
      <c r="C195" s="251">
        <f>'Données projet'!E183*150+SUM('Données projet'!F183:G183)*13.8+'Données projet'!H183*10</f>
        <v>122</v>
      </c>
      <c r="D195" s="253">
        <f t="shared" si="8"/>
        <v>2074</v>
      </c>
      <c r="E195" s="251"/>
      <c r="F195" s="285"/>
      <c r="G195" s="286"/>
      <c r="H195" s="32"/>
      <c r="I195" s="244"/>
      <c r="J195" s="9"/>
      <c r="K195" s="23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50">
        <f>'Données projet'!A184</f>
        <v>130</v>
      </c>
      <c r="B196" s="256">
        <f>'Données projet'!D184</f>
        <v>15</v>
      </c>
      <c r="C196" s="251">
        <f>'Données projet'!E184*150+SUM('Données projet'!F184:G184)*13.8+'Données projet'!H184*10</f>
        <v>122</v>
      </c>
      <c r="D196" s="253">
        <f t="shared" si="8"/>
        <v>1830</v>
      </c>
      <c r="E196" s="251"/>
      <c r="F196" s="285"/>
      <c r="G196" s="286"/>
      <c r="H196" s="32"/>
      <c r="I196" s="244"/>
      <c r="J196" s="9"/>
      <c r="K196" s="23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50">
        <f>'Données projet'!A185</f>
        <v>150</v>
      </c>
      <c r="B197" s="256">
        <f>'Données projet'!D185</f>
        <v>280</v>
      </c>
      <c r="C197" s="251">
        <f>'Données projet'!E185*150+SUM('Données projet'!F185:G185)*13.8+'Données projet'!H185*10</f>
        <v>136</v>
      </c>
      <c r="D197" s="253">
        <f t="shared" si="8"/>
        <v>38080</v>
      </c>
      <c r="E197" s="251"/>
      <c r="F197" s="285"/>
      <c r="G197" s="286"/>
      <c r="H197" s="32"/>
      <c r="I197" s="244"/>
      <c r="J197" s="9"/>
      <c r="K197" s="23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38"/>
      <c r="G198" s="286"/>
      <c r="H198" s="32"/>
      <c r="I198" s="244"/>
      <c r="J198" s="9"/>
      <c r="K198" s="23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38"/>
      <c r="G199" s="286"/>
      <c r="H199" s="32"/>
      <c r="I199" s="244"/>
      <c r="J199" s="9"/>
      <c r="K199" s="23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7" t="s">
        <v>28</v>
      </c>
      <c r="B200" s="242" t="str">
        <f>IF('Données projet'!$B$15="","",'Données projet'!$B$15)</f>
        <v>Châtaignier</v>
      </c>
      <c r="C200" s="9"/>
      <c r="D200" s="9"/>
      <c r="E200" s="9"/>
      <c r="F200" s="238"/>
      <c r="G200" s="286"/>
      <c r="H200" s="32"/>
      <c r="I200" s="244"/>
      <c r="J200" s="9"/>
      <c r="K200" s="23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7"/>
      <c r="B201" s="9"/>
      <c r="C201" s="9"/>
      <c r="D201" s="9"/>
      <c r="E201" s="9"/>
      <c r="F201" s="238"/>
      <c r="G201" s="286"/>
      <c r="H201" s="32"/>
      <c r="I201" s="244"/>
      <c r="J201" s="9"/>
      <c r="K201" s="23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1" t="s">
        <v>55</v>
      </c>
      <c r="B202" s="65" t="s">
        <v>329</v>
      </c>
      <c r="C202" s="65" t="s">
        <v>330</v>
      </c>
      <c r="D202" s="41" t="s">
        <v>331</v>
      </c>
      <c r="E202" s="41" t="s">
        <v>332</v>
      </c>
      <c r="F202" s="281"/>
      <c r="G202" s="286"/>
      <c r="H202" s="32"/>
      <c r="I202" s="244"/>
      <c r="J202" s="9"/>
      <c r="K202" s="23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1">
        <v>0.0</v>
      </c>
      <c r="B203" s="246" t="s">
        <v>219</v>
      </c>
      <c r="C203" s="247" t="s">
        <v>219</v>
      </c>
      <c r="D203" s="248" t="s">
        <v>219</v>
      </c>
      <c r="E203" s="249" t="s">
        <v>350</v>
      </c>
      <c r="F203" s="281"/>
      <c r="G203" s="286"/>
      <c r="H203" s="32"/>
      <c r="I203" s="244"/>
      <c r="J203" s="9"/>
      <c r="K203" s="23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1">
        <v>1.0</v>
      </c>
      <c r="B204" s="246" t="s">
        <v>219</v>
      </c>
      <c r="C204" s="247" t="s">
        <v>219</v>
      </c>
      <c r="D204" s="248" t="s">
        <v>219</v>
      </c>
      <c r="E204" s="251"/>
      <c r="F204" s="281"/>
      <c r="G204" s="9"/>
      <c r="H204" s="32"/>
      <c r="I204" s="244"/>
      <c r="J204" s="9"/>
      <c r="K204" s="23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1">
        <v>2.0</v>
      </c>
      <c r="B205" s="246" t="s">
        <v>219</v>
      </c>
      <c r="C205" s="247" t="s">
        <v>219</v>
      </c>
      <c r="D205" s="248" t="s">
        <v>219</v>
      </c>
      <c r="E205" s="251"/>
      <c r="F205" s="281"/>
      <c r="G205" s="9"/>
      <c r="H205" s="32"/>
      <c r="I205" s="244"/>
      <c r="J205" s="9"/>
      <c r="K205" s="23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1">
        <v>3.0</v>
      </c>
      <c r="B206" s="246" t="s">
        <v>219</v>
      </c>
      <c r="C206" s="247" t="s">
        <v>219</v>
      </c>
      <c r="D206" s="248" t="s">
        <v>219</v>
      </c>
      <c r="E206" s="251"/>
      <c r="F206" s="281"/>
      <c r="G206" s="9"/>
      <c r="H206" s="32"/>
      <c r="I206" s="244"/>
      <c r="J206" s="9"/>
      <c r="K206" s="23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1">
        <v>4.0</v>
      </c>
      <c r="B207" s="246" t="s">
        <v>219</v>
      </c>
      <c r="C207" s="247" t="s">
        <v>219</v>
      </c>
      <c r="D207" s="248" t="s">
        <v>219</v>
      </c>
      <c r="E207" s="251"/>
      <c r="F207" s="281"/>
      <c r="G207" s="9"/>
      <c r="H207" s="32"/>
      <c r="I207" s="244"/>
      <c r="J207" s="9"/>
      <c r="K207" s="23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1">
        <v>5.0</v>
      </c>
      <c r="B208" s="246" t="s">
        <v>219</v>
      </c>
      <c r="C208" s="247" t="s">
        <v>219</v>
      </c>
      <c r="D208" s="248" t="s">
        <v>219</v>
      </c>
      <c r="E208" s="251"/>
      <c r="F208" s="281"/>
      <c r="G208" s="24"/>
      <c r="H208" s="32"/>
      <c r="I208" s="244"/>
      <c r="J208" s="9"/>
      <c r="K208" s="23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50">
        <f>'Données projet'!A192</f>
        <v>25</v>
      </c>
      <c r="B209" s="256">
        <f>'Données projet'!D192</f>
        <v>0</v>
      </c>
      <c r="C209" s="251">
        <f>'Données projet'!E192*100+SUM('Données projet'!F192:G192)*13.8+'Données projet'!H192*10</f>
        <v>10</v>
      </c>
      <c r="D209" s="253">
        <f t="shared" ref="D209:D228" si="9">B209*C209</f>
        <v>0</v>
      </c>
      <c r="E209" s="251"/>
      <c r="F209" s="285"/>
      <c r="G209" s="24"/>
      <c r="H209" s="32"/>
      <c r="I209" s="244"/>
      <c r="J209" s="9"/>
      <c r="K209" s="23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50">
        <f>'Données projet'!A193</f>
        <v>30</v>
      </c>
      <c r="B210" s="256">
        <f>'Données projet'!D193</f>
        <v>12</v>
      </c>
      <c r="C210" s="251">
        <f>'Données projet'!E193*100+SUM('Données projet'!F193:G193)*13.8+'Données projet'!H193*10</f>
        <v>28</v>
      </c>
      <c r="D210" s="253">
        <f t="shared" si="9"/>
        <v>336</v>
      </c>
      <c r="E210" s="251"/>
      <c r="F210" s="285"/>
      <c r="G210" s="24"/>
      <c r="H210" s="32"/>
      <c r="I210" s="244"/>
      <c r="J210" s="9"/>
      <c r="K210" s="23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50">
        <f>'Données projet'!A194</f>
        <v>35</v>
      </c>
      <c r="B211" s="256">
        <f>'Données projet'!D194</f>
        <v>21</v>
      </c>
      <c r="C211" s="251">
        <f>'Données projet'!E194*100+SUM('Données projet'!F194:G194)*13.8+'Données projet'!H194*10</f>
        <v>28</v>
      </c>
      <c r="D211" s="253">
        <f t="shared" si="9"/>
        <v>588</v>
      </c>
      <c r="E211" s="251"/>
      <c r="F211" s="285"/>
      <c r="G211" s="24"/>
      <c r="H211" s="32"/>
      <c r="I211" s="244"/>
      <c r="J211" s="9"/>
      <c r="K211" s="23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50">
        <f>'Données projet'!A195</f>
        <v>40</v>
      </c>
      <c r="B212" s="256">
        <f>'Données projet'!D195</f>
        <v>21</v>
      </c>
      <c r="C212" s="251">
        <f>'Données projet'!E195*100+SUM('Données projet'!F195:G195)*13.8+'Données projet'!H195*10</f>
        <v>28</v>
      </c>
      <c r="D212" s="253">
        <f t="shared" si="9"/>
        <v>588</v>
      </c>
      <c r="E212" s="251"/>
      <c r="F212" s="285"/>
      <c r="G212" s="24"/>
      <c r="H212" s="32"/>
      <c r="I212" s="244"/>
      <c r="J212" s="9"/>
      <c r="K212" s="23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50">
        <f>'Données projet'!A196</f>
        <v>45</v>
      </c>
      <c r="B213" s="256">
        <f>'Données projet'!D196</f>
        <v>21</v>
      </c>
      <c r="C213" s="251">
        <f>'Données projet'!E196*100+SUM('Données projet'!F196:G196)*13.8+'Données projet'!H196*10</f>
        <v>46</v>
      </c>
      <c r="D213" s="253">
        <f t="shared" si="9"/>
        <v>966</v>
      </c>
      <c r="E213" s="251"/>
      <c r="F213" s="285"/>
      <c r="G213" s="24"/>
      <c r="H213" s="32"/>
      <c r="I213" s="244"/>
      <c r="J213" s="9"/>
      <c r="K213" s="23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50">
        <f>'Données projet'!A197</f>
        <v>50</v>
      </c>
      <c r="B214" s="256">
        <f>'Données projet'!D197</f>
        <v>21</v>
      </c>
      <c r="C214" s="251">
        <f>'Données projet'!E197*100+SUM('Données projet'!F197:G197)*13.8+'Données projet'!H197*10</f>
        <v>46</v>
      </c>
      <c r="D214" s="253">
        <f t="shared" si="9"/>
        <v>966</v>
      </c>
      <c r="E214" s="251"/>
      <c r="F214" s="285"/>
      <c r="G214" s="24"/>
      <c r="H214" s="32"/>
      <c r="I214" s="244"/>
      <c r="J214" s="9"/>
      <c r="K214" s="23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50">
        <f>'Données projet'!A198</f>
        <v>55</v>
      </c>
      <c r="B215" s="256">
        <f>'Données projet'!D198</f>
        <v>21</v>
      </c>
      <c r="C215" s="251">
        <f>'Données projet'!E198*100+SUM('Données projet'!F198:G198)*13.8+'Données projet'!H198*10</f>
        <v>46</v>
      </c>
      <c r="D215" s="253">
        <f t="shared" si="9"/>
        <v>966</v>
      </c>
      <c r="E215" s="251"/>
      <c r="F215" s="285"/>
      <c r="G215" s="286"/>
      <c r="H215" s="32"/>
      <c r="I215" s="244"/>
      <c r="J215" s="9"/>
      <c r="K215" s="23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50">
        <f>'Données projet'!A199</f>
        <v>60</v>
      </c>
      <c r="B216" s="256">
        <f>'Données projet'!D199</f>
        <v>21</v>
      </c>
      <c r="C216" s="251">
        <f>'Données projet'!E199*100+SUM('Données projet'!F199:G199)*13.8+'Données projet'!H199*10</f>
        <v>64</v>
      </c>
      <c r="D216" s="253">
        <f t="shared" si="9"/>
        <v>1344</v>
      </c>
      <c r="E216" s="251"/>
      <c r="F216" s="285"/>
      <c r="G216" s="286"/>
      <c r="H216" s="32"/>
      <c r="I216" s="244"/>
      <c r="J216" s="9"/>
      <c r="K216" s="23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50">
        <f>'Données projet'!A200</f>
        <v>65</v>
      </c>
      <c r="B217" s="256">
        <f>'Données projet'!D200</f>
        <v>21</v>
      </c>
      <c r="C217" s="251">
        <f>'Données projet'!E200*100+SUM('Données projet'!F200:G200)*13.8+'Données projet'!H200*10</f>
        <v>64</v>
      </c>
      <c r="D217" s="253">
        <f t="shared" si="9"/>
        <v>1344</v>
      </c>
      <c r="E217" s="251"/>
      <c r="F217" s="285"/>
      <c r="G217" s="286"/>
      <c r="H217" s="32"/>
      <c r="I217" s="244"/>
      <c r="J217" s="9"/>
      <c r="K217" s="23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50">
        <f>'Données projet'!A201</f>
        <v>70</v>
      </c>
      <c r="B218" s="256">
        <f>'Données projet'!D201</f>
        <v>21</v>
      </c>
      <c r="C218" s="251">
        <f>'Données projet'!E201*100+SUM('Données projet'!F201:G201)*13.8+'Données projet'!H201*10</f>
        <v>64</v>
      </c>
      <c r="D218" s="253">
        <f t="shared" si="9"/>
        <v>1344</v>
      </c>
      <c r="E218" s="251"/>
      <c r="F218" s="285"/>
      <c r="G218" s="286"/>
      <c r="H218" s="32"/>
      <c r="I218" s="244"/>
      <c r="J218" s="9"/>
      <c r="K218" s="23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50">
        <f>'Données projet'!A202</f>
        <v>75</v>
      </c>
      <c r="B219" s="256">
        <f>'Données projet'!D202</f>
        <v>21</v>
      </c>
      <c r="C219" s="251">
        <f>'Données projet'!E202*100+SUM('Données projet'!F202:G202)*13.8+'Données projet'!H202*10</f>
        <v>82</v>
      </c>
      <c r="D219" s="253">
        <f t="shared" si="9"/>
        <v>1722</v>
      </c>
      <c r="E219" s="251"/>
      <c r="F219" s="285"/>
      <c r="G219" s="286"/>
      <c r="H219" s="32"/>
      <c r="I219" s="244"/>
      <c r="J219" s="9"/>
      <c r="K219" s="23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50">
        <f>'Données projet'!A203</f>
        <v>80</v>
      </c>
      <c r="B220" s="256">
        <f>'Données projet'!D203</f>
        <v>270</v>
      </c>
      <c r="C220" s="251">
        <f>'Données projet'!E203*100+SUM('Données projet'!F203:G203)*13.8+'Données projet'!H203*10</f>
        <v>91</v>
      </c>
      <c r="D220" s="253">
        <f t="shared" si="9"/>
        <v>24570</v>
      </c>
      <c r="E220" s="251"/>
      <c r="F220" s="285"/>
      <c r="G220" s="286"/>
      <c r="H220" s="9"/>
      <c r="I220" s="9"/>
      <c r="J220" s="9"/>
      <c r="K220" s="23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72" t="str">
        <f>'Données projet'!A204</f>
        <v/>
      </c>
      <c r="B221" s="272" t="str">
        <f>'Données projet'!D204</f>
        <v/>
      </c>
      <c r="C221" s="251"/>
      <c r="D221" s="253">
        <f t="shared" si="9"/>
        <v>0</v>
      </c>
      <c r="E221" s="251"/>
      <c r="F221" s="285"/>
      <c r="G221" s="286"/>
      <c r="H221" s="9"/>
      <c r="I221" s="9"/>
      <c r="J221" s="9"/>
      <c r="K221" s="23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72" t="str">
        <f>'Données projet'!A205</f>
        <v/>
      </c>
      <c r="B222" s="272" t="str">
        <f>'Données projet'!D205</f>
        <v/>
      </c>
      <c r="C222" s="251"/>
      <c r="D222" s="253">
        <f t="shared" si="9"/>
        <v>0</v>
      </c>
      <c r="E222" s="251"/>
      <c r="F222" s="285"/>
      <c r="G222" s="286"/>
      <c r="H222" s="9"/>
      <c r="I222" s="9"/>
      <c r="J222" s="9"/>
      <c r="K222" s="23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72" t="str">
        <f>'Données projet'!A206</f>
        <v/>
      </c>
      <c r="B223" s="272" t="str">
        <f>'Données projet'!D206</f>
        <v/>
      </c>
      <c r="C223" s="251"/>
      <c r="D223" s="253">
        <f t="shared" si="9"/>
        <v>0</v>
      </c>
      <c r="E223" s="251"/>
      <c r="F223" s="285"/>
      <c r="G223" s="286"/>
      <c r="H223" s="9"/>
      <c r="I223" s="9"/>
      <c r="J223" s="9"/>
      <c r="K223" s="23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72" t="str">
        <f>'Données projet'!A207</f>
        <v/>
      </c>
      <c r="B224" s="272" t="str">
        <f>'Données projet'!D207</f>
        <v/>
      </c>
      <c r="C224" s="251"/>
      <c r="D224" s="253">
        <f t="shared" si="9"/>
        <v>0</v>
      </c>
      <c r="E224" s="251"/>
      <c r="F224" s="285"/>
      <c r="G224" s="286"/>
      <c r="H224" s="9"/>
      <c r="I224" s="9"/>
      <c r="J224" s="9"/>
      <c r="K224" s="23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72" t="str">
        <f>'Données projet'!A208</f>
        <v/>
      </c>
      <c r="B225" s="272" t="str">
        <f>'Données projet'!D208</f>
        <v/>
      </c>
      <c r="C225" s="251"/>
      <c r="D225" s="253">
        <f t="shared" si="9"/>
        <v>0</v>
      </c>
      <c r="E225" s="251"/>
      <c r="F225" s="285"/>
      <c r="G225" s="286"/>
      <c r="H225" s="9"/>
      <c r="I225" s="9"/>
      <c r="J225" s="9"/>
      <c r="K225" s="23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72" t="str">
        <f>'Données projet'!A209</f>
        <v/>
      </c>
      <c r="B226" s="272" t="str">
        <f>'Données projet'!D209</f>
        <v/>
      </c>
      <c r="C226" s="251"/>
      <c r="D226" s="253">
        <f t="shared" si="9"/>
        <v>0</v>
      </c>
      <c r="E226" s="251"/>
      <c r="F226" s="285"/>
      <c r="G226" s="286"/>
      <c r="H226" s="9"/>
      <c r="I226" s="9"/>
      <c r="J226" s="9"/>
      <c r="K226" s="23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72" t="str">
        <f>'Données projet'!A210</f>
        <v/>
      </c>
      <c r="B227" s="272" t="str">
        <f>'Données projet'!D210</f>
        <v/>
      </c>
      <c r="C227" s="251"/>
      <c r="D227" s="253">
        <f t="shared" si="9"/>
        <v>0</v>
      </c>
      <c r="E227" s="251"/>
      <c r="F227" s="285"/>
      <c r="G227" s="286"/>
      <c r="H227" s="9"/>
      <c r="I227" s="9"/>
      <c r="J227" s="9"/>
      <c r="K227" s="23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72" t="str">
        <f>'Données projet'!A211</f>
        <v/>
      </c>
      <c r="B228" s="272" t="str">
        <f>'Données projet'!D211</f>
        <v/>
      </c>
      <c r="C228" s="251"/>
      <c r="D228" s="253">
        <f t="shared" si="9"/>
        <v>0</v>
      </c>
      <c r="E228" s="251"/>
      <c r="F228" s="285"/>
      <c r="G228" s="286"/>
      <c r="H228" s="9"/>
      <c r="I228" s="9"/>
      <c r="J228" s="9"/>
      <c r="K228" s="23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38"/>
      <c r="G229" s="286"/>
      <c r="H229" s="9"/>
      <c r="I229" s="9"/>
      <c r="J229" s="9"/>
      <c r="K229" s="23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38"/>
      <c r="G230" s="286"/>
      <c r="H230" s="9"/>
      <c r="I230" s="9"/>
      <c r="J230" s="9"/>
      <c r="K230" s="23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7" t="s">
        <v>30</v>
      </c>
      <c r="B231" s="242" t="str">
        <f>IF('Données projet'!$B$16="","",'Données projet'!$B$16)</f>
        <v>Robinier faux-acacia</v>
      </c>
      <c r="C231" s="9"/>
      <c r="D231" s="9"/>
      <c r="E231" s="9"/>
      <c r="F231" s="238"/>
      <c r="G231" s="286"/>
      <c r="H231" s="9"/>
      <c r="I231" s="9"/>
      <c r="J231" s="9"/>
      <c r="K231" s="23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7"/>
      <c r="B232" s="9"/>
      <c r="C232" s="9"/>
      <c r="D232" s="9"/>
      <c r="E232" s="9"/>
      <c r="F232" s="238"/>
      <c r="G232" s="286"/>
      <c r="H232" s="9"/>
      <c r="I232" s="9"/>
      <c r="J232" s="9"/>
      <c r="K232" s="23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1" t="s">
        <v>55</v>
      </c>
      <c r="B233" s="65" t="s">
        <v>329</v>
      </c>
      <c r="C233" s="65" t="s">
        <v>330</v>
      </c>
      <c r="D233" s="41" t="s">
        <v>331</v>
      </c>
      <c r="E233" s="41" t="s">
        <v>332</v>
      </c>
      <c r="F233" s="281"/>
      <c r="G233" s="286"/>
      <c r="H233" s="9"/>
      <c r="I233" s="9"/>
      <c r="J233" s="9"/>
      <c r="K233" s="23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1">
        <v>0.0</v>
      </c>
      <c r="B234" s="246" t="s">
        <v>219</v>
      </c>
      <c r="C234" s="247" t="s">
        <v>219</v>
      </c>
      <c r="D234" s="248" t="s">
        <v>219</v>
      </c>
      <c r="E234" s="249" t="s">
        <v>334</v>
      </c>
      <c r="F234" s="281"/>
      <c r="G234" s="286"/>
      <c r="H234" s="9"/>
      <c r="I234" s="9"/>
      <c r="J234" s="9"/>
      <c r="K234" s="23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1">
        <v>1.0</v>
      </c>
      <c r="B235" s="246" t="s">
        <v>219</v>
      </c>
      <c r="C235" s="247" t="s">
        <v>219</v>
      </c>
      <c r="D235" s="248" t="s">
        <v>219</v>
      </c>
      <c r="E235" s="251"/>
      <c r="F235" s="281"/>
      <c r="G235" s="9"/>
      <c r="H235" s="9"/>
      <c r="I235" s="9"/>
      <c r="J235" s="9"/>
      <c r="K235" s="23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1">
        <v>2.0</v>
      </c>
      <c r="B236" s="246" t="s">
        <v>219</v>
      </c>
      <c r="C236" s="247" t="s">
        <v>219</v>
      </c>
      <c r="D236" s="248" t="s">
        <v>219</v>
      </c>
      <c r="E236" s="251"/>
      <c r="F236" s="281"/>
      <c r="G236" s="9"/>
      <c r="H236" s="9"/>
      <c r="I236" s="9"/>
      <c r="J236" s="9"/>
      <c r="K236" s="23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1">
        <v>3.0</v>
      </c>
      <c r="B237" s="246" t="s">
        <v>219</v>
      </c>
      <c r="C237" s="247" t="s">
        <v>219</v>
      </c>
      <c r="D237" s="248" t="s">
        <v>219</v>
      </c>
      <c r="E237" s="251"/>
      <c r="F237" s="281"/>
      <c r="G237" s="9"/>
      <c r="H237" s="9"/>
      <c r="I237" s="9"/>
      <c r="J237" s="9"/>
      <c r="K237" s="23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1">
        <v>4.0</v>
      </c>
      <c r="B238" s="246" t="s">
        <v>219</v>
      </c>
      <c r="C238" s="247" t="s">
        <v>219</v>
      </c>
      <c r="D238" s="248" t="s">
        <v>219</v>
      </c>
      <c r="E238" s="251"/>
      <c r="F238" s="281"/>
      <c r="G238" s="9"/>
      <c r="H238" s="9"/>
      <c r="I238" s="9"/>
      <c r="J238" s="9"/>
      <c r="K238" s="23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1">
        <v>5.0</v>
      </c>
      <c r="B239" s="246" t="s">
        <v>219</v>
      </c>
      <c r="C239" s="247" t="s">
        <v>219</v>
      </c>
      <c r="D239" s="248" t="s">
        <v>219</v>
      </c>
      <c r="E239" s="251"/>
      <c r="F239" s="281"/>
      <c r="G239" s="24"/>
      <c r="H239" s="9"/>
      <c r="I239" s="9"/>
      <c r="J239" s="9"/>
      <c r="K239" s="23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72">
        <f>'Données projet'!A218</f>
        <v>15</v>
      </c>
      <c r="B240" s="272">
        <f>'Données projet'!D218</f>
        <v>31</v>
      </c>
      <c r="C240" s="251">
        <f>'Données projet'!E218*70+SUM('Données projet'!F218:G218)*13.8+'Données projet'!H218*10</f>
        <v>10</v>
      </c>
      <c r="D240" s="253">
        <f t="shared" ref="D240:D259" si="10">B240*C240</f>
        <v>310</v>
      </c>
      <c r="E240" s="251"/>
      <c r="F240" s="285"/>
      <c r="G240" s="24"/>
      <c r="H240" s="9"/>
      <c r="I240" s="9"/>
      <c r="J240" s="9"/>
      <c r="K240" s="23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72">
        <f>'Données projet'!A219</f>
        <v>20</v>
      </c>
      <c r="B241" s="272">
        <f>'Données projet'!D219</f>
        <v>25</v>
      </c>
      <c r="C241" s="251">
        <f>'Données projet'!E219*70+SUM('Données projet'!F219:G219)*13.8+'Données projet'!H219*10</f>
        <v>10</v>
      </c>
      <c r="D241" s="253">
        <f t="shared" si="10"/>
        <v>250</v>
      </c>
      <c r="E241" s="251"/>
      <c r="F241" s="285"/>
      <c r="G241" s="24"/>
      <c r="H241" s="9"/>
      <c r="I241" s="9"/>
      <c r="J241" s="9"/>
      <c r="K241" s="23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72">
        <f>'Données projet'!A220</f>
        <v>25</v>
      </c>
      <c r="B242" s="272">
        <f>'Données projet'!D220</f>
        <v>21</v>
      </c>
      <c r="C242" s="251">
        <f>'Données projet'!E220*70+SUM('Données projet'!F220:G220)*13.8+'Données projet'!H220*10</f>
        <v>10</v>
      </c>
      <c r="D242" s="253">
        <f t="shared" si="10"/>
        <v>210</v>
      </c>
      <c r="E242" s="251"/>
      <c r="F242" s="285"/>
      <c r="G242" s="24"/>
      <c r="H242" s="9"/>
      <c r="I242" s="9"/>
      <c r="J242" s="9"/>
      <c r="K242" s="23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72">
        <f>'Données projet'!A221</f>
        <v>30</v>
      </c>
      <c r="B243" s="272">
        <f>'Données projet'!D221</f>
        <v>18</v>
      </c>
      <c r="C243" s="251">
        <f>'Données projet'!E221*70+SUM('Données projet'!F221:G221)*13.8+'Données projet'!H221*10</f>
        <v>10</v>
      </c>
      <c r="D243" s="253">
        <f t="shared" si="10"/>
        <v>180</v>
      </c>
      <c r="E243" s="251"/>
      <c r="F243" s="285"/>
      <c r="G243" s="24"/>
      <c r="H243" s="9"/>
      <c r="I243" s="9"/>
      <c r="J243" s="9"/>
      <c r="K243" s="23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72">
        <f>'Données projet'!A222</f>
        <v>35</v>
      </c>
      <c r="B244" s="272">
        <f>'Données projet'!D222</f>
        <v>16</v>
      </c>
      <c r="C244" s="251">
        <f>'Données projet'!E222*70+SUM('Données projet'!F222:G222)*13.8+'Données projet'!H222*10</f>
        <v>22</v>
      </c>
      <c r="D244" s="253">
        <f t="shared" si="10"/>
        <v>352</v>
      </c>
      <c r="E244" s="251"/>
      <c r="F244" s="285"/>
      <c r="G244" s="24"/>
      <c r="H244" s="9"/>
      <c r="I244" s="9"/>
      <c r="J244" s="9"/>
      <c r="K244" s="23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72">
        <f>'Données projet'!A223</f>
        <v>40</v>
      </c>
      <c r="B245" s="272">
        <f>'Données projet'!D223</f>
        <v>14</v>
      </c>
      <c r="C245" s="251">
        <f>'Données projet'!E223*70+SUM('Données projet'!F223:G223)*13.8+'Données projet'!H223*10</f>
        <v>22</v>
      </c>
      <c r="D245" s="253">
        <f t="shared" si="10"/>
        <v>308</v>
      </c>
      <c r="E245" s="251"/>
      <c r="F245" s="285"/>
      <c r="G245" s="24"/>
      <c r="H245" s="9"/>
      <c r="I245" s="9"/>
      <c r="J245" s="9"/>
      <c r="K245" s="23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72">
        <f>'Données projet'!A224</f>
        <v>45</v>
      </c>
      <c r="B246" s="272">
        <f>'Données projet'!D224</f>
        <v>13</v>
      </c>
      <c r="C246" s="251">
        <f>'Données projet'!E224*70+SUM('Données projet'!F224:G224)*13.8+'Données projet'!H224*10</f>
        <v>34</v>
      </c>
      <c r="D246" s="253">
        <f t="shared" si="10"/>
        <v>442</v>
      </c>
      <c r="E246" s="251"/>
      <c r="F246" s="285"/>
      <c r="G246" s="286"/>
      <c r="H246" s="9"/>
      <c r="I246" s="9"/>
      <c r="J246" s="9"/>
      <c r="K246" s="23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72">
        <f>'Données projet'!A225</f>
        <v>50</v>
      </c>
      <c r="B247" s="272">
        <f>'Données projet'!D225</f>
        <v>11</v>
      </c>
      <c r="C247" s="251">
        <f>'Données projet'!E225*70+SUM('Données projet'!F225:G225)*13.8+'Données projet'!H225*10</f>
        <v>34</v>
      </c>
      <c r="D247" s="253">
        <f t="shared" si="10"/>
        <v>374</v>
      </c>
      <c r="E247" s="251"/>
      <c r="F247" s="285"/>
      <c r="G247" s="286"/>
      <c r="H247" s="9"/>
      <c r="I247" s="9"/>
      <c r="J247" s="9"/>
      <c r="K247" s="23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72">
        <f>'Données projet'!A226</f>
        <v>55</v>
      </c>
      <c r="B248" s="272">
        <f>'Données projet'!D226</f>
        <v>10</v>
      </c>
      <c r="C248" s="251">
        <f>'Données projet'!E226*70+SUM('Données projet'!F226:G226)*13.8+'Données projet'!H226*10</f>
        <v>46</v>
      </c>
      <c r="D248" s="253">
        <f t="shared" si="10"/>
        <v>460</v>
      </c>
      <c r="E248" s="251"/>
      <c r="F248" s="285"/>
      <c r="G248" s="286"/>
      <c r="H248" s="9"/>
      <c r="I248" s="9"/>
      <c r="J248" s="9"/>
      <c r="K248" s="23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72">
        <f>'Données projet'!A227</f>
        <v>60</v>
      </c>
      <c r="B249" s="272">
        <f>'Données projet'!D227</f>
        <v>9</v>
      </c>
      <c r="C249" s="251">
        <f>'Données projet'!E227*70+SUM('Données projet'!F227:G227)*13.8+'Données projet'!H227*10</f>
        <v>46</v>
      </c>
      <c r="D249" s="253">
        <f t="shared" si="10"/>
        <v>414</v>
      </c>
      <c r="E249" s="251"/>
      <c r="F249" s="285"/>
      <c r="G249" s="286"/>
      <c r="H249" s="9"/>
      <c r="I249" s="9"/>
      <c r="J249" s="9"/>
      <c r="K249" s="23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72">
        <f>'Données projet'!A228</f>
        <v>65</v>
      </c>
      <c r="B250" s="272">
        <f>'Données projet'!D228</f>
        <v>8</v>
      </c>
      <c r="C250" s="251">
        <f>'Données projet'!E228*70+SUM('Données projet'!F228:G228)*13.8+'Données projet'!H228*10</f>
        <v>58</v>
      </c>
      <c r="D250" s="253">
        <f t="shared" si="10"/>
        <v>464</v>
      </c>
      <c r="E250" s="251"/>
      <c r="F250" s="285"/>
      <c r="G250" s="286"/>
      <c r="H250" s="9"/>
      <c r="I250" s="9"/>
      <c r="J250" s="9"/>
      <c r="K250" s="23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72">
        <f>'Données projet'!A229</f>
        <v>70</v>
      </c>
      <c r="B251" s="272">
        <f>'Données projet'!D229</f>
        <v>306</v>
      </c>
      <c r="C251" s="251">
        <f>'Données projet'!E229*70+SUM('Données projet'!F229:G229)*13.8+'Données projet'!H229*10</f>
        <v>58</v>
      </c>
      <c r="D251" s="253">
        <f t="shared" si="10"/>
        <v>17748</v>
      </c>
      <c r="E251" s="251"/>
      <c r="F251" s="285"/>
      <c r="G251" s="286"/>
      <c r="H251" s="9"/>
      <c r="I251" s="9"/>
      <c r="J251" s="9"/>
      <c r="K251" s="23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72" t="str">
        <f>'Données projet'!A230</f>
        <v/>
      </c>
      <c r="B252" s="272" t="str">
        <f>'Données projet'!D230</f>
        <v/>
      </c>
      <c r="C252" s="251"/>
      <c r="D252" s="253">
        <f t="shared" si="10"/>
        <v>0</v>
      </c>
      <c r="E252" s="251"/>
      <c r="F252" s="285"/>
      <c r="G252" s="286"/>
      <c r="H252" s="9"/>
      <c r="I252" s="9"/>
      <c r="J252" s="9"/>
      <c r="K252" s="23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72" t="str">
        <f>'Données projet'!A231</f>
        <v/>
      </c>
      <c r="B253" s="272" t="str">
        <f>'Données projet'!D231</f>
        <v/>
      </c>
      <c r="C253" s="251"/>
      <c r="D253" s="253">
        <f t="shared" si="10"/>
        <v>0</v>
      </c>
      <c r="E253" s="251"/>
      <c r="F253" s="285"/>
      <c r="G253" s="286"/>
      <c r="H253" s="9"/>
      <c r="I253" s="9"/>
      <c r="J253" s="9"/>
      <c r="K253" s="23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72" t="str">
        <f>'Données projet'!A232</f>
        <v/>
      </c>
      <c r="B254" s="272" t="str">
        <f>'Données projet'!D232</f>
        <v/>
      </c>
      <c r="C254" s="251"/>
      <c r="D254" s="253">
        <f t="shared" si="10"/>
        <v>0</v>
      </c>
      <c r="E254" s="251"/>
      <c r="F254" s="285"/>
      <c r="G254" s="286"/>
      <c r="H254" s="9"/>
      <c r="I254" s="9"/>
      <c r="J254" s="9"/>
      <c r="K254" s="23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72" t="str">
        <f>'Données projet'!A233</f>
        <v/>
      </c>
      <c r="B255" s="272" t="str">
        <f>'Données projet'!D233</f>
        <v/>
      </c>
      <c r="C255" s="251"/>
      <c r="D255" s="253">
        <f t="shared" si="10"/>
        <v>0</v>
      </c>
      <c r="E255" s="251"/>
      <c r="F255" s="285"/>
      <c r="G255" s="286"/>
      <c r="H255" s="9"/>
      <c r="I255" s="9"/>
      <c r="J255" s="9"/>
      <c r="K255" s="23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72" t="str">
        <f>'Données projet'!A234</f>
        <v/>
      </c>
      <c r="B256" s="272" t="str">
        <f>'Données projet'!D234</f>
        <v/>
      </c>
      <c r="C256" s="251"/>
      <c r="D256" s="253">
        <f t="shared" si="10"/>
        <v>0</v>
      </c>
      <c r="E256" s="251"/>
      <c r="F256" s="285"/>
      <c r="G256" s="286"/>
      <c r="H256" s="9"/>
      <c r="I256" s="9"/>
      <c r="J256" s="9"/>
      <c r="K256" s="23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72" t="str">
        <f>'Données projet'!A235</f>
        <v/>
      </c>
      <c r="B257" s="272" t="str">
        <f>'Données projet'!D235</f>
        <v/>
      </c>
      <c r="C257" s="251"/>
      <c r="D257" s="253">
        <f t="shared" si="10"/>
        <v>0</v>
      </c>
      <c r="E257" s="251"/>
      <c r="F257" s="285"/>
      <c r="G257" s="286"/>
      <c r="H257" s="9"/>
      <c r="I257" s="9"/>
      <c r="J257" s="9"/>
      <c r="K257" s="23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72" t="str">
        <f>'Données projet'!A236</f>
        <v/>
      </c>
      <c r="B258" s="272" t="str">
        <f>'Données projet'!D236</f>
        <v/>
      </c>
      <c r="C258" s="251"/>
      <c r="D258" s="253">
        <f t="shared" si="10"/>
        <v>0</v>
      </c>
      <c r="E258" s="251"/>
      <c r="F258" s="285"/>
      <c r="G258" s="286"/>
      <c r="H258" s="9"/>
      <c r="I258" s="9"/>
      <c r="J258" s="9"/>
      <c r="K258" s="23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72" t="str">
        <f>'Données projet'!A237</f>
        <v/>
      </c>
      <c r="B259" s="272" t="str">
        <f>'Données projet'!D237</f>
        <v/>
      </c>
      <c r="C259" s="251"/>
      <c r="D259" s="253">
        <f t="shared" si="10"/>
        <v>0</v>
      </c>
      <c r="E259" s="251"/>
      <c r="F259" s="285"/>
      <c r="G259" s="286"/>
      <c r="H259" s="9"/>
      <c r="I259" s="9"/>
      <c r="J259" s="9"/>
      <c r="K259" s="23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38"/>
      <c r="G260" s="286"/>
      <c r="H260" s="9"/>
      <c r="I260" s="9"/>
      <c r="J260" s="9"/>
      <c r="K260" s="23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38"/>
      <c r="G261" s="286"/>
      <c r="H261" s="9"/>
      <c r="I261" s="9"/>
      <c r="J261" s="9"/>
      <c r="K261" s="23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7" t="s">
        <v>32</v>
      </c>
      <c r="B262" s="242" t="str">
        <f>IF('Données projet'!$B$17="","",'Données projet'!$B$17)</f>
        <v>Tilleul</v>
      </c>
      <c r="C262" s="9"/>
      <c r="D262" s="9"/>
      <c r="E262" s="9"/>
      <c r="F262" s="238"/>
      <c r="G262" s="286"/>
      <c r="H262" s="9"/>
      <c r="I262" s="9"/>
      <c r="J262" s="9"/>
      <c r="K262" s="23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7"/>
      <c r="B263" s="9"/>
      <c r="C263" s="9"/>
      <c r="D263" s="9"/>
      <c r="E263" s="9"/>
      <c r="F263" s="238"/>
      <c r="G263" s="286"/>
      <c r="H263" s="9"/>
      <c r="I263" s="9"/>
      <c r="J263" s="9"/>
      <c r="K263" s="23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1" t="s">
        <v>55</v>
      </c>
      <c r="B264" s="65" t="s">
        <v>329</v>
      </c>
      <c r="C264" s="65" t="s">
        <v>330</v>
      </c>
      <c r="D264" s="41" t="s">
        <v>331</v>
      </c>
      <c r="E264" s="41" t="s">
        <v>332</v>
      </c>
      <c r="F264" s="281"/>
      <c r="G264" s="286"/>
      <c r="H264" s="9"/>
      <c r="I264" s="9"/>
      <c r="J264" s="9"/>
      <c r="K264" s="23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1">
        <v>0.0</v>
      </c>
      <c r="B265" s="246" t="s">
        <v>219</v>
      </c>
      <c r="C265" s="247" t="s">
        <v>219</v>
      </c>
      <c r="D265" s="248" t="s">
        <v>219</v>
      </c>
      <c r="E265" s="249" t="s">
        <v>350</v>
      </c>
      <c r="F265" s="281"/>
      <c r="G265" s="286"/>
      <c r="H265" s="9"/>
      <c r="I265" s="9"/>
      <c r="J265" s="9"/>
      <c r="K265" s="23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1">
        <v>1.0</v>
      </c>
      <c r="B266" s="246" t="s">
        <v>219</v>
      </c>
      <c r="C266" s="247" t="s">
        <v>219</v>
      </c>
      <c r="D266" s="248" t="s">
        <v>219</v>
      </c>
      <c r="E266" s="251"/>
      <c r="F266" s="281"/>
      <c r="G266" s="9"/>
      <c r="H266" s="9"/>
      <c r="I266" s="9"/>
      <c r="J266" s="9"/>
      <c r="K266" s="23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1">
        <v>2.0</v>
      </c>
      <c r="B267" s="246" t="s">
        <v>219</v>
      </c>
      <c r="C267" s="247" t="s">
        <v>219</v>
      </c>
      <c r="D267" s="248" t="s">
        <v>219</v>
      </c>
      <c r="E267" s="251"/>
      <c r="F267" s="281"/>
      <c r="G267" s="9"/>
      <c r="H267" s="9"/>
      <c r="I267" s="9"/>
      <c r="J267" s="9"/>
      <c r="K267" s="23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1">
        <v>3.0</v>
      </c>
      <c r="B268" s="246" t="s">
        <v>219</v>
      </c>
      <c r="C268" s="247" t="s">
        <v>219</v>
      </c>
      <c r="D268" s="248" t="s">
        <v>219</v>
      </c>
      <c r="E268" s="251"/>
      <c r="F268" s="281"/>
      <c r="G268" s="9"/>
      <c r="H268" s="9"/>
      <c r="I268" s="9"/>
      <c r="J268" s="9"/>
      <c r="K268" s="23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1">
        <v>4.0</v>
      </c>
      <c r="B269" s="246" t="s">
        <v>219</v>
      </c>
      <c r="C269" s="247" t="s">
        <v>219</v>
      </c>
      <c r="D269" s="248" t="s">
        <v>219</v>
      </c>
      <c r="E269" s="251"/>
      <c r="F269" s="281"/>
      <c r="G269" s="9"/>
      <c r="H269" s="9"/>
      <c r="I269" s="9"/>
      <c r="J269" s="9"/>
      <c r="K269" s="23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1">
        <v>5.0</v>
      </c>
      <c r="B270" s="246" t="s">
        <v>219</v>
      </c>
      <c r="C270" s="247" t="s">
        <v>219</v>
      </c>
      <c r="D270" s="248" t="s">
        <v>219</v>
      </c>
      <c r="E270" s="251"/>
      <c r="F270" s="281"/>
      <c r="G270" s="24"/>
      <c r="H270" s="9"/>
      <c r="I270" s="9"/>
      <c r="J270" s="9"/>
      <c r="K270" s="23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50">
        <f>'Données projet'!A244</f>
        <v>20</v>
      </c>
      <c r="B271" s="256">
        <f>'Données projet'!D244</f>
        <v>0</v>
      </c>
      <c r="C271" s="251">
        <f>'Données projet'!E244*50+SUM('Données projet'!F244:G244)*13.8+'Données projet'!H244*10</f>
        <v>10</v>
      </c>
      <c r="D271" s="253">
        <f t="shared" ref="D271:D290" si="11">B271*C271</f>
        <v>0</v>
      </c>
      <c r="E271" s="251"/>
      <c r="F271" s="285"/>
      <c r="G271" s="24"/>
      <c r="H271" s="9"/>
      <c r="I271" s="9"/>
      <c r="J271" s="9"/>
      <c r="K271" s="23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50">
        <f>'Données projet'!A245</f>
        <v>25</v>
      </c>
      <c r="B272" s="256">
        <f>'Données projet'!D245</f>
        <v>7</v>
      </c>
      <c r="C272" s="251">
        <f>'Données projet'!E245*50+SUM('Données projet'!F245:G245)*13.8+'Données projet'!H245*10</f>
        <v>10</v>
      </c>
      <c r="D272" s="253">
        <f t="shared" si="11"/>
        <v>70</v>
      </c>
      <c r="E272" s="251"/>
      <c r="F272" s="285"/>
      <c r="G272" s="24"/>
      <c r="H272" s="9"/>
      <c r="I272" s="9"/>
      <c r="J272" s="9"/>
      <c r="K272" s="23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50">
        <f>'Données projet'!A246</f>
        <v>30</v>
      </c>
      <c r="B273" s="256">
        <f>'Données projet'!D246</f>
        <v>28</v>
      </c>
      <c r="C273" s="251">
        <f>'Données projet'!E246*50+SUM('Données projet'!F246:G246)*13.8+'Données projet'!H246*10</f>
        <v>10</v>
      </c>
      <c r="D273" s="253">
        <f t="shared" si="11"/>
        <v>280</v>
      </c>
      <c r="E273" s="251"/>
      <c r="F273" s="285"/>
      <c r="G273" s="24"/>
      <c r="H273" s="9"/>
      <c r="I273" s="9"/>
      <c r="J273" s="9"/>
      <c r="K273" s="23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50">
        <f>'Données projet'!A247</f>
        <v>35</v>
      </c>
      <c r="B274" s="256">
        <f>'Données projet'!D247</f>
        <v>28</v>
      </c>
      <c r="C274" s="251">
        <f>'Données projet'!E247*50+SUM('Données projet'!F247:G247)*13.8+'Données projet'!H247*10</f>
        <v>18</v>
      </c>
      <c r="D274" s="253">
        <f t="shared" si="11"/>
        <v>504</v>
      </c>
      <c r="E274" s="251"/>
      <c r="F274" s="285"/>
      <c r="G274" s="24"/>
      <c r="H274" s="9"/>
      <c r="I274" s="9"/>
      <c r="J274" s="9"/>
      <c r="K274" s="23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50">
        <f>'Données projet'!A248</f>
        <v>40</v>
      </c>
      <c r="B275" s="256">
        <f>'Données projet'!D248</f>
        <v>28</v>
      </c>
      <c r="C275" s="251">
        <f>'Données projet'!E248*50+SUM('Données projet'!F248:G248)*13.8+'Données projet'!H248*10</f>
        <v>26</v>
      </c>
      <c r="D275" s="253">
        <f t="shared" si="11"/>
        <v>728</v>
      </c>
      <c r="E275" s="251"/>
      <c r="F275" s="285"/>
      <c r="G275" s="24"/>
      <c r="H275" s="9"/>
      <c r="I275" s="9"/>
      <c r="J275" s="9"/>
      <c r="K275" s="23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50">
        <f>'Données projet'!A249</f>
        <v>45</v>
      </c>
      <c r="B276" s="256">
        <f>'Données projet'!D249</f>
        <v>28</v>
      </c>
      <c r="C276" s="251">
        <f>'Données projet'!E249*50+SUM('Données projet'!F249:G249)*13.8+'Données projet'!H249*10</f>
        <v>26</v>
      </c>
      <c r="D276" s="253">
        <f t="shared" si="11"/>
        <v>728</v>
      </c>
      <c r="E276" s="251"/>
      <c r="F276" s="285"/>
      <c r="G276" s="24"/>
      <c r="H276" s="9"/>
      <c r="I276" s="9"/>
      <c r="J276" s="9"/>
      <c r="K276" s="23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50">
        <f>'Données projet'!A250</f>
        <v>50</v>
      </c>
      <c r="B277" s="256">
        <f>'Données projet'!D250</f>
        <v>28</v>
      </c>
      <c r="C277" s="251">
        <f>'Données projet'!E250*50+SUM('Données projet'!F250:G250)*13.8+'Données projet'!H250*10</f>
        <v>34</v>
      </c>
      <c r="D277" s="253">
        <f t="shared" si="11"/>
        <v>952</v>
      </c>
      <c r="E277" s="251"/>
      <c r="F277" s="285"/>
      <c r="G277" s="286"/>
      <c r="H277" s="9"/>
      <c r="I277" s="9"/>
      <c r="J277" s="9"/>
      <c r="K277" s="23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50">
        <f>'Données projet'!A251</f>
        <v>55</v>
      </c>
      <c r="B278" s="256">
        <f>'Données projet'!D251</f>
        <v>28</v>
      </c>
      <c r="C278" s="251">
        <f>'Données projet'!E251*50+SUM('Données projet'!F251:G251)*13.8+'Données projet'!H251*10</f>
        <v>34</v>
      </c>
      <c r="D278" s="253">
        <f t="shared" si="11"/>
        <v>952</v>
      </c>
      <c r="E278" s="251"/>
      <c r="F278" s="285"/>
      <c r="G278" s="286"/>
      <c r="H278" s="9"/>
      <c r="I278" s="9"/>
      <c r="J278" s="9"/>
      <c r="K278" s="23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50">
        <f>'Données projet'!A252</f>
        <v>60</v>
      </c>
      <c r="B279" s="256">
        <f>'Données projet'!D252</f>
        <v>270</v>
      </c>
      <c r="C279" s="251">
        <f>'Données projet'!E252*50+SUM('Données projet'!F252:G252)*13.8+'Données projet'!H252*10</f>
        <v>42</v>
      </c>
      <c r="D279" s="253">
        <f t="shared" si="11"/>
        <v>11340</v>
      </c>
      <c r="E279" s="251"/>
      <c r="F279" s="285"/>
      <c r="G279" s="286"/>
      <c r="H279" s="9"/>
      <c r="I279" s="9"/>
      <c r="J279" s="9"/>
      <c r="K279" s="23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72" t="str">
        <f>'Données projet'!A253</f>
        <v/>
      </c>
      <c r="B280" s="272" t="str">
        <f>'Données projet'!D253</f>
        <v/>
      </c>
      <c r="C280" s="251"/>
      <c r="D280" s="253">
        <f t="shared" si="11"/>
        <v>0</v>
      </c>
      <c r="E280" s="251"/>
      <c r="F280" s="285"/>
      <c r="G280" s="286"/>
      <c r="H280" s="9"/>
      <c r="I280" s="9"/>
      <c r="J280" s="9"/>
      <c r="K280" s="23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72" t="str">
        <f>'Données projet'!A254</f>
        <v/>
      </c>
      <c r="B281" s="272" t="str">
        <f>'Données projet'!D254</f>
        <v/>
      </c>
      <c r="C281" s="251"/>
      <c r="D281" s="253">
        <f t="shared" si="11"/>
        <v>0</v>
      </c>
      <c r="E281" s="251"/>
      <c r="F281" s="285"/>
      <c r="G281" s="286"/>
      <c r="H281" s="9"/>
      <c r="I281" s="9"/>
      <c r="J281" s="9"/>
      <c r="K281" s="23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72" t="str">
        <f>'Données projet'!A255</f>
        <v/>
      </c>
      <c r="B282" s="272" t="str">
        <f>'Données projet'!D255</f>
        <v/>
      </c>
      <c r="C282" s="251"/>
      <c r="D282" s="253">
        <f t="shared" si="11"/>
        <v>0</v>
      </c>
      <c r="E282" s="251"/>
      <c r="F282" s="285"/>
      <c r="G282" s="286"/>
      <c r="H282" s="9"/>
      <c r="I282" s="9"/>
      <c r="J282" s="9"/>
      <c r="K282" s="23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72" t="str">
        <f>'Données projet'!A256</f>
        <v/>
      </c>
      <c r="B283" s="272" t="str">
        <f>'Données projet'!D256</f>
        <v/>
      </c>
      <c r="C283" s="251"/>
      <c r="D283" s="253">
        <f t="shared" si="11"/>
        <v>0</v>
      </c>
      <c r="E283" s="251"/>
      <c r="F283" s="285"/>
      <c r="G283" s="286"/>
      <c r="H283" s="9"/>
      <c r="I283" s="9"/>
      <c r="J283" s="9"/>
      <c r="K283" s="23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72" t="str">
        <f>'Données projet'!A257</f>
        <v/>
      </c>
      <c r="B284" s="272" t="str">
        <f>'Données projet'!D257</f>
        <v/>
      </c>
      <c r="C284" s="251"/>
      <c r="D284" s="253">
        <f t="shared" si="11"/>
        <v>0</v>
      </c>
      <c r="E284" s="251"/>
      <c r="F284" s="285"/>
      <c r="G284" s="286"/>
      <c r="H284" s="9"/>
      <c r="I284" s="9"/>
      <c r="J284" s="9"/>
      <c r="K284" s="23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72" t="str">
        <f>'Données projet'!A258</f>
        <v/>
      </c>
      <c r="B285" s="272" t="str">
        <f>'Données projet'!D258</f>
        <v/>
      </c>
      <c r="C285" s="251"/>
      <c r="D285" s="253">
        <f t="shared" si="11"/>
        <v>0</v>
      </c>
      <c r="E285" s="251"/>
      <c r="F285" s="285"/>
      <c r="G285" s="286"/>
      <c r="H285" s="9"/>
      <c r="I285" s="9"/>
      <c r="J285" s="9"/>
      <c r="K285" s="23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72" t="str">
        <f>'Données projet'!A259</f>
        <v/>
      </c>
      <c r="B286" s="272" t="str">
        <f>'Données projet'!D259</f>
        <v/>
      </c>
      <c r="C286" s="251"/>
      <c r="D286" s="253">
        <f t="shared" si="11"/>
        <v>0</v>
      </c>
      <c r="E286" s="251"/>
      <c r="F286" s="285"/>
      <c r="G286" s="286"/>
      <c r="H286" s="9"/>
      <c r="I286" s="9"/>
      <c r="J286" s="9"/>
      <c r="K286" s="23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72" t="str">
        <f>'Données projet'!A260</f>
        <v/>
      </c>
      <c r="B287" s="272" t="str">
        <f>'Données projet'!D260</f>
        <v/>
      </c>
      <c r="C287" s="251"/>
      <c r="D287" s="253">
        <f t="shared" si="11"/>
        <v>0</v>
      </c>
      <c r="E287" s="251"/>
      <c r="F287" s="285"/>
      <c r="G287" s="286"/>
      <c r="H287" s="9"/>
      <c r="I287" s="9"/>
      <c r="J287" s="9"/>
      <c r="K287" s="23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72" t="str">
        <f>'Données projet'!A261</f>
        <v/>
      </c>
      <c r="B288" s="272" t="str">
        <f>'Données projet'!D261</f>
        <v/>
      </c>
      <c r="C288" s="251"/>
      <c r="D288" s="253">
        <f t="shared" si="11"/>
        <v>0</v>
      </c>
      <c r="E288" s="251"/>
      <c r="F288" s="285"/>
      <c r="G288" s="286"/>
      <c r="H288" s="9"/>
      <c r="I288" s="9"/>
      <c r="J288" s="9"/>
      <c r="K288" s="23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72" t="str">
        <f>'Données projet'!A262</f>
        <v/>
      </c>
      <c r="B289" s="272" t="str">
        <f>'Données projet'!D262</f>
        <v/>
      </c>
      <c r="C289" s="251"/>
      <c r="D289" s="253">
        <f t="shared" si="11"/>
        <v>0</v>
      </c>
      <c r="E289" s="251"/>
      <c r="F289" s="285"/>
      <c r="G289" s="286"/>
      <c r="H289" s="9"/>
      <c r="I289" s="9"/>
      <c r="J289" s="9"/>
      <c r="K289" s="23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72" t="str">
        <f>'Données projet'!A263</f>
        <v/>
      </c>
      <c r="B290" s="272" t="str">
        <f>'Données projet'!D263</f>
        <v/>
      </c>
      <c r="C290" s="251"/>
      <c r="D290" s="253">
        <f t="shared" si="11"/>
        <v>0</v>
      </c>
      <c r="E290" s="251"/>
      <c r="F290" s="285"/>
      <c r="G290" s="286"/>
      <c r="H290" s="9"/>
      <c r="I290" s="9"/>
      <c r="J290" s="9"/>
      <c r="K290" s="23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38"/>
      <c r="G291" s="286"/>
      <c r="H291" s="9"/>
      <c r="I291" s="9"/>
      <c r="J291" s="9"/>
      <c r="K291" s="23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38"/>
      <c r="G292" s="286"/>
      <c r="H292" s="9"/>
      <c r="I292" s="9"/>
      <c r="J292" s="9"/>
      <c r="K292" s="23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7" t="s">
        <v>34</v>
      </c>
      <c r="B293" s="242" t="str">
        <f>IF('Données projet'!$B$18="","",'Données projet'!$B$18)</f>
        <v>Cormier</v>
      </c>
      <c r="C293" s="290" t="s">
        <v>36</v>
      </c>
      <c r="F293" s="238"/>
      <c r="G293" s="286"/>
      <c r="H293" s="9"/>
      <c r="I293" s="9"/>
      <c r="J293" s="9"/>
      <c r="K293" s="23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7"/>
      <c r="B294" s="9"/>
      <c r="C294" s="9"/>
      <c r="D294" s="9"/>
      <c r="E294" s="9"/>
      <c r="F294" s="238"/>
      <c r="G294" s="286"/>
      <c r="H294" s="9"/>
      <c r="I294" s="9"/>
      <c r="J294" s="9"/>
      <c r="K294" s="23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1" t="s">
        <v>55</v>
      </c>
      <c r="B295" s="65" t="s">
        <v>329</v>
      </c>
      <c r="C295" s="65" t="s">
        <v>330</v>
      </c>
      <c r="D295" s="41" t="s">
        <v>331</v>
      </c>
      <c r="E295" s="41" t="s">
        <v>332</v>
      </c>
      <c r="F295" s="281">
        <f>(0.24819*4477.15)+(0.31032*2917.15)+(0.44149*2977.15)</f>
        <v>3330.8158</v>
      </c>
      <c r="G295" s="286"/>
      <c r="H295" s="9"/>
      <c r="I295" s="9"/>
      <c r="J295" s="9"/>
      <c r="K295" s="23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1">
        <v>0.0</v>
      </c>
      <c r="B296" s="246" t="s">
        <v>219</v>
      </c>
      <c r="C296" s="247" t="s">
        <v>219</v>
      </c>
      <c r="D296" s="248" t="s">
        <v>219</v>
      </c>
      <c r="E296" s="291">
        <f>F295</f>
        <v>3330.8158</v>
      </c>
      <c r="F296" s="281"/>
      <c r="G296" s="286"/>
      <c r="H296" s="9"/>
      <c r="I296" s="9"/>
      <c r="J296" s="9"/>
      <c r="K296" s="23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1">
        <v>1.0</v>
      </c>
      <c r="B297" s="246" t="s">
        <v>219</v>
      </c>
      <c r="C297" s="247" t="s">
        <v>219</v>
      </c>
      <c r="D297" s="248" t="s">
        <v>219</v>
      </c>
      <c r="E297" s="251"/>
      <c r="F297" s="281"/>
      <c r="G297" s="9"/>
      <c r="H297" s="9"/>
      <c r="I297" s="9"/>
      <c r="J297" s="9"/>
      <c r="K297" s="23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1">
        <v>2.0</v>
      </c>
      <c r="B298" s="246" t="s">
        <v>219</v>
      </c>
      <c r="C298" s="247" t="s">
        <v>219</v>
      </c>
      <c r="D298" s="248" t="s">
        <v>219</v>
      </c>
      <c r="E298" s="251"/>
      <c r="F298" s="281"/>
      <c r="G298" s="9"/>
      <c r="H298" s="9"/>
      <c r="I298" s="9"/>
      <c r="J298" s="9"/>
      <c r="K298" s="23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1">
        <v>3.0</v>
      </c>
      <c r="B299" s="246" t="s">
        <v>219</v>
      </c>
      <c r="C299" s="247" t="s">
        <v>219</v>
      </c>
      <c r="D299" s="248" t="s">
        <v>219</v>
      </c>
      <c r="E299" s="251"/>
      <c r="F299" s="281"/>
      <c r="G299" s="9"/>
      <c r="H299" s="9"/>
      <c r="I299" s="9"/>
      <c r="J299" s="9"/>
      <c r="K299" s="23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1">
        <v>4.0</v>
      </c>
      <c r="B300" s="246" t="s">
        <v>219</v>
      </c>
      <c r="C300" s="247" t="s">
        <v>219</v>
      </c>
      <c r="D300" s="248" t="s">
        <v>219</v>
      </c>
      <c r="E300" s="251"/>
      <c r="F300" s="281"/>
      <c r="G300" s="9"/>
      <c r="H300" s="9"/>
      <c r="I300" s="9"/>
      <c r="J300" s="9"/>
      <c r="K300" s="23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1">
        <v>5.0</v>
      </c>
      <c r="B301" s="246" t="s">
        <v>219</v>
      </c>
      <c r="C301" s="247" t="s">
        <v>219</v>
      </c>
      <c r="D301" s="248" t="s">
        <v>219</v>
      </c>
      <c r="E301" s="251"/>
      <c r="F301" s="281"/>
      <c r="G301" s="24"/>
      <c r="H301" s="9"/>
      <c r="I301" s="9"/>
      <c r="J301" s="9"/>
      <c r="K301" s="23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50">
        <f>'Données projet'!A270</f>
        <v>25</v>
      </c>
      <c r="B302" s="256">
        <f>'Données projet'!D270</f>
        <v>0</v>
      </c>
      <c r="C302" s="244">
        <f>'Données projet'!E270*50+SUM('Données projet'!F270:G270)*13.8+'Données projet'!H270*10</f>
        <v>10</v>
      </c>
      <c r="D302" s="257">
        <f t="shared" ref="D302:D321" si="12">B302*C302</f>
        <v>0</v>
      </c>
      <c r="E302" s="251"/>
      <c r="F302" s="260"/>
      <c r="G302" s="24"/>
      <c r="H302" s="9"/>
      <c r="I302" s="9"/>
      <c r="J302" s="9"/>
      <c r="K302" s="23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50">
        <f>'Données projet'!A271</f>
        <v>30</v>
      </c>
      <c r="B303" s="256">
        <f>'Données projet'!D271</f>
        <v>0</v>
      </c>
      <c r="C303" s="244">
        <f>'Données projet'!E271*50+SUM('Données projet'!F271:G271)*13.8+'Données projet'!H271*10</f>
        <v>10</v>
      </c>
      <c r="D303" s="257">
        <f t="shared" si="12"/>
        <v>0</v>
      </c>
      <c r="E303" s="251"/>
      <c r="F303" s="260"/>
      <c r="G303" s="24"/>
      <c r="H303" s="9"/>
      <c r="I303" s="9"/>
      <c r="J303" s="9"/>
      <c r="K303" s="23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50">
        <f>'Données projet'!A272</f>
        <v>35</v>
      </c>
      <c r="B304" s="256">
        <f>'Données projet'!D272</f>
        <v>13</v>
      </c>
      <c r="C304" s="244">
        <f>'Données projet'!E272*50+SUM('Données projet'!F272:G272)*13.8+'Données projet'!H272*10</f>
        <v>18</v>
      </c>
      <c r="D304" s="257">
        <f t="shared" si="12"/>
        <v>234</v>
      </c>
      <c r="E304" s="251"/>
      <c r="F304" s="260"/>
      <c r="G304" s="24"/>
      <c r="H304" s="9"/>
      <c r="I304" s="9"/>
      <c r="J304" s="9"/>
      <c r="K304" s="23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50">
        <f>'Données projet'!A273</f>
        <v>40</v>
      </c>
      <c r="B305" s="256">
        <f>'Données projet'!D273</f>
        <v>14</v>
      </c>
      <c r="C305" s="244">
        <f>'Données projet'!E273*50+SUM('Données projet'!F273:G273)*13.8+'Données projet'!H273*10</f>
        <v>18</v>
      </c>
      <c r="D305" s="257">
        <f t="shared" si="12"/>
        <v>252</v>
      </c>
      <c r="E305" s="251"/>
      <c r="F305" s="260"/>
      <c r="G305" s="24"/>
      <c r="H305" s="9"/>
      <c r="I305" s="9"/>
      <c r="J305" s="9"/>
      <c r="K305" s="23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50">
        <f>'Données projet'!A274</f>
        <v>45</v>
      </c>
      <c r="B306" s="256">
        <f>'Données projet'!D274</f>
        <v>14</v>
      </c>
      <c r="C306" s="244">
        <f>'Données projet'!E274*50+SUM('Données projet'!F274:G274)*13.8+'Données projet'!H274*10</f>
        <v>26</v>
      </c>
      <c r="D306" s="257">
        <f t="shared" si="12"/>
        <v>364</v>
      </c>
      <c r="E306" s="251"/>
      <c r="F306" s="260"/>
      <c r="G306" s="24"/>
      <c r="H306" s="9"/>
      <c r="I306" s="9"/>
      <c r="J306" s="9"/>
      <c r="K306" s="23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50">
        <f>'Données projet'!A275</f>
        <v>50</v>
      </c>
      <c r="B307" s="256">
        <f>'Données projet'!D275</f>
        <v>14</v>
      </c>
      <c r="C307" s="244">
        <f>'Données projet'!E275*50+SUM('Données projet'!F275:G275)*13.8+'Données projet'!H275*10</f>
        <v>26</v>
      </c>
      <c r="D307" s="257">
        <f t="shared" si="12"/>
        <v>364</v>
      </c>
      <c r="E307" s="251"/>
      <c r="F307" s="260"/>
      <c r="G307" s="24"/>
      <c r="H307" s="9"/>
      <c r="I307" s="9"/>
      <c r="J307" s="9"/>
      <c r="K307" s="23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50">
        <f>'Données projet'!A276</f>
        <v>55</v>
      </c>
      <c r="B308" s="256">
        <f>'Données projet'!D276</f>
        <v>14</v>
      </c>
      <c r="C308" s="244">
        <f>'Données projet'!E276*50+SUM('Données projet'!F276:G276)*13.8+'Données projet'!H276*10</f>
        <v>34</v>
      </c>
      <c r="D308" s="257">
        <f t="shared" si="12"/>
        <v>476</v>
      </c>
      <c r="E308" s="251"/>
      <c r="F308" s="260"/>
      <c r="G308" s="273"/>
      <c r="H308" s="9"/>
      <c r="I308" s="9"/>
      <c r="J308" s="9"/>
      <c r="K308" s="23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50">
        <f>'Données projet'!A277</f>
        <v>60</v>
      </c>
      <c r="B309" s="256">
        <f>'Données projet'!D277</f>
        <v>148</v>
      </c>
      <c r="C309" s="244">
        <f>'Données projet'!E277*50+SUM('Données projet'!F277:G277)*13.8+'Données projet'!H277*10</f>
        <v>42</v>
      </c>
      <c r="D309" s="257">
        <f t="shared" si="12"/>
        <v>6216</v>
      </c>
      <c r="E309" s="251"/>
      <c r="F309" s="260"/>
      <c r="G309" s="273"/>
      <c r="H309" s="9"/>
      <c r="I309" s="9"/>
      <c r="J309" s="9"/>
      <c r="K309" s="23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72" t="str">
        <f>'Données projet'!A278</f>
        <v/>
      </c>
      <c r="B310" s="272" t="str">
        <f>'Données projet'!D278</f>
        <v/>
      </c>
      <c r="C310" s="244"/>
      <c r="D310" s="257">
        <f t="shared" si="12"/>
        <v>0</v>
      </c>
      <c r="E310" s="251"/>
      <c r="F310" s="260"/>
      <c r="G310" s="273"/>
      <c r="H310" s="9"/>
      <c r="I310" s="9"/>
      <c r="J310" s="9"/>
      <c r="K310" s="23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72" t="str">
        <f>'Données projet'!A279</f>
        <v/>
      </c>
      <c r="B311" s="272" t="str">
        <f>'Données projet'!D279</f>
        <v/>
      </c>
      <c r="C311" s="244"/>
      <c r="D311" s="257">
        <f t="shared" si="12"/>
        <v>0</v>
      </c>
      <c r="E311" s="251"/>
      <c r="F311" s="260"/>
      <c r="G311" s="273"/>
      <c r="H311" s="9"/>
      <c r="I311" s="9"/>
      <c r="J311" s="9"/>
      <c r="K311" s="23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72" t="str">
        <f>'Données projet'!A280</f>
        <v/>
      </c>
      <c r="B312" s="272" t="str">
        <f>'Données projet'!D280</f>
        <v/>
      </c>
      <c r="C312" s="244"/>
      <c r="D312" s="257">
        <f t="shared" si="12"/>
        <v>0</v>
      </c>
      <c r="E312" s="251"/>
      <c r="F312" s="260"/>
      <c r="G312" s="273"/>
      <c r="H312" s="9"/>
      <c r="I312" s="9"/>
      <c r="J312" s="9"/>
      <c r="K312" s="23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72" t="str">
        <f>'Données projet'!A281</f>
        <v/>
      </c>
      <c r="B313" s="272" t="str">
        <f>'Données projet'!D281</f>
        <v/>
      </c>
      <c r="C313" s="244"/>
      <c r="D313" s="257">
        <f t="shared" si="12"/>
        <v>0</v>
      </c>
      <c r="E313" s="251"/>
      <c r="F313" s="260"/>
      <c r="G313" s="273"/>
      <c r="H313" s="9"/>
      <c r="I313" s="9"/>
      <c r="J313" s="9"/>
      <c r="K313" s="23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72" t="str">
        <f>'Données projet'!A282</f>
        <v/>
      </c>
      <c r="B314" s="272" t="str">
        <f>'Données projet'!D282</f>
        <v/>
      </c>
      <c r="C314" s="244"/>
      <c r="D314" s="257">
        <f t="shared" si="12"/>
        <v>0</v>
      </c>
      <c r="E314" s="251"/>
      <c r="F314" s="260"/>
      <c r="G314" s="273"/>
      <c r="H314" s="9"/>
      <c r="I314" s="9"/>
      <c r="J314" s="9"/>
      <c r="K314" s="23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72" t="str">
        <f>'Données projet'!A283</f>
        <v/>
      </c>
      <c r="B315" s="272" t="str">
        <f>'Données projet'!D283</f>
        <v/>
      </c>
      <c r="C315" s="244"/>
      <c r="D315" s="257">
        <f t="shared" si="12"/>
        <v>0</v>
      </c>
      <c r="E315" s="251"/>
      <c r="F315" s="260"/>
      <c r="G315" s="273"/>
      <c r="H315" s="9"/>
      <c r="I315" s="9"/>
      <c r="J315" s="9"/>
      <c r="K315" s="23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72" t="str">
        <f>'Données projet'!A284</f>
        <v/>
      </c>
      <c r="B316" s="272" t="str">
        <f>'Données projet'!D284</f>
        <v/>
      </c>
      <c r="C316" s="244"/>
      <c r="D316" s="257">
        <f t="shared" si="12"/>
        <v>0</v>
      </c>
      <c r="E316" s="251"/>
      <c r="F316" s="260"/>
      <c r="G316" s="273"/>
      <c r="H316" s="9"/>
      <c r="I316" s="9"/>
      <c r="J316" s="9"/>
      <c r="K316" s="23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72" t="str">
        <f>'Données projet'!A285</f>
        <v/>
      </c>
      <c r="B317" s="272" t="str">
        <f>'Données projet'!D285</f>
        <v/>
      </c>
      <c r="C317" s="244"/>
      <c r="D317" s="257">
        <f t="shared" si="12"/>
        <v>0</v>
      </c>
      <c r="E317" s="251"/>
      <c r="F317" s="260"/>
      <c r="G317" s="273"/>
      <c r="H317" s="9"/>
      <c r="I317" s="9"/>
      <c r="J317" s="9"/>
      <c r="K317" s="23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72" t="str">
        <f>'Données projet'!A286</f>
        <v/>
      </c>
      <c r="B318" s="272" t="str">
        <f>'Données projet'!D286</f>
        <v/>
      </c>
      <c r="C318" s="244"/>
      <c r="D318" s="257">
        <f t="shared" si="12"/>
        <v>0</v>
      </c>
      <c r="E318" s="251"/>
      <c r="F318" s="260"/>
      <c r="G318" s="273"/>
      <c r="H318" s="9"/>
      <c r="I318" s="9"/>
      <c r="J318" s="9"/>
      <c r="K318" s="23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72" t="str">
        <f>'Données projet'!A287</f>
        <v/>
      </c>
      <c r="B319" s="272" t="str">
        <f>'Données projet'!D287</f>
        <v/>
      </c>
      <c r="C319" s="244"/>
      <c r="D319" s="257">
        <f t="shared" si="12"/>
        <v>0</v>
      </c>
      <c r="E319" s="251"/>
      <c r="F319" s="260"/>
      <c r="G319" s="273"/>
      <c r="H319" s="9"/>
      <c r="I319" s="9"/>
      <c r="J319" s="9"/>
      <c r="K319" s="23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72" t="str">
        <f>'Données projet'!A288</f>
        <v/>
      </c>
      <c r="B320" s="272" t="str">
        <f>'Données projet'!D288</f>
        <v/>
      </c>
      <c r="C320" s="244"/>
      <c r="D320" s="257">
        <f t="shared" si="12"/>
        <v>0</v>
      </c>
      <c r="E320" s="251"/>
      <c r="F320" s="260"/>
      <c r="G320" s="273"/>
      <c r="H320" s="9"/>
      <c r="I320" s="9"/>
      <c r="J320" s="9"/>
      <c r="K320" s="23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72" t="str">
        <f>'Données projet'!A289</f>
        <v/>
      </c>
      <c r="B321" s="272" t="str">
        <f>'Données projet'!D289</f>
        <v/>
      </c>
      <c r="C321" s="292"/>
      <c r="D321" s="257">
        <f t="shared" si="12"/>
        <v>0</v>
      </c>
      <c r="E321" s="251"/>
      <c r="F321" s="260"/>
      <c r="G321" s="273"/>
      <c r="H321" s="9"/>
      <c r="I321" s="9"/>
      <c r="J321" s="9"/>
      <c r="K321" s="23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73"/>
      <c r="H322" s="9"/>
      <c r="I322" s="9"/>
      <c r="J322" s="9"/>
      <c r="K322" s="23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73"/>
      <c r="H323" s="9"/>
      <c r="I323" s="9"/>
      <c r="J323" s="9"/>
      <c r="K323" s="23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73"/>
      <c r="H324" s="9"/>
      <c r="I324" s="9"/>
      <c r="J324" s="9"/>
      <c r="K324" s="23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73"/>
      <c r="H325" s="9"/>
      <c r="I325" s="9"/>
      <c r="J325" s="9"/>
      <c r="K325" s="23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73"/>
      <c r="H326" s="9"/>
      <c r="I326" s="9"/>
      <c r="J326" s="9"/>
      <c r="K326" s="23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73"/>
      <c r="H327" s="9"/>
      <c r="I327" s="9"/>
      <c r="J327" s="9"/>
      <c r="K327" s="23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7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C293:E293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5" max="25" width="14.43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71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110" t="s">
        <v>101</v>
      </c>
      <c r="C1" s="111"/>
      <c r="D1" s="111"/>
      <c r="E1" s="111"/>
      <c r="F1" s="111"/>
      <c r="G1" s="111"/>
      <c r="H1" s="112"/>
      <c r="I1" s="113" t="str">
        <f>IF('Données projet (1)'!$B$9="","",'Données projet (1)'!$B$9)</f>
        <v>#REF!</v>
      </c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2"/>
      <c r="AD1" s="114" t="str">
        <f>IF('Données projet (1)'!$B$10="","",'Données projet (1)'!$B$10)</f>
        <v>#REF!</v>
      </c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2"/>
      <c r="AY1" s="113" t="str">
        <f>IF('Données projet (1)'!$B$11="","",'Données projet (1)'!$B$11)</f>
        <v>#REF!</v>
      </c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2"/>
      <c r="BT1" s="113" t="str">
        <f>IF('Données projet (1)'!$B$12="","",'Données projet (1)'!$B$12)</f>
        <v>#REF!</v>
      </c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2"/>
      <c r="CO1" s="113" t="str">
        <f>IF('Données projet (1)'!$B$13="","",'Données projet (1)'!$B$13)</f>
        <v>#REF!</v>
      </c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2"/>
      <c r="DJ1" s="113" t="str">
        <f>IF('Données projet (1)'!$B$14="","",'Données projet (1)'!$B$14)</f>
        <v>#REF!</v>
      </c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2"/>
      <c r="EE1" s="113" t="str">
        <f>IF('Données projet (1)'!$B$15="","",'Données projet (1)'!$B$15)</f>
        <v>#REF!</v>
      </c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2"/>
      <c r="EZ1" s="113" t="str">
        <f>IF('Données projet (1)'!$B$16="","",'Données projet (1)'!$B$16)</f>
        <v>#REF!</v>
      </c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2"/>
      <c r="FU1" s="113" t="str">
        <f>IF('Données projet (1)'!$B$17="","",'Données projet (1)'!$B$17)</f>
        <v>#REF!</v>
      </c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2"/>
      <c r="GP1" s="113" t="str">
        <f>IF('Données projet (1)'!$B$18="","",'Données projet (1)'!$B$18)</f>
        <v>#REF!</v>
      </c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  <c r="HJ1" s="112"/>
    </row>
    <row r="2" ht="14.25" customHeight="1">
      <c r="A2" s="115" t="s">
        <v>102</v>
      </c>
      <c r="B2" s="116" t="s">
        <v>103</v>
      </c>
      <c r="C2" s="117" t="s">
        <v>104</v>
      </c>
      <c r="D2" s="117" t="s">
        <v>105</v>
      </c>
      <c r="E2" s="117" t="s">
        <v>106</v>
      </c>
      <c r="F2" s="117" t="s">
        <v>107</v>
      </c>
      <c r="G2" s="117" t="s">
        <v>108</v>
      </c>
      <c r="H2" s="118" t="s">
        <v>351</v>
      </c>
      <c r="I2" s="119" t="s">
        <v>106</v>
      </c>
      <c r="J2" s="120" t="s">
        <v>107</v>
      </c>
      <c r="K2" s="121" t="s">
        <v>110</v>
      </c>
      <c r="L2" s="121" t="s">
        <v>111</v>
      </c>
      <c r="M2" s="121" t="s">
        <v>111</v>
      </c>
      <c r="N2" s="121" t="s">
        <v>112</v>
      </c>
      <c r="O2" s="121" t="s">
        <v>113</v>
      </c>
      <c r="P2" s="121" t="s">
        <v>114</v>
      </c>
      <c r="Q2" s="121" t="s">
        <v>108</v>
      </c>
      <c r="R2" s="121" t="s">
        <v>115</v>
      </c>
      <c r="S2" s="121" t="s">
        <v>116</v>
      </c>
      <c r="T2" s="121" t="s">
        <v>117</v>
      </c>
      <c r="U2" s="122" t="s">
        <v>118</v>
      </c>
      <c r="V2" s="123" t="s">
        <v>119</v>
      </c>
      <c r="W2" s="122" t="s">
        <v>59</v>
      </c>
      <c r="X2" s="122" t="s">
        <v>60</v>
      </c>
      <c r="Y2" s="122" t="s">
        <v>120</v>
      </c>
      <c r="Z2" s="123" t="s">
        <v>121</v>
      </c>
      <c r="AA2" s="123" t="s">
        <v>122</v>
      </c>
      <c r="AB2" s="123" t="s">
        <v>123</v>
      </c>
      <c r="AC2" s="124" t="s">
        <v>124</v>
      </c>
      <c r="AD2" s="120" t="s">
        <v>106</v>
      </c>
      <c r="AE2" s="120" t="s">
        <v>107</v>
      </c>
      <c r="AF2" s="121" t="s">
        <v>110</v>
      </c>
      <c r="AG2" s="121" t="s">
        <v>111</v>
      </c>
      <c r="AH2" s="121" t="s">
        <v>111</v>
      </c>
      <c r="AI2" s="121" t="s">
        <v>112</v>
      </c>
      <c r="AJ2" s="121" t="s">
        <v>113</v>
      </c>
      <c r="AK2" s="121" t="s">
        <v>114</v>
      </c>
      <c r="AL2" s="121" t="s">
        <v>108</v>
      </c>
      <c r="AM2" s="121" t="s">
        <v>115</v>
      </c>
      <c r="AN2" s="121" t="s">
        <v>116</v>
      </c>
      <c r="AO2" s="121" t="s">
        <v>117</v>
      </c>
      <c r="AP2" s="122" t="s">
        <v>118</v>
      </c>
      <c r="AQ2" s="123" t="s">
        <v>119</v>
      </c>
      <c r="AR2" s="122" t="s">
        <v>59</v>
      </c>
      <c r="AS2" s="122" t="s">
        <v>60</v>
      </c>
      <c r="AT2" s="123" t="s">
        <v>125</v>
      </c>
      <c r="AU2" s="123" t="s">
        <v>121</v>
      </c>
      <c r="AV2" s="123" t="s">
        <v>122</v>
      </c>
      <c r="AW2" s="123" t="s">
        <v>123</v>
      </c>
      <c r="AX2" s="123" t="s">
        <v>124</v>
      </c>
      <c r="AY2" s="119" t="s">
        <v>106</v>
      </c>
      <c r="AZ2" s="120" t="s">
        <v>107</v>
      </c>
      <c r="BA2" s="121" t="s">
        <v>110</v>
      </c>
      <c r="BB2" s="121" t="s">
        <v>111</v>
      </c>
      <c r="BC2" s="121" t="s">
        <v>111</v>
      </c>
      <c r="BD2" s="121" t="s">
        <v>112</v>
      </c>
      <c r="BE2" s="121" t="s">
        <v>113</v>
      </c>
      <c r="BF2" s="121" t="s">
        <v>114</v>
      </c>
      <c r="BG2" s="121" t="s">
        <v>108</v>
      </c>
      <c r="BH2" s="121" t="s">
        <v>115</v>
      </c>
      <c r="BI2" s="121" t="s">
        <v>116</v>
      </c>
      <c r="BJ2" s="121" t="s">
        <v>117</v>
      </c>
      <c r="BK2" s="122" t="s">
        <v>118</v>
      </c>
      <c r="BL2" s="123" t="s">
        <v>119</v>
      </c>
      <c r="BM2" s="122" t="s">
        <v>59</v>
      </c>
      <c r="BN2" s="122" t="s">
        <v>60</v>
      </c>
      <c r="BO2" s="123" t="s">
        <v>125</v>
      </c>
      <c r="BP2" s="123" t="s">
        <v>121</v>
      </c>
      <c r="BQ2" s="123" t="s">
        <v>122</v>
      </c>
      <c r="BR2" s="123" t="s">
        <v>123</v>
      </c>
      <c r="BS2" s="124" t="s">
        <v>124</v>
      </c>
      <c r="BT2" s="119" t="s">
        <v>106</v>
      </c>
      <c r="BU2" s="120" t="s">
        <v>107</v>
      </c>
      <c r="BV2" s="121" t="s">
        <v>110</v>
      </c>
      <c r="BW2" s="121" t="s">
        <v>111</v>
      </c>
      <c r="BX2" s="121" t="s">
        <v>111</v>
      </c>
      <c r="BY2" s="121" t="s">
        <v>112</v>
      </c>
      <c r="BZ2" s="121" t="s">
        <v>113</v>
      </c>
      <c r="CA2" s="121" t="s">
        <v>114</v>
      </c>
      <c r="CB2" s="121" t="s">
        <v>108</v>
      </c>
      <c r="CC2" s="121" t="s">
        <v>115</v>
      </c>
      <c r="CD2" s="121" t="s">
        <v>116</v>
      </c>
      <c r="CE2" s="121" t="s">
        <v>117</v>
      </c>
      <c r="CF2" s="122" t="s">
        <v>118</v>
      </c>
      <c r="CG2" s="123" t="s">
        <v>119</v>
      </c>
      <c r="CH2" s="122" t="s">
        <v>59</v>
      </c>
      <c r="CI2" s="122" t="s">
        <v>60</v>
      </c>
      <c r="CJ2" s="123" t="s">
        <v>125</v>
      </c>
      <c r="CK2" s="123" t="s">
        <v>121</v>
      </c>
      <c r="CL2" s="123" t="s">
        <v>122</v>
      </c>
      <c r="CM2" s="123" t="s">
        <v>123</v>
      </c>
      <c r="CN2" s="124" t="s">
        <v>124</v>
      </c>
      <c r="CO2" s="119" t="s">
        <v>106</v>
      </c>
      <c r="CP2" s="120" t="s">
        <v>107</v>
      </c>
      <c r="CQ2" s="121" t="s">
        <v>110</v>
      </c>
      <c r="CR2" s="121" t="s">
        <v>111</v>
      </c>
      <c r="CS2" s="121" t="s">
        <v>111</v>
      </c>
      <c r="CT2" s="121" t="s">
        <v>112</v>
      </c>
      <c r="CU2" s="121" t="s">
        <v>113</v>
      </c>
      <c r="CV2" s="121" t="s">
        <v>114</v>
      </c>
      <c r="CW2" s="121" t="s">
        <v>108</v>
      </c>
      <c r="CX2" s="121" t="s">
        <v>115</v>
      </c>
      <c r="CY2" s="121" t="s">
        <v>116</v>
      </c>
      <c r="CZ2" s="121" t="s">
        <v>117</v>
      </c>
      <c r="DA2" s="122" t="s">
        <v>118</v>
      </c>
      <c r="DB2" s="123" t="s">
        <v>119</v>
      </c>
      <c r="DC2" s="122" t="s">
        <v>59</v>
      </c>
      <c r="DD2" s="122" t="s">
        <v>60</v>
      </c>
      <c r="DE2" s="123" t="s">
        <v>125</v>
      </c>
      <c r="DF2" s="123" t="s">
        <v>121</v>
      </c>
      <c r="DG2" s="123" t="s">
        <v>122</v>
      </c>
      <c r="DH2" s="123" t="s">
        <v>123</v>
      </c>
      <c r="DI2" s="124" t="s">
        <v>124</v>
      </c>
      <c r="DJ2" s="119" t="s">
        <v>106</v>
      </c>
      <c r="DK2" s="120" t="s">
        <v>107</v>
      </c>
      <c r="DL2" s="121" t="s">
        <v>110</v>
      </c>
      <c r="DM2" s="121" t="s">
        <v>111</v>
      </c>
      <c r="DN2" s="121" t="s">
        <v>111</v>
      </c>
      <c r="DO2" s="121" t="s">
        <v>112</v>
      </c>
      <c r="DP2" s="121" t="s">
        <v>113</v>
      </c>
      <c r="DQ2" s="121" t="s">
        <v>114</v>
      </c>
      <c r="DR2" s="121" t="s">
        <v>108</v>
      </c>
      <c r="DS2" s="121" t="s">
        <v>115</v>
      </c>
      <c r="DT2" s="121" t="s">
        <v>116</v>
      </c>
      <c r="DU2" s="121" t="s">
        <v>117</v>
      </c>
      <c r="DV2" s="122" t="s">
        <v>118</v>
      </c>
      <c r="DW2" s="123" t="s">
        <v>119</v>
      </c>
      <c r="DX2" s="122" t="s">
        <v>59</v>
      </c>
      <c r="DY2" s="122" t="s">
        <v>60</v>
      </c>
      <c r="DZ2" s="123" t="s">
        <v>125</v>
      </c>
      <c r="EA2" s="123" t="s">
        <v>121</v>
      </c>
      <c r="EB2" s="123" t="s">
        <v>122</v>
      </c>
      <c r="EC2" s="123" t="s">
        <v>123</v>
      </c>
      <c r="ED2" s="124" t="s">
        <v>124</v>
      </c>
      <c r="EE2" s="119" t="s">
        <v>106</v>
      </c>
      <c r="EF2" s="120" t="s">
        <v>107</v>
      </c>
      <c r="EG2" s="121" t="s">
        <v>110</v>
      </c>
      <c r="EH2" s="121" t="s">
        <v>111</v>
      </c>
      <c r="EI2" s="121" t="s">
        <v>111</v>
      </c>
      <c r="EJ2" s="121" t="s">
        <v>112</v>
      </c>
      <c r="EK2" s="121" t="s">
        <v>113</v>
      </c>
      <c r="EL2" s="121" t="s">
        <v>114</v>
      </c>
      <c r="EM2" s="121" t="s">
        <v>108</v>
      </c>
      <c r="EN2" s="121" t="s">
        <v>115</v>
      </c>
      <c r="EO2" s="121" t="s">
        <v>116</v>
      </c>
      <c r="EP2" s="121" t="s">
        <v>117</v>
      </c>
      <c r="EQ2" s="122" t="s">
        <v>118</v>
      </c>
      <c r="ER2" s="123" t="s">
        <v>119</v>
      </c>
      <c r="ES2" s="122" t="s">
        <v>59</v>
      </c>
      <c r="ET2" s="122" t="s">
        <v>60</v>
      </c>
      <c r="EU2" s="123" t="s">
        <v>125</v>
      </c>
      <c r="EV2" s="123" t="s">
        <v>121</v>
      </c>
      <c r="EW2" s="123" t="s">
        <v>122</v>
      </c>
      <c r="EX2" s="123" t="s">
        <v>123</v>
      </c>
      <c r="EY2" s="124" t="s">
        <v>124</v>
      </c>
      <c r="EZ2" s="119" t="s">
        <v>106</v>
      </c>
      <c r="FA2" s="120" t="s">
        <v>107</v>
      </c>
      <c r="FB2" s="121" t="s">
        <v>110</v>
      </c>
      <c r="FC2" s="121" t="s">
        <v>111</v>
      </c>
      <c r="FD2" s="121" t="s">
        <v>111</v>
      </c>
      <c r="FE2" s="121" t="s">
        <v>112</v>
      </c>
      <c r="FF2" s="121" t="s">
        <v>113</v>
      </c>
      <c r="FG2" s="121" t="s">
        <v>114</v>
      </c>
      <c r="FH2" s="121" t="s">
        <v>108</v>
      </c>
      <c r="FI2" s="121" t="s">
        <v>115</v>
      </c>
      <c r="FJ2" s="121" t="s">
        <v>116</v>
      </c>
      <c r="FK2" s="121" t="s">
        <v>117</v>
      </c>
      <c r="FL2" s="122" t="s">
        <v>118</v>
      </c>
      <c r="FM2" s="123" t="s">
        <v>119</v>
      </c>
      <c r="FN2" s="122" t="s">
        <v>59</v>
      </c>
      <c r="FO2" s="122" t="s">
        <v>60</v>
      </c>
      <c r="FP2" s="123" t="s">
        <v>126</v>
      </c>
      <c r="FQ2" s="123" t="s">
        <v>121</v>
      </c>
      <c r="FR2" s="123" t="s">
        <v>122</v>
      </c>
      <c r="FS2" s="123" t="s">
        <v>123</v>
      </c>
      <c r="FT2" s="124" t="s">
        <v>124</v>
      </c>
      <c r="FU2" s="119" t="s">
        <v>106</v>
      </c>
      <c r="FV2" s="120" t="s">
        <v>107</v>
      </c>
      <c r="FW2" s="121" t="s">
        <v>110</v>
      </c>
      <c r="FX2" s="121" t="s">
        <v>111</v>
      </c>
      <c r="FY2" s="121" t="s">
        <v>111</v>
      </c>
      <c r="FZ2" s="121" t="s">
        <v>112</v>
      </c>
      <c r="GA2" s="121" t="s">
        <v>113</v>
      </c>
      <c r="GB2" s="121" t="s">
        <v>114</v>
      </c>
      <c r="GC2" s="121" t="s">
        <v>108</v>
      </c>
      <c r="GD2" s="121" t="s">
        <v>115</v>
      </c>
      <c r="GE2" s="121" t="s">
        <v>116</v>
      </c>
      <c r="GF2" s="121" t="s">
        <v>117</v>
      </c>
      <c r="GG2" s="122" t="s">
        <v>118</v>
      </c>
      <c r="GH2" s="123" t="s">
        <v>119</v>
      </c>
      <c r="GI2" s="122" t="s">
        <v>59</v>
      </c>
      <c r="GJ2" s="122" t="s">
        <v>60</v>
      </c>
      <c r="GK2" s="123" t="s">
        <v>125</v>
      </c>
      <c r="GL2" s="123" t="s">
        <v>121</v>
      </c>
      <c r="GM2" s="123" t="s">
        <v>122</v>
      </c>
      <c r="GN2" s="123" t="s">
        <v>123</v>
      </c>
      <c r="GO2" s="123" t="s">
        <v>124</v>
      </c>
      <c r="GP2" s="119" t="s">
        <v>106</v>
      </c>
      <c r="GQ2" s="120" t="s">
        <v>107</v>
      </c>
      <c r="GR2" s="121" t="s">
        <v>110</v>
      </c>
      <c r="GS2" s="121" t="s">
        <v>111</v>
      </c>
      <c r="GT2" s="121" t="s">
        <v>111</v>
      </c>
      <c r="GU2" s="121" t="s">
        <v>112</v>
      </c>
      <c r="GV2" s="121" t="s">
        <v>113</v>
      </c>
      <c r="GW2" s="121" t="s">
        <v>114</v>
      </c>
      <c r="GX2" s="121" t="s">
        <v>108</v>
      </c>
      <c r="GY2" s="121" t="s">
        <v>115</v>
      </c>
      <c r="GZ2" s="121" t="s">
        <v>116</v>
      </c>
      <c r="HA2" s="121" t="s">
        <v>117</v>
      </c>
      <c r="HB2" s="122" t="s">
        <v>118</v>
      </c>
      <c r="HC2" s="123" t="s">
        <v>119</v>
      </c>
      <c r="HD2" s="122" t="s">
        <v>59</v>
      </c>
      <c r="HE2" s="122" t="s">
        <v>60</v>
      </c>
      <c r="HF2" s="123" t="s">
        <v>125</v>
      </c>
      <c r="HG2" s="123" t="s">
        <v>121</v>
      </c>
      <c r="HH2" s="123" t="s">
        <v>122</v>
      </c>
      <c r="HI2" s="123" t="s">
        <v>123</v>
      </c>
      <c r="HJ2" s="124" t="s">
        <v>124</v>
      </c>
    </row>
    <row r="3" ht="14.25" customHeight="1">
      <c r="A3" s="125">
        <v>0.0</v>
      </c>
      <c r="B3" s="126" t="str">
        <f t="shared" ref="B3:B203" si="1">'Scénario référence (1)'!$B$16*5+'Scénario référence (1)'!$B$17*0+'Scénario référence (1)'!$B$18*5</f>
        <v>#REF!</v>
      </c>
      <c r="C3" s="127">
        <v>0.0</v>
      </c>
      <c r="D3" s="127">
        <v>0.0</v>
      </c>
      <c r="E3" s="127" t="str">
        <f t="shared" ref="E3:E203" si="2">'Scénario référence (1)'!$B$16*45+('Scénario référence (1)'!$B$17+'Scénario référence (1)'!$F$8+'Scénario référence (1)'!$F$9+'Scénario référence (1)'!$B$10+'Scénario référence (1)'!$B$9)*70+'Scénario référence (1)'!$B$18*32</f>
        <v>#REF!</v>
      </c>
      <c r="F3" s="127" t="str">
        <f t="shared" ref="F3:F203" si="3">IF(OR('Scénario référence (1)'!$F$8&gt;0,'Scénario référence (1)'!$F$9&gt;0),('Scénario référence (1)'!$F$8+'Scénario référence (1)'!$F$9)*10,0)</f>
        <v>#REF!</v>
      </c>
      <c r="G3" s="127" t="str">
        <f t="shared" ref="G3:G205" si="4">'Scénario référence (1)'!$B$8*B3*44/12+'Scénario référence (1)'!$B$9*(C3+D3)/0.475*44/12+'Scénario référence (1)'!$B$10*(C3+D3)/0.475*44/12+'Scénario référence (1)'!$F$8*(C3+D3)/0.475*44/12+'Scénario référence (1)'!$F$9*(C3+D3)/0.475*44/12</f>
        <v>#REF!</v>
      </c>
      <c r="H3" s="128" t="str">
        <f t="shared" ref="H3:H203" si="5">(B3+E3+F3)*44/12+(C3+D3)*0.475*44/12</f>
        <v>#REF!</v>
      </c>
      <c r="I3" s="129" t="str">
        <f t="shared" ref="I3:I203" si="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J3" s="130" t="str">
        <f t="shared" ref="J3:J203" si="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K3" s="131">
        <v>0.0</v>
      </c>
      <c r="L3" s="131" t="str">
        <f t="shared" ref="L3:L203" si="8">VLOOKUP(A3,'Données projet (1)'!$A$35:$I$55,9,0)</f>
        <v>#REF!</v>
      </c>
      <c r="M3" s="131">
        <v>0.0</v>
      </c>
      <c r="N3" s="130">
        <v>0.0</v>
      </c>
      <c r="O3" s="131" t="str">
        <f>N3*VLOOKUP('Données projet (1)'!$B$9,'Paramètres (1)'!$A$1:$I$88,3,0)*VLOOKUP('Données projet (1)'!$B$9,'Paramètres (1)'!$A$1:$I$88,5,0)</f>
        <v>#REF!</v>
      </c>
      <c r="P3" s="131">
        <v>0.0</v>
      </c>
      <c r="Q3" s="132" t="str">
        <f t="shared" ref="Q3:Q203" si="9">(O3+P3)*0.475*44/12</f>
        <v>#REF!</v>
      </c>
      <c r="R3" s="133" t="str">
        <f t="shared" ref="R3:R203" si="10">Q3+(I3+J3)*44/12</f>
        <v>#REF!</v>
      </c>
      <c r="S3" s="133" t="str">
        <f t="shared" ref="S3:S203" si="11">AVERAGE(OFFSET($R$3,0,0,'Données projet (1)'!$E$9+1,1))-AVERAGE(OFFSET($H$3,0,0,'Données projet (1)'!$E$9+1,1))</f>
        <v>#REF!</v>
      </c>
      <c r="T3" s="133" t="str">
        <f>IF('Données projet (1)'!E9&gt;30,$R$33-$H$33,LOOKUP('Données projet (1)'!$E$9,$A$3:$A$203,R3:R203)-LOOKUP('Données projet (1)'!$E$9,$A$3:$A$203,$H$3:$H$203))</f>
        <v>#REF!</v>
      </c>
      <c r="U3" s="134" t="str">
        <f t="shared" ref="U3:U203" si="12">IF(ISNA(VLOOKUP(A3,'Données projet (1)'!$A$35:$I$55,3,0)),0,VLOOKUP(A3,'Données projet (1)'!$A$35:$I$55,3,0))</f>
        <v>#REF!</v>
      </c>
      <c r="V3" s="134" t="str">
        <f t="shared" ref="V3:V203" si="13">IF(ISNA(VLOOKUP(A3,'Données projet (1)'!$A$35:$I$55,4,0)),0,VLOOKUP(A3,'Données projet (1)'!$A$35:$I$55,4,0))</f>
        <v>#REF!</v>
      </c>
      <c r="W3" s="135" t="str">
        <f>IF(ISNA(VLOOKUP(A3,'Données projet (1)'!$A$35:$I$55,5,0)),0%,VLOOKUP(A3,'Données projet (1)'!$A$35:$I$55,5,0)*VLOOKUP('Données projet (1)'!$B$9,'Paramètres (1)'!$A$1:$I$88,7,0))</f>
        <v>#REF!</v>
      </c>
      <c r="X3" s="135" t="str">
        <f>IF(ISNA(VLOOKUP(A3,'Données projet (1)'!$A$35:$I$55,6,0)),0%,VLOOKUP(A3,'Données projet (1)'!$A$35:$I$55,6,0)*VLOOKUP('Données projet (1)'!$B$9,'Paramètres (1)'!$A$1:$I$88,7,0))</f>
        <v>#REF!</v>
      </c>
      <c r="Y3" s="135" t="str">
        <f t="shared" ref="Y3:Y203" si="14">IF(ISNA(VLOOKUP(A3,'Données projet (1)'!$A$35:$I$55,7,0)),0%,VLOOKUP(A3,'Données projet (1)'!$A$35:$I$55,7,0))</f>
        <v>#REF!</v>
      </c>
      <c r="Z3" s="134">
        <v>0.0</v>
      </c>
      <c r="AA3" s="134">
        <v>0.0</v>
      </c>
      <c r="AB3" s="134">
        <v>0.0</v>
      </c>
      <c r="AC3" s="136">
        <f t="shared" ref="AC3:AC203" si="15">SUM(Z3:AB3)</f>
        <v>0</v>
      </c>
      <c r="AD3" s="130" t="str">
        <f t="shared" ref="AD3:AD203" si="1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E3" s="130" t="str">
        <f t="shared" ref="AE3:AE203" si="1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AF3" s="131">
        <v>0.0</v>
      </c>
      <c r="AG3" s="131" t="str">
        <f t="shared" ref="AG3:AG203" si="18">VLOOKUP(A3,'Données projet (1)'!$A$61:$I$81,9,0)</f>
        <v>#REF!</v>
      </c>
      <c r="AH3" s="131">
        <v>0.0</v>
      </c>
      <c r="AI3" s="130">
        <v>0.0</v>
      </c>
      <c r="AJ3" s="130" t="str">
        <f>AI3*VLOOKUP('Données projet (1)'!$B$10,'Paramètres (1)'!$A$1:$I$88,3,0)*VLOOKUP('Données projet (1)'!$B$10,'Paramètres (1)'!$A$1:$I$88,5,0)</f>
        <v>#REF!</v>
      </c>
      <c r="AK3" s="131">
        <v>0.0</v>
      </c>
      <c r="AL3" s="132" t="str">
        <f t="shared" ref="AL3:AL203" si="19">(AJ3+AK3)*0.475*44/12</f>
        <v>#REF!</v>
      </c>
      <c r="AM3" s="133" t="str">
        <f t="shared" ref="AM3:AM203" si="20">AL3+(AD3+AE3)*44/12</f>
        <v>#REF!</v>
      </c>
      <c r="AN3" s="133" t="str">
        <f t="shared" ref="AN3:AN203" si="21">AVERAGE(OFFSET($AM$3,0,0,'Données projet (1)'!$E$10+1,1))-AVERAGE(OFFSET($H$3,0,0,'Données projet (1)'!$E$10+1,1))</f>
        <v>#REF!</v>
      </c>
      <c r="AO3" s="133" t="str">
        <f>IF('Données projet (1)'!E10&gt;30,$AM$33-$H$33,LOOKUP('Données projet (1)'!$E$10,$A$3:$A$203,AM3:AM203)-LOOKUP('Données projet (1)'!$E$10,$A$3:$A$203,$H$3:$H$203))</f>
        <v>#REF!</v>
      </c>
      <c r="AP3" s="134" t="str">
        <f t="shared" ref="AP3:AP203" si="22">IF(ISNA(VLOOKUP(A3,'Données projet (1)'!$A$61:$I$81,3,0)),0,VLOOKUP(A3,'Données projet (1)'!$A$61:$I$81,3,0))</f>
        <v>#REF!</v>
      </c>
      <c r="AQ3" s="134" t="str">
        <f t="shared" ref="AQ3:AQ203" si="23">IF(ISNA(VLOOKUP(A3,'Données projet (1)'!$A$61:$I$81,4,0)),0,VLOOKUP(A3,'Données projet (1)'!$A$61:$I$81,4,0))</f>
        <v>#REF!</v>
      </c>
      <c r="AR3" s="135" t="str">
        <f>IF(ISNA(VLOOKUP(A3,'Données projet (1)'!$A$61:$I$81,5,0)),0%,VLOOKUP(A3,'Données projet (1)'!$A$61:$I$81,5,0)*VLOOKUP('Données projet (1)'!$B$10,'Paramètres (1)'!$A$1:$I$88,7,0))</f>
        <v>#REF!</v>
      </c>
      <c r="AS3" s="135" t="str">
        <f>IF(ISNA(VLOOKUP(A3,'Données projet (1)'!$A$61:$I$81,6,0)),0%,VLOOKUP(A3,'Données projet (1)'!$A$61:$I$81,6,0)*VLOOKUP('Données projet (1)'!$B$10,'Paramètres (1)'!$A$1:$I$88,7,0))</f>
        <v>#REF!</v>
      </c>
      <c r="AT3" s="135" t="str">
        <f t="shared" ref="AT3:AT203" si="24">IF(ISNA(VLOOKUP(A3,'Données projet (1)'!$A$61:$I$81,7,0)),0%,VLOOKUP(A3,'Données projet (1)'!$A$61:$I$81,7,0))</f>
        <v>#REF!</v>
      </c>
      <c r="AU3" s="134">
        <v>0.0</v>
      </c>
      <c r="AV3" s="134">
        <v>0.0</v>
      </c>
      <c r="AW3" s="134">
        <v>0.0</v>
      </c>
      <c r="AX3" s="134">
        <f t="shared" ref="AX3:AX203" si="25">SUM(AU3:AW3)</f>
        <v>0</v>
      </c>
      <c r="AY3" s="137" t="str">
        <f t="shared" ref="AY3:AY203" si="2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Z3" s="131" t="str">
        <f t="shared" ref="AZ3:AZ203" si="2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A3" s="131">
        <v>0.0</v>
      </c>
      <c r="BB3" s="131" t="str">
        <f t="shared" ref="BB3:BB203" si="28">VLOOKUP(A3,'Données projet (1)'!$A$87:$I$107,9,0)</f>
        <v>#REF!</v>
      </c>
      <c r="BC3" s="131">
        <v>0.0</v>
      </c>
      <c r="BD3" s="131">
        <v>0.0</v>
      </c>
      <c r="BE3" s="138" t="str">
        <f>BD3*VLOOKUP('Données projet (1)'!$B$11,'Paramètres (1)'!$A$1:$I$88,3,0)*VLOOKUP('Données projet (1)'!$B$11,'Paramètres (1)'!$A$1:$I$88,5,0)</f>
        <v>#REF!</v>
      </c>
      <c r="BF3" s="131">
        <v>0.0</v>
      </c>
      <c r="BG3" s="132" t="str">
        <f t="shared" ref="BG3:BG203" si="29">(BE3+BF3)*0.475*44/12</f>
        <v>#REF!</v>
      </c>
      <c r="BH3" s="133" t="str">
        <f t="shared" ref="BH3:BH203" si="30">BG3+(AY3+AZ3)*44/12</f>
        <v>#REF!</v>
      </c>
      <c r="BI3" s="133" t="str">
        <f t="shared" ref="BI3:BI203" si="31">AVERAGE(OFFSET($BH$3,0,0,'Données projet (1)'!$E$11+1,1))-AVERAGE(OFFSET($H$3,0,0,'Données projet (1)'!$E$11+1,1))</f>
        <v>#REF!</v>
      </c>
      <c r="BJ3" s="133" t="str">
        <f>IF('Données projet (1)'!E11&gt;30,$BH$33-$H$33,LOOKUP('Données projet (1)'!$E$11,$A$3:$A$203,BH3:BH203)-LOOKUP('Données projet (1)'!$E$11,$A$3:$A$203,$H$3:$H$203))</f>
        <v>#REF!</v>
      </c>
      <c r="BK3" s="134" t="str">
        <f t="shared" ref="BK3:BK203" si="32">IF(ISNA(VLOOKUP(A3,'Données projet (1)'!$A$87:$I$107,3,0)),0,VLOOKUP(A3,'Données projet (1)'!$A$87:$I$107,3,0))</f>
        <v>#REF!</v>
      </c>
      <c r="BL3" s="134" t="str">
        <f t="shared" ref="BL3:BL203" si="33">IF(ISNA(VLOOKUP(A3,'Données projet (1)'!$A$87:$I$107,4,0)),0,VLOOKUP(A3,'Données projet (1)'!$A$87:$I$107,4,0))</f>
        <v>#REF!</v>
      </c>
      <c r="BM3" s="135" t="str">
        <f>IF(ISNA(VLOOKUP(A3,'Données projet (1)'!$A$87:$I$107,5,0)),0%,VLOOKUP(A3,'Données projet (1)'!$A$87:$I$107,5,0)*VLOOKUP('Données projet (1)'!$B$11,'Paramètres (1)'!$A$1:$I$88,7,0))</f>
        <v>#REF!</v>
      </c>
      <c r="BN3" s="135" t="str">
        <f>IF(ISNA(VLOOKUP(A3,'Données projet (1)'!$A$87:$I$107,6,0)),0%,VLOOKUP(A3,'Données projet (1)'!$A$87:$I$107,6,0)*VLOOKUP('Données projet (1)'!$B$11,'Paramètres (1)'!$A$1:$I$88,7,0))</f>
        <v>#REF!</v>
      </c>
      <c r="BO3" s="135" t="str">
        <f t="shared" ref="BO3:BO203" si="34">IF(ISNA(VLOOKUP(A3,'Données projet (1)'!$A$87:$I$107,7,0)),0%,VLOOKUP(A3,'Données projet (1)'!$A$87:$I$107,7,0))</f>
        <v>#REF!</v>
      </c>
      <c r="BP3" s="134">
        <v>0.0</v>
      </c>
      <c r="BQ3" s="134">
        <v>0.0</v>
      </c>
      <c r="BR3" s="134">
        <v>0.0</v>
      </c>
      <c r="BS3" s="136">
        <f t="shared" ref="BS3:BS203" si="35">SUM(BP3:BR3)</f>
        <v>0</v>
      </c>
      <c r="BT3" s="139" t="str">
        <f t="shared" ref="BT3:BT203" si="3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BU3" s="131" t="str">
        <f t="shared" ref="BU3:BU203" si="3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V3" s="131">
        <v>0.0</v>
      </c>
      <c r="BW3" s="131" t="str">
        <f t="shared" ref="BW3:BW203" si="38">VLOOKUP(A3,'Données projet (1)'!$A$113:$I$133,9,0)</f>
        <v>#REF!</v>
      </c>
      <c r="BX3" s="131">
        <v>0.0</v>
      </c>
      <c r="BY3" s="131">
        <v>0.0</v>
      </c>
      <c r="BZ3" s="138" t="str">
        <f>BY3*VLOOKUP('Données projet (1)'!$B$12,'Paramètres (1)'!$A$1:$I$88,3,0)*VLOOKUP('Données projet (1)'!$B$12,'Paramètres (1)'!$A$1:$I$88,5,0)</f>
        <v>#REF!</v>
      </c>
      <c r="CA3" s="131">
        <v>0.0</v>
      </c>
      <c r="CB3" s="132" t="str">
        <f t="shared" ref="CB3:CB203" si="39">(BZ3+CA3)*0.475*44/12</f>
        <v>#REF!</v>
      </c>
      <c r="CC3" s="133" t="str">
        <f t="shared" ref="CC3:CC203" si="40">CB3+(BT3+BU3)*44/12</f>
        <v>#REF!</v>
      </c>
      <c r="CD3" s="133" t="str">
        <f t="shared" ref="CD3:CD203" si="41">AVERAGE(OFFSET($CC$3,0,0,'Données projet (1)'!$E$12+1,1))-AVERAGE(OFFSET($H$3,0,0,'Données projet (1)'!$E$12+1,1))</f>
        <v>#REF!</v>
      </c>
      <c r="CE3" s="133" t="str">
        <f>IF('Données projet (1)'!E12&gt;30,$CC$33-$H$33,LOOKUP('Données projet (1)'!$E$12,$A$3:$A$203,CC3:CC203)-LOOKUP('Données projet (1)'!$E$12,$A$3:$A$203,$H$3:$H$203))</f>
        <v>#REF!</v>
      </c>
      <c r="CF3" s="134" t="str">
        <f t="shared" ref="CF3:CF203" si="42">IF(ISNA(VLOOKUP(A3,'Données projet (1)'!$A$113:$I$133,3,0)),0,VLOOKUP(A3,'Données projet (1)'!$A$113:$I$133,3,0))</f>
        <v>#REF!</v>
      </c>
      <c r="CG3" s="134" t="str">
        <f t="shared" ref="CG3:CG203" si="43">IF(ISNA(VLOOKUP(A3,'Données projet (1)'!$A$113:$I$133,4,0)),0,VLOOKUP(A3,'Données projet (1)'!$A$113:$I$133,4,0))</f>
        <v>#REF!</v>
      </c>
      <c r="CH3" s="135" t="str">
        <f>IF(ISNA(VLOOKUP(A3,'Données projet (1)'!$A$113:$I$133,5,0)),0%,VLOOKUP(A3,'Données projet (1)'!$A$113:$I$133,5,0)*VLOOKUP('Données projet (1)'!$B$12,'Paramètres (1)'!$A$1:$I$88,7,0))</f>
        <v>#REF!</v>
      </c>
      <c r="CI3" s="135" t="str">
        <f>IF(ISNA(VLOOKUP(A3,'Données projet (1)'!$A$113:$I$133,6,0)),0%,VLOOKUP(A3,'Données projet (1)'!$A$113:$I$133,6,0)*VLOOKUP('Données projet (1)'!$B$12,'Paramètres (1)'!$A$1:$I$88,7,0))</f>
        <v>#REF!</v>
      </c>
      <c r="CJ3" s="135" t="str">
        <f t="shared" ref="CJ3:CJ203" si="44">IF(ISNA(VLOOKUP(A3,'Données projet (1)'!$A$113:$I$133,7,0)),0%,VLOOKUP(A3,'Données projet (1)'!$A$113:$I$133,7,0))</f>
        <v>#REF!</v>
      </c>
      <c r="CK3" s="134">
        <v>0.0</v>
      </c>
      <c r="CL3" s="134">
        <v>0.0</v>
      </c>
      <c r="CM3" s="134">
        <v>0.0</v>
      </c>
      <c r="CN3" s="136">
        <f t="shared" ref="CN3:CN203" si="45">SUM(CK3:CM3)</f>
        <v>0</v>
      </c>
      <c r="CO3" s="139" t="str">
        <f t="shared" ref="CO3:CO203" si="4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CP3" s="131" t="str">
        <f t="shared" ref="CP3:CP203" si="4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CQ3" s="131">
        <v>0.0</v>
      </c>
      <c r="CR3" s="131" t="str">
        <f t="shared" ref="CR3:CR203" si="48">VLOOKUP(A3,'Données projet (1)'!$A$139:$I$159,9,0)</f>
        <v>#REF!</v>
      </c>
      <c r="CS3" s="131">
        <v>0.0</v>
      </c>
      <c r="CT3" s="131">
        <v>0.0</v>
      </c>
      <c r="CU3" s="138" t="str">
        <f>CT3*VLOOKUP('Données projet (1)'!$B$13,'Paramètres (1)'!$A$1:$I$88,3,0)*VLOOKUP('Données projet (1)'!$B$13,'Paramètres (1)'!$A$1:$I$88,5,0)</f>
        <v>#REF!</v>
      </c>
      <c r="CV3" s="131">
        <v>0.0</v>
      </c>
      <c r="CW3" s="132" t="str">
        <f t="shared" ref="CW3:CW203" si="49">(CU3+CV3)*0.475*44/12</f>
        <v>#REF!</v>
      </c>
      <c r="CX3" s="133" t="str">
        <f t="shared" ref="CX3:CX203" si="50">CW3+(CO3+CP3)*44/12</f>
        <v>#REF!</v>
      </c>
      <c r="CY3" s="133" t="str">
        <f t="shared" ref="CY3:CY203" si="51">AVERAGE(OFFSET($CX$3,0,0,'Données projet (1)'!$E$13+1,1))-AVERAGE(OFFSET($H$3,0,0,'Données projet (1)'!$E$13+1,1))</f>
        <v>#REF!</v>
      </c>
      <c r="CZ3" s="133" t="str">
        <f>IF('Données projet (1)'!E13&gt;30,$CX$33-$H$33,LOOKUP('Données projet (1)'!$E$13,$A$3:$A$203,CX3:CX203)-LOOKUP('Données projet (1)'!$E$13,$A$3:$A$203,$H$3:$H$203))</f>
        <v>#REF!</v>
      </c>
      <c r="DA3" s="134" t="str">
        <f t="shared" ref="DA3:DA203" si="52">IF(ISNA(VLOOKUP(A3,'Données projet (1)'!$A$139:$I$159,3,0)),0,VLOOKUP(A3,'Données projet (1)'!$A$139:$I$159,3,0))</f>
        <v>#REF!</v>
      </c>
      <c r="DB3" s="134" t="str">
        <f t="shared" ref="DB3:DB203" si="53">IF(ISNA(VLOOKUP(A3,'Données projet (1)'!$A$139:$I$159,4,0)),0,VLOOKUP(A3,'Données projet (1)'!$A$139:$I$159,4,0))</f>
        <v>#REF!</v>
      </c>
      <c r="DC3" s="135" t="str">
        <f>IF(ISNA(VLOOKUP(A3,'Données projet (1)'!$A$139:$I$159,5,0)),0%,VLOOKUP(A3,'Données projet (1)'!$A$139:$I$159,5,0)*VLOOKUP('Données projet (1)'!$B$13,'Paramètres (1)'!$A$1:$I$88,7,0))</f>
        <v>#REF!</v>
      </c>
      <c r="DD3" s="135" t="str">
        <f>IF(ISNA(VLOOKUP(A3,'Données projet (1)'!$A$139:$I$159,6,0)),0%,VLOOKUP(A3,'Données projet (1)'!$A$139:$I$159,6,0)*VLOOKUP('Données projet (1)'!$B$13,'Paramètres (1)'!$A$1:$I$88,7,0))</f>
        <v>#REF!</v>
      </c>
      <c r="DE3" s="135" t="str">
        <f t="shared" ref="DE3:DE203" si="54">IF(ISNA(VLOOKUP(A3,'Données projet (1)'!$A$139:$I$159,7,0)),0%,VLOOKUP(A3,'Données projet (1)'!$A$139:$I$159,7,0))</f>
        <v>#REF!</v>
      </c>
      <c r="DF3" s="134">
        <v>0.0</v>
      </c>
      <c r="DG3" s="134">
        <v>0.0</v>
      </c>
      <c r="DH3" s="134">
        <v>0.0</v>
      </c>
      <c r="DI3" s="136">
        <f t="shared" ref="DI3:DI203" si="55">SUM(DF3:DH3)</f>
        <v>0</v>
      </c>
      <c r="DJ3" s="139" t="str">
        <f t="shared" ref="DJ3:DJ203" si="5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DK3" s="131" t="str">
        <f t="shared" ref="DK3:DK203" si="5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DL3" s="131">
        <v>0.0</v>
      </c>
      <c r="DM3" s="131" t="str">
        <f t="shared" ref="DM3:DM203" si="58">VLOOKUP(A3,'Données projet (1)'!$A$165:$I$185,9,0)</f>
        <v>#REF!</v>
      </c>
      <c r="DN3" s="131">
        <v>0.0</v>
      </c>
      <c r="DO3" s="131">
        <v>0.0</v>
      </c>
      <c r="DP3" s="138" t="str">
        <f>DO3*VLOOKUP('Données projet (1)'!$B$14,'Paramètres (1)'!$A$1:$I$88,3,0)*VLOOKUP('Données projet (1)'!$B$14,'Paramètres (1)'!$A$1:$I$88,5,0)</f>
        <v>#REF!</v>
      </c>
      <c r="DQ3" s="131">
        <v>0.0</v>
      </c>
      <c r="DR3" s="132" t="str">
        <f t="shared" ref="DR3:DR203" si="59">(DP3+DQ3)*0.475*44/12</f>
        <v>#REF!</v>
      </c>
      <c r="DS3" s="133" t="str">
        <f t="shared" ref="DS3:DS203" si="60">DR3+(DJ3+DK3)*44/12</f>
        <v>#REF!</v>
      </c>
      <c r="DT3" s="133" t="str">
        <f t="shared" ref="DT3:DT203" si="61">AVERAGE(OFFSET($DS$3,0,0,'Données projet (1)'!$E$14+1,1))-AVERAGE(OFFSET($H$3,0,0,'Données projet (1)'!$E$14+1,1))</f>
        <v>#REF!</v>
      </c>
      <c r="DU3" s="133" t="str">
        <f>IF('Données projet (1)'!E14&gt;30,$DS$33-$H$33,LOOKUP('Données projet (1)'!$E$14,$A$3:$A$203,DS3:DS203)-LOOKUP('Données projet (1)'!$E$14,$A$3:$A$203,$H$3:$H$203))</f>
        <v>#REF!</v>
      </c>
      <c r="DV3" s="134" t="str">
        <f t="shared" ref="DV3:DV203" si="62">IF(ISNA(VLOOKUP(A3,'Données projet (1)'!$A$165:$I$185,3,0)),0,VLOOKUP(A3,'Données projet (1)'!$A$165:$I$185,3,0))</f>
        <v>#REF!</v>
      </c>
      <c r="DW3" s="134" t="str">
        <f t="shared" ref="DW3:DW203" si="63">IF(ISNA(VLOOKUP(A3,'Données projet (1)'!$A$165:$I$185,4,0)),0,VLOOKUP(A3,'Données projet (1)'!$A$165:$I$185,4,0))</f>
        <v>#REF!</v>
      </c>
      <c r="DX3" s="135" t="str">
        <f>IF(ISNA(VLOOKUP(A3,'Données projet (1)'!$A$165:$I$185,5,0)),0%,VLOOKUP(A3,'Données projet (1)'!$A$165:$I$185,5,0)*VLOOKUP('Données projet (1)'!$B$14,'Paramètres (1)'!$A$1:$I$88,7,0))</f>
        <v>#REF!</v>
      </c>
      <c r="DY3" s="135" t="str">
        <f>IF(ISNA(VLOOKUP(A3,'Données projet (1)'!$A$165:$I$185,6,0)),0%,VLOOKUP(A3,'Données projet (1)'!$A$165:$I$185,6,0)*VLOOKUP('Données projet (1)'!$B$14,'Paramètres (1)'!$A$1:$I$88,7,0))</f>
        <v>#REF!</v>
      </c>
      <c r="DZ3" s="135" t="str">
        <f t="shared" ref="DZ3:DZ203" si="64">IF(ISNA(VLOOKUP(A3,'Données projet (1)'!$A$165:$I$185,7,0)),0%,VLOOKUP(A3,'Données projet (1)'!$A$165:$I$185,7,0))</f>
        <v>#REF!</v>
      </c>
      <c r="EA3" s="134">
        <v>0.0</v>
      </c>
      <c r="EB3" s="134">
        <v>0.0</v>
      </c>
      <c r="EC3" s="134">
        <v>0.0</v>
      </c>
      <c r="ED3" s="136">
        <f t="shared" ref="ED3:ED203" si="65">SUM(EA3:EC3)</f>
        <v>0</v>
      </c>
      <c r="EE3" s="139" t="str">
        <f t="shared" ref="EE3:EE203" si="6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EF3" s="131" t="str">
        <f t="shared" ref="EF3:EF203" si="6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EG3" s="131">
        <v>0.0</v>
      </c>
      <c r="EH3" s="131" t="str">
        <f t="shared" ref="EH3:EH203" si="68">VLOOKUP(A3,'Données projet (1)'!$A$191:$I$211,9,0)</f>
        <v>#REF!</v>
      </c>
      <c r="EI3" s="131">
        <v>0.0</v>
      </c>
      <c r="EJ3" s="131">
        <v>0.0</v>
      </c>
      <c r="EK3" s="138" t="str">
        <f>EJ3*VLOOKUP('Données projet (1)'!$B$15,'Paramètres (1)'!$A$1:$I$88,3,0)*VLOOKUP('Données projet (1)'!$B$15,'Paramètres (1)'!$A$1:$I$88,5,0)</f>
        <v>#REF!</v>
      </c>
      <c r="EL3" s="131">
        <v>0.0</v>
      </c>
      <c r="EM3" s="132" t="str">
        <f t="shared" ref="EM3:EM203" si="69">(EK3+EL3)*0.475*44/12</f>
        <v>#REF!</v>
      </c>
      <c r="EN3" s="133" t="str">
        <f t="shared" ref="EN3:EN203" si="70">EM3+(EE3+EF3)*44/12</f>
        <v>#REF!</v>
      </c>
      <c r="EO3" s="133" t="str">
        <f t="shared" ref="EO3:EO203" si="71">AVERAGE(OFFSET($EN$3,0,0,'Données projet (1)'!$E$15+1,1))-AVERAGE(OFFSET($H$3,0,0,'Données projet (1)'!$E$15+1,1))</f>
        <v>#REF!</v>
      </c>
      <c r="EP3" s="133" t="str">
        <f>IF('Données projet (1)'!E15&gt;30,$EN$33-$H$33,LOOKUP('Données projet (1)'!$E$15,$A$3:$A$203,EN3:EN203)-LOOKUP('Données projet (1)'!$E$15,$A$3:$A$203,$H$3:$H$203))</f>
        <v>#REF!</v>
      </c>
      <c r="EQ3" s="134" t="str">
        <f t="shared" ref="EQ3:EQ203" si="72">IF(ISNA(VLOOKUP(A3,'Données projet (1)'!$A$191:$I$211,3,0)),0,VLOOKUP(A3,'Données projet (1)'!$A$191:$I$211,3,0))</f>
        <v>#REF!</v>
      </c>
      <c r="ER3" s="134" t="str">
        <f t="shared" ref="ER3:ER203" si="73">IF(ISNA(VLOOKUP(A3,'Données projet (1)'!$A$191:$I$211,4,0)),0,VLOOKUP(A3,'Données projet (1)'!$A$191:$I$211,4,0))</f>
        <v>#REF!</v>
      </c>
      <c r="ES3" s="135" t="str">
        <f>IF(ISNA(VLOOKUP(A3,'Données projet (1)'!$A$191:$I$211,5,0)),0%,VLOOKUP(A3,'Données projet (1)'!$A$191:$I$211,5,0)*VLOOKUP('Données projet (1)'!$B$15,'Paramètres (1)'!$A$1:$I$88,7,0))</f>
        <v>#REF!</v>
      </c>
      <c r="ET3" s="135" t="str">
        <f>IF(ISNA(VLOOKUP(A3,'Données projet (1)'!$A$191:$I$211,6,0)),0%,VLOOKUP(A3,'Données projet (1)'!$A$191:$I$211,6,0)*VLOOKUP('Données projet (1)'!$B$15,'Paramètres (1)'!$A$1:$I$88,7,0))</f>
        <v>#REF!</v>
      </c>
      <c r="EU3" s="135" t="str">
        <f t="shared" ref="EU3:EU203" si="74">IF(ISNA(VLOOKUP(A3,'Données projet (1)'!$A$191:$I$211,7,0)),0%,VLOOKUP(A3,'Données projet (1)'!$A$191:$I$211,7,0))</f>
        <v>#REF!</v>
      </c>
      <c r="EV3" s="134">
        <v>0.0</v>
      </c>
      <c r="EW3" s="134">
        <v>0.0</v>
      </c>
      <c r="EX3" s="134">
        <v>0.0</v>
      </c>
      <c r="EY3" s="136">
        <f t="shared" ref="EY3:EY203" si="75">SUM(EV3:EX3)</f>
        <v>0</v>
      </c>
      <c r="EZ3" s="139" t="str">
        <f t="shared" ref="EZ3:EZ203" si="7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A3" s="131" t="str">
        <f t="shared" ref="FA3:FA203" si="7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B3" s="131">
        <v>0.0</v>
      </c>
      <c r="FC3" s="131" t="str">
        <f t="shared" ref="FC3:FC203" si="78">VLOOKUP(A3,'Données projet (1)'!$A$217:$I$237,9,0)</f>
        <v>#REF!</v>
      </c>
      <c r="FD3" s="131">
        <v>0.0</v>
      </c>
      <c r="FE3" s="131">
        <v>0.0</v>
      </c>
      <c r="FF3" s="138" t="str">
        <f>FE3*VLOOKUP('Données projet (1)'!$B$16,'Paramètres (1)'!$A$1:$I$88,3,0)*VLOOKUP('Données projet (1)'!$B$16,'Paramètres (1)'!$A$1:$I$88,5,0)</f>
        <v>#REF!</v>
      </c>
      <c r="FG3" s="131">
        <v>0.0</v>
      </c>
      <c r="FH3" s="132" t="str">
        <f t="shared" ref="FH3:FH203" si="79">(FF3+FG3)*0.475*44/12</f>
        <v>#REF!</v>
      </c>
      <c r="FI3" s="133" t="str">
        <f t="shared" ref="FI3:FI203" si="80">FH3+(EZ3+FA3)*44/12</f>
        <v>#REF!</v>
      </c>
      <c r="FJ3" s="133" t="str">
        <f t="shared" ref="FJ3:FJ203" si="81">AVERAGE(OFFSET($FI$3,0,0,'Données projet (1)'!$E$16+1,1))-AVERAGE(OFFSET($H$3,0,0,'Données projet (1)'!$E$16+1,1))</f>
        <v>#REF!</v>
      </c>
      <c r="FK3" s="133" t="str">
        <f>IF('Données projet (1)'!E16&gt;30,$FI$33-$H$33,LOOKUP('Données projet (1)'!$E$16,$A$3:$A$203,FI3:FI203)-LOOKUP('Données projet (1)'!$E$16,$A$3:$A$203,$H$3:$H$203))</f>
        <v>#REF!</v>
      </c>
      <c r="FL3" s="134" t="str">
        <f t="shared" ref="FL3:FL203" si="82">IF(ISNA(VLOOKUP(A3,'Données projet (1)'!$A$217:$I$237,3,0)),0,VLOOKUP(A3,'Données projet (1)'!$A$217:$I$237,3,0))</f>
        <v>#REF!</v>
      </c>
      <c r="FM3" s="134" t="str">
        <f t="shared" ref="FM3:FM203" si="83">IF(ISNA(VLOOKUP(A3,'Données projet (1)'!$A$217:$I$237,4,0)),0,VLOOKUP(A3,'Données projet (1)'!$A$217:$I$237,4,0))</f>
        <v>#REF!</v>
      </c>
      <c r="FN3" s="135" t="str">
        <f>IF(ISNA(VLOOKUP(A3,'Données projet (1)'!$A$217:$I$237,5,0)),0%,VLOOKUP(A3,'Données projet (1)'!$A$217:$I$237,5,0)*VLOOKUP('Données projet (1)'!$B$16,'Paramètres (1)'!$A$1:$I$88,7,0))</f>
        <v>#REF!</v>
      </c>
      <c r="FO3" s="135" t="str">
        <f>IF(ISNA(VLOOKUP(A3,'Données projet (1)'!$A$217:$I$237,6,0)),0%,VLOOKUP(A3,'Données projet (1)'!$A$217:$I$237,6,0)*VLOOKUP('Données projet (1)'!$B$16,'Paramètres (1)'!$A$1:$I$88,7,0))</f>
        <v>#REF!</v>
      </c>
      <c r="FP3" s="135" t="str">
        <f t="shared" ref="FP3:FP203" si="84">IF(ISNA(VLOOKUP(A3,'Données projet (1)'!$A$217:$I$237,7,0)),0%,VLOOKUP(A3,'Données projet (1)'!$A$217:$I$237,7,0))</f>
        <v>#REF!</v>
      </c>
      <c r="FQ3" s="134">
        <v>0.0</v>
      </c>
      <c r="FR3" s="134">
        <v>0.0</v>
      </c>
      <c r="FS3" s="134">
        <v>0.0</v>
      </c>
      <c r="FT3" s="136">
        <f t="shared" ref="FT3:FT203" si="85">SUM(FQ3:FS3)</f>
        <v>0</v>
      </c>
      <c r="FU3" s="139" t="str">
        <f t="shared" ref="FU3:FU203" si="8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V3" s="131" t="str">
        <f t="shared" ref="FV3:FV203" si="8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W3" s="131">
        <v>0.0</v>
      </c>
      <c r="FX3" s="131" t="str">
        <f t="shared" ref="FX3:FX203" si="88">VLOOKUP(A3,'Données projet (1)'!$A$243:$I$263,9,0)</f>
        <v>#REF!</v>
      </c>
      <c r="FY3" s="131">
        <v>0.0</v>
      </c>
      <c r="FZ3" s="131">
        <v>0.0</v>
      </c>
      <c r="GA3" s="138" t="str">
        <f>FZ3*VLOOKUP('Données projet (1)'!$B$17,'Paramètres (1)'!$A$1:$I$88,3,0)*VLOOKUP('Données projet (1)'!$B$17,'Paramètres (1)'!$A$1:$I$88,5,0)</f>
        <v>#REF!</v>
      </c>
      <c r="GB3" s="131">
        <v>0.0</v>
      </c>
      <c r="GC3" s="132" t="str">
        <f t="shared" ref="GC3:GC203" si="89">(GA3+GB3)*0.475*44/12</f>
        <v>#REF!</v>
      </c>
      <c r="GD3" s="133" t="str">
        <f t="shared" ref="GD3:GD203" si="90">GC3+(FU3+FV3)*44/12</f>
        <v>#REF!</v>
      </c>
      <c r="GE3" s="133" t="str">
        <f t="shared" ref="GE3:GE203" si="91">AVERAGE(OFFSET($GD$3,0,0,'Données projet (1)'!$E$17+1,1))-AVERAGE(OFFSET($H$3,0,0,'Données projet (1)'!$E$17+1,1))</f>
        <v>#REF!</v>
      </c>
      <c r="GF3" s="133" t="str">
        <f>IF('Données projet (1)'!E17&gt;30,$GD$33-$H$33,LOOKUP('Données projet (1)'!$E$17,$A$3:$A$203,GD3:GD203)-LOOKUP('Données projet (1)'!$E$17,$A$3:$A$203,$H$3:$H$203))</f>
        <v>#REF!</v>
      </c>
      <c r="GG3" s="134" t="str">
        <f t="shared" ref="GG3:GG203" si="92">IF(ISNA(VLOOKUP(A3,'Données projet (1)'!$A$243:$I$263,3,0)),0,VLOOKUP(A3,'Données projet (1)'!$A$243:$I$263,3,0))</f>
        <v>#REF!</v>
      </c>
      <c r="GH3" s="134" t="str">
        <f t="shared" ref="GH3:GH203" si="93">IF(ISNA(VLOOKUP(A3,'Données projet (1)'!$A$243:$I$263,4,0)),0,VLOOKUP(A3,'Données projet (1)'!$A$243:$I$263,4,0))</f>
        <v>#REF!</v>
      </c>
      <c r="GI3" s="135" t="str">
        <f>IF(ISNA(VLOOKUP(A3,'Données projet (1)'!$A$243:$I$263,5,0)),0%,VLOOKUP(A3,'Données projet (1)'!$A$243:$I$263,5,0)*VLOOKUP('Données projet (1)'!$B$17,'Paramètres (1)'!$A$1:$I$88,7,0))</f>
        <v>#REF!</v>
      </c>
      <c r="GJ3" s="135" t="str">
        <f>IF(ISNA(VLOOKUP(A3,'Données projet (1)'!$A$243:$I$263,6,0)),0%,VLOOKUP(A3,'Données projet (1)'!$A$243:$I$263,6,0)*VLOOKUP('Données projet (1)'!$B$17,'Paramètres (1)'!$A$1:$I$88,7,0))</f>
        <v>#REF!</v>
      </c>
      <c r="GK3" s="135" t="str">
        <f t="shared" ref="GK3:GK203" si="94">IF(ISNA(VLOOKUP(A3,'Données projet (1)'!$A$243:$I$263,7,0)),0%,VLOOKUP(A3,'Données projet (1)'!$A$243:$I$263,7,0))</f>
        <v>#REF!</v>
      </c>
      <c r="GL3" s="134">
        <v>0.0</v>
      </c>
      <c r="GM3" s="134">
        <v>0.0</v>
      </c>
      <c r="GN3" s="134">
        <v>0.0</v>
      </c>
      <c r="GO3" s="134">
        <f t="shared" ref="GO3:GO203" si="95">SUM(GL3:GN3)</f>
        <v>0</v>
      </c>
      <c r="GP3" s="139" t="str">
        <f t="shared" ref="GP3:GP203" si="9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GQ3" s="131" t="str">
        <f t="shared" ref="GQ3:GQ203" si="9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GR3" s="131">
        <v>0.0</v>
      </c>
      <c r="GS3" s="131" t="str">
        <f t="shared" ref="GS3:GS203" si="98">VLOOKUP(A3,'Données projet (1)'!$A$269:$I$289,9,0)</f>
        <v>#REF!</v>
      </c>
      <c r="GT3" s="131">
        <v>0.0</v>
      </c>
      <c r="GU3" s="131">
        <v>0.0</v>
      </c>
      <c r="GV3" s="138" t="str">
        <f>GU3*VLOOKUP('Données projet (1)'!$B$18,'Paramètres (1)'!$A$1:$I$88,3,0)*VLOOKUP('Données projet (1)'!$B$18,'Paramètres (1)'!$A$1:$I$88,5,0)</f>
        <v>#REF!</v>
      </c>
      <c r="GW3" s="131">
        <v>0.0</v>
      </c>
      <c r="GX3" s="132" t="str">
        <f t="shared" ref="GX3:GX203" si="99">(GV3+GW3)*0.475*44/12</f>
        <v>#REF!</v>
      </c>
      <c r="GY3" s="133" t="str">
        <f t="shared" ref="GY3:GY203" si="100">GX3+(GP3+GQ3)*44/12</f>
        <v>#REF!</v>
      </c>
      <c r="GZ3" s="133" t="str">
        <f t="shared" ref="GZ3:GZ203" si="101">AVERAGE(OFFSET($GY$3,0,0,'Données projet (1)'!$E$18+1,1))-AVERAGE(OFFSET($H$3,0,0,'Données projet (1)'!$E$18+1,1))</f>
        <v>#REF!</v>
      </c>
      <c r="HA3" s="133" t="str">
        <f>IF('Données projet (1)'!E18&gt;30,$GY$33-$H$33,LOOKUP('Données projet (1)'!$E$18,$A$3:$A$203,GY3:GY203)-LOOKUP('Données projet (1)'!$E$18,$A$3:$A$203,$H$3:$H$203))</f>
        <v>#REF!</v>
      </c>
      <c r="HB3" s="134" t="str">
        <f t="shared" ref="HB3:HB203" si="102">IF(ISNA(VLOOKUP(A3,'Données projet (1)'!$A$269:$I$289,3,0)),0,VLOOKUP(A3,'Données projet (1)'!$A$269:$I$289,3,0))</f>
        <v>#REF!</v>
      </c>
      <c r="HC3" s="134" t="str">
        <f t="shared" ref="HC3:HC203" si="103">IF(ISNA(VLOOKUP(A3,'Données projet (1)'!$A$269:$I$289,4,0)),0,VLOOKUP(A3,'Données projet (1)'!$A$269:$I$289,4,0))</f>
        <v>#REF!</v>
      </c>
      <c r="HD3" s="135" t="str">
        <f>IF(ISNA(VLOOKUP(A3,'Données projet (1)'!$A$269:$I$289,5,0)),0%,VLOOKUP(A3,'Données projet (1)'!$A$269:$I$289,5,0)*VLOOKUP('Données projet (1)'!$B$18,'Paramètres (1)'!$A$1:$I$88,7,0))</f>
        <v>#REF!</v>
      </c>
      <c r="HE3" s="135" t="str">
        <f>IF(ISNA(VLOOKUP(A3,'Données projet (1)'!$A$269:$I$289,6,0)),0%,VLOOKUP(A3,'Données projet (1)'!$A$269:$I$289,6,0)*VLOOKUP('Données projet (1)'!$B$18,'Paramètres (1)'!$A$1:$I$88,7,0))</f>
        <v>#REF!</v>
      </c>
      <c r="HF3" s="135" t="str">
        <f t="shared" ref="HF3:HF203" si="104">IF(ISNA(VLOOKUP(A3,'Données projet (1)'!$A$269:$I$289,7,0)),0%,VLOOKUP(A3,'Données projet (1)'!$A$269:$I$289,7,0))</f>
        <v>#REF!</v>
      </c>
      <c r="HG3" s="134">
        <v>0.0</v>
      </c>
      <c r="HH3" s="134">
        <v>0.0</v>
      </c>
      <c r="HI3" s="134">
        <v>0.0</v>
      </c>
      <c r="HJ3" s="136">
        <f t="shared" ref="HJ3:HJ203" si="105">SUM(HG3:HI3)</f>
        <v>0</v>
      </c>
    </row>
    <row r="4" ht="14.25" customHeight="1">
      <c r="A4" s="125">
        <f t="shared" ref="A4:A203" si="106">A3+1</f>
        <v>1</v>
      </c>
      <c r="B4" s="126" t="str">
        <f t="shared" si="1"/>
        <v>#REF!</v>
      </c>
      <c r="C4" s="140" t="str">
        <f>'Calculateur (1)'!C3+'Scénario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" s="127">
        <f t="shared" ref="D4:D203" si="107">IFERROR(EXP(-1.0587+0.8836*LN(C4)+0.284),0)</f>
        <v>0</v>
      </c>
      <c r="E4" s="127" t="str">
        <f t="shared" si="2"/>
        <v>#REF!</v>
      </c>
      <c r="F4" s="127" t="str">
        <f t="shared" si="3"/>
        <v>#REF!</v>
      </c>
      <c r="G4" s="127" t="str">
        <f t="shared" si="4"/>
        <v>#REF!</v>
      </c>
      <c r="H4" s="128" t="str">
        <f t="shared" si="5"/>
        <v>#REF!</v>
      </c>
      <c r="I4" s="129" t="str">
        <f t="shared" si="6"/>
        <v>#REF!</v>
      </c>
      <c r="J4" s="130" t="str">
        <f t="shared" si="7"/>
        <v>#REF!</v>
      </c>
      <c r="K4" s="131" t="str">
        <f t="shared" ref="K4:K203" si="108">VLOOKUP(A4,'Données projet (1)'!$A$35:$I$55,2,0)</f>
        <v>#REF!</v>
      </c>
      <c r="L4" s="131" t="str">
        <f t="shared" si="8"/>
        <v>#REF!</v>
      </c>
      <c r="M4" s="131" t="str">
        <f t="array" ref="M4">INDEX(L:L,MIN(IF(ISNUMBER(L4:L200),ROW(L4:L200),"")))</f>
        <v/>
      </c>
      <c r="N4" s="130" t="str">
        <f t="shared" ref="N4:N203" si="109">IF('Données projet (1)'!$A$36&gt;35,N3+M4-V3,IF(A4&lt;'Données projet (1)'!$A$36,$K$205^A4,IF(A4='Données projet (1)'!$A$36,'Données projet (1)'!$B$36,N3+M4-V3)))</f>
        <v>#REF!</v>
      </c>
      <c r="O4" s="130" t="str">
        <f>N4*VLOOKUP('Données projet (1)'!$B$9,'Paramètres (1)'!$A$1:$I$88,3,0)*VLOOKUP('Données projet (1)'!$B$9,'Paramètres (1)'!$A$1:$I$88,5,0)</f>
        <v>#REF!</v>
      </c>
      <c r="P4" s="130" t="str">
        <f t="shared" ref="P4:P203" si="110">EXP(-1.0587+0.8836*LN(O4)+0.284)</f>
        <v>#REF!</v>
      </c>
      <c r="Q4" s="141" t="str">
        <f t="shared" si="9"/>
        <v>#REF!</v>
      </c>
      <c r="R4" s="133" t="str">
        <f t="shared" si="10"/>
        <v>#REF!</v>
      </c>
      <c r="S4" s="133" t="str">
        <f t="shared" si="11"/>
        <v>#REF!</v>
      </c>
      <c r="T4" s="133" t="str">
        <f t="shared" ref="T4:T203" si="111">$T$3</f>
        <v>#REF!</v>
      </c>
      <c r="U4" s="134" t="str">
        <f t="shared" si="12"/>
        <v>#REF!</v>
      </c>
      <c r="V4" s="134" t="str">
        <f t="shared" si="13"/>
        <v>#REF!</v>
      </c>
      <c r="W4" s="135" t="str">
        <f>IF(ISNA(VLOOKUP(A4,'Données projet (1)'!$A$35:$I$55,5,0)),0%,VLOOKUP(A4,'Données projet (1)'!$A$35:$I$55,5,0)*VLOOKUP('Données projet (1)'!$B$9,'Paramètres (1)'!$A$1:$I$88,7,0))</f>
        <v>#REF!</v>
      </c>
      <c r="X4" s="135" t="str">
        <f>IF(ISNA(VLOOKUP(A4,'Données projet (1)'!$A$35:$I$55,6,0)),0%,VLOOKUP(A4,'Données projet (1)'!$A$35:$I$55,6,0)*VLOOKUP('Données projet (1)'!$B$9,'Paramètres (1)'!$A$1:$I$88,7,0))</f>
        <v>#REF!</v>
      </c>
      <c r="Y4" s="135" t="str">
        <f t="shared" si="14"/>
        <v>#REF!</v>
      </c>
      <c r="Z4" s="142" t="str">
        <f>EXP(-LN(2)/35)*Z3+(1-EXP(-LN(2)/35))/(LN(2)/35)*V4*W4*VLOOKUP('Données projet (1)'!$B$9,'Paramètres (1)'!$A$1:$I$88,3,0)*0.475*44/12</f>
        <v>#REF!</v>
      </c>
      <c r="AA4" s="142" t="str">
        <f>EXP(-LN(2)/25)*AA3+(1-EXP(-LN(2)/25))/(LN(2)/25)*'Calculateur (1)'!V4*'Calculateur (1)'!X4*VLOOKUP('Données projet (1)'!$B$9,'Paramètres (1)'!$A$1:$I$88,3,0)*0.475*44/12</f>
        <v>#REF!</v>
      </c>
      <c r="AB4" s="142" t="str">
        <f>EXP(-LN(2)/2)*AB3+(1-EXP(-LN(2)/2))/(LN(2)/2)*V4*Y4*VLOOKUP('Données projet (1)'!$B$9,'Paramètres (1)'!$A$1:$I$88,3,0)*0.475*44/12</f>
        <v>#REF!</v>
      </c>
      <c r="AC4" s="143" t="str">
        <f t="shared" si="15"/>
        <v>#REF!</v>
      </c>
      <c r="AD4" s="130" t="str">
        <f t="shared" si="16"/>
        <v>#REF!</v>
      </c>
      <c r="AE4" s="130" t="str">
        <f t="shared" si="17"/>
        <v>#REF!</v>
      </c>
      <c r="AF4" s="131" t="str">
        <f t="shared" ref="AF4:AF203" si="112">VLOOKUP(A4,'Données projet (1)'!$A$61:$I$81,2,0)</f>
        <v>#REF!</v>
      </c>
      <c r="AG4" s="131" t="str">
        <f t="shared" si="18"/>
        <v>#REF!</v>
      </c>
      <c r="AH4" s="131" t="str">
        <f t="array" ref="AH4">INDEX(AG:AG,MIN(IF(ISNUMBER(AG4:AG200),ROW(AG4:AG200),"")))</f>
        <v/>
      </c>
      <c r="AI4" s="130" t="str">
        <f t="shared" ref="AI4:AI203" si="113">IF('Données projet (1)'!$A$62&gt;35,AI3+AH4-AQ3,IF(A4&lt;'Données projet (1)'!$A$62,$AF$205^A4,IF(A4='Données projet (1)'!$A$62,'Données projet (1)'!$B$62,AI3+AH4-AQ3)))</f>
        <v>#REF!</v>
      </c>
      <c r="AJ4" s="130" t="str">
        <f>AI4*VLOOKUP('Données projet (1)'!$B$10,'Paramètres (1)'!$A$1:$I$88,3,0)*VLOOKUP('Données projet (1)'!$B$10,'Paramètres (1)'!$A$1:$I$88,5,0)</f>
        <v>#REF!</v>
      </c>
      <c r="AK4" s="130" t="str">
        <f t="shared" ref="AK4:AK203" si="114">EXP(-1.0587+0.8836*LN(AJ4)+0.284)</f>
        <v>#REF!</v>
      </c>
      <c r="AL4" s="141" t="str">
        <f t="shared" si="19"/>
        <v>#REF!</v>
      </c>
      <c r="AM4" s="133" t="str">
        <f t="shared" si="20"/>
        <v>#REF!</v>
      </c>
      <c r="AN4" s="133" t="str">
        <f t="shared" si="21"/>
        <v>#REF!</v>
      </c>
      <c r="AO4" s="133" t="str">
        <f t="shared" ref="AO4:AO203" si="115">$AO$3</f>
        <v>#REF!</v>
      </c>
      <c r="AP4" s="134" t="str">
        <f t="shared" si="22"/>
        <v>#REF!</v>
      </c>
      <c r="AQ4" s="134" t="str">
        <f t="shared" si="23"/>
        <v>#REF!</v>
      </c>
      <c r="AR4" s="135" t="str">
        <f>IF(ISNA(VLOOKUP(A4,'Données projet (1)'!$A$61:$I$81,5,0)),0%,VLOOKUP(A4,'Données projet (1)'!$A$61:$I$81,5,0)*VLOOKUP('Données projet (1)'!$B$10,'Paramètres (1)'!$A$1:$I$88,7,0))</f>
        <v>#REF!</v>
      </c>
      <c r="AS4" s="135" t="str">
        <f>IF(ISNA(VLOOKUP(A4,'Données projet (1)'!$A$61:$I$81,6,0)),0%,VLOOKUP(A4,'Données projet (1)'!$A$61:$I$81,6,0)*VLOOKUP('Données projet (1)'!$B$10,'Paramètres (1)'!$A$1:$I$88,7,0))</f>
        <v>#REF!</v>
      </c>
      <c r="AT4" s="135" t="str">
        <f t="shared" si="24"/>
        <v>#REF!</v>
      </c>
      <c r="AU4" s="142" t="str">
        <f>EXP(-LN(2)/35)*AU3+(1-EXP(-LN(2)/35))/(LN(2)/35)*AQ4*AR4*VLOOKUP('Données projet (1)'!$B$10,'Paramètres (1)'!$A$1:$I$88,3,0)*0.475*44/12</f>
        <v>#REF!</v>
      </c>
      <c r="AV4" s="142" t="str">
        <f>EXP(-LN(2)/25)*AV3+(1-EXP(-LN(2)/25))/(LN(2)/25)*'Calculateur (1)'!AQ4*'Calculateur (1)'!AS4*VLOOKUP('Données projet (1)'!$B$10,'Paramètres (1)'!$A$1:$I$88,3,0)*0.475*44/12</f>
        <v>#REF!</v>
      </c>
      <c r="AW4" s="142" t="str">
        <f>EXP(-LN(2)/2)*AW3+(1-EXP(-LN(2)/2))/(LN(2)/2)*AQ4*AT4*VLOOKUP('Données projet (1)'!$B$10,'Paramètres (1)'!$A$1:$I$88,3,0)*0.475*44/12</f>
        <v>#REF!</v>
      </c>
      <c r="AX4" s="142" t="str">
        <f t="shared" si="25"/>
        <v>#REF!</v>
      </c>
      <c r="AY4" s="137" t="str">
        <f t="shared" si="26"/>
        <v>#REF!</v>
      </c>
      <c r="AZ4" s="131" t="str">
        <f t="shared" si="27"/>
        <v>#REF!</v>
      </c>
      <c r="BA4" s="131" t="str">
        <f t="shared" ref="BA4:BA203" si="116">VLOOKUP(A4,'Données projet (1)'!$A$87:$I$107,2,0)</f>
        <v>#REF!</v>
      </c>
      <c r="BB4" s="131" t="str">
        <f t="shared" si="28"/>
        <v>#REF!</v>
      </c>
      <c r="BC4" s="131" t="str">
        <f t="array" ref="BC4">INDEX(BB:BB,MIN(IF(ISNUMBER(BB4:BB200),ROW(BB4:BB200),"")))</f>
        <v/>
      </c>
      <c r="BD4" s="131" t="str">
        <f t="shared" ref="BD4:BD203" si="117">IF('Données projet (1)'!$A$88&gt;35,BD3+BC4-BL3,IF(A4&lt;'Données projet (1)'!$A$88,$BA$205^A4,IF(A4='Données projet (1)'!$A$88,'Données projet (1)'!$B$88,BD3+BC4-BL3)))</f>
        <v>#REF!</v>
      </c>
      <c r="BE4" s="130" t="str">
        <f>BD4*VLOOKUP('Données projet (1)'!$B$11,'Paramètres (1)'!$A$1:$I$88,3,0)*VLOOKUP('Données projet (1)'!$B$11,'Paramètres (1)'!$A$1:$I$88,5,0)</f>
        <v>#REF!</v>
      </c>
      <c r="BF4" s="130" t="str">
        <f t="shared" ref="BF4:BF203" si="118">EXP(-1.0587+0.8836*LN(BE4)+0.284)</f>
        <v>#REF!</v>
      </c>
      <c r="BG4" s="141" t="str">
        <f t="shared" si="29"/>
        <v>#REF!</v>
      </c>
      <c r="BH4" s="133" t="str">
        <f t="shared" si="30"/>
        <v>#REF!</v>
      </c>
      <c r="BI4" s="133" t="str">
        <f t="shared" si="31"/>
        <v>#REF!</v>
      </c>
      <c r="BJ4" s="133" t="str">
        <f t="shared" ref="BJ4:BJ203" si="119">$BJ$3</f>
        <v>#REF!</v>
      </c>
      <c r="BK4" s="134" t="str">
        <f t="shared" si="32"/>
        <v>#REF!</v>
      </c>
      <c r="BL4" s="134" t="str">
        <f t="shared" si="33"/>
        <v>#REF!</v>
      </c>
      <c r="BM4" s="135" t="str">
        <f>IF(ISNA(VLOOKUP(A4,'Données projet (1)'!$A$87:$I$107,5,0)),0%,VLOOKUP(A4,'Données projet (1)'!$A$87:$I$107,5,0)*VLOOKUP('Données projet (1)'!$B$11,'Paramètres (1)'!$A$1:$I$88,7,0))</f>
        <v>#REF!</v>
      </c>
      <c r="BN4" s="135" t="str">
        <f>IF(ISNA(VLOOKUP(A4,'Données projet (1)'!$A$87:$I$107,6,0)),0%,VLOOKUP(A4,'Données projet (1)'!$A$87:$I$107,6,0)*VLOOKUP('Données projet (1)'!$B$11,'Paramètres (1)'!$A$1:$I$88,7,0))</f>
        <v>#REF!</v>
      </c>
      <c r="BO4" s="135" t="str">
        <f t="shared" si="34"/>
        <v>#REF!</v>
      </c>
      <c r="BP4" s="142" t="str">
        <f>EXP(-LN(2)/35)*BP3+(1-EXP(-LN(2)/35))/(LN(2)/35)*BL4*BM4*VLOOKUP('Données projet (1)'!$B$11,'Paramètres (1)'!$A$1:$I$88,3,0)*0.475*44/12</f>
        <v>#REF!</v>
      </c>
      <c r="BQ4" s="142" t="str">
        <f>EXP(-LN(2)/25)*BQ3+(1-EXP(-LN(2)/25))/(LN(2)/25)*'Calculateur (1)'!BL4*'Calculateur (1)'!BN4*VLOOKUP('Données projet (1)'!$B$11,'Paramètres (1)'!$A$1:$I$88,3,0)*0.475*44/12</f>
        <v>#REF!</v>
      </c>
      <c r="BR4" s="142" t="str">
        <f>EXP(-LN(2)/2)*BR3+(1-EXP(-LN(2)/2))/(LN(2)/2)*BL4*BO4*VLOOKUP('Données projet (1)'!$B$11,'Paramètres (1)'!$A$1:$I$88,3,0)*0.475*44/12</f>
        <v>#REF!</v>
      </c>
      <c r="BS4" s="143" t="str">
        <f t="shared" si="35"/>
        <v>#REF!</v>
      </c>
      <c r="BT4" s="139" t="str">
        <f t="shared" si="36"/>
        <v>#REF!</v>
      </c>
      <c r="BU4" s="131" t="str">
        <f t="shared" si="37"/>
        <v>#REF!</v>
      </c>
      <c r="BV4" s="131" t="str">
        <f t="shared" ref="BV4:BV203" si="120">VLOOKUP(A4,'Données projet (1)'!$A$113:$I$133,2,0)</f>
        <v>#REF!</v>
      </c>
      <c r="BW4" s="131" t="str">
        <f t="shared" si="38"/>
        <v>#REF!</v>
      </c>
      <c r="BX4" s="131" t="str">
        <f t="array" ref="BX4">INDEX(BW:BW,MIN(IF(ISNUMBER(BW4:BW200),ROW(BW4:BW200),"")))</f>
        <v/>
      </c>
      <c r="BY4" s="131" t="str">
        <f t="shared" ref="BY4:BY203" si="121">IF('Données projet (1)'!$A$114&gt;35,BY3+BX4-CG3,IF(A4&lt;'Données projet (1)'!$A$114,$BV$205^A4,IF(A4='Données projet (1)'!$A$114,'Données projet (1)'!$B$114,BY3+BX4-CG3)))</f>
        <v>#REF!</v>
      </c>
      <c r="BZ4" s="130" t="str">
        <f>BY4*VLOOKUP('Données projet (1)'!$B$12,'Paramètres (1)'!$A$1:$I$88,3,0)*VLOOKUP('Données projet (1)'!$B$12,'Paramètres (1)'!$A$1:$I$88,5,0)</f>
        <v>#REF!</v>
      </c>
      <c r="CA4" s="130" t="str">
        <f t="shared" ref="CA4:CA203" si="122">EXP(-1.0587+0.8836*LN(BZ4)+0.284)</f>
        <v>#REF!</v>
      </c>
      <c r="CB4" s="141" t="str">
        <f t="shared" si="39"/>
        <v>#REF!</v>
      </c>
      <c r="CC4" s="133" t="str">
        <f t="shared" si="40"/>
        <v>#REF!</v>
      </c>
      <c r="CD4" s="133" t="str">
        <f t="shared" si="41"/>
        <v>#REF!</v>
      </c>
      <c r="CE4" s="133" t="str">
        <f t="shared" ref="CE4:CE203" si="123">$CE$3</f>
        <v>#REF!</v>
      </c>
      <c r="CF4" s="134" t="str">
        <f t="shared" si="42"/>
        <v>#REF!</v>
      </c>
      <c r="CG4" s="134" t="str">
        <f t="shared" si="43"/>
        <v>#REF!</v>
      </c>
      <c r="CH4" s="135" t="str">
        <f>IF(ISNA(VLOOKUP(A4,'Données projet (1)'!$A$113:$I$133,5,0)),0%,VLOOKUP(A4,'Données projet (1)'!$A$113:$I$133,5,0)*VLOOKUP('Données projet (1)'!$B$12,'Paramètres (1)'!$A$1:$I$88,7,0))</f>
        <v>#REF!</v>
      </c>
      <c r="CI4" s="135" t="str">
        <f>IF(ISNA(VLOOKUP(A4,'Données projet (1)'!$A$113:$I$133,6,0)),0%,VLOOKUP(A4,'Données projet (1)'!$A$113:$I$133,6,0)*VLOOKUP('Données projet (1)'!$B$12,'Paramètres (1)'!$A$1:$I$88,7,0))</f>
        <v>#REF!</v>
      </c>
      <c r="CJ4" s="135" t="str">
        <f t="shared" si="44"/>
        <v>#REF!</v>
      </c>
      <c r="CK4" s="142" t="str">
        <f>EXP(-LN(2)/35)*CK3+(1-EXP(-LN(2)/35))/(LN(2)/35)*CG4*CH4*VLOOKUP('Données projet (1)'!$B$12,'Paramètres (1)'!$A$1:$I$88,3,0)*0.475*44/12</f>
        <v>#REF!</v>
      </c>
      <c r="CL4" s="142" t="str">
        <f>EXP(-LN(2)/25)*CL3+(1-EXP(-LN(2)/25))/(LN(2)/25)*'Calculateur (1)'!CG4*'Calculateur (1)'!CI4*VLOOKUP('Données projet (1)'!$B$12,'Paramètres (1)'!$A$1:$I$88,3,0)*0.475*44/12</f>
        <v>#REF!</v>
      </c>
      <c r="CM4" s="142" t="str">
        <f>EXP(-LN(2)/2)*CM3+(1-EXP(-LN(2)/2))/(LN(2)/2)*CG4*CJ4*VLOOKUP('Données projet (1)'!$B$12,'Paramètres (1)'!$A$1:$I$88,3,0)*0.475*44/12</f>
        <v>#REF!</v>
      </c>
      <c r="CN4" s="143" t="str">
        <f t="shared" si="45"/>
        <v>#REF!</v>
      </c>
      <c r="CO4" s="139" t="str">
        <f t="shared" si="46"/>
        <v>#REF!</v>
      </c>
      <c r="CP4" s="131" t="str">
        <f t="shared" si="47"/>
        <v>#REF!</v>
      </c>
      <c r="CQ4" s="131" t="str">
        <f t="shared" ref="CQ4:CQ203" si="124">VLOOKUP(A4,'Données projet (1)'!$A$139:$I$159,2,0)</f>
        <v>#REF!</v>
      </c>
      <c r="CR4" s="131" t="str">
        <f t="shared" si="48"/>
        <v>#REF!</v>
      </c>
      <c r="CS4" s="131" t="str">
        <f t="array" ref="CS4">INDEX(CR:CR,MIN(IF(ISNUMBER(CR4:CR200),ROW(CR4:CR200),"")))</f>
        <v/>
      </c>
      <c r="CT4" s="131" t="str">
        <f t="shared" ref="CT4:CT203" si="125">IF('Données projet (1)'!$A$140&gt;35,CT3+CS4-DB3,IF(A4&lt;'Données projet (1)'!$A$140,$CQ$205^A4,IF(A4='Données projet (1)'!$A$140,'Données projet (1)'!$B$140,CT3+CS4-DB3)))</f>
        <v>#REF!</v>
      </c>
      <c r="CU4" s="138" t="str">
        <f>CT4*VLOOKUP('Données projet (1)'!$B$13,'Paramètres (1)'!$A$1:$I$88,3,0)*VLOOKUP('Données projet (1)'!$B$13,'Paramètres (1)'!$A$1:$I$88,5,0)</f>
        <v>#REF!</v>
      </c>
      <c r="CV4" s="130" t="str">
        <f t="shared" ref="CV4:CV203" si="126">EXP(-1.0587+0.8836*LN(CU4)+0.284)</f>
        <v>#REF!</v>
      </c>
      <c r="CW4" s="141" t="str">
        <f t="shared" si="49"/>
        <v>#REF!</v>
      </c>
      <c r="CX4" s="133" t="str">
        <f t="shared" si="50"/>
        <v>#REF!</v>
      </c>
      <c r="CY4" s="133" t="str">
        <f t="shared" si="51"/>
        <v>#REF!</v>
      </c>
      <c r="CZ4" s="133" t="str">
        <f t="shared" ref="CZ4:CZ203" si="127">$CZ$3</f>
        <v>#REF!</v>
      </c>
      <c r="DA4" s="134" t="str">
        <f t="shared" si="52"/>
        <v>#REF!</v>
      </c>
      <c r="DB4" s="134" t="str">
        <f t="shared" si="53"/>
        <v>#REF!</v>
      </c>
      <c r="DC4" s="135" t="str">
        <f>IF(ISNA(VLOOKUP(A4,'Données projet (1)'!$A$139:$I$159,5,0)),0%,VLOOKUP(A4,'Données projet (1)'!$A$139:$I$159,5,0)*VLOOKUP('Données projet (1)'!$B$13,'Paramètres (1)'!$A$1:$I$88,7,0))</f>
        <v>#REF!</v>
      </c>
      <c r="DD4" s="135" t="str">
        <f>IF(ISNA(VLOOKUP(A4,'Données projet (1)'!$A$139:$I$159,6,0)),0%,VLOOKUP(A4,'Données projet (1)'!$A$139:$I$159,6,0)*VLOOKUP('Données projet (1)'!$B$13,'Paramètres (1)'!$A$1:$I$88,7,0))</f>
        <v>#REF!</v>
      </c>
      <c r="DE4" s="135" t="str">
        <f t="shared" si="54"/>
        <v>#REF!</v>
      </c>
      <c r="DF4" s="142" t="str">
        <f>EXP(-LN(2)/35)*DF3+(1-EXP(-LN(2)/35))/(LN(2)/35)*DB4*DC4*VLOOKUP('Données projet (1)'!$B$13,'Paramètres (1)'!$A$1:$I$88,3,0)*0.475*44/12</f>
        <v>#REF!</v>
      </c>
      <c r="DG4" s="142" t="str">
        <f>EXP(-LN(2)/25)*DG3+(1-EXP(-LN(2)/25))/(LN(2)/25)*'Calculateur (1)'!DB4*'Calculateur (1)'!DD4*VLOOKUP('Données projet (1)'!$B$13,'Paramètres (1)'!$A$1:$I$88,3,0)*0.475*44/12</f>
        <v>#REF!</v>
      </c>
      <c r="DH4" s="142" t="str">
        <f>EXP(-LN(2)/2)*DH3+(1-EXP(-LN(2)/2))/(LN(2)/2)*DB4*DE4*VLOOKUP('Données projet (1)'!$B$13,'Paramètres (1)'!$A$1:$I$88,3,0)*0.475*44/12</f>
        <v>#REF!</v>
      </c>
      <c r="DI4" s="143" t="str">
        <f t="shared" si="55"/>
        <v>#REF!</v>
      </c>
      <c r="DJ4" s="139" t="str">
        <f t="shared" si="56"/>
        <v>#REF!</v>
      </c>
      <c r="DK4" s="131" t="str">
        <f t="shared" si="57"/>
        <v>#REF!</v>
      </c>
      <c r="DL4" s="131" t="str">
        <f t="shared" ref="DL4:DL203" si="128">VLOOKUP(A4,'Données projet (1)'!$A$165:$I$185,2,0)</f>
        <v>#REF!</v>
      </c>
      <c r="DM4" s="131" t="str">
        <f t="shared" si="58"/>
        <v>#REF!</v>
      </c>
      <c r="DN4" s="131" t="str">
        <f t="array" ref="DN4">INDEX(DM:DM,MIN(IF(ISNUMBER(DM4:DM200),ROW(DM4:DM200),"")))</f>
        <v/>
      </c>
      <c r="DO4" s="131" t="str">
        <f t="shared" ref="DO4:DO203" si="129">IF('Données projet (1)'!$A$166&gt;35,DO3+DN4-DW3,IF(A4&lt;'Données projet (1)'!$A$166,$DL$205^A4,IF(A4='Données projet (1)'!$A$166,'Données projet (1)'!$B$166,DO3+DN4-DW3)))</f>
        <v>#REF!</v>
      </c>
      <c r="DP4" s="138" t="str">
        <f>DO4*VLOOKUP('Données projet (1)'!$B$14,'Paramètres (1)'!$A$1:$I$88,3,0)*VLOOKUP('Données projet (1)'!$B$14,'Paramètres (1)'!$A$1:$I$88,5,0)</f>
        <v>#REF!</v>
      </c>
      <c r="DQ4" s="130" t="str">
        <f t="shared" ref="DQ4:DQ203" si="130">EXP(-1.0587+0.8836*LN(DP4)+0.284)</f>
        <v>#REF!</v>
      </c>
      <c r="DR4" s="141" t="str">
        <f t="shared" si="59"/>
        <v>#REF!</v>
      </c>
      <c r="DS4" s="133" t="str">
        <f t="shared" si="60"/>
        <v>#REF!</v>
      </c>
      <c r="DT4" s="133" t="str">
        <f t="shared" si="61"/>
        <v>#REF!</v>
      </c>
      <c r="DU4" s="133" t="str">
        <f t="shared" ref="DU4:DU203" si="131">$DU$3</f>
        <v>#REF!</v>
      </c>
      <c r="DV4" s="134" t="str">
        <f t="shared" si="62"/>
        <v>#REF!</v>
      </c>
      <c r="DW4" s="134" t="str">
        <f t="shared" si="63"/>
        <v>#REF!</v>
      </c>
      <c r="DX4" s="135" t="str">
        <f>IF(ISNA(VLOOKUP(A4,'Données projet (1)'!$A$165:$I$185,5,0)),0%,VLOOKUP(A4,'Données projet (1)'!$A$165:$I$185,5,0)*VLOOKUP('Données projet (1)'!$B$14,'Paramètres (1)'!$A$1:$I$88,7,0))</f>
        <v>#REF!</v>
      </c>
      <c r="DY4" s="135" t="str">
        <f>IF(ISNA(VLOOKUP(A4,'Données projet (1)'!$A$165:$I$185,6,0)),0%,VLOOKUP(A4,'Données projet (1)'!$A$165:$I$185,6,0)*VLOOKUP('Données projet (1)'!$B$14,'Paramètres (1)'!$A$1:$I$88,7,0))</f>
        <v>#REF!</v>
      </c>
      <c r="DZ4" s="135" t="str">
        <f t="shared" si="64"/>
        <v>#REF!</v>
      </c>
      <c r="EA4" s="142" t="str">
        <f>EXP(-LN(2)/35)*EA3+(1-EXP(-LN(2)/35))/(LN(2)/35)*DW4*DX4*VLOOKUP('Données projet (1)'!$B$14,'Paramètres (1)'!$A$1:$I$88,3,0)*0.475*44/12</f>
        <v>#REF!</v>
      </c>
      <c r="EB4" s="142" t="str">
        <f>EXP(-LN(2)/25)*EB3+(1-EXP(-LN(2)/25))/(LN(2)/25)*'Calculateur (1)'!DW4*'Calculateur (1)'!DY4*VLOOKUP('Données projet (1)'!$B$14,'Paramètres (1)'!$A$1:$I$88,3,0)*0.475*44/12</f>
        <v>#REF!</v>
      </c>
      <c r="EC4" s="142" t="str">
        <f>EXP(-LN(2)/2)*EC3+(1-EXP(-LN(2)/2))/(LN(2)/2)*DW4*DZ4*VLOOKUP('Données projet (1)'!$B$14,'Paramètres (1)'!$A$1:$I$88,3,0)*0.475*44/12</f>
        <v>#REF!</v>
      </c>
      <c r="ED4" s="143" t="str">
        <f t="shared" si="65"/>
        <v>#REF!</v>
      </c>
      <c r="EE4" s="139" t="str">
        <f t="shared" si="66"/>
        <v>#REF!</v>
      </c>
      <c r="EF4" s="131" t="str">
        <f t="shared" si="67"/>
        <v>#REF!</v>
      </c>
      <c r="EG4" s="131" t="str">
        <f t="shared" ref="EG4:EG203" si="132">VLOOKUP(A4,'Données projet (1)'!$A$191:$I$211,2,0)</f>
        <v>#REF!</v>
      </c>
      <c r="EH4" s="131" t="str">
        <f t="shared" si="68"/>
        <v>#REF!</v>
      </c>
      <c r="EI4" s="131" t="str">
        <f t="array" ref="EI4">INDEX(EH:EH,MIN(IF(ISNUMBER(EH4:EH200),ROW(EH4:EH200),"")))</f>
        <v/>
      </c>
      <c r="EJ4" s="131" t="str">
        <f t="shared" ref="EJ4:EJ203" si="133">IF('Données projet (1)'!$A$192&gt;35,EJ3+EI4-ER3,IF(A4&lt;'Données projet (1)'!$A$192,$EG$205^A4,IF(A4='Données projet (1)'!$A$192,'Données projet (1)'!$B$192,EJ3+EI4-ER3)))</f>
        <v>#REF!</v>
      </c>
      <c r="EK4" s="138" t="str">
        <f>EJ4*VLOOKUP('Données projet (1)'!$B$15,'Paramètres (1)'!$A$1:$I$88,3,0)*VLOOKUP('Données projet (1)'!$B$15,'Paramètres (1)'!$A$1:$I$88,5,0)</f>
        <v>#REF!</v>
      </c>
      <c r="EL4" s="130" t="str">
        <f t="shared" ref="EL4:EL203" si="134">EXP(-1.0587+0.8836*LN(EK4)+0.284)</f>
        <v>#REF!</v>
      </c>
      <c r="EM4" s="141" t="str">
        <f t="shared" si="69"/>
        <v>#REF!</v>
      </c>
      <c r="EN4" s="133" t="str">
        <f t="shared" si="70"/>
        <v>#REF!</v>
      </c>
      <c r="EO4" s="133" t="str">
        <f t="shared" si="71"/>
        <v>#REF!</v>
      </c>
      <c r="EP4" s="133" t="str">
        <f t="shared" ref="EP4:EP203" si="135">$EP$3</f>
        <v>#REF!</v>
      </c>
      <c r="EQ4" s="134" t="str">
        <f t="shared" si="72"/>
        <v>#REF!</v>
      </c>
      <c r="ER4" s="134" t="str">
        <f t="shared" si="73"/>
        <v>#REF!</v>
      </c>
      <c r="ES4" s="135" t="str">
        <f>IF(ISNA(VLOOKUP(A4,'Données projet (1)'!$A$191:$I$211,5,0)),0%,VLOOKUP(A4,'Données projet (1)'!$A$191:$I$211,5,0)*VLOOKUP('Données projet (1)'!$B$15,'Paramètres (1)'!$A$1:$I$88,7,0))</f>
        <v>#REF!</v>
      </c>
      <c r="ET4" s="135" t="str">
        <f>IF(ISNA(VLOOKUP(A4,'Données projet (1)'!$A$191:$I$211,6,0)),0%,VLOOKUP(A4,'Données projet (1)'!$A$191:$I$211,6,0)*VLOOKUP('Données projet (1)'!$B$15,'Paramètres (1)'!$A$1:$I$88,7,0))</f>
        <v>#REF!</v>
      </c>
      <c r="EU4" s="135" t="str">
        <f t="shared" si="74"/>
        <v>#REF!</v>
      </c>
      <c r="EV4" s="142" t="str">
        <f>EXP(-LN(2)/35)*EV3+(1-EXP(-LN(2)/35))/(LN(2)/35)*ER4*ES4*VLOOKUP('Données projet (1)'!$B$15,'Paramètres (1)'!$A$1:$I$88,3,0)*0.475*44/12</f>
        <v>#REF!</v>
      </c>
      <c r="EW4" s="142" t="str">
        <f>EXP(-LN(2)/25)*EW3+(1-EXP(-LN(2)/25))/(LN(2)/25)*'Calculateur (1)'!ER4*'Calculateur (1)'!ET4*VLOOKUP('Données projet (1)'!$B$15,'Paramètres (1)'!$A$1:$I$88,3,0)*0.475*44/12</f>
        <v>#REF!</v>
      </c>
      <c r="EX4" s="142" t="str">
        <f>EXP(-LN(2)/2)*EX3+(1-EXP(-LN(2)/2))/(LN(2)/2)*ER4*EU4*VLOOKUP('Données projet (1)'!$B$15,'Paramètres (1)'!$A$1:$I$88,3,0)*0.475*44/12</f>
        <v>#REF!</v>
      </c>
      <c r="EY4" s="143" t="str">
        <f t="shared" si="75"/>
        <v>#REF!</v>
      </c>
      <c r="EZ4" s="139" t="str">
        <f t="shared" si="76"/>
        <v>#REF!</v>
      </c>
      <c r="FA4" s="131" t="str">
        <f t="shared" si="77"/>
        <v>#REF!</v>
      </c>
      <c r="FB4" s="131" t="str">
        <f t="shared" ref="FB4:FB203" si="136">VLOOKUP(A4,'Données projet (1)'!$A$217:$I$237,2,0)</f>
        <v>#REF!</v>
      </c>
      <c r="FC4" s="131" t="str">
        <f t="shared" si="78"/>
        <v>#REF!</v>
      </c>
      <c r="FD4" s="131" t="str">
        <f t="array" ref="FD4">INDEX(FC:FC,MIN(IF(ISNUMBER(FC4:FC200),ROW(FC4:FC200),"")))</f>
        <v/>
      </c>
      <c r="FE4" s="131" t="str">
        <f t="shared" ref="FE4:FE203" si="137">IF('Données projet (1)'!$A$218&gt;35,FE3+FD4-FM3,IF(A4&lt;'Données projet (1)'!$A$218,$FB$205^A4,IF(A4='Données projet (1)'!$A$218,'Données projet (1)'!$B$218,FE3+FD4-FM3)))</f>
        <v>#REF!</v>
      </c>
      <c r="FF4" s="138" t="str">
        <f>FE4*VLOOKUP('Données projet (1)'!$B$16,'Paramètres (1)'!$A$1:$I$88,3,0)*VLOOKUP('Données projet (1)'!$B$16,'Paramètres (1)'!$A$1:$I$88,5,0)</f>
        <v>#REF!</v>
      </c>
      <c r="FG4" s="130" t="str">
        <f t="shared" ref="FG4:FG203" si="138">EXP(-1.0587+0.8836*LN(FF4)+0.284)</f>
        <v>#REF!</v>
      </c>
      <c r="FH4" s="141" t="str">
        <f t="shared" si="79"/>
        <v>#REF!</v>
      </c>
      <c r="FI4" s="133" t="str">
        <f t="shared" si="80"/>
        <v>#REF!</v>
      </c>
      <c r="FJ4" s="133" t="str">
        <f t="shared" si="81"/>
        <v>#REF!</v>
      </c>
      <c r="FK4" s="133" t="str">
        <f t="shared" ref="FK4:FK203" si="139">$FK$3</f>
        <v>#REF!</v>
      </c>
      <c r="FL4" s="134" t="str">
        <f t="shared" si="82"/>
        <v>#REF!</v>
      </c>
      <c r="FM4" s="134" t="str">
        <f t="shared" si="83"/>
        <v>#REF!</v>
      </c>
      <c r="FN4" s="135" t="str">
        <f>IF(ISNA(VLOOKUP(A4,'Données projet (1)'!$A$217:$I$237,5,0)),0%,VLOOKUP(A4,'Données projet (1)'!$A$217:$I$237,5,0)*VLOOKUP('Données projet (1)'!$B$16,'Paramètres (1)'!$A$1:$I$88,7,0))</f>
        <v>#REF!</v>
      </c>
      <c r="FO4" s="135" t="str">
        <f>IF(ISNA(VLOOKUP(A4,'Données projet (1)'!$A$217:$I$237,6,0)),0%,VLOOKUP(A4,'Données projet (1)'!$A$217:$I$237,6,0)*VLOOKUP('Données projet (1)'!$B$16,'Paramètres (1)'!$A$1:$I$88,7,0))</f>
        <v>#REF!</v>
      </c>
      <c r="FP4" s="135" t="str">
        <f t="shared" si="84"/>
        <v>#REF!</v>
      </c>
      <c r="FQ4" s="142" t="str">
        <f>EXP(-LN(2)/35)*FQ3+(1-EXP(-LN(2)/35))/(LN(2)/35)*FM4*FN4*VLOOKUP('Données projet (1)'!$B$16,'Paramètres (1)'!$A$1:$I$88,3,0)*0.475*44/12</f>
        <v>#REF!</v>
      </c>
      <c r="FR4" s="142" t="str">
        <f>EXP(-LN(2)/25)*FR3+(1-EXP(-LN(2)/25))/(LN(2)/25)*'Calculateur (1)'!FM4*'Calculateur (1)'!FO4*VLOOKUP('Données projet (1)'!$B$16,'Paramètres (1)'!$A$1:$I$88,3,0)*0.475*44/12</f>
        <v>#REF!</v>
      </c>
      <c r="FS4" s="142" t="str">
        <f>EXP(-LN(2)/2)*FS3+(1-EXP(-LN(2)/2))/(LN(2)/2)*FM4*FP4*VLOOKUP('Données projet (1)'!$B$16,'Paramètres (1)'!$A$1:$I$88,3,0)*0.475*44/12</f>
        <v>#REF!</v>
      </c>
      <c r="FT4" s="143" t="str">
        <f t="shared" si="85"/>
        <v>#REF!</v>
      </c>
      <c r="FU4" s="139" t="str">
        <f t="shared" si="86"/>
        <v>#REF!</v>
      </c>
      <c r="FV4" s="131" t="str">
        <f t="shared" si="87"/>
        <v>#REF!</v>
      </c>
      <c r="FW4" s="131" t="str">
        <f t="shared" ref="FW4:FW203" si="140">VLOOKUP(A4,'Données projet (1)'!$A$243:$I$263,2,0)</f>
        <v>#REF!</v>
      </c>
      <c r="FX4" s="131" t="str">
        <f t="shared" si="88"/>
        <v>#REF!</v>
      </c>
      <c r="FY4" s="131" t="str">
        <f t="array" ref="FY4">INDEX(FX:FX,MIN(IF(ISNUMBER(FX4:FX200),ROW(FX4:FX200),"")))</f>
        <v/>
      </c>
      <c r="FZ4" s="131" t="str">
        <f t="shared" ref="FZ4:FZ203" si="141">IF('Données projet (1)'!$A$244&gt;35,FZ3+FY4-GH3,IF(A4&lt;'Données projet (1)'!$A$244,$FW$205^A4,IF(A4='Données projet (1)'!$A$244,'Données projet (1)'!$B$244,FZ3+FY4-GH3)))</f>
        <v>#REF!</v>
      </c>
      <c r="GA4" s="138" t="str">
        <f>FZ4*VLOOKUP('Données projet (1)'!$B$17,'Paramètres (1)'!$A$1:$I$88,3,0)*VLOOKUP('Données projet (1)'!$B$17,'Paramètres (1)'!$A$1:$I$88,5,0)</f>
        <v>#REF!</v>
      </c>
      <c r="GB4" s="130" t="str">
        <f t="shared" ref="GB4:GB203" si="142">EXP(-1.0587+0.8836*LN(GA4)+0.284)</f>
        <v>#REF!</v>
      </c>
      <c r="GC4" s="141" t="str">
        <f t="shared" si="89"/>
        <v>#REF!</v>
      </c>
      <c r="GD4" s="133" t="str">
        <f t="shared" si="90"/>
        <v>#REF!</v>
      </c>
      <c r="GE4" s="133" t="str">
        <f t="shared" si="91"/>
        <v>#REF!</v>
      </c>
      <c r="GF4" s="133" t="str">
        <f t="shared" ref="GF4:GF203" si="143">$GF$3</f>
        <v>#REF!</v>
      </c>
      <c r="GG4" s="134" t="str">
        <f t="shared" si="92"/>
        <v>#REF!</v>
      </c>
      <c r="GH4" s="134" t="str">
        <f t="shared" si="93"/>
        <v>#REF!</v>
      </c>
      <c r="GI4" s="135" t="str">
        <f>IF(ISNA(VLOOKUP(A4,'Données projet (1)'!$A$243:$I$263,5,0)),0%,VLOOKUP(A4,'Données projet (1)'!$A$243:$I$263,5,0)*VLOOKUP('Données projet (1)'!$B$17,'Paramètres (1)'!$A$1:$I$88,7,0))</f>
        <v>#REF!</v>
      </c>
      <c r="GJ4" s="135" t="str">
        <f>IF(ISNA(VLOOKUP(A4,'Données projet (1)'!$A$243:$I$263,6,0)),0%,VLOOKUP(A4,'Données projet (1)'!$A$243:$I$263,6,0)*VLOOKUP('Données projet (1)'!$B$17,'Paramètres (1)'!$A$1:$I$88,7,0))</f>
        <v>#REF!</v>
      </c>
      <c r="GK4" s="135" t="str">
        <f t="shared" si="94"/>
        <v>#REF!</v>
      </c>
      <c r="GL4" s="142" t="str">
        <f>EXP(-LN(2)/35)*GL3+(1-EXP(-LN(2)/35))/(LN(2)/35)*GH4*GI4*VLOOKUP('Données projet (1)'!$B$17,'Paramètres (1)'!$A$1:$I$88,3,0)*0.475*44/12</f>
        <v>#REF!</v>
      </c>
      <c r="GM4" s="142" t="str">
        <f>EXP(-LN(2)/25)*GM3+(1-EXP(-LN(2)/25))/(LN(2)/25)*'Calculateur (1)'!GH4*'Calculateur (1)'!GJ4*VLOOKUP('Données projet (1)'!$B$17,'Paramètres (1)'!$A$1:$I$88,3,0)*0.475*44/12</f>
        <v>#REF!</v>
      </c>
      <c r="GN4" s="142" t="str">
        <f>EXP(-LN(2)/2)*GN3+(1-EXP(-LN(2)/2))/(LN(2)/2)*GH4*GK4*VLOOKUP('Données projet (1)'!$B$17,'Paramètres (1)'!$A$1:$I$88,3,0)*0.475*44/12</f>
        <v>#REF!</v>
      </c>
      <c r="GO4" s="142" t="str">
        <f t="shared" si="95"/>
        <v>#REF!</v>
      </c>
      <c r="GP4" s="139" t="str">
        <f t="shared" si="96"/>
        <v>#REF!</v>
      </c>
      <c r="GQ4" s="131" t="str">
        <f t="shared" si="97"/>
        <v>#REF!</v>
      </c>
      <c r="GR4" s="131" t="str">
        <f t="shared" ref="GR4:GR203" si="144">VLOOKUP(A4,'Données projet (1)'!$A$269:$I$289,2,0)</f>
        <v>#REF!</v>
      </c>
      <c r="GS4" s="131" t="str">
        <f t="shared" si="98"/>
        <v>#REF!</v>
      </c>
      <c r="GT4" s="131" t="str">
        <f t="array" ref="GT4">INDEX(GS:GS,MIN(IF(ISNUMBER(GS4:GS200),ROW(GS4:GS200),"")))</f>
        <v/>
      </c>
      <c r="GU4" s="131" t="str">
        <f t="shared" ref="GU4:GU203" si="145">IF('Données projet (1)'!$A$270&gt;35,GU3+GT4-HC3,IF(A4&lt;'Données projet (1)'!$A$270,$GR$205^A4,IF(A4='Données projet (1)'!$A$270,'Données projet (1)'!$B$270,GU3+GT4-HC3)))</f>
        <v>#REF!</v>
      </c>
      <c r="GV4" s="138" t="str">
        <f>GU4*VLOOKUP('Données projet (1)'!$B$18,'Paramètres (1)'!$A$1:$I$88,3,0)*VLOOKUP('Données projet (1)'!$B$18,'Paramètres (1)'!$A$1:$I$88,5,0)</f>
        <v>#REF!</v>
      </c>
      <c r="GW4" s="130" t="str">
        <f t="shared" ref="GW4:GW203" si="146">EXP(-1.0587+0.8836*LN(GV4)+0.284)</f>
        <v>#REF!</v>
      </c>
      <c r="GX4" s="141" t="str">
        <f t="shared" si="99"/>
        <v>#REF!</v>
      </c>
      <c r="GY4" s="133" t="str">
        <f t="shared" si="100"/>
        <v>#REF!</v>
      </c>
      <c r="GZ4" s="133" t="str">
        <f t="shared" si="101"/>
        <v>#REF!</v>
      </c>
      <c r="HA4" s="133" t="str">
        <f t="shared" ref="HA4:HA203" si="147">$HA$3</f>
        <v>#REF!</v>
      </c>
      <c r="HB4" s="134" t="str">
        <f t="shared" si="102"/>
        <v>#REF!</v>
      </c>
      <c r="HC4" s="134" t="str">
        <f t="shared" si="103"/>
        <v>#REF!</v>
      </c>
      <c r="HD4" s="135" t="str">
        <f>IF(ISNA(VLOOKUP(A4,'Données projet (1)'!$A$269:$I$289,5,0)),0%,VLOOKUP(A4,'Données projet (1)'!$A$269:$I$289,5,0)*VLOOKUP('Données projet (1)'!$B$18,'Paramètres (1)'!$A$1:$I$88,7,0))</f>
        <v>#REF!</v>
      </c>
      <c r="HE4" s="135" t="str">
        <f>IF(ISNA(VLOOKUP(A4,'Données projet (1)'!$A$269:$I$289,6,0)),0%,VLOOKUP(A4,'Données projet (1)'!$A$269:$I$289,6,0)*VLOOKUP('Données projet (1)'!$B$18,'Paramètres (1)'!$A$1:$I$88,7,0))</f>
        <v>#REF!</v>
      </c>
      <c r="HF4" s="135" t="str">
        <f t="shared" si="104"/>
        <v>#REF!</v>
      </c>
      <c r="HG4" s="142" t="str">
        <f>EXP(-LN(2)/35)*HG3+(1-EXP(-LN(2)/35))/(LN(2)/35)*HC4*HD4*VLOOKUP('Données projet (1)'!$B$18,'Paramètres (1)'!$A$1:$I$88,3,0)*0.475*44/12</f>
        <v>#REF!</v>
      </c>
      <c r="HH4" s="142" t="str">
        <f>EXP(-LN(2)/25)*HH3+(1-EXP(-LN(2)/25))/(LN(2)/25)*'Calculateur (1)'!HC4*'Calculateur (1)'!HE4*VLOOKUP('Données projet (1)'!$B$18,'Paramètres (1)'!$A$1:$I$88,3,0)*0.475*44/12</f>
        <v>#REF!</v>
      </c>
      <c r="HI4" s="142" t="str">
        <f>EXP(-LN(2)/2)*HI3+(1-EXP(-LN(2)/2))/(LN(2)/2)*HC4*HF4*VLOOKUP('Données projet (1)'!$B$18,'Paramètres (1)'!$A$1:$I$88,3,0)*0.475*44/12</f>
        <v>#REF!</v>
      </c>
      <c r="HJ4" s="143" t="str">
        <f t="shared" si="105"/>
        <v>#REF!</v>
      </c>
    </row>
    <row r="5" ht="14.25" customHeight="1">
      <c r="A5" s="125">
        <f t="shared" si="106"/>
        <v>2</v>
      </c>
      <c r="B5" s="126" t="str">
        <f t="shared" si="1"/>
        <v>#REF!</v>
      </c>
      <c r="C5" s="140" t="str">
        <f>'Calculateur (1)'!C4+'Scénario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" s="127">
        <f t="shared" si="107"/>
        <v>0</v>
      </c>
      <c r="E5" s="127" t="str">
        <f t="shared" si="2"/>
        <v>#REF!</v>
      </c>
      <c r="F5" s="127" t="str">
        <f t="shared" si="3"/>
        <v>#REF!</v>
      </c>
      <c r="G5" s="127" t="str">
        <f t="shared" si="4"/>
        <v>#REF!</v>
      </c>
      <c r="H5" s="128" t="str">
        <f t="shared" si="5"/>
        <v>#REF!</v>
      </c>
      <c r="I5" s="129" t="str">
        <f t="shared" si="6"/>
        <v>#REF!</v>
      </c>
      <c r="J5" s="130" t="str">
        <f t="shared" si="7"/>
        <v>#REF!</v>
      </c>
      <c r="K5" s="131" t="str">
        <f t="shared" si="108"/>
        <v>#REF!</v>
      </c>
      <c r="L5" s="131" t="str">
        <f t="shared" si="8"/>
        <v>#REF!</v>
      </c>
      <c r="M5" s="131" t="str">
        <f t="array" ref="M5">INDEX(L:L,MIN(IF(ISNUMBER(L5:L201),ROW(L5:L201),"")))</f>
        <v/>
      </c>
      <c r="N5" s="130" t="str">
        <f t="shared" si="109"/>
        <v>#REF!</v>
      </c>
      <c r="O5" s="130" t="str">
        <f>N5*VLOOKUP('Données projet (1)'!$B$9,'Paramètres (1)'!$A$1:$I$88,3,0)*VLOOKUP('Données projet (1)'!$B$9,'Paramètres (1)'!$A$1:$I$88,5,0)</f>
        <v>#REF!</v>
      </c>
      <c r="P5" s="130" t="str">
        <f t="shared" si="110"/>
        <v>#REF!</v>
      </c>
      <c r="Q5" s="141" t="str">
        <f t="shared" si="9"/>
        <v>#REF!</v>
      </c>
      <c r="R5" s="133" t="str">
        <f t="shared" si="10"/>
        <v>#REF!</v>
      </c>
      <c r="S5" s="133" t="str">
        <f t="shared" si="11"/>
        <v>#REF!</v>
      </c>
      <c r="T5" s="133" t="str">
        <f t="shared" si="111"/>
        <v>#REF!</v>
      </c>
      <c r="U5" s="134" t="str">
        <f t="shared" si="12"/>
        <v>#REF!</v>
      </c>
      <c r="V5" s="134" t="str">
        <f t="shared" si="13"/>
        <v>#REF!</v>
      </c>
      <c r="W5" s="135" t="str">
        <f>IF(ISNA(VLOOKUP(A5,'Données projet (1)'!$A$35:$I$55,5,0)),0%,VLOOKUP(A5,'Données projet (1)'!$A$35:$I$55,5,0)*VLOOKUP('Données projet (1)'!$B$9,'Paramètres (1)'!$A$1:$I$88,7,0))</f>
        <v>#REF!</v>
      </c>
      <c r="X5" s="135" t="str">
        <f>IF(ISNA(VLOOKUP(A5,'Données projet (1)'!$A$35:$I$55,6,0)),0%,VLOOKUP(A5,'Données projet (1)'!$A$35:$I$55,6,0)*VLOOKUP('Données projet (1)'!$B$9,'Paramètres (1)'!$A$1:$I$88,7,0))</f>
        <v>#REF!</v>
      </c>
      <c r="Y5" s="135" t="str">
        <f t="shared" si="14"/>
        <v>#REF!</v>
      </c>
      <c r="Z5" s="142" t="str">
        <f>EXP(-LN(2)/35)*Z4+(1-EXP(-LN(2)/35))/(LN(2)/35)*V5*W5*VLOOKUP('Données projet (1)'!$B$9,'Paramètres (1)'!$A$1:$I$88,3,0)*0.475*44/12</f>
        <v>#REF!</v>
      </c>
      <c r="AA5" s="142" t="str">
        <f>EXP(-LN(2)/25)*AA4+(1-EXP(-LN(2)/25))/(LN(2)/25)*'Calculateur (1)'!V5*'Calculateur (1)'!X5*VLOOKUP('Données projet (1)'!$B$9,'Paramètres (1)'!$A$1:$I$88,3,0)*0.475*44/12</f>
        <v>#REF!</v>
      </c>
      <c r="AB5" s="142" t="str">
        <f>EXP(-LN(2)/2)*AB4+(1-EXP(-LN(2)/2))/(LN(2)/2)*V5*Y5*VLOOKUP('Données projet (1)'!$B$9,'Paramètres (1)'!$A$1:$I$88,3,0)*0.475*44/12</f>
        <v>#REF!</v>
      </c>
      <c r="AC5" s="143" t="str">
        <f t="shared" si="15"/>
        <v>#REF!</v>
      </c>
      <c r="AD5" s="130" t="str">
        <f t="shared" si="16"/>
        <v>#REF!</v>
      </c>
      <c r="AE5" s="130" t="str">
        <f t="shared" si="17"/>
        <v>#REF!</v>
      </c>
      <c r="AF5" s="131" t="str">
        <f t="shared" si="112"/>
        <v>#REF!</v>
      </c>
      <c r="AG5" s="131" t="str">
        <f t="shared" si="18"/>
        <v>#REF!</v>
      </c>
      <c r="AH5" s="131" t="str">
        <f t="array" ref="AH5">INDEX(AG:AG,MIN(IF(ISNUMBER(AG5:AG201),ROW(AG5:AG201),"")))</f>
        <v/>
      </c>
      <c r="AI5" s="130" t="str">
        <f t="shared" si="113"/>
        <v>#REF!</v>
      </c>
      <c r="AJ5" s="130" t="str">
        <f>AI5*VLOOKUP('Données projet (1)'!$B$10,'Paramètres (1)'!$A$1:$I$88,3,0)*VLOOKUP('Données projet (1)'!$B$10,'Paramètres (1)'!$A$1:$I$88,5,0)</f>
        <v>#REF!</v>
      </c>
      <c r="AK5" s="130" t="str">
        <f t="shared" si="114"/>
        <v>#REF!</v>
      </c>
      <c r="AL5" s="141" t="str">
        <f t="shared" si="19"/>
        <v>#REF!</v>
      </c>
      <c r="AM5" s="133" t="str">
        <f t="shared" si="20"/>
        <v>#REF!</v>
      </c>
      <c r="AN5" s="133" t="str">
        <f t="shared" si="21"/>
        <v>#REF!</v>
      </c>
      <c r="AO5" s="133" t="str">
        <f t="shared" si="115"/>
        <v>#REF!</v>
      </c>
      <c r="AP5" s="134" t="str">
        <f t="shared" si="22"/>
        <v>#REF!</v>
      </c>
      <c r="AQ5" s="134" t="str">
        <f t="shared" si="23"/>
        <v>#REF!</v>
      </c>
      <c r="AR5" s="135" t="str">
        <f>IF(ISNA(VLOOKUP(A5,'Données projet (1)'!$A$61:$I$81,5,0)),0%,VLOOKUP(A5,'Données projet (1)'!$A$61:$I$81,5,0)*VLOOKUP('Données projet (1)'!$B$10,'Paramètres (1)'!$A$1:$I$88,7,0))</f>
        <v>#REF!</v>
      </c>
      <c r="AS5" s="135" t="str">
        <f>IF(ISNA(VLOOKUP(A5,'Données projet (1)'!$A$61:$I$81,6,0)),0%,VLOOKUP(A5,'Données projet (1)'!$A$61:$I$81,6,0)*VLOOKUP('Données projet (1)'!$B$10,'Paramètres (1)'!$A$1:$I$88,7,0))</f>
        <v>#REF!</v>
      </c>
      <c r="AT5" s="135" t="str">
        <f t="shared" si="24"/>
        <v>#REF!</v>
      </c>
      <c r="AU5" s="142" t="str">
        <f>EXP(-LN(2)/35)*AU4+(1-EXP(-LN(2)/35))/(LN(2)/35)*AQ5*AR5*VLOOKUP('Données projet (1)'!$B$10,'Paramètres (1)'!$A$1:$I$88,3,0)*0.475*44/12</f>
        <v>#REF!</v>
      </c>
      <c r="AV5" s="142" t="str">
        <f>EXP(-LN(2)/25)*AV4+(1-EXP(-LN(2)/25))/(LN(2)/25)*'Calculateur (1)'!AQ5*'Calculateur (1)'!AS5*VLOOKUP('Données projet (1)'!$B$10,'Paramètres (1)'!$A$1:$I$88,3,0)*0.475*44/12</f>
        <v>#REF!</v>
      </c>
      <c r="AW5" s="142" t="str">
        <f>EXP(-LN(2)/2)*AW4+(1-EXP(-LN(2)/2))/(LN(2)/2)*AQ5*AT5*VLOOKUP('Données projet (1)'!$B$10,'Paramètres (1)'!$A$1:$I$88,3,0)*0.475*44/12</f>
        <v>#REF!</v>
      </c>
      <c r="AX5" s="142" t="str">
        <f t="shared" si="25"/>
        <v>#REF!</v>
      </c>
      <c r="AY5" s="137" t="str">
        <f t="shared" si="26"/>
        <v>#REF!</v>
      </c>
      <c r="AZ5" s="131" t="str">
        <f t="shared" si="27"/>
        <v>#REF!</v>
      </c>
      <c r="BA5" s="131" t="str">
        <f t="shared" si="116"/>
        <v>#REF!</v>
      </c>
      <c r="BB5" s="131" t="str">
        <f t="shared" si="28"/>
        <v>#REF!</v>
      </c>
      <c r="BC5" s="131" t="str">
        <f t="array" ref="BC5">INDEX(BB:BB,MIN(IF(ISNUMBER(BB5:BB201),ROW(BB5:BB201),"")))</f>
        <v/>
      </c>
      <c r="BD5" s="131" t="str">
        <f t="shared" si="117"/>
        <v>#REF!</v>
      </c>
      <c r="BE5" s="130" t="str">
        <f>BD5*VLOOKUP('Données projet (1)'!$B$11,'Paramètres (1)'!$A$1:$I$88,3,0)*VLOOKUP('Données projet (1)'!$B$11,'Paramètres (1)'!$A$1:$I$88,5,0)</f>
        <v>#REF!</v>
      </c>
      <c r="BF5" s="130" t="str">
        <f t="shared" si="118"/>
        <v>#REF!</v>
      </c>
      <c r="BG5" s="141" t="str">
        <f t="shared" si="29"/>
        <v>#REF!</v>
      </c>
      <c r="BH5" s="133" t="str">
        <f t="shared" si="30"/>
        <v>#REF!</v>
      </c>
      <c r="BI5" s="133" t="str">
        <f t="shared" si="31"/>
        <v>#REF!</v>
      </c>
      <c r="BJ5" s="133" t="str">
        <f t="shared" si="119"/>
        <v>#REF!</v>
      </c>
      <c r="BK5" s="134" t="str">
        <f t="shared" si="32"/>
        <v>#REF!</v>
      </c>
      <c r="BL5" s="134" t="str">
        <f t="shared" si="33"/>
        <v>#REF!</v>
      </c>
      <c r="BM5" s="135" t="str">
        <f>IF(ISNA(VLOOKUP(A5,'Données projet (1)'!$A$87:$I$107,5,0)),0%,VLOOKUP(A5,'Données projet (1)'!$A$87:$I$107,5,0)*VLOOKUP('Données projet (1)'!$B$11,'Paramètres (1)'!$A$1:$I$88,7,0))</f>
        <v>#REF!</v>
      </c>
      <c r="BN5" s="135" t="str">
        <f>IF(ISNA(VLOOKUP(A5,'Données projet (1)'!$A$87:$I$107,6,0)),0%,VLOOKUP(A5,'Données projet (1)'!$A$87:$I$107,6,0)*VLOOKUP('Données projet (1)'!$B$11,'Paramètres (1)'!$A$1:$I$88,7,0))</f>
        <v>#REF!</v>
      </c>
      <c r="BO5" s="135" t="str">
        <f t="shared" si="34"/>
        <v>#REF!</v>
      </c>
      <c r="BP5" s="142" t="str">
        <f>EXP(-LN(2)/35)*BP4+(1-EXP(-LN(2)/35))/(LN(2)/35)*BL5*BM5*VLOOKUP('Données projet (1)'!$B$11,'Paramètres (1)'!$A$1:$I$88,3,0)*0.475*44/12</f>
        <v>#REF!</v>
      </c>
      <c r="BQ5" s="142" t="str">
        <f>EXP(-LN(2)/25)*BQ4+(1-EXP(-LN(2)/25))/(LN(2)/25)*'Calculateur (1)'!BL5*'Calculateur (1)'!BN5*VLOOKUP('Données projet (1)'!$B$11,'Paramètres (1)'!$A$1:$I$88,3,0)*0.475*44/12</f>
        <v>#REF!</v>
      </c>
      <c r="BR5" s="142" t="str">
        <f>EXP(-LN(2)/2)*BR4+(1-EXP(-LN(2)/2))/(LN(2)/2)*BL5*BO5*VLOOKUP('Données projet (1)'!$B$11,'Paramètres (1)'!$A$1:$I$88,3,0)*0.475*44/12</f>
        <v>#REF!</v>
      </c>
      <c r="BS5" s="143" t="str">
        <f t="shared" si="35"/>
        <v>#REF!</v>
      </c>
      <c r="BT5" s="139" t="str">
        <f t="shared" si="36"/>
        <v>#REF!</v>
      </c>
      <c r="BU5" s="131" t="str">
        <f t="shared" si="37"/>
        <v>#REF!</v>
      </c>
      <c r="BV5" s="131" t="str">
        <f t="shared" si="120"/>
        <v>#REF!</v>
      </c>
      <c r="BW5" s="131" t="str">
        <f t="shared" si="38"/>
        <v>#REF!</v>
      </c>
      <c r="BX5" s="131" t="str">
        <f t="array" ref="BX5">INDEX(BW:BW,MIN(IF(ISNUMBER(BW5:BW201),ROW(BW5:BW201),"")))</f>
        <v/>
      </c>
      <c r="BY5" s="131" t="str">
        <f t="shared" si="121"/>
        <v>#REF!</v>
      </c>
      <c r="BZ5" s="130" t="str">
        <f>BY5*VLOOKUP('Données projet (1)'!$B$12,'Paramètres (1)'!$A$1:$I$88,3,0)*VLOOKUP('Données projet (1)'!$B$12,'Paramètres (1)'!$A$1:$I$88,5,0)</f>
        <v>#REF!</v>
      </c>
      <c r="CA5" s="130" t="str">
        <f t="shared" si="122"/>
        <v>#REF!</v>
      </c>
      <c r="CB5" s="141" t="str">
        <f t="shared" si="39"/>
        <v>#REF!</v>
      </c>
      <c r="CC5" s="133" t="str">
        <f t="shared" si="40"/>
        <v>#REF!</v>
      </c>
      <c r="CD5" s="133" t="str">
        <f t="shared" si="41"/>
        <v>#REF!</v>
      </c>
      <c r="CE5" s="133" t="str">
        <f t="shared" si="123"/>
        <v>#REF!</v>
      </c>
      <c r="CF5" s="134" t="str">
        <f t="shared" si="42"/>
        <v>#REF!</v>
      </c>
      <c r="CG5" s="134" t="str">
        <f t="shared" si="43"/>
        <v>#REF!</v>
      </c>
      <c r="CH5" s="135" t="str">
        <f>IF(ISNA(VLOOKUP(A5,'Données projet (1)'!$A$113:$I$133,5,0)),0%,VLOOKUP(A5,'Données projet (1)'!$A$113:$I$133,5,0)*VLOOKUP('Données projet (1)'!$B$12,'Paramètres (1)'!$A$1:$I$88,7,0))</f>
        <v>#REF!</v>
      </c>
      <c r="CI5" s="135" t="str">
        <f>IF(ISNA(VLOOKUP(A5,'Données projet (1)'!$A$113:$I$133,6,0)),0%,VLOOKUP(A5,'Données projet (1)'!$A$113:$I$133,6,0)*VLOOKUP('Données projet (1)'!$B$12,'Paramètres (1)'!$A$1:$I$88,7,0))</f>
        <v>#REF!</v>
      </c>
      <c r="CJ5" s="135" t="str">
        <f t="shared" si="44"/>
        <v>#REF!</v>
      </c>
      <c r="CK5" s="142" t="str">
        <f>EXP(-LN(2)/35)*CK4+(1-EXP(-LN(2)/35))/(LN(2)/35)*CG5*CH5*VLOOKUP('Données projet (1)'!$B$12,'Paramètres (1)'!$A$1:$I$88,3,0)*0.475*44/12</f>
        <v>#REF!</v>
      </c>
      <c r="CL5" s="142" t="str">
        <f>EXP(-LN(2)/25)*CL4+(1-EXP(-LN(2)/25))/(LN(2)/25)*'Calculateur (1)'!CG5*'Calculateur (1)'!CI5*VLOOKUP('Données projet (1)'!$B$12,'Paramètres (1)'!$A$1:$I$88,3,0)*0.475*44/12</f>
        <v>#REF!</v>
      </c>
      <c r="CM5" s="142" t="str">
        <f>EXP(-LN(2)/2)*CM4+(1-EXP(-LN(2)/2))/(LN(2)/2)*CG5*CJ5*VLOOKUP('Données projet (1)'!$B$12,'Paramètres (1)'!$A$1:$I$88,3,0)*0.475*44/12</f>
        <v>#REF!</v>
      </c>
      <c r="CN5" s="143" t="str">
        <f t="shared" si="45"/>
        <v>#REF!</v>
      </c>
      <c r="CO5" s="139" t="str">
        <f t="shared" si="46"/>
        <v>#REF!</v>
      </c>
      <c r="CP5" s="131" t="str">
        <f t="shared" si="47"/>
        <v>#REF!</v>
      </c>
      <c r="CQ5" s="131" t="str">
        <f t="shared" si="124"/>
        <v>#REF!</v>
      </c>
      <c r="CR5" s="131" t="str">
        <f t="shared" si="48"/>
        <v>#REF!</v>
      </c>
      <c r="CS5" s="131" t="str">
        <f t="array" ref="CS5">INDEX(CR:CR,MIN(IF(ISNUMBER(CR5:CR201),ROW(CR5:CR201),"")))</f>
        <v/>
      </c>
      <c r="CT5" s="131" t="str">
        <f t="shared" si="125"/>
        <v>#REF!</v>
      </c>
      <c r="CU5" s="138" t="str">
        <f>CT5*VLOOKUP('Données projet (1)'!$B$13,'Paramètres (1)'!$A$1:$I$88,3,0)*VLOOKUP('Données projet (1)'!$B$13,'Paramètres (1)'!$A$1:$I$88,5,0)</f>
        <v>#REF!</v>
      </c>
      <c r="CV5" s="130" t="str">
        <f t="shared" si="126"/>
        <v>#REF!</v>
      </c>
      <c r="CW5" s="141" t="str">
        <f t="shared" si="49"/>
        <v>#REF!</v>
      </c>
      <c r="CX5" s="133" t="str">
        <f t="shared" si="50"/>
        <v>#REF!</v>
      </c>
      <c r="CY5" s="133" t="str">
        <f t="shared" si="51"/>
        <v>#REF!</v>
      </c>
      <c r="CZ5" s="133" t="str">
        <f t="shared" si="127"/>
        <v>#REF!</v>
      </c>
      <c r="DA5" s="134" t="str">
        <f t="shared" si="52"/>
        <v>#REF!</v>
      </c>
      <c r="DB5" s="134" t="str">
        <f t="shared" si="53"/>
        <v>#REF!</v>
      </c>
      <c r="DC5" s="135" t="str">
        <f>IF(ISNA(VLOOKUP(A5,'Données projet (1)'!$A$139:$I$159,5,0)),0%,VLOOKUP(A5,'Données projet (1)'!$A$139:$I$159,5,0)*VLOOKUP('Données projet (1)'!$B$13,'Paramètres (1)'!$A$1:$I$88,7,0))</f>
        <v>#REF!</v>
      </c>
      <c r="DD5" s="135" t="str">
        <f>IF(ISNA(VLOOKUP(A5,'Données projet (1)'!$A$139:$I$159,6,0)),0%,VLOOKUP(A5,'Données projet (1)'!$A$139:$I$159,6,0)*VLOOKUP('Données projet (1)'!$B$13,'Paramètres (1)'!$A$1:$I$88,7,0))</f>
        <v>#REF!</v>
      </c>
      <c r="DE5" s="135" t="str">
        <f t="shared" si="54"/>
        <v>#REF!</v>
      </c>
      <c r="DF5" s="142" t="str">
        <f>EXP(-LN(2)/35)*DF4+(1-EXP(-LN(2)/35))/(LN(2)/35)*DB5*DC5*VLOOKUP('Données projet (1)'!$B$13,'Paramètres (1)'!$A$1:$I$88,3,0)*0.475*44/12</f>
        <v>#REF!</v>
      </c>
      <c r="DG5" s="142" t="str">
        <f>EXP(-LN(2)/25)*DG4+(1-EXP(-LN(2)/25))/(LN(2)/25)*'Calculateur (1)'!DB5*'Calculateur (1)'!DD5*VLOOKUP('Données projet (1)'!$B$13,'Paramètres (1)'!$A$1:$I$88,3,0)*0.475*44/12</f>
        <v>#REF!</v>
      </c>
      <c r="DH5" s="142" t="str">
        <f>EXP(-LN(2)/2)*DH4+(1-EXP(-LN(2)/2))/(LN(2)/2)*DB5*DE5*VLOOKUP('Données projet (1)'!$B$13,'Paramètres (1)'!$A$1:$I$88,3,0)*0.475*44/12</f>
        <v>#REF!</v>
      </c>
      <c r="DI5" s="143" t="str">
        <f t="shared" si="55"/>
        <v>#REF!</v>
      </c>
      <c r="DJ5" s="139" t="str">
        <f t="shared" si="56"/>
        <v>#REF!</v>
      </c>
      <c r="DK5" s="131" t="str">
        <f t="shared" si="57"/>
        <v>#REF!</v>
      </c>
      <c r="DL5" s="131" t="str">
        <f t="shared" si="128"/>
        <v>#REF!</v>
      </c>
      <c r="DM5" s="131" t="str">
        <f t="shared" si="58"/>
        <v>#REF!</v>
      </c>
      <c r="DN5" s="131" t="str">
        <f t="array" ref="DN5">INDEX(DM:DM,MIN(IF(ISNUMBER(DM5:DM201),ROW(DM5:DM201),"")))</f>
        <v/>
      </c>
      <c r="DO5" s="131" t="str">
        <f t="shared" si="129"/>
        <v>#REF!</v>
      </c>
      <c r="DP5" s="138" t="str">
        <f>DO5*VLOOKUP('Données projet (1)'!$B$14,'Paramètres (1)'!$A$1:$I$88,3,0)*VLOOKUP('Données projet (1)'!$B$14,'Paramètres (1)'!$A$1:$I$88,5,0)</f>
        <v>#REF!</v>
      </c>
      <c r="DQ5" s="130" t="str">
        <f t="shared" si="130"/>
        <v>#REF!</v>
      </c>
      <c r="DR5" s="141" t="str">
        <f t="shared" si="59"/>
        <v>#REF!</v>
      </c>
      <c r="DS5" s="133" t="str">
        <f t="shared" si="60"/>
        <v>#REF!</v>
      </c>
      <c r="DT5" s="133" t="str">
        <f t="shared" si="61"/>
        <v>#REF!</v>
      </c>
      <c r="DU5" s="133" t="str">
        <f t="shared" si="131"/>
        <v>#REF!</v>
      </c>
      <c r="DV5" s="134" t="str">
        <f t="shared" si="62"/>
        <v>#REF!</v>
      </c>
      <c r="DW5" s="134" t="str">
        <f t="shared" si="63"/>
        <v>#REF!</v>
      </c>
      <c r="DX5" s="135" t="str">
        <f>IF(ISNA(VLOOKUP(A5,'Données projet (1)'!$A$165:$I$185,5,0)),0%,VLOOKUP(A5,'Données projet (1)'!$A$165:$I$185,5,0)*VLOOKUP('Données projet (1)'!$B$14,'Paramètres (1)'!$A$1:$I$88,7,0))</f>
        <v>#REF!</v>
      </c>
      <c r="DY5" s="135" t="str">
        <f>IF(ISNA(VLOOKUP(A5,'Données projet (1)'!$A$165:$I$185,6,0)),0%,VLOOKUP(A5,'Données projet (1)'!$A$165:$I$185,6,0)*VLOOKUP('Données projet (1)'!$B$14,'Paramètres (1)'!$A$1:$I$88,7,0))</f>
        <v>#REF!</v>
      </c>
      <c r="DZ5" s="135" t="str">
        <f t="shared" si="64"/>
        <v>#REF!</v>
      </c>
      <c r="EA5" s="142" t="str">
        <f>EXP(-LN(2)/35)*EA4+(1-EXP(-LN(2)/35))/(LN(2)/35)*DW5*DX5*VLOOKUP('Données projet (1)'!$B$14,'Paramètres (1)'!$A$1:$I$88,3,0)*0.475*44/12</f>
        <v>#REF!</v>
      </c>
      <c r="EB5" s="142" t="str">
        <f>EXP(-LN(2)/25)*EB4+(1-EXP(-LN(2)/25))/(LN(2)/25)*'Calculateur (1)'!DW5*'Calculateur (1)'!DY5*VLOOKUP('Données projet (1)'!$B$14,'Paramètres (1)'!$A$1:$I$88,3,0)*0.475*44/12</f>
        <v>#REF!</v>
      </c>
      <c r="EC5" s="142" t="str">
        <f>EXP(-LN(2)/2)*EC4+(1-EXP(-LN(2)/2))/(LN(2)/2)*DW5*DZ5*VLOOKUP('Données projet (1)'!$B$14,'Paramètres (1)'!$A$1:$I$88,3,0)*0.475*44/12</f>
        <v>#REF!</v>
      </c>
      <c r="ED5" s="143" t="str">
        <f t="shared" si="65"/>
        <v>#REF!</v>
      </c>
      <c r="EE5" s="139" t="str">
        <f t="shared" si="66"/>
        <v>#REF!</v>
      </c>
      <c r="EF5" s="131" t="str">
        <f t="shared" si="67"/>
        <v>#REF!</v>
      </c>
      <c r="EG5" s="131" t="str">
        <f t="shared" si="132"/>
        <v>#REF!</v>
      </c>
      <c r="EH5" s="131" t="str">
        <f t="shared" si="68"/>
        <v>#REF!</v>
      </c>
      <c r="EI5" s="131" t="str">
        <f t="array" ref="EI5">INDEX(EH:EH,MIN(IF(ISNUMBER(EH5:EH201),ROW(EH5:EH201),"")))</f>
        <v/>
      </c>
      <c r="EJ5" s="131" t="str">
        <f t="shared" si="133"/>
        <v>#REF!</v>
      </c>
      <c r="EK5" s="138" t="str">
        <f>EJ5*VLOOKUP('Données projet (1)'!$B$15,'Paramètres (1)'!$A$1:$I$88,3,0)*VLOOKUP('Données projet (1)'!$B$15,'Paramètres (1)'!$A$1:$I$88,5,0)</f>
        <v>#REF!</v>
      </c>
      <c r="EL5" s="130" t="str">
        <f t="shared" si="134"/>
        <v>#REF!</v>
      </c>
      <c r="EM5" s="141" t="str">
        <f t="shared" si="69"/>
        <v>#REF!</v>
      </c>
      <c r="EN5" s="133" t="str">
        <f t="shared" si="70"/>
        <v>#REF!</v>
      </c>
      <c r="EO5" s="133" t="str">
        <f t="shared" si="71"/>
        <v>#REF!</v>
      </c>
      <c r="EP5" s="133" t="str">
        <f t="shared" si="135"/>
        <v>#REF!</v>
      </c>
      <c r="EQ5" s="134" t="str">
        <f t="shared" si="72"/>
        <v>#REF!</v>
      </c>
      <c r="ER5" s="134" t="str">
        <f t="shared" si="73"/>
        <v>#REF!</v>
      </c>
      <c r="ES5" s="135" t="str">
        <f>IF(ISNA(VLOOKUP(A5,'Données projet (1)'!$A$191:$I$211,5,0)),0%,VLOOKUP(A5,'Données projet (1)'!$A$191:$I$211,5,0)*VLOOKUP('Données projet (1)'!$B$15,'Paramètres (1)'!$A$1:$I$88,7,0))</f>
        <v>#REF!</v>
      </c>
      <c r="ET5" s="135" t="str">
        <f>IF(ISNA(VLOOKUP(A5,'Données projet (1)'!$A$191:$I$211,6,0)),0%,VLOOKUP(A5,'Données projet (1)'!$A$191:$I$211,6,0)*VLOOKUP('Données projet (1)'!$B$15,'Paramètres (1)'!$A$1:$I$88,7,0))</f>
        <v>#REF!</v>
      </c>
      <c r="EU5" s="135" t="str">
        <f t="shared" si="74"/>
        <v>#REF!</v>
      </c>
      <c r="EV5" s="142" t="str">
        <f>EXP(-LN(2)/35)*EV4+(1-EXP(-LN(2)/35))/(LN(2)/35)*ER5*ES5*VLOOKUP('Données projet (1)'!$B$15,'Paramètres (1)'!$A$1:$I$88,3,0)*0.475*44/12</f>
        <v>#REF!</v>
      </c>
      <c r="EW5" s="142" t="str">
        <f>EXP(-LN(2)/25)*EW4+(1-EXP(-LN(2)/25))/(LN(2)/25)*'Calculateur (1)'!ER5*'Calculateur (1)'!ET5*VLOOKUP('Données projet (1)'!$B$15,'Paramètres (1)'!$A$1:$I$88,3,0)*0.475*44/12</f>
        <v>#REF!</v>
      </c>
      <c r="EX5" s="142" t="str">
        <f>EXP(-LN(2)/2)*EX4+(1-EXP(-LN(2)/2))/(LN(2)/2)*ER5*EU5*VLOOKUP('Données projet (1)'!$B$15,'Paramètres (1)'!$A$1:$I$88,3,0)*0.475*44/12</f>
        <v>#REF!</v>
      </c>
      <c r="EY5" s="143" t="str">
        <f t="shared" si="75"/>
        <v>#REF!</v>
      </c>
      <c r="EZ5" s="139" t="str">
        <f t="shared" si="76"/>
        <v>#REF!</v>
      </c>
      <c r="FA5" s="131" t="str">
        <f t="shared" si="77"/>
        <v>#REF!</v>
      </c>
      <c r="FB5" s="131" t="str">
        <f t="shared" si="136"/>
        <v>#REF!</v>
      </c>
      <c r="FC5" s="131" t="str">
        <f t="shared" si="78"/>
        <v>#REF!</v>
      </c>
      <c r="FD5" s="131" t="str">
        <f t="array" ref="FD5">INDEX(FC:FC,MIN(IF(ISNUMBER(FC5:FC201),ROW(FC5:FC201),"")))</f>
        <v/>
      </c>
      <c r="FE5" s="131" t="str">
        <f t="shared" si="137"/>
        <v>#REF!</v>
      </c>
      <c r="FF5" s="138" t="str">
        <f>FE5*VLOOKUP('Données projet (1)'!$B$16,'Paramètres (1)'!$A$1:$I$88,3,0)*VLOOKUP('Données projet (1)'!$B$16,'Paramètres (1)'!$A$1:$I$88,5,0)</f>
        <v>#REF!</v>
      </c>
      <c r="FG5" s="130" t="str">
        <f t="shared" si="138"/>
        <v>#REF!</v>
      </c>
      <c r="FH5" s="141" t="str">
        <f t="shared" si="79"/>
        <v>#REF!</v>
      </c>
      <c r="FI5" s="133" t="str">
        <f t="shared" si="80"/>
        <v>#REF!</v>
      </c>
      <c r="FJ5" s="133" t="str">
        <f t="shared" si="81"/>
        <v>#REF!</v>
      </c>
      <c r="FK5" s="133" t="str">
        <f t="shared" si="139"/>
        <v>#REF!</v>
      </c>
      <c r="FL5" s="134" t="str">
        <f t="shared" si="82"/>
        <v>#REF!</v>
      </c>
      <c r="FM5" s="134" t="str">
        <f t="shared" si="83"/>
        <v>#REF!</v>
      </c>
      <c r="FN5" s="135" t="str">
        <f>IF(ISNA(VLOOKUP(A5,'Données projet (1)'!$A$217:$I$237,5,0)),0%,VLOOKUP(A5,'Données projet (1)'!$A$217:$I$237,5,0)*VLOOKUP('Données projet (1)'!$B$16,'Paramètres (1)'!$A$1:$I$88,7,0))</f>
        <v>#REF!</v>
      </c>
      <c r="FO5" s="135" t="str">
        <f>IF(ISNA(VLOOKUP(A5,'Données projet (1)'!$A$217:$I$237,6,0)),0%,VLOOKUP(A5,'Données projet (1)'!$A$217:$I$237,6,0)*VLOOKUP('Données projet (1)'!$B$16,'Paramètres (1)'!$A$1:$I$88,7,0))</f>
        <v>#REF!</v>
      </c>
      <c r="FP5" s="135" t="str">
        <f t="shared" si="84"/>
        <v>#REF!</v>
      </c>
      <c r="FQ5" s="142" t="str">
        <f>EXP(-LN(2)/35)*FQ4+(1-EXP(-LN(2)/35))/(LN(2)/35)*FM5*FN5*VLOOKUP('Données projet (1)'!$B$16,'Paramètres (1)'!$A$1:$I$88,3,0)*0.475*44/12</f>
        <v>#REF!</v>
      </c>
      <c r="FR5" s="142" t="str">
        <f>EXP(-LN(2)/25)*FR4+(1-EXP(-LN(2)/25))/(LN(2)/25)*'Calculateur (1)'!FM5*'Calculateur (1)'!FO5*VLOOKUP('Données projet (1)'!$B$16,'Paramètres (1)'!$A$1:$I$88,3,0)*0.475*44/12</f>
        <v>#REF!</v>
      </c>
      <c r="FS5" s="142" t="str">
        <f>EXP(-LN(2)/2)*FS4+(1-EXP(-LN(2)/2))/(LN(2)/2)*FM5*FP5*VLOOKUP('Données projet (1)'!$B$16,'Paramètres (1)'!$A$1:$I$88,3,0)*0.475*44/12</f>
        <v>#REF!</v>
      </c>
      <c r="FT5" s="143" t="str">
        <f t="shared" si="85"/>
        <v>#REF!</v>
      </c>
      <c r="FU5" s="139" t="str">
        <f t="shared" si="86"/>
        <v>#REF!</v>
      </c>
      <c r="FV5" s="131" t="str">
        <f t="shared" si="87"/>
        <v>#REF!</v>
      </c>
      <c r="FW5" s="131" t="str">
        <f t="shared" si="140"/>
        <v>#REF!</v>
      </c>
      <c r="FX5" s="131" t="str">
        <f t="shared" si="88"/>
        <v>#REF!</v>
      </c>
      <c r="FY5" s="131" t="str">
        <f t="array" ref="FY5">INDEX(FX:FX,MIN(IF(ISNUMBER(FX5:FX201),ROW(FX5:FX201),"")))</f>
        <v/>
      </c>
      <c r="FZ5" s="131" t="str">
        <f t="shared" si="141"/>
        <v>#REF!</v>
      </c>
      <c r="GA5" s="138" t="str">
        <f>FZ5*VLOOKUP('Données projet (1)'!$B$17,'Paramètres (1)'!$A$1:$I$88,3,0)*VLOOKUP('Données projet (1)'!$B$17,'Paramètres (1)'!$A$1:$I$88,5,0)</f>
        <v>#REF!</v>
      </c>
      <c r="GB5" s="130" t="str">
        <f t="shared" si="142"/>
        <v>#REF!</v>
      </c>
      <c r="GC5" s="141" t="str">
        <f t="shared" si="89"/>
        <v>#REF!</v>
      </c>
      <c r="GD5" s="133" t="str">
        <f t="shared" si="90"/>
        <v>#REF!</v>
      </c>
      <c r="GE5" s="133" t="str">
        <f t="shared" si="91"/>
        <v>#REF!</v>
      </c>
      <c r="GF5" s="133" t="str">
        <f t="shared" si="143"/>
        <v>#REF!</v>
      </c>
      <c r="GG5" s="134" t="str">
        <f t="shared" si="92"/>
        <v>#REF!</v>
      </c>
      <c r="GH5" s="134" t="str">
        <f t="shared" si="93"/>
        <v>#REF!</v>
      </c>
      <c r="GI5" s="135" t="str">
        <f>IF(ISNA(VLOOKUP(A5,'Données projet (1)'!$A$243:$I$263,5,0)),0%,VLOOKUP(A5,'Données projet (1)'!$A$243:$I$263,5,0)*VLOOKUP('Données projet (1)'!$B$17,'Paramètres (1)'!$A$1:$I$88,7,0))</f>
        <v>#REF!</v>
      </c>
      <c r="GJ5" s="135" t="str">
        <f>IF(ISNA(VLOOKUP(A5,'Données projet (1)'!$A$243:$I$263,6,0)),0%,VLOOKUP(A5,'Données projet (1)'!$A$243:$I$263,6,0)*VLOOKUP('Données projet (1)'!$B$17,'Paramètres (1)'!$A$1:$I$88,7,0))</f>
        <v>#REF!</v>
      </c>
      <c r="GK5" s="135" t="str">
        <f t="shared" si="94"/>
        <v>#REF!</v>
      </c>
      <c r="GL5" s="142" t="str">
        <f>EXP(-LN(2)/35)*GL4+(1-EXP(-LN(2)/35))/(LN(2)/35)*GH5*GI5*VLOOKUP('Données projet (1)'!$B$17,'Paramètres (1)'!$A$1:$I$88,3,0)*0.475*44/12</f>
        <v>#REF!</v>
      </c>
      <c r="GM5" s="142" t="str">
        <f>EXP(-LN(2)/25)*GM4+(1-EXP(-LN(2)/25))/(LN(2)/25)*'Calculateur (1)'!GH5*'Calculateur (1)'!GJ5*VLOOKUP('Données projet (1)'!$B$17,'Paramètres (1)'!$A$1:$I$88,3,0)*0.475*44/12</f>
        <v>#REF!</v>
      </c>
      <c r="GN5" s="142" t="str">
        <f>EXP(-LN(2)/2)*GN4+(1-EXP(-LN(2)/2))/(LN(2)/2)*GH5*GK5*VLOOKUP('Données projet (1)'!$B$17,'Paramètres (1)'!$A$1:$I$88,3,0)*0.475*44/12</f>
        <v>#REF!</v>
      </c>
      <c r="GO5" s="142" t="str">
        <f t="shared" si="95"/>
        <v>#REF!</v>
      </c>
      <c r="GP5" s="139" t="str">
        <f t="shared" si="96"/>
        <v>#REF!</v>
      </c>
      <c r="GQ5" s="131" t="str">
        <f t="shared" si="97"/>
        <v>#REF!</v>
      </c>
      <c r="GR5" s="131" t="str">
        <f t="shared" si="144"/>
        <v>#REF!</v>
      </c>
      <c r="GS5" s="131" t="str">
        <f t="shared" si="98"/>
        <v>#REF!</v>
      </c>
      <c r="GT5" s="131" t="str">
        <f t="array" ref="GT5">INDEX(GS:GS,MIN(IF(ISNUMBER(GS5:GS201),ROW(GS5:GS201),"")))</f>
        <v/>
      </c>
      <c r="GU5" s="131" t="str">
        <f t="shared" si="145"/>
        <v>#REF!</v>
      </c>
      <c r="GV5" s="138" t="str">
        <f>GU5*VLOOKUP('Données projet (1)'!$B$18,'Paramètres (1)'!$A$1:$I$88,3,0)*VLOOKUP('Données projet (1)'!$B$18,'Paramètres (1)'!$A$1:$I$88,5,0)</f>
        <v>#REF!</v>
      </c>
      <c r="GW5" s="130" t="str">
        <f t="shared" si="146"/>
        <v>#REF!</v>
      </c>
      <c r="GX5" s="141" t="str">
        <f t="shared" si="99"/>
        <v>#REF!</v>
      </c>
      <c r="GY5" s="133" t="str">
        <f t="shared" si="100"/>
        <v>#REF!</v>
      </c>
      <c r="GZ5" s="133" t="str">
        <f t="shared" si="101"/>
        <v>#REF!</v>
      </c>
      <c r="HA5" s="133" t="str">
        <f t="shared" si="147"/>
        <v>#REF!</v>
      </c>
      <c r="HB5" s="134" t="str">
        <f t="shared" si="102"/>
        <v>#REF!</v>
      </c>
      <c r="HC5" s="134" t="str">
        <f t="shared" si="103"/>
        <v>#REF!</v>
      </c>
      <c r="HD5" s="135" t="str">
        <f>IF(ISNA(VLOOKUP(A5,'Données projet (1)'!$A$269:$I$289,5,0)),0%,VLOOKUP(A5,'Données projet (1)'!$A$269:$I$289,5,0)*VLOOKUP('Données projet (1)'!$B$18,'Paramètres (1)'!$A$1:$I$88,7,0))</f>
        <v>#REF!</v>
      </c>
      <c r="HE5" s="135" t="str">
        <f>IF(ISNA(VLOOKUP(A5,'Données projet (1)'!$A$269:$I$289,6,0)),0%,VLOOKUP(A5,'Données projet (1)'!$A$269:$I$289,6,0)*VLOOKUP('Données projet (1)'!$B$18,'Paramètres (1)'!$A$1:$I$88,7,0))</f>
        <v>#REF!</v>
      </c>
      <c r="HF5" s="135" t="str">
        <f t="shared" si="104"/>
        <v>#REF!</v>
      </c>
      <c r="HG5" s="142" t="str">
        <f>EXP(-LN(2)/35)*HG4+(1-EXP(-LN(2)/35))/(LN(2)/35)*HC5*HD5*VLOOKUP('Données projet (1)'!$B$18,'Paramètres (1)'!$A$1:$I$88,3,0)*0.475*44/12</f>
        <v>#REF!</v>
      </c>
      <c r="HH5" s="142" t="str">
        <f>EXP(-LN(2)/25)*HH4+(1-EXP(-LN(2)/25))/(LN(2)/25)*'Calculateur (1)'!HC5*'Calculateur (1)'!HE5*VLOOKUP('Données projet (1)'!$B$18,'Paramètres (1)'!$A$1:$I$88,3,0)*0.475*44/12</f>
        <v>#REF!</v>
      </c>
      <c r="HI5" s="142" t="str">
        <f>EXP(-LN(2)/2)*HI4+(1-EXP(-LN(2)/2))/(LN(2)/2)*HC5*HF5*VLOOKUP('Données projet (1)'!$B$18,'Paramètres (1)'!$A$1:$I$88,3,0)*0.475*44/12</f>
        <v>#REF!</v>
      </c>
      <c r="HJ5" s="143" t="str">
        <f t="shared" si="105"/>
        <v>#REF!</v>
      </c>
    </row>
    <row r="6" ht="14.25" customHeight="1">
      <c r="A6" s="125">
        <f t="shared" si="106"/>
        <v>3</v>
      </c>
      <c r="B6" s="126" t="str">
        <f t="shared" si="1"/>
        <v>#REF!</v>
      </c>
      <c r="C6" s="140" t="str">
        <f>'Calculateur (1)'!C5+'Scénario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" s="127">
        <f t="shared" si="107"/>
        <v>0</v>
      </c>
      <c r="E6" s="127" t="str">
        <f t="shared" si="2"/>
        <v>#REF!</v>
      </c>
      <c r="F6" s="127" t="str">
        <f t="shared" si="3"/>
        <v>#REF!</v>
      </c>
      <c r="G6" s="127" t="str">
        <f t="shared" si="4"/>
        <v>#REF!</v>
      </c>
      <c r="H6" s="128" t="str">
        <f t="shared" si="5"/>
        <v>#REF!</v>
      </c>
      <c r="I6" s="129" t="str">
        <f t="shared" si="6"/>
        <v>#REF!</v>
      </c>
      <c r="J6" s="130" t="str">
        <f t="shared" si="7"/>
        <v>#REF!</v>
      </c>
      <c r="K6" s="131" t="str">
        <f t="shared" si="108"/>
        <v>#REF!</v>
      </c>
      <c r="L6" s="131" t="str">
        <f t="shared" si="8"/>
        <v>#REF!</v>
      </c>
      <c r="M6" s="131" t="str">
        <f t="array" ref="M6">INDEX(L:L,MIN(IF(ISNUMBER(L6:L202),ROW(L6:L202),"")))</f>
        <v/>
      </c>
      <c r="N6" s="130" t="str">
        <f t="shared" si="109"/>
        <v>#REF!</v>
      </c>
      <c r="O6" s="130" t="str">
        <f>N6*VLOOKUP('Données projet (1)'!$B$9,'Paramètres (1)'!$A$1:$I$88,3,0)*VLOOKUP('Données projet (1)'!$B$9,'Paramètres (1)'!$A$1:$I$88,5,0)</f>
        <v>#REF!</v>
      </c>
      <c r="P6" s="130" t="str">
        <f t="shared" si="110"/>
        <v>#REF!</v>
      </c>
      <c r="Q6" s="141" t="str">
        <f t="shared" si="9"/>
        <v>#REF!</v>
      </c>
      <c r="R6" s="133" t="str">
        <f t="shared" si="10"/>
        <v>#REF!</v>
      </c>
      <c r="S6" s="133" t="str">
        <f t="shared" si="11"/>
        <v>#REF!</v>
      </c>
      <c r="T6" s="133" t="str">
        <f t="shared" si="111"/>
        <v>#REF!</v>
      </c>
      <c r="U6" s="134" t="str">
        <f t="shared" si="12"/>
        <v>#REF!</v>
      </c>
      <c r="V6" s="134" t="str">
        <f t="shared" si="13"/>
        <v>#REF!</v>
      </c>
      <c r="W6" s="135" t="str">
        <f>IF(ISNA(VLOOKUP(A6,'Données projet (1)'!$A$35:$I$55,5,0)),0%,VLOOKUP(A6,'Données projet (1)'!$A$35:$I$55,5,0)*VLOOKUP('Données projet (1)'!$B$9,'Paramètres (1)'!$A$1:$I$88,7,0))</f>
        <v>#REF!</v>
      </c>
      <c r="X6" s="135" t="str">
        <f>IF(ISNA(VLOOKUP(A6,'Données projet (1)'!$A$35:$I$55,6,0)),0%,VLOOKUP(A6,'Données projet (1)'!$A$35:$I$55,6,0)*VLOOKUP('Données projet (1)'!$B$9,'Paramètres (1)'!$A$1:$I$88,7,0))</f>
        <v>#REF!</v>
      </c>
      <c r="Y6" s="135" t="str">
        <f t="shared" si="14"/>
        <v>#REF!</v>
      </c>
      <c r="Z6" s="142" t="str">
        <f>EXP(-LN(2)/35)*Z5+(1-EXP(-LN(2)/35))/(LN(2)/35)*V6*W6*VLOOKUP('Données projet (1)'!$B$9,'Paramètres (1)'!$A$1:$I$88,3,0)*0.475*44/12</f>
        <v>#REF!</v>
      </c>
      <c r="AA6" s="142" t="str">
        <f>EXP(-LN(2)/25)*AA5+(1-EXP(-LN(2)/25))/(LN(2)/25)*'Calculateur (1)'!V6*'Calculateur (1)'!X6*VLOOKUP('Données projet (1)'!$B$9,'Paramètres (1)'!$A$1:$I$88,3,0)*0.475*44/12</f>
        <v>#REF!</v>
      </c>
      <c r="AB6" s="142" t="str">
        <f>EXP(-LN(2)/2)*AB5+(1-EXP(-LN(2)/2))/(LN(2)/2)*V6*Y6*VLOOKUP('Données projet (1)'!$B$9,'Paramètres (1)'!$A$1:$I$88,3,0)*0.475*44/12</f>
        <v>#REF!</v>
      </c>
      <c r="AC6" s="143" t="str">
        <f t="shared" si="15"/>
        <v>#REF!</v>
      </c>
      <c r="AD6" s="130" t="str">
        <f t="shared" si="16"/>
        <v>#REF!</v>
      </c>
      <c r="AE6" s="130" t="str">
        <f t="shared" si="17"/>
        <v>#REF!</v>
      </c>
      <c r="AF6" s="131" t="str">
        <f t="shared" si="112"/>
        <v>#REF!</v>
      </c>
      <c r="AG6" s="131" t="str">
        <f t="shared" si="18"/>
        <v>#REF!</v>
      </c>
      <c r="AH6" s="131" t="str">
        <f t="array" ref="AH6">INDEX(AG:AG,MIN(IF(ISNUMBER(AG6:AG202),ROW(AG6:AG202),"")))</f>
        <v/>
      </c>
      <c r="AI6" s="130" t="str">
        <f t="shared" si="113"/>
        <v>#REF!</v>
      </c>
      <c r="AJ6" s="130" t="str">
        <f>AI6*VLOOKUP('Données projet (1)'!$B$10,'Paramètres (1)'!$A$1:$I$88,3,0)*VLOOKUP('Données projet (1)'!$B$10,'Paramètres (1)'!$A$1:$I$88,5,0)</f>
        <v>#REF!</v>
      </c>
      <c r="AK6" s="130" t="str">
        <f t="shared" si="114"/>
        <v>#REF!</v>
      </c>
      <c r="AL6" s="141" t="str">
        <f t="shared" si="19"/>
        <v>#REF!</v>
      </c>
      <c r="AM6" s="133" t="str">
        <f t="shared" si="20"/>
        <v>#REF!</v>
      </c>
      <c r="AN6" s="133" t="str">
        <f t="shared" si="21"/>
        <v>#REF!</v>
      </c>
      <c r="AO6" s="133" t="str">
        <f t="shared" si="115"/>
        <v>#REF!</v>
      </c>
      <c r="AP6" s="134" t="str">
        <f t="shared" si="22"/>
        <v>#REF!</v>
      </c>
      <c r="AQ6" s="134" t="str">
        <f t="shared" si="23"/>
        <v>#REF!</v>
      </c>
      <c r="AR6" s="135" t="str">
        <f>IF(ISNA(VLOOKUP(A6,'Données projet (1)'!$A$61:$I$81,5,0)),0%,VLOOKUP(A6,'Données projet (1)'!$A$61:$I$81,5,0)*VLOOKUP('Données projet (1)'!$B$10,'Paramètres (1)'!$A$1:$I$88,7,0))</f>
        <v>#REF!</v>
      </c>
      <c r="AS6" s="135" t="str">
        <f>IF(ISNA(VLOOKUP(A6,'Données projet (1)'!$A$61:$I$81,6,0)),0%,VLOOKUP(A6,'Données projet (1)'!$A$61:$I$81,6,0)*VLOOKUP('Données projet (1)'!$B$10,'Paramètres (1)'!$A$1:$I$88,7,0))</f>
        <v>#REF!</v>
      </c>
      <c r="AT6" s="135" t="str">
        <f t="shared" si="24"/>
        <v>#REF!</v>
      </c>
      <c r="AU6" s="142" t="str">
        <f>EXP(-LN(2)/35)*AU5+(1-EXP(-LN(2)/35))/(LN(2)/35)*AQ6*AR6*VLOOKUP('Données projet (1)'!$B$10,'Paramètres (1)'!$A$1:$I$88,3,0)*0.475*44/12</f>
        <v>#REF!</v>
      </c>
      <c r="AV6" s="142" t="str">
        <f>EXP(-LN(2)/25)*AV5+(1-EXP(-LN(2)/25))/(LN(2)/25)*'Calculateur (1)'!AQ6*'Calculateur (1)'!AS6*VLOOKUP('Données projet (1)'!$B$10,'Paramètres (1)'!$A$1:$I$88,3,0)*0.475*44/12</f>
        <v>#REF!</v>
      </c>
      <c r="AW6" s="142" t="str">
        <f>EXP(-LN(2)/2)*AW5+(1-EXP(-LN(2)/2))/(LN(2)/2)*AQ6*AT6*VLOOKUP('Données projet (1)'!$B$10,'Paramètres (1)'!$A$1:$I$88,3,0)*0.475*44/12</f>
        <v>#REF!</v>
      </c>
      <c r="AX6" s="142" t="str">
        <f t="shared" si="25"/>
        <v>#REF!</v>
      </c>
      <c r="AY6" s="137" t="str">
        <f t="shared" si="26"/>
        <v>#REF!</v>
      </c>
      <c r="AZ6" s="131" t="str">
        <f t="shared" si="27"/>
        <v>#REF!</v>
      </c>
      <c r="BA6" s="131" t="str">
        <f t="shared" si="116"/>
        <v>#REF!</v>
      </c>
      <c r="BB6" s="131" t="str">
        <f t="shared" si="28"/>
        <v>#REF!</v>
      </c>
      <c r="BC6" s="131" t="str">
        <f t="array" ref="BC6">INDEX(BB:BB,MIN(IF(ISNUMBER(BB6:BB202),ROW(BB6:BB202),"")))</f>
        <v/>
      </c>
      <c r="BD6" s="131" t="str">
        <f t="shared" si="117"/>
        <v>#REF!</v>
      </c>
      <c r="BE6" s="130" t="str">
        <f>BD6*VLOOKUP('Données projet (1)'!$B$11,'Paramètres (1)'!$A$1:$I$88,3,0)*VLOOKUP('Données projet (1)'!$B$11,'Paramètres (1)'!$A$1:$I$88,5,0)</f>
        <v>#REF!</v>
      </c>
      <c r="BF6" s="130" t="str">
        <f t="shared" si="118"/>
        <v>#REF!</v>
      </c>
      <c r="BG6" s="141" t="str">
        <f t="shared" si="29"/>
        <v>#REF!</v>
      </c>
      <c r="BH6" s="133" t="str">
        <f t="shared" si="30"/>
        <v>#REF!</v>
      </c>
      <c r="BI6" s="133" t="str">
        <f t="shared" si="31"/>
        <v>#REF!</v>
      </c>
      <c r="BJ6" s="133" t="str">
        <f t="shared" si="119"/>
        <v>#REF!</v>
      </c>
      <c r="BK6" s="134" t="str">
        <f t="shared" si="32"/>
        <v>#REF!</v>
      </c>
      <c r="BL6" s="134" t="str">
        <f t="shared" si="33"/>
        <v>#REF!</v>
      </c>
      <c r="BM6" s="135" t="str">
        <f>IF(ISNA(VLOOKUP(A6,'Données projet (1)'!$A$87:$I$107,5,0)),0%,VLOOKUP(A6,'Données projet (1)'!$A$87:$I$107,5,0)*VLOOKUP('Données projet (1)'!$B$11,'Paramètres (1)'!$A$1:$I$88,7,0))</f>
        <v>#REF!</v>
      </c>
      <c r="BN6" s="135" t="str">
        <f>IF(ISNA(VLOOKUP(A6,'Données projet (1)'!$A$87:$I$107,6,0)),0%,VLOOKUP(A6,'Données projet (1)'!$A$87:$I$107,6,0)*VLOOKUP('Données projet (1)'!$B$11,'Paramètres (1)'!$A$1:$I$88,7,0))</f>
        <v>#REF!</v>
      </c>
      <c r="BO6" s="135" t="str">
        <f t="shared" si="34"/>
        <v>#REF!</v>
      </c>
      <c r="BP6" s="142" t="str">
        <f>EXP(-LN(2)/35)*BP5+(1-EXP(-LN(2)/35))/(LN(2)/35)*BL6*BM6*VLOOKUP('Données projet (1)'!$B$11,'Paramètres (1)'!$A$1:$I$88,3,0)*0.475*44/12</f>
        <v>#REF!</v>
      </c>
      <c r="BQ6" s="142" t="str">
        <f>EXP(-LN(2)/25)*BQ5+(1-EXP(-LN(2)/25))/(LN(2)/25)*'Calculateur (1)'!BL6*'Calculateur (1)'!BN6*VLOOKUP('Données projet (1)'!$B$11,'Paramètres (1)'!$A$1:$I$88,3,0)*0.475*44/12</f>
        <v>#REF!</v>
      </c>
      <c r="BR6" s="142" t="str">
        <f>EXP(-LN(2)/2)*BR5+(1-EXP(-LN(2)/2))/(LN(2)/2)*BL6*BO6*VLOOKUP('Données projet (1)'!$B$11,'Paramètres (1)'!$A$1:$I$88,3,0)*0.475*44/12</f>
        <v>#REF!</v>
      </c>
      <c r="BS6" s="143" t="str">
        <f t="shared" si="35"/>
        <v>#REF!</v>
      </c>
      <c r="BT6" s="139" t="str">
        <f t="shared" si="36"/>
        <v>#REF!</v>
      </c>
      <c r="BU6" s="131" t="str">
        <f t="shared" si="37"/>
        <v>#REF!</v>
      </c>
      <c r="BV6" s="131" t="str">
        <f t="shared" si="120"/>
        <v>#REF!</v>
      </c>
      <c r="BW6" s="131" t="str">
        <f t="shared" si="38"/>
        <v>#REF!</v>
      </c>
      <c r="BX6" s="131" t="str">
        <f t="array" ref="BX6">INDEX(BW:BW,MIN(IF(ISNUMBER(BW6:BW202),ROW(BW6:BW202),"")))</f>
        <v/>
      </c>
      <c r="BY6" s="131" t="str">
        <f t="shared" si="121"/>
        <v>#REF!</v>
      </c>
      <c r="BZ6" s="130" t="str">
        <f>BY6*VLOOKUP('Données projet (1)'!$B$12,'Paramètres (1)'!$A$1:$I$88,3,0)*VLOOKUP('Données projet (1)'!$B$12,'Paramètres (1)'!$A$1:$I$88,5,0)</f>
        <v>#REF!</v>
      </c>
      <c r="CA6" s="130" t="str">
        <f t="shared" si="122"/>
        <v>#REF!</v>
      </c>
      <c r="CB6" s="141" t="str">
        <f t="shared" si="39"/>
        <v>#REF!</v>
      </c>
      <c r="CC6" s="133" t="str">
        <f t="shared" si="40"/>
        <v>#REF!</v>
      </c>
      <c r="CD6" s="133" t="str">
        <f t="shared" si="41"/>
        <v>#REF!</v>
      </c>
      <c r="CE6" s="133" t="str">
        <f t="shared" si="123"/>
        <v>#REF!</v>
      </c>
      <c r="CF6" s="134" t="str">
        <f t="shared" si="42"/>
        <v>#REF!</v>
      </c>
      <c r="CG6" s="134" t="str">
        <f t="shared" si="43"/>
        <v>#REF!</v>
      </c>
      <c r="CH6" s="135" t="str">
        <f>IF(ISNA(VLOOKUP(A6,'Données projet (1)'!$A$113:$I$133,5,0)),0%,VLOOKUP(A6,'Données projet (1)'!$A$113:$I$133,5,0)*VLOOKUP('Données projet (1)'!$B$12,'Paramètres (1)'!$A$1:$I$88,7,0))</f>
        <v>#REF!</v>
      </c>
      <c r="CI6" s="135" t="str">
        <f>IF(ISNA(VLOOKUP(A6,'Données projet (1)'!$A$113:$I$133,6,0)),0%,VLOOKUP(A6,'Données projet (1)'!$A$113:$I$133,6,0)*VLOOKUP('Données projet (1)'!$B$12,'Paramètres (1)'!$A$1:$I$88,7,0))</f>
        <v>#REF!</v>
      </c>
      <c r="CJ6" s="135" t="str">
        <f t="shared" si="44"/>
        <v>#REF!</v>
      </c>
      <c r="CK6" s="142" t="str">
        <f>EXP(-LN(2)/35)*CK5+(1-EXP(-LN(2)/35))/(LN(2)/35)*CG6*CH6*VLOOKUP('Données projet (1)'!$B$12,'Paramètres (1)'!$A$1:$I$88,3,0)*0.475*44/12</f>
        <v>#REF!</v>
      </c>
      <c r="CL6" s="142" t="str">
        <f>EXP(-LN(2)/25)*CL5+(1-EXP(-LN(2)/25))/(LN(2)/25)*'Calculateur (1)'!CG6*'Calculateur (1)'!CI6*VLOOKUP('Données projet (1)'!$B$12,'Paramètres (1)'!$A$1:$I$88,3,0)*0.475*44/12</f>
        <v>#REF!</v>
      </c>
      <c r="CM6" s="142" t="str">
        <f>EXP(-LN(2)/2)*CM5+(1-EXP(-LN(2)/2))/(LN(2)/2)*CG6*CJ6*VLOOKUP('Données projet (1)'!$B$12,'Paramètres (1)'!$A$1:$I$88,3,0)*0.475*44/12</f>
        <v>#REF!</v>
      </c>
      <c r="CN6" s="143" t="str">
        <f t="shared" si="45"/>
        <v>#REF!</v>
      </c>
      <c r="CO6" s="139" t="str">
        <f t="shared" si="46"/>
        <v>#REF!</v>
      </c>
      <c r="CP6" s="131" t="str">
        <f t="shared" si="47"/>
        <v>#REF!</v>
      </c>
      <c r="CQ6" s="131" t="str">
        <f t="shared" si="124"/>
        <v>#REF!</v>
      </c>
      <c r="CR6" s="131" t="str">
        <f t="shared" si="48"/>
        <v>#REF!</v>
      </c>
      <c r="CS6" s="131" t="str">
        <f t="array" ref="CS6">INDEX(CR:CR,MIN(IF(ISNUMBER(CR6:CR202),ROW(CR6:CR202),"")))</f>
        <v/>
      </c>
      <c r="CT6" s="131" t="str">
        <f t="shared" si="125"/>
        <v>#REF!</v>
      </c>
      <c r="CU6" s="138" t="str">
        <f>CT6*VLOOKUP('Données projet (1)'!$B$13,'Paramètres (1)'!$A$1:$I$88,3,0)*VLOOKUP('Données projet (1)'!$B$13,'Paramètres (1)'!$A$1:$I$88,5,0)</f>
        <v>#REF!</v>
      </c>
      <c r="CV6" s="130" t="str">
        <f t="shared" si="126"/>
        <v>#REF!</v>
      </c>
      <c r="CW6" s="141" t="str">
        <f t="shared" si="49"/>
        <v>#REF!</v>
      </c>
      <c r="CX6" s="133" t="str">
        <f t="shared" si="50"/>
        <v>#REF!</v>
      </c>
      <c r="CY6" s="133" t="str">
        <f t="shared" si="51"/>
        <v>#REF!</v>
      </c>
      <c r="CZ6" s="133" t="str">
        <f t="shared" si="127"/>
        <v>#REF!</v>
      </c>
      <c r="DA6" s="134" t="str">
        <f t="shared" si="52"/>
        <v>#REF!</v>
      </c>
      <c r="DB6" s="134" t="str">
        <f t="shared" si="53"/>
        <v>#REF!</v>
      </c>
      <c r="DC6" s="135" t="str">
        <f>IF(ISNA(VLOOKUP(A6,'Données projet (1)'!$A$139:$I$159,5,0)),0%,VLOOKUP(A6,'Données projet (1)'!$A$139:$I$159,5,0)*VLOOKUP('Données projet (1)'!$B$13,'Paramètres (1)'!$A$1:$I$88,7,0))</f>
        <v>#REF!</v>
      </c>
      <c r="DD6" s="135" t="str">
        <f>IF(ISNA(VLOOKUP(A6,'Données projet (1)'!$A$139:$I$159,6,0)),0%,VLOOKUP(A6,'Données projet (1)'!$A$139:$I$159,6,0)*VLOOKUP('Données projet (1)'!$B$13,'Paramètres (1)'!$A$1:$I$88,7,0))</f>
        <v>#REF!</v>
      </c>
      <c r="DE6" s="135" t="str">
        <f t="shared" si="54"/>
        <v>#REF!</v>
      </c>
      <c r="DF6" s="142" t="str">
        <f>EXP(-LN(2)/35)*DF5+(1-EXP(-LN(2)/35))/(LN(2)/35)*DB6*DC6*VLOOKUP('Données projet (1)'!$B$13,'Paramètres (1)'!$A$1:$I$88,3,0)*0.475*44/12</f>
        <v>#REF!</v>
      </c>
      <c r="DG6" s="142" t="str">
        <f>EXP(-LN(2)/25)*DG5+(1-EXP(-LN(2)/25))/(LN(2)/25)*'Calculateur (1)'!DB6*'Calculateur (1)'!DD6*VLOOKUP('Données projet (1)'!$B$13,'Paramètres (1)'!$A$1:$I$88,3,0)*0.475*44/12</f>
        <v>#REF!</v>
      </c>
      <c r="DH6" s="142" t="str">
        <f>EXP(-LN(2)/2)*DH5+(1-EXP(-LN(2)/2))/(LN(2)/2)*DB6*DE6*VLOOKUP('Données projet (1)'!$B$13,'Paramètres (1)'!$A$1:$I$88,3,0)*0.475*44/12</f>
        <v>#REF!</v>
      </c>
      <c r="DI6" s="143" t="str">
        <f t="shared" si="55"/>
        <v>#REF!</v>
      </c>
      <c r="DJ6" s="139" t="str">
        <f t="shared" si="56"/>
        <v>#REF!</v>
      </c>
      <c r="DK6" s="131" t="str">
        <f t="shared" si="57"/>
        <v>#REF!</v>
      </c>
      <c r="DL6" s="131" t="str">
        <f t="shared" si="128"/>
        <v>#REF!</v>
      </c>
      <c r="DM6" s="131" t="str">
        <f t="shared" si="58"/>
        <v>#REF!</v>
      </c>
      <c r="DN6" s="131" t="str">
        <f t="array" ref="DN6">INDEX(DM:DM,MIN(IF(ISNUMBER(DM6:DM202),ROW(DM6:DM202),"")))</f>
        <v/>
      </c>
      <c r="DO6" s="131" t="str">
        <f t="shared" si="129"/>
        <v>#REF!</v>
      </c>
      <c r="DP6" s="138" t="str">
        <f>DO6*VLOOKUP('Données projet (1)'!$B$14,'Paramètres (1)'!$A$1:$I$88,3,0)*VLOOKUP('Données projet (1)'!$B$14,'Paramètres (1)'!$A$1:$I$88,5,0)</f>
        <v>#REF!</v>
      </c>
      <c r="DQ6" s="130" t="str">
        <f t="shared" si="130"/>
        <v>#REF!</v>
      </c>
      <c r="DR6" s="141" t="str">
        <f t="shared" si="59"/>
        <v>#REF!</v>
      </c>
      <c r="DS6" s="133" t="str">
        <f t="shared" si="60"/>
        <v>#REF!</v>
      </c>
      <c r="DT6" s="133" t="str">
        <f t="shared" si="61"/>
        <v>#REF!</v>
      </c>
      <c r="DU6" s="133" t="str">
        <f t="shared" si="131"/>
        <v>#REF!</v>
      </c>
      <c r="DV6" s="134" t="str">
        <f t="shared" si="62"/>
        <v>#REF!</v>
      </c>
      <c r="DW6" s="134" t="str">
        <f t="shared" si="63"/>
        <v>#REF!</v>
      </c>
      <c r="DX6" s="135" t="str">
        <f>IF(ISNA(VLOOKUP(A6,'Données projet (1)'!$A$165:$I$185,5,0)),0%,VLOOKUP(A6,'Données projet (1)'!$A$165:$I$185,5,0)*VLOOKUP('Données projet (1)'!$B$14,'Paramètres (1)'!$A$1:$I$88,7,0))</f>
        <v>#REF!</v>
      </c>
      <c r="DY6" s="135" t="str">
        <f>IF(ISNA(VLOOKUP(A6,'Données projet (1)'!$A$165:$I$185,6,0)),0%,VLOOKUP(A6,'Données projet (1)'!$A$165:$I$185,6,0)*VLOOKUP('Données projet (1)'!$B$14,'Paramètres (1)'!$A$1:$I$88,7,0))</f>
        <v>#REF!</v>
      </c>
      <c r="DZ6" s="135" t="str">
        <f t="shared" si="64"/>
        <v>#REF!</v>
      </c>
      <c r="EA6" s="142" t="str">
        <f>EXP(-LN(2)/35)*EA5+(1-EXP(-LN(2)/35))/(LN(2)/35)*DW6*DX6*VLOOKUP('Données projet (1)'!$B$14,'Paramètres (1)'!$A$1:$I$88,3,0)*0.475*44/12</f>
        <v>#REF!</v>
      </c>
      <c r="EB6" s="142" t="str">
        <f>EXP(-LN(2)/25)*EB5+(1-EXP(-LN(2)/25))/(LN(2)/25)*'Calculateur (1)'!DW6*'Calculateur (1)'!DY6*VLOOKUP('Données projet (1)'!$B$14,'Paramètres (1)'!$A$1:$I$88,3,0)*0.475*44/12</f>
        <v>#REF!</v>
      </c>
      <c r="EC6" s="142" t="str">
        <f>EXP(-LN(2)/2)*EC5+(1-EXP(-LN(2)/2))/(LN(2)/2)*DW6*DZ6*VLOOKUP('Données projet (1)'!$B$14,'Paramètres (1)'!$A$1:$I$88,3,0)*0.475*44/12</f>
        <v>#REF!</v>
      </c>
      <c r="ED6" s="143" t="str">
        <f t="shared" si="65"/>
        <v>#REF!</v>
      </c>
      <c r="EE6" s="139" t="str">
        <f t="shared" si="66"/>
        <v>#REF!</v>
      </c>
      <c r="EF6" s="131" t="str">
        <f t="shared" si="67"/>
        <v>#REF!</v>
      </c>
      <c r="EG6" s="131" t="str">
        <f t="shared" si="132"/>
        <v>#REF!</v>
      </c>
      <c r="EH6" s="131" t="str">
        <f t="shared" si="68"/>
        <v>#REF!</v>
      </c>
      <c r="EI6" s="131" t="str">
        <f t="array" ref="EI6">INDEX(EH:EH,MIN(IF(ISNUMBER(EH6:EH202),ROW(EH6:EH202),"")))</f>
        <v/>
      </c>
      <c r="EJ6" s="131" t="str">
        <f t="shared" si="133"/>
        <v>#REF!</v>
      </c>
      <c r="EK6" s="138" t="str">
        <f>EJ6*VLOOKUP('Données projet (1)'!$B$15,'Paramètres (1)'!$A$1:$I$88,3,0)*VLOOKUP('Données projet (1)'!$B$15,'Paramètres (1)'!$A$1:$I$88,5,0)</f>
        <v>#REF!</v>
      </c>
      <c r="EL6" s="130" t="str">
        <f t="shared" si="134"/>
        <v>#REF!</v>
      </c>
      <c r="EM6" s="141" t="str">
        <f t="shared" si="69"/>
        <v>#REF!</v>
      </c>
      <c r="EN6" s="133" t="str">
        <f t="shared" si="70"/>
        <v>#REF!</v>
      </c>
      <c r="EO6" s="133" t="str">
        <f t="shared" si="71"/>
        <v>#REF!</v>
      </c>
      <c r="EP6" s="133" t="str">
        <f t="shared" si="135"/>
        <v>#REF!</v>
      </c>
      <c r="EQ6" s="134" t="str">
        <f t="shared" si="72"/>
        <v>#REF!</v>
      </c>
      <c r="ER6" s="134" t="str">
        <f t="shared" si="73"/>
        <v>#REF!</v>
      </c>
      <c r="ES6" s="135" t="str">
        <f>IF(ISNA(VLOOKUP(A6,'Données projet (1)'!$A$191:$I$211,5,0)),0%,VLOOKUP(A6,'Données projet (1)'!$A$191:$I$211,5,0)*VLOOKUP('Données projet (1)'!$B$15,'Paramètres (1)'!$A$1:$I$88,7,0))</f>
        <v>#REF!</v>
      </c>
      <c r="ET6" s="135" t="str">
        <f>IF(ISNA(VLOOKUP(A6,'Données projet (1)'!$A$191:$I$211,6,0)),0%,VLOOKUP(A6,'Données projet (1)'!$A$191:$I$211,6,0)*VLOOKUP('Données projet (1)'!$B$15,'Paramètres (1)'!$A$1:$I$88,7,0))</f>
        <v>#REF!</v>
      </c>
      <c r="EU6" s="135" t="str">
        <f t="shared" si="74"/>
        <v>#REF!</v>
      </c>
      <c r="EV6" s="142" t="str">
        <f>EXP(-LN(2)/35)*EV5+(1-EXP(-LN(2)/35))/(LN(2)/35)*ER6*ES6*VLOOKUP('Données projet (1)'!$B$15,'Paramètres (1)'!$A$1:$I$88,3,0)*0.475*44/12</f>
        <v>#REF!</v>
      </c>
      <c r="EW6" s="142" t="str">
        <f>EXP(-LN(2)/25)*EW5+(1-EXP(-LN(2)/25))/(LN(2)/25)*'Calculateur (1)'!ER6*'Calculateur (1)'!ET6*VLOOKUP('Données projet (1)'!$B$15,'Paramètres (1)'!$A$1:$I$88,3,0)*0.475*44/12</f>
        <v>#REF!</v>
      </c>
      <c r="EX6" s="142" t="str">
        <f>EXP(-LN(2)/2)*EX5+(1-EXP(-LN(2)/2))/(LN(2)/2)*ER6*EU6*VLOOKUP('Données projet (1)'!$B$15,'Paramètres (1)'!$A$1:$I$88,3,0)*0.475*44/12</f>
        <v>#REF!</v>
      </c>
      <c r="EY6" s="143" t="str">
        <f t="shared" si="75"/>
        <v>#REF!</v>
      </c>
      <c r="EZ6" s="139" t="str">
        <f t="shared" si="76"/>
        <v>#REF!</v>
      </c>
      <c r="FA6" s="131" t="str">
        <f t="shared" si="77"/>
        <v>#REF!</v>
      </c>
      <c r="FB6" s="131" t="str">
        <f t="shared" si="136"/>
        <v>#REF!</v>
      </c>
      <c r="FC6" s="131" t="str">
        <f t="shared" si="78"/>
        <v>#REF!</v>
      </c>
      <c r="FD6" s="131" t="str">
        <f t="array" ref="FD6">INDEX(FC:FC,MIN(IF(ISNUMBER(FC6:FC202),ROW(FC6:FC202),"")))</f>
        <v/>
      </c>
      <c r="FE6" s="131" t="str">
        <f t="shared" si="137"/>
        <v>#REF!</v>
      </c>
      <c r="FF6" s="138" t="str">
        <f>FE6*VLOOKUP('Données projet (1)'!$B$16,'Paramètres (1)'!$A$1:$I$88,3,0)*VLOOKUP('Données projet (1)'!$B$16,'Paramètres (1)'!$A$1:$I$88,5,0)</f>
        <v>#REF!</v>
      </c>
      <c r="FG6" s="130" t="str">
        <f t="shared" si="138"/>
        <v>#REF!</v>
      </c>
      <c r="FH6" s="141" t="str">
        <f t="shared" si="79"/>
        <v>#REF!</v>
      </c>
      <c r="FI6" s="133" t="str">
        <f t="shared" si="80"/>
        <v>#REF!</v>
      </c>
      <c r="FJ6" s="133" t="str">
        <f t="shared" si="81"/>
        <v>#REF!</v>
      </c>
      <c r="FK6" s="133" t="str">
        <f t="shared" si="139"/>
        <v>#REF!</v>
      </c>
      <c r="FL6" s="134" t="str">
        <f t="shared" si="82"/>
        <v>#REF!</v>
      </c>
      <c r="FM6" s="134" t="str">
        <f t="shared" si="83"/>
        <v>#REF!</v>
      </c>
      <c r="FN6" s="135" t="str">
        <f>IF(ISNA(VLOOKUP(A6,'Données projet (1)'!$A$217:$I$237,5,0)),0%,VLOOKUP(A6,'Données projet (1)'!$A$217:$I$237,5,0)*VLOOKUP('Données projet (1)'!$B$16,'Paramètres (1)'!$A$1:$I$88,7,0))</f>
        <v>#REF!</v>
      </c>
      <c r="FO6" s="135" t="str">
        <f>IF(ISNA(VLOOKUP(A6,'Données projet (1)'!$A$217:$I$237,6,0)),0%,VLOOKUP(A6,'Données projet (1)'!$A$217:$I$237,6,0)*VLOOKUP('Données projet (1)'!$B$16,'Paramètres (1)'!$A$1:$I$88,7,0))</f>
        <v>#REF!</v>
      </c>
      <c r="FP6" s="135" t="str">
        <f t="shared" si="84"/>
        <v>#REF!</v>
      </c>
      <c r="FQ6" s="142" t="str">
        <f>EXP(-LN(2)/35)*FQ5+(1-EXP(-LN(2)/35))/(LN(2)/35)*FM6*FN6*VLOOKUP('Données projet (1)'!$B$16,'Paramètres (1)'!$A$1:$I$88,3,0)*0.475*44/12</f>
        <v>#REF!</v>
      </c>
      <c r="FR6" s="142" t="str">
        <f>EXP(-LN(2)/25)*FR5+(1-EXP(-LN(2)/25))/(LN(2)/25)*'Calculateur (1)'!FM6*'Calculateur (1)'!FO6*VLOOKUP('Données projet (1)'!$B$16,'Paramètres (1)'!$A$1:$I$88,3,0)*0.475*44/12</f>
        <v>#REF!</v>
      </c>
      <c r="FS6" s="142" t="str">
        <f>EXP(-LN(2)/2)*FS5+(1-EXP(-LN(2)/2))/(LN(2)/2)*FM6*FP6*VLOOKUP('Données projet (1)'!$B$16,'Paramètres (1)'!$A$1:$I$88,3,0)*0.475*44/12</f>
        <v>#REF!</v>
      </c>
      <c r="FT6" s="143" t="str">
        <f t="shared" si="85"/>
        <v>#REF!</v>
      </c>
      <c r="FU6" s="139" t="str">
        <f t="shared" si="86"/>
        <v>#REF!</v>
      </c>
      <c r="FV6" s="131" t="str">
        <f t="shared" si="87"/>
        <v>#REF!</v>
      </c>
      <c r="FW6" s="131" t="str">
        <f t="shared" si="140"/>
        <v>#REF!</v>
      </c>
      <c r="FX6" s="131" t="str">
        <f t="shared" si="88"/>
        <v>#REF!</v>
      </c>
      <c r="FY6" s="131" t="str">
        <f t="array" ref="FY6">INDEX(FX:FX,MIN(IF(ISNUMBER(FX6:FX202),ROW(FX6:FX202),"")))</f>
        <v/>
      </c>
      <c r="FZ6" s="131" t="str">
        <f t="shared" si="141"/>
        <v>#REF!</v>
      </c>
      <c r="GA6" s="138" t="str">
        <f>FZ6*VLOOKUP('Données projet (1)'!$B$17,'Paramètres (1)'!$A$1:$I$88,3,0)*VLOOKUP('Données projet (1)'!$B$17,'Paramètres (1)'!$A$1:$I$88,5,0)</f>
        <v>#REF!</v>
      </c>
      <c r="GB6" s="130" t="str">
        <f t="shared" si="142"/>
        <v>#REF!</v>
      </c>
      <c r="GC6" s="141" t="str">
        <f t="shared" si="89"/>
        <v>#REF!</v>
      </c>
      <c r="GD6" s="133" t="str">
        <f t="shared" si="90"/>
        <v>#REF!</v>
      </c>
      <c r="GE6" s="133" t="str">
        <f t="shared" si="91"/>
        <v>#REF!</v>
      </c>
      <c r="GF6" s="133" t="str">
        <f t="shared" si="143"/>
        <v>#REF!</v>
      </c>
      <c r="GG6" s="134" t="str">
        <f t="shared" si="92"/>
        <v>#REF!</v>
      </c>
      <c r="GH6" s="134" t="str">
        <f t="shared" si="93"/>
        <v>#REF!</v>
      </c>
      <c r="GI6" s="135" t="str">
        <f>IF(ISNA(VLOOKUP(A6,'Données projet (1)'!$A$243:$I$263,5,0)),0%,VLOOKUP(A6,'Données projet (1)'!$A$243:$I$263,5,0)*VLOOKUP('Données projet (1)'!$B$17,'Paramètres (1)'!$A$1:$I$88,7,0))</f>
        <v>#REF!</v>
      </c>
      <c r="GJ6" s="135" t="str">
        <f>IF(ISNA(VLOOKUP(A6,'Données projet (1)'!$A$243:$I$263,6,0)),0%,VLOOKUP(A6,'Données projet (1)'!$A$243:$I$263,6,0)*VLOOKUP('Données projet (1)'!$B$17,'Paramètres (1)'!$A$1:$I$88,7,0))</f>
        <v>#REF!</v>
      </c>
      <c r="GK6" s="135" t="str">
        <f t="shared" si="94"/>
        <v>#REF!</v>
      </c>
      <c r="GL6" s="142" t="str">
        <f>EXP(-LN(2)/35)*GL5+(1-EXP(-LN(2)/35))/(LN(2)/35)*GH6*GI6*VLOOKUP('Données projet (1)'!$B$17,'Paramètres (1)'!$A$1:$I$88,3,0)*0.475*44/12</f>
        <v>#REF!</v>
      </c>
      <c r="GM6" s="142" t="str">
        <f>EXP(-LN(2)/25)*GM5+(1-EXP(-LN(2)/25))/(LN(2)/25)*'Calculateur (1)'!GH6*'Calculateur (1)'!GJ6*VLOOKUP('Données projet (1)'!$B$17,'Paramètres (1)'!$A$1:$I$88,3,0)*0.475*44/12</f>
        <v>#REF!</v>
      </c>
      <c r="GN6" s="142" t="str">
        <f>EXP(-LN(2)/2)*GN5+(1-EXP(-LN(2)/2))/(LN(2)/2)*GH6*GK6*VLOOKUP('Données projet (1)'!$B$17,'Paramètres (1)'!$A$1:$I$88,3,0)*0.475*44/12</f>
        <v>#REF!</v>
      </c>
      <c r="GO6" s="142" t="str">
        <f t="shared" si="95"/>
        <v>#REF!</v>
      </c>
      <c r="GP6" s="139" t="str">
        <f t="shared" si="96"/>
        <v>#REF!</v>
      </c>
      <c r="GQ6" s="131" t="str">
        <f t="shared" si="97"/>
        <v>#REF!</v>
      </c>
      <c r="GR6" s="131" t="str">
        <f t="shared" si="144"/>
        <v>#REF!</v>
      </c>
      <c r="GS6" s="131" t="str">
        <f t="shared" si="98"/>
        <v>#REF!</v>
      </c>
      <c r="GT6" s="131" t="str">
        <f t="array" ref="GT6">INDEX(GS:GS,MIN(IF(ISNUMBER(GS6:GS202),ROW(GS6:GS202),"")))</f>
        <v/>
      </c>
      <c r="GU6" s="131" t="str">
        <f t="shared" si="145"/>
        <v>#REF!</v>
      </c>
      <c r="GV6" s="138" t="str">
        <f>GU6*VLOOKUP('Données projet (1)'!$B$18,'Paramètres (1)'!$A$1:$I$88,3,0)*VLOOKUP('Données projet (1)'!$B$18,'Paramètres (1)'!$A$1:$I$88,5,0)</f>
        <v>#REF!</v>
      </c>
      <c r="GW6" s="130" t="str">
        <f t="shared" si="146"/>
        <v>#REF!</v>
      </c>
      <c r="GX6" s="141" t="str">
        <f t="shared" si="99"/>
        <v>#REF!</v>
      </c>
      <c r="GY6" s="133" t="str">
        <f t="shared" si="100"/>
        <v>#REF!</v>
      </c>
      <c r="GZ6" s="133" t="str">
        <f t="shared" si="101"/>
        <v>#REF!</v>
      </c>
      <c r="HA6" s="133" t="str">
        <f t="shared" si="147"/>
        <v>#REF!</v>
      </c>
      <c r="HB6" s="134" t="str">
        <f t="shared" si="102"/>
        <v>#REF!</v>
      </c>
      <c r="HC6" s="134" t="str">
        <f t="shared" si="103"/>
        <v>#REF!</v>
      </c>
      <c r="HD6" s="135" t="str">
        <f>IF(ISNA(VLOOKUP(A6,'Données projet (1)'!$A$269:$I$289,5,0)),0%,VLOOKUP(A6,'Données projet (1)'!$A$269:$I$289,5,0)*VLOOKUP('Données projet (1)'!$B$18,'Paramètres (1)'!$A$1:$I$88,7,0))</f>
        <v>#REF!</v>
      </c>
      <c r="HE6" s="135" t="str">
        <f>IF(ISNA(VLOOKUP(A6,'Données projet (1)'!$A$269:$I$289,6,0)),0%,VLOOKUP(A6,'Données projet (1)'!$A$269:$I$289,6,0)*VLOOKUP('Données projet (1)'!$B$18,'Paramètres (1)'!$A$1:$I$88,7,0))</f>
        <v>#REF!</v>
      </c>
      <c r="HF6" s="135" t="str">
        <f t="shared" si="104"/>
        <v>#REF!</v>
      </c>
      <c r="HG6" s="142" t="str">
        <f>EXP(-LN(2)/35)*HG5+(1-EXP(-LN(2)/35))/(LN(2)/35)*HC6*HD6*VLOOKUP('Données projet (1)'!$B$18,'Paramètres (1)'!$A$1:$I$88,3,0)*0.475*44/12</f>
        <v>#REF!</v>
      </c>
      <c r="HH6" s="142" t="str">
        <f>EXP(-LN(2)/25)*HH5+(1-EXP(-LN(2)/25))/(LN(2)/25)*'Calculateur (1)'!HC6*'Calculateur (1)'!HE6*VLOOKUP('Données projet (1)'!$B$18,'Paramètres (1)'!$A$1:$I$88,3,0)*0.475*44/12</f>
        <v>#REF!</v>
      </c>
      <c r="HI6" s="142" t="str">
        <f>EXP(-LN(2)/2)*HI5+(1-EXP(-LN(2)/2))/(LN(2)/2)*HC6*HF6*VLOOKUP('Données projet (1)'!$B$18,'Paramètres (1)'!$A$1:$I$88,3,0)*0.475*44/12</f>
        <v>#REF!</v>
      </c>
      <c r="HJ6" s="143" t="str">
        <f t="shared" si="105"/>
        <v>#REF!</v>
      </c>
    </row>
    <row r="7" ht="14.25" customHeight="1">
      <c r="A7" s="125">
        <f t="shared" si="106"/>
        <v>4</v>
      </c>
      <c r="B7" s="126" t="str">
        <f t="shared" si="1"/>
        <v>#REF!</v>
      </c>
      <c r="C7" s="140" t="str">
        <f>'Calculateur (1)'!C6+'Scénario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" s="127">
        <f t="shared" si="107"/>
        <v>0</v>
      </c>
      <c r="E7" s="127" t="str">
        <f t="shared" si="2"/>
        <v>#REF!</v>
      </c>
      <c r="F7" s="127" t="str">
        <f t="shared" si="3"/>
        <v>#REF!</v>
      </c>
      <c r="G7" s="127" t="str">
        <f t="shared" si="4"/>
        <v>#REF!</v>
      </c>
      <c r="H7" s="128" t="str">
        <f t="shared" si="5"/>
        <v>#REF!</v>
      </c>
      <c r="I7" s="129" t="str">
        <f t="shared" si="6"/>
        <v>#REF!</v>
      </c>
      <c r="J7" s="130" t="str">
        <f t="shared" si="7"/>
        <v>#REF!</v>
      </c>
      <c r="K7" s="131" t="str">
        <f t="shared" si="108"/>
        <v>#REF!</v>
      </c>
      <c r="L7" s="131" t="str">
        <f t="shared" si="8"/>
        <v>#REF!</v>
      </c>
      <c r="M7" s="131" t="str">
        <f t="array" ref="M7">INDEX(L:L,MIN(IF(ISNUMBER(L7:L203),ROW(L7:L203),"")))</f>
        <v/>
      </c>
      <c r="N7" s="130" t="str">
        <f t="shared" si="109"/>
        <v>#REF!</v>
      </c>
      <c r="O7" s="130" t="str">
        <f>N7*VLOOKUP('Données projet (1)'!$B$9,'Paramètres (1)'!$A$1:$I$88,3,0)*VLOOKUP('Données projet (1)'!$B$9,'Paramètres (1)'!$A$1:$I$88,5,0)</f>
        <v>#REF!</v>
      </c>
      <c r="P7" s="130" t="str">
        <f t="shared" si="110"/>
        <v>#REF!</v>
      </c>
      <c r="Q7" s="141" t="str">
        <f t="shared" si="9"/>
        <v>#REF!</v>
      </c>
      <c r="R7" s="133" t="str">
        <f t="shared" si="10"/>
        <v>#REF!</v>
      </c>
      <c r="S7" s="133" t="str">
        <f t="shared" si="11"/>
        <v>#REF!</v>
      </c>
      <c r="T7" s="133" t="str">
        <f t="shared" si="111"/>
        <v>#REF!</v>
      </c>
      <c r="U7" s="134" t="str">
        <f t="shared" si="12"/>
        <v>#REF!</v>
      </c>
      <c r="V7" s="134" t="str">
        <f t="shared" si="13"/>
        <v>#REF!</v>
      </c>
      <c r="W7" s="135" t="str">
        <f>IF(ISNA(VLOOKUP(A7,'Données projet (1)'!$A$35:$I$55,5,0)),0%,VLOOKUP(A7,'Données projet (1)'!$A$35:$I$55,5,0)*VLOOKUP('Données projet (1)'!$B$9,'Paramètres (1)'!$A$1:$I$88,7,0))</f>
        <v>#REF!</v>
      </c>
      <c r="X7" s="135" t="str">
        <f>IF(ISNA(VLOOKUP(A7,'Données projet (1)'!$A$35:$I$55,6,0)),0%,VLOOKUP(A7,'Données projet (1)'!$A$35:$I$55,6,0)*VLOOKUP('Données projet (1)'!$B$9,'Paramètres (1)'!$A$1:$I$88,7,0))</f>
        <v>#REF!</v>
      </c>
      <c r="Y7" s="135" t="str">
        <f t="shared" si="14"/>
        <v>#REF!</v>
      </c>
      <c r="Z7" s="142" t="str">
        <f>EXP(-LN(2)/35)*Z6+(1-EXP(-LN(2)/35))/(LN(2)/35)*V7*W7*VLOOKUP('Données projet (1)'!$B$9,'Paramètres (1)'!$A$1:$I$88,3,0)*0.475*44/12</f>
        <v>#REF!</v>
      </c>
      <c r="AA7" s="142" t="str">
        <f>EXP(-LN(2)/25)*AA6+(1-EXP(-LN(2)/25))/(LN(2)/25)*'Calculateur (1)'!V7*'Calculateur (1)'!X7*VLOOKUP('Données projet (1)'!$B$9,'Paramètres (1)'!$A$1:$I$88,3,0)*0.475*44/12</f>
        <v>#REF!</v>
      </c>
      <c r="AB7" s="142" t="str">
        <f>EXP(-LN(2)/2)*AB6+(1-EXP(-LN(2)/2))/(LN(2)/2)*V7*Y7*VLOOKUP('Données projet (1)'!$B$9,'Paramètres (1)'!$A$1:$I$88,3,0)*0.475*44/12</f>
        <v>#REF!</v>
      </c>
      <c r="AC7" s="143" t="str">
        <f t="shared" si="15"/>
        <v>#REF!</v>
      </c>
      <c r="AD7" s="130" t="str">
        <f t="shared" si="16"/>
        <v>#REF!</v>
      </c>
      <c r="AE7" s="130" t="str">
        <f t="shared" si="17"/>
        <v>#REF!</v>
      </c>
      <c r="AF7" s="131" t="str">
        <f t="shared" si="112"/>
        <v>#REF!</v>
      </c>
      <c r="AG7" s="131" t="str">
        <f t="shared" si="18"/>
        <v>#REF!</v>
      </c>
      <c r="AH7" s="131" t="str">
        <f t="array" ref="AH7">INDEX(AG:AG,MIN(IF(ISNUMBER(AG7:AG203),ROW(AG7:AG203),"")))</f>
        <v/>
      </c>
      <c r="AI7" s="130" t="str">
        <f t="shared" si="113"/>
        <v>#REF!</v>
      </c>
      <c r="AJ7" s="130" t="str">
        <f>AI7*VLOOKUP('Données projet (1)'!$B$10,'Paramètres (1)'!$A$1:$I$88,3,0)*VLOOKUP('Données projet (1)'!$B$10,'Paramètres (1)'!$A$1:$I$88,5,0)</f>
        <v>#REF!</v>
      </c>
      <c r="AK7" s="130" t="str">
        <f t="shared" si="114"/>
        <v>#REF!</v>
      </c>
      <c r="AL7" s="141" t="str">
        <f t="shared" si="19"/>
        <v>#REF!</v>
      </c>
      <c r="AM7" s="133" t="str">
        <f t="shared" si="20"/>
        <v>#REF!</v>
      </c>
      <c r="AN7" s="133" t="str">
        <f t="shared" si="21"/>
        <v>#REF!</v>
      </c>
      <c r="AO7" s="133" t="str">
        <f t="shared" si="115"/>
        <v>#REF!</v>
      </c>
      <c r="AP7" s="134" t="str">
        <f t="shared" si="22"/>
        <v>#REF!</v>
      </c>
      <c r="AQ7" s="134" t="str">
        <f t="shared" si="23"/>
        <v>#REF!</v>
      </c>
      <c r="AR7" s="135" t="str">
        <f>IF(ISNA(VLOOKUP(A7,'Données projet (1)'!$A$61:$I$81,5,0)),0%,VLOOKUP(A7,'Données projet (1)'!$A$61:$I$81,5,0)*VLOOKUP('Données projet (1)'!$B$10,'Paramètres (1)'!$A$1:$I$88,7,0))</f>
        <v>#REF!</v>
      </c>
      <c r="AS7" s="135" t="str">
        <f>IF(ISNA(VLOOKUP(A7,'Données projet (1)'!$A$61:$I$81,6,0)),0%,VLOOKUP(A7,'Données projet (1)'!$A$61:$I$81,6,0)*VLOOKUP('Données projet (1)'!$B$10,'Paramètres (1)'!$A$1:$I$88,7,0))</f>
        <v>#REF!</v>
      </c>
      <c r="AT7" s="135" t="str">
        <f t="shared" si="24"/>
        <v>#REF!</v>
      </c>
      <c r="AU7" s="142" t="str">
        <f>EXP(-LN(2)/35)*AU6+(1-EXP(-LN(2)/35))/(LN(2)/35)*AQ7*AR7*VLOOKUP('Données projet (1)'!$B$10,'Paramètres (1)'!$A$1:$I$88,3,0)*0.475*44/12</f>
        <v>#REF!</v>
      </c>
      <c r="AV7" s="142" t="str">
        <f>EXP(-LN(2)/25)*AV6+(1-EXP(-LN(2)/25))/(LN(2)/25)*'Calculateur (1)'!AQ7*'Calculateur (1)'!AS7*VLOOKUP('Données projet (1)'!$B$10,'Paramètres (1)'!$A$1:$I$88,3,0)*0.475*44/12</f>
        <v>#REF!</v>
      </c>
      <c r="AW7" s="142" t="str">
        <f>EXP(-LN(2)/2)*AW6+(1-EXP(-LN(2)/2))/(LN(2)/2)*AQ7*AT7*VLOOKUP('Données projet (1)'!$B$10,'Paramètres (1)'!$A$1:$I$88,3,0)*0.475*44/12</f>
        <v>#REF!</v>
      </c>
      <c r="AX7" s="142" t="str">
        <f t="shared" si="25"/>
        <v>#REF!</v>
      </c>
      <c r="AY7" s="137" t="str">
        <f t="shared" si="26"/>
        <v>#REF!</v>
      </c>
      <c r="AZ7" s="131" t="str">
        <f t="shared" si="27"/>
        <v>#REF!</v>
      </c>
      <c r="BA7" s="131" t="str">
        <f t="shared" si="116"/>
        <v>#REF!</v>
      </c>
      <c r="BB7" s="131" t="str">
        <f t="shared" si="28"/>
        <v>#REF!</v>
      </c>
      <c r="BC7" s="131" t="str">
        <f t="array" ref="BC7">INDEX(BB:BB,MIN(IF(ISNUMBER(BB7:BB203),ROW(BB7:BB203),"")))</f>
        <v/>
      </c>
      <c r="BD7" s="131" t="str">
        <f t="shared" si="117"/>
        <v>#REF!</v>
      </c>
      <c r="BE7" s="130" t="str">
        <f>BD7*VLOOKUP('Données projet (1)'!$B$11,'Paramètres (1)'!$A$1:$I$88,3,0)*VLOOKUP('Données projet (1)'!$B$11,'Paramètres (1)'!$A$1:$I$88,5,0)</f>
        <v>#REF!</v>
      </c>
      <c r="BF7" s="130" t="str">
        <f t="shared" si="118"/>
        <v>#REF!</v>
      </c>
      <c r="BG7" s="141" t="str">
        <f t="shared" si="29"/>
        <v>#REF!</v>
      </c>
      <c r="BH7" s="133" t="str">
        <f t="shared" si="30"/>
        <v>#REF!</v>
      </c>
      <c r="BI7" s="133" t="str">
        <f t="shared" si="31"/>
        <v>#REF!</v>
      </c>
      <c r="BJ7" s="133" t="str">
        <f t="shared" si="119"/>
        <v>#REF!</v>
      </c>
      <c r="BK7" s="134" t="str">
        <f t="shared" si="32"/>
        <v>#REF!</v>
      </c>
      <c r="BL7" s="134" t="str">
        <f t="shared" si="33"/>
        <v>#REF!</v>
      </c>
      <c r="BM7" s="135" t="str">
        <f>IF(ISNA(VLOOKUP(A7,'Données projet (1)'!$A$87:$I$107,5,0)),0%,VLOOKUP(A7,'Données projet (1)'!$A$87:$I$107,5,0)*VLOOKUP('Données projet (1)'!$B$11,'Paramètres (1)'!$A$1:$I$88,7,0))</f>
        <v>#REF!</v>
      </c>
      <c r="BN7" s="135" t="str">
        <f>IF(ISNA(VLOOKUP(A7,'Données projet (1)'!$A$87:$I$107,6,0)),0%,VLOOKUP(A7,'Données projet (1)'!$A$87:$I$107,6,0)*VLOOKUP('Données projet (1)'!$B$11,'Paramètres (1)'!$A$1:$I$88,7,0))</f>
        <v>#REF!</v>
      </c>
      <c r="BO7" s="135" t="str">
        <f t="shared" si="34"/>
        <v>#REF!</v>
      </c>
      <c r="BP7" s="142" t="str">
        <f>EXP(-LN(2)/35)*BP6+(1-EXP(-LN(2)/35))/(LN(2)/35)*BL7*BM7*VLOOKUP('Données projet (1)'!$B$11,'Paramètres (1)'!$A$1:$I$88,3,0)*0.475*44/12</f>
        <v>#REF!</v>
      </c>
      <c r="BQ7" s="142" t="str">
        <f>EXP(-LN(2)/25)*BQ6+(1-EXP(-LN(2)/25))/(LN(2)/25)*'Calculateur (1)'!BL7*'Calculateur (1)'!BN7*VLOOKUP('Données projet (1)'!$B$11,'Paramètres (1)'!$A$1:$I$88,3,0)*0.475*44/12</f>
        <v>#REF!</v>
      </c>
      <c r="BR7" s="142" t="str">
        <f>EXP(-LN(2)/2)*BR6+(1-EXP(-LN(2)/2))/(LN(2)/2)*BL7*BO7*VLOOKUP('Données projet (1)'!$B$11,'Paramètres (1)'!$A$1:$I$88,3,0)*0.475*44/12</f>
        <v>#REF!</v>
      </c>
      <c r="BS7" s="143" t="str">
        <f t="shared" si="35"/>
        <v>#REF!</v>
      </c>
      <c r="BT7" s="139" t="str">
        <f t="shared" si="36"/>
        <v>#REF!</v>
      </c>
      <c r="BU7" s="131" t="str">
        <f t="shared" si="37"/>
        <v>#REF!</v>
      </c>
      <c r="BV7" s="131" t="str">
        <f t="shared" si="120"/>
        <v>#REF!</v>
      </c>
      <c r="BW7" s="131" t="str">
        <f t="shared" si="38"/>
        <v>#REF!</v>
      </c>
      <c r="BX7" s="131" t="str">
        <f t="array" ref="BX7">INDEX(BW:BW,MIN(IF(ISNUMBER(BW7:BW203),ROW(BW7:BW203),"")))</f>
        <v/>
      </c>
      <c r="BY7" s="131" t="str">
        <f t="shared" si="121"/>
        <v>#REF!</v>
      </c>
      <c r="BZ7" s="130" t="str">
        <f>BY7*VLOOKUP('Données projet (1)'!$B$12,'Paramètres (1)'!$A$1:$I$88,3,0)*VLOOKUP('Données projet (1)'!$B$12,'Paramètres (1)'!$A$1:$I$88,5,0)</f>
        <v>#REF!</v>
      </c>
      <c r="CA7" s="130" t="str">
        <f t="shared" si="122"/>
        <v>#REF!</v>
      </c>
      <c r="CB7" s="141" t="str">
        <f t="shared" si="39"/>
        <v>#REF!</v>
      </c>
      <c r="CC7" s="133" t="str">
        <f t="shared" si="40"/>
        <v>#REF!</v>
      </c>
      <c r="CD7" s="133" t="str">
        <f t="shared" si="41"/>
        <v>#REF!</v>
      </c>
      <c r="CE7" s="133" t="str">
        <f t="shared" si="123"/>
        <v>#REF!</v>
      </c>
      <c r="CF7" s="134" t="str">
        <f t="shared" si="42"/>
        <v>#REF!</v>
      </c>
      <c r="CG7" s="134" t="str">
        <f t="shared" si="43"/>
        <v>#REF!</v>
      </c>
      <c r="CH7" s="135" t="str">
        <f>IF(ISNA(VLOOKUP(A7,'Données projet (1)'!$A$113:$I$133,5,0)),0%,VLOOKUP(A7,'Données projet (1)'!$A$113:$I$133,5,0)*VLOOKUP('Données projet (1)'!$B$12,'Paramètres (1)'!$A$1:$I$88,7,0))</f>
        <v>#REF!</v>
      </c>
      <c r="CI7" s="135" t="str">
        <f>IF(ISNA(VLOOKUP(A7,'Données projet (1)'!$A$113:$I$133,6,0)),0%,VLOOKUP(A7,'Données projet (1)'!$A$113:$I$133,6,0)*VLOOKUP('Données projet (1)'!$B$12,'Paramètres (1)'!$A$1:$I$88,7,0))</f>
        <v>#REF!</v>
      </c>
      <c r="CJ7" s="135" t="str">
        <f t="shared" si="44"/>
        <v>#REF!</v>
      </c>
      <c r="CK7" s="142" t="str">
        <f>EXP(-LN(2)/35)*CK6+(1-EXP(-LN(2)/35))/(LN(2)/35)*CG7*CH7*VLOOKUP('Données projet (1)'!$B$12,'Paramètres (1)'!$A$1:$I$88,3,0)*0.475*44/12</f>
        <v>#REF!</v>
      </c>
      <c r="CL7" s="142" t="str">
        <f>EXP(-LN(2)/25)*CL6+(1-EXP(-LN(2)/25))/(LN(2)/25)*'Calculateur (1)'!CG7*'Calculateur (1)'!CI7*VLOOKUP('Données projet (1)'!$B$12,'Paramètres (1)'!$A$1:$I$88,3,0)*0.475*44/12</f>
        <v>#REF!</v>
      </c>
      <c r="CM7" s="142" t="str">
        <f>EXP(-LN(2)/2)*CM6+(1-EXP(-LN(2)/2))/(LN(2)/2)*CG7*CJ7*VLOOKUP('Données projet (1)'!$B$12,'Paramètres (1)'!$A$1:$I$88,3,0)*0.475*44/12</f>
        <v>#REF!</v>
      </c>
      <c r="CN7" s="143" t="str">
        <f t="shared" si="45"/>
        <v>#REF!</v>
      </c>
      <c r="CO7" s="139" t="str">
        <f t="shared" si="46"/>
        <v>#REF!</v>
      </c>
      <c r="CP7" s="131" t="str">
        <f t="shared" si="47"/>
        <v>#REF!</v>
      </c>
      <c r="CQ7" s="131" t="str">
        <f t="shared" si="124"/>
        <v>#REF!</v>
      </c>
      <c r="CR7" s="131" t="str">
        <f t="shared" si="48"/>
        <v>#REF!</v>
      </c>
      <c r="CS7" s="131" t="str">
        <f t="array" ref="CS7">INDEX(CR:CR,MIN(IF(ISNUMBER(CR7:CR203),ROW(CR7:CR203),"")))</f>
        <v/>
      </c>
      <c r="CT7" s="131" t="str">
        <f t="shared" si="125"/>
        <v>#REF!</v>
      </c>
      <c r="CU7" s="138" t="str">
        <f>CT7*VLOOKUP('Données projet (1)'!$B$13,'Paramètres (1)'!$A$1:$I$88,3,0)*VLOOKUP('Données projet (1)'!$B$13,'Paramètres (1)'!$A$1:$I$88,5,0)</f>
        <v>#REF!</v>
      </c>
      <c r="CV7" s="130" t="str">
        <f t="shared" si="126"/>
        <v>#REF!</v>
      </c>
      <c r="CW7" s="141" t="str">
        <f t="shared" si="49"/>
        <v>#REF!</v>
      </c>
      <c r="CX7" s="133" t="str">
        <f t="shared" si="50"/>
        <v>#REF!</v>
      </c>
      <c r="CY7" s="133" t="str">
        <f t="shared" si="51"/>
        <v>#REF!</v>
      </c>
      <c r="CZ7" s="133" t="str">
        <f t="shared" si="127"/>
        <v>#REF!</v>
      </c>
      <c r="DA7" s="134" t="str">
        <f t="shared" si="52"/>
        <v>#REF!</v>
      </c>
      <c r="DB7" s="134" t="str">
        <f t="shared" si="53"/>
        <v>#REF!</v>
      </c>
      <c r="DC7" s="135" t="str">
        <f>IF(ISNA(VLOOKUP(A7,'Données projet (1)'!$A$139:$I$159,5,0)),0%,VLOOKUP(A7,'Données projet (1)'!$A$139:$I$159,5,0)*VLOOKUP('Données projet (1)'!$B$13,'Paramètres (1)'!$A$1:$I$88,7,0))</f>
        <v>#REF!</v>
      </c>
      <c r="DD7" s="135" t="str">
        <f>IF(ISNA(VLOOKUP(A7,'Données projet (1)'!$A$139:$I$159,6,0)),0%,VLOOKUP(A7,'Données projet (1)'!$A$139:$I$159,6,0)*VLOOKUP('Données projet (1)'!$B$13,'Paramètres (1)'!$A$1:$I$88,7,0))</f>
        <v>#REF!</v>
      </c>
      <c r="DE7" s="135" t="str">
        <f t="shared" si="54"/>
        <v>#REF!</v>
      </c>
      <c r="DF7" s="142" t="str">
        <f>EXP(-LN(2)/35)*DF6+(1-EXP(-LN(2)/35))/(LN(2)/35)*DB7*DC7*VLOOKUP('Données projet (1)'!$B$13,'Paramètres (1)'!$A$1:$I$88,3,0)*0.475*44/12</f>
        <v>#REF!</v>
      </c>
      <c r="DG7" s="142" t="str">
        <f>EXP(-LN(2)/25)*DG6+(1-EXP(-LN(2)/25))/(LN(2)/25)*'Calculateur (1)'!DB7*'Calculateur (1)'!DD7*VLOOKUP('Données projet (1)'!$B$13,'Paramètres (1)'!$A$1:$I$88,3,0)*0.475*44/12</f>
        <v>#REF!</v>
      </c>
      <c r="DH7" s="142" t="str">
        <f>EXP(-LN(2)/2)*DH6+(1-EXP(-LN(2)/2))/(LN(2)/2)*DB7*DE7*VLOOKUP('Données projet (1)'!$B$13,'Paramètres (1)'!$A$1:$I$88,3,0)*0.475*44/12</f>
        <v>#REF!</v>
      </c>
      <c r="DI7" s="143" t="str">
        <f t="shared" si="55"/>
        <v>#REF!</v>
      </c>
      <c r="DJ7" s="139" t="str">
        <f t="shared" si="56"/>
        <v>#REF!</v>
      </c>
      <c r="DK7" s="131" t="str">
        <f t="shared" si="57"/>
        <v>#REF!</v>
      </c>
      <c r="DL7" s="131" t="str">
        <f t="shared" si="128"/>
        <v>#REF!</v>
      </c>
      <c r="DM7" s="131" t="str">
        <f t="shared" si="58"/>
        <v>#REF!</v>
      </c>
      <c r="DN7" s="131" t="str">
        <f t="array" ref="DN7">INDEX(DM:DM,MIN(IF(ISNUMBER(DM7:DM203),ROW(DM7:DM203),"")))</f>
        <v/>
      </c>
      <c r="DO7" s="131" t="str">
        <f t="shared" si="129"/>
        <v>#REF!</v>
      </c>
      <c r="DP7" s="138" t="str">
        <f>DO7*VLOOKUP('Données projet (1)'!$B$14,'Paramètres (1)'!$A$1:$I$88,3,0)*VLOOKUP('Données projet (1)'!$B$14,'Paramètres (1)'!$A$1:$I$88,5,0)</f>
        <v>#REF!</v>
      </c>
      <c r="DQ7" s="130" t="str">
        <f t="shared" si="130"/>
        <v>#REF!</v>
      </c>
      <c r="DR7" s="141" t="str">
        <f t="shared" si="59"/>
        <v>#REF!</v>
      </c>
      <c r="DS7" s="133" t="str">
        <f t="shared" si="60"/>
        <v>#REF!</v>
      </c>
      <c r="DT7" s="133" t="str">
        <f t="shared" si="61"/>
        <v>#REF!</v>
      </c>
      <c r="DU7" s="133" t="str">
        <f t="shared" si="131"/>
        <v>#REF!</v>
      </c>
      <c r="DV7" s="134" t="str">
        <f t="shared" si="62"/>
        <v>#REF!</v>
      </c>
      <c r="DW7" s="134" t="str">
        <f t="shared" si="63"/>
        <v>#REF!</v>
      </c>
      <c r="DX7" s="135" t="str">
        <f>IF(ISNA(VLOOKUP(A7,'Données projet (1)'!$A$165:$I$185,5,0)),0%,VLOOKUP(A7,'Données projet (1)'!$A$165:$I$185,5,0)*VLOOKUP('Données projet (1)'!$B$14,'Paramètres (1)'!$A$1:$I$88,7,0))</f>
        <v>#REF!</v>
      </c>
      <c r="DY7" s="135" t="str">
        <f>IF(ISNA(VLOOKUP(A7,'Données projet (1)'!$A$165:$I$185,6,0)),0%,VLOOKUP(A7,'Données projet (1)'!$A$165:$I$185,6,0)*VLOOKUP('Données projet (1)'!$B$14,'Paramètres (1)'!$A$1:$I$88,7,0))</f>
        <v>#REF!</v>
      </c>
      <c r="DZ7" s="135" t="str">
        <f t="shared" si="64"/>
        <v>#REF!</v>
      </c>
      <c r="EA7" s="142" t="str">
        <f>EXP(-LN(2)/35)*EA6+(1-EXP(-LN(2)/35))/(LN(2)/35)*DW7*DX7*VLOOKUP('Données projet (1)'!$B$14,'Paramètres (1)'!$A$1:$I$88,3,0)*0.475*44/12</f>
        <v>#REF!</v>
      </c>
      <c r="EB7" s="142" t="str">
        <f>EXP(-LN(2)/25)*EB6+(1-EXP(-LN(2)/25))/(LN(2)/25)*'Calculateur (1)'!DW7*'Calculateur (1)'!DY7*VLOOKUP('Données projet (1)'!$B$14,'Paramètres (1)'!$A$1:$I$88,3,0)*0.475*44/12</f>
        <v>#REF!</v>
      </c>
      <c r="EC7" s="142" t="str">
        <f>EXP(-LN(2)/2)*EC6+(1-EXP(-LN(2)/2))/(LN(2)/2)*DW7*DZ7*VLOOKUP('Données projet (1)'!$B$14,'Paramètres (1)'!$A$1:$I$88,3,0)*0.475*44/12</f>
        <v>#REF!</v>
      </c>
      <c r="ED7" s="143" t="str">
        <f t="shared" si="65"/>
        <v>#REF!</v>
      </c>
      <c r="EE7" s="139" t="str">
        <f t="shared" si="66"/>
        <v>#REF!</v>
      </c>
      <c r="EF7" s="131" t="str">
        <f t="shared" si="67"/>
        <v>#REF!</v>
      </c>
      <c r="EG7" s="131" t="str">
        <f t="shared" si="132"/>
        <v>#REF!</v>
      </c>
      <c r="EH7" s="131" t="str">
        <f t="shared" si="68"/>
        <v>#REF!</v>
      </c>
      <c r="EI7" s="131" t="str">
        <f t="array" ref="EI7">INDEX(EH:EH,MIN(IF(ISNUMBER(EH7:EH203),ROW(EH7:EH203),"")))</f>
        <v/>
      </c>
      <c r="EJ7" s="131" t="str">
        <f t="shared" si="133"/>
        <v>#REF!</v>
      </c>
      <c r="EK7" s="138" t="str">
        <f>EJ7*VLOOKUP('Données projet (1)'!$B$15,'Paramètres (1)'!$A$1:$I$88,3,0)*VLOOKUP('Données projet (1)'!$B$15,'Paramètres (1)'!$A$1:$I$88,5,0)</f>
        <v>#REF!</v>
      </c>
      <c r="EL7" s="130" t="str">
        <f t="shared" si="134"/>
        <v>#REF!</v>
      </c>
      <c r="EM7" s="141" t="str">
        <f t="shared" si="69"/>
        <v>#REF!</v>
      </c>
      <c r="EN7" s="133" t="str">
        <f t="shared" si="70"/>
        <v>#REF!</v>
      </c>
      <c r="EO7" s="133" t="str">
        <f t="shared" si="71"/>
        <v>#REF!</v>
      </c>
      <c r="EP7" s="133" t="str">
        <f t="shared" si="135"/>
        <v>#REF!</v>
      </c>
      <c r="EQ7" s="134" t="str">
        <f t="shared" si="72"/>
        <v>#REF!</v>
      </c>
      <c r="ER7" s="134" t="str">
        <f t="shared" si="73"/>
        <v>#REF!</v>
      </c>
      <c r="ES7" s="135" t="str">
        <f>IF(ISNA(VLOOKUP(A7,'Données projet (1)'!$A$191:$I$211,5,0)),0%,VLOOKUP(A7,'Données projet (1)'!$A$191:$I$211,5,0)*VLOOKUP('Données projet (1)'!$B$15,'Paramètres (1)'!$A$1:$I$88,7,0))</f>
        <v>#REF!</v>
      </c>
      <c r="ET7" s="135" t="str">
        <f>IF(ISNA(VLOOKUP(A7,'Données projet (1)'!$A$191:$I$211,6,0)),0%,VLOOKUP(A7,'Données projet (1)'!$A$191:$I$211,6,0)*VLOOKUP('Données projet (1)'!$B$15,'Paramètres (1)'!$A$1:$I$88,7,0))</f>
        <v>#REF!</v>
      </c>
      <c r="EU7" s="135" t="str">
        <f t="shared" si="74"/>
        <v>#REF!</v>
      </c>
      <c r="EV7" s="142" t="str">
        <f>EXP(-LN(2)/35)*EV6+(1-EXP(-LN(2)/35))/(LN(2)/35)*ER7*ES7*VLOOKUP('Données projet (1)'!$B$15,'Paramètres (1)'!$A$1:$I$88,3,0)*0.475*44/12</f>
        <v>#REF!</v>
      </c>
      <c r="EW7" s="142" t="str">
        <f>EXP(-LN(2)/25)*EW6+(1-EXP(-LN(2)/25))/(LN(2)/25)*'Calculateur (1)'!ER7*'Calculateur (1)'!ET7*VLOOKUP('Données projet (1)'!$B$15,'Paramètres (1)'!$A$1:$I$88,3,0)*0.475*44/12</f>
        <v>#REF!</v>
      </c>
      <c r="EX7" s="142" t="str">
        <f>EXP(-LN(2)/2)*EX6+(1-EXP(-LN(2)/2))/(LN(2)/2)*ER7*EU7*VLOOKUP('Données projet (1)'!$B$15,'Paramètres (1)'!$A$1:$I$88,3,0)*0.475*44/12</f>
        <v>#REF!</v>
      </c>
      <c r="EY7" s="143" t="str">
        <f t="shared" si="75"/>
        <v>#REF!</v>
      </c>
      <c r="EZ7" s="139" t="str">
        <f t="shared" si="76"/>
        <v>#REF!</v>
      </c>
      <c r="FA7" s="131" t="str">
        <f t="shared" si="77"/>
        <v>#REF!</v>
      </c>
      <c r="FB7" s="131" t="str">
        <f t="shared" si="136"/>
        <v>#REF!</v>
      </c>
      <c r="FC7" s="131" t="str">
        <f t="shared" si="78"/>
        <v>#REF!</v>
      </c>
      <c r="FD7" s="131" t="str">
        <f t="array" ref="FD7">INDEX(FC:FC,MIN(IF(ISNUMBER(FC7:FC203),ROW(FC7:FC203),"")))</f>
        <v/>
      </c>
      <c r="FE7" s="131" t="str">
        <f t="shared" si="137"/>
        <v>#REF!</v>
      </c>
      <c r="FF7" s="138" t="str">
        <f>FE7*VLOOKUP('Données projet (1)'!$B$16,'Paramètres (1)'!$A$1:$I$88,3,0)*VLOOKUP('Données projet (1)'!$B$16,'Paramètres (1)'!$A$1:$I$88,5,0)</f>
        <v>#REF!</v>
      </c>
      <c r="FG7" s="130" t="str">
        <f t="shared" si="138"/>
        <v>#REF!</v>
      </c>
      <c r="FH7" s="141" t="str">
        <f t="shared" si="79"/>
        <v>#REF!</v>
      </c>
      <c r="FI7" s="133" t="str">
        <f t="shared" si="80"/>
        <v>#REF!</v>
      </c>
      <c r="FJ7" s="133" t="str">
        <f t="shared" si="81"/>
        <v>#REF!</v>
      </c>
      <c r="FK7" s="133" t="str">
        <f t="shared" si="139"/>
        <v>#REF!</v>
      </c>
      <c r="FL7" s="134" t="str">
        <f t="shared" si="82"/>
        <v>#REF!</v>
      </c>
      <c r="FM7" s="134" t="str">
        <f t="shared" si="83"/>
        <v>#REF!</v>
      </c>
      <c r="FN7" s="135" t="str">
        <f>IF(ISNA(VLOOKUP(A7,'Données projet (1)'!$A$217:$I$237,5,0)),0%,VLOOKUP(A7,'Données projet (1)'!$A$217:$I$237,5,0)*VLOOKUP('Données projet (1)'!$B$16,'Paramètres (1)'!$A$1:$I$88,7,0))</f>
        <v>#REF!</v>
      </c>
      <c r="FO7" s="135" t="str">
        <f>IF(ISNA(VLOOKUP(A7,'Données projet (1)'!$A$217:$I$237,6,0)),0%,VLOOKUP(A7,'Données projet (1)'!$A$217:$I$237,6,0)*VLOOKUP('Données projet (1)'!$B$16,'Paramètres (1)'!$A$1:$I$88,7,0))</f>
        <v>#REF!</v>
      </c>
      <c r="FP7" s="135" t="str">
        <f t="shared" si="84"/>
        <v>#REF!</v>
      </c>
      <c r="FQ7" s="142" t="str">
        <f>EXP(-LN(2)/35)*FQ6+(1-EXP(-LN(2)/35))/(LN(2)/35)*FM7*FN7*VLOOKUP('Données projet (1)'!$B$16,'Paramètres (1)'!$A$1:$I$88,3,0)*0.475*44/12</f>
        <v>#REF!</v>
      </c>
      <c r="FR7" s="142" t="str">
        <f>EXP(-LN(2)/25)*FR6+(1-EXP(-LN(2)/25))/(LN(2)/25)*'Calculateur (1)'!FM7*'Calculateur (1)'!FO7*VLOOKUP('Données projet (1)'!$B$16,'Paramètres (1)'!$A$1:$I$88,3,0)*0.475*44/12</f>
        <v>#REF!</v>
      </c>
      <c r="FS7" s="142" t="str">
        <f>EXP(-LN(2)/2)*FS6+(1-EXP(-LN(2)/2))/(LN(2)/2)*FM7*FP7*VLOOKUP('Données projet (1)'!$B$16,'Paramètres (1)'!$A$1:$I$88,3,0)*0.475*44/12</f>
        <v>#REF!</v>
      </c>
      <c r="FT7" s="143" t="str">
        <f t="shared" si="85"/>
        <v>#REF!</v>
      </c>
      <c r="FU7" s="139" t="str">
        <f t="shared" si="86"/>
        <v>#REF!</v>
      </c>
      <c r="FV7" s="131" t="str">
        <f t="shared" si="87"/>
        <v>#REF!</v>
      </c>
      <c r="FW7" s="131" t="str">
        <f t="shared" si="140"/>
        <v>#REF!</v>
      </c>
      <c r="FX7" s="131" t="str">
        <f t="shared" si="88"/>
        <v>#REF!</v>
      </c>
      <c r="FY7" s="131" t="str">
        <f t="array" ref="FY7">INDEX(FX:FX,MIN(IF(ISNUMBER(FX7:FX203),ROW(FX7:FX203),"")))</f>
        <v/>
      </c>
      <c r="FZ7" s="131" t="str">
        <f t="shared" si="141"/>
        <v>#REF!</v>
      </c>
      <c r="GA7" s="138" t="str">
        <f>FZ7*VLOOKUP('Données projet (1)'!$B$17,'Paramètres (1)'!$A$1:$I$88,3,0)*VLOOKUP('Données projet (1)'!$B$17,'Paramètres (1)'!$A$1:$I$88,5,0)</f>
        <v>#REF!</v>
      </c>
      <c r="GB7" s="130" t="str">
        <f t="shared" si="142"/>
        <v>#REF!</v>
      </c>
      <c r="GC7" s="141" t="str">
        <f t="shared" si="89"/>
        <v>#REF!</v>
      </c>
      <c r="GD7" s="133" t="str">
        <f t="shared" si="90"/>
        <v>#REF!</v>
      </c>
      <c r="GE7" s="133" t="str">
        <f t="shared" si="91"/>
        <v>#REF!</v>
      </c>
      <c r="GF7" s="133" t="str">
        <f t="shared" si="143"/>
        <v>#REF!</v>
      </c>
      <c r="GG7" s="134" t="str">
        <f t="shared" si="92"/>
        <v>#REF!</v>
      </c>
      <c r="GH7" s="134" t="str">
        <f t="shared" si="93"/>
        <v>#REF!</v>
      </c>
      <c r="GI7" s="135" t="str">
        <f>IF(ISNA(VLOOKUP(A7,'Données projet (1)'!$A$243:$I$263,5,0)),0%,VLOOKUP(A7,'Données projet (1)'!$A$243:$I$263,5,0)*VLOOKUP('Données projet (1)'!$B$17,'Paramètres (1)'!$A$1:$I$88,7,0))</f>
        <v>#REF!</v>
      </c>
      <c r="GJ7" s="135" t="str">
        <f>IF(ISNA(VLOOKUP(A7,'Données projet (1)'!$A$243:$I$263,6,0)),0%,VLOOKUP(A7,'Données projet (1)'!$A$243:$I$263,6,0)*VLOOKUP('Données projet (1)'!$B$17,'Paramètres (1)'!$A$1:$I$88,7,0))</f>
        <v>#REF!</v>
      </c>
      <c r="GK7" s="135" t="str">
        <f t="shared" si="94"/>
        <v>#REF!</v>
      </c>
      <c r="GL7" s="142" t="str">
        <f>EXP(-LN(2)/35)*GL6+(1-EXP(-LN(2)/35))/(LN(2)/35)*GH7*GI7*VLOOKUP('Données projet (1)'!$B$17,'Paramètres (1)'!$A$1:$I$88,3,0)*0.475*44/12</f>
        <v>#REF!</v>
      </c>
      <c r="GM7" s="142" t="str">
        <f>EXP(-LN(2)/25)*GM6+(1-EXP(-LN(2)/25))/(LN(2)/25)*'Calculateur (1)'!GH7*'Calculateur (1)'!GJ7*VLOOKUP('Données projet (1)'!$B$17,'Paramètres (1)'!$A$1:$I$88,3,0)*0.475*44/12</f>
        <v>#REF!</v>
      </c>
      <c r="GN7" s="142" t="str">
        <f>EXP(-LN(2)/2)*GN6+(1-EXP(-LN(2)/2))/(LN(2)/2)*GH7*GK7*VLOOKUP('Données projet (1)'!$B$17,'Paramètres (1)'!$A$1:$I$88,3,0)*0.475*44/12</f>
        <v>#REF!</v>
      </c>
      <c r="GO7" s="142" t="str">
        <f t="shared" si="95"/>
        <v>#REF!</v>
      </c>
      <c r="GP7" s="139" t="str">
        <f t="shared" si="96"/>
        <v>#REF!</v>
      </c>
      <c r="GQ7" s="131" t="str">
        <f t="shared" si="97"/>
        <v>#REF!</v>
      </c>
      <c r="GR7" s="131" t="str">
        <f t="shared" si="144"/>
        <v>#REF!</v>
      </c>
      <c r="GS7" s="131" t="str">
        <f t="shared" si="98"/>
        <v>#REF!</v>
      </c>
      <c r="GT7" s="131" t="str">
        <f t="array" ref="GT7">INDEX(GS:GS,MIN(IF(ISNUMBER(GS7:GS203),ROW(GS7:GS203),"")))</f>
        <v/>
      </c>
      <c r="GU7" s="131" t="str">
        <f t="shared" si="145"/>
        <v>#REF!</v>
      </c>
      <c r="GV7" s="138" t="str">
        <f>GU7*VLOOKUP('Données projet (1)'!$B$18,'Paramètres (1)'!$A$1:$I$88,3,0)*VLOOKUP('Données projet (1)'!$B$18,'Paramètres (1)'!$A$1:$I$88,5,0)</f>
        <v>#REF!</v>
      </c>
      <c r="GW7" s="130" t="str">
        <f t="shared" si="146"/>
        <v>#REF!</v>
      </c>
      <c r="GX7" s="141" t="str">
        <f t="shared" si="99"/>
        <v>#REF!</v>
      </c>
      <c r="GY7" s="133" t="str">
        <f t="shared" si="100"/>
        <v>#REF!</v>
      </c>
      <c r="GZ7" s="133" t="str">
        <f t="shared" si="101"/>
        <v>#REF!</v>
      </c>
      <c r="HA7" s="133" t="str">
        <f t="shared" si="147"/>
        <v>#REF!</v>
      </c>
      <c r="HB7" s="134" t="str">
        <f t="shared" si="102"/>
        <v>#REF!</v>
      </c>
      <c r="HC7" s="134" t="str">
        <f t="shared" si="103"/>
        <v>#REF!</v>
      </c>
      <c r="HD7" s="135" t="str">
        <f>IF(ISNA(VLOOKUP(A7,'Données projet (1)'!$A$269:$I$289,5,0)),0%,VLOOKUP(A7,'Données projet (1)'!$A$269:$I$289,5,0)*VLOOKUP('Données projet (1)'!$B$18,'Paramètres (1)'!$A$1:$I$88,7,0))</f>
        <v>#REF!</v>
      </c>
      <c r="HE7" s="135" t="str">
        <f>IF(ISNA(VLOOKUP(A7,'Données projet (1)'!$A$269:$I$289,6,0)),0%,VLOOKUP(A7,'Données projet (1)'!$A$269:$I$289,6,0)*VLOOKUP('Données projet (1)'!$B$18,'Paramètres (1)'!$A$1:$I$88,7,0))</f>
        <v>#REF!</v>
      </c>
      <c r="HF7" s="135" t="str">
        <f t="shared" si="104"/>
        <v>#REF!</v>
      </c>
      <c r="HG7" s="142" t="str">
        <f>EXP(-LN(2)/35)*HG6+(1-EXP(-LN(2)/35))/(LN(2)/35)*HC7*HD7*VLOOKUP('Données projet (1)'!$B$18,'Paramètres (1)'!$A$1:$I$88,3,0)*0.475*44/12</f>
        <v>#REF!</v>
      </c>
      <c r="HH7" s="142" t="str">
        <f>EXP(-LN(2)/25)*HH6+(1-EXP(-LN(2)/25))/(LN(2)/25)*'Calculateur (1)'!HC7*'Calculateur (1)'!HE7*VLOOKUP('Données projet (1)'!$B$18,'Paramètres (1)'!$A$1:$I$88,3,0)*0.475*44/12</f>
        <v>#REF!</v>
      </c>
      <c r="HI7" s="142" t="str">
        <f>EXP(-LN(2)/2)*HI6+(1-EXP(-LN(2)/2))/(LN(2)/2)*HC7*HF7*VLOOKUP('Données projet (1)'!$B$18,'Paramètres (1)'!$A$1:$I$88,3,0)*0.475*44/12</f>
        <v>#REF!</v>
      </c>
      <c r="HJ7" s="143" t="str">
        <f t="shared" si="105"/>
        <v>#REF!</v>
      </c>
    </row>
    <row r="8" ht="14.25" customHeight="1">
      <c r="A8" s="125">
        <f t="shared" si="106"/>
        <v>5</v>
      </c>
      <c r="B8" s="126" t="str">
        <f t="shared" si="1"/>
        <v>#REF!</v>
      </c>
      <c r="C8" s="140" t="str">
        <f>'Calculateur (1)'!C7+'Scénario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" s="127">
        <f t="shared" si="107"/>
        <v>0</v>
      </c>
      <c r="E8" s="127" t="str">
        <f t="shared" si="2"/>
        <v>#REF!</v>
      </c>
      <c r="F8" s="127" t="str">
        <f t="shared" si="3"/>
        <v>#REF!</v>
      </c>
      <c r="G8" s="127" t="str">
        <f t="shared" si="4"/>
        <v>#REF!</v>
      </c>
      <c r="H8" s="128" t="str">
        <f t="shared" si="5"/>
        <v>#REF!</v>
      </c>
      <c r="I8" s="129" t="str">
        <f t="shared" si="6"/>
        <v>#REF!</v>
      </c>
      <c r="J8" s="130" t="str">
        <f t="shared" si="7"/>
        <v>#REF!</v>
      </c>
      <c r="K8" s="131" t="str">
        <f t="shared" si="108"/>
        <v>#REF!</v>
      </c>
      <c r="L8" s="131" t="str">
        <f t="shared" si="8"/>
        <v>#REF!</v>
      </c>
      <c r="M8" s="131" t="str">
        <f t="array" ref="M8">INDEX(L:L,MIN(IF(ISNUMBER(L8:L204),ROW(L8:L204),"")))</f>
        <v/>
      </c>
      <c r="N8" s="130" t="str">
        <f t="shared" si="109"/>
        <v>#REF!</v>
      </c>
      <c r="O8" s="130" t="str">
        <f>N8*VLOOKUP('Données projet (1)'!$B$9,'Paramètres (1)'!$A$1:$I$88,3,0)*VLOOKUP('Données projet (1)'!$B$9,'Paramètres (1)'!$A$1:$I$88,5,0)</f>
        <v>#REF!</v>
      </c>
      <c r="P8" s="130" t="str">
        <f t="shared" si="110"/>
        <v>#REF!</v>
      </c>
      <c r="Q8" s="141" t="str">
        <f t="shared" si="9"/>
        <v>#REF!</v>
      </c>
      <c r="R8" s="133" t="str">
        <f t="shared" si="10"/>
        <v>#REF!</v>
      </c>
      <c r="S8" s="133" t="str">
        <f t="shared" si="11"/>
        <v>#REF!</v>
      </c>
      <c r="T8" s="133" t="str">
        <f t="shared" si="111"/>
        <v>#REF!</v>
      </c>
      <c r="U8" s="134" t="str">
        <f t="shared" si="12"/>
        <v>#REF!</v>
      </c>
      <c r="V8" s="134" t="str">
        <f t="shared" si="13"/>
        <v>#REF!</v>
      </c>
      <c r="W8" s="135" t="str">
        <f>IF(ISNA(VLOOKUP(A8,'Données projet (1)'!$A$35:$I$55,5,0)),0%,VLOOKUP(A8,'Données projet (1)'!$A$35:$I$55,5,0)*VLOOKUP('Données projet (1)'!$B$9,'Paramètres (1)'!$A$1:$I$88,7,0))</f>
        <v>#REF!</v>
      </c>
      <c r="X8" s="135" t="str">
        <f>IF(ISNA(VLOOKUP(A8,'Données projet (1)'!$A$35:$I$55,6,0)),0%,VLOOKUP(A8,'Données projet (1)'!$A$35:$I$55,6,0)*VLOOKUP('Données projet (1)'!$B$9,'Paramètres (1)'!$A$1:$I$88,7,0))</f>
        <v>#REF!</v>
      </c>
      <c r="Y8" s="135" t="str">
        <f t="shared" si="14"/>
        <v>#REF!</v>
      </c>
      <c r="Z8" s="142" t="str">
        <f>EXP(-LN(2)/35)*Z7+(1-EXP(-LN(2)/35))/(LN(2)/35)*V8*W8*VLOOKUP('Données projet (1)'!$B$9,'Paramètres (1)'!$A$1:$I$88,3,0)*0.475*44/12</f>
        <v>#REF!</v>
      </c>
      <c r="AA8" s="142" t="str">
        <f>EXP(-LN(2)/25)*AA7+(1-EXP(-LN(2)/25))/(LN(2)/25)*'Calculateur (1)'!V8*'Calculateur (1)'!X8*VLOOKUP('Données projet (1)'!$B$9,'Paramètres (1)'!$A$1:$I$88,3,0)*0.475*44/12</f>
        <v>#REF!</v>
      </c>
      <c r="AB8" s="142" t="str">
        <f>EXP(-LN(2)/2)*AB7+(1-EXP(-LN(2)/2))/(LN(2)/2)*V8*Y8*VLOOKUP('Données projet (1)'!$B$9,'Paramètres (1)'!$A$1:$I$88,3,0)*0.475*44/12</f>
        <v>#REF!</v>
      </c>
      <c r="AC8" s="143" t="str">
        <f t="shared" si="15"/>
        <v>#REF!</v>
      </c>
      <c r="AD8" s="130" t="str">
        <f t="shared" si="16"/>
        <v>#REF!</v>
      </c>
      <c r="AE8" s="130" t="str">
        <f t="shared" si="17"/>
        <v>#REF!</v>
      </c>
      <c r="AF8" s="131" t="str">
        <f t="shared" si="112"/>
        <v>#REF!</v>
      </c>
      <c r="AG8" s="131" t="str">
        <f t="shared" si="18"/>
        <v>#REF!</v>
      </c>
      <c r="AH8" s="131" t="str">
        <f t="array" ref="AH8">INDEX(AG:AG,MIN(IF(ISNUMBER(AG8:AG204),ROW(AG8:AG204),"")))</f>
        <v/>
      </c>
      <c r="AI8" s="130" t="str">
        <f t="shared" si="113"/>
        <v>#REF!</v>
      </c>
      <c r="AJ8" s="130" t="str">
        <f>AI8*VLOOKUP('Données projet (1)'!$B$10,'Paramètres (1)'!$A$1:$I$88,3,0)*VLOOKUP('Données projet (1)'!$B$10,'Paramètres (1)'!$A$1:$I$88,5,0)</f>
        <v>#REF!</v>
      </c>
      <c r="AK8" s="130" t="str">
        <f t="shared" si="114"/>
        <v>#REF!</v>
      </c>
      <c r="AL8" s="141" t="str">
        <f t="shared" si="19"/>
        <v>#REF!</v>
      </c>
      <c r="AM8" s="133" t="str">
        <f t="shared" si="20"/>
        <v>#REF!</v>
      </c>
      <c r="AN8" s="133" t="str">
        <f t="shared" si="21"/>
        <v>#REF!</v>
      </c>
      <c r="AO8" s="133" t="str">
        <f t="shared" si="115"/>
        <v>#REF!</v>
      </c>
      <c r="AP8" s="134" t="str">
        <f t="shared" si="22"/>
        <v>#REF!</v>
      </c>
      <c r="AQ8" s="134" t="str">
        <f t="shared" si="23"/>
        <v>#REF!</v>
      </c>
      <c r="AR8" s="135" t="str">
        <f>IF(ISNA(VLOOKUP(A8,'Données projet (1)'!$A$61:$I$81,5,0)),0%,VLOOKUP(A8,'Données projet (1)'!$A$61:$I$81,5,0)*VLOOKUP('Données projet (1)'!$B$10,'Paramètres (1)'!$A$1:$I$88,7,0))</f>
        <v>#REF!</v>
      </c>
      <c r="AS8" s="135" t="str">
        <f>IF(ISNA(VLOOKUP(A8,'Données projet (1)'!$A$61:$I$81,6,0)),0%,VLOOKUP(A8,'Données projet (1)'!$A$61:$I$81,6,0)*VLOOKUP('Données projet (1)'!$B$10,'Paramètres (1)'!$A$1:$I$88,7,0))</f>
        <v>#REF!</v>
      </c>
      <c r="AT8" s="135" t="str">
        <f t="shared" si="24"/>
        <v>#REF!</v>
      </c>
      <c r="AU8" s="142" t="str">
        <f>EXP(-LN(2)/35)*AU7+(1-EXP(-LN(2)/35))/(LN(2)/35)*AQ8*AR8*VLOOKUP('Données projet (1)'!$B$10,'Paramètres (1)'!$A$1:$I$88,3,0)*0.475*44/12</f>
        <v>#REF!</v>
      </c>
      <c r="AV8" s="142" t="str">
        <f>EXP(-LN(2)/25)*AV7+(1-EXP(-LN(2)/25))/(LN(2)/25)*'Calculateur (1)'!AQ8*'Calculateur (1)'!AS8*VLOOKUP('Données projet (1)'!$B$10,'Paramètres (1)'!$A$1:$I$88,3,0)*0.475*44/12</f>
        <v>#REF!</v>
      </c>
      <c r="AW8" s="142" t="str">
        <f>EXP(-LN(2)/2)*AW7+(1-EXP(-LN(2)/2))/(LN(2)/2)*AQ8*AT8*VLOOKUP('Données projet (1)'!$B$10,'Paramètres (1)'!$A$1:$I$88,3,0)*0.475*44/12</f>
        <v>#REF!</v>
      </c>
      <c r="AX8" s="142" t="str">
        <f t="shared" si="25"/>
        <v>#REF!</v>
      </c>
      <c r="AY8" s="137" t="str">
        <f t="shared" si="26"/>
        <v>#REF!</v>
      </c>
      <c r="AZ8" s="131" t="str">
        <f t="shared" si="27"/>
        <v>#REF!</v>
      </c>
      <c r="BA8" s="131" t="str">
        <f t="shared" si="116"/>
        <v>#REF!</v>
      </c>
      <c r="BB8" s="131" t="str">
        <f t="shared" si="28"/>
        <v>#REF!</v>
      </c>
      <c r="BC8" s="131" t="str">
        <f t="array" ref="BC8">INDEX(BB:BB,MIN(IF(ISNUMBER(BB8:BB204),ROW(BB8:BB204),"")))</f>
        <v/>
      </c>
      <c r="BD8" s="131" t="str">
        <f t="shared" si="117"/>
        <v>#REF!</v>
      </c>
      <c r="BE8" s="130" t="str">
        <f>BD8*VLOOKUP('Données projet (1)'!$B$11,'Paramètres (1)'!$A$1:$I$88,3,0)*VLOOKUP('Données projet (1)'!$B$11,'Paramètres (1)'!$A$1:$I$88,5,0)</f>
        <v>#REF!</v>
      </c>
      <c r="BF8" s="130" t="str">
        <f t="shared" si="118"/>
        <v>#REF!</v>
      </c>
      <c r="BG8" s="141" t="str">
        <f t="shared" si="29"/>
        <v>#REF!</v>
      </c>
      <c r="BH8" s="133" t="str">
        <f t="shared" si="30"/>
        <v>#REF!</v>
      </c>
      <c r="BI8" s="133" t="str">
        <f t="shared" si="31"/>
        <v>#REF!</v>
      </c>
      <c r="BJ8" s="133" t="str">
        <f t="shared" si="119"/>
        <v>#REF!</v>
      </c>
      <c r="BK8" s="134" t="str">
        <f t="shared" si="32"/>
        <v>#REF!</v>
      </c>
      <c r="BL8" s="134" t="str">
        <f t="shared" si="33"/>
        <v>#REF!</v>
      </c>
      <c r="BM8" s="135" t="str">
        <f>IF(ISNA(VLOOKUP(A8,'Données projet (1)'!$A$87:$I$107,5,0)),0%,VLOOKUP(A8,'Données projet (1)'!$A$87:$I$107,5,0)*VLOOKUP('Données projet (1)'!$B$11,'Paramètres (1)'!$A$1:$I$88,7,0))</f>
        <v>#REF!</v>
      </c>
      <c r="BN8" s="135" t="str">
        <f>IF(ISNA(VLOOKUP(A8,'Données projet (1)'!$A$87:$I$107,6,0)),0%,VLOOKUP(A8,'Données projet (1)'!$A$87:$I$107,6,0)*VLOOKUP('Données projet (1)'!$B$11,'Paramètres (1)'!$A$1:$I$88,7,0))</f>
        <v>#REF!</v>
      </c>
      <c r="BO8" s="135" t="str">
        <f t="shared" si="34"/>
        <v>#REF!</v>
      </c>
      <c r="BP8" s="142" t="str">
        <f>EXP(-LN(2)/35)*BP7+(1-EXP(-LN(2)/35))/(LN(2)/35)*BL8*BM8*VLOOKUP('Données projet (1)'!$B$11,'Paramètres (1)'!$A$1:$I$88,3,0)*0.475*44/12</f>
        <v>#REF!</v>
      </c>
      <c r="BQ8" s="142" t="str">
        <f>EXP(-LN(2)/25)*BQ7+(1-EXP(-LN(2)/25))/(LN(2)/25)*'Calculateur (1)'!BL8*'Calculateur (1)'!BN8*VLOOKUP('Données projet (1)'!$B$11,'Paramètres (1)'!$A$1:$I$88,3,0)*0.475*44/12</f>
        <v>#REF!</v>
      </c>
      <c r="BR8" s="142" t="str">
        <f>EXP(-LN(2)/2)*BR7+(1-EXP(-LN(2)/2))/(LN(2)/2)*BL8*BO8*VLOOKUP('Données projet (1)'!$B$11,'Paramètres (1)'!$A$1:$I$88,3,0)*0.475*44/12</f>
        <v>#REF!</v>
      </c>
      <c r="BS8" s="143" t="str">
        <f t="shared" si="35"/>
        <v>#REF!</v>
      </c>
      <c r="BT8" s="139" t="str">
        <f t="shared" si="36"/>
        <v>#REF!</v>
      </c>
      <c r="BU8" s="131" t="str">
        <f t="shared" si="37"/>
        <v>#REF!</v>
      </c>
      <c r="BV8" s="131" t="str">
        <f t="shared" si="120"/>
        <v>#REF!</v>
      </c>
      <c r="BW8" s="131" t="str">
        <f t="shared" si="38"/>
        <v>#REF!</v>
      </c>
      <c r="BX8" s="131" t="str">
        <f t="array" ref="BX8">INDEX(BW:BW,MIN(IF(ISNUMBER(BW8:BW204),ROW(BW8:BW204),"")))</f>
        <v/>
      </c>
      <c r="BY8" s="131" t="str">
        <f t="shared" si="121"/>
        <v>#REF!</v>
      </c>
      <c r="BZ8" s="130" t="str">
        <f>BY8*VLOOKUP('Données projet (1)'!$B$12,'Paramètres (1)'!$A$1:$I$88,3,0)*VLOOKUP('Données projet (1)'!$B$12,'Paramètres (1)'!$A$1:$I$88,5,0)</f>
        <v>#REF!</v>
      </c>
      <c r="CA8" s="130" t="str">
        <f t="shared" si="122"/>
        <v>#REF!</v>
      </c>
      <c r="CB8" s="141" t="str">
        <f t="shared" si="39"/>
        <v>#REF!</v>
      </c>
      <c r="CC8" s="133" t="str">
        <f t="shared" si="40"/>
        <v>#REF!</v>
      </c>
      <c r="CD8" s="133" t="str">
        <f t="shared" si="41"/>
        <v>#REF!</v>
      </c>
      <c r="CE8" s="133" t="str">
        <f t="shared" si="123"/>
        <v>#REF!</v>
      </c>
      <c r="CF8" s="134" t="str">
        <f t="shared" si="42"/>
        <v>#REF!</v>
      </c>
      <c r="CG8" s="134" t="str">
        <f t="shared" si="43"/>
        <v>#REF!</v>
      </c>
      <c r="CH8" s="135" t="str">
        <f>IF(ISNA(VLOOKUP(A8,'Données projet (1)'!$A$113:$I$133,5,0)),0%,VLOOKUP(A8,'Données projet (1)'!$A$113:$I$133,5,0)*VLOOKUP('Données projet (1)'!$B$12,'Paramètres (1)'!$A$1:$I$88,7,0))</f>
        <v>#REF!</v>
      </c>
      <c r="CI8" s="135" t="str">
        <f>IF(ISNA(VLOOKUP(A8,'Données projet (1)'!$A$113:$I$133,6,0)),0%,VLOOKUP(A8,'Données projet (1)'!$A$113:$I$133,6,0)*VLOOKUP('Données projet (1)'!$B$12,'Paramètres (1)'!$A$1:$I$88,7,0))</f>
        <v>#REF!</v>
      </c>
      <c r="CJ8" s="135" t="str">
        <f t="shared" si="44"/>
        <v>#REF!</v>
      </c>
      <c r="CK8" s="142" t="str">
        <f>EXP(-LN(2)/35)*CK7+(1-EXP(-LN(2)/35))/(LN(2)/35)*CG8*CH8*VLOOKUP('Données projet (1)'!$B$12,'Paramètres (1)'!$A$1:$I$88,3,0)*0.475*44/12</f>
        <v>#REF!</v>
      </c>
      <c r="CL8" s="142" t="str">
        <f>EXP(-LN(2)/25)*CL7+(1-EXP(-LN(2)/25))/(LN(2)/25)*'Calculateur (1)'!CG8*'Calculateur (1)'!CI8*VLOOKUP('Données projet (1)'!$B$12,'Paramètres (1)'!$A$1:$I$88,3,0)*0.475*44/12</f>
        <v>#REF!</v>
      </c>
      <c r="CM8" s="142" t="str">
        <f>EXP(-LN(2)/2)*CM7+(1-EXP(-LN(2)/2))/(LN(2)/2)*CG8*CJ8*VLOOKUP('Données projet (1)'!$B$12,'Paramètres (1)'!$A$1:$I$88,3,0)*0.475*44/12</f>
        <v>#REF!</v>
      </c>
      <c r="CN8" s="143" t="str">
        <f t="shared" si="45"/>
        <v>#REF!</v>
      </c>
      <c r="CO8" s="139" t="str">
        <f t="shared" si="46"/>
        <v>#REF!</v>
      </c>
      <c r="CP8" s="131" t="str">
        <f t="shared" si="47"/>
        <v>#REF!</v>
      </c>
      <c r="CQ8" s="131" t="str">
        <f t="shared" si="124"/>
        <v>#REF!</v>
      </c>
      <c r="CR8" s="131" t="str">
        <f t="shared" si="48"/>
        <v>#REF!</v>
      </c>
      <c r="CS8" s="131" t="str">
        <f t="array" ref="CS8">INDEX(CR:CR,MIN(IF(ISNUMBER(CR8:CR204),ROW(CR8:CR204),"")))</f>
        <v/>
      </c>
      <c r="CT8" s="131" t="str">
        <f t="shared" si="125"/>
        <v>#REF!</v>
      </c>
      <c r="CU8" s="138" t="str">
        <f>CT8*VLOOKUP('Données projet (1)'!$B$13,'Paramètres (1)'!$A$1:$I$88,3,0)*VLOOKUP('Données projet (1)'!$B$13,'Paramètres (1)'!$A$1:$I$88,5,0)</f>
        <v>#REF!</v>
      </c>
      <c r="CV8" s="130" t="str">
        <f t="shared" si="126"/>
        <v>#REF!</v>
      </c>
      <c r="CW8" s="141" t="str">
        <f t="shared" si="49"/>
        <v>#REF!</v>
      </c>
      <c r="CX8" s="133" t="str">
        <f t="shared" si="50"/>
        <v>#REF!</v>
      </c>
      <c r="CY8" s="133" t="str">
        <f t="shared" si="51"/>
        <v>#REF!</v>
      </c>
      <c r="CZ8" s="133" t="str">
        <f t="shared" si="127"/>
        <v>#REF!</v>
      </c>
      <c r="DA8" s="134" t="str">
        <f t="shared" si="52"/>
        <v>#REF!</v>
      </c>
      <c r="DB8" s="134" t="str">
        <f t="shared" si="53"/>
        <v>#REF!</v>
      </c>
      <c r="DC8" s="135" t="str">
        <f>IF(ISNA(VLOOKUP(A8,'Données projet (1)'!$A$139:$I$159,5,0)),0%,VLOOKUP(A8,'Données projet (1)'!$A$139:$I$159,5,0)*VLOOKUP('Données projet (1)'!$B$13,'Paramètres (1)'!$A$1:$I$88,7,0))</f>
        <v>#REF!</v>
      </c>
      <c r="DD8" s="135" t="str">
        <f>IF(ISNA(VLOOKUP(A8,'Données projet (1)'!$A$139:$I$159,6,0)),0%,VLOOKUP(A8,'Données projet (1)'!$A$139:$I$159,6,0)*VLOOKUP('Données projet (1)'!$B$13,'Paramètres (1)'!$A$1:$I$88,7,0))</f>
        <v>#REF!</v>
      </c>
      <c r="DE8" s="135" t="str">
        <f t="shared" si="54"/>
        <v>#REF!</v>
      </c>
      <c r="DF8" s="142" t="str">
        <f>EXP(-LN(2)/35)*DF7+(1-EXP(-LN(2)/35))/(LN(2)/35)*DB8*DC8*VLOOKUP('Données projet (1)'!$B$13,'Paramètres (1)'!$A$1:$I$88,3,0)*0.475*44/12</f>
        <v>#REF!</v>
      </c>
      <c r="DG8" s="142" t="str">
        <f>EXP(-LN(2)/25)*DG7+(1-EXP(-LN(2)/25))/(LN(2)/25)*'Calculateur (1)'!DB8*'Calculateur (1)'!DD8*VLOOKUP('Données projet (1)'!$B$13,'Paramètres (1)'!$A$1:$I$88,3,0)*0.475*44/12</f>
        <v>#REF!</v>
      </c>
      <c r="DH8" s="142" t="str">
        <f>EXP(-LN(2)/2)*DH7+(1-EXP(-LN(2)/2))/(LN(2)/2)*DB8*DE8*VLOOKUP('Données projet (1)'!$B$13,'Paramètres (1)'!$A$1:$I$88,3,0)*0.475*44/12</f>
        <v>#REF!</v>
      </c>
      <c r="DI8" s="143" t="str">
        <f t="shared" si="55"/>
        <v>#REF!</v>
      </c>
      <c r="DJ8" s="139" t="str">
        <f t="shared" si="56"/>
        <v>#REF!</v>
      </c>
      <c r="DK8" s="131" t="str">
        <f t="shared" si="57"/>
        <v>#REF!</v>
      </c>
      <c r="DL8" s="131" t="str">
        <f t="shared" si="128"/>
        <v>#REF!</v>
      </c>
      <c r="DM8" s="131" t="str">
        <f t="shared" si="58"/>
        <v>#REF!</v>
      </c>
      <c r="DN8" s="131" t="str">
        <f t="array" ref="DN8">INDEX(DM:DM,MIN(IF(ISNUMBER(DM8:DM204),ROW(DM8:DM204),"")))</f>
        <v/>
      </c>
      <c r="DO8" s="131" t="str">
        <f t="shared" si="129"/>
        <v>#REF!</v>
      </c>
      <c r="DP8" s="138" t="str">
        <f>DO8*VLOOKUP('Données projet (1)'!$B$14,'Paramètres (1)'!$A$1:$I$88,3,0)*VLOOKUP('Données projet (1)'!$B$14,'Paramètres (1)'!$A$1:$I$88,5,0)</f>
        <v>#REF!</v>
      </c>
      <c r="DQ8" s="130" t="str">
        <f t="shared" si="130"/>
        <v>#REF!</v>
      </c>
      <c r="DR8" s="141" t="str">
        <f t="shared" si="59"/>
        <v>#REF!</v>
      </c>
      <c r="DS8" s="133" t="str">
        <f t="shared" si="60"/>
        <v>#REF!</v>
      </c>
      <c r="DT8" s="133" t="str">
        <f t="shared" si="61"/>
        <v>#REF!</v>
      </c>
      <c r="DU8" s="133" t="str">
        <f t="shared" si="131"/>
        <v>#REF!</v>
      </c>
      <c r="DV8" s="134" t="str">
        <f t="shared" si="62"/>
        <v>#REF!</v>
      </c>
      <c r="DW8" s="134" t="str">
        <f t="shared" si="63"/>
        <v>#REF!</v>
      </c>
      <c r="DX8" s="135" t="str">
        <f>IF(ISNA(VLOOKUP(A8,'Données projet (1)'!$A$165:$I$185,5,0)),0%,VLOOKUP(A8,'Données projet (1)'!$A$165:$I$185,5,0)*VLOOKUP('Données projet (1)'!$B$14,'Paramètres (1)'!$A$1:$I$88,7,0))</f>
        <v>#REF!</v>
      </c>
      <c r="DY8" s="135" t="str">
        <f>IF(ISNA(VLOOKUP(A8,'Données projet (1)'!$A$165:$I$185,6,0)),0%,VLOOKUP(A8,'Données projet (1)'!$A$165:$I$185,6,0)*VLOOKUP('Données projet (1)'!$B$14,'Paramètres (1)'!$A$1:$I$88,7,0))</f>
        <v>#REF!</v>
      </c>
      <c r="DZ8" s="135" t="str">
        <f t="shared" si="64"/>
        <v>#REF!</v>
      </c>
      <c r="EA8" s="142" t="str">
        <f>EXP(-LN(2)/35)*EA7+(1-EXP(-LN(2)/35))/(LN(2)/35)*DW8*DX8*VLOOKUP('Données projet (1)'!$B$14,'Paramètres (1)'!$A$1:$I$88,3,0)*0.475*44/12</f>
        <v>#REF!</v>
      </c>
      <c r="EB8" s="142" t="str">
        <f>EXP(-LN(2)/25)*EB7+(1-EXP(-LN(2)/25))/(LN(2)/25)*'Calculateur (1)'!DW8*'Calculateur (1)'!DY8*VLOOKUP('Données projet (1)'!$B$14,'Paramètres (1)'!$A$1:$I$88,3,0)*0.475*44/12</f>
        <v>#REF!</v>
      </c>
      <c r="EC8" s="142" t="str">
        <f>EXP(-LN(2)/2)*EC7+(1-EXP(-LN(2)/2))/(LN(2)/2)*DW8*DZ8*VLOOKUP('Données projet (1)'!$B$14,'Paramètres (1)'!$A$1:$I$88,3,0)*0.475*44/12</f>
        <v>#REF!</v>
      </c>
      <c r="ED8" s="143" t="str">
        <f t="shared" si="65"/>
        <v>#REF!</v>
      </c>
      <c r="EE8" s="139" t="str">
        <f t="shared" si="66"/>
        <v>#REF!</v>
      </c>
      <c r="EF8" s="131" t="str">
        <f t="shared" si="67"/>
        <v>#REF!</v>
      </c>
      <c r="EG8" s="131" t="str">
        <f t="shared" si="132"/>
        <v>#REF!</v>
      </c>
      <c r="EH8" s="131" t="str">
        <f t="shared" si="68"/>
        <v>#REF!</v>
      </c>
      <c r="EI8" s="131" t="str">
        <f t="array" ref="EI8">INDEX(EH:EH,MIN(IF(ISNUMBER(EH8:EH204),ROW(EH8:EH204),"")))</f>
        <v/>
      </c>
      <c r="EJ8" s="131" t="str">
        <f t="shared" si="133"/>
        <v>#REF!</v>
      </c>
      <c r="EK8" s="138" t="str">
        <f>EJ8*VLOOKUP('Données projet (1)'!$B$15,'Paramètres (1)'!$A$1:$I$88,3,0)*VLOOKUP('Données projet (1)'!$B$15,'Paramètres (1)'!$A$1:$I$88,5,0)</f>
        <v>#REF!</v>
      </c>
      <c r="EL8" s="130" t="str">
        <f t="shared" si="134"/>
        <v>#REF!</v>
      </c>
      <c r="EM8" s="141" t="str">
        <f t="shared" si="69"/>
        <v>#REF!</v>
      </c>
      <c r="EN8" s="133" t="str">
        <f t="shared" si="70"/>
        <v>#REF!</v>
      </c>
      <c r="EO8" s="133" t="str">
        <f t="shared" si="71"/>
        <v>#REF!</v>
      </c>
      <c r="EP8" s="133" t="str">
        <f t="shared" si="135"/>
        <v>#REF!</v>
      </c>
      <c r="EQ8" s="134" t="str">
        <f t="shared" si="72"/>
        <v>#REF!</v>
      </c>
      <c r="ER8" s="134" t="str">
        <f t="shared" si="73"/>
        <v>#REF!</v>
      </c>
      <c r="ES8" s="135" t="str">
        <f>IF(ISNA(VLOOKUP(A8,'Données projet (1)'!$A$191:$I$211,5,0)),0%,VLOOKUP(A8,'Données projet (1)'!$A$191:$I$211,5,0)*VLOOKUP('Données projet (1)'!$B$15,'Paramètres (1)'!$A$1:$I$88,7,0))</f>
        <v>#REF!</v>
      </c>
      <c r="ET8" s="135" t="str">
        <f>IF(ISNA(VLOOKUP(A8,'Données projet (1)'!$A$191:$I$211,6,0)),0%,VLOOKUP(A8,'Données projet (1)'!$A$191:$I$211,6,0)*VLOOKUP('Données projet (1)'!$B$15,'Paramètres (1)'!$A$1:$I$88,7,0))</f>
        <v>#REF!</v>
      </c>
      <c r="EU8" s="135" t="str">
        <f t="shared" si="74"/>
        <v>#REF!</v>
      </c>
      <c r="EV8" s="142" t="str">
        <f>EXP(-LN(2)/35)*EV7+(1-EXP(-LN(2)/35))/(LN(2)/35)*ER8*ES8*VLOOKUP('Données projet (1)'!$B$15,'Paramètres (1)'!$A$1:$I$88,3,0)*0.475*44/12</f>
        <v>#REF!</v>
      </c>
      <c r="EW8" s="142" t="str">
        <f>EXP(-LN(2)/25)*EW7+(1-EXP(-LN(2)/25))/(LN(2)/25)*'Calculateur (1)'!ER8*'Calculateur (1)'!ET8*VLOOKUP('Données projet (1)'!$B$15,'Paramètres (1)'!$A$1:$I$88,3,0)*0.475*44/12</f>
        <v>#REF!</v>
      </c>
      <c r="EX8" s="142" t="str">
        <f>EXP(-LN(2)/2)*EX7+(1-EXP(-LN(2)/2))/(LN(2)/2)*ER8*EU8*VLOOKUP('Données projet (1)'!$B$15,'Paramètres (1)'!$A$1:$I$88,3,0)*0.475*44/12</f>
        <v>#REF!</v>
      </c>
      <c r="EY8" s="143" t="str">
        <f t="shared" si="75"/>
        <v>#REF!</v>
      </c>
      <c r="EZ8" s="139" t="str">
        <f t="shared" si="76"/>
        <v>#REF!</v>
      </c>
      <c r="FA8" s="131" t="str">
        <f t="shared" si="77"/>
        <v>#REF!</v>
      </c>
      <c r="FB8" s="131" t="str">
        <f t="shared" si="136"/>
        <v>#REF!</v>
      </c>
      <c r="FC8" s="131" t="str">
        <f t="shared" si="78"/>
        <v>#REF!</v>
      </c>
      <c r="FD8" s="131" t="str">
        <f t="array" ref="FD8">INDEX(FC:FC,MIN(IF(ISNUMBER(FC8:FC204),ROW(FC8:FC204),"")))</f>
        <v/>
      </c>
      <c r="FE8" s="131" t="str">
        <f t="shared" si="137"/>
        <v>#REF!</v>
      </c>
      <c r="FF8" s="138" t="str">
        <f>FE8*VLOOKUP('Données projet (1)'!$B$16,'Paramètres (1)'!$A$1:$I$88,3,0)*VLOOKUP('Données projet (1)'!$B$16,'Paramètres (1)'!$A$1:$I$88,5,0)</f>
        <v>#REF!</v>
      </c>
      <c r="FG8" s="130" t="str">
        <f t="shared" si="138"/>
        <v>#REF!</v>
      </c>
      <c r="FH8" s="141" t="str">
        <f t="shared" si="79"/>
        <v>#REF!</v>
      </c>
      <c r="FI8" s="133" t="str">
        <f t="shared" si="80"/>
        <v>#REF!</v>
      </c>
      <c r="FJ8" s="133" t="str">
        <f t="shared" si="81"/>
        <v>#REF!</v>
      </c>
      <c r="FK8" s="133" t="str">
        <f t="shared" si="139"/>
        <v>#REF!</v>
      </c>
      <c r="FL8" s="134" t="str">
        <f t="shared" si="82"/>
        <v>#REF!</v>
      </c>
      <c r="FM8" s="134" t="str">
        <f t="shared" si="83"/>
        <v>#REF!</v>
      </c>
      <c r="FN8" s="135" t="str">
        <f>IF(ISNA(VLOOKUP(A8,'Données projet (1)'!$A$217:$I$237,5,0)),0%,VLOOKUP(A8,'Données projet (1)'!$A$217:$I$237,5,0)*VLOOKUP('Données projet (1)'!$B$16,'Paramètres (1)'!$A$1:$I$88,7,0))</f>
        <v>#REF!</v>
      </c>
      <c r="FO8" s="135" t="str">
        <f>IF(ISNA(VLOOKUP(A8,'Données projet (1)'!$A$217:$I$237,6,0)),0%,VLOOKUP(A8,'Données projet (1)'!$A$217:$I$237,6,0)*VLOOKUP('Données projet (1)'!$B$16,'Paramètres (1)'!$A$1:$I$88,7,0))</f>
        <v>#REF!</v>
      </c>
      <c r="FP8" s="135" t="str">
        <f t="shared" si="84"/>
        <v>#REF!</v>
      </c>
      <c r="FQ8" s="142" t="str">
        <f>EXP(-LN(2)/35)*FQ7+(1-EXP(-LN(2)/35))/(LN(2)/35)*FM8*FN8*VLOOKUP('Données projet (1)'!$B$16,'Paramètres (1)'!$A$1:$I$88,3,0)*0.475*44/12</f>
        <v>#REF!</v>
      </c>
      <c r="FR8" s="142" t="str">
        <f>EXP(-LN(2)/25)*FR7+(1-EXP(-LN(2)/25))/(LN(2)/25)*'Calculateur (1)'!FM8*'Calculateur (1)'!FO8*VLOOKUP('Données projet (1)'!$B$16,'Paramètres (1)'!$A$1:$I$88,3,0)*0.475*44/12</f>
        <v>#REF!</v>
      </c>
      <c r="FS8" s="142" t="str">
        <f>EXP(-LN(2)/2)*FS7+(1-EXP(-LN(2)/2))/(LN(2)/2)*FM8*FP8*VLOOKUP('Données projet (1)'!$B$16,'Paramètres (1)'!$A$1:$I$88,3,0)*0.475*44/12</f>
        <v>#REF!</v>
      </c>
      <c r="FT8" s="143" t="str">
        <f t="shared" si="85"/>
        <v>#REF!</v>
      </c>
      <c r="FU8" s="139" t="str">
        <f t="shared" si="86"/>
        <v>#REF!</v>
      </c>
      <c r="FV8" s="131" t="str">
        <f t="shared" si="87"/>
        <v>#REF!</v>
      </c>
      <c r="FW8" s="131" t="str">
        <f t="shared" si="140"/>
        <v>#REF!</v>
      </c>
      <c r="FX8" s="131" t="str">
        <f t="shared" si="88"/>
        <v>#REF!</v>
      </c>
      <c r="FY8" s="131" t="str">
        <f t="array" ref="FY8">INDEX(FX:FX,MIN(IF(ISNUMBER(FX8:FX204),ROW(FX8:FX204),"")))</f>
        <v/>
      </c>
      <c r="FZ8" s="131" t="str">
        <f t="shared" si="141"/>
        <v>#REF!</v>
      </c>
      <c r="GA8" s="138" t="str">
        <f>FZ8*VLOOKUP('Données projet (1)'!$B$17,'Paramètres (1)'!$A$1:$I$88,3,0)*VLOOKUP('Données projet (1)'!$B$17,'Paramètres (1)'!$A$1:$I$88,5,0)</f>
        <v>#REF!</v>
      </c>
      <c r="GB8" s="130" t="str">
        <f t="shared" si="142"/>
        <v>#REF!</v>
      </c>
      <c r="GC8" s="141" t="str">
        <f t="shared" si="89"/>
        <v>#REF!</v>
      </c>
      <c r="GD8" s="133" t="str">
        <f t="shared" si="90"/>
        <v>#REF!</v>
      </c>
      <c r="GE8" s="133" t="str">
        <f t="shared" si="91"/>
        <v>#REF!</v>
      </c>
      <c r="GF8" s="133" t="str">
        <f t="shared" si="143"/>
        <v>#REF!</v>
      </c>
      <c r="GG8" s="134" t="str">
        <f t="shared" si="92"/>
        <v>#REF!</v>
      </c>
      <c r="GH8" s="134" t="str">
        <f t="shared" si="93"/>
        <v>#REF!</v>
      </c>
      <c r="GI8" s="135" t="str">
        <f>IF(ISNA(VLOOKUP(A8,'Données projet (1)'!$A$243:$I$263,5,0)),0%,VLOOKUP(A8,'Données projet (1)'!$A$243:$I$263,5,0)*VLOOKUP('Données projet (1)'!$B$17,'Paramètres (1)'!$A$1:$I$88,7,0))</f>
        <v>#REF!</v>
      </c>
      <c r="GJ8" s="135" t="str">
        <f>IF(ISNA(VLOOKUP(A8,'Données projet (1)'!$A$243:$I$263,6,0)),0%,VLOOKUP(A8,'Données projet (1)'!$A$243:$I$263,6,0)*VLOOKUP('Données projet (1)'!$B$17,'Paramètres (1)'!$A$1:$I$88,7,0))</f>
        <v>#REF!</v>
      </c>
      <c r="GK8" s="135" t="str">
        <f t="shared" si="94"/>
        <v>#REF!</v>
      </c>
      <c r="GL8" s="142" t="str">
        <f>EXP(-LN(2)/35)*GL7+(1-EXP(-LN(2)/35))/(LN(2)/35)*GH8*GI8*VLOOKUP('Données projet (1)'!$B$17,'Paramètres (1)'!$A$1:$I$88,3,0)*0.475*44/12</f>
        <v>#REF!</v>
      </c>
      <c r="GM8" s="142" t="str">
        <f>EXP(-LN(2)/25)*GM7+(1-EXP(-LN(2)/25))/(LN(2)/25)*'Calculateur (1)'!GH8*'Calculateur (1)'!GJ8*VLOOKUP('Données projet (1)'!$B$17,'Paramètres (1)'!$A$1:$I$88,3,0)*0.475*44/12</f>
        <v>#REF!</v>
      </c>
      <c r="GN8" s="142" t="str">
        <f>EXP(-LN(2)/2)*GN7+(1-EXP(-LN(2)/2))/(LN(2)/2)*GH8*GK8*VLOOKUP('Données projet (1)'!$B$17,'Paramètres (1)'!$A$1:$I$88,3,0)*0.475*44/12</f>
        <v>#REF!</v>
      </c>
      <c r="GO8" s="142" t="str">
        <f t="shared" si="95"/>
        <v>#REF!</v>
      </c>
      <c r="GP8" s="139" t="str">
        <f t="shared" si="96"/>
        <v>#REF!</v>
      </c>
      <c r="GQ8" s="131" t="str">
        <f t="shared" si="97"/>
        <v>#REF!</v>
      </c>
      <c r="GR8" s="131" t="str">
        <f t="shared" si="144"/>
        <v>#REF!</v>
      </c>
      <c r="GS8" s="131" t="str">
        <f t="shared" si="98"/>
        <v>#REF!</v>
      </c>
      <c r="GT8" s="131" t="str">
        <f t="array" ref="GT8">INDEX(GS:GS,MIN(IF(ISNUMBER(GS8:GS204),ROW(GS8:GS204),"")))</f>
        <v/>
      </c>
      <c r="GU8" s="131" t="str">
        <f t="shared" si="145"/>
        <v>#REF!</v>
      </c>
      <c r="GV8" s="138" t="str">
        <f>GU8*VLOOKUP('Données projet (1)'!$B$18,'Paramètres (1)'!$A$1:$I$88,3,0)*VLOOKUP('Données projet (1)'!$B$18,'Paramètres (1)'!$A$1:$I$88,5,0)</f>
        <v>#REF!</v>
      </c>
      <c r="GW8" s="130" t="str">
        <f t="shared" si="146"/>
        <v>#REF!</v>
      </c>
      <c r="GX8" s="141" t="str">
        <f t="shared" si="99"/>
        <v>#REF!</v>
      </c>
      <c r="GY8" s="133" t="str">
        <f t="shared" si="100"/>
        <v>#REF!</v>
      </c>
      <c r="GZ8" s="133" t="str">
        <f t="shared" si="101"/>
        <v>#REF!</v>
      </c>
      <c r="HA8" s="133" t="str">
        <f t="shared" si="147"/>
        <v>#REF!</v>
      </c>
      <c r="HB8" s="134" t="str">
        <f t="shared" si="102"/>
        <v>#REF!</v>
      </c>
      <c r="HC8" s="134" t="str">
        <f t="shared" si="103"/>
        <v>#REF!</v>
      </c>
      <c r="HD8" s="135" t="str">
        <f>IF(ISNA(VLOOKUP(A8,'Données projet (1)'!$A$269:$I$289,5,0)),0%,VLOOKUP(A8,'Données projet (1)'!$A$269:$I$289,5,0)*VLOOKUP('Données projet (1)'!$B$18,'Paramètres (1)'!$A$1:$I$88,7,0))</f>
        <v>#REF!</v>
      </c>
      <c r="HE8" s="135" t="str">
        <f>IF(ISNA(VLOOKUP(A8,'Données projet (1)'!$A$269:$I$289,6,0)),0%,VLOOKUP(A8,'Données projet (1)'!$A$269:$I$289,6,0)*VLOOKUP('Données projet (1)'!$B$18,'Paramètres (1)'!$A$1:$I$88,7,0))</f>
        <v>#REF!</v>
      </c>
      <c r="HF8" s="135" t="str">
        <f t="shared" si="104"/>
        <v>#REF!</v>
      </c>
      <c r="HG8" s="142" t="str">
        <f>EXP(-LN(2)/35)*HG7+(1-EXP(-LN(2)/35))/(LN(2)/35)*HC8*HD8*VLOOKUP('Données projet (1)'!$B$18,'Paramètres (1)'!$A$1:$I$88,3,0)*0.475*44/12</f>
        <v>#REF!</v>
      </c>
      <c r="HH8" s="142" t="str">
        <f>EXP(-LN(2)/25)*HH7+(1-EXP(-LN(2)/25))/(LN(2)/25)*'Calculateur (1)'!HC8*'Calculateur (1)'!HE8*VLOOKUP('Données projet (1)'!$B$18,'Paramètres (1)'!$A$1:$I$88,3,0)*0.475*44/12</f>
        <v>#REF!</v>
      </c>
      <c r="HI8" s="142" t="str">
        <f>EXP(-LN(2)/2)*HI7+(1-EXP(-LN(2)/2))/(LN(2)/2)*HC8*HF8*VLOOKUP('Données projet (1)'!$B$18,'Paramètres (1)'!$A$1:$I$88,3,0)*0.475*44/12</f>
        <v>#REF!</v>
      </c>
      <c r="HJ8" s="143" t="str">
        <f t="shared" si="105"/>
        <v>#REF!</v>
      </c>
    </row>
    <row r="9" ht="14.25" customHeight="1">
      <c r="A9" s="125">
        <f t="shared" si="106"/>
        <v>6</v>
      </c>
      <c r="B9" s="126" t="str">
        <f t="shared" si="1"/>
        <v>#REF!</v>
      </c>
      <c r="C9" s="140" t="str">
        <f>'Calculateur (1)'!C8+'Scénario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" s="127">
        <f t="shared" si="107"/>
        <v>0</v>
      </c>
      <c r="E9" s="127" t="str">
        <f t="shared" si="2"/>
        <v>#REF!</v>
      </c>
      <c r="F9" s="127" t="str">
        <f t="shared" si="3"/>
        <v>#REF!</v>
      </c>
      <c r="G9" s="127" t="str">
        <f t="shared" si="4"/>
        <v>#REF!</v>
      </c>
      <c r="H9" s="128" t="str">
        <f t="shared" si="5"/>
        <v>#REF!</v>
      </c>
      <c r="I9" s="129" t="str">
        <f t="shared" si="6"/>
        <v>#REF!</v>
      </c>
      <c r="J9" s="130" t="str">
        <f t="shared" si="7"/>
        <v>#REF!</v>
      </c>
      <c r="K9" s="131" t="str">
        <f t="shared" si="108"/>
        <v>#REF!</v>
      </c>
      <c r="L9" s="131" t="str">
        <f t="shared" si="8"/>
        <v>#REF!</v>
      </c>
      <c r="M9" s="131" t="str">
        <f t="array" ref="M9">INDEX(L:L,MIN(IF(ISNUMBER(L9:L205),ROW(L9:L205),"")))</f>
        <v/>
      </c>
      <c r="N9" s="130" t="str">
        <f t="shared" si="109"/>
        <v>#REF!</v>
      </c>
      <c r="O9" s="130" t="str">
        <f>N9*VLOOKUP('Données projet (1)'!$B$9,'Paramètres (1)'!$A$1:$I$88,3,0)*VLOOKUP('Données projet (1)'!$B$9,'Paramètres (1)'!$A$1:$I$88,5,0)</f>
        <v>#REF!</v>
      </c>
      <c r="P9" s="130" t="str">
        <f t="shared" si="110"/>
        <v>#REF!</v>
      </c>
      <c r="Q9" s="141" t="str">
        <f t="shared" si="9"/>
        <v>#REF!</v>
      </c>
      <c r="R9" s="133" t="str">
        <f t="shared" si="10"/>
        <v>#REF!</v>
      </c>
      <c r="S9" s="133" t="str">
        <f t="shared" si="11"/>
        <v>#REF!</v>
      </c>
      <c r="T9" s="133" t="str">
        <f t="shared" si="111"/>
        <v>#REF!</v>
      </c>
      <c r="U9" s="134" t="str">
        <f t="shared" si="12"/>
        <v>#REF!</v>
      </c>
      <c r="V9" s="134" t="str">
        <f t="shared" si="13"/>
        <v>#REF!</v>
      </c>
      <c r="W9" s="135" t="str">
        <f>IF(ISNA(VLOOKUP(A9,'Données projet (1)'!$A$35:$I$55,5,0)),0%,VLOOKUP(A9,'Données projet (1)'!$A$35:$I$55,5,0)*VLOOKUP('Données projet (1)'!$B$9,'Paramètres (1)'!$A$1:$I$88,7,0))</f>
        <v>#REF!</v>
      </c>
      <c r="X9" s="135" t="str">
        <f>IF(ISNA(VLOOKUP(A9,'Données projet (1)'!$A$35:$I$55,6,0)),0%,VLOOKUP(A9,'Données projet (1)'!$A$35:$I$55,6,0)*VLOOKUP('Données projet (1)'!$B$9,'Paramètres (1)'!$A$1:$I$88,7,0))</f>
        <v>#REF!</v>
      </c>
      <c r="Y9" s="135" t="str">
        <f t="shared" si="14"/>
        <v>#REF!</v>
      </c>
      <c r="Z9" s="142" t="str">
        <f>EXP(-LN(2)/35)*Z8+(1-EXP(-LN(2)/35))/(LN(2)/35)*V9*W9*VLOOKUP('Données projet (1)'!$B$9,'Paramètres (1)'!$A$1:$I$88,3,0)*0.475*44/12</f>
        <v>#REF!</v>
      </c>
      <c r="AA9" s="142" t="str">
        <f>EXP(-LN(2)/25)*AA8+(1-EXP(-LN(2)/25))/(LN(2)/25)*'Calculateur (1)'!V9*'Calculateur (1)'!X9*VLOOKUP('Données projet (1)'!$B$9,'Paramètres (1)'!$A$1:$I$88,3,0)*0.475*44/12</f>
        <v>#REF!</v>
      </c>
      <c r="AB9" s="142" t="str">
        <f>EXP(-LN(2)/2)*AB8+(1-EXP(-LN(2)/2))/(LN(2)/2)*V9*Y9*VLOOKUP('Données projet (1)'!$B$9,'Paramètres (1)'!$A$1:$I$88,3,0)*0.475*44/12</f>
        <v>#REF!</v>
      </c>
      <c r="AC9" s="143" t="str">
        <f t="shared" si="15"/>
        <v>#REF!</v>
      </c>
      <c r="AD9" s="130" t="str">
        <f t="shared" si="16"/>
        <v>#REF!</v>
      </c>
      <c r="AE9" s="130" t="str">
        <f t="shared" si="17"/>
        <v>#REF!</v>
      </c>
      <c r="AF9" s="131" t="str">
        <f t="shared" si="112"/>
        <v>#REF!</v>
      </c>
      <c r="AG9" s="131" t="str">
        <f t="shared" si="18"/>
        <v>#REF!</v>
      </c>
      <c r="AH9" s="131" t="str">
        <f t="array" ref="AH9">INDEX(AG:AG,MIN(IF(ISNUMBER(AG9:AG205),ROW(AG9:AG205),"")))</f>
        <v/>
      </c>
      <c r="AI9" s="130" t="str">
        <f t="shared" si="113"/>
        <v>#REF!</v>
      </c>
      <c r="AJ9" s="130" t="str">
        <f>AI9*VLOOKUP('Données projet (1)'!$B$10,'Paramètres (1)'!$A$1:$I$88,3,0)*VLOOKUP('Données projet (1)'!$B$10,'Paramètres (1)'!$A$1:$I$88,5,0)</f>
        <v>#REF!</v>
      </c>
      <c r="AK9" s="130" t="str">
        <f t="shared" si="114"/>
        <v>#REF!</v>
      </c>
      <c r="AL9" s="141" t="str">
        <f t="shared" si="19"/>
        <v>#REF!</v>
      </c>
      <c r="AM9" s="133" t="str">
        <f t="shared" si="20"/>
        <v>#REF!</v>
      </c>
      <c r="AN9" s="133" t="str">
        <f t="shared" si="21"/>
        <v>#REF!</v>
      </c>
      <c r="AO9" s="133" t="str">
        <f t="shared" si="115"/>
        <v>#REF!</v>
      </c>
      <c r="AP9" s="134" t="str">
        <f t="shared" si="22"/>
        <v>#REF!</v>
      </c>
      <c r="AQ9" s="134" t="str">
        <f t="shared" si="23"/>
        <v>#REF!</v>
      </c>
      <c r="AR9" s="135" t="str">
        <f>IF(ISNA(VLOOKUP(A9,'Données projet (1)'!$A$61:$I$81,5,0)),0%,VLOOKUP(A9,'Données projet (1)'!$A$61:$I$81,5,0)*VLOOKUP('Données projet (1)'!$B$10,'Paramètres (1)'!$A$1:$I$88,7,0))</f>
        <v>#REF!</v>
      </c>
      <c r="AS9" s="135" t="str">
        <f>IF(ISNA(VLOOKUP(A9,'Données projet (1)'!$A$61:$I$81,6,0)),0%,VLOOKUP(A9,'Données projet (1)'!$A$61:$I$81,6,0)*VLOOKUP('Données projet (1)'!$B$10,'Paramètres (1)'!$A$1:$I$88,7,0))</f>
        <v>#REF!</v>
      </c>
      <c r="AT9" s="135" t="str">
        <f t="shared" si="24"/>
        <v>#REF!</v>
      </c>
      <c r="AU9" s="142" t="str">
        <f>EXP(-LN(2)/35)*AU8+(1-EXP(-LN(2)/35))/(LN(2)/35)*AQ9*AR9*VLOOKUP('Données projet (1)'!$B$10,'Paramètres (1)'!$A$1:$I$88,3,0)*0.475*44/12</f>
        <v>#REF!</v>
      </c>
      <c r="AV9" s="142" t="str">
        <f>EXP(-LN(2)/25)*AV8+(1-EXP(-LN(2)/25))/(LN(2)/25)*'Calculateur (1)'!AQ9*'Calculateur (1)'!AS9*VLOOKUP('Données projet (1)'!$B$10,'Paramètres (1)'!$A$1:$I$88,3,0)*0.475*44/12</f>
        <v>#REF!</v>
      </c>
      <c r="AW9" s="142" t="str">
        <f>EXP(-LN(2)/2)*AW8+(1-EXP(-LN(2)/2))/(LN(2)/2)*AQ9*AT9*VLOOKUP('Données projet (1)'!$B$10,'Paramètres (1)'!$A$1:$I$88,3,0)*0.475*44/12</f>
        <v>#REF!</v>
      </c>
      <c r="AX9" s="142" t="str">
        <f t="shared" si="25"/>
        <v>#REF!</v>
      </c>
      <c r="AY9" s="137" t="str">
        <f t="shared" si="26"/>
        <v>#REF!</v>
      </c>
      <c r="AZ9" s="131" t="str">
        <f t="shared" si="27"/>
        <v>#REF!</v>
      </c>
      <c r="BA9" s="131" t="str">
        <f t="shared" si="116"/>
        <v>#REF!</v>
      </c>
      <c r="BB9" s="131" t="str">
        <f t="shared" si="28"/>
        <v>#REF!</v>
      </c>
      <c r="BC9" s="131" t="str">
        <f t="array" ref="BC9">INDEX(BB:BB,MIN(IF(ISNUMBER(BB9:BB205),ROW(BB9:BB205),"")))</f>
        <v/>
      </c>
      <c r="BD9" s="131" t="str">
        <f t="shared" si="117"/>
        <v>#REF!</v>
      </c>
      <c r="BE9" s="130" t="str">
        <f>BD9*VLOOKUP('Données projet (1)'!$B$11,'Paramètres (1)'!$A$1:$I$88,3,0)*VLOOKUP('Données projet (1)'!$B$11,'Paramètres (1)'!$A$1:$I$88,5,0)</f>
        <v>#REF!</v>
      </c>
      <c r="BF9" s="130" t="str">
        <f t="shared" si="118"/>
        <v>#REF!</v>
      </c>
      <c r="BG9" s="141" t="str">
        <f t="shared" si="29"/>
        <v>#REF!</v>
      </c>
      <c r="BH9" s="133" t="str">
        <f t="shared" si="30"/>
        <v>#REF!</v>
      </c>
      <c r="BI9" s="133" t="str">
        <f t="shared" si="31"/>
        <v>#REF!</v>
      </c>
      <c r="BJ9" s="133" t="str">
        <f t="shared" si="119"/>
        <v>#REF!</v>
      </c>
      <c r="BK9" s="134" t="str">
        <f t="shared" si="32"/>
        <v>#REF!</v>
      </c>
      <c r="BL9" s="134" t="str">
        <f t="shared" si="33"/>
        <v>#REF!</v>
      </c>
      <c r="BM9" s="135" t="str">
        <f>IF(ISNA(VLOOKUP(A9,'Données projet (1)'!$A$87:$I$107,5,0)),0%,VLOOKUP(A9,'Données projet (1)'!$A$87:$I$107,5,0)*VLOOKUP('Données projet (1)'!$B$11,'Paramètres (1)'!$A$1:$I$88,7,0))</f>
        <v>#REF!</v>
      </c>
      <c r="BN9" s="135" t="str">
        <f>IF(ISNA(VLOOKUP(A9,'Données projet (1)'!$A$87:$I$107,6,0)),0%,VLOOKUP(A9,'Données projet (1)'!$A$87:$I$107,6,0)*VLOOKUP('Données projet (1)'!$B$11,'Paramètres (1)'!$A$1:$I$88,7,0))</f>
        <v>#REF!</v>
      </c>
      <c r="BO9" s="135" t="str">
        <f t="shared" si="34"/>
        <v>#REF!</v>
      </c>
      <c r="BP9" s="142" t="str">
        <f>EXP(-LN(2)/35)*BP8+(1-EXP(-LN(2)/35))/(LN(2)/35)*BL9*BM9*VLOOKUP('Données projet (1)'!$B$11,'Paramètres (1)'!$A$1:$I$88,3,0)*0.475*44/12</f>
        <v>#REF!</v>
      </c>
      <c r="BQ9" s="142" t="str">
        <f>EXP(-LN(2)/25)*BQ8+(1-EXP(-LN(2)/25))/(LN(2)/25)*'Calculateur (1)'!BL9*'Calculateur (1)'!BN9*VLOOKUP('Données projet (1)'!$B$11,'Paramètres (1)'!$A$1:$I$88,3,0)*0.475*44/12</f>
        <v>#REF!</v>
      </c>
      <c r="BR9" s="142" t="str">
        <f>EXP(-LN(2)/2)*BR8+(1-EXP(-LN(2)/2))/(LN(2)/2)*BL9*BO9*VLOOKUP('Données projet (1)'!$B$11,'Paramètres (1)'!$A$1:$I$88,3,0)*0.475*44/12</f>
        <v>#REF!</v>
      </c>
      <c r="BS9" s="143" t="str">
        <f t="shared" si="35"/>
        <v>#REF!</v>
      </c>
      <c r="BT9" s="139" t="str">
        <f t="shared" si="36"/>
        <v>#REF!</v>
      </c>
      <c r="BU9" s="131" t="str">
        <f t="shared" si="37"/>
        <v>#REF!</v>
      </c>
      <c r="BV9" s="131" t="str">
        <f t="shared" si="120"/>
        <v>#REF!</v>
      </c>
      <c r="BW9" s="131" t="str">
        <f t="shared" si="38"/>
        <v>#REF!</v>
      </c>
      <c r="BX9" s="131" t="str">
        <f t="array" ref="BX9">INDEX(BW:BW,MIN(IF(ISNUMBER(BW9:BW205),ROW(BW9:BW205),"")))</f>
        <v/>
      </c>
      <c r="BY9" s="131" t="str">
        <f t="shared" si="121"/>
        <v>#REF!</v>
      </c>
      <c r="BZ9" s="130" t="str">
        <f>BY9*VLOOKUP('Données projet (1)'!$B$12,'Paramètres (1)'!$A$1:$I$88,3,0)*VLOOKUP('Données projet (1)'!$B$12,'Paramètres (1)'!$A$1:$I$88,5,0)</f>
        <v>#REF!</v>
      </c>
      <c r="CA9" s="130" t="str">
        <f t="shared" si="122"/>
        <v>#REF!</v>
      </c>
      <c r="CB9" s="141" t="str">
        <f t="shared" si="39"/>
        <v>#REF!</v>
      </c>
      <c r="CC9" s="133" t="str">
        <f t="shared" si="40"/>
        <v>#REF!</v>
      </c>
      <c r="CD9" s="133" t="str">
        <f t="shared" si="41"/>
        <v>#REF!</v>
      </c>
      <c r="CE9" s="133" t="str">
        <f t="shared" si="123"/>
        <v>#REF!</v>
      </c>
      <c r="CF9" s="134" t="str">
        <f t="shared" si="42"/>
        <v>#REF!</v>
      </c>
      <c r="CG9" s="134" t="str">
        <f t="shared" si="43"/>
        <v>#REF!</v>
      </c>
      <c r="CH9" s="135" t="str">
        <f>IF(ISNA(VLOOKUP(A9,'Données projet (1)'!$A$113:$I$133,5,0)),0%,VLOOKUP(A9,'Données projet (1)'!$A$113:$I$133,5,0)*VLOOKUP('Données projet (1)'!$B$12,'Paramètres (1)'!$A$1:$I$88,7,0))</f>
        <v>#REF!</v>
      </c>
      <c r="CI9" s="135" t="str">
        <f>IF(ISNA(VLOOKUP(A9,'Données projet (1)'!$A$113:$I$133,6,0)),0%,VLOOKUP(A9,'Données projet (1)'!$A$113:$I$133,6,0)*VLOOKUP('Données projet (1)'!$B$12,'Paramètres (1)'!$A$1:$I$88,7,0))</f>
        <v>#REF!</v>
      </c>
      <c r="CJ9" s="135" t="str">
        <f t="shared" si="44"/>
        <v>#REF!</v>
      </c>
      <c r="CK9" s="142" t="str">
        <f>EXP(-LN(2)/35)*CK8+(1-EXP(-LN(2)/35))/(LN(2)/35)*CG9*CH9*VLOOKUP('Données projet (1)'!$B$12,'Paramètres (1)'!$A$1:$I$88,3,0)*0.475*44/12</f>
        <v>#REF!</v>
      </c>
      <c r="CL9" s="142" t="str">
        <f>EXP(-LN(2)/25)*CL8+(1-EXP(-LN(2)/25))/(LN(2)/25)*'Calculateur (1)'!CG9*'Calculateur (1)'!CI9*VLOOKUP('Données projet (1)'!$B$12,'Paramètres (1)'!$A$1:$I$88,3,0)*0.475*44/12</f>
        <v>#REF!</v>
      </c>
      <c r="CM9" s="142" t="str">
        <f>EXP(-LN(2)/2)*CM8+(1-EXP(-LN(2)/2))/(LN(2)/2)*CG9*CJ9*VLOOKUP('Données projet (1)'!$B$12,'Paramètres (1)'!$A$1:$I$88,3,0)*0.475*44/12</f>
        <v>#REF!</v>
      </c>
      <c r="CN9" s="143" t="str">
        <f t="shared" si="45"/>
        <v>#REF!</v>
      </c>
      <c r="CO9" s="139" t="str">
        <f t="shared" si="46"/>
        <v>#REF!</v>
      </c>
      <c r="CP9" s="131" t="str">
        <f t="shared" si="47"/>
        <v>#REF!</v>
      </c>
      <c r="CQ9" s="131" t="str">
        <f t="shared" si="124"/>
        <v>#REF!</v>
      </c>
      <c r="CR9" s="131" t="str">
        <f t="shared" si="48"/>
        <v>#REF!</v>
      </c>
      <c r="CS9" s="131" t="str">
        <f t="array" ref="CS9">INDEX(CR:CR,MIN(IF(ISNUMBER(CR9:CR205),ROW(CR9:CR205),"")))</f>
        <v/>
      </c>
      <c r="CT9" s="131" t="str">
        <f t="shared" si="125"/>
        <v>#REF!</v>
      </c>
      <c r="CU9" s="138" t="str">
        <f>CT9*VLOOKUP('Données projet (1)'!$B$13,'Paramètres (1)'!$A$1:$I$88,3,0)*VLOOKUP('Données projet (1)'!$B$13,'Paramètres (1)'!$A$1:$I$88,5,0)</f>
        <v>#REF!</v>
      </c>
      <c r="CV9" s="130" t="str">
        <f t="shared" si="126"/>
        <v>#REF!</v>
      </c>
      <c r="CW9" s="141" t="str">
        <f t="shared" si="49"/>
        <v>#REF!</v>
      </c>
      <c r="CX9" s="133" t="str">
        <f t="shared" si="50"/>
        <v>#REF!</v>
      </c>
      <c r="CY9" s="133" t="str">
        <f t="shared" si="51"/>
        <v>#REF!</v>
      </c>
      <c r="CZ9" s="133" t="str">
        <f t="shared" si="127"/>
        <v>#REF!</v>
      </c>
      <c r="DA9" s="134" t="str">
        <f t="shared" si="52"/>
        <v>#REF!</v>
      </c>
      <c r="DB9" s="134" t="str">
        <f t="shared" si="53"/>
        <v>#REF!</v>
      </c>
      <c r="DC9" s="135" t="str">
        <f>IF(ISNA(VLOOKUP(A9,'Données projet (1)'!$A$139:$I$159,5,0)),0%,VLOOKUP(A9,'Données projet (1)'!$A$139:$I$159,5,0)*VLOOKUP('Données projet (1)'!$B$13,'Paramètres (1)'!$A$1:$I$88,7,0))</f>
        <v>#REF!</v>
      </c>
      <c r="DD9" s="135" t="str">
        <f>IF(ISNA(VLOOKUP(A9,'Données projet (1)'!$A$139:$I$159,6,0)),0%,VLOOKUP(A9,'Données projet (1)'!$A$139:$I$159,6,0)*VLOOKUP('Données projet (1)'!$B$13,'Paramètres (1)'!$A$1:$I$88,7,0))</f>
        <v>#REF!</v>
      </c>
      <c r="DE9" s="135" t="str">
        <f t="shared" si="54"/>
        <v>#REF!</v>
      </c>
      <c r="DF9" s="142" t="str">
        <f>EXP(-LN(2)/35)*DF8+(1-EXP(-LN(2)/35))/(LN(2)/35)*DB9*DC9*VLOOKUP('Données projet (1)'!$B$13,'Paramètres (1)'!$A$1:$I$88,3,0)*0.475*44/12</f>
        <v>#REF!</v>
      </c>
      <c r="DG9" s="142" t="str">
        <f>EXP(-LN(2)/25)*DG8+(1-EXP(-LN(2)/25))/(LN(2)/25)*'Calculateur (1)'!DB9*'Calculateur (1)'!DD9*VLOOKUP('Données projet (1)'!$B$13,'Paramètres (1)'!$A$1:$I$88,3,0)*0.475*44/12</f>
        <v>#REF!</v>
      </c>
      <c r="DH9" s="142" t="str">
        <f>EXP(-LN(2)/2)*DH8+(1-EXP(-LN(2)/2))/(LN(2)/2)*DB9*DE9*VLOOKUP('Données projet (1)'!$B$13,'Paramètres (1)'!$A$1:$I$88,3,0)*0.475*44/12</f>
        <v>#REF!</v>
      </c>
      <c r="DI9" s="143" t="str">
        <f t="shared" si="55"/>
        <v>#REF!</v>
      </c>
      <c r="DJ9" s="139" t="str">
        <f t="shared" si="56"/>
        <v>#REF!</v>
      </c>
      <c r="DK9" s="131" t="str">
        <f t="shared" si="57"/>
        <v>#REF!</v>
      </c>
      <c r="DL9" s="131" t="str">
        <f t="shared" si="128"/>
        <v>#REF!</v>
      </c>
      <c r="DM9" s="131" t="str">
        <f t="shared" si="58"/>
        <v>#REF!</v>
      </c>
      <c r="DN9" s="131" t="str">
        <f t="array" ref="DN9">INDEX(DM:DM,MIN(IF(ISNUMBER(DM9:DM205),ROW(DM9:DM205),"")))</f>
        <v/>
      </c>
      <c r="DO9" s="131" t="str">
        <f t="shared" si="129"/>
        <v>#REF!</v>
      </c>
      <c r="DP9" s="138" t="str">
        <f>DO9*VLOOKUP('Données projet (1)'!$B$14,'Paramètres (1)'!$A$1:$I$88,3,0)*VLOOKUP('Données projet (1)'!$B$14,'Paramètres (1)'!$A$1:$I$88,5,0)</f>
        <v>#REF!</v>
      </c>
      <c r="DQ9" s="130" t="str">
        <f t="shared" si="130"/>
        <v>#REF!</v>
      </c>
      <c r="DR9" s="141" t="str">
        <f t="shared" si="59"/>
        <v>#REF!</v>
      </c>
      <c r="DS9" s="133" t="str">
        <f t="shared" si="60"/>
        <v>#REF!</v>
      </c>
      <c r="DT9" s="133" t="str">
        <f t="shared" si="61"/>
        <v>#REF!</v>
      </c>
      <c r="DU9" s="133" t="str">
        <f t="shared" si="131"/>
        <v>#REF!</v>
      </c>
      <c r="DV9" s="134" t="str">
        <f t="shared" si="62"/>
        <v>#REF!</v>
      </c>
      <c r="DW9" s="134" t="str">
        <f t="shared" si="63"/>
        <v>#REF!</v>
      </c>
      <c r="DX9" s="135" t="str">
        <f>IF(ISNA(VLOOKUP(A9,'Données projet (1)'!$A$165:$I$185,5,0)),0%,VLOOKUP(A9,'Données projet (1)'!$A$165:$I$185,5,0)*VLOOKUP('Données projet (1)'!$B$14,'Paramètres (1)'!$A$1:$I$88,7,0))</f>
        <v>#REF!</v>
      </c>
      <c r="DY9" s="135" t="str">
        <f>IF(ISNA(VLOOKUP(A9,'Données projet (1)'!$A$165:$I$185,6,0)),0%,VLOOKUP(A9,'Données projet (1)'!$A$165:$I$185,6,0)*VLOOKUP('Données projet (1)'!$B$14,'Paramètres (1)'!$A$1:$I$88,7,0))</f>
        <v>#REF!</v>
      </c>
      <c r="DZ9" s="135" t="str">
        <f t="shared" si="64"/>
        <v>#REF!</v>
      </c>
      <c r="EA9" s="142" t="str">
        <f>EXP(-LN(2)/35)*EA8+(1-EXP(-LN(2)/35))/(LN(2)/35)*DW9*DX9*VLOOKUP('Données projet (1)'!$B$14,'Paramètres (1)'!$A$1:$I$88,3,0)*0.475*44/12</f>
        <v>#REF!</v>
      </c>
      <c r="EB9" s="142" t="str">
        <f>EXP(-LN(2)/25)*EB8+(1-EXP(-LN(2)/25))/(LN(2)/25)*'Calculateur (1)'!DW9*'Calculateur (1)'!DY9*VLOOKUP('Données projet (1)'!$B$14,'Paramètres (1)'!$A$1:$I$88,3,0)*0.475*44/12</f>
        <v>#REF!</v>
      </c>
      <c r="EC9" s="142" t="str">
        <f>EXP(-LN(2)/2)*EC8+(1-EXP(-LN(2)/2))/(LN(2)/2)*DW9*DZ9*VLOOKUP('Données projet (1)'!$B$14,'Paramètres (1)'!$A$1:$I$88,3,0)*0.475*44/12</f>
        <v>#REF!</v>
      </c>
      <c r="ED9" s="143" t="str">
        <f t="shared" si="65"/>
        <v>#REF!</v>
      </c>
      <c r="EE9" s="139" t="str">
        <f t="shared" si="66"/>
        <v>#REF!</v>
      </c>
      <c r="EF9" s="131" t="str">
        <f t="shared" si="67"/>
        <v>#REF!</v>
      </c>
      <c r="EG9" s="131" t="str">
        <f t="shared" si="132"/>
        <v>#REF!</v>
      </c>
      <c r="EH9" s="131" t="str">
        <f t="shared" si="68"/>
        <v>#REF!</v>
      </c>
      <c r="EI9" s="131" t="str">
        <f t="array" ref="EI9">INDEX(EH:EH,MIN(IF(ISNUMBER(EH9:EH205),ROW(EH9:EH205),"")))</f>
        <v/>
      </c>
      <c r="EJ9" s="131" t="str">
        <f t="shared" si="133"/>
        <v>#REF!</v>
      </c>
      <c r="EK9" s="138" t="str">
        <f>EJ9*VLOOKUP('Données projet (1)'!$B$15,'Paramètres (1)'!$A$1:$I$88,3,0)*VLOOKUP('Données projet (1)'!$B$15,'Paramètres (1)'!$A$1:$I$88,5,0)</f>
        <v>#REF!</v>
      </c>
      <c r="EL9" s="130" t="str">
        <f t="shared" si="134"/>
        <v>#REF!</v>
      </c>
      <c r="EM9" s="141" t="str">
        <f t="shared" si="69"/>
        <v>#REF!</v>
      </c>
      <c r="EN9" s="133" t="str">
        <f t="shared" si="70"/>
        <v>#REF!</v>
      </c>
      <c r="EO9" s="133" t="str">
        <f t="shared" si="71"/>
        <v>#REF!</v>
      </c>
      <c r="EP9" s="133" t="str">
        <f t="shared" si="135"/>
        <v>#REF!</v>
      </c>
      <c r="EQ9" s="134" t="str">
        <f t="shared" si="72"/>
        <v>#REF!</v>
      </c>
      <c r="ER9" s="134" t="str">
        <f t="shared" si="73"/>
        <v>#REF!</v>
      </c>
      <c r="ES9" s="135" t="str">
        <f>IF(ISNA(VLOOKUP(A9,'Données projet (1)'!$A$191:$I$211,5,0)),0%,VLOOKUP(A9,'Données projet (1)'!$A$191:$I$211,5,0)*VLOOKUP('Données projet (1)'!$B$15,'Paramètres (1)'!$A$1:$I$88,7,0))</f>
        <v>#REF!</v>
      </c>
      <c r="ET9" s="135" t="str">
        <f>IF(ISNA(VLOOKUP(A9,'Données projet (1)'!$A$191:$I$211,6,0)),0%,VLOOKUP(A9,'Données projet (1)'!$A$191:$I$211,6,0)*VLOOKUP('Données projet (1)'!$B$15,'Paramètres (1)'!$A$1:$I$88,7,0))</f>
        <v>#REF!</v>
      </c>
      <c r="EU9" s="135" t="str">
        <f t="shared" si="74"/>
        <v>#REF!</v>
      </c>
      <c r="EV9" s="142" t="str">
        <f>EXP(-LN(2)/35)*EV8+(1-EXP(-LN(2)/35))/(LN(2)/35)*ER9*ES9*VLOOKUP('Données projet (1)'!$B$15,'Paramètres (1)'!$A$1:$I$88,3,0)*0.475*44/12</f>
        <v>#REF!</v>
      </c>
      <c r="EW9" s="142" t="str">
        <f>EXP(-LN(2)/25)*EW8+(1-EXP(-LN(2)/25))/(LN(2)/25)*'Calculateur (1)'!ER9*'Calculateur (1)'!ET9*VLOOKUP('Données projet (1)'!$B$15,'Paramètres (1)'!$A$1:$I$88,3,0)*0.475*44/12</f>
        <v>#REF!</v>
      </c>
      <c r="EX9" s="142" t="str">
        <f>EXP(-LN(2)/2)*EX8+(1-EXP(-LN(2)/2))/(LN(2)/2)*ER9*EU9*VLOOKUP('Données projet (1)'!$B$15,'Paramètres (1)'!$A$1:$I$88,3,0)*0.475*44/12</f>
        <v>#REF!</v>
      </c>
      <c r="EY9" s="143" t="str">
        <f t="shared" si="75"/>
        <v>#REF!</v>
      </c>
      <c r="EZ9" s="139" t="str">
        <f t="shared" si="76"/>
        <v>#REF!</v>
      </c>
      <c r="FA9" s="131" t="str">
        <f t="shared" si="77"/>
        <v>#REF!</v>
      </c>
      <c r="FB9" s="131" t="str">
        <f t="shared" si="136"/>
        <v>#REF!</v>
      </c>
      <c r="FC9" s="131" t="str">
        <f t="shared" si="78"/>
        <v>#REF!</v>
      </c>
      <c r="FD9" s="131" t="str">
        <f t="array" ref="FD9">INDEX(FC:FC,MIN(IF(ISNUMBER(FC9:FC205),ROW(FC9:FC205),"")))</f>
        <v/>
      </c>
      <c r="FE9" s="131" t="str">
        <f t="shared" si="137"/>
        <v>#REF!</v>
      </c>
      <c r="FF9" s="138" t="str">
        <f>FE9*VLOOKUP('Données projet (1)'!$B$16,'Paramètres (1)'!$A$1:$I$88,3,0)*VLOOKUP('Données projet (1)'!$B$16,'Paramètres (1)'!$A$1:$I$88,5,0)</f>
        <v>#REF!</v>
      </c>
      <c r="FG9" s="130" t="str">
        <f t="shared" si="138"/>
        <v>#REF!</v>
      </c>
      <c r="FH9" s="141" t="str">
        <f t="shared" si="79"/>
        <v>#REF!</v>
      </c>
      <c r="FI9" s="133" t="str">
        <f t="shared" si="80"/>
        <v>#REF!</v>
      </c>
      <c r="FJ9" s="133" t="str">
        <f t="shared" si="81"/>
        <v>#REF!</v>
      </c>
      <c r="FK9" s="133" t="str">
        <f t="shared" si="139"/>
        <v>#REF!</v>
      </c>
      <c r="FL9" s="134" t="str">
        <f t="shared" si="82"/>
        <v>#REF!</v>
      </c>
      <c r="FM9" s="134" t="str">
        <f t="shared" si="83"/>
        <v>#REF!</v>
      </c>
      <c r="FN9" s="135" t="str">
        <f>IF(ISNA(VLOOKUP(A9,'Données projet (1)'!$A$217:$I$237,5,0)),0%,VLOOKUP(A9,'Données projet (1)'!$A$217:$I$237,5,0)*VLOOKUP('Données projet (1)'!$B$16,'Paramètres (1)'!$A$1:$I$88,7,0))</f>
        <v>#REF!</v>
      </c>
      <c r="FO9" s="135" t="str">
        <f>IF(ISNA(VLOOKUP(A9,'Données projet (1)'!$A$217:$I$237,6,0)),0%,VLOOKUP(A9,'Données projet (1)'!$A$217:$I$237,6,0)*VLOOKUP('Données projet (1)'!$B$16,'Paramètres (1)'!$A$1:$I$88,7,0))</f>
        <v>#REF!</v>
      </c>
      <c r="FP9" s="135" t="str">
        <f t="shared" si="84"/>
        <v>#REF!</v>
      </c>
      <c r="FQ9" s="142" t="str">
        <f>EXP(-LN(2)/35)*FQ8+(1-EXP(-LN(2)/35))/(LN(2)/35)*FM9*FN9*VLOOKUP('Données projet (1)'!$B$16,'Paramètres (1)'!$A$1:$I$88,3,0)*0.475*44/12</f>
        <v>#REF!</v>
      </c>
      <c r="FR9" s="142" t="str">
        <f>EXP(-LN(2)/25)*FR8+(1-EXP(-LN(2)/25))/(LN(2)/25)*'Calculateur (1)'!FM9*'Calculateur (1)'!FO9*VLOOKUP('Données projet (1)'!$B$16,'Paramètres (1)'!$A$1:$I$88,3,0)*0.475*44/12</f>
        <v>#REF!</v>
      </c>
      <c r="FS9" s="142" t="str">
        <f>EXP(-LN(2)/2)*FS8+(1-EXP(-LN(2)/2))/(LN(2)/2)*FM9*FP9*VLOOKUP('Données projet (1)'!$B$16,'Paramètres (1)'!$A$1:$I$88,3,0)*0.475*44/12</f>
        <v>#REF!</v>
      </c>
      <c r="FT9" s="143" t="str">
        <f t="shared" si="85"/>
        <v>#REF!</v>
      </c>
      <c r="FU9" s="139" t="str">
        <f t="shared" si="86"/>
        <v>#REF!</v>
      </c>
      <c r="FV9" s="131" t="str">
        <f t="shared" si="87"/>
        <v>#REF!</v>
      </c>
      <c r="FW9" s="131" t="str">
        <f t="shared" si="140"/>
        <v>#REF!</v>
      </c>
      <c r="FX9" s="131" t="str">
        <f t="shared" si="88"/>
        <v>#REF!</v>
      </c>
      <c r="FY9" s="131" t="str">
        <f t="array" ref="FY9">INDEX(FX:FX,MIN(IF(ISNUMBER(FX9:FX205),ROW(FX9:FX205),"")))</f>
        <v/>
      </c>
      <c r="FZ9" s="131" t="str">
        <f t="shared" si="141"/>
        <v>#REF!</v>
      </c>
      <c r="GA9" s="138" t="str">
        <f>FZ9*VLOOKUP('Données projet (1)'!$B$17,'Paramètres (1)'!$A$1:$I$88,3,0)*VLOOKUP('Données projet (1)'!$B$17,'Paramètres (1)'!$A$1:$I$88,5,0)</f>
        <v>#REF!</v>
      </c>
      <c r="GB9" s="130" t="str">
        <f t="shared" si="142"/>
        <v>#REF!</v>
      </c>
      <c r="GC9" s="141" t="str">
        <f t="shared" si="89"/>
        <v>#REF!</v>
      </c>
      <c r="GD9" s="133" t="str">
        <f t="shared" si="90"/>
        <v>#REF!</v>
      </c>
      <c r="GE9" s="133" t="str">
        <f t="shared" si="91"/>
        <v>#REF!</v>
      </c>
      <c r="GF9" s="133" t="str">
        <f t="shared" si="143"/>
        <v>#REF!</v>
      </c>
      <c r="GG9" s="134" t="str">
        <f t="shared" si="92"/>
        <v>#REF!</v>
      </c>
      <c r="GH9" s="134" t="str">
        <f t="shared" si="93"/>
        <v>#REF!</v>
      </c>
      <c r="GI9" s="135" t="str">
        <f>IF(ISNA(VLOOKUP(A9,'Données projet (1)'!$A$243:$I$263,5,0)),0%,VLOOKUP(A9,'Données projet (1)'!$A$243:$I$263,5,0)*VLOOKUP('Données projet (1)'!$B$17,'Paramètres (1)'!$A$1:$I$88,7,0))</f>
        <v>#REF!</v>
      </c>
      <c r="GJ9" s="135" t="str">
        <f>IF(ISNA(VLOOKUP(A9,'Données projet (1)'!$A$243:$I$263,6,0)),0%,VLOOKUP(A9,'Données projet (1)'!$A$243:$I$263,6,0)*VLOOKUP('Données projet (1)'!$B$17,'Paramètres (1)'!$A$1:$I$88,7,0))</f>
        <v>#REF!</v>
      </c>
      <c r="GK9" s="135" t="str">
        <f t="shared" si="94"/>
        <v>#REF!</v>
      </c>
      <c r="GL9" s="142" t="str">
        <f>EXP(-LN(2)/35)*GL8+(1-EXP(-LN(2)/35))/(LN(2)/35)*GH9*GI9*VLOOKUP('Données projet (1)'!$B$17,'Paramètres (1)'!$A$1:$I$88,3,0)*0.475*44/12</f>
        <v>#REF!</v>
      </c>
      <c r="GM9" s="142" t="str">
        <f>EXP(-LN(2)/25)*GM8+(1-EXP(-LN(2)/25))/(LN(2)/25)*'Calculateur (1)'!GH9*'Calculateur (1)'!GJ9*VLOOKUP('Données projet (1)'!$B$17,'Paramètres (1)'!$A$1:$I$88,3,0)*0.475*44/12</f>
        <v>#REF!</v>
      </c>
      <c r="GN9" s="142" t="str">
        <f>EXP(-LN(2)/2)*GN8+(1-EXP(-LN(2)/2))/(LN(2)/2)*GH9*GK9*VLOOKUP('Données projet (1)'!$B$17,'Paramètres (1)'!$A$1:$I$88,3,0)*0.475*44/12</f>
        <v>#REF!</v>
      </c>
      <c r="GO9" s="142" t="str">
        <f t="shared" si="95"/>
        <v>#REF!</v>
      </c>
      <c r="GP9" s="139" t="str">
        <f t="shared" si="96"/>
        <v>#REF!</v>
      </c>
      <c r="GQ9" s="131" t="str">
        <f t="shared" si="97"/>
        <v>#REF!</v>
      </c>
      <c r="GR9" s="131" t="str">
        <f t="shared" si="144"/>
        <v>#REF!</v>
      </c>
      <c r="GS9" s="131" t="str">
        <f t="shared" si="98"/>
        <v>#REF!</v>
      </c>
      <c r="GT9" s="131" t="str">
        <f t="array" ref="GT9">INDEX(GS:GS,MIN(IF(ISNUMBER(GS9:GS205),ROW(GS9:GS205),"")))</f>
        <v/>
      </c>
      <c r="GU9" s="131" t="str">
        <f t="shared" si="145"/>
        <v>#REF!</v>
      </c>
      <c r="GV9" s="138" t="str">
        <f>GU9*VLOOKUP('Données projet (1)'!$B$18,'Paramètres (1)'!$A$1:$I$88,3,0)*VLOOKUP('Données projet (1)'!$B$18,'Paramètres (1)'!$A$1:$I$88,5,0)</f>
        <v>#REF!</v>
      </c>
      <c r="GW9" s="130" t="str">
        <f t="shared" si="146"/>
        <v>#REF!</v>
      </c>
      <c r="GX9" s="141" t="str">
        <f t="shared" si="99"/>
        <v>#REF!</v>
      </c>
      <c r="GY9" s="133" t="str">
        <f t="shared" si="100"/>
        <v>#REF!</v>
      </c>
      <c r="GZ9" s="133" t="str">
        <f t="shared" si="101"/>
        <v>#REF!</v>
      </c>
      <c r="HA9" s="133" t="str">
        <f t="shared" si="147"/>
        <v>#REF!</v>
      </c>
      <c r="HB9" s="134" t="str">
        <f t="shared" si="102"/>
        <v>#REF!</v>
      </c>
      <c r="HC9" s="134" t="str">
        <f t="shared" si="103"/>
        <v>#REF!</v>
      </c>
      <c r="HD9" s="135" t="str">
        <f>IF(ISNA(VLOOKUP(A9,'Données projet (1)'!$A$269:$I$289,5,0)),0%,VLOOKUP(A9,'Données projet (1)'!$A$269:$I$289,5,0)*VLOOKUP('Données projet (1)'!$B$18,'Paramètres (1)'!$A$1:$I$88,7,0))</f>
        <v>#REF!</v>
      </c>
      <c r="HE9" s="135" t="str">
        <f>IF(ISNA(VLOOKUP(A9,'Données projet (1)'!$A$269:$I$289,6,0)),0%,VLOOKUP(A9,'Données projet (1)'!$A$269:$I$289,6,0)*VLOOKUP('Données projet (1)'!$B$18,'Paramètres (1)'!$A$1:$I$88,7,0))</f>
        <v>#REF!</v>
      </c>
      <c r="HF9" s="135" t="str">
        <f t="shared" si="104"/>
        <v>#REF!</v>
      </c>
      <c r="HG9" s="142" t="str">
        <f>EXP(-LN(2)/35)*HG8+(1-EXP(-LN(2)/35))/(LN(2)/35)*HC9*HD9*VLOOKUP('Données projet (1)'!$B$18,'Paramètres (1)'!$A$1:$I$88,3,0)*0.475*44/12</f>
        <v>#REF!</v>
      </c>
      <c r="HH9" s="142" t="str">
        <f>EXP(-LN(2)/25)*HH8+(1-EXP(-LN(2)/25))/(LN(2)/25)*'Calculateur (1)'!HC9*'Calculateur (1)'!HE9*VLOOKUP('Données projet (1)'!$B$18,'Paramètres (1)'!$A$1:$I$88,3,0)*0.475*44/12</f>
        <v>#REF!</v>
      </c>
      <c r="HI9" s="142" t="str">
        <f>EXP(-LN(2)/2)*HI8+(1-EXP(-LN(2)/2))/(LN(2)/2)*HC9*HF9*VLOOKUP('Données projet (1)'!$B$18,'Paramètres (1)'!$A$1:$I$88,3,0)*0.475*44/12</f>
        <v>#REF!</v>
      </c>
      <c r="HJ9" s="143" t="str">
        <f t="shared" si="105"/>
        <v>#REF!</v>
      </c>
    </row>
    <row r="10" ht="14.25" customHeight="1">
      <c r="A10" s="125">
        <f t="shared" si="106"/>
        <v>7</v>
      </c>
      <c r="B10" s="126" t="str">
        <f t="shared" si="1"/>
        <v>#REF!</v>
      </c>
      <c r="C10" s="140" t="str">
        <f>'Calculateur (1)'!C9+'Scénario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" s="127">
        <f t="shared" si="107"/>
        <v>0</v>
      </c>
      <c r="E10" s="127" t="str">
        <f t="shared" si="2"/>
        <v>#REF!</v>
      </c>
      <c r="F10" s="127" t="str">
        <f t="shared" si="3"/>
        <v>#REF!</v>
      </c>
      <c r="G10" s="127" t="str">
        <f t="shared" si="4"/>
        <v>#REF!</v>
      </c>
      <c r="H10" s="128" t="str">
        <f t="shared" si="5"/>
        <v>#REF!</v>
      </c>
      <c r="I10" s="129" t="str">
        <f t="shared" si="6"/>
        <v>#REF!</v>
      </c>
      <c r="J10" s="130" t="str">
        <f t="shared" si="7"/>
        <v>#REF!</v>
      </c>
      <c r="K10" s="131" t="str">
        <f t="shared" si="108"/>
        <v>#REF!</v>
      </c>
      <c r="L10" s="131" t="str">
        <f t="shared" si="8"/>
        <v>#REF!</v>
      </c>
      <c r="M10" s="131" t="str">
        <f t="array" ref="M10">INDEX(L:L,MIN(IF(ISNUMBER(L10:L206),ROW(L10:L206),"")))</f>
        <v/>
      </c>
      <c r="N10" s="130" t="str">
        <f t="shared" si="109"/>
        <v>#REF!</v>
      </c>
      <c r="O10" s="130" t="str">
        <f>N10*VLOOKUP('Données projet (1)'!$B$9,'Paramètres (1)'!$A$1:$I$88,3,0)*VLOOKUP('Données projet (1)'!$B$9,'Paramètres (1)'!$A$1:$I$88,5,0)</f>
        <v>#REF!</v>
      </c>
      <c r="P10" s="130" t="str">
        <f t="shared" si="110"/>
        <v>#REF!</v>
      </c>
      <c r="Q10" s="141" t="str">
        <f t="shared" si="9"/>
        <v>#REF!</v>
      </c>
      <c r="R10" s="133" t="str">
        <f t="shared" si="10"/>
        <v>#REF!</v>
      </c>
      <c r="S10" s="133" t="str">
        <f t="shared" si="11"/>
        <v>#REF!</v>
      </c>
      <c r="T10" s="133" t="str">
        <f t="shared" si="111"/>
        <v>#REF!</v>
      </c>
      <c r="U10" s="134" t="str">
        <f t="shared" si="12"/>
        <v>#REF!</v>
      </c>
      <c r="V10" s="134" t="str">
        <f t="shared" si="13"/>
        <v>#REF!</v>
      </c>
      <c r="W10" s="135" t="str">
        <f>IF(ISNA(VLOOKUP(A10,'Données projet (1)'!$A$35:$I$55,5,0)),0%,VLOOKUP(A10,'Données projet (1)'!$A$35:$I$55,5,0)*VLOOKUP('Données projet (1)'!$B$9,'Paramètres (1)'!$A$1:$I$88,7,0))</f>
        <v>#REF!</v>
      </c>
      <c r="X10" s="135" t="str">
        <f>IF(ISNA(VLOOKUP(A10,'Données projet (1)'!$A$35:$I$55,6,0)),0%,VLOOKUP(A10,'Données projet (1)'!$A$35:$I$55,6,0)*VLOOKUP('Données projet (1)'!$B$9,'Paramètres (1)'!$A$1:$I$88,7,0))</f>
        <v>#REF!</v>
      </c>
      <c r="Y10" s="135" t="str">
        <f t="shared" si="14"/>
        <v>#REF!</v>
      </c>
      <c r="Z10" s="142" t="str">
        <f>EXP(-LN(2)/35)*Z9+(1-EXP(-LN(2)/35))/(LN(2)/35)*V10*W10*VLOOKUP('Données projet (1)'!$B$9,'Paramètres (1)'!$A$1:$I$88,3,0)*0.475*44/12</f>
        <v>#REF!</v>
      </c>
      <c r="AA10" s="142" t="str">
        <f>EXP(-LN(2)/25)*AA9+(1-EXP(-LN(2)/25))/(LN(2)/25)*'Calculateur (1)'!V10*'Calculateur (1)'!X10*VLOOKUP('Données projet (1)'!$B$9,'Paramètres (1)'!$A$1:$I$88,3,0)*0.475*44/12</f>
        <v>#REF!</v>
      </c>
      <c r="AB10" s="142" t="str">
        <f>EXP(-LN(2)/2)*AB9+(1-EXP(-LN(2)/2))/(LN(2)/2)*V10*Y10*VLOOKUP('Données projet (1)'!$B$9,'Paramètres (1)'!$A$1:$I$88,3,0)*0.475*44/12</f>
        <v>#REF!</v>
      </c>
      <c r="AC10" s="143" t="str">
        <f t="shared" si="15"/>
        <v>#REF!</v>
      </c>
      <c r="AD10" s="130" t="str">
        <f t="shared" si="16"/>
        <v>#REF!</v>
      </c>
      <c r="AE10" s="130" t="str">
        <f t="shared" si="17"/>
        <v>#REF!</v>
      </c>
      <c r="AF10" s="131" t="str">
        <f t="shared" si="112"/>
        <v>#REF!</v>
      </c>
      <c r="AG10" s="131" t="str">
        <f t="shared" si="18"/>
        <v>#REF!</v>
      </c>
      <c r="AH10" s="131" t="str">
        <f t="array" ref="AH10">INDEX(AG:AG,MIN(IF(ISNUMBER(AG10:AG206),ROW(AG10:AG206),"")))</f>
        <v/>
      </c>
      <c r="AI10" s="130" t="str">
        <f t="shared" si="113"/>
        <v>#REF!</v>
      </c>
      <c r="AJ10" s="130" t="str">
        <f>AI10*VLOOKUP('Données projet (1)'!$B$10,'Paramètres (1)'!$A$1:$I$88,3,0)*VLOOKUP('Données projet (1)'!$B$10,'Paramètres (1)'!$A$1:$I$88,5,0)</f>
        <v>#REF!</v>
      </c>
      <c r="AK10" s="130" t="str">
        <f t="shared" si="114"/>
        <v>#REF!</v>
      </c>
      <c r="AL10" s="141" t="str">
        <f t="shared" si="19"/>
        <v>#REF!</v>
      </c>
      <c r="AM10" s="133" t="str">
        <f t="shared" si="20"/>
        <v>#REF!</v>
      </c>
      <c r="AN10" s="133" t="str">
        <f t="shared" si="21"/>
        <v>#REF!</v>
      </c>
      <c r="AO10" s="133" t="str">
        <f t="shared" si="115"/>
        <v>#REF!</v>
      </c>
      <c r="AP10" s="134" t="str">
        <f t="shared" si="22"/>
        <v>#REF!</v>
      </c>
      <c r="AQ10" s="134" t="str">
        <f t="shared" si="23"/>
        <v>#REF!</v>
      </c>
      <c r="AR10" s="135" t="str">
        <f>IF(ISNA(VLOOKUP(A10,'Données projet (1)'!$A$61:$I$81,5,0)),0%,VLOOKUP(A10,'Données projet (1)'!$A$61:$I$81,5,0)*VLOOKUP('Données projet (1)'!$B$10,'Paramètres (1)'!$A$1:$I$88,7,0))</f>
        <v>#REF!</v>
      </c>
      <c r="AS10" s="135" t="str">
        <f>IF(ISNA(VLOOKUP(A10,'Données projet (1)'!$A$61:$I$81,6,0)),0%,VLOOKUP(A10,'Données projet (1)'!$A$61:$I$81,6,0)*VLOOKUP('Données projet (1)'!$B$10,'Paramètres (1)'!$A$1:$I$88,7,0))</f>
        <v>#REF!</v>
      </c>
      <c r="AT10" s="135" t="str">
        <f t="shared" si="24"/>
        <v>#REF!</v>
      </c>
      <c r="AU10" s="142" t="str">
        <f>EXP(-LN(2)/35)*AU9+(1-EXP(-LN(2)/35))/(LN(2)/35)*AQ10*AR10*VLOOKUP('Données projet (1)'!$B$10,'Paramètres (1)'!$A$1:$I$88,3,0)*0.475*44/12</f>
        <v>#REF!</v>
      </c>
      <c r="AV10" s="142" t="str">
        <f>EXP(-LN(2)/25)*AV9+(1-EXP(-LN(2)/25))/(LN(2)/25)*'Calculateur (1)'!AQ10*'Calculateur (1)'!AS10*VLOOKUP('Données projet (1)'!$B$10,'Paramètres (1)'!$A$1:$I$88,3,0)*0.475*44/12</f>
        <v>#REF!</v>
      </c>
      <c r="AW10" s="142" t="str">
        <f>EXP(-LN(2)/2)*AW9+(1-EXP(-LN(2)/2))/(LN(2)/2)*AQ10*AT10*VLOOKUP('Données projet (1)'!$B$10,'Paramètres (1)'!$A$1:$I$88,3,0)*0.475*44/12</f>
        <v>#REF!</v>
      </c>
      <c r="AX10" s="142" t="str">
        <f t="shared" si="25"/>
        <v>#REF!</v>
      </c>
      <c r="AY10" s="137" t="str">
        <f t="shared" si="26"/>
        <v>#REF!</v>
      </c>
      <c r="AZ10" s="131" t="str">
        <f t="shared" si="27"/>
        <v>#REF!</v>
      </c>
      <c r="BA10" s="131" t="str">
        <f t="shared" si="116"/>
        <v>#REF!</v>
      </c>
      <c r="BB10" s="131" t="str">
        <f t="shared" si="28"/>
        <v>#REF!</v>
      </c>
      <c r="BC10" s="131" t="str">
        <f t="array" ref="BC10">INDEX(BB:BB,MIN(IF(ISNUMBER(BB10:BB206),ROW(BB10:BB206),"")))</f>
        <v/>
      </c>
      <c r="BD10" s="131" t="str">
        <f t="shared" si="117"/>
        <v>#REF!</v>
      </c>
      <c r="BE10" s="130" t="str">
        <f>BD10*VLOOKUP('Données projet (1)'!$B$11,'Paramètres (1)'!$A$1:$I$88,3,0)*VLOOKUP('Données projet (1)'!$B$11,'Paramètres (1)'!$A$1:$I$88,5,0)</f>
        <v>#REF!</v>
      </c>
      <c r="BF10" s="130" t="str">
        <f t="shared" si="118"/>
        <v>#REF!</v>
      </c>
      <c r="BG10" s="141" t="str">
        <f t="shared" si="29"/>
        <v>#REF!</v>
      </c>
      <c r="BH10" s="133" t="str">
        <f t="shared" si="30"/>
        <v>#REF!</v>
      </c>
      <c r="BI10" s="133" t="str">
        <f t="shared" si="31"/>
        <v>#REF!</v>
      </c>
      <c r="BJ10" s="133" t="str">
        <f t="shared" si="119"/>
        <v>#REF!</v>
      </c>
      <c r="BK10" s="134" t="str">
        <f t="shared" si="32"/>
        <v>#REF!</v>
      </c>
      <c r="BL10" s="134" t="str">
        <f t="shared" si="33"/>
        <v>#REF!</v>
      </c>
      <c r="BM10" s="135" t="str">
        <f>IF(ISNA(VLOOKUP(A10,'Données projet (1)'!$A$87:$I$107,5,0)),0%,VLOOKUP(A10,'Données projet (1)'!$A$87:$I$107,5,0)*VLOOKUP('Données projet (1)'!$B$11,'Paramètres (1)'!$A$1:$I$88,7,0))</f>
        <v>#REF!</v>
      </c>
      <c r="BN10" s="135" t="str">
        <f>IF(ISNA(VLOOKUP(A10,'Données projet (1)'!$A$87:$I$107,6,0)),0%,VLOOKUP(A10,'Données projet (1)'!$A$87:$I$107,6,0)*VLOOKUP('Données projet (1)'!$B$11,'Paramètres (1)'!$A$1:$I$88,7,0))</f>
        <v>#REF!</v>
      </c>
      <c r="BO10" s="135" t="str">
        <f t="shared" si="34"/>
        <v>#REF!</v>
      </c>
      <c r="BP10" s="142" t="str">
        <f>EXP(-LN(2)/35)*BP9+(1-EXP(-LN(2)/35))/(LN(2)/35)*BL10*BM10*VLOOKUP('Données projet (1)'!$B$11,'Paramètres (1)'!$A$1:$I$88,3,0)*0.475*44/12</f>
        <v>#REF!</v>
      </c>
      <c r="BQ10" s="142" t="str">
        <f>EXP(-LN(2)/25)*BQ9+(1-EXP(-LN(2)/25))/(LN(2)/25)*'Calculateur (1)'!BL10*'Calculateur (1)'!BN10*VLOOKUP('Données projet (1)'!$B$11,'Paramètres (1)'!$A$1:$I$88,3,0)*0.475*44/12</f>
        <v>#REF!</v>
      </c>
      <c r="BR10" s="142" t="str">
        <f>EXP(-LN(2)/2)*BR9+(1-EXP(-LN(2)/2))/(LN(2)/2)*BL10*BO10*VLOOKUP('Données projet (1)'!$B$11,'Paramètres (1)'!$A$1:$I$88,3,0)*0.475*44/12</f>
        <v>#REF!</v>
      </c>
      <c r="BS10" s="143" t="str">
        <f t="shared" si="35"/>
        <v>#REF!</v>
      </c>
      <c r="BT10" s="139" t="str">
        <f t="shared" si="36"/>
        <v>#REF!</v>
      </c>
      <c r="BU10" s="131" t="str">
        <f t="shared" si="37"/>
        <v>#REF!</v>
      </c>
      <c r="BV10" s="131" t="str">
        <f t="shared" si="120"/>
        <v>#REF!</v>
      </c>
      <c r="BW10" s="131" t="str">
        <f t="shared" si="38"/>
        <v>#REF!</v>
      </c>
      <c r="BX10" s="131" t="str">
        <f t="array" ref="BX10">INDEX(BW:BW,MIN(IF(ISNUMBER(BW10:BW206),ROW(BW10:BW206),"")))</f>
        <v/>
      </c>
      <c r="BY10" s="131" t="str">
        <f t="shared" si="121"/>
        <v>#REF!</v>
      </c>
      <c r="BZ10" s="130" t="str">
        <f>BY10*VLOOKUP('Données projet (1)'!$B$12,'Paramètres (1)'!$A$1:$I$88,3,0)*VLOOKUP('Données projet (1)'!$B$12,'Paramètres (1)'!$A$1:$I$88,5,0)</f>
        <v>#REF!</v>
      </c>
      <c r="CA10" s="130" t="str">
        <f t="shared" si="122"/>
        <v>#REF!</v>
      </c>
      <c r="CB10" s="141" t="str">
        <f t="shared" si="39"/>
        <v>#REF!</v>
      </c>
      <c r="CC10" s="133" t="str">
        <f t="shared" si="40"/>
        <v>#REF!</v>
      </c>
      <c r="CD10" s="133" t="str">
        <f t="shared" si="41"/>
        <v>#REF!</v>
      </c>
      <c r="CE10" s="133" t="str">
        <f t="shared" si="123"/>
        <v>#REF!</v>
      </c>
      <c r="CF10" s="134" t="str">
        <f t="shared" si="42"/>
        <v>#REF!</v>
      </c>
      <c r="CG10" s="134" t="str">
        <f t="shared" si="43"/>
        <v>#REF!</v>
      </c>
      <c r="CH10" s="135" t="str">
        <f>IF(ISNA(VLOOKUP(A10,'Données projet (1)'!$A$113:$I$133,5,0)),0%,VLOOKUP(A10,'Données projet (1)'!$A$113:$I$133,5,0)*VLOOKUP('Données projet (1)'!$B$12,'Paramètres (1)'!$A$1:$I$88,7,0))</f>
        <v>#REF!</v>
      </c>
      <c r="CI10" s="135" t="str">
        <f>IF(ISNA(VLOOKUP(A10,'Données projet (1)'!$A$113:$I$133,6,0)),0%,VLOOKUP(A10,'Données projet (1)'!$A$113:$I$133,6,0)*VLOOKUP('Données projet (1)'!$B$12,'Paramètres (1)'!$A$1:$I$88,7,0))</f>
        <v>#REF!</v>
      </c>
      <c r="CJ10" s="135" t="str">
        <f t="shared" si="44"/>
        <v>#REF!</v>
      </c>
      <c r="CK10" s="142" t="str">
        <f>EXP(-LN(2)/35)*CK9+(1-EXP(-LN(2)/35))/(LN(2)/35)*CG10*CH10*VLOOKUP('Données projet (1)'!$B$12,'Paramètres (1)'!$A$1:$I$88,3,0)*0.475*44/12</f>
        <v>#REF!</v>
      </c>
      <c r="CL10" s="142" t="str">
        <f>EXP(-LN(2)/25)*CL9+(1-EXP(-LN(2)/25))/(LN(2)/25)*'Calculateur (1)'!CG10*'Calculateur (1)'!CI10*VLOOKUP('Données projet (1)'!$B$12,'Paramètres (1)'!$A$1:$I$88,3,0)*0.475*44/12</f>
        <v>#REF!</v>
      </c>
      <c r="CM10" s="142" t="str">
        <f>EXP(-LN(2)/2)*CM9+(1-EXP(-LN(2)/2))/(LN(2)/2)*CG10*CJ10*VLOOKUP('Données projet (1)'!$B$12,'Paramètres (1)'!$A$1:$I$88,3,0)*0.475*44/12</f>
        <v>#REF!</v>
      </c>
      <c r="CN10" s="143" t="str">
        <f t="shared" si="45"/>
        <v>#REF!</v>
      </c>
      <c r="CO10" s="139" t="str">
        <f t="shared" si="46"/>
        <v>#REF!</v>
      </c>
      <c r="CP10" s="131" t="str">
        <f t="shared" si="47"/>
        <v>#REF!</v>
      </c>
      <c r="CQ10" s="131" t="str">
        <f t="shared" si="124"/>
        <v>#REF!</v>
      </c>
      <c r="CR10" s="131" t="str">
        <f t="shared" si="48"/>
        <v>#REF!</v>
      </c>
      <c r="CS10" s="131" t="str">
        <f t="array" ref="CS10">INDEX(CR:CR,MIN(IF(ISNUMBER(CR10:CR206),ROW(CR10:CR206),"")))</f>
        <v/>
      </c>
      <c r="CT10" s="131" t="str">
        <f t="shared" si="125"/>
        <v>#REF!</v>
      </c>
      <c r="CU10" s="138" t="str">
        <f>CT10*VLOOKUP('Données projet (1)'!$B$13,'Paramètres (1)'!$A$1:$I$88,3,0)*VLOOKUP('Données projet (1)'!$B$13,'Paramètres (1)'!$A$1:$I$88,5,0)</f>
        <v>#REF!</v>
      </c>
      <c r="CV10" s="130" t="str">
        <f t="shared" si="126"/>
        <v>#REF!</v>
      </c>
      <c r="CW10" s="141" t="str">
        <f t="shared" si="49"/>
        <v>#REF!</v>
      </c>
      <c r="CX10" s="133" t="str">
        <f t="shared" si="50"/>
        <v>#REF!</v>
      </c>
      <c r="CY10" s="133" t="str">
        <f t="shared" si="51"/>
        <v>#REF!</v>
      </c>
      <c r="CZ10" s="133" t="str">
        <f t="shared" si="127"/>
        <v>#REF!</v>
      </c>
      <c r="DA10" s="134" t="str">
        <f t="shared" si="52"/>
        <v>#REF!</v>
      </c>
      <c r="DB10" s="134" t="str">
        <f t="shared" si="53"/>
        <v>#REF!</v>
      </c>
      <c r="DC10" s="135" t="str">
        <f>IF(ISNA(VLOOKUP(A10,'Données projet (1)'!$A$139:$I$159,5,0)),0%,VLOOKUP(A10,'Données projet (1)'!$A$139:$I$159,5,0)*VLOOKUP('Données projet (1)'!$B$13,'Paramètres (1)'!$A$1:$I$88,7,0))</f>
        <v>#REF!</v>
      </c>
      <c r="DD10" s="135" t="str">
        <f>IF(ISNA(VLOOKUP(A10,'Données projet (1)'!$A$139:$I$159,6,0)),0%,VLOOKUP(A10,'Données projet (1)'!$A$139:$I$159,6,0)*VLOOKUP('Données projet (1)'!$B$13,'Paramètres (1)'!$A$1:$I$88,7,0))</f>
        <v>#REF!</v>
      </c>
      <c r="DE10" s="135" t="str">
        <f t="shared" si="54"/>
        <v>#REF!</v>
      </c>
      <c r="DF10" s="142" t="str">
        <f>EXP(-LN(2)/35)*DF9+(1-EXP(-LN(2)/35))/(LN(2)/35)*DB10*DC10*VLOOKUP('Données projet (1)'!$B$13,'Paramètres (1)'!$A$1:$I$88,3,0)*0.475*44/12</f>
        <v>#REF!</v>
      </c>
      <c r="DG10" s="142" t="str">
        <f>EXP(-LN(2)/25)*DG9+(1-EXP(-LN(2)/25))/(LN(2)/25)*'Calculateur (1)'!DB10*'Calculateur (1)'!DD10*VLOOKUP('Données projet (1)'!$B$13,'Paramètres (1)'!$A$1:$I$88,3,0)*0.475*44/12</f>
        <v>#REF!</v>
      </c>
      <c r="DH10" s="142" t="str">
        <f>EXP(-LN(2)/2)*DH9+(1-EXP(-LN(2)/2))/(LN(2)/2)*DB10*DE10*VLOOKUP('Données projet (1)'!$B$13,'Paramètres (1)'!$A$1:$I$88,3,0)*0.475*44/12</f>
        <v>#REF!</v>
      </c>
      <c r="DI10" s="143" t="str">
        <f t="shared" si="55"/>
        <v>#REF!</v>
      </c>
      <c r="DJ10" s="139" t="str">
        <f t="shared" si="56"/>
        <v>#REF!</v>
      </c>
      <c r="DK10" s="131" t="str">
        <f t="shared" si="57"/>
        <v>#REF!</v>
      </c>
      <c r="DL10" s="131" t="str">
        <f t="shared" si="128"/>
        <v>#REF!</v>
      </c>
      <c r="DM10" s="131" t="str">
        <f t="shared" si="58"/>
        <v>#REF!</v>
      </c>
      <c r="DN10" s="131" t="str">
        <f t="array" ref="DN10">INDEX(DM:DM,MIN(IF(ISNUMBER(DM10:DM206),ROW(DM10:DM206),"")))</f>
        <v/>
      </c>
      <c r="DO10" s="131" t="str">
        <f t="shared" si="129"/>
        <v>#REF!</v>
      </c>
      <c r="DP10" s="138" t="str">
        <f>DO10*VLOOKUP('Données projet (1)'!$B$14,'Paramètres (1)'!$A$1:$I$88,3,0)*VLOOKUP('Données projet (1)'!$B$14,'Paramètres (1)'!$A$1:$I$88,5,0)</f>
        <v>#REF!</v>
      </c>
      <c r="DQ10" s="130" t="str">
        <f t="shared" si="130"/>
        <v>#REF!</v>
      </c>
      <c r="DR10" s="141" t="str">
        <f t="shared" si="59"/>
        <v>#REF!</v>
      </c>
      <c r="DS10" s="133" t="str">
        <f t="shared" si="60"/>
        <v>#REF!</v>
      </c>
      <c r="DT10" s="133" t="str">
        <f t="shared" si="61"/>
        <v>#REF!</v>
      </c>
      <c r="DU10" s="133" t="str">
        <f t="shared" si="131"/>
        <v>#REF!</v>
      </c>
      <c r="DV10" s="134" t="str">
        <f t="shared" si="62"/>
        <v>#REF!</v>
      </c>
      <c r="DW10" s="134" t="str">
        <f t="shared" si="63"/>
        <v>#REF!</v>
      </c>
      <c r="DX10" s="135" t="str">
        <f>IF(ISNA(VLOOKUP(A10,'Données projet (1)'!$A$165:$I$185,5,0)),0%,VLOOKUP(A10,'Données projet (1)'!$A$165:$I$185,5,0)*VLOOKUP('Données projet (1)'!$B$14,'Paramètres (1)'!$A$1:$I$88,7,0))</f>
        <v>#REF!</v>
      </c>
      <c r="DY10" s="135" t="str">
        <f>IF(ISNA(VLOOKUP(A10,'Données projet (1)'!$A$165:$I$185,6,0)),0%,VLOOKUP(A10,'Données projet (1)'!$A$165:$I$185,6,0)*VLOOKUP('Données projet (1)'!$B$14,'Paramètres (1)'!$A$1:$I$88,7,0))</f>
        <v>#REF!</v>
      </c>
      <c r="DZ10" s="135" t="str">
        <f t="shared" si="64"/>
        <v>#REF!</v>
      </c>
      <c r="EA10" s="142" t="str">
        <f>EXP(-LN(2)/35)*EA9+(1-EXP(-LN(2)/35))/(LN(2)/35)*DW10*DX10*VLOOKUP('Données projet (1)'!$B$14,'Paramètres (1)'!$A$1:$I$88,3,0)*0.475*44/12</f>
        <v>#REF!</v>
      </c>
      <c r="EB10" s="142" t="str">
        <f>EXP(-LN(2)/25)*EB9+(1-EXP(-LN(2)/25))/(LN(2)/25)*'Calculateur (1)'!DW10*'Calculateur (1)'!DY10*VLOOKUP('Données projet (1)'!$B$14,'Paramètres (1)'!$A$1:$I$88,3,0)*0.475*44/12</f>
        <v>#REF!</v>
      </c>
      <c r="EC10" s="142" t="str">
        <f>EXP(-LN(2)/2)*EC9+(1-EXP(-LN(2)/2))/(LN(2)/2)*DW10*DZ10*VLOOKUP('Données projet (1)'!$B$14,'Paramètres (1)'!$A$1:$I$88,3,0)*0.475*44/12</f>
        <v>#REF!</v>
      </c>
      <c r="ED10" s="143" t="str">
        <f t="shared" si="65"/>
        <v>#REF!</v>
      </c>
      <c r="EE10" s="139" t="str">
        <f t="shared" si="66"/>
        <v>#REF!</v>
      </c>
      <c r="EF10" s="131" t="str">
        <f t="shared" si="67"/>
        <v>#REF!</v>
      </c>
      <c r="EG10" s="131" t="str">
        <f t="shared" si="132"/>
        <v>#REF!</v>
      </c>
      <c r="EH10" s="131" t="str">
        <f t="shared" si="68"/>
        <v>#REF!</v>
      </c>
      <c r="EI10" s="131" t="str">
        <f t="array" ref="EI10">INDEX(EH:EH,MIN(IF(ISNUMBER(EH10:EH206),ROW(EH10:EH206),"")))</f>
        <v/>
      </c>
      <c r="EJ10" s="131" t="str">
        <f t="shared" si="133"/>
        <v>#REF!</v>
      </c>
      <c r="EK10" s="138" t="str">
        <f>EJ10*VLOOKUP('Données projet (1)'!$B$15,'Paramètres (1)'!$A$1:$I$88,3,0)*VLOOKUP('Données projet (1)'!$B$15,'Paramètres (1)'!$A$1:$I$88,5,0)</f>
        <v>#REF!</v>
      </c>
      <c r="EL10" s="130" t="str">
        <f t="shared" si="134"/>
        <v>#REF!</v>
      </c>
      <c r="EM10" s="141" t="str">
        <f t="shared" si="69"/>
        <v>#REF!</v>
      </c>
      <c r="EN10" s="133" t="str">
        <f t="shared" si="70"/>
        <v>#REF!</v>
      </c>
      <c r="EO10" s="133" t="str">
        <f t="shared" si="71"/>
        <v>#REF!</v>
      </c>
      <c r="EP10" s="133" t="str">
        <f t="shared" si="135"/>
        <v>#REF!</v>
      </c>
      <c r="EQ10" s="134" t="str">
        <f t="shared" si="72"/>
        <v>#REF!</v>
      </c>
      <c r="ER10" s="134" t="str">
        <f t="shared" si="73"/>
        <v>#REF!</v>
      </c>
      <c r="ES10" s="135" t="str">
        <f>IF(ISNA(VLOOKUP(A10,'Données projet (1)'!$A$191:$I$211,5,0)),0%,VLOOKUP(A10,'Données projet (1)'!$A$191:$I$211,5,0)*VLOOKUP('Données projet (1)'!$B$15,'Paramètres (1)'!$A$1:$I$88,7,0))</f>
        <v>#REF!</v>
      </c>
      <c r="ET10" s="135" t="str">
        <f>IF(ISNA(VLOOKUP(A10,'Données projet (1)'!$A$191:$I$211,6,0)),0%,VLOOKUP(A10,'Données projet (1)'!$A$191:$I$211,6,0)*VLOOKUP('Données projet (1)'!$B$15,'Paramètres (1)'!$A$1:$I$88,7,0))</f>
        <v>#REF!</v>
      </c>
      <c r="EU10" s="135" t="str">
        <f t="shared" si="74"/>
        <v>#REF!</v>
      </c>
      <c r="EV10" s="142" t="str">
        <f>EXP(-LN(2)/35)*EV9+(1-EXP(-LN(2)/35))/(LN(2)/35)*ER10*ES10*VLOOKUP('Données projet (1)'!$B$15,'Paramètres (1)'!$A$1:$I$88,3,0)*0.475*44/12</f>
        <v>#REF!</v>
      </c>
      <c r="EW10" s="142" t="str">
        <f>EXP(-LN(2)/25)*EW9+(1-EXP(-LN(2)/25))/(LN(2)/25)*'Calculateur (1)'!ER10*'Calculateur (1)'!ET10*VLOOKUP('Données projet (1)'!$B$15,'Paramètres (1)'!$A$1:$I$88,3,0)*0.475*44/12</f>
        <v>#REF!</v>
      </c>
      <c r="EX10" s="142" t="str">
        <f>EXP(-LN(2)/2)*EX9+(1-EXP(-LN(2)/2))/(LN(2)/2)*ER10*EU10*VLOOKUP('Données projet (1)'!$B$15,'Paramètres (1)'!$A$1:$I$88,3,0)*0.475*44/12</f>
        <v>#REF!</v>
      </c>
      <c r="EY10" s="143" t="str">
        <f t="shared" si="75"/>
        <v>#REF!</v>
      </c>
      <c r="EZ10" s="139" t="str">
        <f t="shared" si="76"/>
        <v>#REF!</v>
      </c>
      <c r="FA10" s="131" t="str">
        <f t="shared" si="77"/>
        <v>#REF!</v>
      </c>
      <c r="FB10" s="131" t="str">
        <f t="shared" si="136"/>
        <v>#REF!</v>
      </c>
      <c r="FC10" s="131" t="str">
        <f t="shared" si="78"/>
        <v>#REF!</v>
      </c>
      <c r="FD10" s="131" t="str">
        <f t="array" ref="FD10">INDEX(FC:FC,MIN(IF(ISNUMBER(FC10:FC206),ROW(FC10:FC206),"")))</f>
        <v/>
      </c>
      <c r="FE10" s="131" t="str">
        <f t="shared" si="137"/>
        <v>#REF!</v>
      </c>
      <c r="FF10" s="138" t="str">
        <f>FE10*VLOOKUP('Données projet (1)'!$B$16,'Paramètres (1)'!$A$1:$I$88,3,0)*VLOOKUP('Données projet (1)'!$B$16,'Paramètres (1)'!$A$1:$I$88,5,0)</f>
        <v>#REF!</v>
      </c>
      <c r="FG10" s="130" t="str">
        <f t="shared" si="138"/>
        <v>#REF!</v>
      </c>
      <c r="FH10" s="141" t="str">
        <f t="shared" si="79"/>
        <v>#REF!</v>
      </c>
      <c r="FI10" s="133" t="str">
        <f t="shared" si="80"/>
        <v>#REF!</v>
      </c>
      <c r="FJ10" s="133" t="str">
        <f t="shared" si="81"/>
        <v>#REF!</v>
      </c>
      <c r="FK10" s="133" t="str">
        <f t="shared" si="139"/>
        <v>#REF!</v>
      </c>
      <c r="FL10" s="134" t="str">
        <f t="shared" si="82"/>
        <v>#REF!</v>
      </c>
      <c r="FM10" s="134" t="str">
        <f t="shared" si="83"/>
        <v>#REF!</v>
      </c>
      <c r="FN10" s="135" t="str">
        <f>IF(ISNA(VLOOKUP(A10,'Données projet (1)'!$A$217:$I$237,5,0)),0%,VLOOKUP(A10,'Données projet (1)'!$A$217:$I$237,5,0)*VLOOKUP('Données projet (1)'!$B$16,'Paramètres (1)'!$A$1:$I$88,7,0))</f>
        <v>#REF!</v>
      </c>
      <c r="FO10" s="135" t="str">
        <f>IF(ISNA(VLOOKUP(A10,'Données projet (1)'!$A$217:$I$237,6,0)),0%,VLOOKUP(A10,'Données projet (1)'!$A$217:$I$237,6,0)*VLOOKUP('Données projet (1)'!$B$16,'Paramètres (1)'!$A$1:$I$88,7,0))</f>
        <v>#REF!</v>
      </c>
      <c r="FP10" s="135" t="str">
        <f t="shared" si="84"/>
        <v>#REF!</v>
      </c>
      <c r="FQ10" s="142" t="str">
        <f>EXP(-LN(2)/35)*FQ9+(1-EXP(-LN(2)/35))/(LN(2)/35)*FM10*FN10*VLOOKUP('Données projet (1)'!$B$16,'Paramètres (1)'!$A$1:$I$88,3,0)*0.475*44/12</f>
        <v>#REF!</v>
      </c>
      <c r="FR10" s="142" t="str">
        <f>EXP(-LN(2)/25)*FR9+(1-EXP(-LN(2)/25))/(LN(2)/25)*'Calculateur (1)'!FM10*'Calculateur (1)'!FO10*VLOOKUP('Données projet (1)'!$B$16,'Paramètres (1)'!$A$1:$I$88,3,0)*0.475*44/12</f>
        <v>#REF!</v>
      </c>
      <c r="FS10" s="142" t="str">
        <f>EXP(-LN(2)/2)*FS9+(1-EXP(-LN(2)/2))/(LN(2)/2)*FM10*FP10*VLOOKUP('Données projet (1)'!$B$16,'Paramètres (1)'!$A$1:$I$88,3,0)*0.475*44/12</f>
        <v>#REF!</v>
      </c>
      <c r="FT10" s="143" t="str">
        <f t="shared" si="85"/>
        <v>#REF!</v>
      </c>
      <c r="FU10" s="139" t="str">
        <f t="shared" si="86"/>
        <v>#REF!</v>
      </c>
      <c r="FV10" s="131" t="str">
        <f t="shared" si="87"/>
        <v>#REF!</v>
      </c>
      <c r="FW10" s="131" t="str">
        <f t="shared" si="140"/>
        <v>#REF!</v>
      </c>
      <c r="FX10" s="131" t="str">
        <f t="shared" si="88"/>
        <v>#REF!</v>
      </c>
      <c r="FY10" s="131" t="str">
        <f t="array" ref="FY10">INDEX(FX:FX,MIN(IF(ISNUMBER(FX10:FX206),ROW(FX10:FX206),"")))</f>
        <v/>
      </c>
      <c r="FZ10" s="131" t="str">
        <f t="shared" si="141"/>
        <v>#REF!</v>
      </c>
      <c r="GA10" s="138" t="str">
        <f>FZ10*VLOOKUP('Données projet (1)'!$B$17,'Paramètres (1)'!$A$1:$I$88,3,0)*VLOOKUP('Données projet (1)'!$B$17,'Paramètres (1)'!$A$1:$I$88,5,0)</f>
        <v>#REF!</v>
      </c>
      <c r="GB10" s="130" t="str">
        <f t="shared" si="142"/>
        <v>#REF!</v>
      </c>
      <c r="GC10" s="141" t="str">
        <f t="shared" si="89"/>
        <v>#REF!</v>
      </c>
      <c r="GD10" s="133" t="str">
        <f t="shared" si="90"/>
        <v>#REF!</v>
      </c>
      <c r="GE10" s="133" t="str">
        <f t="shared" si="91"/>
        <v>#REF!</v>
      </c>
      <c r="GF10" s="133" t="str">
        <f t="shared" si="143"/>
        <v>#REF!</v>
      </c>
      <c r="GG10" s="134" t="str">
        <f t="shared" si="92"/>
        <v>#REF!</v>
      </c>
      <c r="GH10" s="134" t="str">
        <f t="shared" si="93"/>
        <v>#REF!</v>
      </c>
      <c r="GI10" s="135" t="str">
        <f>IF(ISNA(VLOOKUP(A10,'Données projet (1)'!$A$243:$I$263,5,0)),0%,VLOOKUP(A10,'Données projet (1)'!$A$243:$I$263,5,0)*VLOOKUP('Données projet (1)'!$B$17,'Paramètres (1)'!$A$1:$I$88,7,0))</f>
        <v>#REF!</v>
      </c>
      <c r="GJ10" s="135" t="str">
        <f>IF(ISNA(VLOOKUP(A10,'Données projet (1)'!$A$243:$I$263,6,0)),0%,VLOOKUP(A10,'Données projet (1)'!$A$243:$I$263,6,0)*VLOOKUP('Données projet (1)'!$B$17,'Paramètres (1)'!$A$1:$I$88,7,0))</f>
        <v>#REF!</v>
      </c>
      <c r="GK10" s="135" t="str">
        <f t="shared" si="94"/>
        <v>#REF!</v>
      </c>
      <c r="GL10" s="142" t="str">
        <f>EXP(-LN(2)/35)*GL9+(1-EXP(-LN(2)/35))/(LN(2)/35)*GH10*GI10*VLOOKUP('Données projet (1)'!$B$17,'Paramètres (1)'!$A$1:$I$88,3,0)*0.475*44/12</f>
        <v>#REF!</v>
      </c>
      <c r="GM10" s="142" t="str">
        <f>EXP(-LN(2)/25)*GM9+(1-EXP(-LN(2)/25))/(LN(2)/25)*'Calculateur (1)'!GH10*'Calculateur (1)'!GJ10*VLOOKUP('Données projet (1)'!$B$17,'Paramètres (1)'!$A$1:$I$88,3,0)*0.475*44/12</f>
        <v>#REF!</v>
      </c>
      <c r="GN10" s="142" t="str">
        <f>EXP(-LN(2)/2)*GN9+(1-EXP(-LN(2)/2))/(LN(2)/2)*GH10*GK10*VLOOKUP('Données projet (1)'!$B$17,'Paramètres (1)'!$A$1:$I$88,3,0)*0.475*44/12</f>
        <v>#REF!</v>
      </c>
      <c r="GO10" s="142" t="str">
        <f t="shared" si="95"/>
        <v>#REF!</v>
      </c>
      <c r="GP10" s="139" t="str">
        <f t="shared" si="96"/>
        <v>#REF!</v>
      </c>
      <c r="GQ10" s="131" t="str">
        <f t="shared" si="97"/>
        <v>#REF!</v>
      </c>
      <c r="GR10" s="131" t="str">
        <f t="shared" si="144"/>
        <v>#REF!</v>
      </c>
      <c r="GS10" s="131" t="str">
        <f t="shared" si="98"/>
        <v>#REF!</v>
      </c>
      <c r="GT10" s="131" t="str">
        <f t="array" ref="GT10">INDEX(GS:GS,MIN(IF(ISNUMBER(GS10:GS206),ROW(GS10:GS206),"")))</f>
        <v/>
      </c>
      <c r="GU10" s="131" t="str">
        <f t="shared" si="145"/>
        <v>#REF!</v>
      </c>
      <c r="GV10" s="138" t="str">
        <f>GU10*VLOOKUP('Données projet (1)'!$B$18,'Paramètres (1)'!$A$1:$I$88,3,0)*VLOOKUP('Données projet (1)'!$B$18,'Paramètres (1)'!$A$1:$I$88,5,0)</f>
        <v>#REF!</v>
      </c>
      <c r="GW10" s="130" t="str">
        <f t="shared" si="146"/>
        <v>#REF!</v>
      </c>
      <c r="GX10" s="141" t="str">
        <f t="shared" si="99"/>
        <v>#REF!</v>
      </c>
      <c r="GY10" s="133" t="str">
        <f t="shared" si="100"/>
        <v>#REF!</v>
      </c>
      <c r="GZ10" s="133" t="str">
        <f t="shared" si="101"/>
        <v>#REF!</v>
      </c>
      <c r="HA10" s="133" t="str">
        <f t="shared" si="147"/>
        <v>#REF!</v>
      </c>
      <c r="HB10" s="134" t="str">
        <f t="shared" si="102"/>
        <v>#REF!</v>
      </c>
      <c r="HC10" s="134" t="str">
        <f t="shared" si="103"/>
        <v>#REF!</v>
      </c>
      <c r="HD10" s="135" t="str">
        <f>IF(ISNA(VLOOKUP(A10,'Données projet (1)'!$A$269:$I$289,5,0)),0%,VLOOKUP(A10,'Données projet (1)'!$A$269:$I$289,5,0)*VLOOKUP('Données projet (1)'!$B$18,'Paramètres (1)'!$A$1:$I$88,7,0))</f>
        <v>#REF!</v>
      </c>
      <c r="HE10" s="135" t="str">
        <f>IF(ISNA(VLOOKUP(A10,'Données projet (1)'!$A$269:$I$289,6,0)),0%,VLOOKUP(A10,'Données projet (1)'!$A$269:$I$289,6,0)*VLOOKUP('Données projet (1)'!$B$18,'Paramètres (1)'!$A$1:$I$88,7,0))</f>
        <v>#REF!</v>
      </c>
      <c r="HF10" s="135" t="str">
        <f t="shared" si="104"/>
        <v>#REF!</v>
      </c>
      <c r="HG10" s="142" t="str">
        <f>EXP(-LN(2)/35)*HG9+(1-EXP(-LN(2)/35))/(LN(2)/35)*HC10*HD10*VLOOKUP('Données projet (1)'!$B$18,'Paramètres (1)'!$A$1:$I$88,3,0)*0.475*44/12</f>
        <v>#REF!</v>
      </c>
      <c r="HH10" s="142" t="str">
        <f>EXP(-LN(2)/25)*HH9+(1-EXP(-LN(2)/25))/(LN(2)/25)*'Calculateur (1)'!HC10*'Calculateur (1)'!HE10*VLOOKUP('Données projet (1)'!$B$18,'Paramètres (1)'!$A$1:$I$88,3,0)*0.475*44/12</f>
        <v>#REF!</v>
      </c>
      <c r="HI10" s="142" t="str">
        <f>EXP(-LN(2)/2)*HI9+(1-EXP(-LN(2)/2))/(LN(2)/2)*HC10*HF10*VLOOKUP('Données projet (1)'!$B$18,'Paramètres (1)'!$A$1:$I$88,3,0)*0.475*44/12</f>
        <v>#REF!</v>
      </c>
      <c r="HJ10" s="143" t="str">
        <f t="shared" si="105"/>
        <v>#REF!</v>
      </c>
    </row>
    <row r="11" ht="14.25" customHeight="1">
      <c r="A11" s="125">
        <f t="shared" si="106"/>
        <v>8</v>
      </c>
      <c r="B11" s="126" t="str">
        <f t="shared" si="1"/>
        <v>#REF!</v>
      </c>
      <c r="C11" s="140" t="str">
        <f>'Calculateur (1)'!C10+'Scénario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" s="127">
        <f t="shared" si="107"/>
        <v>0</v>
      </c>
      <c r="E11" s="127" t="str">
        <f t="shared" si="2"/>
        <v>#REF!</v>
      </c>
      <c r="F11" s="127" t="str">
        <f t="shared" si="3"/>
        <v>#REF!</v>
      </c>
      <c r="G11" s="127" t="str">
        <f t="shared" si="4"/>
        <v>#REF!</v>
      </c>
      <c r="H11" s="128" t="str">
        <f t="shared" si="5"/>
        <v>#REF!</v>
      </c>
      <c r="I11" s="129" t="str">
        <f t="shared" si="6"/>
        <v>#REF!</v>
      </c>
      <c r="J11" s="130" t="str">
        <f t="shared" si="7"/>
        <v>#REF!</v>
      </c>
      <c r="K11" s="131" t="str">
        <f t="shared" si="108"/>
        <v>#REF!</v>
      </c>
      <c r="L11" s="131" t="str">
        <f t="shared" si="8"/>
        <v>#REF!</v>
      </c>
      <c r="M11" s="131" t="str">
        <f t="array" ref="M11">INDEX(L:L,MIN(IF(ISNUMBER(L11:L207),ROW(L11:L207),"")))</f>
        <v/>
      </c>
      <c r="N11" s="130" t="str">
        <f t="shared" si="109"/>
        <v>#REF!</v>
      </c>
      <c r="O11" s="130" t="str">
        <f>N11*VLOOKUP('Données projet (1)'!$B$9,'Paramètres (1)'!$A$1:$I$88,3,0)*VLOOKUP('Données projet (1)'!$B$9,'Paramètres (1)'!$A$1:$I$88,5,0)</f>
        <v>#REF!</v>
      </c>
      <c r="P11" s="130" t="str">
        <f t="shared" si="110"/>
        <v>#REF!</v>
      </c>
      <c r="Q11" s="141" t="str">
        <f t="shared" si="9"/>
        <v>#REF!</v>
      </c>
      <c r="R11" s="133" t="str">
        <f t="shared" si="10"/>
        <v>#REF!</v>
      </c>
      <c r="S11" s="133" t="str">
        <f t="shared" si="11"/>
        <v>#REF!</v>
      </c>
      <c r="T11" s="133" t="str">
        <f t="shared" si="111"/>
        <v>#REF!</v>
      </c>
      <c r="U11" s="134" t="str">
        <f t="shared" si="12"/>
        <v>#REF!</v>
      </c>
      <c r="V11" s="134" t="str">
        <f t="shared" si="13"/>
        <v>#REF!</v>
      </c>
      <c r="W11" s="135" t="str">
        <f>IF(ISNA(VLOOKUP(A11,'Données projet (1)'!$A$35:$I$55,5,0)),0%,VLOOKUP(A11,'Données projet (1)'!$A$35:$I$55,5,0)*VLOOKUP('Données projet (1)'!$B$9,'Paramètres (1)'!$A$1:$I$88,7,0))</f>
        <v>#REF!</v>
      </c>
      <c r="X11" s="135" t="str">
        <f>IF(ISNA(VLOOKUP(A11,'Données projet (1)'!$A$35:$I$55,6,0)),0%,VLOOKUP(A11,'Données projet (1)'!$A$35:$I$55,6,0)*VLOOKUP('Données projet (1)'!$B$9,'Paramètres (1)'!$A$1:$I$88,7,0))</f>
        <v>#REF!</v>
      </c>
      <c r="Y11" s="135" t="str">
        <f t="shared" si="14"/>
        <v>#REF!</v>
      </c>
      <c r="Z11" s="142" t="str">
        <f>EXP(-LN(2)/35)*Z10+(1-EXP(-LN(2)/35))/(LN(2)/35)*V11*W11*VLOOKUP('Données projet (1)'!$B$9,'Paramètres (1)'!$A$1:$I$88,3,0)*0.475*44/12</f>
        <v>#REF!</v>
      </c>
      <c r="AA11" s="142" t="str">
        <f>EXP(-LN(2)/25)*AA10+(1-EXP(-LN(2)/25))/(LN(2)/25)*'Calculateur (1)'!V11*'Calculateur (1)'!X11*VLOOKUP('Données projet (1)'!$B$9,'Paramètres (1)'!$A$1:$I$88,3,0)*0.475*44/12</f>
        <v>#REF!</v>
      </c>
      <c r="AB11" s="142" t="str">
        <f>EXP(-LN(2)/2)*AB10+(1-EXP(-LN(2)/2))/(LN(2)/2)*V11*Y11*VLOOKUP('Données projet (1)'!$B$9,'Paramètres (1)'!$A$1:$I$88,3,0)*0.475*44/12</f>
        <v>#REF!</v>
      </c>
      <c r="AC11" s="143" t="str">
        <f t="shared" si="15"/>
        <v>#REF!</v>
      </c>
      <c r="AD11" s="130" t="str">
        <f t="shared" si="16"/>
        <v>#REF!</v>
      </c>
      <c r="AE11" s="130" t="str">
        <f t="shared" si="17"/>
        <v>#REF!</v>
      </c>
      <c r="AF11" s="131" t="str">
        <f t="shared" si="112"/>
        <v>#REF!</v>
      </c>
      <c r="AG11" s="131" t="str">
        <f t="shared" si="18"/>
        <v>#REF!</v>
      </c>
      <c r="AH11" s="131" t="str">
        <f t="array" ref="AH11">INDEX(AG:AG,MIN(IF(ISNUMBER(AG11:AG207),ROW(AG11:AG207),"")))</f>
        <v/>
      </c>
      <c r="AI11" s="130" t="str">
        <f t="shared" si="113"/>
        <v>#REF!</v>
      </c>
      <c r="AJ11" s="130" t="str">
        <f>AI11*VLOOKUP('Données projet (1)'!$B$10,'Paramètres (1)'!$A$1:$I$88,3,0)*VLOOKUP('Données projet (1)'!$B$10,'Paramètres (1)'!$A$1:$I$88,5,0)</f>
        <v>#REF!</v>
      </c>
      <c r="AK11" s="130" t="str">
        <f t="shared" si="114"/>
        <v>#REF!</v>
      </c>
      <c r="AL11" s="141" t="str">
        <f t="shared" si="19"/>
        <v>#REF!</v>
      </c>
      <c r="AM11" s="133" t="str">
        <f t="shared" si="20"/>
        <v>#REF!</v>
      </c>
      <c r="AN11" s="133" t="str">
        <f t="shared" si="21"/>
        <v>#REF!</v>
      </c>
      <c r="AO11" s="133" t="str">
        <f t="shared" si="115"/>
        <v>#REF!</v>
      </c>
      <c r="AP11" s="134" t="str">
        <f t="shared" si="22"/>
        <v>#REF!</v>
      </c>
      <c r="AQ11" s="134" t="str">
        <f t="shared" si="23"/>
        <v>#REF!</v>
      </c>
      <c r="AR11" s="135" t="str">
        <f>IF(ISNA(VLOOKUP(A11,'Données projet (1)'!$A$61:$I$81,5,0)),0%,VLOOKUP(A11,'Données projet (1)'!$A$61:$I$81,5,0)*VLOOKUP('Données projet (1)'!$B$10,'Paramètres (1)'!$A$1:$I$88,7,0))</f>
        <v>#REF!</v>
      </c>
      <c r="AS11" s="135" t="str">
        <f>IF(ISNA(VLOOKUP(A11,'Données projet (1)'!$A$61:$I$81,6,0)),0%,VLOOKUP(A11,'Données projet (1)'!$A$61:$I$81,6,0)*VLOOKUP('Données projet (1)'!$B$10,'Paramètres (1)'!$A$1:$I$88,7,0))</f>
        <v>#REF!</v>
      </c>
      <c r="AT11" s="135" t="str">
        <f t="shared" si="24"/>
        <v>#REF!</v>
      </c>
      <c r="AU11" s="142" t="str">
        <f>EXP(-LN(2)/35)*AU10+(1-EXP(-LN(2)/35))/(LN(2)/35)*AQ11*AR11*VLOOKUP('Données projet (1)'!$B$10,'Paramètres (1)'!$A$1:$I$88,3,0)*0.475*44/12</f>
        <v>#REF!</v>
      </c>
      <c r="AV11" s="142" t="str">
        <f>EXP(-LN(2)/25)*AV10+(1-EXP(-LN(2)/25))/(LN(2)/25)*'Calculateur (1)'!AQ11*'Calculateur (1)'!AS11*VLOOKUP('Données projet (1)'!$B$10,'Paramètres (1)'!$A$1:$I$88,3,0)*0.475*44/12</f>
        <v>#REF!</v>
      </c>
      <c r="AW11" s="142" t="str">
        <f>EXP(-LN(2)/2)*AW10+(1-EXP(-LN(2)/2))/(LN(2)/2)*AQ11*AT11*VLOOKUP('Données projet (1)'!$B$10,'Paramètres (1)'!$A$1:$I$88,3,0)*0.475*44/12</f>
        <v>#REF!</v>
      </c>
      <c r="AX11" s="142" t="str">
        <f t="shared" si="25"/>
        <v>#REF!</v>
      </c>
      <c r="AY11" s="137" t="str">
        <f t="shared" si="26"/>
        <v>#REF!</v>
      </c>
      <c r="AZ11" s="131" t="str">
        <f t="shared" si="27"/>
        <v>#REF!</v>
      </c>
      <c r="BA11" s="131" t="str">
        <f t="shared" si="116"/>
        <v>#REF!</v>
      </c>
      <c r="BB11" s="131" t="str">
        <f t="shared" si="28"/>
        <v>#REF!</v>
      </c>
      <c r="BC11" s="131" t="str">
        <f t="array" ref="BC11">INDEX(BB:BB,MIN(IF(ISNUMBER(BB11:BB207),ROW(BB11:BB207),"")))</f>
        <v/>
      </c>
      <c r="BD11" s="131" t="str">
        <f t="shared" si="117"/>
        <v>#REF!</v>
      </c>
      <c r="BE11" s="130" t="str">
        <f>BD11*VLOOKUP('Données projet (1)'!$B$11,'Paramètres (1)'!$A$1:$I$88,3,0)*VLOOKUP('Données projet (1)'!$B$11,'Paramètres (1)'!$A$1:$I$88,5,0)</f>
        <v>#REF!</v>
      </c>
      <c r="BF11" s="130" t="str">
        <f t="shared" si="118"/>
        <v>#REF!</v>
      </c>
      <c r="BG11" s="141" t="str">
        <f t="shared" si="29"/>
        <v>#REF!</v>
      </c>
      <c r="BH11" s="133" t="str">
        <f t="shared" si="30"/>
        <v>#REF!</v>
      </c>
      <c r="BI11" s="133" t="str">
        <f t="shared" si="31"/>
        <v>#REF!</v>
      </c>
      <c r="BJ11" s="133" t="str">
        <f t="shared" si="119"/>
        <v>#REF!</v>
      </c>
      <c r="BK11" s="134" t="str">
        <f t="shared" si="32"/>
        <v>#REF!</v>
      </c>
      <c r="BL11" s="134" t="str">
        <f t="shared" si="33"/>
        <v>#REF!</v>
      </c>
      <c r="BM11" s="135" t="str">
        <f>IF(ISNA(VLOOKUP(A11,'Données projet (1)'!$A$87:$I$107,5,0)),0%,VLOOKUP(A11,'Données projet (1)'!$A$87:$I$107,5,0)*VLOOKUP('Données projet (1)'!$B$11,'Paramètres (1)'!$A$1:$I$88,7,0))</f>
        <v>#REF!</v>
      </c>
      <c r="BN11" s="135" t="str">
        <f>IF(ISNA(VLOOKUP(A11,'Données projet (1)'!$A$87:$I$107,6,0)),0%,VLOOKUP(A11,'Données projet (1)'!$A$87:$I$107,6,0)*VLOOKUP('Données projet (1)'!$B$11,'Paramètres (1)'!$A$1:$I$88,7,0))</f>
        <v>#REF!</v>
      </c>
      <c r="BO11" s="135" t="str">
        <f t="shared" si="34"/>
        <v>#REF!</v>
      </c>
      <c r="BP11" s="142" t="str">
        <f>EXP(-LN(2)/35)*BP10+(1-EXP(-LN(2)/35))/(LN(2)/35)*BL11*BM11*VLOOKUP('Données projet (1)'!$B$11,'Paramètres (1)'!$A$1:$I$88,3,0)*0.475*44/12</f>
        <v>#REF!</v>
      </c>
      <c r="BQ11" s="142" t="str">
        <f>EXP(-LN(2)/25)*BQ10+(1-EXP(-LN(2)/25))/(LN(2)/25)*'Calculateur (1)'!BL11*'Calculateur (1)'!BN11*VLOOKUP('Données projet (1)'!$B$11,'Paramètres (1)'!$A$1:$I$88,3,0)*0.475*44/12</f>
        <v>#REF!</v>
      </c>
      <c r="BR11" s="142" t="str">
        <f>EXP(-LN(2)/2)*BR10+(1-EXP(-LN(2)/2))/(LN(2)/2)*BL11*BO11*VLOOKUP('Données projet (1)'!$B$11,'Paramètres (1)'!$A$1:$I$88,3,0)*0.475*44/12</f>
        <v>#REF!</v>
      </c>
      <c r="BS11" s="143" t="str">
        <f t="shared" si="35"/>
        <v>#REF!</v>
      </c>
      <c r="BT11" s="139" t="str">
        <f t="shared" si="36"/>
        <v>#REF!</v>
      </c>
      <c r="BU11" s="131" t="str">
        <f t="shared" si="37"/>
        <v>#REF!</v>
      </c>
      <c r="BV11" s="131" t="str">
        <f t="shared" si="120"/>
        <v>#REF!</v>
      </c>
      <c r="BW11" s="131" t="str">
        <f t="shared" si="38"/>
        <v>#REF!</v>
      </c>
      <c r="BX11" s="131" t="str">
        <f t="array" ref="BX11">INDEX(BW:BW,MIN(IF(ISNUMBER(BW11:BW207),ROW(BW11:BW207),"")))</f>
        <v/>
      </c>
      <c r="BY11" s="131" t="str">
        <f t="shared" si="121"/>
        <v>#REF!</v>
      </c>
      <c r="BZ11" s="130" t="str">
        <f>BY11*VLOOKUP('Données projet (1)'!$B$12,'Paramètres (1)'!$A$1:$I$88,3,0)*VLOOKUP('Données projet (1)'!$B$12,'Paramètres (1)'!$A$1:$I$88,5,0)</f>
        <v>#REF!</v>
      </c>
      <c r="CA11" s="130" t="str">
        <f t="shared" si="122"/>
        <v>#REF!</v>
      </c>
      <c r="CB11" s="141" t="str">
        <f t="shared" si="39"/>
        <v>#REF!</v>
      </c>
      <c r="CC11" s="133" t="str">
        <f t="shared" si="40"/>
        <v>#REF!</v>
      </c>
      <c r="CD11" s="133" t="str">
        <f t="shared" si="41"/>
        <v>#REF!</v>
      </c>
      <c r="CE11" s="133" t="str">
        <f t="shared" si="123"/>
        <v>#REF!</v>
      </c>
      <c r="CF11" s="134" t="str">
        <f t="shared" si="42"/>
        <v>#REF!</v>
      </c>
      <c r="CG11" s="134" t="str">
        <f t="shared" si="43"/>
        <v>#REF!</v>
      </c>
      <c r="CH11" s="135" t="str">
        <f>IF(ISNA(VLOOKUP(A11,'Données projet (1)'!$A$113:$I$133,5,0)),0%,VLOOKUP(A11,'Données projet (1)'!$A$113:$I$133,5,0)*VLOOKUP('Données projet (1)'!$B$12,'Paramètres (1)'!$A$1:$I$88,7,0))</f>
        <v>#REF!</v>
      </c>
      <c r="CI11" s="135" t="str">
        <f>IF(ISNA(VLOOKUP(A11,'Données projet (1)'!$A$113:$I$133,6,0)),0%,VLOOKUP(A11,'Données projet (1)'!$A$113:$I$133,6,0)*VLOOKUP('Données projet (1)'!$B$12,'Paramètres (1)'!$A$1:$I$88,7,0))</f>
        <v>#REF!</v>
      </c>
      <c r="CJ11" s="135" t="str">
        <f t="shared" si="44"/>
        <v>#REF!</v>
      </c>
      <c r="CK11" s="142" t="str">
        <f>EXP(-LN(2)/35)*CK10+(1-EXP(-LN(2)/35))/(LN(2)/35)*CG11*CH11*VLOOKUP('Données projet (1)'!$B$12,'Paramètres (1)'!$A$1:$I$88,3,0)*0.475*44/12</f>
        <v>#REF!</v>
      </c>
      <c r="CL11" s="142" t="str">
        <f>EXP(-LN(2)/25)*CL10+(1-EXP(-LN(2)/25))/(LN(2)/25)*'Calculateur (1)'!CG11*'Calculateur (1)'!CI11*VLOOKUP('Données projet (1)'!$B$12,'Paramètres (1)'!$A$1:$I$88,3,0)*0.475*44/12</f>
        <v>#REF!</v>
      </c>
      <c r="CM11" s="142" t="str">
        <f>EXP(-LN(2)/2)*CM10+(1-EXP(-LN(2)/2))/(LN(2)/2)*CG11*CJ11*VLOOKUP('Données projet (1)'!$B$12,'Paramètres (1)'!$A$1:$I$88,3,0)*0.475*44/12</f>
        <v>#REF!</v>
      </c>
      <c r="CN11" s="143" t="str">
        <f t="shared" si="45"/>
        <v>#REF!</v>
      </c>
      <c r="CO11" s="139" t="str">
        <f t="shared" si="46"/>
        <v>#REF!</v>
      </c>
      <c r="CP11" s="131" t="str">
        <f t="shared" si="47"/>
        <v>#REF!</v>
      </c>
      <c r="CQ11" s="131" t="str">
        <f t="shared" si="124"/>
        <v>#REF!</v>
      </c>
      <c r="CR11" s="131" t="str">
        <f t="shared" si="48"/>
        <v>#REF!</v>
      </c>
      <c r="CS11" s="131" t="str">
        <f t="array" ref="CS11">INDEX(CR:CR,MIN(IF(ISNUMBER(CR11:CR207),ROW(CR11:CR207),"")))</f>
        <v/>
      </c>
      <c r="CT11" s="131" t="str">
        <f t="shared" si="125"/>
        <v>#REF!</v>
      </c>
      <c r="CU11" s="138" t="str">
        <f>CT11*VLOOKUP('Données projet (1)'!$B$13,'Paramètres (1)'!$A$1:$I$88,3,0)*VLOOKUP('Données projet (1)'!$B$13,'Paramètres (1)'!$A$1:$I$88,5,0)</f>
        <v>#REF!</v>
      </c>
      <c r="CV11" s="130" t="str">
        <f t="shared" si="126"/>
        <v>#REF!</v>
      </c>
      <c r="CW11" s="141" t="str">
        <f t="shared" si="49"/>
        <v>#REF!</v>
      </c>
      <c r="CX11" s="133" t="str">
        <f t="shared" si="50"/>
        <v>#REF!</v>
      </c>
      <c r="CY11" s="133" t="str">
        <f t="shared" si="51"/>
        <v>#REF!</v>
      </c>
      <c r="CZ11" s="133" t="str">
        <f t="shared" si="127"/>
        <v>#REF!</v>
      </c>
      <c r="DA11" s="134" t="str">
        <f t="shared" si="52"/>
        <v>#REF!</v>
      </c>
      <c r="DB11" s="134" t="str">
        <f t="shared" si="53"/>
        <v>#REF!</v>
      </c>
      <c r="DC11" s="135" t="str">
        <f>IF(ISNA(VLOOKUP(A11,'Données projet (1)'!$A$139:$I$159,5,0)),0%,VLOOKUP(A11,'Données projet (1)'!$A$139:$I$159,5,0)*VLOOKUP('Données projet (1)'!$B$13,'Paramètres (1)'!$A$1:$I$88,7,0))</f>
        <v>#REF!</v>
      </c>
      <c r="DD11" s="135" t="str">
        <f>IF(ISNA(VLOOKUP(A11,'Données projet (1)'!$A$139:$I$159,6,0)),0%,VLOOKUP(A11,'Données projet (1)'!$A$139:$I$159,6,0)*VLOOKUP('Données projet (1)'!$B$13,'Paramètres (1)'!$A$1:$I$88,7,0))</f>
        <v>#REF!</v>
      </c>
      <c r="DE11" s="135" t="str">
        <f t="shared" si="54"/>
        <v>#REF!</v>
      </c>
      <c r="DF11" s="142" t="str">
        <f>EXP(-LN(2)/35)*DF10+(1-EXP(-LN(2)/35))/(LN(2)/35)*DB11*DC11*VLOOKUP('Données projet (1)'!$B$13,'Paramètres (1)'!$A$1:$I$88,3,0)*0.475*44/12</f>
        <v>#REF!</v>
      </c>
      <c r="DG11" s="142" t="str">
        <f>EXP(-LN(2)/25)*DG10+(1-EXP(-LN(2)/25))/(LN(2)/25)*'Calculateur (1)'!DB11*'Calculateur (1)'!DD11*VLOOKUP('Données projet (1)'!$B$13,'Paramètres (1)'!$A$1:$I$88,3,0)*0.475*44/12</f>
        <v>#REF!</v>
      </c>
      <c r="DH11" s="142" t="str">
        <f>EXP(-LN(2)/2)*DH10+(1-EXP(-LN(2)/2))/(LN(2)/2)*DB11*DE11*VLOOKUP('Données projet (1)'!$B$13,'Paramètres (1)'!$A$1:$I$88,3,0)*0.475*44/12</f>
        <v>#REF!</v>
      </c>
      <c r="DI11" s="143" t="str">
        <f t="shared" si="55"/>
        <v>#REF!</v>
      </c>
      <c r="DJ11" s="139" t="str">
        <f t="shared" si="56"/>
        <v>#REF!</v>
      </c>
      <c r="DK11" s="131" t="str">
        <f t="shared" si="57"/>
        <v>#REF!</v>
      </c>
      <c r="DL11" s="131" t="str">
        <f t="shared" si="128"/>
        <v>#REF!</v>
      </c>
      <c r="DM11" s="131" t="str">
        <f t="shared" si="58"/>
        <v>#REF!</v>
      </c>
      <c r="DN11" s="131" t="str">
        <f t="array" ref="DN11">INDEX(DM:DM,MIN(IF(ISNUMBER(DM11:DM207),ROW(DM11:DM207),"")))</f>
        <v/>
      </c>
      <c r="DO11" s="131" t="str">
        <f t="shared" si="129"/>
        <v>#REF!</v>
      </c>
      <c r="DP11" s="138" t="str">
        <f>DO11*VLOOKUP('Données projet (1)'!$B$14,'Paramètres (1)'!$A$1:$I$88,3,0)*VLOOKUP('Données projet (1)'!$B$14,'Paramètres (1)'!$A$1:$I$88,5,0)</f>
        <v>#REF!</v>
      </c>
      <c r="DQ11" s="130" t="str">
        <f t="shared" si="130"/>
        <v>#REF!</v>
      </c>
      <c r="DR11" s="141" t="str">
        <f t="shared" si="59"/>
        <v>#REF!</v>
      </c>
      <c r="DS11" s="133" t="str">
        <f t="shared" si="60"/>
        <v>#REF!</v>
      </c>
      <c r="DT11" s="133" t="str">
        <f t="shared" si="61"/>
        <v>#REF!</v>
      </c>
      <c r="DU11" s="133" t="str">
        <f t="shared" si="131"/>
        <v>#REF!</v>
      </c>
      <c r="DV11" s="134" t="str">
        <f t="shared" si="62"/>
        <v>#REF!</v>
      </c>
      <c r="DW11" s="134" t="str">
        <f t="shared" si="63"/>
        <v>#REF!</v>
      </c>
      <c r="DX11" s="135" t="str">
        <f>IF(ISNA(VLOOKUP(A11,'Données projet (1)'!$A$165:$I$185,5,0)),0%,VLOOKUP(A11,'Données projet (1)'!$A$165:$I$185,5,0)*VLOOKUP('Données projet (1)'!$B$14,'Paramètres (1)'!$A$1:$I$88,7,0))</f>
        <v>#REF!</v>
      </c>
      <c r="DY11" s="135" t="str">
        <f>IF(ISNA(VLOOKUP(A11,'Données projet (1)'!$A$165:$I$185,6,0)),0%,VLOOKUP(A11,'Données projet (1)'!$A$165:$I$185,6,0)*VLOOKUP('Données projet (1)'!$B$14,'Paramètres (1)'!$A$1:$I$88,7,0))</f>
        <v>#REF!</v>
      </c>
      <c r="DZ11" s="135" t="str">
        <f t="shared" si="64"/>
        <v>#REF!</v>
      </c>
      <c r="EA11" s="142" t="str">
        <f>EXP(-LN(2)/35)*EA10+(1-EXP(-LN(2)/35))/(LN(2)/35)*DW11*DX11*VLOOKUP('Données projet (1)'!$B$14,'Paramètres (1)'!$A$1:$I$88,3,0)*0.475*44/12</f>
        <v>#REF!</v>
      </c>
      <c r="EB11" s="142" t="str">
        <f>EXP(-LN(2)/25)*EB10+(1-EXP(-LN(2)/25))/(LN(2)/25)*'Calculateur (1)'!DW11*'Calculateur (1)'!DY11*VLOOKUP('Données projet (1)'!$B$14,'Paramètres (1)'!$A$1:$I$88,3,0)*0.475*44/12</f>
        <v>#REF!</v>
      </c>
      <c r="EC11" s="142" t="str">
        <f>EXP(-LN(2)/2)*EC10+(1-EXP(-LN(2)/2))/(LN(2)/2)*DW11*DZ11*VLOOKUP('Données projet (1)'!$B$14,'Paramètres (1)'!$A$1:$I$88,3,0)*0.475*44/12</f>
        <v>#REF!</v>
      </c>
      <c r="ED11" s="143" t="str">
        <f t="shared" si="65"/>
        <v>#REF!</v>
      </c>
      <c r="EE11" s="139" t="str">
        <f t="shared" si="66"/>
        <v>#REF!</v>
      </c>
      <c r="EF11" s="131" t="str">
        <f t="shared" si="67"/>
        <v>#REF!</v>
      </c>
      <c r="EG11" s="131" t="str">
        <f t="shared" si="132"/>
        <v>#REF!</v>
      </c>
      <c r="EH11" s="131" t="str">
        <f t="shared" si="68"/>
        <v>#REF!</v>
      </c>
      <c r="EI11" s="131" t="str">
        <f t="array" ref="EI11">INDEX(EH:EH,MIN(IF(ISNUMBER(EH11:EH207),ROW(EH11:EH207),"")))</f>
        <v/>
      </c>
      <c r="EJ11" s="131" t="str">
        <f t="shared" si="133"/>
        <v>#REF!</v>
      </c>
      <c r="EK11" s="138" t="str">
        <f>EJ11*VLOOKUP('Données projet (1)'!$B$15,'Paramètres (1)'!$A$1:$I$88,3,0)*VLOOKUP('Données projet (1)'!$B$15,'Paramètres (1)'!$A$1:$I$88,5,0)</f>
        <v>#REF!</v>
      </c>
      <c r="EL11" s="130" t="str">
        <f t="shared" si="134"/>
        <v>#REF!</v>
      </c>
      <c r="EM11" s="141" t="str">
        <f t="shared" si="69"/>
        <v>#REF!</v>
      </c>
      <c r="EN11" s="133" t="str">
        <f t="shared" si="70"/>
        <v>#REF!</v>
      </c>
      <c r="EO11" s="133" t="str">
        <f t="shared" si="71"/>
        <v>#REF!</v>
      </c>
      <c r="EP11" s="133" t="str">
        <f t="shared" si="135"/>
        <v>#REF!</v>
      </c>
      <c r="EQ11" s="134" t="str">
        <f t="shared" si="72"/>
        <v>#REF!</v>
      </c>
      <c r="ER11" s="134" t="str">
        <f t="shared" si="73"/>
        <v>#REF!</v>
      </c>
      <c r="ES11" s="135" t="str">
        <f>IF(ISNA(VLOOKUP(A11,'Données projet (1)'!$A$191:$I$211,5,0)),0%,VLOOKUP(A11,'Données projet (1)'!$A$191:$I$211,5,0)*VLOOKUP('Données projet (1)'!$B$15,'Paramètres (1)'!$A$1:$I$88,7,0))</f>
        <v>#REF!</v>
      </c>
      <c r="ET11" s="135" t="str">
        <f>IF(ISNA(VLOOKUP(A11,'Données projet (1)'!$A$191:$I$211,6,0)),0%,VLOOKUP(A11,'Données projet (1)'!$A$191:$I$211,6,0)*VLOOKUP('Données projet (1)'!$B$15,'Paramètres (1)'!$A$1:$I$88,7,0))</f>
        <v>#REF!</v>
      </c>
      <c r="EU11" s="135" t="str">
        <f t="shared" si="74"/>
        <v>#REF!</v>
      </c>
      <c r="EV11" s="142" t="str">
        <f>EXP(-LN(2)/35)*EV10+(1-EXP(-LN(2)/35))/(LN(2)/35)*ER11*ES11*VLOOKUP('Données projet (1)'!$B$15,'Paramètres (1)'!$A$1:$I$88,3,0)*0.475*44/12</f>
        <v>#REF!</v>
      </c>
      <c r="EW11" s="142" t="str">
        <f>EXP(-LN(2)/25)*EW10+(1-EXP(-LN(2)/25))/(LN(2)/25)*'Calculateur (1)'!ER11*'Calculateur (1)'!ET11*VLOOKUP('Données projet (1)'!$B$15,'Paramètres (1)'!$A$1:$I$88,3,0)*0.475*44/12</f>
        <v>#REF!</v>
      </c>
      <c r="EX11" s="142" t="str">
        <f>EXP(-LN(2)/2)*EX10+(1-EXP(-LN(2)/2))/(LN(2)/2)*ER11*EU11*VLOOKUP('Données projet (1)'!$B$15,'Paramètres (1)'!$A$1:$I$88,3,0)*0.475*44/12</f>
        <v>#REF!</v>
      </c>
      <c r="EY11" s="143" t="str">
        <f t="shared" si="75"/>
        <v>#REF!</v>
      </c>
      <c r="EZ11" s="139" t="str">
        <f t="shared" si="76"/>
        <v>#REF!</v>
      </c>
      <c r="FA11" s="131" t="str">
        <f t="shared" si="77"/>
        <v>#REF!</v>
      </c>
      <c r="FB11" s="131" t="str">
        <f t="shared" si="136"/>
        <v>#REF!</v>
      </c>
      <c r="FC11" s="131" t="str">
        <f t="shared" si="78"/>
        <v>#REF!</v>
      </c>
      <c r="FD11" s="131" t="str">
        <f t="array" ref="FD11">INDEX(FC:FC,MIN(IF(ISNUMBER(FC11:FC207),ROW(FC11:FC207),"")))</f>
        <v/>
      </c>
      <c r="FE11" s="131" t="str">
        <f t="shared" si="137"/>
        <v>#REF!</v>
      </c>
      <c r="FF11" s="138" t="str">
        <f>FE11*VLOOKUP('Données projet (1)'!$B$16,'Paramètres (1)'!$A$1:$I$88,3,0)*VLOOKUP('Données projet (1)'!$B$16,'Paramètres (1)'!$A$1:$I$88,5,0)</f>
        <v>#REF!</v>
      </c>
      <c r="FG11" s="130" t="str">
        <f t="shared" si="138"/>
        <v>#REF!</v>
      </c>
      <c r="FH11" s="141" t="str">
        <f t="shared" si="79"/>
        <v>#REF!</v>
      </c>
      <c r="FI11" s="133" t="str">
        <f t="shared" si="80"/>
        <v>#REF!</v>
      </c>
      <c r="FJ11" s="133" t="str">
        <f t="shared" si="81"/>
        <v>#REF!</v>
      </c>
      <c r="FK11" s="133" t="str">
        <f t="shared" si="139"/>
        <v>#REF!</v>
      </c>
      <c r="FL11" s="134" t="str">
        <f t="shared" si="82"/>
        <v>#REF!</v>
      </c>
      <c r="FM11" s="134" t="str">
        <f t="shared" si="83"/>
        <v>#REF!</v>
      </c>
      <c r="FN11" s="135" t="str">
        <f>IF(ISNA(VLOOKUP(A11,'Données projet (1)'!$A$217:$I$237,5,0)),0%,VLOOKUP(A11,'Données projet (1)'!$A$217:$I$237,5,0)*VLOOKUP('Données projet (1)'!$B$16,'Paramètres (1)'!$A$1:$I$88,7,0))</f>
        <v>#REF!</v>
      </c>
      <c r="FO11" s="135" t="str">
        <f>IF(ISNA(VLOOKUP(A11,'Données projet (1)'!$A$217:$I$237,6,0)),0%,VLOOKUP(A11,'Données projet (1)'!$A$217:$I$237,6,0)*VLOOKUP('Données projet (1)'!$B$16,'Paramètres (1)'!$A$1:$I$88,7,0))</f>
        <v>#REF!</v>
      </c>
      <c r="FP11" s="135" t="str">
        <f t="shared" si="84"/>
        <v>#REF!</v>
      </c>
      <c r="FQ11" s="142" t="str">
        <f>EXP(-LN(2)/35)*FQ10+(1-EXP(-LN(2)/35))/(LN(2)/35)*FM11*FN11*VLOOKUP('Données projet (1)'!$B$16,'Paramètres (1)'!$A$1:$I$88,3,0)*0.475*44/12</f>
        <v>#REF!</v>
      </c>
      <c r="FR11" s="142" t="str">
        <f>EXP(-LN(2)/25)*FR10+(1-EXP(-LN(2)/25))/(LN(2)/25)*'Calculateur (1)'!FM11*'Calculateur (1)'!FO11*VLOOKUP('Données projet (1)'!$B$16,'Paramètres (1)'!$A$1:$I$88,3,0)*0.475*44/12</f>
        <v>#REF!</v>
      </c>
      <c r="FS11" s="142" t="str">
        <f>EXP(-LN(2)/2)*FS10+(1-EXP(-LN(2)/2))/(LN(2)/2)*FM11*FP11*VLOOKUP('Données projet (1)'!$B$16,'Paramètres (1)'!$A$1:$I$88,3,0)*0.475*44/12</f>
        <v>#REF!</v>
      </c>
      <c r="FT11" s="143" t="str">
        <f t="shared" si="85"/>
        <v>#REF!</v>
      </c>
      <c r="FU11" s="139" t="str">
        <f t="shared" si="86"/>
        <v>#REF!</v>
      </c>
      <c r="FV11" s="131" t="str">
        <f t="shared" si="87"/>
        <v>#REF!</v>
      </c>
      <c r="FW11" s="131" t="str">
        <f t="shared" si="140"/>
        <v>#REF!</v>
      </c>
      <c r="FX11" s="131" t="str">
        <f t="shared" si="88"/>
        <v>#REF!</v>
      </c>
      <c r="FY11" s="131" t="str">
        <f t="array" ref="FY11">INDEX(FX:FX,MIN(IF(ISNUMBER(FX11:FX207),ROW(FX11:FX207),"")))</f>
        <v/>
      </c>
      <c r="FZ11" s="131" t="str">
        <f t="shared" si="141"/>
        <v>#REF!</v>
      </c>
      <c r="GA11" s="138" t="str">
        <f>FZ11*VLOOKUP('Données projet (1)'!$B$17,'Paramètres (1)'!$A$1:$I$88,3,0)*VLOOKUP('Données projet (1)'!$B$17,'Paramètres (1)'!$A$1:$I$88,5,0)</f>
        <v>#REF!</v>
      </c>
      <c r="GB11" s="130" t="str">
        <f t="shared" si="142"/>
        <v>#REF!</v>
      </c>
      <c r="GC11" s="141" t="str">
        <f t="shared" si="89"/>
        <v>#REF!</v>
      </c>
      <c r="GD11" s="133" t="str">
        <f t="shared" si="90"/>
        <v>#REF!</v>
      </c>
      <c r="GE11" s="133" t="str">
        <f t="shared" si="91"/>
        <v>#REF!</v>
      </c>
      <c r="GF11" s="133" t="str">
        <f t="shared" si="143"/>
        <v>#REF!</v>
      </c>
      <c r="GG11" s="134" t="str">
        <f t="shared" si="92"/>
        <v>#REF!</v>
      </c>
      <c r="GH11" s="134" t="str">
        <f t="shared" si="93"/>
        <v>#REF!</v>
      </c>
      <c r="GI11" s="135" t="str">
        <f>IF(ISNA(VLOOKUP(A11,'Données projet (1)'!$A$243:$I$263,5,0)),0%,VLOOKUP(A11,'Données projet (1)'!$A$243:$I$263,5,0)*VLOOKUP('Données projet (1)'!$B$17,'Paramètres (1)'!$A$1:$I$88,7,0))</f>
        <v>#REF!</v>
      </c>
      <c r="GJ11" s="135" t="str">
        <f>IF(ISNA(VLOOKUP(A11,'Données projet (1)'!$A$243:$I$263,6,0)),0%,VLOOKUP(A11,'Données projet (1)'!$A$243:$I$263,6,0)*VLOOKUP('Données projet (1)'!$B$17,'Paramètres (1)'!$A$1:$I$88,7,0))</f>
        <v>#REF!</v>
      </c>
      <c r="GK11" s="135" t="str">
        <f t="shared" si="94"/>
        <v>#REF!</v>
      </c>
      <c r="GL11" s="142" t="str">
        <f>EXP(-LN(2)/35)*GL10+(1-EXP(-LN(2)/35))/(LN(2)/35)*GH11*GI11*VLOOKUP('Données projet (1)'!$B$17,'Paramètres (1)'!$A$1:$I$88,3,0)*0.475*44/12</f>
        <v>#REF!</v>
      </c>
      <c r="GM11" s="142" t="str">
        <f>EXP(-LN(2)/25)*GM10+(1-EXP(-LN(2)/25))/(LN(2)/25)*'Calculateur (1)'!GH11*'Calculateur (1)'!GJ11*VLOOKUP('Données projet (1)'!$B$17,'Paramètres (1)'!$A$1:$I$88,3,0)*0.475*44/12</f>
        <v>#REF!</v>
      </c>
      <c r="GN11" s="142" t="str">
        <f>EXP(-LN(2)/2)*GN10+(1-EXP(-LN(2)/2))/(LN(2)/2)*GH11*GK11*VLOOKUP('Données projet (1)'!$B$17,'Paramètres (1)'!$A$1:$I$88,3,0)*0.475*44/12</f>
        <v>#REF!</v>
      </c>
      <c r="GO11" s="142" t="str">
        <f t="shared" si="95"/>
        <v>#REF!</v>
      </c>
      <c r="GP11" s="139" t="str">
        <f t="shared" si="96"/>
        <v>#REF!</v>
      </c>
      <c r="GQ11" s="131" t="str">
        <f t="shared" si="97"/>
        <v>#REF!</v>
      </c>
      <c r="GR11" s="131" t="str">
        <f t="shared" si="144"/>
        <v>#REF!</v>
      </c>
      <c r="GS11" s="131" t="str">
        <f t="shared" si="98"/>
        <v>#REF!</v>
      </c>
      <c r="GT11" s="131" t="str">
        <f t="array" ref="GT11">INDEX(GS:GS,MIN(IF(ISNUMBER(GS11:GS207),ROW(GS11:GS207),"")))</f>
        <v/>
      </c>
      <c r="GU11" s="131" t="str">
        <f t="shared" si="145"/>
        <v>#REF!</v>
      </c>
      <c r="GV11" s="138" t="str">
        <f>GU11*VLOOKUP('Données projet (1)'!$B$18,'Paramètres (1)'!$A$1:$I$88,3,0)*VLOOKUP('Données projet (1)'!$B$18,'Paramètres (1)'!$A$1:$I$88,5,0)</f>
        <v>#REF!</v>
      </c>
      <c r="GW11" s="130" t="str">
        <f t="shared" si="146"/>
        <v>#REF!</v>
      </c>
      <c r="GX11" s="141" t="str">
        <f t="shared" si="99"/>
        <v>#REF!</v>
      </c>
      <c r="GY11" s="133" t="str">
        <f t="shared" si="100"/>
        <v>#REF!</v>
      </c>
      <c r="GZ11" s="133" t="str">
        <f t="shared" si="101"/>
        <v>#REF!</v>
      </c>
      <c r="HA11" s="133" t="str">
        <f t="shared" si="147"/>
        <v>#REF!</v>
      </c>
      <c r="HB11" s="134" t="str">
        <f t="shared" si="102"/>
        <v>#REF!</v>
      </c>
      <c r="HC11" s="134" t="str">
        <f t="shared" si="103"/>
        <v>#REF!</v>
      </c>
      <c r="HD11" s="135" t="str">
        <f>IF(ISNA(VLOOKUP(A11,'Données projet (1)'!$A$269:$I$289,5,0)),0%,VLOOKUP(A11,'Données projet (1)'!$A$269:$I$289,5,0)*VLOOKUP('Données projet (1)'!$B$18,'Paramètres (1)'!$A$1:$I$88,7,0))</f>
        <v>#REF!</v>
      </c>
      <c r="HE11" s="135" t="str">
        <f>IF(ISNA(VLOOKUP(A11,'Données projet (1)'!$A$269:$I$289,6,0)),0%,VLOOKUP(A11,'Données projet (1)'!$A$269:$I$289,6,0)*VLOOKUP('Données projet (1)'!$B$18,'Paramètres (1)'!$A$1:$I$88,7,0))</f>
        <v>#REF!</v>
      </c>
      <c r="HF11" s="135" t="str">
        <f t="shared" si="104"/>
        <v>#REF!</v>
      </c>
      <c r="HG11" s="142" t="str">
        <f>EXP(-LN(2)/35)*HG10+(1-EXP(-LN(2)/35))/(LN(2)/35)*HC11*HD11*VLOOKUP('Données projet (1)'!$B$18,'Paramètres (1)'!$A$1:$I$88,3,0)*0.475*44/12</f>
        <v>#REF!</v>
      </c>
      <c r="HH11" s="142" t="str">
        <f>EXP(-LN(2)/25)*HH10+(1-EXP(-LN(2)/25))/(LN(2)/25)*'Calculateur (1)'!HC11*'Calculateur (1)'!HE11*VLOOKUP('Données projet (1)'!$B$18,'Paramètres (1)'!$A$1:$I$88,3,0)*0.475*44/12</f>
        <v>#REF!</v>
      </c>
      <c r="HI11" s="142" t="str">
        <f>EXP(-LN(2)/2)*HI10+(1-EXP(-LN(2)/2))/(LN(2)/2)*HC11*HF11*VLOOKUP('Données projet (1)'!$B$18,'Paramètres (1)'!$A$1:$I$88,3,0)*0.475*44/12</f>
        <v>#REF!</v>
      </c>
      <c r="HJ11" s="143" t="str">
        <f t="shared" si="105"/>
        <v>#REF!</v>
      </c>
    </row>
    <row r="12" ht="14.25" customHeight="1">
      <c r="A12" s="125">
        <f t="shared" si="106"/>
        <v>9</v>
      </c>
      <c r="B12" s="126" t="str">
        <f t="shared" si="1"/>
        <v>#REF!</v>
      </c>
      <c r="C12" s="140" t="str">
        <f>'Calculateur (1)'!C11+'Scénario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" s="127">
        <f t="shared" si="107"/>
        <v>0</v>
      </c>
      <c r="E12" s="127" t="str">
        <f t="shared" si="2"/>
        <v>#REF!</v>
      </c>
      <c r="F12" s="127" t="str">
        <f t="shared" si="3"/>
        <v>#REF!</v>
      </c>
      <c r="G12" s="127" t="str">
        <f t="shared" si="4"/>
        <v>#REF!</v>
      </c>
      <c r="H12" s="128" t="str">
        <f t="shared" si="5"/>
        <v>#REF!</v>
      </c>
      <c r="I12" s="129" t="str">
        <f t="shared" si="6"/>
        <v>#REF!</v>
      </c>
      <c r="J12" s="130" t="str">
        <f t="shared" si="7"/>
        <v>#REF!</v>
      </c>
      <c r="K12" s="131" t="str">
        <f t="shared" si="108"/>
        <v>#REF!</v>
      </c>
      <c r="L12" s="131" t="str">
        <f t="shared" si="8"/>
        <v>#REF!</v>
      </c>
      <c r="M12" s="131" t="str">
        <f t="array" ref="M12">INDEX(L:L,MIN(IF(ISNUMBER(L12:L208),ROW(L12:L208),"")))</f>
        <v/>
      </c>
      <c r="N12" s="130" t="str">
        <f t="shared" si="109"/>
        <v>#REF!</v>
      </c>
      <c r="O12" s="130" t="str">
        <f>N12*VLOOKUP('Données projet (1)'!$B$9,'Paramètres (1)'!$A$1:$I$88,3,0)*VLOOKUP('Données projet (1)'!$B$9,'Paramètres (1)'!$A$1:$I$88,5,0)</f>
        <v>#REF!</v>
      </c>
      <c r="P12" s="130" t="str">
        <f t="shared" si="110"/>
        <v>#REF!</v>
      </c>
      <c r="Q12" s="141" t="str">
        <f t="shared" si="9"/>
        <v>#REF!</v>
      </c>
      <c r="R12" s="133" t="str">
        <f t="shared" si="10"/>
        <v>#REF!</v>
      </c>
      <c r="S12" s="133" t="str">
        <f t="shared" si="11"/>
        <v>#REF!</v>
      </c>
      <c r="T12" s="133" t="str">
        <f t="shared" si="111"/>
        <v>#REF!</v>
      </c>
      <c r="U12" s="134" t="str">
        <f t="shared" si="12"/>
        <v>#REF!</v>
      </c>
      <c r="V12" s="134" t="str">
        <f t="shared" si="13"/>
        <v>#REF!</v>
      </c>
      <c r="W12" s="135" t="str">
        <f>IF(ISNA(VLOOKUP(A12,'Données projet (1)'!$A$35:$I$55,5,0)),0%,VLOOKUP(A12,'Données projet (1)'!$A$35:$I$55,5,0)*VLOOKUP('Données projet (1)'!$B$9,'Paramètres (1)'!$A$1:$I$88,7,0))</f>
        <v>#REF!</v>
      </c>
      <c r="X12" s="135" t="str">
        <f>IF(ISNA(VLOOKUP(A12,'Données projet (1)'!$A$35:$I$55,6,0)),0%,VLOOKUP(A12,'Données projet (1)'!$A$35:$I$55,6,0)*VLOOKUP('Données projet (1)'!$B$9,'Paramètres (1)'!$A$1:$I$88,7,0))</f>
        <v>#REF!</v>
      </c>
      <c r="Y12" s="135" t="str">
        <f t="shared" si="14"/>
        <v>#REF!</v>
      </c>
      <c r="Z12" s="142" t="str">
        <f>EXP(-LN(2)/35)*Z11+(1-EXP(-LN(2)/35))/(LN(2)/35)*V12*W12*VLOOKUP('Données projet (1)'!$B$9,'Paramètres (1)'!$A$1:$I$88,3,0)*0.475*44/12</f>
        <v>#REF!</v>
      </c>
      <c r="AA12" s="142" t="str">
        <f>EXP(-LN(2)/25)*AA11+(1-EXP(-LN(2)/25))/(LN(2)/25)*'Calculateur (1)'!V12*'Calculateur (1)'!X12*VLOOKUP('Données projet (1)'!$B$9,'Paramètres (1)'!$A$1:$I$88,3,0)*0.475*44/12</f>
        <v>#REF!</v>
      </c>
      <c r="AB12" s="142" t="str">
        <f>EXP(-LN(2)/2)*AB11+(1-EXP(-LN(2)/2))/(LN(2)/2)*V12*Y12*VLOOKUP('Données projet (1)'!$B$9,'Paramètres (1)'!$A$1:$I$88,3,0)*0.475*44/12</f>
        <v>#REF!</v>
      </c>
      <c r="AC12" s="143" t="str">
        <f t="shared" si="15"/>
        <v>#REF!</v>
      </c>
      <c r="AD12" s="130" t="str">
        <f t="shared" si="16"/>
        <v>#REF!</v>
      </c>
      <c r="AE12" s="130" t="str">
        <f t="shared" si="17"/>
        <v>#REF!</v>
      </c>
      <c r="AF12" s="131" t="str">
        <f t="shared" si="112"/>
        <v>#REF!</v>
      </c>
      <c r="AG12" s="131" t="str">
        <f t="shared" si="18"/>
        <v>#REF!</v>
      </c>
      <c r="AH12" s="131" t="str">
        <f t="array" ref="AH12">INDEX(AG:AG,MIN(IF(ISNUMBER(AG12:AG208),ROW(AG12:AG208),"")))</f>
        <v/>
      </c>
      <c r="AI12" s="130" t="str">
        <f t="shared" si="113"/>
        <v>#REF!</v>
      </c>
      <c r="AJ12" s="130" t="str">
        <f>AI12*VLOOKUP('Données projet (1)'!$B$10,'Paramètres (1)'!$A$1:$I$88,3,0)*VLOOKUP('Données projet (1)'!$B$10,'Paramètres (1)'!$A$1:$I$88,5,0)</f>
        <v>#REF!</v>
      </c>
      <c r="AK12" s="130" t="str">
        <f t="shared" si="114"/>
        <v>#REF!</v>
      </c>
      <c r="AL12" s="141" t="str">
        <f t="shared" si="19"/>
        <v>#REF!</v>
      </c>
      <c r="AM12" s="133" t="str">
        <f t="shared" si="20"/>
        <v>#REF!</v>
      </c>
      <c r="AN12" s="133" t="str">
        <f t="shared" si="21"/>
        <v>#REF!</v>
      </c>
      <c r="AO12" s="133" t="str">
        <f t="shared" si="115"/>
        <v>#REF!</v>
      </c>
      <c r="AP12" s="134" t="str">
        <f t="shared" si="22"/>
        <v>#REF!</v>
      </c>
      <c r="AQ12" s="134" t="str">
        <f t="shared" si="23"/>
        <v>#REF!</v>
      </c>
      <c r="AR12" s="135" t="str">
        <f>IF(ISNA(VLOOKUP(A12,'Données projet (1)'!$A$61:$I$81,5,0)),0%,VLOOKUP(A12,'Données projet (1)'!$A$61:$I$81,5,0)*VLOOKUP('Données projet (1)'!$B$10,'Paramètres (1)'!$A$1:$I$88,7,0))</f>
        <v>#REF!</v>
      </c>
      <c r="AS12" s="135" t="str">
        <f>IF(ISNA(VLOOKUP(A12,'Données projet (1)'!$A$61:$I$81,6,0)),0%,VLOOKUP(A12,'Données projet (1)'!$A$61:$I$81,6,0)*VLOOKUP('Données projet (1)'!$B$10,'Paramètres (1)'!$A$1:$I$88,7,0))</f>
        <v>#REF!</v>
      </c>
      <c r="AT12" s="135" t="str">
        <f t="shared" si="24"/>
        <v>#REF!</v>
      </c>
      <c r="AU12" s="142" t="str">
        <f>EXP(-LN(2)/35)*AU11+(1-EXP(-LN(2)/35))/(LN(2)/35)*AQ12*AR12*VLOOKUP('Données projet (1)'!$B$10,'Paramètres (1)'!$A$1:$I$88,3,0)*0.475*44/12</f>
        <v>#REF!</v>
      </c>
      <c r="AV12" s="142" t="str">
        <f>EXP(-LN(2)/25)*AV11+(1-EXP(-LN(2)/25))/(LN(2)/25)*'Calculateur (1)'!AQ12*'Calculateur (1)'!AS12*VLOOKUP('Données projet (1)'!$B$10,'Paramètres (1)'!$A$1:$I$88,3,0)*0.475*44/12</f>
        <v>#REF!</v>
      </c>
      <c r="AW12" s="142" t="str">
        <f>EXP(-LN(2)/2)*AW11+(1-EXP(-LN(2)/2))/(LN(2)/2)*AQ12*AT12*VLOOKUP('Données projet (1)'!$B$10,'Paramètres (1)'!$A$1:$I$88,3,0)*0.475*44/12</f>
        <v>#REF!</v>
      </c>
      <c r="AX12" s="142" t="str">
        <f t="shared" si="25"/>
        <v>#REF!</v>
      </c>
      <c r="AY12" s="137" t="str">
        <f t="shared" si="26"/>
        <v>#REF!</v>
      </c>
      <c r="AZ12" s="131" t="str">
        <f t="shared" si="27"/>
        <v>#REF!</v>
      </c>
      <c r="BA12" s="131" t="str">
        <f t="shared" si="116"/>
        <v>#REF!</v>
      </c>
      <c r="BB12" s="131" t="str">
        <f t="shared" si="28"/>
        <v>#REF!</v>
      </c>
      <c r="BC12" s="131" t="str">
        <f t="array" ref="BC12">INDEX(BB:BB,MIN(IF(ISNUMBER(BB12:BB208),ROW(BB12:BB208),"")))</f>
        <v/>
      </c>
      <c r="BD12" s="131" t="str">
        <f t="shared" si="117"/>
        <v>#REF!</v>
      </c>
      <c r="BE12" s="130" t="str">
        <f>BD12*VLOOKUP('Données projet (1)'!$B$11,'Paramètres (1)'!$A$1:$I$88,3,0)*VLOOKUP('Données projet (1)'!$B$11,'Paramètres (1)'!$A$1:$I$88,5,0)</f>
        <v>#REF!</v>
      </c>
      <c r="BF12" s="130" t="str">
        <f t="shared" si="118"/>
        <v>#REF!</v>
      </c>
      <c r="BG12" s="141" t="str">
        <f t="shared" si="29"/>
        <v>#REF!</v>
      </c>
      <c r="BH12" s="133" t="str">
        <f t="shared" si="30"/>
        <v>#REF!</v>
      </c>
      <c r="BI12" s="133" t="str">
        <f t="shared" si="31"/>
        <v>#REF!</v>
      </c>
      <c r="BJ12" s="133" t="str">
        <f t="shared" si="119"/>
        <v>#REF!</v>
      </c>
      <c r="BK12" s="134" t="str">
        <f t="shared" si="32"/>
        <v>#REF!</v>
      </c>
      <c r="BL12" s="134" t="str">
        <f t="shared" si="33"/>
        <v>#REF!</v>
      </c>
      <c r="BM12" s="135" t="str">
        <f>IF(ISNA(VLOOKUP(A12,'Données projet (1)'!$A$87:$I$107,5,0)),0%,VLOOKUP(A12,'Données projet (1)'!$A$87:$I$107,5,0)*VLOOKUP('Données projet (1)'!$B$11,'Paramètres (1)'!$A$1:$I$88,7,0))</f>
        <v>#REF!</v>
      </c>
      <c r="BN12" s="135" t="str">
        <f>IF(ISNA(VLOOKUP(A12,'Données projet (1)'!$A$87:$I$107,6,0)),0%,VLOOKUP(A12,'Données projet (1)'!$A$87:$I$107,6,0)*VLOOKUP('Données projet (1)'!$B$11,'Paramètres (1)'!$A$1:$I$88,7,0))</f>
        <v>#REF!</v>
      </c>
      <c r="BO12" s="135" t="str">
        <f t="shared" si="34"/>
        <v>#REF!</v>
      </c>
      <c r="BP12" s="142" t="str">
        <f>EXP(-LN(2)/35)*BP11+(1-EXP(-LN(2)/35))/(LN(2)/35)*BL12*BM12*VLOOKUP('Données projet (1)'!$B$11,'Paramètres (1)'!$A$1:$I$88,3,0)*0.475*44/12</f>
        <v>#REF!</v>
      </c>
      <c r="BQ12" s="142" t="str">
        <f>EXP(-LN(2)/25)*BQ11+(1-EXP(-LN(2)/25))/(LN(2)/25)*'Calculateur (1)'!BL12*'Calculateur (1)'!BN12*VLOOKUP('Données projet (1)'!$B$11,'Paramètres (1)'!$A$1:$I$88,3,0)*0.475*44/12</f>
        <v>#REF!</v>
      </c>
      <c r="BR12" s="142" t="str">
        <f>EXP(-LN(2)/2)*BR11+(1-EXP(-LN(2)/2))/(LN(2)/2)*BL12*BO12*VLOOKUP('Données projet (1)'!$B$11,'Paramètres (1)'!$A$1:$I$88,3,0)*0.475*44/12</f>
        <v>#REF!</v>
      </c>
      <c r="BS12" s="143" t="str">
        <f t="shared" si="35"/>
        <v>#REF!</v>
      </c>
      <c r="BT12" s="139" t="str">
        <f t="shared" si="36"/>
        <v>#REF!</v>
      </c>
      <c r="BU12" s="131" t="str">
        <f t="shared" si="37"/>
        <v>#REF!</v>
      </c>
      <c r="BV12" s="131" t="str">
        <f t="shared" si="120"/>
        <v>#REF!</v>
      </c>
      <c r="BW12" s="131" t="str">
        <f t="shared" si="38"/>
        <v>#REF!</v>
      </c>
      <c r="BX12" s="131" t="str">
        <f t="array" ref="BX12">INDEX(BW:BW,MIN(IF(ISNUMBER(BW12:BW208),ROW(BW12:BW208),"")))</f>
        <v/>
      </c>
      <c r="BY12" s="131" t="str">
        <f t="shared" si="121"/>
        <v>#REF!</v>
      </c>
      <c r="BZ12" s="130" t="str">
        <f>BY12*VLOOKUP('Données projet (1)'!$B$12,'Paramètres (1)'!$A$1:$I$88,3,0)*VLOOKUP('Données projet (1)'!$B$12,'Paramètres (1)'!$A$1:$I$88,5,0)</f>
        <v>#REF!</v>
      </c>
      <c r="CA12" s="130" t="str">
        <f t="shared" si="122"/>
        <v>#REF!</v>
      </c>
      <c r="CB12" s="141" t="str">
        <f t="shared" si="39"/>
        <v>#REF!</v>
      </c>
      <c r="CC12" s="133" t="str">
        <f t="shared" si="40"/>
        <v>#REF!</v>
      </c>
      <c r="CD12" s="133" t="str">
        <f t="shared" si="41"/>
        <v>#REF!</v>
      </c>
      <c r="CE12" s="133" t="str">
        <f t="shared" si="123"/>
        <v>#REF!</v>
      </c>
      <c r="CF12" s="134" t="str">
        <f t="shared" si="42"/>
        <v>#REF!</v>
      </c>
      <c r="CG12" s="134" t="str">
        <f t="shared" si="43"/>
        <v>#REF!</v>
      </c>
      <c r="CH12" s="135" t="str">
        <f>IF(ISNA(VLOOKUP(A12,'Données projet (1)'!$A$113:$I$133,5,0)),0%,VLOOKUP(A12,'Données projet (1)'!$A$113:$I$133,5,0)*VLOOKUP('Données projet (1)'!$B$12,'Paramètres (1)'!$A$1:$I$88,7,0))</f>
        <v>#REF!</v>
      </c>
      <c r="CI12" s="135" t="str">
        <f>IF(ISNA(VLOOKUP(A12,'Données projet (1)'!$A$113:$I$133,6,0)),0%,VLOOKUP(A12,'Données projet (1)'!$A$113:$I$133,6,0)*VLOOKUP('Données projet (1)'!$B$12,'Paramètres (1)'!$A$1:$I$88,7,0))</f>
        <v>#REF!</v>
      </c>
      <c r="CJ12" s="135" t="str">
        <f t="shared" si="44"/>
        <v>#REF!</v>
      </c>
      <c r="CK12" s="142" t="str">
        <f>EXP(-LN(2)/35)*CK11+(1-EXP(-LN(2)/35))/(LN(2)/35)*CG12*CH12*VLOOKUP('Données projet (1)'!$B$12,'Paramètres (1)'!$A$1:$I$88,3,0)*0.475*44/12</f>
        <v>#REF!</v>
      </c>
      <c r="CL12" s="142" t="str">
        <f>EXP(-LN(2)/25)*CL11+(1-EXP(-LN(2)/25))/(LN(2)/25)*'Calculateur (1)'!CG12*'Calculateur (1)'!CI12*VLOOKUP('Données projet (1)'!$B$12,'Paramètres (1)'!$A$1:$I$88,3,0)*0.475*44/12</f>
        <v>#REF!</v>
      </c>
      <c r="CM12" s="142" t="str">
        <f>EXP(-LN(2)/2)*CM11+(1-EXP(-LN(2)/2))/(LN(2)/2)*CG12*CJ12*VLOOKUP('Données projet (1)'!$B$12,'Paramètres (1)'!$A$1:$I$88,3,0)*0.475*44/12</f>
        <v>#REF!</v>
      </c>
      <c r="CN12" s="143" t="str">
        <f t="shared" si="45"/>
        <v>#REF!</v>
      </c>
      <c r="CO12" s="139" t="str">
        <f t="shared" si="46"/>
        <v>#REF!</v>
      </c>
      <c r="CP12" s="131" t="str">
        <f t="shared" si="47"/>
        <v>#REF!</v>
      </c>
      <c r="CQ12" s="131" t="str">
        <f t="shared" si="124"/>
        <v>#REF!</v>
      </c>
      <c r="CR12" s="131" t="str">
        <f t="shared" si="48"/>
        <v>#REF!</v>
      </c>
      <c r="CS12" s="131" t="str">
        <f t="array" ref="CS12">INDEX(CR:CR,MIN(IF(ISNUMBER(CR12:CR208),ROW(CR12:CR208),"")))</f>
        <v/>
      </c>
      <c r="CT12" s="131" t="str">
        <f t="shared" si="125"/>
        <v>#REF!</v>
      </c>
      <c r="CU12" s="138" t="str">
        <f>CT12*VLOOKUP('Données projet (1)'!$B$13,'Paramètres (1)'!$A$1:$I$88,3,0)*VLOOKUP('Données projet (1)'!$B$13,'Paramètres (1)'!$A$1:$I$88,5,0)</f>
        <v>#REF!</v>
      </c>
      <c r="CV12" s="130" t="str">
        <f t="shared" si="126"/>
        <v>#REF!</v>
      </c>
      <c r="CW12" s="141" t="str">
        <f t="shared" si="49"/>
        <v>#REF!</v>
      </c>
      <c r="CX12" s="133" t="str">
        <f t="shared" si="50"/>
        <v>#REF!</v>
      </c>
      <c r="CY12" s="133" t="str">
        <f t="shared" si="51"/>
        <v>#REF!</v>
      </c>
      <c r="CZ12" s="133" t="str">
        <f t="shared" si="127"/>
        <v>#REF!</v>
      </c>
      <c r="DA12" s="134" t="str">
        <f t="shared" si="52"/>
        <v>#REF!</v>
      </c>
      <c r="DB12" s="134" t="str">
        <f t="shared" si="53"/>
        <v>#REF!</v>
      </c>
      <c r="DC12" s="135" t="str">
        <f>IF(ISNA(VLOOKUP(A12,'Données projet (1)'!$A$139:$I$159,5,0)),0%,VLOOKUP(A12,'Données projet (1)'!$A$139:$I$159,5,0)*VLOOKUP('Données projet (1)'!$B$13,'Paramètres (1)'!$A$1:$I$88,7,0))</f>
        <v>#REF!</v>
      </c>
      <c r="DD12" s="135" t="str">
        <f>IF(ISNA(VLOOKUP(A12,'Données projet (1)'!$A$139:$I$159,6,0)),0%,VLOOKUP(A12,'Données projet (1)'!$A$139:$I$159,6,0)*VLOOKUP('Données projet (1)'!$B$13,'Paramètres (1)'!$A$1:$I$88,7,0))</f>
        <v>#REF!</v>
      </c>
      <c r="DE12" s="135" t="str">
        <f t="shared" si="54"/>
        <v>#REF!</v>
      </c>
      <c r="DF12" s="142" t="str">
        <f>EXP(-LN(2)/35)*DF11+(1-EXP(-LN(2)/35))/(LN(2)/35)*DB12*DC12*VLOOKUP('Données projet (1)'!$B$13,'Paramètres (1)'!$A$1:$I$88,3,0)*0.475*44/12</f>
        <v>#REF!</v>
      </c>
      <c r="DG12" s="142" t="str">
        <f>EXP(-LN(2)/25)*DG11+(1-EXP(-LN(2)/25))/(LN(2)/25)*'Calculateur (1)'!DB12*'Calculateur (1)'!DD12*VLOOKUP('Données projet (1)'!$B$13,'Paramètres (1)'!$A$1:$I$88,3,0)*0.475*44/12</f>
        <v>#REF!</v>
      </c>
      <c r="DH12" s="142" t="str">
        <f>EXP(-LN(2)/2)*DH11+(1-EXP(-LN(2)/2))/(LN(2)/2)*DB12*DE12*VLOOKUP('Données projet (1)'!$B$13,'Paramètres (1)'!$A$1:$I$88,3,0)*0.475*44/12</f>
        <v>#REF!</v>
      </c>
      <c r="DI12" s="143" t="str">
        <f t="shared" si="55"/>
        <v>#REF!</v>
      </c>
      <c r="DJ12" s="139" t="str">
        <f t="shared" si="56"/>
        <v>#REF!</v>
      </c>
      <c r="DK12" s="131" t="str">
        <f t="shared" si="57"/>
        <v>#REF!</v>
      </c>
      <c r="DL12" s="131" t="str">
        <f t="shared" si="128"/>
        <v>#REF!</v>
      </c>
      <c r="DM12" s="131" t="str">
        <f t="shared" si="58"/>
        <v>#REF!</v>
      </c>
      <c r="DN12" s="131" t="str">
        <f t="array" ref="DN12">INDEX(DM:DM,MIN(IF(ISNUMBER(DM12:DM208),ROW(DM12:DM208),"")))</f>
        <v/>
      </c>
      <c r="DO12" s="131" t="str">
        <f t="shared" si="129"/>
        <v>#REF!</v>
      </c>
      <c r="DP12" s="138" t="str">
        <f>DO12*VLOOKUP('Données projet (1)'!$B$14,'Paramètres (1)'!$A$1:$I$88,3,0)*VLOOKUP('Données projet (1)'!$B$14,'Paramètres (1)'!$A$1:$I$88,5,0)</f>
        <v>#REF!</v>
      </c>
      <c r="DQ12" s="130" t="str">
        <f t="shared" si="130"/>
        <v>#REF!</v>
      </c>
      <c r="DR12" s="141" t="str">
        <f t="shared" si="59"/>
        <v>#REF!</v>
      </c>
      <c r="DS12" s="133" t="str">
        <f t="shared" si="60"/>
        <v>#REF!</v>
      </c>
      <c r="DT12" s="133" t="str">
        <f t="shared" si="61"/>
        <v>#REF!</v>
      </c>
      <c r="DU12" s="133" t="str">
        <f t="shared" si="131"/>
        <v>#REF!</v>
      </c>
      <c r="DV12" s="134" t="str">
        <f t="shared" si="62"/>
        <v>#REF!</v>
      </c>
      <c r="DW12" s="134" t="str">
        <f t="shared" si="63"/>
        <v>#REF!</v>
      </c>
      <c r="DX12" s="135" t="str">
        <f>IF(ISNA(VLOOKUP(A12,'Données projet (1)'!$A$165:$I$185,5,0)),0%,VLOOKUP(A12,'Données projet (1)'!$A$165:$I$185,5,0)*VLOOKUP('Données projet (1)'!$B$14,'Paramètres (1)'!$A$1:$I$88,7,0))</f>
        <v>#REF!</v>
      </c>
      <c r="DY12" s="135" t="str">
        <f>IF(ISNA(VLOOKUP(A12,'Données projet (1)'!$A$165:$I$185,6,0)),0%,VLOOKUP(A12,'Données projet (1)'!$A$165:$I$185,6,0)*VLOOKUP('Données projet (1)'!$B$14,'Paramètres (1)'!$A$1:$I$88,7,0))</f>
        <v>#REF!</v>
      </c>
      <c r="DZ12" s="135" t="str">
        <f t="shared" si="64"/>
        <v>#REF!</v>
      </c>
      <c r="EA12" s="142" t="str">
        <f>EXP(-LN(2)/35)*EA11+(1-EXP(-LN(2)/35))/(LN(2)/35)*DW12*DX12*VLOOKUP('Données projet (1)'!$B$14,'Paramètres (1)'!$A$1:$I$88,3,0)*0.475*44/12</f>
        <v>#REF!</v>
      </c>
      <c r="EB12" s="142" t="str">
        <f>EXP(-LN(2)/25)*EB11+(1-EXP(-LN(2)/25))/(LN(2)/25)*'Calculateur (1)'!DW12*'Calculateur (1)'!DY12*VLOOKUP('Données projet (1)'!$B$14,'Paramètres (1)'!$A$1:$I$88,3,0)*0.475*44/12</f>
        <v>#REF!</v>
      </c>
      <c r="EC12" s="142" t="str">
        <f>EXP(-LN(2)/2)*EC11+(1-EXP(-LN(2)/2))/(LN(2)/2)*DW12*DZ12*VLOOKUP('Données projet (1)'!$B$14,'Paramètres (1)'!$A$1:$I$88,3,0)*0.475*44/12</f>
        <v>#REF!</v>
      </c>
      <c r="ED12" s="143" t="str">
        <f t="shared" si="65"/>
        <v>#REF!</v>
      </c>
      <c r="EE12" s="139" t="str">
        <f t="shared" si="66"/>
        <v>#REF!</v>
      </c>
      <c r="EF12" s="131" t="str">
        <f t="shared" si="67"/>
        <v>#REF!</v>
      </c>
      <c r="EG12" s="131" t="str">
        <f t="shared" si="132"/>
        <v>#REF!</v>
      </c>
      <c r="EH12" s="131" t="str">
        <f t="shared" si="68"/>
        <v>#REF!</v>
      </c>
      <c r="EI12" s="131" t="str">
        <f t="array" ref="EI12">INDEX(EH:EH,MIN(IF(ISNUMBER(EH12:EH208),ROW(EH12:EH208),"")))</f>
        <v/>
      </c>
      <c r="EJ12" s="131" t="str">
        <f t="shared" si="133"/>
        <v>#REF!</v>
      </c>
      <c r="EK12" s="138" t="str">
        <f>EJ12*VLOOKUP('Données projet (1)'!$B$15,'Paramètres (1)'!$A$1:$I$88,3,0)*VLOOKUP('Données projet (1)'!$B$15,'Paramètres (1)'!$A$1:$I$88,5,0)</f>
        <v>#REF!</v>
      </c>
      <c r="EL12" s="130" t="str">
        <f t="shared" si="134"/>
        <v>#REF!</v>
      </c>
      <c r="EM12" s="141" t="str">
        <f t="shared" si="69"/>
        <v>#REF!</v>
      </c>
      <c r="EN12" s="133" t="str">
        <f t="shared" si="70"/>
        <v>#REF!</v>
      </c>
      <c r="EO12" s="133" t="str">
        <f t="shared" si="71"/>
        <v>#REF!</v>
      </c>
      <c r="EP12" s="133" t="str">
        <f t="shared" si="135"/>
        <v>#REF!</v>
      </c>
      <c r="EQ12" s="134" t="str">
        <f t="shared" si="72"/>
        <v>#REF!</v>
      </c>
      <c r="ER12" s="134" t="str">
        <f t="shared" si="73"/>
        <v>#REF!</v>
      </c>
      <c r="ES12" s="135" t="str">
        <f>IF(ISNA(VLOOKUP(A12,'Données projet (1)'!$A$191:$I$211,5,0)),0%,VLOOKUP(A12,'Données projet (1)'!$A$191:$I$211,5,0)*VLOOKUP('Données projet (1)'!$B$15,'Paramètres (1)'!$A$1:$I$88,7,0))</f>
        <v>#REF!</v>
      </c>
      <c r="ET12" s="135" t="str">
        <f>IF(ISNA(VLOOKUP(A12,'Données projet (1)'!$A$191:$I$211,6,0)),0%,VLOOKUP(A12,'Données projet (1)'!$A$191:$I$211,6,0)*VLOOKUP('Données projet (1)'!$B$15,'Paramètres (1)'!$A$1:$I$88,7,0))</f>
        <v>#REF!</v>
      </c>
      <c r="EU12" s="135" t="str">
        <f t="shared" si="74"/>
        <v>#REF!</v>
      </c>
      <c r="EV12" s="142" t="str">
        <f>EXP(-LN(2)/35)*EV11+(1-EXP(-LN(2)/35))/(LN(2)/35)*ER12*ES12*VLOOKUP('Données projet (1)'!$B$15,'Paramètres (1)'!$A$1:$I$88,3,0)*0.475*44/12</f>
        <v>#REF!</v>
      </c>
      <c r="EW12" s="142" t="str">
        <f>EXP(-LN(2)/25)*EW11+(1-EXP(-LN(2)/25))/(LN(2)/25)*'Calculateur (1)'!ER12*'Calculateur (1)'!ET12*VLOOKUP('Données projet (1)'!$B$15,'Paramètres (1)'!$A$1:$I$88,3,0)*0.475*44/12</f>
        <v>#REF!</v>
      </c>
      <c r="EX12" s="142" t="str">
        <f>EXP(-LN(2)/2)*EX11+(1-EXP(-LN(2)/2))/(LN(2)/2)*ER12*EU12*VLOOKUP('Données projet (1)'!$B$15,'Paramètres (1)'!$A$1:$I$88,3,0)*0.475*44/12</f>
        <v>#REF!</v>
      </c>
      <c r="EY12" s="143" t="str">
        <f t="shared" si="75"/>
        <v>#REF!</v>
      </c>
      <c r="EZ12" s="139" t="str">
        <f t="shared" si="76"/>
        <v>#REF!</v>
      </c>
      <c r="FA12" s="131" t="str">
        <f t="shared" si="77"/>
        <v>#REF!</v>
      </c>
      <c r="FB12" s="131" t="str">
        <f t="shared" si="136"/>
        <v>#REF!</v>
      </c>
      <c r="FC12" s="131" t="str">
        <f t="shared" si="78"/>
        <v>#REF!</v>
      </c>
      <c r="FD12" s="131" t="str">
        <f t="array" ref="FD12">INDEX(FC:FC,MIN(IF(ISNUMBER(FC12:FC208),ROW(FC12:FC208),"")))</f>
        <v/>
      </c>
      <c r="FE12" s="131" t="str">
        <f t="shared" si="137"/>
        <v>#REF!</v>
      </c>
      <c r="FF12" s="138" t="str">
        <f>FE12*VLOOKUP('Données projet (1)'!$B$16,'Paramètres (1)'!$A$1:$I$88,3,0)*VLOOKUP('Données projet (1)'!$B$16,'Paramètres (1)'!$A$1:$I$88,5,0)</f>
        <v>#REF!</v>
      </c>
      <c r="FG12" s="130" t="str">
        <f t="shared" si="138"/>
        <v>#REF!</v>
      </c>
      <c r="FH12" s="141" t="str">
        <f t="shared" si="79"/>
        <v>#REF!</v>
      </c>
      <c r="FI12" s="133" t="str">
        <f t="shared" si="80"/>
        <v>#REF!</v>
      </c>
      <c r="FJ12" s="133" t="str">
        <f t="shared" si="81"/>
        <v>#REF!</v>
      </c>
      <c r="FK12" s="133" t="str">
        <f t="shared" si="139"/>
        <v>#REF!</v>
      </c>
      <c r="FL12" s="134" t="str">
        <f t="shared" si="82"/>
        <v>#REF!</v>
      </c>
      <c r="FM12" s="134" t="str">
        <f t="shared" si="83"/>
        <v>#REF!</v>
      </c>
      <c r="FN12" s="135" t="str">
        <f>IF(ISNA(VLOOKUP(A12,'Données projet (1)'!$A$217:$I$237,5,0)),0%,VLOOKUP(A12,'Données projet (1)'!$A$217:$I$237,5,0)*VLOOKUP('Données projet (1)'!$B$16,'Paramètres (1)'!$A$1:$I$88,7,0))</f>
        <v>#REF!</v>
      </c>
      <c r="FO12" s="135" t="str">
        <f>IF(ISNA(VLOOKUP(A12,'Données projet (1)'!$A$217:$I$237,6,0)),0%,VLOOKUP(A12,'Données projet (1)'!$A$217:$I$237,6,0)*VLOOKUP('Données projet (1)'!$B$16,'Paramètres (1)'!$A$1:$I$88,7,0))</f>
        <v>#REF!</v>
      </c>
      <c r="FP12" s="135" t="str">
        <f t="shared" si="84"/>
        <v>#REF!</v>
      </c>
      <c r="FQ12" s="142" t="str">
        <f>EXP(-LN(2)/35)*FQ11+(1-EXP(-LN(2)/35))/(LN(2)/35)*FM12*FN12*VLOOKUP('Données projet (1)'!$B$16,'Paramètres (1)'!$A$1:$I$88,3,0)*0.475*44/12</f>
        <v>#REF!</v>
      </c>
      <c r="FR12" s="142" t="str">
        <f>EXP(-LN(2)/25)*FR11+(1-EXP(-LN(2)/25))/(LN(2)/25)*'Calculateur (1)'!FM12*'Calculateur (1)'!FO12*VLOOKUP('Données projet (1)'!$B$16,'Paramètres (1)'!$A$1:$I$88,3,0)*0.475*44/12</f>
        <v>#REF!</v>
      </c>
      <c r="FS12" s="142" t="str">
        <f>EXP(-LN(2)/2)*FS11+(1-EXP(-LN(2)/2))/(LN(2)/2)*FM12*FP12*VLOOKUP('Données projet (1)'!$B$16,'Paramètres (1)'!$A$1:$I$88,3,0)*0.475*44/12</f>
        <v>#REF!</v>
      </c>
      <c r="FT12" s="143" t="str">
        <f t="shared" si="85"/>
        <v>#REF!</v>
      </c>
      <c r="FU12" s="139" t="str">
        <f t="shared" si="86"/>
        <v>#REF!</v>
      </c>
      <c r="FV12" s="131" t="str">
        <f t="shared" si="87"/>
        <v>#REF!</v>
      </c>
      <c r="FW12" s="131" t="str">
        <f t="shared" si="140"/>
        <v>#REF!</v>
      </c>
      <c r="FX12" s="131" t="str">
        <f t="shared" si="88"/>
        <v>#REF!</v>
      </c>
      <c r="FY12" s="131" t="str">
        <f t="array" ref="FY12">INDEX(FX:FX,MIN(IF(ISNUMBER(FX12:FX208),ROW(FX12:FX208),"")))</f>
        <v/>
      </c>
      <c r="FZ12" s="131" t="str">
        <f t="shared" si="141"/>
        <v>#REF!</v>
      </c>
      <c r="GA12" s="138" t="str">
        <f>FZ12*VLOOKUP('Données projet (1)'!$B$17,'Paramètres (1)'!$A$1:$I$88,3,0)*VLOOKUP('Données projet (1)'!$B$17,'Paramètres (1)'!$A$1:$I$88,5,0)</f>
        <v>#REF!</v>
      </c>
      <c r="GB12" s="130" t="str">
        <f t="shared" si="142"/>
        <v>#REF!</v>
      </c>
      <c r="GC12" s="141" t="str">
        <f t="shared" si="89"/>
        <v>#REF!</v>
      </c>
      <c r="GD12" s="133" t="str">
        <f t="shared" si="90"/>
        <v>#REF!</v>
      </c>
      <c r="GE12" s="133" t="str">
        <f t="shared" si="91"/>
        <v>#REF!</v>
      </c>
      <c r="GF12" s="133" t="str">
        <f t="shared" si="143"/>
        <v>#REF!</v>
      </c>
      <c r="GG12" s="134" t="str">
        <f t="shared" si="92"/>
        <v>#REF!</v>
      </c>
      <c r="GH12" s="134" t="str">
        <f t="shared" si="93"/>
        <v>#REF!</v>
      </c>
      <c r="GI12" s="135" t="str">
        <f>IF(ISNA(VLOOKUP(A12,'Données projet (1)'!$A$243:$I$263,5,0)),0%,VLOOKUP(A12,'Données projet (1)'!$A$243:$I$263,5,0)*VLOOKUP('Données projet (1)'!$B$17,'Paramètres (1)'!$A$1:$I$88,7,0))</f>
        <v>#REF!</v>
      </c>
      <c r="GJ12" s="135" t="str">
        <f>IF(ISNA(VLOOKUP(A12,'Données projet (1)'!$A$243:$I$263,6,0)),0%,VLOOKUP(A12,'Données projet (1)'!$A$243:$I$263,6,0)*VLOOKUP('Données projet (1)'!$B$17,'Paramètres (1)'!$A$1:$I$88,7,0))</f>
        <v>#REF!</v>
      </c>
      <c r="GK12" s="135" t="str">
        <f t="shared" si="94"/>
        <v>#REF!</v>
      </c>
      <c r="GL12" s="142" t="str">
        <f>EXP(-LN(2)/35)*GL11+(1-EXP(-LN(2)/35))/(LN(2)/35)*GH12*GI12*VLOOKUP('Données projet (1)'!$B$17,'Paramètres (1)'!$A$1:$I$88,3,0)*0.475*44/12</f>
        <v>#REF!</v>
      </c>
      <c r="GM12" s="142" t="str">
        <f>EXP(-LN(2)/25)*GM11+(1-EXP(-LN(2)/25))/(LN(2)/25)*'Calculateur (1)'!GH12*'Calculateur (1)'!GJ12*VLOOKUP('Données projet (1)'!$B$17,'Paramètres (1)'!$A$1:$I$88,3,0)*0.475*44/12</f>
        <v>#REF!</v>
      </c>
      <c r="GN12" s="142" t="str">
        <f>EXP(-LN(2)/2)*GN11+(1-EXP(-LN(2)/2))/(LN(2)/2)*GH12*GK12*VLOOKUP('Données projet (1)'!$B$17,'Paramètres (1)'!$A$1:$I$88,3,0)*0.475*44/12</f>
        <v>#REF!</v>
      </c>
      <c r="GO12" s="142" t="str">
        <f t="shared" si="95"/>
        <v>#REF!</v>
      </c>
      <c r="GP12" s="139" t="str">
        <f t="shared" si="96"/>
        <v>#REF!</v>
      </c>
      <c r="GQ12" s="131" t="str">
        <f t="shared" si="97"/>
        <v>#REF!</v>
      </c>
      <c r="GR12" s="131" t="str">
        <f t="shared" si="144"/>
        <v>#REF!</v>
      </c>
      <c r="GS12" s="131" t="str">
        <f t="shared" si="98"/>
        <v>#REF!</v>
      </c>
      <c r="GT12" s="131" t="str">
        <f t="array" ref="GT12">INDEX(GS:GS,MIN(IF(ISNUMBER(GS12:GS208),ROW(GS12:GS208),"")))</f>
        <v/>
      </c>
      <c r="GU12" s="131" t="str">
        <f t="shared" si="145"/>
        <v>#REF!</v>
      </c>
      <c r="GV12" s="138" t="str">
        <f>GU12*VLOOKUP('Données projet (1)'!$B$18,'Paramètres (1)'!$A$1:$I$88,3,0)*VLOOKUP('Données projet (1)'!$B$18,'Paramètres (1)'!$A$1:$I$88,5,0)</f>
        <v>#REF!</v>
      </c>
      <c r="GW12" s="130" t="str">
        <f t="shared" si="146"/>
        <v>#REF!</v>
      </c>
      <c r="GX12" s="141" t="str">
        <f t="shared" si="99"/>
        <v>#REF!</v>
      </c>
      <c r="GY12" s="133" t="str">
        <f t="shared" si="100"/>
        <v>#REF!</v>
      </c>
      <c r="GZ12" s="133" t="str">
        <f t="shared" si="101"/>
        <v>#REF!</v>
      </c>
      <c r="HA12" s="133" t="str">
        <f t="shared" si="147"/>
        <v>#REF!</v>
      </c>
      <c r="HB12" s="134" t="str">
        <f t="shared" si="102"/>
        <v>#REF!</v>
      </c>
      <c r="HC12" s="134" t="str">
        <f t="shared" si="103"/>
        <v>#REF!</v>
      </c>
      <c r="HD12" s="135" t="str">
        <f>IF(ISNA(VLOOKUP(A12,'Données projet (1)'!$A$269:$I$289,5,0)),0%,VLOOKUP(A12,'Données projet (1)'!$A$269:$I$289,5,0)*VLOOKUP('Données projet (1)'!$B$18,'Paramètres (1)'!$A$1:$I$88,7,0))</f>
        <v>#REF!</v>
      </c>
      <c r="HE12" s="135" t="str">
        <f>IF(ISNA(VLOOKUP(A12,'Données projet (1)'!$A$269:$I$289,6,0)),0%,VLOOKUP(A12,'Données projet (1)'!$A$269:$I$289,6,0)*VLOOKUP('Données projet (1)'!$B$18,'Paramètres (1)'!$A$1:$I$88,7,0))</f>
        <v>#REF!</v>
      </c>
      <c r="HF12" s="135" t="str">
        <f t="shared" si="104"/>
        <v>#REF!</v>
      </c>
      <c r="HG12" s="142" t="str">
        <f>EXP(-LN(2)/35)*HG11+(1-EXP(-LN(2)/35))/(LN(2)/35)*HC12*HD12*VLOOKUP('Données projet (1)'!$B$18,'Paramètres (1)'!$A$1:$I$88,3,0)*0.475*44/12</f>
        <v>#REF!</v>
      </c>
      <c r="HH12" s="142" t="str">
        <f>EXP(-LN(2)/25)*HH11+(1-EXP(-LN(2)/25))/(LN(2)/25)*'Calculateur (1)'!HC12*'Calculateur (1)'!HE12*VLOOKUP('Données projet (1)'!$B$18,'Paramètres (1)'!$A$1:$I$88,3,0)*0.475*44/12</f>
        <v>#REF!</v>
      </c>
      <c r="HI12" s="142" t="str">
        <f>EXP(-LN(2)/2)*HI11+(1-EXP(-LN(2)/2))/(LN(2)/2)*HC12*HF12*VLOOKUP('Données projet (1)'!$B$18,'Paramètres (1)'!$A$1:$I$88,3,0)*0.475*44/12</f>
        <v>#REF!</v>
      </c>
      <c r="HJ12" s="143" t="str">
        <f t="shared" si="105"/>
        <v>#REF!</v>
      </c>
    </row>
    <row r="13" ht="14.25" customHeight="1">
      <c r="A13" s="125">
        <f t="shared" si="106"/>
        <v>10</v>
      </c>
      <c r="B13" s="126" t="str">
        <f t="shared" si="1"/>
        <v>#REF!</v>
      </c>
      <c r="C13" s="140" t="str">
        <f>'Calculateur (1)'!C12+'Scénario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" s="127">
        <f t="shared" si="107"/>
        <v>0</v>
      </c>
      <c r="E13" s="127" t="str">
        <f t="shared" si="2"/>
        <v>#REF!</v>
      </c>
      <c r="F13" s="127" t="str">
        <f t="shared" si="3"/>
        <v>#REF!</v>
      </c>
      <c r="G13" s="127" t="str">
        <f t="shared" si="4"/>
        <v>#REF!</v>
      </c>
      <c r="H13" s="128" t="str">
        <f t="shared" si="5"/>
        <v>#REF!</v>
      </c>
      <c r="I13" s="129" t="str">
        <f t="shared" si="6"/>
        <v>#REF!</v>
      </c>
      <c r="J13" s="130" t="str">
        <f t="shared" si="7"/>
        <v>#REF!</v>
      </c>
      <c r="K13" s="131" t="str">
        <f t="shared" si="108"/>
        <v>#REF!</v>
      </c>
      <c r="L13" s="131" t="str">
        <f t="shared" si="8"/>
        <v>#REF!</v>
      </c>
      <c r="M13" s="131" t="str">
        <f t="array" ref="M13">INDEX(L:L,MIN(IF(ISNUMBER(L13:L209),ROW(L13:L209),"")))</f>
        <v/>
      </c>
      <c r="N13" s="130" t="str">
        <f t="shared" si="109"/>
        <v>#REF!</v>
      </c>
      <c r="O13" s="130" t="str">
        <f>N13*VLOOKUP('Données projet (1)'!$B$9,'Paramètres (1)'!$A$1:$I$88,3,0)*VLOOKUP('Données projet (1)'!$B$9,'Paramètres (1)'!$A$1:$I$88,5,0)</f>
        <v>#REF!</v>
      </c>
      <c r="P13" s="130" t="str">
        <f t="shared" si="110"/>
        <v>#REF!</v>
      </c>
      <c r="Q13" s="141" t="str">
        <f t="shared" si="9"/>
        <v>#REF!</v>
      </c>
      <c r="R13" s="133" t="str">
        <f t="shared" si="10"/>
        <v>#REF!</v>
      </c>
      <c r="S13" s="133" t="str">
        <f t="shared" si="11"/>
        <v>#REF!</v>
      </c>
      <c r="T13" s="133" t="str">
        <f t="shared" si="111"/>
        <v>#REF!</v>
      </c>
      <c r="U13" s="134" t="str">
        <f t="shared" si="12"/>
        <v>#REF!</v>
      </c>
      <c r="V13" s="134" t="str">
        <f t="shared" si="13"/>
        <v>#REF!</v>
      </c>
      <c r="W13" s="135" t="str">
        <f>IF(ISNA(VLOOKUP(A13,'Données projet (1)'!$A$35:$I$55,5,0)),0%,VLOOKUP(A13,'Données projet (1)'!$A$35:$I$55,5,0)*VLOOKUP('Données projet (1)'!$B$9,'Paramètres (1)'!$A$1:$I$88,7,0))</f>
        <v>#REF!</v>
      </c>
      <c r="X13" s="135" t="str">
        <f>IF(ISNA(VLOOKUP(A13,'Données projet (1)'!$A$35:$I$55,6,0)),0%,VLOOKUP(A13,'Données projet (1)'!$A$35:$I$55,6,0)*VLOOKUP('Données projet (1)'!$B$9,'Paramètres (1)'!$A$1:$I$88,7,0))</f>
        <v>#REF!</v>
      </c>
      <c r="Y13" s="135" t="str">
        <f t="shared" si="14"/>
        <v>#REF!</v>
      </c>
      <c r="Z13" s="142" t="str">
        <f>EXP(-LN(2)/35)*Z12+(1-EXP(-LN(2)/35))/(LN(2)/35)*V13*W13*VLOOKUP('Données projet (1)'!$B$9,'Paramètres (1)'!$A$1:$I$88,3,0)*0.475*44/12</f>
        <v>#REF!</v>
      </c>
      <c r="AA13" s="142" t="str">
        <f>EXP(-LN(2)/25)*AA12+(1-EXP(-LN(2)/25))/(LN(2)/25)*'Calculateur (1)'!V13*'Calculateur (1)'!X13*VLOOKUP('Données projet (1)'!$B$9,'Paramètres (1)'!$A$1:$I$88,3,0)*0.475*44/12</f>
        <v>#REF!</v>
      </c>
      <c r="AB13" s="142" t="str">
        <f>EXP(-LN(2)/2)*AB12+(1-EXP(-LN(2)/2))/(LN(2)/2)*V13*Y13*VLOOKUP('Données projet (1)'!$B$9,'Paramètres (1)'!$A$1:$I$88,3,0)*0.475*44/12</f>
        <v>#REF!</v>
      </c>
      <c r="AC13" s="143" t="str">
        <f t="shared" si="15"/>
        <v>#REF!</v>
      </c>
      <c r="AD13" s="130" t="str">
        <f t="shared" si="16"/>
        <v>#REF!</v>
      </c>
      <c r="AE13" s="130" t="str">
        <f t="shared" si="17"/>
        <v>#REF!</v>
      </c>
      <c r="AF13" s="131" t="str">
        <f t="shared" si="112"/>
        <v>#REF!</v>
      </c>
      <c r="AG13" s="131" t="str">
        <f t="shared" si="18"/>
        <v>#REF!</v>
      </c>
      <c r="AH13" s="131" t="str">
        <f t="array" ref="AH13">INDEX(AG:AG,MIN(IF(ISNUMBER(AG13:AG209),ROW(AG13:AG209),"")))</f>
        <v/>
      </c>
      <c r="AI13" s="130" t="str">
        <f t="shared" si="113"/>
        <v>#REF!</v>
      </c>
      <c r="AJ13" s="130" t="str">
        <f>AI13*VLOOKUP('Données projet (1)'!$B$10,'Paramètres (1)'!$A$1:$I$88,3,0)*VLOOKUP('Données projet (1)'!$B$10,'Paramètres (1)'!$A$1:$I$88,5,0)</f>
        <v>#REF!</v>
      </c>
      <c r="AK13" s="130" t="str">
        <f t="shared" si="114"/>
        <v>#REF!</v>
      </c>
      <c r="AL13" s="141" t="str">
        <f t="shared" si="19"/>
        <v>#REF!</v>
      </c>
      <c r="AM13" s="133" t="str">
        <f t="shared" si="20"/>
        <v>#REF!</v>
      </c>
      <c r="AN13" s="133" t="str">
        <f t="shared" si="21"/>
        <v>#REF!</v>
      </c>
      <c r="AO13" s="133" t="str">
        <f t="shared" si="115"/>
        <v>#REF!</v>
      </c>
      <c r="AP13" s="134" t="str">
        <f t="shared" si="22"/>
        <v>#REF!</v>
      </c>
      <c r="AQ13" s="134" t="str">
        <f t="shared" si="23"/>
        <v>#REF!</v>
      </c>
      <c r="AR13" s="135" t="str">
        <f>IF(ISNA(VLOOKUP(A13,'Données projet (1)'!$A$61:$I$81,5,0)),0%,VLOOKUP(A13,'Données projet (1)'!$A$61:$I$81,5,0)*VLOOKUP('Données projet (1)'!$B$10,'Paramètres (1)'!$A$1:$I$88,7,0))</f>
        <v>#REF!</v>
      </c>
      <c r="AS13" s="135" t="str">
        <f>IF(ISNA(VLOOKUP(A13,'Données projet (1)'!$A$61:$I$81,6,0)),0%,VLOOKUP(A13,'Données projet (1)'!$A$61:$I$81,6,0)*VLOOKUP('Données projet (1)'!$B$10,'Paramètres (1)'!$A$1:$I$88,7,0))</f>
        <v>#REF!</v>
      </c>
      <c r="AT13" s="135" t="str">
        <f t="shared" si="24"/>
        <v>#REF!</v>
      </c>
      <c r="AU13" s="142" t="str">
        <f>EXP(-LN(2)/35)*AU12+(1-EXP(-LN(2)/35))/(LN(2)/35)*AQ13*AR13*VLOOKUP('Données projet (1)'!$B$10,'Paramètres (1)'!$A$1:$I$88,3,0)*0.475*44/12</f>
        <v>#REF!</v>
      </c>
      <c r="AV13" s="142" t="str">
        <f>EXP(-LN(2)/25)*AV12+(1-EXP(-LN(2)/25))/(LN(2)/25)*'Calculateur (1)'!AQ13*'Calculateur (1)'!AS13*VLOOKUP('Données projet (1)'!$B$10,'Paramètres (1)'!$A$1:$I$88,3,0)*0.475*44/12</f>
        <v>#REF!</v>
      </c>
      <c r="AW13" s="142" t="str">
        <f>EXP(-LN(2)/2)*AW12+(1-EXP(-LN(2)/2))/(LN(2)/2)*AQ13*AT13*VLOOKUP('Données projet (1)'!$B$10,'Paramètres (1)'!$A$1:$I$88,3,0)*0.475*44/12</f>
        <v>#REF!</v>
      </c>
      <c r="AX13" s="142" t="str">
        <f t="shared" si="25"/>
        <v>#REF!</v>
      </c>
      <c r="AY13" s="137" t="str">
        <f t="shared" si="26"/>
        <v>#REF!</v>
      </c>
      <c r="AZ13" s="131" t="str">
        <f t="shared" si="27"/>
        <v>#REF!</v>
      </c>
      <c r="BA13" s="131" t="str">
        <f t="shared" si="116"/>
        <v>#REF!</v>
      </c>
      <c r="BB13" s="131" t="str">
        <f t="shared" si="28"/>
        <v>#REF!</v>
      </c>
      <c r="BC13" s="131" t="str">
        <f t="array" ref="BC13">INDEX(BB:BB,MIN(IF(ISNUMBER(BB13:BB209),ROW(BB13:BB209),"")))</f>
        <v/>
      </c>
      <c r="BD13" s="131" t="str">
        <f t="shared" si="117"/>
        <v>#REF!</v>
      </c>
      <c r="BE13" s="130" t="str">
        <f>BD13*VLOOKUP('Données projet (1)'!$B$11,'Paramètres (1)'!$A$1:$I$88,3,0)*VLOOKUP('Données projet (1)'!$B$11,'Paramètres (1)'!$A$1:$I$88,5,0)</f>
        <v>#REF!</v>
      </c>
      <c r="BF13" s="130" t="str">
        <f t="shared" si="118"/>
        <v>#REF!</v>
      </c>
      <c r="BG13" s="141" t="str">
        <f t="shared" si="29"/>
        <v>#REF!</v>
      </c>
      <c r="BH13" s="133" t="str">
        <f t="shared" si="30"/>
        <v>#REF!</v>
      </c>
      <c r="BI13" s="133" t="str">
        <f t="shared" si="31"/>
        <v>#REF!</v>
      </c>
      <c r="BJ13" s="133" t="str">
        <f t="shared" si="119"/>
        <v>#REF!</v>
      </c>
      <c r="BK13" s="134" t="str">
        <f t="shared" si="32"/>
        <v>#REF!</v>
      </c>
      <c r="BL13" s="134" t="str">
        <f t="shared" si="33"/>
        <v>#REF!</v>
      </c>
      <c r="BM13" s="135" t="str">
        <f>IF(ISNA(VLOOKUP(A13,'Données projet (1)'!$A$87:$I$107,5,0)),0%,VLOOKUP(A13,'Données projet (1)'!$A$87:$I$107,5,0)*VLOOKUP('Données projet (1)'!$B$11,'Paramètres (1)'!$A$1:$I$88,7,0))</f>
        <v>#REF!</v>
      </c>
      <c r="BN13" s="135" t="str">
        <f>IF(ISNA(VLOOKUP(A13,'Données projet (1)'!$A$87:$I$107,6,0)),0%,VLOOKUP(A13,'Données projet (1)'!$A$87:$I$107,6,0)*VLOOKUP('Données projet (1)'!$B$11,'Paramètres (1)'!$A$1:$I$88,7,0))</f>
        <v>#REF!</v>
      </c>
      <c r="BO13" s="135" t="str">
        <f t="shared" si="34"/>
        <v>#REF!</v>
      </c>
      <c r="BP13" s="142" t="str">
        <f>EXP(-LN(2)/35)*BP12+(1-EXP(-LN(2)/35))/(LN(2)/35)*BL13*BM13*VLOOKUP('Données projet (1)'!$B$11,'Paramètres (1)'!$A$1:$I$88,3,0)*0.475*44/12</f>
        <v>#REF!</v>
      </c>
      <c r="BQ13" s="142" t="str">
        <f>EXP(-LN(2)/25)*BQ12+(1-EXP(-LN(2)/25))/(LN(2)/25)*'Calculateur (1)'!BL13*'Calculateur (1)'!BN13*VLOOKUP('Données projet (1)'!$B$11,'Paramètres (1)'!$A$1:$I$88,3,0)*0.475*44/12</f>
        <v>#REF!</v>
      </c>
      <c r="BR13" s="142" t="str">
        <f>EXP(-LN(2)/2)*BR12+(1-EXP(-LN(2)/2))/(LN(2)/2)*BL13*BO13*VLOOKUP('Données projet (1)'!$B$11,'Paramètres (1)'!$A$1:$I$88,3,0)*0.475*44/12</f>
        <v>#REF!</v>
      </c>
      <c r="BS13" s="143" t="str">
        <f t="shared" si="35"/>
        <v>#REF!</v>
      </c>
      <c r="BT13" s="139" t="str">
        <f t="shared" si="36"/>
        <v>#REF!</v>
      </c>
      <c r="BU13" s="131" t="str">
        <f t="shared" si="37"/>
        <v>#REF!</v>
      </c>
      <c r="BV13" s="131" t="str">
        <f t="shared" si="120"/>
        <v>#REF!</v>
      </c>
      <c r="BW13" s="131" t="str">
        <f t="shared" si="38"/>
        <v>#REF!</v>
      </c>
      <c r="BX13" s="131" t="str">
        <f t="array" ref="BX13">INDEX(BW:BW,MIN(IF(ISNUMBER(BW13:BW209),ROW(BW13:BW209),"")))</f>
        <v/>
      </c>
      <c r="BY13" s="131" t="str">
        <f t="shared" si="121"/>
        <v>#REF!</v>
      </c>
      <c r="BZ13" s="130" t="str">
        <f>BY13*VLOOKUP('Données projet (1)'!$B$12,'Paramètres (1)'!$A$1:$I$88,3,0)*VLOOKUP('Données projet (1)'!$B$12,'Paramètres (1)'!$A$1:$I$88,5,0)</f>
        <v>#REF!</v>
      </c>
      <c r="CA13" s="130" t="str">
        <f t="shared" si="122"/>
        <v>#REF!</v>
      </c>
      <c r="CB13" s="141" t="str">
        <f t="shared" si="39"/>
        <v>#REF!</v>
      </c>
      <c r="CC13" s="133" t="str">
        <f t="shared" si="40"/>
        <v>#REF!</v>
      </c>
      <c r="CD13" s="133" t="str">
        <f t="shared" si="41"/>
        <v>#REF!</v>
      </c>
      <c r="CE13" s="133" t="str">
        <f t="shared" si="123"/>
        <v>#REF!</v>
      </c>
      <c r="CF13" s="134" t="str">
        <f t="shared" si="42"/>
        <v>#REF!</v>
      </c>
      <c r="CG13" s="134" t="str">
        <f t="shared" si="43"/>
        <v>#REF!</v>
      </c>
      <c r="CH13" s="135" t="str">
        <f>IF(ISNA(VLOOKUP(A13,'Données projet (1)'!$A$113:$I$133,5,0)),0%,VLOOKUP(A13,'Données projet (1)'!$A$113:$I$133,5,0)*VLOOKUP('Données projet (1)'!$B$12,'Paramètres (1)'!$A$1:$I$88,7,0))</f>
        <v>#REF!</v>
      </c>
      <c r="CI13" s="135" t="str">
        <f>IF(ISNA(VLOOKUP(A13,'Données projet (1)'!$A$113:$I$133,6,0)),0%,VLOOKUP(A13,'Données projet (1)'!$A$113:$I$133,6,0)*VLOOKUP('Données projet (1)'!$B$12,'Paramètres (1)'!$A$1:$I$88,7,0))</f>
        <v>#REF!</v>
      </c>
      <c r="CJ13" s="135" t="str">
        <f t="shared" si="44"/>
        <v>#REF!</v>
      </c>
      <c r="CK13" s="142" t="str">
        <f>EXP(-LN(2)/35)*CK12+(1-EXP(-LN(2)/35))/(LN(2)/35)*CG13*CH13*VLOOKUP('Données projet (1)'!$B$12,'Paramètres (1)'!$A$1:$I$88,3,0)*0.475*44/12</f>
        <v>#REF!</v>
      </c>
      <c r="CL13" s="142" t="str">
        <f>EXP(-LN(2)/25)*CL12+(1-EXP(-LN(2)/25))/(LN(2)/25)*'Calculateur (1)'!CG13*'Calculateur (1)'!CI13*VLOOKUP('Données projet (1)'!$B$12,'Paramètres (1)'!$A$1:$I$88,3,0)*0.475*44/12</f>
        <v>#REF!</v>
      </c>
      <c r="CM13" s="142" t="str">
        <f>EXP(-LN(2)/2)*CM12+(1-EXP(-LN(2)/2))/(LN(2)/2)*CG13*CJ13*VLOOKUP('Données projet (1)'!$B$12,'Paramètres (1)'!$A$1:$I$88,3,0)*0.475*44/12</f>
        <v>#REF!</v>
      </c>
      <c r="CN13" s="143" t="str">
        <f t="shared" si="45"/>
        <v>#REF!</v>
      </c>
      <c r="CO13" s="139" t="str">
        <f t="shared" si="46"/>
        <v>#REF!</v>
      </c>
      <c r="CP13" s="131" t="str">
        <f t="shared" si="47"/>
        <v>#REF!</v>
      </c>
      <c r="CQ13" s="131" t="str">
        <f t="shared" si="124"/>
        <v>#REF!</v>
      </c>
      <c r="CR13" s="131" t="str">
        <f t="shared" si="48"/>
        <v>#REF!</v>
      </c>
      <c r="CS13" s="131" t="str">
        <f t="array" ref="CS13">INDEX(CR:CR,MIN(IF(ISNUMBER(CR13:CR209),ROW(CR13:CR209),"")))</f>
        <v/>
      </c>
      <c r="CT13" s="131" t="str">
        <f t="shared" si="125"/>
        <v>#REF!</v>
      </c>
      <c r="CU13" s="138" t="str">
        <f>CT13*VLOOKUP('Données projet (1)'!$B$13,'Paramètres (1)'!$A$1:$I$88,3,0)*VLOOKUP('Données projet (1)'!$B$13,'Paramètres (1)'!$A$1:$I$88,5,0)</f>
        <v>#REF!</v>
      </c>
      <c r="CV13" s="130" t="str">
        <f t="shared" si="126"/>
        <v>#REF!</v>
      </c>
      <c r="CW13" s="141" t="str">
        <f t="shared" si="49"/>
        <v>#REF!</v>
      </c>
      <c r="CX13" s="133" t="str">
        <f t="shared" si="50"/>
        <v>#REF!</v>
      </c>
      <c r="CY13" s="133" t="str">
        <f t="shared" si="51"/>
        <v>#REF!</v>
      </c>
      <c r="CZ13" s="133" t="str">
        <f t="shared" si="127"/>
        <v>#REF!</v>
      </c>
      <c r="DA13" s="134" t="str">
        <f t="shared" si="52"/>
        <v>#REF!</v>
      </c>
      <c r="DB13" s="134" t="str">
        <f t="shared" si="53"/>
        <v>#REF!</v>
      </c>
      <c r="DC13" s="135" t="str">
        <f>IF(ISNA(VLOOKUP(A13,'Données projet (1)'!$A$139:$I$159,5,0)),0%,VLOOKUP(A13,'Données projet (1)'!$A$139:$I$159,5,0)*VLOOKUP('Données projet (1)'!$B$13,'Paramètres (1)'!$A$1:$I$88,7,0))</f>
        <v>#REF!</v>
      </c>
      <c r="DD13" s="135" t="str">
        <f>IF(ISNA(VLOOKUP(A13,'Données projet (1)'!$A$139:$I$159,6,0)),0%,VLOOKUP(A13,'Données projet (1)'!$A$139:$I$159,6,0)*VLOOKUP('Données projet (1)'!$B$13,'Paramètres (1)'!$A$1:$I$88,7,0))</f>
        <v>#REF!</v>
      </c>
      <c r="DE13" s="135" t="str">
        <f t="shared" si="54"/>
        <v>#REF!</v>
      </c>
      <c r="DF13" s="142" t="str">
        <f>EXP(-LN(2)/35)*DF12+(1-EXP(-LN(2)/35))/(LN(2)/35)*DB13*DC13*VLOOKUP('Données projet (1)'!$B$13,'Paramètres (1)'!$A$1:$I$88,3,0)*0.475*44/12</f>
        <v>#REF!</v>
      </c>
      <c r="DG13" s="142" t="str">
        <f>EXP(-LN(2)/25)*DG12+(1-EXP(-LN(2)/25))/(LN(2)/25)*'Calculateur (1)'!DB13*'Calculateur (1)'!DD13*VLOOKUP('Données projet (1)'!$B$13,'Paramètres (1)'!$A$1:$I$88,3,0)*0.475*44/12</f>
        <v>#REF!</v>
      </c>
      <c r="DH13" s="142" t="str">
        <f>EXP(-LN(2)/2)*DH12+(1-EXP(-LN(2)/2))/(LN(2)/2)*DB13*DE13*VLOOKUP('Données projet (1)'!$B$13,'Paramètres (1)'!$A$1:$I$88,3,0)*0.475*44/12</f>
        <v>#REF!</v>
      </c>
      <c r="DI13" s="143" t="str">
        <f t="shared" si="55"/>
        <v>#REF!</v>
      </c>
      <c r="DJ13" s="139" t="str">
        <f t="shared" si="56"/>
        <v>#REF!</v>
      </c>
      <c r="DK13" s="131" t="str">
        <f t="shared" si="57"/>
        <v>#REF!</v>
      </c>
      <c r="DL13" s="131" t="str">
        <f t="shared" si="128"/>
        <v>#REF!</v>
      </c>
      <c r="DM13" s="131" t="str">
        <f t="shared" si="58"/>
        <v>#REF!</v>
      </c>
      <c r="DN13" s="131" t="str">
        <f t="array" ref="DN13">INDEX(DM:DM,MIN(IF(ISNUMBER(DM13:DM209),ROW(DM13:DM209),"")))</f>
        <v/>
      </c>
      <c r="DO13" s="131" t="str">
        <f t="shared" si="129"/>
        <v>#REF!</v>
      </c>
      <c r="DP13" s="138" t="str">
        <f>DO13*VLOOKUP('Données projet (1)'!$B$14,'Paramètres (1)'!$A$1:$I$88,3,0)*VLOOKUP('Données projet (1)'!$B$14,'Paramètres (1)'!$A$1:$I$88,5,0)</f>
        <v>#REF!</v>
      </c>
      <c r="DQ13" s="130" t="str">
        <f t="shared" si="130"/>
        <v>#REF!</v>
      </c>
      <c r="DR13" s="141" t="str">
        <f t="shared" si="59"/>
        <v>#REF!</v>
      </c>
      <c r="DS13" s="133" t="str">
        <f t="shared" si="60"/>
        <v>#REF!</v>
      </c>
      <c r="DT13" s="133" t="str">
        <f t="shared" si="61"/>
        <v>#REF!</v>
      </c>
      <c r="DU13" s="133" t="str">
        <f t="shared" si="131"/>
        <v>#REF!</v>
      </c>
      <c r="DV13" s="134" t="str">
        <f t="shared" si="62"/>
        <v>#REF!</v>
      </c>
      <c r="DW13" s="134" t="str">
        <f t="shared" si="63"/>
        <v>#REF!</v>
      </c>
      <c r="DX13" s="135" t="str">
        <f>IF(ISNA(VLOOKUP(A13,'Données projet (1)'!$A$165:$I$185,5,0)),0%,VLOOKUP(A13,'Données projet (1)'!$A$165:$I$185,5,0)*VLOOKUP('Données projet (1)'!$B$14,'Paramètres (1)'!$A$1:$I$88,7,0))</f>
        <v>#REF!</v>
      </c>
      <c r="DY13" s="135" t="str">
        <f>IF(ISNA(VLOOKUP(A13,'Données projet (1)'!$A$165:$I$185,6,0)),0%,VLOOKUP(A13,'Données projet (1)'!$A$165:$I$185,6,0)*VLOOKUP('Données projet (1)'!$B$14,'Paramètres (1)'!$A$1:$I$88,7,0))</f>
        <v>#REF!</v>
      </c>
      <c r="DZ13" s="135" t="str">
        <f t="shared" si="64"/>
        <v>#REF!</v>
      </c>
      <c r="EA13" s="142" t="str">
        <f>EXP(-LN(2)/35)*EA12+(1-EXP(-LN(2)/35))/(LN(2)/35)*DW13*DX13*VLOOKUP('Données projet (1)'!$B$14,'Paramètres (1)'!$A$1:$I$88,3,0)*0.475*44/12</f>
        <v>#REF!</v>
      </c>
      <c r="EB13" s="142" t="str">
        <f>EXP(-LN(2)/25)*EB12+(1-EXP(-LN(2)/25))/(LN(2)/25)*'Calculateur (1)'!DW13*'Calculateur (1)'!DY13*VLOOKUP('Données projet (1)'!$B$14,'Paramètres (1)'!$A$1:$I$88,3,0)*0.475*44/12</f>
        <v>#REF!</v>
      </c>
      <c r="EC13" s="142" t="str">
        <f>EXP(-LN(2)/2)*EC12+(1-EXP(-LN(2)/2))/(LN(2)/2)*DW13*DZ13*VLOOKUP('Données projet (1)'!$B$14,'Paramètres (1)'!$A$1:$I$88,3,0)*0.475*44/12</f>
        <v>#REF!</v>
      </c>
      <c r="ED13" s="143" t="str">
        <f t="shared" si="65"/>
        <v>#REF!</v>
      </c>
      <c r="EE13" s="139" t="str">
        <f t="shared" si="66"/>
        <v>#REF!</v>
      </c>
      <c r="EF13" s="131" t="str">
        <f t="shared" si="67"/>
        <v>#REF!</v>
      </c>
      <c r="EG13" s="131" t="str">
        <f t="shared" si="132"/>
        <v>#REF!</v>
      </c>
      <c r="EH13" s="131" t="str">
        <f t="shared" si="68"/>
        <v>#REF!</v>
      </c>
      <c r="EI13" s="131" t="str">
        <f t="array" ref="EI13">INDEX(EH:EH,MIN(IF(ISNUMBER(EH13:EH209),ROW(EH13:EH209),"")))</f>
        <v/>
      </c>
      <c r="EJ13" s="131" t="str">
        <f t="shared" si="133"/>
        <v>#REF!</v>
      </c>
      <c r="EK13" s="138" t="str">
        <f>EJ13*VLOOKUP('Données projet (1)'!$B$15,'Paramètres (1)'!$A$1:$I$88,3,0)*VLOOKUP('Données projet (1)'!$B$15,'Paramètres (1)'!$A$1:$I$88,5,0)</f>
        <v>#REF!</v>
      </c>
      <c r="EL13" s="130" t="str">
        <f t="shared" si="134"/>
        <v>#REF!</v>
      </c>
      <c r="EM13" s="141" t="str">
        <f t="shared" si="69"/>
        <v>#REF!</v>
      </c>
      <c r="EN13" s="133" t="str">
        <f t="shared" si="70"/>
        <v>#REF!</v>
      </c>
      <c r="EO13" s="133" t="str">
        <f t="shared" si="71"/>
        <v>#REF!</v>
      </c>
      <c r="EP13" s="133" t="str">
        <f t="shared" si="135"/>
        <v>#REF!</v>
      </c>
      <c r="EQ13" s="134" t="str">
        <f t="shared" si="72"/>
        <v>#REF!</v>
      </c>
      <c r="ER13" s="134" t="str">
        <f t="shared" si="73"/>
        <v>#REF!</v>
      </c>
      <c r="ES13" s="135" t="str">
        <f>IF(ISNA(VLOOKUP(A13,'Données projet (1)'!$A$191:$I$211,5,0)),0%,VLOOKUP(A13,'Données projet (1)'!$A$191:$I$211,5,0)*VLOOKUP('Données projet (1)'!$B$15,'Paramètres (1)'!$A$1:$I$88,7,0))</f>
        <v>#REF!</v>
      </c>
      <c r="ET13" s="135" t="str">
        <f>IF(ISNA(VLOOKUP(A13,'Données projet (1)'!$A$191:$I$211,6,0)),0%,VLOOKUP(A13,'Données projet (1)'!$A$191:$I$211,6,0)*VLOOKUP('Données projet (1)'!$B$15,'Paramètres (1)'!$A$1:$I$88,7,0))</f>
        <v>#REF!</v>
      </c>
      <c r="EU13" s="135" t="str">
        <f t="shared" si="74"/>
        <v>#REF!</v>
      </c>
      <c r="EV13" s="142" t="str">
        <f>EXP(-LN(2)/35)*EV12+(1-EXP(-LN(2)/35))/(LN(2)/35)*ER13*ES13*VLOOKUP('Données projet (1)'!$B$15,'Paramètres (1)'!$A$1:$I$88,3,0)*0.475*44/12</f>
        <v>#REF!</v>
      </c>
      <c r="EW13" s="142" t="str">
        <f>EXP(-LN(2)/25)*EW12+(1-EXP(-LN(2)/25))/(LN(2)/25)*'Calculateur (1)'!ER13*'Calculateur (1)'!ET13*VLOOKUP('Données projet (1)'!$B$15,'Paramètres (1)'!$A$1:$I$88,3,0)*0.475*44/12</f>
        <v>#REF!</v>
      </c>
      <c r="EX13" s="142" t="str">
        <f>EXP(-LN(2)/2)*EX12+(1-EXP(-LN(2)/2))/(LN(2)/2)*ER13*EU13*VLOOKUP('Données projet (1)'!$B$15,'Paramètres (1)'!$A$1:$I$88,3,0)*0.475*44/12</f>
        <v>#REF!</v>
      </c>
      <c r="EY13" s="143" t="str">
        <f t="shared" si="75"/>
        <v>#REF!</v>
      </c>
      <c r="EZ13" s="139" t="str">
        <f t="shared" si="76"/>
        <v>#REF!</v>
      </c>
      <c r="FA13" s="131" t="str">
        <f t="shared" si="77"/>
        <v>#REF!</v>
      </c>
      <c r="FB13" s="131" t="str">
        <f t="shared" si="136"/>
        <v>#REF!</v>
      </c>
      <c r="FC13" s="131" t="str">
        <f t="shared" si="78"/>
        <v>#REF!</v>
      </c>
      <c r="FD13" s="131" t="str">
        <f t="array" ref="FD13">INDEX(FC:FC,MIN(IF(ISNUMBER(FC13:FC209),ROW(FC13:FC209),"")))</f>
        <v/>
      </c>
      <c r="FE13" s="131" t="str">
        <f t="shared" si="137"/>
        <v>#REF!</v>
      </c>
      <c r="FF13" s="138" t="str">
        <f>FE13*VLOOKUP('Données projet (1)'!$B$16,'Paramètres (1)'!$A$1:$I$88,3,0)*VLOOKUP('Données projet (1)'!$B$16,'Paramètres (1)'!$A$1:$I$88,5,0)</f>
        <v>#REF!</v>
      </c>
      <c r="FG13" s="130" t="str">
        <f t="shared" si="138"/>
        <v>#REF!</v>
      </c>
      <c r="FH13" s="141" t="str">
        <f t="shared" si="79"/>
        <v>#REF!</v>
      </c>
      <c r="FI13" s="133" t="str">
        <f t="shared" si="80"/>
        <v>#REF!</v>
      </c>
      <c r="FJ13" s="133" t="str">
        <f t="shared" si="81"/>
        <v>#REF!</v>
      </c>
      <c r="FK13" s="133" t="str">
        <f t="shared" si="139"/>
        <v>#REF!</v>
      </c>
      <c r="FL13" s="134" t="str">
        <f t="shared" si="82"/>
        <v>#REF!</v>
      </c>
      <c r="FM13" s="134" t="str">
        <f t="shared" si="83"/>
        <v>#REF!</v>
      </c>
      <c r="FN13" s="135" t="str">
        <f>IF(ISNA(VLOOKUP(A13,'Données projet (1)'!$A$217:$I$237,5,0)),0%,VLOOKUP(A13,'Données projet (1)'!$A$217:$I$237,5,0)*VLOOKUP('Données projet (1)'!$B$16,'Paramètres (1)'!$A$1:$I$88,7,0))</f>
        <v>#REF!</v>
      </c>
      <c r="FO13" s="135" t="str">
        <f>IF(ISNA(VLOOKUP(A13,'Données projet (1)'!$A$217:$I$237,6,0)),0%,VLOOKUP(A13,'Données projet (1)'!$A$217:$I$237,6,0)*VLOOKUP('Données projet (1)'!$B$16,'Paramètres (1)'!$A$1:$I$88,7,0))</f>
        <v>#REF!</v>
      </c>
      <c r="FP13" s="135" t="str">
        <f t="shared" si="84"/>
        <v>#REF!</v>
      </c>
      <c r="FQ13" s="142" t="str">
        <f>EXP(-LN(2)/35)*FQ12+(1-EXP(-LN(2)/35))/(LN(2)/35)*FM13*FN13*VLOOKUP('Données projet (1)'!$B$16,'Paramètres (1)'!$A$1:$I$88,3,0)*0.475*44/12</f>
        <v>#REF!</v>
      </c>
      <c r="FR13" s="142" t="str">
        <f>EXP(-LN(2)/25)*FR12+(1-EXP(-LN(2)/25))/(LN(2)/25)*'Calculateur (1)'!FM13*'Calculateur (1)'!FO13*VLOOKUP('Données projet (1)'!$B$16,'Paramètres (1)'!$A$1:$I$88,3,0)*0.475*44/12</f>
        <v>#REF!</v>
      </c>
      <c r="FS13" s="142" t="str">
        <f>EXP(-LN(2)/2)*FS12+(1-EXP(-LN(2)/2))/(LN(2)/2)*FM13*FP13*VLOOKUP('Données projet (1)'!$B$16,'Paramètres (1)'!$A$1:$I$88,3,0)*0.475*44/12</f>
        <v>#REF!</v>
      </c>
      <c r="FT13" s="143" t="str">
        <f t="shared" si="85"/>
        <v>#REF!</v>
      </c>
      <c r="FU13" s="139" t="str">
        <f t="shared" si="86"/>
        <v>#REF!</v>
      </c>
      <c r="FV13" s="131" t="str">
        <f t="shared" si="87"/>
        <v>#REF!</v>
      </c>
      <c r="FW13" s="131" t="str">
        <f t="shared" si="140"/>
        <v>#REF!</v>
      </c>
      <c r="FX13" s="131" t="str">
        <f t="shared" si="88"/>
        <v>#REF!</v>
      </c>
      <c r="FY13" s="131" t="str">
        <f t="array" ref="FY13">INDEX(FX:FX,MIN(IF(ISNUMBER(FX13:FX209),ROW(FX13:FX209),"")))</f>
        <v/>
      </c>
      <c r="FZ13" s="131" t="str">
        <f t="shared" si="141"/>
        <v>#REF!</v>
      </c>
      <c r="GA13" s="138" t="str">
        <f>FZ13*VLOOKUP('Données projet (1)'!$B$17,'Paramètres (1)'!$A$1:$I$88,3,0)*VLOOKUP('Données projet (1)'!$B$17,'Paramètres (1)'!$A$1:$I$88,5,0)</f>
        <v>#REF!</v>
      </c>
      <c r="GB13" s="130" t="str">
        <f t="shared" si="142"/>
        <v>#REF!</v>
      </c>
      <c r="GC13" s="141" t="str">
        <f t="shared" si="89"/>
        <v>#REF!</v>
      </c>
      <c r="GD13" s="133" t="str">
        <f t="shared" si="90"/>
        <v>#REF!</v>
      </c>
      <c r="GE13" s="133" t="str">
        <f t="shared" si="91"/>
        <v>#REF!</v>
      </c>
      <c r="GF13" s="133" t="str">
        <f t="shared" si="143"/>
        <v>#REF!</v>
      </c>
      <c r="GG13" s="134" t="str">
        <f t="shared" si="92"/>
        <v>#REF!</v>
      </c>
      <c r="GH13" s="134" t="str">
        <f t="shared" si="93"/>
        <v>#REF!</v>
      </c>
      <c r="GI13" s="135" t="str">
        <f>IF(ISNA(VLOOKUP(A13,'Données projet (1)'!$A$243:$I$263,5,0)),0%,VLOOKUP(A13,'Données projet (1)'!$A$243:$I$263,5,0)*VLOOKUP('Données projet (1)'!$B$17,'Paramètres (1)'!$A$1:$I$88,7,0))</f>
        <v>#REF!</v>
      </c>
      <c r="GJ13" s="135" t="str">
        <f>IF(ISNA(VLOOKUP(A13,'Données projet (1)'!$A$243:$I$263,6,0)),0%,VLOOKUP(A13,'Données projet (1)'!$A$243:$I$263,6,0)*VLOOKUP('Données projet (1)'!$B$17,'Paramètres (1)'!$A$1:$I$88,7,0))</f>
        <v>#REF!</v>
      </c>
      <c r="GK13" s="135" t="str">
        <f t="shared" si="94"/>
        <v>#REF!</v>
      </c>
      <c r="GL13" s="142" t="str">
        <f>EXP(-LN(2)/35)*GL12+(1-EXP(-LN(2)/35))/(LN(2)/35)*GH13*GI13*VLOOKUP('Données projet (1)'!$B$17,'Paramètres (1)'!$A$1:$I$88,3,0)*0.475*44/12</f>
        <v>#REF!</v>
      </c>
      <c r="GM13" s="142" t="str">
        <f>EXP(-LN(2)/25)*GM12+(1-EXP(-LN(2)/25))/(LN(2)/25)*'Calculateur (1)'!GH13*'Calculateur (1)'!GJ13*VLOOKUP('Données projet (1)'!$B$17,'Paramètres (1)'!$A$1:$I$88,3,0)*0.475*44/12</f>
        <v>#REF!</v>
      </c>
      <c r="GN13" s="142" t="str">
        <f>EXP(-LN(2)/2)*GN12+(1-EXP(-LN(2)/2))/(LN(2)/2)*GH13*GK13*VLOOKUP('Données projet (1)'!$B$17,'Paramètres (1)'!$A$1:$I$88,3,0)*0.475*44/12</f>
        <v>#REF!</v>
      </c>
      <c r="GO13" s="142" t="str">
        <f t="shared" si="95"/>
        <v>#REF!</v>
      </c>
      <c r="GP13" s="139" t="str">
        <f t="shared" si="96"/>
        <v>#REF!</v>
      </c>
      <c r="GQ13" s="131" t="str">
        <f t="shared" si="97"/>
        <v>#REF!</v>
      </c>
      <c r="GR13" s="131" t="str">
        <f t="shared" si="144"/>
        <v>#REF!</v>
      </c>
      <c r="GS13" s="131" t="str">
        <f t="shared" si="98"/>
        <v>#REF!</v>
      </c>
      <c r="GT13" s="131" t="str">
        <f t="array" ref="GT13">INDEX(GS:GS,MIN(IF(ISNUMBER(GS13:GS209),ROW(GS13:GS209),"")))</f>
        <v/>
      </c>
      <c r="GU13" s="131" t="str">
        <f t="shared" si="145"/>
        <v>#REF!</v>
      </c>
      <c r="GV13" s="138" t="str">
        <f>GU13*VLOOKUP('Données projet (1)'!$B$18,'Paramètres (1)'!$A$1:$I$88,3,0)*VLOOKUP('Données projet (1)'!$B$18,'Paramètres (1)'!$A$1:$I$88,5,0)</f>
        <v>#REF!</v>
      </c>
      <c r="GW13" s="130" t="str">
        <f t="shared" si="146"/>
        <v>#REF!</v>
      </c>
      <c r="GX13" s="141" t="str">
        <f t="shared" si="99"/>
        <v>#REF!</v>
      </c>
      <c r="GY13" s="133" t="str">
        <f t="shared" si="100"/>
        <v>#REF!</v>
      </c>
      <c r="GZ13" s="133" t="str">
        <f t="shared" si="101"/>
        <v>#REF!</v>
      </c>
      <c r="HA13" s="133" t="str">
        <f t="shared" si="147"/>
        <v>#REF!</v>
      </c>
      <c r="HB13" s="134" t="str">
        <f t="shared" si="102"/>
        <v>#REF!</v>
      </c>
      <c r="HC13" s="134" t="str">
        <f t="shared" si="103"/>
        <v>#REF!</v>
      </c>
      <c r="HD13" s="135" t="str">
        <f>IF(ISNA(VLOOKUP(A13,'Données projet (1)'!$A$269:$I$289,5,0)),0%,VLOOKUP(A13,'Données projet (1)'!$A$269:$I$289,5,0)*VLOOKUP('Données projet (1)'!$B$18,'Paramètres (1)'!$A$1:$I$88,7,0))</f>
        <v>#REF!</v>
      </c>
      <c r="HE13" s="135" t="str">
        <f>IF(ISNA(VLOOKUP(A13,'Données projet (1)'!$A$269:$I$289,6,0)),0%,VLOOKUP(A13,'Données projet (1)'!$A$269:$I$289,6,0)*VLOOKUP('Données projet (1)'!$B$18,'Paramètres (1)'!$A$1:$I$88,7,0))</f>
        <v>#REF!</v>
      </c>
      <c r="HF13" s="135" t="str">
        <f t="shared" si="104"/>
        <v>#REF!</v>
      </c>
      <c r="HG13" s="142" t="str">
        <f>EXP(-LN(2)/35)*HG12+(1-EXP(-LN(2)/35))/(LN(2)/35)*HC13*HD13*VLOOKUP('Données projet (1)'!$B$18,'Paramètres (1)'!$A$1:$I$88,3,0)*0.475*44/12</f>
        <v>#REF!</v>
      </c>
      <c r="HH13" s="142" t="str">
        <f>EXP(-LN(2)/25)*HH12+(1-EXP(-LN(2)/25))/(LN(2)/25)*'Calculateur (1)'!HC13*'Calculateur (1)'!HE13*VLOOKUP('Données projet (1)'!$B$18,'Paramètres (1)'!$A$1:$I$88,3,0)*0.475*44/12</f>
        <v>#REF!</v>
      </c>
      <c r="HI13" s="142" t="str">
        <f>EXP(-LN(2)/2)*HI12+(1-EXP(-LN(2)/2))/(LN(2)/2)*HC13*HF13*VLOOKUP('Données projet (1)'!$B$18,'Paramètres (1)'!$A$1:$I$88,3,0)*0.475*44/12</f>
        <v>#REF!</v>
      </c>
      <c r="HJ13" s="143" t="str">
        <f t="shared" si="105"/>
        <v>#REF!</v>
      </c>
    </row>
    <row r="14" ht="14.25" customHeight="1">
      <c r="A14" s="125">
        <f t="shared" si="106"/>
        <v>11</v>
      </c>
      <c r="B14" s="126" t="str">
        <f t="shared" si="1"/>
        <v>#REF!</v>
      </c>
      <c r="C14" s="140" t="str">
        <f>'Calculateur (1)'!C13+'Scénario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" s="127">
        <f t="shared" si="107"/>
        <v>0</v>
      </c>
      <c r="E14" s="127" t="str">
        <f t="shared" si="2"/>
        <v>#REF!</v>
      </c>
      <c r="F14" s="127" t="str">
        <f t="shared" si="3"/>
        <v>#REF!</v>
      </c>
      <c r="G14" s="127" t="str">
        <f t="shared" si="4"/>
        <v>#REF!</v>
      </c>
      <c r="H14" s="128" t="str">
        <f t="shared" si="5"/>
        <v>#REF!</v>
      </c>
      <c r="I14" s="129" t="str">
        <f t="shared" si="6"/>
        <v>#REF!</v>
      </c>
      <c r="J14" s="130" t="str">
        <f t="shared" si="7"/>
        <v>#REF!</v>
      </c>
      <c r="K14" s="131" t="str">
        <f t="shared" si="108"/>
        <v>#REF!</v>
      </c>
      <c r="L14" s="131" t="str">
        <f t="shared" si="8"/>
        <v>#REF!</v>
      </c>
      <c r="M14" s="131" t="str">
        <f t="array" ref="M14">INDEX(L:L,MIN(IF(ISNUMBER(L14:L210),ROW(L14:L210),"")))</f>
        <v/>
      </c>
      <c r="N14" s="130" t="str">
        <f t="shared" si="109"/>
        <v>#REF!</v>
      </c>
      <c r="O14" s="130" t="str">
        <f>N14*VLOOKUP('Données projet (1)'!$B$9,'Paramètres (1)'!$A$1:$I$88,3,0)*VLOOKUP('Données projet (1)'!$B$9,'Paramètres (1)'!$A$1:$I$88,5,0)</f>
        <v>#REF!</v>
      </c>
      <c r="P14" s="130" t="str">
        <f t="shared" si="110"/>
        <v>#REF!</v>
      </c>
      <c r="Q14" s="141" t="str">
        <f t="shared" si="9"/>
        <v>#REF!</v>
      </c>
      <c r="R14" s="133" t="str">
        <f t="shared" si="10"/>
        <v>#REF!</v>
      </c>
      <c r="S14" s="133" t="str">
        <f t="shared" si="11"/>
        <v>#REF!</v>
      </c>
      <c r="T14" s="133" t="str">
        <f t="shared" si="111"/>
        <v>#REF!</v>
      </c>
      <c r="U14" s="134" t="str">
        <f t="shared" si="12"/>
        <v>#REF!</v>
      </c>
      <c r="V14" s="134" t="str">
        <f t="shared" si="13"/>
        <v>#REF!</v>
      </c>
      <c r="W14" s="135" t="str">
        <f>IF(ISNA(VLOOKUP(A14,'Données projet (1)'!$A$35:$I$55,5,0)),0%,VLOOKUP(A14,'Données projet (1)'!$A$35:$I$55,5,0)*VLOOKUP('Données projet (1)'!$B$9,'Paramètres (1)'!$A$1:$I$88,7,0))</f>
        <v>#REF!</v>
      </c>
      <c r="X14" s="135" t="str">
        <f>IF(ISNA(VLOOKUP(A14,'Données projet (1)'!$A$35:$I$55,6,0)),0%,VLOOKUP(A14,'Données projet (1)'!$A$35:$I$55,6,0)*VLOOKUP('Données projet (1)'!$B$9,'Paramètres (1)'!$A$1:$I$88,7,0))</f>
        <v>#REF!</v>
      </c>
      <c r="Y14" s="135" t="str">
        <f t="shared" si="14"/>
        <v>#REF!</v>
      </c>
      <c r="Z14" s="142" t="str">
        <f>EXP(-LN(2)/35)*Z13+(1-EXP(-LN(2)/35))/(LN(2)/35)*V14*W14*VLOOKUP('Données projet (1)'!$B$9,'Paramètres (1)'!$A$1:$I$88,3,0)*0.475*44/12</f>
        <v>#REF!</v>
      </c>
      <c r="AA14" s="142" t="str">
        <f>EXP(-LN(2)/25)*AA13+(1-EXP(-LN(2)/25))/(LN(2)/25)*'Calculateur (1)'!V14*'Calculateur (1)'!X14*VLOOKUP('Données projet (1)'!$B$9,'Paramètres (1)'!$A$1:$I$88,3,0)*0.475*44/12</f>
        <v>#REF!</v>
      </c>
      <c r="AB14" s="142" t="str">
        <f>EXP(-LN(2)/2)*AB13+(1-EXP(-LN(2)/2))/(LN(2)/2)*V14*Y14*VLOOKUP('Données projet (1)'!$B$9,'Paramètres (1)'!$A$1:$I$88,3,0)*0.475*44/12</f>
        <v>#REF!</v>
      </c>
      <c r="AC14" s="143" t="str">
        <f t="shared" si="15"/>
        <v>#REF!</v>
      </c>
      <c r="AD14" s="130" t="str">
        <f t="shared" si="16"/>
        <v>#REF!</v>
      </c>
      <c r="AE14" s="130" t="str">
        <f t="shared" si="17"/>
        <v>#REF!</v>
      </c>
      <c r="AF14" s="131" t="str">
        <f t="shared" si="112"/>
        <v>#REF!</v>
      </c>
      <c r="AG14" s="131" t="str">
        <f t="shared" si="18"/>
        <v>#REF!</v>
      </c>
      <c r="AH14" s="131" t="str">
        <f t="array" ref="AH14">INDEX(AG:AG,MIN(IF(ISNUMBER(AG14:AG210),ROW(AG14:AG210),"")))</f>
        <v/>
      </c>
      <c r="AI14" s="130" t="str">
        <f t="shared" si="113"/>
        <v>#REF!</v>
      </c>
      <c r="AJ14" s="130" t="str">
        <f>AI14*VLOOKUP('Données projet (1)'!$B$10,'Paramètres (1)'!$A$1:$I$88,3,0)*VLOOKUP('Données projet (1)'!$B$10,'Paramètres (1)'!$A$1:$I$88,5,0)</f>
        <v>#REF!</v>
      </c>
      <c r="AK14" s="130" t="str">
        <f t="shared" si="114"/>
        <v>#REF!</v>
      </c>
      <c r="AL14" s="141" t="str">
        <f t="shared" si="19"/>
        <v>#REF!</v>
      </c>
      <c r="AM14" s="133" t="str">
        <f t="shared" si="20"/>
        <v>#REF!</v>
      </c>
      <c r="AN14" s="133" t="str">
        <f t="shared" si="21"/>
        <v>#REF!</v>
      </c>
      <c r="AO14" s="133" t="str">
        <f t="shared" si="115"/>
        <v>#REF!</v>
      </c>
      <c r="AP14" s="134" t="str">
        <f t="shared" si="22"/>
        <v>#REF!</v>
      </c>
      <c r="AQ14" s="134" t="str">
        <f t="shared" si="23"/>
        <v>#REF!</v>
      </c>
      <c r="AR14" s="135" t="str">
        <f>IF(ISNA(VLOOKUP(A14,'Données projet (1)'!$A$61:$I$81,5,0)),0%,VLOOKUP(A14,'Données projet (1)'!$A$61:$I$81,5,0)*VLOOKUP('Données projet (1)'!$B$10,'Paramètres (1)'!$A$1:$I$88,7,0))</f>
        <v>#REF!</v>
      </c>
      <c r="AS14" s="135" t="str">
        <f>IF(ISNA(VLOOKUP(A14,'Données projet (1)'!$A$61:$I$81,6,0)),0%,VLOOKUP(A14,'Données projet (1)'!$A$61:$I$81,6,0)*VLOOKUP('Données projet (1)'!$B$10,'Paramètres (1)'!$A$1:$I$88,7,0))</f>
        <v>#REF!</v>
      </c>
      <c r="AT14" s="135" t="str">
        <f t="shared" si="24"/>
        <v>#REF!</v>
      </c>
      <c r="AU14" s="142" t="str">
        <f>EXP(-LN(2)/35)*AU13+(1-EXP(-LN(2)/35))/(LN(2)/35)*AQ14*AR14*VLOOKUP('Données projet (1)'!$B$10,'Paramètres (1)'!$A$1:$I$88,3,0)*0.475*44/12</f>
        <v>#REF!</v>
      </c>
      <c r="AV14" s="142" t="str">
        <f>EXP(-LN(2)/25)*AV13+(1-EXP(-LN(2)/25))/(LN(2)/25)*'Calculateur (1)'!AQ14*'Calculateur (1)'!AS14*VLOOKUP('Données projet (1)'!$B$10,'Paramètres (1)'!$A$1:$I$88,3,0)*0.475*44/12</f>
        <v>#REF!</v>
      </c>
      <c r="AW14" s="142" t="str">
        <f>EXP(-LN(2)/2)*AW13+(1-EXP(-LN(2)/2))/(LN(2)/2)*AQ14*AT14*VLOOKUP('Données projet (1)'!$B$10,'Paramètres (1)'!$A$1:$I$88,3,0)*0.475*44/12</f>
        <v>#REF!</v>
      </c>
      <c r="AX14" s="142" t="str">
        <f t="shared" si="25"/>
        <v>#REF!</v>
      </c>
      <c r="AY14" s="137" t="str">
        <f t="shared" si="26"/>
        <v>#REF!</v>
      </c>
      <c r="AZ14" s="131" t="str">
        <f t="shared" si="27"/>
        <v>#REF!</v>
      </c>
      <c r="BA14" s="131" t="str">
        <f t="shared" si="116"/>
        <v>#REF!</v>
      </c>
      <c r="BB14" s="131" t="str">
        <f t="shared" si="28"/>
        <v>#REF!</v>
      </c>
      <c r="BC14" s="131" t="str">
        <f t="array" ref="BC14">INDEX(BB:BB,MIN(IF(ISNUMBER(BB14:BB210),ROW(BB14:BB210),"")))</f>
        <v/>
      </c>
      <c r="BD14" s="131" t="str">
        <f t="shared" si="117"/>
        <v>#REF!</v>
      </c>
      <c r="BE14" s="130" t="str">
        <f>BD14*VLOOKUP('Données projet (1)'!$B$11,'Paramètres (1)'!$A$1:$I$88,3,0)*VLOOKUP('Données projet (1)'!$B$11,'Paramètres (1)'!$A$1:$I$88,5,0)</f>
        <v>#REF!</v>
      </c>
      <c r="BF14" s="130" t="str">
        <f t="shared" si="118"/>
        <v>#REF!</v>
      </c>
      <c r="BG14" s="141" t="str">
        <f t="shared" si="29"/>
        <v>#REF!</v>
      </c>
      <c r="BH14" s="133" t="str">
        <f t="shared" si="30"/>
        <v>#REF!</v>
      </c>
      <c r="BI14" s="133" t="str">
        <f t="shared" si="31"/>
        <v>#REF!</v>
      </c>
      <c r="BJ14" s="133" t="str">
        <f t="shared" si="119"/>
        <v>#REF!</v>
      </c>
      <c r="BK14" s="134" t="str">
        <f t="shared" si="32"/>
        <v>#REF!</v>
      </c>
      <c r="BL14" s="134" t="str">
        <f t="shared" si="33"/>
        <v>#REF!</v>
      </c>
      <c r="BM14" s="135" t="str">
        <f>IF(ISNA(VLOOKUP(A14,'Données projet (1)'!$A$87:$I$107,5,0)),0%,VLOOKUP(A14,'Données projet (1)'!$A$87:$I$107,5,0)*VLOOKUP('Données projet (1)'!$B$11,'Paramètres (1)'!$A$1:$I$88,7,0))</f>
        <v>#REF!</v>
      </c>
      <c r="BN14" s="135" t="str">
        <f>IF(ISNA(VLOOKUP(A14,'Données projet (1)'!$A$87:$I$107,6,0)),0%,VLOOKUP(A14,'Données projet (1)'!$A$87:$I$107,6,0)*VLOOKUP('Données projet (1)'!$B$11,'Paramètres (1)'!$A$1:$I$88,7,0))</f>
        <v>#REF!</v>
      </c>
      <c r="BO14" s="135" t="str">
        <f t="shared" si="34"/>
        <v>#REF!</v>
      </c>
      <c r="BP14" s="142" t="str">
        <f>EXP(-LN(2)/35)*BP13+(1-EXP(-LN(2)/35))/(LN(2)/35)*BL14*BM14*VLOOKUP('Données projet (1)'!$B$11,'Paramètres (1)'!$A$1:$I$88,3,0)*0.475*44/12</f>
        <v>#REF!</v>
      </c>
      <c r="BQ14" s="142" t="str">
        <f>EXP(-LN(2)/25)*BQ13+(1-EXP(-LN(2)/25))/(LN(2)/25)*'Calculateur (1)'!BL14*'Calculateur (1)'!BN14*VLOOKUP('Données projet (1)'!$B$11,'Paramètres (1)'!$A$1:$I$88,3,0)*0.475*44/12</f>
        <v>#REF!</v>
      </c>
      <c r="BR14" s="142" t="str">
        <f>EXP(-LN(2)/2)*BR13+(1-EXP(-LN(2)/2))/(LN(2)/2)*BL14*BO14*VLOOKUP('Données projet (1)'!$B$11,'Paramètres (1)'!$A$1:$I$88,3,0)*0.475*44/12</f>
        <v>#REF!</v>
      </c>
      <c r="BS14" s="143" t="str">
        <f t="shared" si="35"/>
        <v>#REF!</v>
      </c>
      <c r="BT14" s="139" t="str">
        <f t="shared" si="36"/>
        <v>#REF!</v>
      </c>
      <c r="BU14" s="131" t="str">
        <f t="shared" si="37"/>
        <v>#REF!</v>
      </c>
      <c r="BV14" s="131" t="str">
        <f t="shared" si="120"/>
        <v>#REF!</v>
      </c>
      <c r="BW14" s="131" t="str">
        <f t="shared" si="38"/>
        <v>#REF!</v>
      </c>
      <c r="BX14" s="131" t="str">
        <f t="array" ref="BX14">INDEX(BW:BW,MIN(IF(ISNUMBER(BW14:BW210),ROW(BW14:BW210),"")))</f>
        <v/>
      </c>
      <c r="BY14" s="131" t="str">
        <f t="shared" si="121"/>
        <v>#REF!</v>
      </c>
      <c r="BZ14" s="130" t="str">
        <f>BY14*VLOOKUP('Données projet (1)'!$B$12,'Paramètres (1)'!$A$1:$I$88,3,0)*VLOOKUP('Données projet (1)'!$B$12,'Paramètres (1)'!$A$1:$I$88,5,0)</f>
        <v>#REF!</v>
      </c>
      <c r="CA14" s="130" t="str">
        <f t="shared" si="122"/>
        <v>#REF!</v>
      </c>
      <c r="CB14" s="141" t="str">
        <f t="shared" si="39"/>
        <v>#REF!</v>
      </c>
      <c r="CC14" s="133" t="str">
        <f t="shared" si="40"/>
        <v>#REF!</v>
      </c>
      <c r="CD14" s="133" t="str">
        <f t="shared" si="41"/>
        <v>#REF!</v>
      </c>
      <c r="CE14" s="133" t="str">
        <f t="shared" si="123"/>
        <v>#REF!</v>
      </c>
      <c r="CF14" s="134" t="str">
        <f t="shared" si="42"/>
        <v>#REF!</v>
      </c>
      <c r="CG14" s="134" t="str">
        <f t="shared" si="43"/>
        <v>#REF!</v>
      </c>
      <c r="CH14" s="135" t="str">
        <f>IF(ISNA(VLOOKUP(A14,'Données projet (1)'!$A$113:$I$133,5,0)),0%,VLOOKUP(A14,'Données projet (1)'!$A$113:$I$133,5,0)*VLOOKUP('Données projet (1)'!$B$12,'Paramètres (1)'!$A$1:$I$88,7,0))</f>
        <v>#REF!</v>
      </c>
      <c r="CI14" s="135" t="str">
        <f>IF(ISNA(VLOOKUP(A14,'Données projet (1)'!$A$113:$I$133,6,0)),0%,VLOOKUP(A14,'Données projet (1)'!$A$113:$I$133,6,0)*VLOOKUP('Données projet (1)'!$B$12,'Paramètres (1)'!$A$1:$I$88,7,0))</f>
        <v>#REF!</v>
      </c>
      <c r="CJ14" s="135" t="str">
        <f t="shared" si="44"/>
        <v>#REF!</v>
      </c>
      <c r="CK14" s="142" t="str">
        <f>EXP(-LN(2)/35)*CK13+(1-EXP(-LN(2)/35))/(LN(2)/35)*CG14*CH14*VLOOKUP('Données projet (1)'!$B$12,'Paramètres (1)'!$A$1:$I$88,3,0)*0.475*44/12</f>
        <v>#REF!</v>
      </c>
      <c r="CL14" s="142" t="str">
        <f>EXP(-LN(2)/25)*CL13+(1-EXP(-LN(2)/25))/(LN(2)/25)*'Calculateur (1)'!CG14*'Calculateur (1)'!CI14*VLOOKUP('Données projet (1)'!$B$12,'Paramètres (1)'!$A$1:$I$88,3,0)*0.475*44/12</f>
        <v>#REF!</v>
      </c>
      <c r="CM14" s="142" t="str">
        <f>EXP(-LN(2)/2)*CM13+(1-EXP(-LN(2)/2))/(LN(2)/2)*CG14*CJ14*VLOOKUP('Données projet (1)'!$B$12,'Paramètres (1)'!$A$1:$I$88,3,0)*0.475*44/12</f>
        <v>#REF!</v>
      </c>
      <c r="CN14" s="143" t="str">
        <f t="shared" si="45"/>
        <v>#REF!</v>
      </c>
      <c r="CO14" s="139" t="str">
        <f t="shared" si="46"/>
        <v>#REF!</v>
      </c>
      <c r="CP14" s="131" t="str">
        <f t="shared" si="47"/>
        <v>#REF!</v>
      </c>
      <c r="CQ14" s="131" t="str">
        <f t="shared" si="124"/>
        <v>#REF!</v>
      </c>
      <c r="CR14" s="131" t="str">
        <f t="shared" si="48"/>
        <v>#REF!</v>
      </c>
      <c r="CS14" s="131" t="str">
        <f t="array" ref="CS14">INDEX(CR:CR,MIN(IF(ISNUMBER(CR14:CR210),ROW(CR14:CR210),"")))</f>
        <v/>
      </c>
      <c r="CT14" s="131" t="str">
        <f t="shared" si="125"/>
        <v>#REF!</v>
      </c>
      <c r="CU14" s="138" t="str">
        <f>CT14*VLOOKUP('Données projet (1)'!$B$13,'Paramètres (1)'!$A$1:$I$88,3,0)*VLOOKUP('Données projet (1)'!$B$13,'Paramètres (1)'!$A$1:$I$88,5,0)</f>
        <v>#REF!</v>
      </c>
      <c r="CV14" s="130" t="str">
        <f t="shared" si="126"/>
        <v>#REF!</v>
      </c>
      <c r="CW14" s="141" t="str">
        <f t="shared" si="49"/>
        <v>#REF!</v>
      </c>
      <c r="CX14" s="133" t="str">
        <f t="shared" si="50"/>
        <v>#REF!</v>
      </c>
      <c r="CY14" s="133" t="str">
        <f t="shared" si="51"/>
        <v>#REF!</v>
      </c>
      <c r="CZ14" s="133" t="str">
        <f t="shared" si="127"/>
        <v>#REF!</v>
      </c>
      <c r="DA14" s="134" t="str">
        <f t="shared" si="52"/>
        <v>#REF!</v>
      </c>
      <c r="DB14" s="134" t="str">
        <f t="shared" si="53"/>
        <v>#REF!</v>
      </c>
      <c r="DC14" s="135" t="str">
        <f>IF(ISNA(VLOOKUP(A14,'Données projet (1)'!$A$139:$I$159,5,0)),0%,VLOOKUP(A14,'Données projet (1)'!$A$139:$I$159,5,0)*VLOOKUP('Données projet (1)'!$B$13,'Paramètres (1)'!$A$1:$I$88,7,0))</f>
        <v>#REF!</v>
      </c>
      <c r="DD14" s="135" t="str">
        <f>IF(ISNA(VLOOKUP(A14,'Données projet (1)'!$A$139:$I$159,6,0)),0%,VLOOKUP(A14,'Données projet (1)'!$A$139:$I$159,6,0)*VLOOKUP('Données projet (1)'!$B$13,'Paramètres (1)'!$A$1:$I$88,7,0))</f>
        <v>#REF!</v>
      </c>
      <c r="DE14" s="135" t="str">
        <f t="shared" si="54"/>
        <v>#REF!</v>
      </c>
      <c r="DF14" s="142" t="str">
        <f>EXP(-LN(2)/35)*DF13+(1-EXP(-LN(2)/35))/(LN(2)/35)*DB14*DC14*VLOOKUP('Données projet (1)'!$B$13,'Paramètres (1)'!$A$1:$I$88,3,0)*0.475*44/12</f>
        <v>#REF!</v>
      </c>
      <c r="DG14" s="142" t="str">
        <f>EXP(-LN(2)/25)*DG13+(1-EXP(-LN(2)/25))/(LN(2)/25)*'Calculateur (1)'!DB14*'Calculateur (1)'!DD14*VLOOKUP('Données projet (1)'!$B$13,'Paramètres (1)'!$A$1:$I$88,3,0)*0.475*44/12</f>
        <v>#REF!</v>
      </c>
      <c r="DH14" s="142" t="str">
        <f>EXP(-LN(2)/2)*DH13+(1-EXP(-LN(2)/2))/(LN(2)/2)*DB14*DE14*VLOOKUP('Données projet (1)'!$B$13,'Paramètres (1)'!$A$1:$I$88,3,0)*0.475*44/12</f>
        <v>#REF!</v>
      </c>
      <c r="DI14" s="143" t="str">
        <f t="shared" si="55"/>
        <v>#REF!</v>
      </c>
      <c r="DJ14" s="139" t="str">
        <f t="shared" si="56"/>
        <v>#REF!</v>
      </c>
      <c r="DK14" s="131" t="str">
        <f t="shared" si="57"/>
        <v>#REF!</v>
      </c>
      <c r="DL14" s="131" t="str">
        <f t="shared" si="128"/>
        <v>#REF!</v>
      </c>
      <c r="DM14" s="131" t="str">
        <f t="shared" si="58"/>
        <v>#REF!</v>
      </c>
      <c r="DN14" s="131" t="str">
        <f t="array" ref="DN14">INDEX(DM:DM,MIN(IF(ISNUMBER(DM14:DM210),ROW(DM14:DM210),"")))</f>
        <v/>
      </c>
      <c r="DO14" s="131" t="str">
        <f t="shared" si="129"/>
        <v>#REF!</v>
      </c>
      <c r="DP14" s="138" t="str">
        <f>DO14*VLOOKUP('Données projet (1)'!$B$14,'Paramètres (1)'!$A$1:$I$88,3,0)*VLOOKUP('Données projet (1)'!$B$14,'Paramètres (1)'!$A$1:$I$88,5,0)</f>
        <v>#REF!</v>
      </c>
      <c r="DQ14" s="130" t="str">
        <f t="shared" si="130"/>
        <v>#REF!</v>
      </c>
      <c r="DR14" s="141" t="str">
        <f t="shared" si="59"/>
        <v>#REF!</v>
      </c>
      <c r="DS14" s="133" t="str">
        <f t="shared" si="60"/>
        <v>#REF!</v>
      </c>
      <c r="DT14" s="133" t="str">
        <f t="shared" si="61"/>
        <v>#REF!</v>
      </c>
      <c r="DU14" s="133" t="str">
        <f t="shared" si="131"/>
        <v>#REF!</v>
      </c>
      <c r="DV14" s="134" t="str">
        <f t="shared" si="62"/>
        <v>#REF!</v>
      </c>
      <c r="DW14" s="134" t="str">
        <f t="shared" si="63"/>
        <v>#REF!</v>
      </c>
      <c r="DX14" s="135" t="str">
        <f>IF(ISNA(VLOOKUP(A14,'Données projet (1)'!$A$165:$I$185,5,0)),0%,VLOOKUP(A14,'Données projet (1)'!$A$165:$I$185,5,0)*VLOOKUP('Données projet (1)'!$B$14,'Paramètres (1)'!$A$1:$I$88,7,0))</f>
        <v>#REF!</v>
      </c>
      <c r="DY14" s="135" t="str">
        <f>IF(ISNA(VLOOKUP(A14,'Données projet (1)'!$A$165:$I$185,6,0)),0%,VLOOKUP(A14,'Données projet (1)'!$A$165:$I$185,6,0)*VLOOKUP('Données projet (1)'!$B$14,'Paramètres (1)'!$A$1:$I$88,7,0))</f>
        <v>#REF!</v>
      </c>
      <c r="DZ14" s="135" t="str">
        <f t="shared" si="64"/>
        <v>#REF!</v>
      </c>
      <c r="EA14" s="142" t="str">
        <f>EXP(-LN(2)/35)*EA13+(1-EXP(-LN(2)/35))/(LN(2)/35)*DW14*DX14*VLOOKUP('Données projet (1)'!$B$14,'Paramètres (1)'!$A$1:$I$88,3,0)*0.475*44/12</f>
        <v>#REF!</v>
      </c>
      <c r="EB14" s="142" t="str">
        <f>EXP(-LN(2)/25)*EB13+(1-EXP(-LN(2)/25))/(LN(2)/25)*'Calculateur (1)'!DW14*'Calculateur (1)'!DY14*VLOOKUP('Données projet (1)'!$B$14,'Paramètres (1)'!$A$1:$I$88,3,0)*0.475*44/12</f>
        <v>#REF!</v>
      </c>
      <c r="EC14" s="142" t="str">
        <f>EXP(-LN(2)/2)*EC13+(1-EXP(-LN(2)/2))/(LN(2)/2)*DW14*DZ14*VLOOKUP('Données projet (1)'!$B$14,'Paramètres (1)'!$A$1:$I$88,3,0)*0.475*44/12</f>
        <v>#REF!</v>
      </c>
      <c r="ED14" s="143" t="str">
        <f t="shared" si="65"/>
        <v>#REF!</v>
      </c>
      <c r="EE14" s="139" t="str">
        <f t="shared" si="66"/>
        <v>#REF!</v>
      </c>
      <c r="EF14" s="131" t="str">
        <f t="shared" si="67"/>
        <v>#REF!</v>
      </c>
      <c r="EG14" s="131" t="str">
        <f t="shared" si="132"/>
        <v>#REF!</v>
      </c>
      <c r="EH14" s="131" t="str">
        <f t="shared" si="68"/>
        <v>#REF!</v>
      </c>
      <c r="EI14" s="131" t="str">
        <f t="array" ref="EI14">INDEX(EH:EH,MIN(IF(ISNUMBER(EH14:EH210),ROW(EH14:EH210),"")))</f>
        <v/>
      </c>
      <c r="EJ14" s="131" t="str">
        <f t="shared" si="133"/>
        <v>#REF!</v>
      </c>
      <c r="EK14" s="138" t="str">
        <f>EJ14*VLOOKUP('Données projet (1)'!$B$15,'Paramètres (1)'!$A$1:$I$88,3,0)*VLOOKUP('Données projet (1)'!$B$15,'Paramètres (1)'!$A$1:$I$88,5,0)</f>
        <v>#REF!</v>
      </c>
      <c r="EL14" s="130" t="str">
        <f t="shared" si="134"/>
        <v>#REF!</v>
      </c>
      <c r="EM14" s="141" t="str">
        <f t="shared" si="69"/>
        <v>#REF!</v>
      </c>
      <c r="EN14" s="133" t="str">
        <f t="shared" si="70"/>
        <v>#REF!</v>
      </c>
      <c r="EO14" s="133" t="str">
        <f t="shared" si="71"/>
        <v>#REF!</v>
      </c>
      <c r="EP14" s="133" t="str">
        <f t="shared" si="135"/>
        <v>#REF!</v>
      </c>
      <c r="EQ14" s="134" t="str">
        <f t="shared" si="72"/>
        <v>#REF!</v>
      </c>
      <c r="ER14" s="134" t="str">
        <f t="shared" si="73"/>
        <v>#REF!</v>
      </c>
      <c r="ES14" s="135" t="str">
        <f>IF(ISNA(VLOOKUP(A14,'Données projet (1)'!$A$191:$I$211,5,0)),0%,VLOOKUP(A14,'Données projet (1)'!$A$191:$I$211,5,0)*VLOOKUP('Données projet (1)'!$B$15,'Paramètres (1)'!$A$1:$I$88,7,0))</f>
        <v>#REF!</v>
      </c>
      <c r="ET14" s="135" t="str">
        <f>IF(ISNA(VLOOKUP(A14,'Données projet (1)'!$A$191:$I$211,6,0)),0%,VLOOKUP(A14,'Données projet (1)'!$A$191:$I$211,6,0)*VLOOKUP('Données projet (1)'!$B$15,'Paramètres (1)'!$A$1:$I$88,7,0))</f>
        <v>#REF!</v>
      </c>
      <c r="EU14" s="135" t="str">
        <f t="shared" si="74"/>
        <v>#REF!</v>
      </c>
      <c r="EV14" s="142" t="str">
        <f>EXP(-LN(2)/35)*EV13+(1-EXP(-LN(2)/35))/(LN(2)/35)*ER14*ES14*VLOOKUP('Données projet (1)'!$B$15,'Paramètres (1)'!$A$1:$I$88,3,0)*0.475*44/12</f>
        <v>#REF!</v>
      </c>
      <c r="EW14" s="142" t="str">
        <f>EXP(-LN(2)/25)*EW13+(1-EXP(-LN(2)/25))/(LN(2)/25)*'Calculateur (1)'!ER14*'Calculateur (1)'!ET14*VLOOKUP('Données projet (1)'!$B$15,'Paramètres (1)'!$A$1:$I$88,3,0)*0.475*44/12</f>
        <v>#REF!</v>
      </c>
      <c r="EX14" s="142" t="str">
        <f>EXP(-LN(2)/2)*EX13+(1-EXP(-LN(2)/2))/(LN(2)/2)*ER14*EU14*VLOOKUP('Données projet (1)'!$B$15,'Paramètres (1)'!$A$1:$I$88,3,0)*0.475*44/12</f>
        <v>#REF!</v>
      </c>
      <c r="EY14" s="143" t="str">
        <f t="shared" si="75"/>
        <v>#REF!</v>
      </c>
      <c r="EZ14" s="139" t="str">
        <f t="shared" si="76"/>
        <v>#REF!</v>
      </c>
      <c r="FA14" s="131" t="str">
        <f t="shared" si="77"/>
        <v>#REF!</v>
      </c>
      <c r="FB14" s="131" t="str">
        <f t="shared" si="136"/>
        <v>#REF!</v>
      </c>
      <c r="FC14" s="131" t="str">
        <f t="shared" si="78"/>
        <v>#REF!</v>
      </c>
      <c r="FD14" s="131" t="str">
        <f t="array" ref="FD14">INDEX(FC:FC,MIN(IF(ISNUMBER(FC14:FC210),ROW(FC14:FC210),"")))</f>
        <v/>
      </c>
      <c r="FE14" s="131" t="str">
        <f t="shared" si="137"/>
        <v>#REF!</v>
      </c>
      <c r="FF14" s="138" t="str">
        <f>FE14*VLOOKUP('Données projet (1)'!$B$16,'Paramètres (1)'!$A$1:$I$88,3,0)*VLOOKUP('Données projet (1)'!$B$16,'Paramètres (1)'!$A$1:$I$88,5,0)</f>
        <v>#REF!</v>
      </c>
      <c r="FG14" s="130" t="str">
        <f t="shared" si="138"/>
        <v>#REF!</v>
      </c>
      <c r="FH14" s="141" t="str">
        <f t="shared" si="79"/>
        <v>#REF!</v>
      </c>
      <c r="FI14" s="133" t="str">
        <f t="shared" si="80"/>
        <v>#REF!</v>
      </c>
      <c r="FJ14" s="133" t="str">
        <f t="shared" si="81"/>
        <v>#REF!</v>
      </c>
      <c r="FK14" s="133" t="str">
        <f t="shared" si="139"/>
        <v>#REF!</v>
      </c>
      <c r="FL14" s="134" t="str">
        <f t="shared" si="82"/>
        <v>#REF!</v>
      </c>
      <c r="FM14" s="134" t="str">
        <f t="shared" si="83"/>
        <v>#REF!</v>
      </c>
      <c r="FN14" s="135" t="str">
        <f>IF(ISNA(VLOOKUP(A14,'Données projet (1)'!$A$217:$I$237,5,0)),0%,VLOOKUP(A14,'Données projet (1)'!$A$217:$I$237,5,0)*VLOOKUP('Données projet (1)'!$B$16,'Paramètres (1)'!$A$1:$I$88,7,0))</f>
        <v>#REF!</v>
      </c>
      <c r="FO14" s="135" t="str">
        <f>IF(ISNA(VLOOKUP(A14,'Données projet (1)'!$A$217:$I$237,6,0)),0%,VLOOKUP(A14,'Données projet (1)'!$A$217:$I$237,6,0)*VLOOKUP('Données projet (1)'!$B$16,'Paramètres (1)'!$A$1:$I$88,7,0))</f>
        <v>#REF!</v>
      </c>
      <c r="FP14" s="135" t="str">
        <f t="shared" si="84"/>
        <v>#REF!</v>
      </c>
      <c r="FQ14" s="142" t="str">
        <f>EXP(-LN(2)/35)*FQ13+(1-EXP(-LN(2)/35))/(LN(2)/35)*FM14*FN14*VLOOKUP('Données projet (1)'!$B$16,'Paramètres (1)'!$A$1:$I$88,3,0)*0.475*44/12</f>
        <v>#REF!</v>
      </c>
      <c r="FR14" s="142" t="str">
        <f>EXP(-LN(2)/25)*FR13+(1-EXP(-LN(2)/25))/(LN(2)/25)*'Calculateur (1)'!FM14*'Calculateur (1)'!FO14*VLOOKUP('Données projet (1)'!$B$16,'Paramètres (1)'!$A$1:$I$88,3,0)*0.475*44/12</f>
        <v>#REF!</v>
      </c>
      <c r="FS14" s="142" t="str">
        <f>EXP(-LN(2)/2)*FS13+(1-EXP(-LN(2)/2))/(LN(2)/2)*FM14*FP14*VLOOKUP('Données projet (1)'!$B$16,'Paramètres (1)'!$A$1:$I$88,3,0)*0.475*44/12</f>
        <v>#REF!</v>
      </c>
      <c r="FT14" s="143" t="str">
        <f t="shared" si="85"/>
        <v>#REF!</v>
      </c>
      <c r="FU14" s="139" t="str">
        <f t="shared" si="86"/>
        <v>#REF!</v>
      </c>
      <c r="FV14" s="131" t="str">
        <f t="shared" si="87"/>
        <v>#REF!</v>
      </c>
      <c r="FW14" s="131" t="str">
        <f t="shared" si="140"/>
        <v>#REF!</v>
      </c>
      <c r="FX14" s="131" t="str">
        <f t="shared" si="88"/>
        <v>#REF!</v>
      </c>
      <c r="FY14" s="131" t="str">
        <f t="array" ref="FY14">INDEX(FX:FX,MIN(IF(ISNUMBER(FX14:FX210),ROW(FX14:FX210),"")))</f>
        <v/>
      </c>
      <c r="FZ14" s="131" t="str">
        <f t="shared" si="141"/>
        <v>#REF!</v>
      </c>
      <c r="GA14" s="138" t="str">
        <f>FZ14*VLOOKUP('Données projet (1)'!$B$17,'Paramètres (1)'!$A$1:$I$88,3,0)*VLOOKUP('Données projet (1)'!$B$17,'Paramètres (1)'!$A$1:$I$88,5,0)</f>
        <v>#REF!</v>
      </c>
      <c r="GB14" s="130" t="str">
        <f t="shared" si="142"/>
        <v>#REF!</v>
      </c>
      <c r="GC14" s="141" t="str">
        <f t="shared" si="89"/>
        <v>#REF!</v>
      </c>
      <c r="GD14" s="133" t="str">
        <f t="shared" si="90"/>
        <v>#REF!</v>
      </c>
      <c r="GE14" s="133" t="str">
        <f t="shared" si="91"/>
        <v>#REF!</v>
      </c>
      <c r="GF14" s="133" t="str">
        <f t="shared" si="143"/>
        <v>#REF!</v>
      </c>
      <c r="GG14" s="134" t="str">
        <f t="shared" si="92"/>
        <v>#REF!</v>
      </c>
      <c r="GH14" s="134" t="str">
        <f t="shared" si="93"/>
        <v>#REF!</v>
      </c>
      <c r="GI14" s="135" t="str">
        <f>IF(ISNA(VLOOKUP(A14,'Données projet (1)'!$A$243:$I$263,5,0)),0%,VLOOKUP(A14,'Données projet (1)'!$A$243:$I$263,5,0)*VLOOKUP('Données projet (1)'!$B$17,'Paramètres (1)'!$A$1:$I$88,7,0))</f>
        <v>#REF!</v>
      </c>
      <c r="GJ14" s="135" t="str">
        <f>IF(ISNA(VLOOKUP(A14,'Données projet (1)'!$A$243:$I$263,6,0)),0%,VLOOKUP(A14,'Données projet (1)'!$A$243:$I$263,6,0)*VLOOKUP('Données projet (1)'!$B$17,'Paramètres (1)'!$A$1:$I$88,7,0))</f>
        <v>#REF!</v>
      </c>
      <c r="GK14" s="135" t="str">
        <f t="shared" si="94"/>
        <v>#REF!</v>
      </c>
      <c r="GL14" s="142" t="str">
        <f>EXP(-LN(2)/35)*GL13+(1-EXP(-LN(2)/35))/(LN(2)/35)*GH14*GI14*VLOOKUP('Données projet (1)'!$B$17,'Paramètres (1)'!$A$1:$I$88,3,0)*0.475*44/12</f>
        <v>#REF!</v>
      </c>
      <c r="GM14" s="142" t="str">
        <f>EXP(-LN(2)/25)*GM13+(1-EXP(-LN(2)/25))/(LN(2)/25)*'Calculateur (1)'!GH14*'Calculateur (1)'!GJ14*VLOOKUP('Données projet (1)'!$B$17,'Paramètres (1)'!$A$1:$I$88,3,0)*0.475*44/12</f>
        <v>#REF!</v>
      </c>
      <c r="GN14" s="142" t="str">
        <f>EXP(-LN(2)/2)*GN13+(1-EXP(-LN(2)/2))/(LN(2)/2)*GH14*GK14*VLOOKUP('Données projet (1)'!$B$17,'Paramètres (1)'!$A$1:$I$88,3,0)*0.475*44/12</f>
        <v>#REF!</v>
      </c>
      <c r="GO14" s="142" t="str">
        <f t="shared" si="95"/>
        <v>#REF!</v>
      </c>
      <c r="GP14" s="139" t="str">
        <f t="shared" si="96"/>
        <v>#REF!</v>
      </c>
      <c r="GQ14" s="131" t="str">
        <f t="shared" si="97"/>
        <v>#REF!</v>
      </c>
      <c r="GR14" s="131" t="str">
        <f t="shared" si="144"/>
        <v>#REF!</v>
      </c>
      <c r="GS14" s="131" t="str">
        <f t="shared" si="98"/>
        <v>#REF!</v>
      </c>
      <c r="GT14" s="131" t="str">
        <f t="array" ref="GT14">INDEX(GS:GS,MIN(IF(ISNUMBER(GS14:GS210),ROW(GS14:GS210),"")))</f>
        <v/>
      </c>
      <c r="GU14" s="131" t="str">
        <f t="shared" si="145"/>
        <v>#REF!</v>
      </c>
      <c r="GV14" s="138" t="str">
        <f>GU14*VLOOKUP('Données projet (1)'!$B$18,'Paramètres (1)'!$A$1:$I$88,3,0)*VLOOKUP('Données projet (1)'!$B$18,'Paramètres (1)'!$A$1:$I$88,5,0)</f>
        <v>#REF!</v>
      </c>
      <c r="GW14" s="130" t="str">
        <f t="shared" si="146"/>
        <v>#REF!</v>
      </c>
      <c r="GX14" s="141" t="str">
        <f t="shared" si="99"/>
        <v>#REF!</v>
      </c>
      <c r="GY14" s="133" t="str">
        <f t="shared" si="100"/>
        <v>#REF!</v>
      </c>
      <c r="GZ14" s="133" t="str">
        <f t="shared" si="101"/>
        <v>#REF!</v>
      </c>
      <c r="HA14" s="133" t="str">
        <f t="shared" si="147"/>
        <v>#REF!</v>
      </c>
      <c r="HB14" s="134" t="str">
        <f t="shared" si="102"/>
        <v>#REF!</v>
      </c>
      <c r="HC14" s="134" t="str">
        <f t="shared" si="103"/>
        <v>#REF!</v>
      </c>
      <c r="HD14" s="135" t="str">
        <f>IF(ISNA(VLOOKUP(A14,'Données projet (1)'!$A$269:$I$289,5,0)),0%,VLOOKUP(A14,'Données projet (1)'!$A$269:$I$289,5,0)*VLOOKUP('Données projet (1)'!$B$18,'Paramètres (1)'!$A$1:$I$88,7,0))</f>
        <v>#REF!</v>
      </c>
      <c r="HE14" s="135" t="str">
        <f>IF(ISNA(VLOOKUP(A14,'Données projet (1)'!$A$269:$I$289,6,0)),0%,VLOOKUP(A14,'Données projet (1)'!$A$269:$I$289,6,0)*VLOOKUP('Données projet (1)'!$B$18,'Paramètres (1)'!$A$1:$I$88,7,0))</f>
        <v>#REF!</v>
      </c>
      <c r="HF14" s="135" t="str">
        <f t="shared" si="104"/>
        <v>#REF!</v>
      </c>
      <c r="HG14" s="142" t="str">
        <f>EXP(-LN(2)/35)*HG13+(1-EXP(-LN(2)/35))/(LN(2)/35)*HC14*HD14*VLOOKUP('Données projet (1)'!$B$18,'Paramètres (1)'!$A$1:$I$88,3,0)*0.475*44/12</f>
        <v>#REF!</v>
      </c>
      <c r="HH14" s="142" t="str">
        <f>EXP(-LN(2)/25)*HH13+(1-EXP(-LN(2)/25))/(LN(2)/25)*'Calculateur (1)'!HC14*'Calculateur (1)'!HE14*VLOOKUP('Données projet (1)'!$B$18,'Paramètres (1)'!$A$1:$I$88,3,0)*0.475*44/12</f>
        <v>#REF!</v>
      </c>
      <c r="HI14" s="142" t="str">
        <f>EXP(-LN(2)/2)*HI13+(1-EXP(-LN(2)/2))/(LN(2)/2)*HC14*HF14*VLOOKUP('Données projet (1)'!$B$18,'Paramètres (1)'!$A$1:$I$88,3,0)*0.475*44/12</f>
        <v>#REF!</v>
      </c>
      <c r="HJ14" s="143" t="str">
        <f t="shared" si="105"/>
        <v>#REF!</v>
      </c>
    </row>
    <row r="15" ht="14.25" customHeight="1">
      <c r="A15" s="125">
        <f t="shared" si="106"/>
        <v>12</v>
      </c>
      <c r="B15" s="126" t="str">
        <f t="shared" si="1"/>
        <v>#REF!</v>
      </c>
      <c r="C15" s="140" t="str">
        <f>'Calculateur (1)'!C14+'Scénario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" s="127">
        <f t="shared" si="107"/>
        <v>0</v>
      </c>
      <c r="E15" s="127" t="str">
        <f t="shared" si="2"/>
        <v>#REF!</v>
      </c>
      <c r="F15" s="127" t="str">
        <f t="shared" si="3"/>
        <v>#REF!</v>
      </c>
      <c r="G15" s="127" t="str">
        <f t="shared" si="4"/>
        <v>#REF!</v>
      </c>
      <c r="H15" s="128" t="str">
        <f t="shared" si="5"/>
        <v>#REF!</v>
      </c>
      <c r="I15" s="129" t="str">
        <f t="shared" si="6"/>
        <v>#REF!</v>
      </c>
      <c r="J15" s="130" t="str">
        <f t="shared" si="7"/>
        <v>#REF!</v>
      </c>
      <c r="K15" s="131" t="str">
        <f t="shared" si="108"/>
        <v>#REF!</v>
      </c>
      <c r="L15" s="131" t="str">
        <f t="shared" si="8"/>
        <v>#REF!</v>
      </c>
      <c r="M15" s="131" t="str">
        <f t="array" ref="M15">INDEX(L:L,MIN(IF(ISNUMBER(L15:L211),ROW(L15:L211),"")))</f>
        <v/>
      </c>
      <c r="N15" s="130" t="str">
        <f t="shared" si="109"/>
        <v>#REF!</v>
      </c>
      <c r="O15" s="130" t="str">
        <f>N15*VLOOKUP('Données projet (1)'!$B$9,'Paramètres (1)'!$A$1:$I$88,3,0)*VLOOKUP('Données projet (1)'!$B$9,'Paramètres (1)'!$A$1:$I$88,5,0)</f>
        <v>#REF!</v>
      </c>
      <c r="P15" s="130" t="str">
        <f t="shared" si="110"/>
        <v>#REF!</v>
      </c>
      <c r="Q15" s="141" t="str">
        <f t="shared" si="9"/>
        <v>#REF!</v>
      </c>
      <c r="R15" s="133" t="str">
        <f t="shared" si="10"/>
        <v>#REF!</v>
      </c>
      <c r="S15" s="133" t="str">
        <f t="shared" si="11"/>
        <v>#REF!</v>
      </c>
      <c r="T15" s="133" t="str">
        <f t="shared" si="111"/>
        <v>#REF!</v>
      </c>
      <c r="U15" s="134" t="str">
        <f t="shared" si="12"/>
        <v>#REF!</v>
      </c>
      <c r="V15" s="134" t="str">
        <f t="shared" si="13"/>
        <v>#REF!</v>
      </c>
      <c r="W15" s="135" t="str">
        <f>IF(ISNA(VLOOKUP(A15,'Données projet (1)'!$A$35:$I$55,5,0)),0%,VLOOKUP(A15,'Données projet (1)'!$A$35:$I$55,5,0)*VLOOKUP('Données projet (1)'!$B$9,'Paramètres (1)'!$A$1:$I$88,7,0))</f>
        <v>#REF!</v>
      </c>
      <c r="X15" s="135" t="str">
        <f>IF(ISNA(VLOOKUP(A15,'Données projet (1)'!$A$35:$I$55,6,0)),0%,VLOOKUP(A15,'Données projet (1)'!$A$35:$I$55,6,0)*VLOOKUP('Données projet (1)'!$B$9,'Paramètres (1)'!$A$1:$I$88,7,0))</f>
        <v>#REF!</v>
      </c>
      <c r="Y15" s="135" t="str">
        <f t="shared" si="14"/>
        <v>#REF!</v>
      </c>
      <c r="Z15" s="142" t="str">
        <f>EXP(-LN(2)/35)*Z14+(1-EXP(-LN(2)/35))/(LN(2)/35)*V15*W15*VLOOKUP('Données projet (1)'!$B$9,'Paramètres (1)'!$A$1:$I$88,3,0)*0.475*44/12</f>
        <v>#REF!</v>
      </c>
      <c r="AA15" s="142" t="str">
        <f>EXP(-LN(2)/25)*AA14+(1-EXP(-LN(2)/25))/(LN(2)/25)*'Calculateur (1)'!V15*'Calculateur (1)'!X15*VLOOKUP('Données projet (1)'!$B$9,'Paramètres (1)'!$A$1:$I$88,3,0)*0.475*44/12</f>
        <v>#REF!</v>
      </c>
      <c r="AB15" s="142" t="str">
        <f>EXP(-LN(2)/2)*AB14+(1-EXP(-LN(2)/2))/(LN(2)/2)*V15*Y15*VLOOKUP('Données projet (1)'!$B$9,'Paramètres (1)'!$A$1:$I$88,3,0)*0.475*44/12</f>
        <v>#REF!</v>
      </c>
      <c r="AC15" s="143" t="str">
        <f t="shared" si="15"/>
        <v>#REF!</v>
      </c>
      <c r="AD15" s="130" t="str">
        <f t="shared" si="16"/>
        <v>#REF!</v>
      </c>
      <c r="AE15" s="130" t="str">
        <f t="shared" si="17"/>
        <v>#REF!</v>
      </c>
      <c r="AF15" s="131" t="str">
        <f t="shared" si="112"/>
        <v>#REF!</v>
      </c>
      <c r="AG15" s="131" t="str">
        <f t="shared" si="18"/>
        <v>#REF!</v>
      </c>
      <c r="AH15" s="131" t="str">
        <f t="array" ref="AH15">INDEX(AG:AG,MIN(IF(ISNUMBER(AG15:AG211),ROW(AG15:AG211),"")))</f>
        <v/>
      </c>
      <c r="AI15" s="130" t="str">
        <f t="shared" si="113"/>
        <v>#REF!</v>
      </c>
      <c r="AJ15" s="130" t="str">
        <f>AI15*VLOOKUP('Données projet (1)'!$B$10,'Paramètres (1)'!$A$1:$I$88,3,0)*VLOOKUP('Données projet (1)'!$B$10,'Paramètres (1)'!$A$1:$I$88,5,0)</f>
        <v>#REF!</v>
      </c>
      <c r="AK15" s="130" t="str">
        <f t="shared" si="114"/>
        <v>#REF!</v>
      </c>
      <c r="AL15" s="141" t="str">
        <f t="shared" si="19"/>
        <v>#REF!</v>
      </c>
      <c r="AM15" s="133" t="str">
        <f t="shared" si="20"/>
        <v>#REF!</v>
      </c>
      <c r="AN15" s="133" t="str">
        <f t="shared" si="21"/>
        <v>#REF!</v>
      </c>
      <c r="AO15" s="133" t="str">
        <f t="shared" si="115"/>
        <v>#REF!</v>
      </c>
      <c r="AP15" s="134" t="str">
        <f t="shared" si="22"/>
        <v>#REF!</v>
      </c>
      <c r="AQ15" s="134" t="str">
        <f t="shared" si="23"/>
        <v>#REF!</v>
      </c>
      <c r="AR15" s="135" t="str">
        <f>IF(ISNA(VLOOKUP(A15,'Données projet (1)'!$A$61:$I$81,5,0)),0%,VLOOKUP(A15,'Données projet (1)'!$A$61:$I$81,5,0)*VLOOKUP('Données projet (1)'!$B$10,'Paramètres (1)'!$A$1:$I$88,7,0))</f>
        <v>#REF!</v>
      </c>
      <c r="AS15" s="135" t="str">
        <f>IF(ISNA(VLOOKUP(A15,'Données projet (1)'!$A$61:$I$81,6,0)),0%,VLOOKUP(A15,'Données projet (1)'!$A$61:$I$81,6,0)*VLOOKUP('Données projet (1)'!$B$10,'Paramètres (1)'!$A$1:$I$88,7,0))</f>
        <v>#REF!</v>
      </c>
      <c r="AT15" s="135" t="str">
        <f t="shared" si="24"/>
        <v>#REF!</v>
      </c>
      <c r="AU15" s="142" t="str">
        <f>EXP(-LN(2)/35)*AU14+(1-EXP(-LN(2)/35))/(LN(2)/35)*AQ15*AR15*VLOOKUP('Données projet (1)'!$B$10,'Paramètres (1)'!$A$1:$I$88,3,0)*0.475*44/12</f>
        <v>#REF!</v>
      </c>
      <c r="AV15" s="142" t="str">
        <f>EXP(-LN(2)/25)*AV14+(1-EXP(-LN(2)/25))/(LN(2)/25)*'Calculateur (1)'!AQ15*'Calculateur (1)'!AS15*VLOOKUP('Données projet (1)'!$B$10,'Paramètres (1)'!$A$1:$I$88,3,0)*0.475*44/12</f>
        <v>#REF!</v>
      </c>
      <c r="AW15" s="142" t="str">
        <f>EXP(-LN(2)/2)*AW14+(1-EXP(-LN(2)/2))/(LN(2)/2)*AQ15*AT15*VLOOKUP('Données projet (1)'!$B$10,'Paramètres (1)'!$A$1:$I$88,3,0)*0.475*44/12</f>
        <v>#REF!</v>
      </c>
      <c r="AX15" s="142" t="str">
        <f t="shared" si="25"/>
        <v>#REF!</v>
      </c>
      <c r="AY15" s="137" t="str">
        <f t="shared" si="26"/>
        <v>#REF!</v>
      </c>
      <c r="AZ15" s="131" t="str">
        <f t="shared" si="27"/>
        <v>#REF!</v>
      </c>
      <c r="BA15" s="131" t="str">
        <f t="shared" si="116"/>
        <v>#REF!</v>
      </c>
      <c r="BB15" s="131" t="str">
        <f t="shared" si="28"/>
        <v>#REF!</v>
      </c>
      <c r="BC15" s="131" t="str">
        <f t="array" ref="BC15">INDEX(BB:BB,MIN(IF(ISNUMBER(BB15:BB211),ROW(BB15:BB211),"")))</f>
        <v/>
      </c>
      <c r="BD15" s="131" t="str">
        <f t="shared" si="117"/>
        <v>#REF!</v>
      </c>
      <c r="BE15" s="130" t="str">
        <f>BD15*VLOOKUP('Données projet (1)'!$B$11,'Paramètres (1)'!$A$1:$I$88,3,0)*VLOOKUP('Données projet (1)'!$B$11,'Paramètres (1)'!$A$1:$I$88,5,0)</f>
        <v>#REF!</v>
      </c>
      <c r="BF15" s="130" t="str">
        <f t="shared" si="118"/>
        <v>#REF!</v>
      </c>
      <c r="BG15" s="141" t="str">
        <f t="shared" si="29"/>
        <v>#REF!</v>
      </c>
      <c r="BH15" s="133" t="str">
        <f t="shared" si="30"/>
        <v>#REF!</v>
      </c>
      <c r="BI15" s="133" t="str">
        <f t="shared" si="31"/>
        <v>#REF!</v>
      </c>
      <c r="BJ15" s="133" t="str">
        <f t="shared" si="119"/>
        <v>#REF!</v>
      </c>
      <c r="BK15" s="134" t="str">
        <f t="shared" si="32"/>
        <v>#REF!</v>
      </c>
      <c r="BL15" s="134" t="str">
        <f t="shared" si="33"/>
        <v>#REF!</v>
      </c>
      <c r="BM15" s="135" t="str">
        <f>IF(ISNA(VLOOKUP(A15,'Données projet (1)'!$A$87:$I$107,5,0)),0%,VLOOKUP(A15,'Données projet (1)'!$A$87:$I$107,5,0)*VLOOKUP('Données projet (1)'!$B$11,'Paramètres (1)'!$A$1:$I$88,7,0))</f>
        <v>#REF!</v>
      </c>
      <c r="BN15" s="135" t="str">
        <f>IF(ISNA(VLOOKUP(A15,'Données projet (1)'!$A$87:$I$107,6,0)),0%,VLOOKUP(A15,'Données projet (1)'!$A$87:$I$107,6,0)*VLOOKUP('Données projet (1)'!$B$11,'Paramètres (1)'!$A$1:$I$88,7,0))</f>
        <v>#REF!</v>
      </c>
      <c r="BO15" s="135" t="str">
        <f t="shared" si="34"/>
        <v>#REF!</v>
      </c>
      <c r="BP15" s="142" t="str">
        <f>EXP(-LN(2)/35)*BP14+(1-EXP(-LN(2)/35))/(LN(2)/35)*BL15*BM15*VLOOKUP('Données projet (1)'!$B$11,'Paramètres (1)'!$A$1:$I$88,3,0)*0.475*44/12</f>
        <v>#REF!</v>
      </c>
      <c r="BQ15" s="142" t="str">
        <f>EXP(-LN(2)/25)*BQ14+(1-EXP(-LN(2)/25))/(LN(2)/25)*'Calculateur (1)'!BL15*'Calculateur (1)'!BN15*VLOOKUP('Données projet (1)'!$B$11,'Paramètres (1)'!$A$1:$I$88,3,0)*0.475*44/12</f>
        <v>#REF!</v>
      </c>
      <c r="BR15" s="142" t="str">
        <f>EXP(-LN(2)/2)*BR14+(1-EXP(-LN(2)/2))/(LN(2)/2)*BL15*BO15*VLOOKUP('Données projet (1)'!$B$11,'Paramètres (1)'!$A$1:$I$88,3,0)*0.475*44/12</f>
        <v>#REF!</v>
      </c>
      <c r="BS15" s="143" t="str">
        <f t="shared" si="35"/>
        <v>#REF!</v>
      </c>
      <c r="BT15" s="139" t="str">
        <f t="shared" si="36"/>
        <v>#REF!</v>
      </c>
      <c r="BU15" s="131" t="str">
        <f t="shared" si="37"/>
        <v>#REF!</v>
      </c>
      <c r="BV15" s="131" t="str">
        <f t="shared" si="120"/>
        <v>#REF!</v>
      </c>
      <c r="BW15" s="131" t="str">
        <f t="shared" si="38"/>
        <v>#REF!</v>
      </c>
      <c r="BX15" s="131" t="str">
        <f t="array" ref="BX15">INDEX(BW:BW,MIN(IF(ISNUMBER(BW15:BW211),ROW(BW15:BW211),"")))</f>
        <v/>
      </c>
      <c r="BY15" s="131" t="str">
        <f t="shared" si="121"/>
        <v>#REF!</v>
      </c>
      <c r="BZ15" s="130" t="str">
        <f>BY15*VLOOKUP('Données projet (1)'!$B$12,'Paramètres (1)'!$A$1:$I$88,3,0)*VLOOKUP('Données projet (1)'!$B$12,'Paramètres (1)'!$A$1:$I$88,5,0)</f>
        <v>#REF!</v>
      </c>
      <c r="CA15" s="130" t="str">
        <f t="shared" si="122"/>
        <v>#REF!</v>
      </c>
      <c r="CB15" s="141" t="str">
        <f t="shared" si="39"/>
        <v>#REF!</v>
      </c>
      <c r="CC15" s="133" t="str">
        <f t="shared" si="40"/>
        <v>#REF!</v>
      </c>
      <c r="CD15" s="133" t="str">
        <f t="shared" si="41"/>
        <v>#REF!</v>
      </c>
      <c r="CE15" s="133" t="str">
        <f t="shared" si="123"/>
        <v>#REF!</v>
      </c>
      <c r="CF15" s="134" t="str">
        <f t="shared" si="42"/>
        <v>#REF!</v>
      </c>
      <c r="CG15" s="134" t="str">
        <f t="shared" si="43"/>
        <v>#REF!</v>
      </c>
      <c r="CH15" s="135" t="str">
        <f>IF(ISNA(VLOOKUP(A15,'Données projet (1)'!$A$113:$I$133,5,0)),0%,VLOOKUP(A15,'Données projet (1)'!$A$113:$I$133,5,0)*VLOOKUP('Données projet (1)'!$B$12,'Paramètres (1)'!$A$1:$I$88,7,0))</f>
        <v>#REF!</v>
      </c>
      <c r="CI15" s="135" t="str">
        <f>IF(ISNA(VLOOKUP(A15,'Données projet (1)'!$A$113:$I$133,6,0)),0%,VLOOKUP(A15,'Données projet (1)'!$A$113:$I$133,6,0)*VLOOKUP('Données projet (1)'!$B$12,'Paramètres (1)'!$A$1:$I$88,7,0))</f>
        <v>#REF!</v>
      </c>
      <c r="CJ15" s="135" t="str">
        <f t="shared" si="44"/>
        <v>#REF!</v>
      </c>
      <c r="CK15" s="142" t="str">
        <f>EXP(-LN(2)/35)*CK14+(1-EXP(-LN(2)/35))/(LN(2)/35)*CG15*CH15*VLOOKUP('Données projet (1)'!$B$12,'Paramètres (1)'!$A$1:$I$88,3,0)*0.475*44/12</f>
        <v>#REF!</v>
      </c>
      <c r="CL15" s="142" t="str">
        <f>EXP(-LN(2)/25)*CL14+(1-EXP(-LN(2)/25))/(LN(2)/25)*'Calculateur (1)'!CG15*'Calculateur (1)'!CI15*VLOOKUP('Données projet (1)'!$B$12,'Paramètres (1)'!$A$1:$I$88,3,0)*0.475*44/12</f>
        <v>#REF!</v>
      </c>
      <c r="CM15" s="142" t="str">
        <f>EXP(-LN(2)/2)*CM14+(1-EXP(-LN(2)/2))/(LN(2)/2)*CG15*CJ15*VLOOKUP('Données projet (1)'!$B$12,'Paramètres (1)'!$A$1:$I$88,3,0)*0.475*44/12</f>
        <v>#REF!</v>
      </c>
      <c r="CN15" s="143" t="str">
        <f t="shared" si="45"/>
        <v>#REF!</v>
      </c>
      <c r="CO15" s="139" t="str">
        <f t="shared" si="46"/>
        <v>#REF!</v>
      </c>
      <c r="CP15" s="131" t="str">
        <f t="shared" si="47"/>
        <v>#REF!</v>
      </c>
      <c r="CQ15" s="131" t="str">
        <f t="shared" si="124"/>
        <v>#REF!</v>
      </c>
      <c r="CR15" s="131" t="str">
        <f t="shared" si="48"/>
        <v>#REF!</v>
      </c>
      <c r="CS15" s="131" t="str">
        <f t="array" ref="CS15">INDEX(CR:CR,MIN(IF(ISNUMBER(CR15:CR211),ROW(CR15:CR211),"")))</f>
        <v/>
      </c>
      <c r="CT15" s="131" t="str">
        <f t="shared" si="125"/>
        <v>#REF!</v>
      </c>
      <c r="CU15" s="138" t="str">
        <f>CT15*VLOOKUP('Données projet (1)'!$B$13,'Paramètres (1)'!$A$1:$I$88,3,0)*VLOOKUP('Données projet (1)'!$B$13,'Paramètres (1)'!$A$1:$I$88,5,0)</f>
        <v>#REF!</v>
      </c>
      <c r="CV15" s="130" t="str">
        <f t="shared" si="126"/>
        <v>#REF!</v>
      </c>
      <c r="CW15" s="141" t="str">
        <f t="shared" si="49"/>
        <v>#REF!</v>
      </c>
      <c r="CX15" s="133" t="str">
        <f t="shared" si="50"/>
        <v>#REF!</v>
      </c>
      <c r="CY15" s="133" t="str">
        <f t="shared" si="51"/>
        <v>#REF!</v>
      </c>
      <c r="CZ15" s="133" t="str">
        <f t="shared" si="127"/>
        <v>#REF!</v>
      </c>
      <c r="DA15" s="134" t="str">
        <f t="shared" si="52"/>
        <v>#REF!</v>
      </c>
      <c r="DB15" s="134" t="str">
        <f t="shared" si="53"/>
        <v>#REF!</v>
      </c>
      <c r="DC15" s="135" t="str">
        <f>IF(ISNA(VLOOKUP(A15,'Données projet (1)'!$A$139:$I$159,5,0)),0%,VLOOKUP(A15,'Données projet (1)'!$A$139:$I$159,5,0)*VLOOKUP('Données projet (1)'!$B$13,'Paramètres (1)'!$A$1:$I$88,7,0))</f>
        <v>#REF!</v>
      </c>
      <c r="DD15" s="135" t="str">
        <f>IF(ISNA(VLOOKUP(A15,'Données projet (1)'!$A$139:$I$159,6,0)),0%,VLOOKUP(A15,'Données projet (1)'!$A$139:$I$159,6,0)*VLOOKUP('Données projet (1)'!$B$13,'Paramètres (1)'!$A$1:$I$88,7,0))</f>
        <v>#REF!</v>
      </c>
      <c r="DE15" s="135" t="str">
        <f t="shared" si="54"/>
        <v>#REF!</v>
      </c>
      <c r="DF15" s="142" t="str">
        <f>EXP(-LN(2)/35)*DF14+(1-EXP(-LN(2)/35))/(LN(2)/35)*DB15*DC15*VLOOKUP('Données projet (1)'!$B$13,'Paramètres (1)'!$A$1:$I$88,3,0)*0.475*44/12</f>
        <v>#REF!</v>
      </c>
      <c r="DG15" s="142" t="str">
        <f>EXP(-LN(2)/25)*DG14+(1-EXP(-LN(2)/25))/(LN(2)/25)*'Calculateur (1)'!DB15*'Calculateur (1)'!DD15*VLOOKUP('Données projet (1)'!$B$13,'Paramètres (1)'!$A$1:$I$88,3,0)*0.475*44/12</f>
        <v>#REF!</v>
      </c>
      <c r="DH15" s="142" t="str">
        <f>EXP(-LN(2)/2)*DH14+(1-EXP(-LN(2)/2))/(LN(2)/2)*DB15*DE15*VLOOKUP('Données projet (1)'!$B$13,'Paramètres (1)'!$A$1:$I$88,3,0)*0.475*44/12</f>
        <v>#REF!</v>
      </c>
      <c r="DI15" s="143" t="str">
        <f t="shared" si="55"/>
        <v>#REF!</v>
      </c>
      <c r="DJ15" s="139" t="str">
        <f t="shared" si="56"/>
        <v>#REF!</v>
      </c>
      <c r="DK15" s="131" t="str">
        <f t="shared" si="57"/>
        <v>#REF!</v>
      </c>
      <c r="DL15" s="131" t="str">
        <f t="shared" si="128"/>
        <v>#REF!</v>
      </c>
      <c r="DM15" s="131" t="str">
        <f t="shared" si="58"/>
        <v>#REF!</v>
      </c>
      <c r="DN15" s="131" t="str">
        <f t="array" ref="DN15">INDEX(DM:DM,MIN(IF(ISNUMBER(DM15:DM211),ROW(DM15:DM211),"")))</f>
        <v/>
      </c>
      <c r="DO15" s="131" t="str">
        <f t="shared" si="129"/>
        <v>#REF!</v>
      </c>
      <c r="DP15" s="138" t="str">
        <f>DO15*VLOOKUP('Données projet (1)'!$B$14,'Paramètres (1)'!$A$1:$I$88,3,0)*VLOOKUP('Données projet (1)'!$B$14,'Paramètres (1)'!$A$1:$I$88,5,0)</f>
        <v>#REF!</v>
      </c>
      <c r="DQ15" s="130" t="str">
        <f t="shared" si="130"/>
        <v>#REF!</v>
      </c>
      <c r="DR15" s="141" t="str">
        <f t="shared" si="59"/>
        <v>#REF!</v>
      </c>
      <c r="DS15" s="133" t="str">
        <f t="shared" si="60"/>
        <v>#REF!</v>
      </c>
      <c r="DT15" s="133" t="str">
        <f t="shared" si="61"/>
        <v>#REF!</v>
      </c>
      <c r="DU15" s="133" t="str">
        <f t="shared" si="131"/>
        <v>#REF!</v>
      </c>
      <c r="DV15" s="134" t="str">
        <f t="shared" si="62"/>
        <v>#REF!</v>
      </c>
      <c r="DW15" s="134" t="str">
        <f t="shared" si="63"/>
        <v>#REF!</v>
      </c>
      <c r="DX15" s="135" t="str">
        <f>IF(ISNA(VLOOKUP(A15,'Données projet (1)'!$A$165:$I$185,5,0)),0%,VLOOKUP(A15,'Données projet (1)'!$A$165:$I$185,5,0)*VLOOKUP('Données projet (1)'!$B$14,'Paramètres (1)'!$A$1:$I$88,7,0))</f>
        <v>#REF!</v>
      </c>
      <c r="DY15" s="135" t="str">
        <f>IF(ISNA(VLOOKUP(A15,'Données projet (1)'!$A$165:$I$185,6,0)),0%,VLOOKUP(A15,'Données projet (1)'!$A$165:$I$185,6,0)*VLOOKUP('Données projet (1)'!$B$14,'Paramètres (1)'!$A$1:$I$88,7,0))</f>
        <v>#REF!</v>
      </c>
      <c r="DZ15" s="135" t="str">
        <f t="shared" si="64"/>
        <v>#REF!</v>
      </c>
      <c r="EA15" s="142" t="str">
        <f>EXP(-LN(2)/35)*EA14+(1-EXP(-LN(2)/35))/(LN(2)/35)*DW15*DX15*VLOOKUP('Données projet (1)'!$B$14,'Paramètres (1)'!$A$1:$I$88,3,0)*0.475*44/12</f>
        <v>#REF!</v>
      </c>
      <c r="EB15" s="142" t="str">
        <f>EXP(-LN(2)/25)*EB14+(1-EXP(-LN(2)/25))/(LN(2)/25)*'Calculateur (1)'!DW15*'Calculateur (1)'!DY15*VLOOKUP('Données projet (1)'!$B$14,'Paramètres (1)'!$A$1:$I$88,3,0)*0.475*44/12</f>
        <v>#REF!</v>
      </c>
      <c r="EC15" s="142" t="str">
        <f>EXP(-LN(2)/2)*EC14+(1-EXP(-LN(2)/2))/(LN(2)/2)*DW15*DZ15*VLOOKUP('Données projet (1)'!$B$14,'Paramètres (1)'!$A$1:$I$88,3,0)*0.475*44/12</f>
        <v>#REF!</v>
      </c>
      <c r="ED15" s="143" t="str">
        <f t="shared" si="65"/>
        <v>#REF!</v>
      </c>
      <c r="EE15" s="139" t="str">
        <f t="shared" si="66"/>
        <v>#REF!</v>
      </c>
      <c r="EF15" s="131" t="str">
        <f t="shared" si="67"/>
        <v>#REF!</v>
      </c>
      <c r="EG15" s="131" t="str">
        <f t="shared" si="132"/>
        <v>#REF!</v>
      </c>
      <c r="EH15" s="131" t="str">
        <f t="shared" si="68"/>
        <v>#REF!</v>
      </c>
      <c r="EI15" s="131" t="str">
        <f t="array" ref="EI15">INDEX(EH:EH,MIN(IF(ISNUMBER(EH15:EH211),ROW(EH15:EH211),"")))</f>
        <v/>
      </c>
      <c r="EJ15" s="131" t="str">
        <f t="shared" si="133"/>
        <v>#REF!</v>
      </c>
      <c r="EK15" s="138" t="str">
        <f>EJ15*VLOOKUP('Données projet (1)'!$B$15,'Paramètres (1)'!$A$1:$I$88,3,0)*VLOOKUP('Données projet (1)'!$B$15,'Paramètres (1)'!$A$1:$I$88,5,0)</f>
        <v>#REF!</v>
      </c>
      <c r="EL15" s="130" t="str">
        <f t="shared" si="134"/>
        <v>#REF!</v>
      </c>
      <c r="EM15" s="141" t="str">
        <f t="shared" si="69"/>
        <v>#REF!</v>
      </c>
      <c r="EN15" s="133" t="str">
        <f t="shared" si="70"/>
        <v>#REF!</v>
      </c>
      <c r="EO15" s="133" t="str">
        <f t="shared" si="71"/>
        <v>#REF!</v>
      </c>
      <c r="EP15" s="133" t="str">
        <f t="shared" si="135"/>
        <v>#REF!</v>
      </c>
      <c r="EQ15" s="134" t="str">
        <f t="shared" si="72"/>
        <v>#REF!</v>
      </c>
      <c r="ER15" s="134" t="str">
        <f t="shared" si="73"/>
        <v>#REF!</v>
      </c>
      <c r="ES15" s="135" t="str">
        <f>IF(ISNA(VLOOKUP(A15,'Données projet (1)'!$A$191:$I$211,5,0)),0%,VLOOKUP(A15,'Données projet (1)'!$A$191:$I$211,5,0)*VLOOKUP('Données projet (1)'!$B$15,'Paramètres (1)'!$A$1:$I$88,7,0))</f>
        <v>#REF!</v>
      </c>
      <c r="ET15" s="135" t="str">
        <f>IF(ISNA(VLOOKUP(A15,'Données projet (1)'!$A$191:$I$211,6,0)),0%,VLOOKUP(A15,'Données projet (1)'!$A$191:$I$211,6,0)*VLOOKUP('Données projet (1)'!$B$15,'Paramètres (1)'!$A$1:$I$88,7,0))</f>
        <v>#REF!</v>
      </c>
      <c r="EU15" s="135" t="str">
        <f t="shared" si="74"/>
        <v>#REF!</v>
      </c>
      <c r="EV15" s="142" t="str">
        <f>EXP(-LN(2)/35)*EV14+(1-EXP(-LN(2)/35))/(LN(2)/35)*ER15*ES15*VLOOKUP('Données projet (1)'!$B$15,'Paramètres (1)'!$A$1:$I$88,3,0)*0.475*44/12</f>
        <v>#REF!</v>
      </c>
      <c r="EW15" s="142" t="str">
        <f>EXP(-LN(2)/25)*EW14+(1-EXP(-LN(2)/25))/(LN(2)/25)*'Calculateur (1)'!ER15*'Calculateur (1)'!ET15*VLOOKUP('Données projet (1)'!$B$15,'Paramètres (1)'!$A$1:$I$88,3,0)*0.475*44/12</f>
        <v>#REF!</v>
      </c>
      <c r="EX15" s="142" t="str">
        <f>EXP(-LN(2)/2)*EX14+(1-EXP(-LN(2)/2))/(LN(2)/2)*ER15*EU15*VLOOKUP('Données projet (1)'!$B$15,'Paramètres (1)'!$A$1:$I$88,3,0)*0.475*44/12</f>
        <v>#REF!</v>
      </c>
      <c r="EY15" s="143" t="str">
        <f t="shared" si="75"/>
        <v>#REF!</v>
      </c>
      <c r="EZ15" s="139" t="str">
        <f t="shared" si="76"/>
        <v>#REF!</v>
      </c>
      <c r="FA15" s="131" t="str">
        <f t="shared" si="77"/>
        <v>#REF!</v>
      </c>
      <c r="FB15" s="131" t="str">
        <f t="shared" si="136"/>
        <v>#REF!</v>
      </c>
      <c r="FC15" s="131" t="str">
        <f t="shared" si="78"/>
        <v>#REF!</v>
      </c>
      <c r="FD15" s="131" t="str">
        <f t="array" ref="FD15">INDEX(FC:FC,MIN(IF(ISNUMBER(FC15:FC211),ROW(FC15:FC211),"")))</f>
        <v/>
      </c>
      <c r="FE15" s="131" t="str">
        <f t="shared" si="137"/>
        <v>#REF!</v>
      </c>
      <c r="FF15" s="138" t="str">
        <f>FE15*VLOOKUP('Données projet (1)'!$B$16,'Paramètres (1)'!$A$1:$I$88,3,0)*VLOOKUP('Données projet (1)'!$B$16,'Paramètres (1)'!$A$1:$I$88,5,0)</f>
        <v>#REF!</v>
      </c>
      <c r="FG15" s="130" t="str">
        <f t="shared" si="138"/>
        <v>#REF!</v>
      </c>
      <c r="FH15" s="141" t="str">
        <f t="shared" si="79"/>
        <v>#REF!</v>
      </c>
      <c r="FI15" s="133" t="str">
        <f t="shared" si="80"/>
        <v>#REF!</v>
      </c>
      <c r="FJ15" s="133" t="str">
        <f t="shared" si="81"/>
        <v>#REF!</v>
      </c>
      <c r="FK15" s="133" t="str">
        <f t="shared" si="139"/>
        <v>#REF!</v>
      </c>
      <c r="FL15" s="134" t="str">
        <f t="shared" si="82"/>
        <v>#REF!</v>
      </c>
      <c r="FM15" s="134" t="str">
        <f t="shared" si="83"/>
        <v>#REF!</v>
      </c>
      <c r="FN15" s="135" t="str">
        <f>IF(ISNA(VLOOKUP(A15,'Données projet (1)'!$A$217:$I$237,5,0)),0%,VLOOKUP(A15,'Données projet (1)'!$A$217:$I$237,5,0)*VLOOKUP('Données projet (1)'!$B$16,'Paramètres (1)'!$A$1:$I$88,7,0))</f>
        <v>#REF!</v>
      </c>
      <c r="FO15" s="135" t="str">
        <f>IF(ISNA(VLOOKUP(A15,'Données projet (1)'!$A$217:$I$237,6,0)),0%,VLOOKUP(A15,'Données projet (1)'!$A$217:$I$237,6,0)*VLOOKUP('Données projet (1)'!$B$16,'Paramètres (1)'!$A$1:$I$88,7,0))</f>
        <v>#REF!</v>
      </c>
      <c r="FP15" s="135" t="str">
        <f t="shared" si="84"/>
        <v>#REF!</v>
      </c>
      <c r="FQ15" s="142" t="str">
        <f>EXP(-LN(2)/35)*FQ14+(1-EXP(-LN(2)/35))/(LN(2)/35)*FM15*FN15*VLOOKUP('Données projet (1)'!$B$16,'Paramètres (1)'!$A$1:$I$88,3,0)*0.475*44/12</f>
        <v>#REF!</v>
      </c>
      <c r="FR15" s="142" t="str">
        <f>EXP(-LN(2)/25)*FR14+(1-EXP(-LN(2)/25))/(LN(2)/25)*'Calculateur (1)'!FM15*'Calculateur (1)'!FO15*VLOOKUP('Données projet (1)'!$B$16,'Paramètres (1)'!$A$1:$I$88,3,0)*0.475*44/12</f>
        <v>#REF!</v>
      </c>
      <c r="FS15" s="142" t="str">
        <f>EXP(-LN(2)/2)*FS14+(1-EXP(-LN(2)/2))/(LN(2)/2)*FM15*FP15*VLOOKUP('Données projet (1)'!$B$16,'Paramètres (1)'!$A$1:$I$88,3,0)*0.475*44/12</f>
        <v>#REF!</v>
      </c>
      <c r="FT15" s="143" t="str">
        <f t="shared" si="85"/>
        <v>#REF!</v>
      </c>
      <c r="FU15" s="139" t="str">
        <f t="shared" si="86"/>
        <v>#REF!</v>
      </c>
      <c r="FV15" s="131" t="str">
        <f t="shared" si="87"/>
        <v>#REF!</v>
      </c>
      <c r="FW15" s="131" t="str">
        <f t="shared" si="140"/>
        <v>#REF!</v>
      </c>
      <c r="FX15" s="131" t="str">
        <f t="shared" si="88"/>
        <v>#REF!</v>
      </c>
      <c r="FY15" s="131" t="str">
        <f t="array" ref="FY15">INDEX(FX:FX,MIN(IF(ISNUMBER(FX15:FX211),ROW(FX15:FX211),"")))</f>
        <v/>
      </c>
      <c r="FZ15" s="131" t="str">
        <f t="shared" si="141"/>
        <v>#REF!</v>
      </c>
      <c r="GA15" s="138" t="str">
        <f>FZ15*VLOOKUP('Données projet (1)'!$B$17,'Paramètres (1)'!$A$1:$I$88,3,0)*VLOOKUP('Données projet (1)'!$B$17,'Paramètres (1)'!$A$1:$I$88,5,0)</f>
        <v>#REF!</v>
      </c>
      <c r="GB15" s="130" t="str">
        <f t="shared" si="142"/>
        <v>#REF!</v>
      </c>
      <c r="GC15" s="141" t="str">
        <f t="shared" si="89"/>
        <v>#REF!</v>
      </c>
      <c r="GD15" s="133" t="str">
        <f t="shared" si="90"/>
        <v>#REF!</v>
      </c>
      <c r="GE15" s="133" t="str">
        <f t="shared" si="91"/>
        <v>#REF!</v>
      </c>
      <c r="GF15" s="133" t="str">
        <f t="shared" si="143"/>
        <v>#REF!</v>
      </c>
      <c r="GG15" s="134" t="str">
        <f t="shared" si="92"/>
        <v>#REF!</v>
      </c>
      <c r="GH15" s="134" t="str">
        <f t="shared" si="93"/>
        <v>#REF!</v>
      </c>
      <c r="GI15" s="135" t="str">
        <f>IF(ISNA(VLOOKUP(A15,'Données projet (1)'!$A$243:$I$263,5,0)),0%,VLOOKUP(A15,'Données projet (1)'!$A$243:$I$263,5,0)*VLOOKUP('Données projet (1)'!$B$17,'Paramètres (1)'!$A$1:$I$88,7,0))</f>
        <v>#REF!</v>
      </c>
      <c r="GJ15" s="135" t="str">
        <f>IF(ISNA(VLOOKUP(A15,'Données projet (1)'!$A$243:$I$263,6,0)),0%,VLOOKUP(A15,'Données projet (1)'!$A$243:$I$263,6,0)*VLOOKUP('Données projet (1)'!$B$17,'Paramètres (1)'!$A$1:$I$88,7,0))</f>
        <v>#REF!</v>
      </c>
      <c r="GK15" s="135" t="str">
        <f t="shared" si="94"/>
        <v>#REF!</v>
      </c>
      <c r="GL15" s="142" t="str">
        <f>EXP(-LN(2)/35)*GL14+(1-EXP(-LN(2)/35))/(LN(2)/35)*GH15*GI15*VLOOKUP('Données projet (1)'!$B$17,'Paramètres (1)'!$A$1:$I$88,3,0)*0.475*44/12</f>
        <v>#REF!</v>
      </c>
      <c r="GM15" s="142" t="str">
        <f>EXP(-LN(2)/25)*GM14+(1-EXP(-LN(2)/25))/(LN(2)/25)*'Calculateur (1)'!GH15*'Calculateur (1)'!GJ15*VLOOKUP('Données projet (1)'!$B$17,'Paramètres (1)'!$A$1:$I$88,3,0)*0.475*44/12</f>
        <v>#REF!</v>
      </c>
      <c r="GN15" s="142" t="str">
        <f>EXP(-LN(2)/2)*GN14+(1-EXP(-LN(2)/2))/(LN(2)/2)*GH15*GK15*VLOOKUP('Données projet (1)'!$B$17,'Paramètres (1)'!$A$1:$I$88,3,0)*0.475*44/12</f>
        <v>#REF!</v>
      </c>
      <c r="GO15" s="142" t="str">
        <f t="shared" si="95"/>
        <v>#REF!</v>
      </c>
      <c r="GP15" s="139" t="str">
        <f t="shared" si="96"/>
        <v>#REF!</v>
      </c>
      <c r="GQ15" s="131" t="str">
        <f t="shared" si="97"/>
        <v>#REF!</v>
      </c>
      <c r="GR15" s="131" t="str">
        <f t="shared" si="144"/>
        <v>#REF!</v>
      </c>
      <c r="GS15" s="131" t="str">
        <f t="shared" si="98"/>
        <v>#REF!</v>
      </c>
      <c r="GT15" s="131" t="str">
        <f t="array" ref="GT15">INDEX(GS:GS,MIN(IF(ISNUMBER(GS15:GS211),ROW(GS15:GS211),"")))</f>
        <v/>
      </c>
      <c r="GU15" s="131" t="str">
        <f t="shared" si="145"/>
        <v>#REF!</v>
      </c>
      <c r="GV15" s="138" t="str">
        <f>GU15*VLOOKUP('Données projet (1)'!$B$18,'Paramètres (1)'!$A$1:$I$88,3,0)*VLOOKUP('Données projet (1)'!$B$18,'Paramètres (1)'!$A$1:$I$88,5,0)</f>
        <v>#REF!</v>
      </c>
      <c r="GW15" s="130" t="str">
        <f t="shared" si="146"/>
        <v>#REF!</v>
      </c>
      <c r="GX15" s="141" t="str">
        <f t="shared" si="99"/>
        <v>#REF!</v>
      </c>
      <c r="GY15" s="133" t="str">
        <f t="shared" si="100"/>
        <v>#REF!</v>
      </c>
      <c r="GZ15" s="133" t="str">
        <f t="shared" si="101"/>
        <v>#REF!</v>
      </c>
      <c r="HA15" s="133" t="str">
        <f t="shared" si="147"/>
        <v>#REF!</v>
      </c>
      <c r="HB15" s="134" t="str">
        <f t="shared" si="102"/>
        <v>#REF!</v>
      </c>
      <c r="HC15" s="134" t="str">
        <f t="shared" si="103"/>
        <v>#REF!</v>
      </c>
      <c r="HD15" s="135" t="str">
        <f>IF(ISNA(VLOOKUP(A15,'Données projet (1)'!$A$269:$I$289,5,0)),0%,VLOOKUP(A15,'Données projet (1)'!$A$269:$I$289,5,0)*VLOOKUP('Données projet (1)'!$B$18,'Paramètres (1)'!$A$1:$I$88,7,0))</f>
        <v>#REF!</v>
      </c>
      <c r="HE15" s="135" t="str">
        <f>IF(ISNA(VLOOKUP(A15,'Données projet (1)'!$A$269:$I$289,6,0)),0%,VLOOKUP(A15,'Données projet (1)'!$A$269:$I$289,6,0)*VLOOKUP('Données projet (1)'!$B$18,'Paramètres (1)'!$A$1:$I$88,7,0))</f>
        <v>#REF!</v>
      </c>
      <c r="HF15" s="135" t="str">
        <f t="shared" si="104"/>
        <v>#REF!</v>
      </c>
      <c r="HG15" s="142" t="str">
        <f>EXP(-LN(2)/35)*HG14+(1-EXP(-LN(2)/35))/(LN(2)/35)*HC15*HD15*VLOOKUP('Données projet (1)'!$B$18,'Paramètres (1)'!$A$1:$I$88,3,0)*0.475*44/12</f>
        <v>#REF!</v>
      </c>
      <c r="HH15" s="142" t="str">
        <f>EXP(-LN(2)/25)*HH14+(1-EXP(-LN(2)/25))/(LN(2)/25)*'Calculateur (1)'!HC15*'Calculateur (1)'!HE15*VLOOKUP('Données projet (1)'!$B$18,'Paramètres (1)'!$A$1:$I$88,3,0)*0.475*44/12</f>
        <v>#REF!</v>
      </c>
      <c r="HI15" s="142" t="str">
        <f>EXP(-LN(2)/2)*HI14+(1-EXP(-LN(2)/2))/(LN(2)/2)*HC15*HF15*VLOOKUP('Données projet (1)'!$B$18,'Paramètres (1)'!$A$1:$I$88,3,0)*0.475*44/12</f>
        <v>#REF!</v>
      </c>
      <c r="HJ15" s="143" t="str">
        <f t="shared" si="105"/>
        <v>#REF!</v>
      </c>
    </row>
    <row r="16" ht="14.25" customHeight="1">
      <c r="A16" s="125">
        <f t="shared" si="106"/>
        <v>13</v>
      </c>
      <c r="B16" s="126" t="str">
        <f t="shared" si="1"/>
        <v>#REF!</v>
      </c>
      <c r="C16" s="140" t="str">
        <f>'Calculateur (1)'!C15+'Scénario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" s="127">
        <f t="shared" si="107"/>
        <v>0</v>
      </c>
      <c r="E16" s="127" t="str">
        <f t="shared" si="2"/>
        <v>#REF!</v>
      </c>
      <c r="F16" s="127" t="str">
        <f t="shared" si="3"/>
        <v>#REF!</v>
      </c>
      <c r="G16" s="127" t="str">
        <f t="shared" si="4"/>
        <v>#REF!</v>
      </c>
      <c r="H16" s="128" t="str">
        <f t="shared" si="5"/>
        <v>#REF!</v>
      </c>
      <c r="I16" s="129" t="str">
        <f t="shared" si="6"/>
        <v>#REF!</v>
      </c>
      <c r="J16" s="130" t="str">
        <f t="shared" si="7"/>
        <v>#REF!</v>
      </c>
      <c r="K16" s="131" t="str">
        <f t="shared" si="108"/>
        <v>#REF!</v>
      </c>
      <c r="L16" s="131" t="str">
        <f t="shared" si="8"/>
        <v>#REF!</v>
      </c>
      <c r="M16" s="131" t="str">
        <f t="array" ref="M16">INDEX(L:L,MIN(IF(ISNUMBER(L16:L212),ROW(L16:L212),"")))</f>
        <v/>
      </c>
      <c r="N16" s="130" t="str">
        <f t="shared" si="109"/>
        <v>#REF!</v>
      </c>
      <c r="O16" s="130" t="str">
        <f>N16*VLOOKUP('Données projet (1)'!$B$9,'Paramètres (1)'!$A$1:$I$88,3,0)*VLOOKUP('Données projet (1)'!$B$9,'Paramètres (1)'!$A$1:$I$88,5,0)</f>
        <v>#REF!</v>
      </c>
      <c r="P16" s="130" t="str">
        <f t="shared" si="110"/>
        <v>#REF!</v>
      </c>
      <c r="Q16" s="141" t="str">
        <f t="shared" si="9"/>
        <v>#REF!</v>
      </c>
      <c r="R16" s="133" t="str">
        <f t="shared" si="10"/>
        <v>#REF!</v>
      </c>
      <c r="S16" s="133" t="str">
        <f t="shared" si="11"/>
        <v>#REF!</v>
      </c>
      <c r="T16" s="133" t="str">
        <f t="shared" si="111"/>
        <v>#REF!</v>
      </c>
      <c r="U16" s="134" t="str">
        <f t="shared" si="12"/>
        <v>#REF!</v>
      </c>
      <c r="V16" s="134" t="str">
        <f t="shared" si="13"/>
        <v>#REF!</v>
      </c>
      <c r="W16" s="135" t="str">
        <f>IF(ISNA(VLOOKUP(A16,'Données projet (1)'!$A$35:$I$55,5,0)),0%,VLOOKUP(A16,'Données projet (1)'!$A$35:$I$55,5,0)*VLOOKUP('Données projet (1)'!$B$9,'Paramètres (1)'!$A$1:$I$88,7,0))</f>
        <v>#REF!</v>
      </c>
      <c r="X16" s="135" t="str">
        <f>IF(ISNA(VLOOKUP(A16,'Données projet (1)'!$A$35:$I$55,6,0)),0%,VLOOKUP(A16,'Données projet (1)'!$A$35:$I$55,6,0)*VLOOKUP('Données projet (1)'!$B$9,'Paramètres (1)'!$A$1:$I$88,7,0))</f>
        <v>#REF!</v>
      </c>
      <c r="Y16" s="135" t="str">
        <f t="shared" si="14"/>
        <v>#REF!</v>
      </c>
      <c r="Z16" s="142" t="str">
        <f>EXP(-LN(2)/35)*Z15+(1-EXP(-LN(2)/35))/(LN(2)/35)*V16*W16*VLOOKUP('Données projet (1)'!$B$9,'Paramètres (1)'!$A$1:$I$88,3,0)*0.475*44/12</f>
        <v>#REF!</v>
      </c>
      <c r="AA16" s="142" t="str">
        <f>EXP(-LN(2)/25)*AA15+(1-EXP(-LN(2)/25))/(LN(2)/25)*'Calculateur (1)'!V16*'Calculateur (1)'!X16*VLOOKUP('Données projet (1)'!$B$9,'Paramètres (1)'!$A$1:$I$88,3,0)*0.475*44/12</f>
        <v>#REF!</v>
      </c>
      <c r="AB16" s="142" t="str">
        <f>EXP(-LN(2)/2)*AB15+(1-EXP(-LN(2)/2))/(LN(2)/2)*V16*Y16*VLOOKUP('Données projet (1)'!$B$9,'Paramètres (1)'!$A$1:$I$88,3,0)*0.475*44/12</f>
        <v>#REF!</v>
      </c>
      <c r="AC16" s="143" t="str">
        <f t="shared" si="15"/>
        <v>#REF!</v>
      </c>
      <c r="AD16" s="130" t="str">
        <f t="shared" si="16"/>
        <v>#REF!</v>
      </c>
      <c r="AE16" s="130" t="str">
        <f t="shared" si="17"/>
        <v>#REF!</v>
      </c>
      <c r="AF16" s="131" t="str">
        <f t="shared" si="112"/>
        <v>#REF!</v>
      </c>
      <c r="AG16" s="131" t="str">
        <f t="shared" si="18"/>
        <v>#REF!</v>
      </c>
      <c r="AH16" s="131" t="str">
        <f t="array" ref="AH16">INDEX(AG:AG,MIN(IF(ISNUMBER(AG16:AG212),ROW(AG16:AG212),"")))</f>
        <v/>
      </c>
      <c r="AI16" s="130" t="str">
        <f t="shared" si="113"/>
        <v>#REF!</v>
      </c>
      <c r="AJ16" s="130" t="str">
        <f>AI16*VLOOKUP('Données projet (1)'!$B$10,'Paramètres (1)'!$A$1:$I$88,3,0)*VLOOKUP('Données projet (1)'!$B$10,'Paramètres (1)'!$A$1:$I$88,5,0)</f>
        <v>#REF!</v>
      </c>
      <c r="AK16" s="130" t="str">
        <f t="shared" si="114"/>
        <v>#REF!</v>
      </c>
      <c r="AL16" s="141" t="str">
        <f t="shared" si="19"/>
        <v>#REF!</v>
      </c>
      <c r="AM16" s="133" t="str">
        <f t="shared" si="20"/>
        <v>#REF!</v>
      </c>
      <c r="AN16" s="133" t="str">
        <f t="shared" si="21"/>
        <v>#REF!</v>
      </c>
      <c r="AO16" s="133" t="str">
        <f t="shared" si="115"/>
        <v>#REF!</v>
      </c>
      <c r="AP16" s="134" t="str">
        <f t="shared" si="22"/>
        <v>#REF!</v>
      </c>
      <c r="AQ16" s="134" t="str">
        <f t="shared" si="23"/>
        <v>#REF!</v>
      </c>
      <c r="AR16" s="135" t="str">
        <f>IF(ISNA(VLOOKUP(A16,'Données projet (1)'!$A$61:$I$81,5,0)),0%,VLOOKUP(A16,'Données projet (1)'!$A$61:$I$81,5,0)*VLOOKUP('Données projet (1)'!$B$10,'Paramètres (1)'!$A$1:$I$88,7,0))</f>
        <v>#REF!</v>
      </c>
      <c r="AS16" s="135" t="str">
        <f>IF(ISNA(VLOOKUP(A16,'Données projet (1)'!$A$61:$I$81,6,0)),0%,VLOOKUP(A16,'Données projet (1)'!$A$61:$I$81,6,0)*VLOOKUP('Données projet (1)'!$B$10,'Paramètres (1)'!$A$1:$I$88,7,0))</f>
        <v>#REF!</v>
      </c>
      <c r="AT16" s="135" t="str">
        <f t="shared" si="24"/>
        <v>#REF!</v>
      </c>
      <c r="AU16" s="142" t="str">
        <f>EXP(-LN(2)/35)*AU15+(1-EXP(-LN(2)/35))/(LN(2)/35)*AQ16*AR16*VLOOKUP('Données projet (1)'!$B$10,'Paramètres (1)'!$A$1:$I$88,3,0)*0.475*44/12</f>
        <v>#REF!</v>
      </c>
      <c r="AV16" s="142" t="str">
        <f>EXP(-LN(2)/25)*AV15+(1-EXP(-LN(2)/25))/(LN(2)/25)*'Calculateur (1)'!AQ16*'Calculateur (1)'!AS16*VLOOKUP('Données projet (1)'!$B$10,'Paramètres (1)'!$A$1:$I$88,3,0)*0.475*44/12</f>
        <v>#REF!</v>
      </c>
      <c r="AW16" s="142" t="str">
        <f>EXP(-LN(2)/2)*AW15+(1-EXP(-LN(2)/2))/(LN(2)/2)*AQ16*AT16*VLOOKUP('Données projet (1)'!$B$10,'Paramètres (1)'!$A$1:$I$88,3,0)*0.475*44/12</f>
        <v>#REF!</v>
      </c>
      <c r="AX16" s="142" t="str">
        <f t="shared" si="25"/>
        <v>#REF!</v>
      </c>
      <c r="AY16" s="137" t="str">
        <f t="shared" si="26"/>
        <v>#REF!</v>
      </c>
      <c r="AZ16" s="131" t="str">
        <f t="shared" si="27"/>
        <v>#REF!</v>
      </c>
      <c r="BA16" s="131" t="str">
        <f t="shared" si="116"/>
        <v>#REF!</v>
      </c>
      <c r="BB16" s="131" t="str">
        <f t="shared" si="28"/>
        <v>#REF!</v>
      </c>
      <c r="BC16" s="131" t="str">
        <f t="array" ref="BC16">INDEX(BB:BB,MIN(IF(ISNUMBER(BB16:BB212),ROW(BB16:BB212),"")))</f>
        <v/>
      </c>
      <c r="BD16" s="131" t="str">
        <f t="shared" si="117"/>
        <v>#REF!</v>
      </c>
      <c r="BE16" s="130" t="str">
        <f>BD16*VLOOKUP('Données projet (1)'!$B$11,'Paramètres (1)'!$A$1:$I$88,3,0)*VLOOKUP('Données projet (1)'!$B$11,'Paramètres (1)'!$A$1:$I$88,5,0)</f>
        <v>#REF!</v>
      </c>
      <c r="BF16" s="130" t="str">
        <f t="shared" si="118"/>
        <v>#REF!</v>
      </c>
      <c r="BG16" s="141" t="str">
        <f t="shared" si="29"/>
        <v>#REF!</v>
      </c>
      <c r="BH16" s="133" t="str">
        <f t="shared" si="30"/>
        <v>#REF!</v>
      </c>
      <c r="BI16" s="133" t="str">
        <f t="shared" si="31"/>
        <v>#REF!</v>
      </c>
      <c r="BJ16" s="133" t="str">
        <f t="shared" si="119"/>
        <v>#REF!</v>
      </c>
      <c r="BK16" s="134" t="str">
        <f t="shared" si="32"/>
        <v>#REF!</v>
      </c>
      <c r="BL16" s="134" t="str">
        <f t="shared" si="33"/>
        <v>#REF!</v>
      </c>
      <c r="BM16" s="135" t="str">
        <f>IF(ISNA(VLOOKUP(A16,'Données projet (1)'!$A$87:$I$107,5,0)),0%,VLOOKUP(A16,'Données projet (1)'!$A$87:$I$107,5,0)*VLOOKUP('Données projet (1)'!$B$11,'Paramètres (1)'!$A$1:$I$88,7,0))</f>
        <v>#REF!</v>
      </c>
      <c r="BN16" s="135" t="str">
        <f>IF(ISNA(VLOOKUP(A16,'Données projet (1)'!$A$87:$I$107,6,0)),0%,VLOOKUP(A16,'Données projet (1)'!$A$87:$I$107,6,0)*VLOOKUP('Données projet (1)'!$B$11,'Paramètres (1)'!$A$1:$I$88,7,0))</f>
        <v>#REF!</v>
      </c>
      <c r="BO16" s="135" t="str">
        <f t="shared" si="34"/>
        <v>#REF!</v>
      </c>
      <c r="BP16" s="142" t="str">
        <f>EXP(-LN(2)/35)*BP15+(1-EXP(-LN(2)/35))/(LN(2)/35)*BL16*BM16*VLOOKUP('Données projet (1)'!$B$11,'Paramètres (1)'!$A$1:$I$88,3,0)*0.475*44/12</f>
        <v>#REF!</v>
      </c>
      <c r="BQ16" s="142" t="str">
        <f>EXP(-LN(2)/25)*BQ15+(1-EXP(-LN(2)/25))/(LN(2)/25)*'Calculateur (1)'!BL16*'Calculateur (1)'!BN16*VLOOKUP('Données projet (1)'!$B$11,'Paramètres (1)'!$A$1:$I$88,3,0)*0.475*44/12</f>
        <v>#REF!</v>
      </c>
      <c r="BR16" s="142" t="str">
        <f>EXP(-LN(2)/2)*BR15+(1-EXP(-LN(2)/2))/(LN(2)/2)*BL16*BO16*VLOOKUP('Données projet (1)'!$B$11,'Paramètres (1)'!$A$1:$I$88,3,0)*0.475*44/12</f>
        <v>#REF!</v>
      </c>
      <c r="BS16" s="143" t="str">
        <f t="shared" si="35"/>
        <v>#REF!</v>
      </c>
      <c r="BT16" s="139" t="str">
        <f t="shared" si="36"/>
        <v>#REF!</v>
      </c>
      <c r="BU16" s="131" t="str">
        <f t="shared" si="37"/>
        <v>#REF!</v>
      </c>
      <c r="BV16" s="131" t="str">
        <f t="shared" si="120"/>
        <v>#REF!</v>
      </c>
      <c r="BW16" s="131" t="str">
        <f t="shared" si="38"/>
        <v>#REF!</v>
      </c>
      <c r="BX16" s="131" t="str">
        <f t="array" ref="BX16">INDEX(BW:BW,MIN(IF(ISNUMBER(BW16:BW212),ROW(BW16:BW212),"")))</f>
        <v/>
      </c>
      <c r="BY16" s="131" t="str">
        <f t="shared" si="121"/>
        <v>#REF!</v>
      </c>
      <c r="BZ16" s="130" t="str">
        <f>BY16*VLOOKUP('Données projet (1)'!$B$12,'Paramètres (1)'!$A$1:$I$88,3,0)*VLOOKUP('Données projet (1)'!$B$12,'Paramètres (1)'!$A$1:$I$88,5,0)</f>
        <v>#REF!</v>
      </c>
      <c r="CA16" s="130" t="str">
        <f t="shared" si="122"/>
        <v>#REF!</v>
      </c>
      <c r="CB16" s="141" t="str">
        <f t="shared" si="39"/>
        <v>#REF!</v>
      </c>
      <c r="CC16" s="133" t="str">
        <f t="shared" si="40"/>
        <v>#REF!</v>
      </c>
      <c r="CD16" s="133" t="str">
        <f t="shared" si="41"/>
        <v>#REF!</v>
      </c>
      <c r="CE16" s="133" t="str">
        <f t="shared" si="123"/>
        <v>#REF!</v>
      </c>
      <c r="CF16" s="134" t="str">
        <f t="shared" si="42"/>
        <v>#REF!</v>
      </c>
      <c r="CG16" s="134" t="str">
        <f t="shared" si="43"/>
        <v>#REF!</v>
      </c>
      <c r="CH16" s="135" t="str">
        <f>IF(ISNA(VLOOKUP(A16,'Données projet (1)'!$A$113:$I$133,5,0)),0%,VLOOKUP(A16,'Données projet (1)'!$A$113:$I$133,5,0)*VLOOKUP('Données projet (1)'!$B$12,'Paramètres (1)'!$A$1:$I$88,7,0))</f>
        <v>#REF!</v>
      </c>
      <c r="CI16" s="135" t="str">
        <f>IF(ISNA(VLOOKUP(A16,'Données projet (1)'!$A$113:$I$133,6,0)),0%,VLOOKUP(A16,'Données projet (1)'!$A$113:$I$133,6,0)*VLOOKUP('Données projet (1)'!$B$12,'Paramètres (1)'!$A$1:$I$88,7,0))</f>
        <v>#REF!</v>
      </c>
      <c r="CJ16" s="135" t="str">
        <f t="shared" si="44"/>
        <v>#REF!</v>
      </c>
      <c r="CK16" s="142" t="str">
        <f>EXP(-LN(2)/35)*CK15+(1-EXP(-LN(2)/35))/(LN(2)/35)*CG16*CH16*VLOOKUP('Données projet (1)'!$B$12,'Paramètres (1)'!$A$1:$I$88,3,0)*0.475*44/12</f>
        <v>#REF!</v>
      </c>
      <c r="CL16" s="142" t="str">
        <f>EXP(-LN(2)/25)*CL15+(1-EXP(-LN(2)/25))/(LN(2)/25)*'Calculateur (1)'!CG16*'Calculateur (1)'!CI16*VLOOKUP('Données projet (1)'!$B$12,'Paramètres (1)'!$A$1:$I$88,3,0)*0.475*44/12</f>
        <v>#REF!</v>
      </c>
      <c r="CM16" s="142" t="str">
        <f>EXP(-LN(2)/2)*CM15+(1-EXP(-LN(2)/2))/(LN(2)/2)*CG16*CJ16*VLOOKUP('Données projet (1)'!$B$12,'Paramètres (1)'!$A$1:$I$88,3,0)*0.475*44/12</f>
        <v>#REF!</v>
      </c>
      <c r="CN16" s="143" t="str">
        <f t="shared" si="45"/>
        <v>#REF!</v>
      </c>
      <c r="CO16" s="139" t="str">
        <f t="shared" si="46"/>
        <v>#REF!</v>
      </c>
      <c r="CP16" s="131" t="str">
        <f t="shared" si="47"/>
        <v>#REF!</v>
      </c>
      <c r="CQ16" s="131" t="str">
        <f t="shared" si="124"/>
        <v>#REF!</v>
      </c>
      <c r="CR16" s="131" t="str">
        <f t="shared" si="48"/>
        <v>#REF!</v>
      </c>
      <c r="CS16" s="131" t="str">
        <f t="array" ref="CS16">INDEX(CR:CR,MIN(IF(ISNUMBER(CR16:CR212),ROW(CR16:CR212),"")))</f>
        <v/>
      </c>
      <c r="CT16" s="131" t="str">
        <f t="shared" si="125"/>
        <v>#REF!</v>
      </c>
      <c r="CU16" s="138" t="str">
        <f>CT16*VLOOKUP('Données projet (1)'!$B$13,'Paramètres (1)'!$A$1:$I$88,3,0)*VLOOKUP('Données projet (1)'!$B$13,'Paramètres (1)'!$A$1:$I$88,5,0)</f>
        <v>#REF!</v>
      </c>
      <c r="CV16" s="130" t="str">
        <f t="shared" si="126"/>
        <v>#REF!</v>
      </c>
      <c r="CW16" s="141" t="str">
        <f t="shared" si="49"/>
        <v>#REF!</v>
      </c>
      <c r="CX16" s="133" t="str">
        <f t="shared" si="50"/>
        <v>#REF!</v>
      </c>
      <c r="CY16" s="133" t="str">
        <f t="shared" si="51"/>
        <v>#REF!</v>
      </c>
      <c r="CZ16" s="133" t="str">
        <f t="shared" si="127"/>
        <v>#REF!</v>
      </c>
      <c r="DA16" s="134" t="str">
        <f t="shared" si="52"/>
        <v>#REF!</v>
      </c>
      <c r="DB16" s="134" t="str">
        <f t="shared" si="53"/>
        <v>#REF!</v>
      </c>
      <c r="DC16" s="135" t="str">
        <f>IF(ISNA(VLOOKUP(A16,'Données projet (1)'!$A$139:$I$159,5,0)),0%,VLOOKUP(A16,'Données projet (1)'!$A$139:$I$159,5,0)*VLOOKUP('Données projet (1)'!$B$13,'Paramètres (1)'!$A$1:$I$88,7,0))</f>
        <v>#REF!</v>
      </c>
      <c r="DD16" s="135" t="str">
        <f>IF(ISNA(VLOOKUP(A16,'Données projet (1)'!$A$139:$I$159,6,0)),0%,VLOOKUP(A16,'Données projet (1)'!$A$139:$I$159,6,0)*VLOOKUP('Données projet (1)'!$B$13,'Paramètres (1)'!$A$1:$I$88,7,0))</f>
        <v>#REF!</v>
      </c>
      <c r="DE16" s="135" t="str">
        <f t="shared" si="54"/>
        <v>#REF!</v>
      </c>
      <c r="DF16" s="142" t="str">
        <f>EXP(-LN(2)/35)*DF15+(1-EXP(-LN(2)/35))/(LN(2)/35)*DB16*DC16*VLOOKUP('Données projet (1)'!$B$13,'Paramètres (1)'!$A$1:$I$88,3,0)*0.475*44/12</f>
        <v>#REF!</v>
      </c>
      <c r="DG16" s="142" t="str">
        <f>EXP(-LN(2)/25)*DG15+(1-EXP(-LN(2)/25))/(LN(2)/25)*'Calculateur (1)'!DB16*'Calculateur (1)'!DD16*VLOOKUP('Données projet (1)'!$B$13,'Paramètres (1)'!$A$1:$I$88,3,0)*0.475*44/12</f>
        <v>#REF!</v>
      </c>
      <c r="DH16" s="142" t="str">
        <f>EXP(-LN(2)/2)*DH15+(1-EXP(-LN(2)/2))/(LN(2)/2)*DB16*DE16*VLOOKUP('Données projet (1)'!$B$13,'Paramètres (1)'!$A$1:$I$88,3,0)*0.475*44/12</f>
        <v>#REF!</v>
      </c>
      <c r="DI16" s="143" t="str">
        <f t="shared" si="55"/>
        <v>#REF!</v>
      </c>
      <c r="DJ16" s="139" t="str">
        <f t="shared" si="56"/>
        <v>#REF!</v>
      </c>
      <c r="DK16" s="131" t="str">
        <f t="shared" si="57"/>
        <v>#REF!</v>
      </c>
      <c r="DL16" s="131" t="str">
        <f t="shared" si="128"/>
        <v>#REF!</v>
      </c>
      <c r="DM16" s="131" t="str">
        <f t="shared" si="58"/>
        <v>#REF!</v>
      </c>
      <c r="DN16" s="131" t="str">
        <f t="array" ref="DN16">INDEX(DM:DM,MIN(IF(ISNUMBER(DM16:DM212),ROW(DM16:DM212),"")))</f>
        <v/>
      </c>
      <c r="DO16" s="131" t="str">
        <f t="shared" si="129"/>
        <v>#REF!</v>
      </c>
      <c r="DP16" s="138" t="str">
        <f>DO16*VLOOKUP('Données projet (1)'!$B$14,'Paramètres (1)'!$A$1:$I$88,3,0)*VLOOKUP('Données projet (1)'!$B$14,'Paramètres (1)'!$A$1:$I$88,5,0)</f>
        <v>#REF!</v>
      </c>
      <c r="DQ16" s="130" t="str">
        <f t="shared" si="130"/>
        <v>#REF!</v>
      </c>
      <c r="DR16" s="141" t="str">
        <f t="shared" si="59"/>
        <v>#REF!</v>
      </c>
      <c r="DS16" s="133" t="str">
        <f t="shared" si="60"/>
        <v>#REF!</v>
      </c>
      <c r="DT16" s="133" t="str">
        <f t="shared" si="61"/>
        <v>#REF!</v>
      </c>
      <c r="DU16" s="133" t="str">
        <f t="shared" si="131"/>
        <v>#REF!</v>
      </c>
      <c r="DV16" s="134" t="str">
        <f t="shared" si="62"/>
        <v>#REF!</v>
      </c>
      <c r="DW16" s="134" t="str">
        <f t="shared" si="63"/>
        <v>#REF!</v>
      </c>
      <c r="DX16" s="135" t="str">
        <f>IF(ISNA(VLOOKUP(A16,'Données projet (1)'!$A$165:$I$185,5,0)),0%,VLOOKUP(A16,'Données projet (1)'!$A$165:$I$185,5,0)*VLOOKUP('Données projet (1)'!$B$14,'Paramètres (1)'!$A$1:$I$88,7,0))</f>
        <v>#REF!</v>
      </c>
      <c r="DY16" s="135" t="str">
        <f>IF(ISNA(VLOOKUP(A16,'Données projet (1)'!$A$165:$I$185,6,0)),0%,VLOOKUP(A16,'Données projet (1)'!$A$165:$I$185,6,0)*VLOOKUP('Données projet (1)'!$B$14,'Paramètres (1)'!$A$1:$I$88,7,0))</f>
        <v>#REF!</v>
      </c>
      <c r="DZ16" s="135" t="str">
        <f t="shared" si="64"/>
        <v>#REF!</v>
      </c>
      <c r="EA16" s="142" t="str">
        <f>EXP(-LN(2)/35)*EA15+(1-EXP(-LN(2)/35))/(LN(2)/35)*DW16*DX16*VLOOKUP('Données projet (1)'!$B$14,'Paramètres (1)'!$A$1:$I$88,3,0)*0.475*44/12</f>
        <v>#REF!</v>
      </c>
      <c r="EB16" s="142" t="str">
        <f>EXP(-LN(2)/25)*EB15+(1-EXP(-LN(2)/25))/(LN(2)/25)*'Calculateur (1)'!DW16*'Calculateur (1)'!DY16*VLOOKUP('Données projet (1)'!$B$14,'Paramètres (1)'!$A$1:$I$88,3,0)*0.475*44/12</f>
        <v>#REF!</v>
      </c>
      <c r="EC16" s="142" t="str">
        <f>EXP(-LN(2)/2)*EC15+(1-EXP(-LN(2)/2))/(LN(2)/2)*DW16*DZ16*VLOOKUP('Données projet (1)'!$B$14,'Paramètres (1)'!$A$1:$I$88,3,0)*0.475*44/12</f>
        <v>#REF!</v>
      </c>
      <c r="ED16" s="143" t="str">
        <f t="shared" si="65"/>
        <v>#REF!</v>
      </c>
      <c r="EE16" s="139" t="str">
        <f t="shared" si="66"/>
        <v>#REF!</v>
      </c>
      <c r="EF16" s="131" t="str">
        <f t="shared" si="67"/>
        <v>#REF!</v>
      </c>
      <c r="EG16" s="131" t="str">
        <f t="shared" si="132"/>
        <v>#REF!</v>
      </c>
      <c r="EH16" s="131" t="str">
        <f t="shared" si="68"/>
        <v>#REF!</v>
      </c>
      <c r="EI16" s="131" t="str">
        <f t="array" ref="EI16">INDEX(EH:EH,MIN(IF(ISNUMBER(EH16:EH212),ROW(EH16:EH212),"")))</f>
        <v/>
      </c>
      <c r="EJ16" s="131" t="str">
        <f t="shared" si="133"/>
        <v>#REF!</v>
      </c>
      <c r="EK16" s="138" t="str">
        <f>EJ16*VLOOKUP('Données projet (1)'!$B$15,'Paramètres (1)'!$A$1:$I$88,3,0)*VLOOKUP('Données projet (1)'!$B$15,'Paramètres (1)'!$A$1:$I$88,5,0)</f>
        <v>#REF!</v>
      </c>
      <c r="EL16" s="130" t="str">
        <f t="shared" si="134"/>
        <v>#REF!</v>
      </c>
      <c r="EM16" s="141" t="str">
        <f t="shared" si="69"/>
        <v>#REF!</v>
      </c>
      <c r="EN16" s="133" t="str">
        <f t="shared" si="70"/>
        <v>#REF!</v>
      </c>
      <c r="EO16" s="133" t="str">
        <f t="shared" si="71"/>
        <v>#REF!</v>
      </c>
      <c r="EP16" s="133" t="str">
        <f t="shared" si="135"/>
        <v>#REF!</v>
      </c>
      <c r="EQ16" s="134" t="str">
        <f t="shared" si="72"/>
        <v>#REF!</v>
      </c>
      <c r="ER16" s="134" t="str">
        <f t="shared" si="73"/>
        <v>#REF!</v>
      </c>
      <c r="ES16" s="135" t="str">
        <f>IF(ISNA(VLOOKUP(A16,'Données projet (1)'!$A$191:$I$211,5,0)),0%,VLOOKUP(A16,'Données projet (1)'!$A$191:$I$211,5,0)*VLOOKUP('Données projet (1)'!$B$15,'Paramètres (1)'!$A$1:$I$88,7,0))</f>
        <v>#REF!</v>
      </c>
      <c r="ET16" s="135" t="str">
        <f>IF(ISNA(VLOOKUP(A16,'Données projet (1)'!$A$191:$I$211,6,0)),0%,VLOOKUP(A16,'Données projet (1)'!$A$191:$I$211,6,0)*VLOOKUP('Données projet (1)'!$B$15,'Paramètres (1)'!$A$1:$I$88,7,0))</f>
        <v>#REF!</v>
      </c>
      <c r="EU16" s="135" t="str">
        <f t="shared" si="74"/>
        <v>#REF!</v>
      </c>
      <c r="EV16" s="142" t="str">
        <f>EXP(-LN(2)/35)*EV15+(1-EXP(-LN(2)/35))/(LN(2)/35)*ER16*ES16*VLOOKUP('Données projet (1)'!$B$15,'Paramètres (1)'!$A$1:$I$88,3,0)*0.475*44/12</f>
        <v>#REF!</v>
      </c>
      <c r="EW16" s="142" t="str">
        <f>EXP(-LN(2)/25)*EW15+(1-EXP(-LN(2)/25))/(LN(2)/25)*'Calculateur (1)'!ER16*'Calculateur (1)'!ET16*VLOOKUP('Données projet (1)'!$B$15,'Paramètres (1)'!$A$1:$I$88,3,0)*0.475*44/12</f>
        <v>#REF!</v>
      </c>
      <c r="EX16" s="142" t="str">
        <f>EXP(-LN(2)/2)*EX15+(1-EXP(-LN(2)/2))/(LN(2)/2)*ER16*EU16*VLOOKUP('Données projet (1)'!$B$15,'Paramètres (1)'!$A$1:$I$88,3,0)*0.475*44/12</f>
        <v>#REF!</v>
      </c>
      <c r="EY16" s="143" t="str">
        <f t="shared" si="75"/>
        <v>#REF!</v>
      </c>
      <c r="EZ16" s="139" t="str">
        <f t="shared" si="76"/>
        <v>#REF!</v>
      </c>
      <c r="FA16" s="131" t="str">
        <f t="shared" si="77"/>
        <v>#REF!</v>
      </c>
      <c r="FB16" s="131" t="str">
        <f t="shared" si="136"/>
        <v>#REF!</v>
      </c>
      <c r="FC16" s="131" t="str">
        <f t="shared" si="78"/>
        <v>#REF!</v>
      </c>
      <c r="FD16" s="131" t="str">
        <f t="array" ref="FD16">INDEX(FC:FC,MIN(IF(ISNUMBER(FC16:FC212),ROW(FC16:FC212),"")))</f>
        <v/>
      </c>
      <c r="FE16" s="131" t="str">
        <f t="shared" si="137"/>
        <v>#REF!</v>
      </c>
      <c r="FF16" s="138" t="str">
        <f>FE16*VLOOKUP('Données projet (1)'!$B$16,'Paramètres (1)'!$A$1:$I$88,3,0)*VLOOKUP('Données projet (1)'!$B$16,'Paramètres (1)'!$A$1:$I$88,5,0)</f>
        <v>#REF!</v>
      </c>
      <c r="FG16" s="130" t="str">
        <f t="shared" si="138"/>
        <v>#REF!</v>
      </c>
      <c r="FH16" s="141" t="str">
        <f t="shared" si="79"/>
        <v>#REF!</v>
      </c>
      <c r="FI16" s="133" t="str">
        <f t="shared" si="80"/>
        <v>#REF!</v>
      </c>
      <c r="FJ16" s="133" t="str">
        <f t="shared" si="81"/>
        <v>#REF!</v>
      </c>
      <c r="FK16" s="133" t="str">
        <f t="shared" si="139"/>
        <v>#REF!</v>
      </c>
      <c r="FL16" s="134" t="str">
        <f t="shared" si="82"/>
        <v>#REF!</v>
      </c>
      <c r="FM16" s="134" t="str">
        <f t="shared" si="83"/>
        <v>#REF!</v>
      </c>
      <c r="FN16" s="135" t="str">
        <f>IF(ISNA(VLOOKUP(A16,'Données projet (1)'!$A$217:$I$237,5,0)),0%,VLOOKUP(A16,'Données projet (1)'!$A$217:$I$237,5,0)*VLOOKUP('Données projet (1)'!$B$16,'Paramètres (1)'!$A$1:$I$88,7,0))</f>
        <v>#REF!</v>
      </c>
      <c r="FO16" s="135" t="str">
        <f>IF(ISNA(VLOOKUP(A16,'Données projet (1)'!$A$217:$I$237,6,0)),0%,VLOOKUP(A16,'Données projet (1)'!$A$217:$I$237,6,0)*VLOOKUP('Données projet (1)'!$B$16,'Paramètres (1)'!$A$1:$I$88,7,0))</f>
        <v>#REF!</v>
      </c>
      <c r="FP16" s="135" t="str">
        <f t="shared" si="84"/>
        <v>#REF!</v>
      </c>
      <c r="FQ16" s="142" t="str">
        <f>EXP(-LN(2)/35)*FQ15+(1-EXP(-LN(2)/35))/(LN(2)/35)*FM16*FN16*VLOOKUP('Données projet (1)'!$B$16,'Paramètres (1)'!$A$1:$I$88,3,0)*0.475*44/12</f>
        <v>#REF!</v>
      </c>
      <c r="FR16" s="142" t="str">
        <f>EXP(-LN(2)/25)*FR15+(1-EXP(-LN(2)/25))/(LN(2)/25)*'Calculateur (1)'!FM16*'Calculateur (1)'!FO16*VLOOKUP('Données projet (1)'!$B$16,'Paramètres (1)'!$A$1:$I$88,3,0)*0.475*44/12</f>
        <v>#REF!</v>
      </c>
      <c r="FS16" s="142" t="str">
        <f>EXP(-LN(2)/2)*FS15+(1-EXP(-LN(2)/2))/(LN(2)/2)*FM16*FP16*VLOOKUP('Données projet (1)'!$B$16,'Paramètres (1)'!$A$1:$I$88,3,0)*0.475*44/12</f>
        <v>#REF!</v>
      </c>
      <c r="FT16" s="143" t="str">
        <f t="shared" si="85"/>
        <v>#REF!</v>
      </c>
      <c r="FU16" s="139" t="str">
        <f t="shared" si="86"/>
        <v>#REF!</v>
      </c>
      <c r="FV16" s="131" t="str">
        <f t="shared" si="87"/>
        <v>#REF!</v>
      </c>
      <c r="FW16" s="131" t="str">
        <f t="shared" si="140"/>
        <v>#REF!</v>
      </c>
      <c r="FX16" s="131" t="str">
        <f t="shared" si="88"/>
        <v>#REF!</v>
      </c>
      <c r="FY16" s="131" t="str">
        <f t="array" ref="FY16">INDEX(FX:FX,MIN(IF(ISNUMBER(FX16:FX212),ROW(FX16:FX212),"")))</f>
        <v/>
      </c>
      <c r="FZ16" s="131" t="str">
        <f t="shared" si="141"/>
        <v>#REF!</v>
      </c>
      <c r="GA16" s="138" t="str">
        <f>FZ16*VLOOKUP('Données projet (1)'!$B$17,'Paramètres (1)'!$A$1:$I$88,3,0)*VLOOKUP('Données projet (1)'!$B$17,'Paramètres (1)'!$A$1:$I$88,5,0)</f>
        <v>#REF!</v>
      </c>
      <c r="GB16" s="130" t="str">
        <f t="shared" si="142"/>
        <v>#REF!</v>
      </c>
      <c r="GC16" s="141" t="str">
        <f t="shared" si="89"/>
        <v>#REF!</v>
      </c>
      <c r="GD16" s="133" t="str">
        <f t="shared" si="90"/>
        <v>#REF!</v>
      </c>
      <c r="GE16" s="133" t="str">
        <f t="shared" si="91"/>
        <v>#REF!</v>
      </c>
      <c r="GF16" s="133" t="str">
        <f t="shared" si="143"/>
        <v>#REF!</v>
      </c>
      <c r="GG16" s="134" t="str">
        <f t="shared" si="92"/>
        <v>#REF!</v>
      </c>
      <c r="GH16" s="134" t="str">
        <f t="shared" si="93"/>
        <v>#REF!</v>
      </c>
      <c r="GI16" s="135" t="str">
        <f>IF(ISNA(VLOOKUP(A16,'Données projet (1)'!$A$243:$I$263,5,0)),0%,VLOOKUP(A16,'Données projet (1)'!$A$243:$I$263,5,0)*VLOOKUP('Données projet (1)'!$B$17,'Paramètres (1)'!$A$1:$I$88,7,0))</f>
        <v>#REF!</v>
      </c>
      <c r="GJ16" s="135" t="str">
        <f>IF(ISNA(VLOOKUP(A16,'Données projet (1)'!$A$243:$I$263,6,0)),0%,VLOOKUP(A16,'Données projet (1)'!$A$243:$I$263,6,0)*VLOOKUP('Données projet (1)'!$B$17,'Paramètres (1)'!$A$1:$I$88,7,0))</f>
        <v>#REF!</v>
      </c>
      <c r="GK16" s="135" t="str">
        <f t="shared" si="94"/>
        <v>#REF!</v>
      </c>
      <c r="GL16" s="142" t="str">
        <f>EXP(-LN(2)/35)*GL15+(1-EXP(-LN(2)/35))/(LN(2)/35)*GH16*GI16*VLOOKUP('Données projet (1)'!$B$17,'Paramètres (1)'!$A$1:$I$88,3,0)*0.475*44/12</f>
        <v>#REF!</v>
      </c>
      <c r="GM16" s="142" t="str">
        <f>EXP(-LN(2)/25)*GM15+(1-EXP(-LN(2)/25))/(LN(2)/25)*'Calculateur (1)'!GH16*'Calculateur (1)'!GJ16*VLOOKUP('Données projet (1)'!$B$17,'Paramètres (1)'!$A$1:$I$88,3,0)*0.475*44/12</f>
        <v>#REF!</v>
      </c>
      <c r="GN16" s="142" t="str">
        <f>EXP(-LN(2)/2)*GN15+(1-EXP(-LN(2)/2))/(LN(2)/2)*GH16*GK16*VLOOKUP('Données projet (1)'!$B$17,'Paramètres (1)'!$A$1:$I$88,3,0)*0.475*44/12</f>
        <v>#REF!</v>
      </c>
      <c r="GO16" s="142" t="str">
        <f t="shared" si="95"/>
        <v>#REF!</v>
      </c>
      <c r="GP16" s="139" t="str">
        <f t="shared" si="96"/>
        <v>#REF!</v>
      </c>
      <c r="GQ16" s="131" t="str">
        <f t="shared" si="97"/>
        <v>#REF!</v>
      </c>
      <c r="GR16" s="131" t="str">
        <f t="shared" si="144"/>
        <v>#REF!</v>
      </c>
      <c r="GS16" s="131" t="str">
        <f t="shared" si="98"/>
        <v>#REF!</v>
      </c>
      <c r="GT16" s="131" t="str">
        <f t="array" ref="GT16">INDEX(GS:GS,MIN(IF(ISNUMBER(GS16:GS212),ROW(GS16:GS212),"")))</f>
        <v/>
      </c>
      <c r="GU16" s="131" t="str">
        <f t="shared" si="145"/>
        <v>#REF!</v>
      </c>
      <c r="GV16" s="138" t="str">
        <f>GU16*VLOOKUP('Données projet (1)'!$B$18,'Paramètres (1)'!$A$1:$I$88,3,0)*VLOOKUP('Données projet (1)'!$B$18,'Paramètres (1)'!$A$1:$I$88,5,0)</f>
        <v>#REF!</v>
      </c>
      <c r="GW16" s="130" t="str">
        <f t="shared" si="146"/>
        <v>#REF!</v>
      </c>
      <c r="GX16" s="141" t="str">
        <f t="shared" si="99"/>
        <v>#REF!</v>
      </c>
      <c r="GY16" s="133" t="str">
        <f t="shared" si="100"/>
        <v>#REF!</v>
      </c>
      <c r="GZ16" s="133" t="str">
        <f t="shared" si="101"/>
        <v>#REF!</v>
      </c>
      <c r="HA16" s="133" t="str">
        <f t="shared" si="147"/>
        <v>#REF!</v>
      </c>
      <c r="HB16" s="134" t="str">
        <f t="shared" si="102"/>
        <v>#REF!</v>
      </c>
      <c r="HC16" s="134" t="str">
        <f t="shared" si="103"/>
        <v>#REF!</v>
      </c>
      <c r="HD16" s="135" t="str">
        <f>IF(ISNA(VLOOKUP(A16,'Données projet (1)'!$A$269:$I$289,5,0)),0%,VLOOKUP(A16,'Données projet (1)'!$A$269:$I$289,5,0)*VLOOKUP('Données projet (1)'!$B$18,'Paramètres (1)'!$A$1:$I$88,7,0))</f>
        <v>#REF!</v>
      </c>
      <c r="HE16" s="135" t="str">
        <f>IF(ISNA(VLOOKUP(A16,'Données projet (1)'!$A$269:$I$289,6,0)),0%,VLOOKUP(A16,'Données projet (1)'!$A$269:$I$289,6,0)*VLOOKUP('Données projet (1)'!$B$18,'Paramètres (1)'!$A$1:$I$88,7,0))</f>
        <v>#REF!</v>
      </c>
      <c r="HF16" s="135" t="str">
        <f t="shared" si="104"/>
        <v>#REF!</v>
      </c>
      <c r="HG16" s="142" t="str">
        <f>EXP(-LN(2)/35)*HG15+(1-EXP(-LN(2)/35))/(LN(2)/35)*HC16*HD16*VLOOKUP('Données projet (1)'!$B$18,'Paramètres (1)'!$A$1:$I$88,3,0)*0.475*44/12</f>
        <v>#REF!</v>
      </c>
      <c r="HH16" s="142" t="str">
        <f>EXP(-LN(2)/25)*HH15+(1-EXP(-LN(2)/25))/(LN(2)/25)*'Calculateur (1)'!HC16*'Calculateur (1)'!HE16*VLOOKUP('Données projet (1)'!$B$18,'Paramètres (1)'!$A$1:$I$88,3,0)*0.475*44/12</f>
        <v>#REF!</v>
      </c>
      <c r="HI16" s="142" t="str">
        <f>EXP(-LN(2)/2)*HI15+(1-EXP(-LN(2)/2))/(LN(2)/2)*HC16*HF16*VLOOKUP('Données projet (1)'!$B$18,'Paramètres (1)'!$A$1:$I$88,3,0)*0.475*44/12</f>
        <v>#REF!</v>
      </c>
      <c r="HJ16" s="143" t="str">
        <f t="shared" si="105"/>
        <v>#REF!</v>
      </c>
    </row>
    <row r="17" ht="14.25" customHeight="1">
      <c r="A17" s="125">
        <f t="shared" si="106"/>
        <v>14</v>
      </c>
      <c r="B17" s="126" t="str">
        <f t="shared" si="1"/>
        <v>#REF!</v>
      </c>
      <c r="C17" s="140" t="str">
        <f>'Calculateur (1)'!C16+'Scénario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" s="127">
        <f t="shared" si="107"/>
        <v>0</v>
      </c>
      <c r="E17" s="127" t="str">
        <f t="shared" si="2"/>
        <v>#REF!</v>
      </c>
      <c r="F17" s="127" t="str">
        <f t="shared" si="3"/>
        <v>#REF!</v>
      </c>
      <c r="G17" s="127" t="str">
        <f t="shared" si="4"/>
        <v>#REF!</v>
      </c>
      <c r="H17" s="128" t="str">
        <f t="shared" si="5"/>
        <v>#REF!</v>
      </c>
      <c r="I17" s="129" t="str">
        <f t="shared" si="6"/>
        <v>#REF!</v>
      </c>
      <c r="J17" s="130" t="str">
        <f t="shared" si="7"/>
        <v>#REF!</v>
      </c>
      <c r="K17" s="131" t="str">
        <f t="shared" si="108"/>
        <v>#REF!</v>
      </c>
      <c r="L17" s="131" t="str">
        <f t="shared" si="8"/>
        <v>#REF!</v>
      </c>
      <c r="M17" s="131" t="str">
        <f t="array" ref="M17">INDEX(L:L,MIN(IF(ISNUMBER(L17:L213),ROW(L17:L213),"")))</f>
        <v/>
      </c>
      <c r="N17" s="130" t="str">
        <f t="shared" si="109"/>
        <v>#REF!</v>
      </c>
      <c r="O17" s="130" t="str">
        <f>N17*VLOOKUP('Données projet (1)'!$B$9,'Paramètres (1)'!$A$1:$I$88,3,0)*VLOOKUP('Données projet (1)'!$B$9,'Paramètres (1)'!$A$1:$I$88,5,0)</f>
        <v>#REF!</v>
      </c>
      <c r="P17" s="130" t="str">
        <f t="shared" si="110"/>
        <v>#REF!</v>
      </c>
      <c r="Q17" s="141" t="str">
        <f t="shared" si="9"/>
        <v>#REF!</v>
      </c>
      <c r="R17" s="133" t="str">
        <f t="shared" si="10"/>
        <v>#REF!</v>
      </c>
      <c r="S17" s="133" t="str">
        <f t="shared" si="11"/>
        <v>#REF!</v>
      </c>
      <c r="T17" s="133" t="str">
        <f t="shared" si="111"/>
        <v>#REF!</v>
      </c>
      <c r="U17" s="134" t="str">
        <f t="shared" si="12"/>
        <v>#REF!</v>
      </c>
      <c r="V17" s="134" t="str">
        <f t="shared" si="13"/>
        <v>#REF!</v>
      </c>
      <c r="W17" s="135" t="str">
        <f>IF(ISNA(VLOOKUP(A17,'Données projet (1)'!$A$35:$I$55,5,0)),0%,VLOOKUP(A17,'Données projet (1)'!$A$35:$I$55,5,0)*VLOOKUP('Données projet (1)'!$B$9,'Paramètres (1)'!$A$1:$I$88,7,0))</f>
        <v>#REF!</v>
      </c>
      <c r="X17" s="135" t="str">
        <f>IF(ISNA(VLOOKUP(A17,'Données projet (1)'!$A$35:$I$55,6,0)),0%,VLOOKUP(A17,'Données projet (1)'!$A$35:$I$55,6,0)*VLOOKUP('Données projet (1)'!$B$9,'Paramètres (1)'!$A$1:$I$88,7,0))</f>
        <v>#REF!</v>
      </c>
      <c r="Y17" s="135" t="str">
        <f t="shared" si="14"/>
        <v>#REF!</v>
      </c>
      <c r="Z17" s="142" t="str">
        <f>EXP(-LN(2)/35)*Z16+(1-EXP(-LN(2)/35))/(LN(2)/35)*V17*W17*VLOOKUP('Données projet (1)'!$B$9,'Paramètres (1)'!$A$1:$I$88,3,0)*0.475*44/12</f>
        <v>#REF!</v>
      </c>
      <c r="AA17" s="142" t="str">
        <f>EXP(-LN(2)/25)*AA16+(1-EXP(-LN(2)/25))/(LN(2)/25)*'Calculateur (1)'!V17*'Calculateur (1)'!X17*VLOOKUP('Données projet (1)'!$B$9,'Paramètres (1)'!$A$1:$I$88,3,0)*0.475*44/12</f>
        <v>#REF!</v>
      </c>
      <c r="AB17" s="142" t="str">
        <f>EXP(-LN(2)/2)*AB16+(1-EXP(-LN(2)/2))/(LN(2)/2)*V17*Y17*VLOOKUP('Données projet (1)'!$B$9,'Paramètres (1)'!$A$1:$I$88,3,0)*0.475*44/12</f>
        <v>#REF!</v>
      </c>
      <c r="AC17" s="143" t="str">
        <f t="shared" si="15"/>
        <v>#REF!</v>
      </c>
      <c r="AD17" s="130" t="str">
        <f t="shared" si="16"/>
        <v>#REF!</v>
      </c>
      <c r="AE17" s="130" t="str">
        <f t="shared" si="17"/>
        <v>#REF!</v>
      </c>
      <c r="AF17" s="131" t="str">
        <f t="shared" si="112"/>
        <v>#REF!</v>
      </c>
      <c r="AG17" s="131" t="str">
        <f t="shared" si="18"/>
        <v>#REF!</v>
      </c>
      <c r="AH17" s="131" t="str">
        <f t="array" ref="AH17">INDEX(AG:AG,MIN(IF(ISNUMBER(AG17:AG213),ROW(AG17:AG213),"")))</f>
        <v/>
      </c>
      <c r="AI17" s="130" t="str">
        <f t="shared" si="113"/>
        <v>#REF!</v>
      </c>
      <c r="AJ17" s="130" t="str">
        <f>AI17*VLOOKUP('Données projet (1)'!$B$10,'Paramètres (1)'!$A$1:$I$88,3,0)*VLOOKUP('Données projet (1)'!$B$10,'Paramètres (1)'!$A$1:$I$88,5,0)</f>
        <v>#REF!</v>
      </c>
      <c r="AK17" s="130" t="str">
        <f t="shared" si="114"/>
        <v>#REF!</v>
      </c>
      <c r="AL17" s="141" t="str">
        <f t="shared" si="19"/>
        <v>#REF!</v>
      </c>
      <c r="AM17" s="133" t="str">
        <f t="shared" si="20"/>
        <v>#REF!</v>
      </c>
      <c r="AN17" s="133" t="str">
        <f t="shared" si="21"/>
        <v>#REF!</v>
      </c>
      <c r="AO17" s="133" t="str">
        <f t="shared" si="115"/>
        <v>#REF!</v>
      </c>
      <c r="AP17" s="134" t="str">
        <f t="shared" si="22"/>
        <v>#REF!</v>
      </c>
      <c r="AQ17" s="134" t="str">
        <f t="shared" si="23"/>
        <v>#REF!</v>
      </c>
      <c r="AR17" s="135" t="str">
        <f>IF(ISNA(VLOOKUP(A17,'Données projet (1)'!$A$61:$I$81,5,0)),0%,VLOOKUP(A17,'Données projet (1)'!$A$61:$I$81,5,0)*VLOOKUP('Données projet (1)'!$B$10,'Paramètres (1)'!$A$1:$I$88,7,0))</f>
        <v>#REF!</v>
      </c>
      <c r="AS17" s="135" t="str">
        <f>IF(ISNA(VLOOKUP(A17,'Données projet (1)'!$A$61:$I$81,6,0)),0%,VLOOKUP(A17,'Données projet (1)'!$A$61:$I$81,6,0)*VLOOKUP('Données projet (1)'!$B$10,'Paramètres (1)'!$A$1:$I$88,7,0))</f>
        <v>#REF!</v>
      </c>
      <c r="AT17" s="135" t="str">
        <f t="shared" si="24"/>
        <v>#REF!</v>
      </c>
      <c r="AU17" s="142" t="str">
        <f>EXP(-LN(2)/35)*AU16+(1-EXP(-LN(2)/35))/(LN(2)/35)*AQ17*AR17*VLOOKUP('Données projet (1)'!$B$10,'Paramètres (1)'!$A$1:$I$88,3,0)*0.475*44/12</f>
        <v>#REF!</v>
      </c>
      <c r="AV17" s="142" t="str">
        <f>EXP(-LN(2)/25)*AV16+(1-EXP(-LN(2)/25))/(LN(2)/25)*'Calculateur (1)'!AQ17*'Calculateur (1)'!AS17*VLOOKUP('Données projet (1)'!$B$10,'Paramètres (1)'!$A$1:$I$88,3,0)*0.475*44/12</f>
        <v>#REF!</v>
      </c>
      <c r="AW17" s="142" t="str">
        <f>EXP(-LN(2)/2)*AW16+(1-EXP(-LN(2)/2))/(LN(2)/2)*AQ17*AT17*VLOOKUP('Données projet (1)'!$B$10,'Paramètres (1)'!$A$1:$I$88,3,0)*0.475*44/12</f>
        <v>#REF!</v>
      </c>
      <c r="AX17" s="142" t="str">
        <f t="shared" si="25"/>
        <v>#REF!</v>
      </c>
      <c r="AY17" s="137" t="str">
        <f t="shared" si="26"/>
        <v>#REF!</v>
      </c>
      <c r="AZ17" s="131" t="str">
        <f t="shared" si="27"/>
        <v>#REF!</v>
      </c>
      <c r="BA17" s="131" t="str">
        <f t="shared" si="116"/>
        <v>#REF!</v>
      </c>
      <c r="BB17" s="131" t="str">
        <f t="shared" si="28"/>
        <v>#REF!</v>
      </c>
      <c r="BC17" s="131" t="str">
        <f t="array" ref="BC17">INDEX(BB:BB,MIN(IF(ISNUMBER(BB17:BB213),ROW(BB17:BB213),"")))</f>
        <v/>
      </c>
      <c r="BD17" s="131" t="str">
        <f t="shared" si="117"/>
        <v>#REF!</v>
      </c>
      <c r="BE17" s="130" t="str">
        <f>BD17*VLOOKUP('Données projet (1)'!$B$11,'Paramètres (1)'!$A$1:$I$88,3,0)*VLOOKUP('Données projet (1)'!$B$11,'Paramètres (1)'!$A$1:$I$88,5,0)</f>
        <v>#REF!</v>
      </c>
      <c r="BF17" s="130" t="str">
        <f t="shared" si="118"/>
        <v>#REF!</v>
      </c>
      <c r="BG17" s="141" t="str">
        <f t="shared" si="29"/>
        <v>#REF!</v>
      </c>
      <c r="BH17" s="133" t="str">
        <f t="shared" si="30"/>
        <v>#REF!</v>
      </c>
      <c r="BI17" s="133" t="str">
        <f t="shared" si="31"/>
        <v>#REF!</v>
      </c>
      <c r="BJ17" s="133" t="str">
        <f t="shared" si="119"/>
        <v>#REF!</v>
      </c>
      <c r="BK17" s="134" t="str">
        <f t="shared" si="32"/>
        <v>#REF!</v>
      </c>
      <c r="BL17" s="134" t="str">
        <f t="shared" si="33"/>
        <v>#REF!</v>
      </c>
      <c r="BM17" s="135" t="str">
        <f>IF(ISNA(VLOOKUP(A17,'Données projet (1)'!$A$87:$I$107,5,0)),0%,VLOOKUP(A17,'Données projet (1)'!$A$87:$I$107,5,0)*VLOOKUP('Données projet (1)'!$B$11,'Paramètres (1)'!$A$1:$I$88,7,0))</f>
        <v>#REF!</v>
      </c>
      <c r="BN17" s="135" t="str">
        <f>IF(ISNA(VLOOKUP(A17,'Données projet (1)'!$A$87:$I$107,6,0)),0%,VLOOKUP(A17,'Données projet (1)'!$A$87:$I$107,6,0)*VLOOKUP('Données projet (1)'!$B$11,'Paramètres (1)'!$A$1:$I$88,7,0))</f>
        <v>#REF!</v>
      </c>
      <c r="BO17" s="135" t="str">
        <f t="shared" si="34"/>
        <v>#REF!</v>
      </c>
      <c r="BP17" s="142" t="str">
        <f>EXP(-LN(2)/35)*BP16+(1-EXP(-LN(2)/35))/(LN(2)/35)*BL17*BM17*VLOOKUP('Données projet (1)'!$B$11,'Paramètres (1)'!$A$1:$I$88,3,0)*0.475*44/12</f>
        <v>#REF!</v>
      </c>
      <c r="BQ17" s="142" t="str">
        <f>EXP(-LN(2)/25)*BQ16+(1-EXP(-LN(2)/25))/(LN(2)/25)*'Calculateur (1)'!BL17*'Calculateur (1)'!BN17*VLOOKUP('Données projet (1)'!$B$11,'Paramètres (1)'!$A$1:$I$88,3,0)*0.475*44/12</f>
        <v>#REF!</v>
      </c>
      <c r="BR17" s="142" t="str">
        <f>EXP(-LN(2)/2)*BR16+(1-EXP(-LN(2)/2))/(LN(2)/2)*BL17*BO17*VLOOKUP('Données projet (1)'!$B$11,'Paramètres (1)'!$A$1:$I$88,3,0)*0.475*44/12</f>
        <v>#REF!</v>
      </c>
      <c r="BS17" s="143" t="str">
        <f t="shared" si="35"/>
        <v>#REF!</v>
      </c>
      <c r="BT17" s="139" t="str">
        <f t="shared" si="36"/>
        <v>#REF!</v>
      </c>
      <c r="BU17" s="131" t="str">
        <f t="shared" si="37"/>
        <v>#REF!</v>
      </c>
      <c r="BV17" s="131" t="str">
        <f t="shared" si="120"/>
        <v>#REF!</v>
      </c>
      <c r="BW17" s="131" t="str">
        <f t="shared" si="38"/>
        <v>#REF!</v>
      </c>
      <c r="BX17" s="131" t="str">
        <f t="array" ref="BX17">INDEX(BW:BW,MIN(IF(ISNUMBER(BW17:BW213),ROW(BW17:BW213),"")))</f>
        <v/>
      </c>
      <c r="BY17" s="131" t="str">
        <f t="shared" si="121"/>
        <v>#REF!</v>
      </c>
      <c r="BZ17" s="130" t="str">
        <f>BY17*VLOOKUP('Données projet (1)'!$B$12,'Paramètres (1)'!$A$1:$I$88,3,0)*VLOOKUP('Données projet (1)'!$B$12,'Paramètres (1)'!$A$1:$I$88,5,0)</f>
        <v>#REF!</v>
      </c>
      <c r="CA17" s="130" t="str">
        <f t="shared" si="122"/>
        <v>#REF!</v>
      </c>
      <c r="CB17" s="141" t="str">
        <f t="shared" si="39"/>
        <v>#REF!</v>
      </c>
      <c r="CC17" s="133" t="str">
        <f t="shared" si="40"/>
        <v>#REF!</v>
      </c>
      <c r="CD17" s="133" t="str">
        <f t="shared" si="41"/>
        <v>#REF!</v>
      </c>
      <c r="CE17" s="133" t="str">
        <f t="shared" si="123"/>
        <v>#REF!</v>
      </c>
      <c r="CF17" s="134" t="str">
        <f t="shared" si="42"/>
        <v>#REF!</v>
      </c>
      <c r="CG17" s="134" t="str">
        <f t="shared" si="43"/>
        <v>#REF!</v>
      </c>
      <c r="CH17" s="135" t="str">
        <f>IF(ISNA(VLOOKUP(A17,'Données projet (1)'!$A$113:$I$133,5,0)),0%,VLOOKUP(A17,'Données projet (1)'!$A$113:$I$133,5,0)*VLOOKUP('Données projet (1)'!$B$12,'Paramètres (1)'!$A$1:$I$88,7,0))</f>
        <v>#REF!</v>
      </c>
      <c r="CI17" s="135" t="str">
        <f>IF(ISNA(VLOOKUP(A17,'Données projet (1)'!$A$113:$I$133,6,0)),0%,VLOOKUP(A17,'Données projet (1)'!$A$113:$I$133,6,0)*VLOOKUP('Données projet (1)'!$B$12,'Paramètres (1)'!$A$1:$I$88,7,0))</f>
        <v>#REF!</v>
      </c>
      <c r="CJ17" s="135" t="str">
        <f t="shared" si="44"/>
        <v>#REF!</v>
      </c>
      <c r="CK17" s="142" t="str">
        <f>EXP(-LN(2)/35)*CK16+(1-EXP(-LN(2)/35))/(LN(2)/35)*CG17*CH17*VLOOKUP('Données projet (1)'!$B$12,'Paramètres (1)'!$A$1:$I$88,3,0)*0.475*44/12</f>
        <v>#REF!</v>
      </c>
      <c r="CL17" s="142" t="str">
        <f>EXP(-LN(2)/25)*CL16+(1-EXP(-LN(2)/25))/(LN(2)/25)*'Calculateur (1)'!CG17*'Calculateur (1)'!CI17*VLOOKUP('Données projet (1)'!$B$12,'Paramètres (1)'!$A$1:$I$88,3,0)*0.475*44/12</f>
        <v>#REF!</v>
      </c>
      <c r="CM17" s="142" t="str">
        <f>EXP(-LN(2)/2)*CM16+(1-EXP(-LN(2)/2))/(LN(2)/2)*CG17*CJ17*VLOOKUP('Données projet (1)'!$B$12,'Paramètres (1)'!$A$1:$I$88,3,0)*0.475*44/12</f>
        <v>#REF!</v>
      </c>
      <c r="CN17" s="143" t="str">
        <f t="shared" si="45"/>
        <v>#REF!</v>
      </c>
      <c r="CO17" s="139" t="str">
        <f t="shared" si="46"/>
        <v>#REF!</v>
      </c>
      <c r="CP17" s="131" t="str">
        <f t="shared" si="47"/>
        <v>#REF!</v>
      </c>
      <c r="CQ17" s="131" t="str">
        <f t="shared" si="124"/>
        <v>#REF!</v>
      </c>
      <c r="CR17" s="131" t="str">
        <f t="shared" si="48"/>
        <v>#REF!</v>
      </c>
      <c r="CS17" s="131" t="str">
        <f t="array" ref="CS17">INDEX(CR:CR,MIN(IF(ISNUMBER(CR17:CR213),ROW(CR17:CR213),"")))</f>
        <v/>
      </c>
      <c r="CT17" s="131" t="str">
        <f t="shared" si="125"/>
        <v>#REF!</v>
      </c>
      <c r="CU17" s="138" t="str">
        <f>CT17*VLOOKUP('Données projet (1)'!$B$13,'Paramètres (1)'!$A$1:$I$88,3,0)*VLOOKUP('Données projet (1)'!$B$13,'Paramètres (1)'!$A$1:$I$88,5,0)</f>
        <v>#REF!</v>
      </c>
      <c r="CV17" s="130" t="str">
        <f t="shared" si="126"/>
        <v>#REF!</v>
      </c>
      <c r="CW17" s="141" t="str">
        <f t="shared" si="49"/>
        <v>#REF!</v>
      </c>
      <c r="CX17" s="133" t="str">
        <f t="shared" si="50"/>
        <v>#REF!</v>
      </c>
      <c r="CY17" s="133" t="str">
        <f t="shared" si="51"/>
        <v>#REF!</v>
      </c>
      <c r="CZ17" s="133" t="str">
        <f t="shared" si="127"/>
        <v>#REF!</v>
      </c>
      <c r="DA17" s="134" t="str">
        <f t="shared" si="52"/>
        <v>#REF!</v>
      </c>
      <c r="DB17" s="134" t="str">
        <f t="shared" si="53"/>
        <v>#REF!</v>
      </c>
      <c r="DC17" s="135" t="str">
        <f>IF(ISNA(VLOOKUP(A17,'Données projet (1)'!$A$139:$I$159,5,0)),0%,VLOOKUP(A17,'Données projet (1)'!$A$139:$I$159,5,0)*VLOOKUP('Données projet (1)'!$B$13,'Paramètres (1)'!$A$1:$I$88,7,0))</f>
        <v>#REF!</v>
      </c>
      <c r="DD17" s="135" t="str">
        <f>IF(ISNA(VLOOKUP(A17,'Données projet (1)'!$A$139:$I$159,6,0)),0%,VLOOKUP(A17,'Données projet (1)'!$A$139:$I$159,6,0)*VLOOKUP('Données projet (1)'!$B$13,'Paramètres (1)'!$A$1:$I$88,7,0))</f>
        <v>#REF!</v>
      </c>
      <c r="DE17" s="135" t="str">
        <f t="shared" si="54"/>
        <v>#REF!</v>
      </c>
      <c r="DF17" s="142" t="str">
        <f>EXP(-LN(2)/35)*DF16+(1-EXP(-LN(2)/35))/(LN(2)/35)*DB17*DC17*VLOOKUP('Données projet (1)'!$B$13,'Paramètres (1)'!$A$1:$I$88,3,0)*0.475*44/12</f>
        <v>#REF!</v>
      </c>
      <c r="DG17" s="142" t="str">
        <f>EXP(-LN(2)/25)*DG16+(1-EXP(-LN(2)/25))/(LN(2)/25)*'Calculateur (1)'!DB17*'Calculateur (1)'!DD17*VLOOKUP('Données projet (1)'!$B$13,'Paramètres (1)'!$A$1:$I$88,3,0)*0.475*44/12</f>
        <v>#REF!</v>
      </c>
      <c r="DH17" s="142" t="str">
        <f>EXP(-LN(2)/2)*DH16+(1-EXP(-LN(2)/2))/(LN(2)/2)*DB17*DE17*VLOOKUP('Données projet (1)'!$B$13,'Paramètres (1)'!$A$1:$I$88,3,0)*0.475*44/12</f>
        <v>#REF!</v>
      </c>
      <c r="DI17" s="143" t="str">
        <f t="shared" si="55"/>
        <v>#REF!</v>
      </c>
      <c r="DJ17" s="139" t="str">
        <f t="shared" si="56"/>
        <v>#REF!</v>
      </c>
      <c r="DK17" s="131" t="str">
        <f t="shared" si="57"/>
        <v>#REF!</v>
      </c>
      <c r="DL17" s="131" t="str">
        <f t="shared" si="128"/>
        <v>#REF!</v>
      </c>
      <c r="DM17" s="131" t="str">
        <f t="shared" si="58"/>
        <v>#REF!</v>
      </c>
      <c r="DN17" s="131" t="str">
        <f t="array" ref="DN17">INDEX(DM:DM,MIN(IF(ISNUMBER(DM17:DM213),ROW(DM17:DM213),"")))</f>
        <v/>
      </c>
      <c r="DO17" s="131" t="str">
        <f t="shared" si="129"/>
        <v>#REF!</v>
      </c>
      <c r="DP17" s="138" t="str">
        <f>DO17*VLOOKUP('Données projet (1)'!$B$14,'Paramètres (1)'!$A$1:$I$88,3,0)*VLOOKUP('Données projet (1)'!$B$14,'Paramètres (1)'!$A$1:$I$88,5,0)</f>
        <v>#REF!</v>
      </c>
      <c r="DQ17" s="130" t="str">
        <f t="shared" si="130"/>
        <v>#REF!</v>
      </c>
      <c r="DR17" s="141" t="str">
        <f t="shared" si="59"/>
        <v>#REF!</v>
      </c>
      <c r="DS17" s="133" t="str">
        <f t="shared" si="60"/>
        <v>#REF!</v>
      </c>
      <c r="DT17" s="133" t="str">
        <f t="shared" si="61"/>
        <v>#REF!</v>
      </c>
      <c r="DU17" s="133" t="str">
        <f t="shared" si="131"/>
        <v>#REF!</v>
      </c>
      <c r="DV17" s="134" t="str">
        <f t="shared" si="62"/>
        <v>#REF!</v>
      </c>
      <c r="DW17" s="134" t="str">
        <f t="shared" si="63"/>
        <v>#REF!</v>
      </c>
      <c r="DX17" s="135" t="str">
        <f>IF(ISNA(VLOOKUP(A17,'Données projet (1)'!$A$165:$I$185,5,0)),0%,VLOOKUP(A17,'Données projet (1)'!$A$165:$I$185,5,0)*VLOOKUP('Données projet (1)'!$B$14,'Paramètres (1)'!$A$1:$I$88,7,0))</f>
        <v>#REF!</v>
      </c>
      <c r="DY17" s="135" t="str">
        <f>IF(ISNA(VLOOKUP(A17,'Données projet (1)'!$A$165:$I$185,6,0)),0%,VLOOKUP(A17,'Données projet (1)'!$A$165:$I$185,6,0)*VLOOKUP('Données projet (1)'!$B$14,'Paramètres (1)'!$A$1:$I$88,7,0))</f>
        <v>#REF!</v>
      </c>
      <c r="DZ17" s="135" t="str">
        <f t="shared" si="64"/>
        <v>#REF!</v>
      </c>
      <c r="EA17" s="142" t="str">
        <f>EXP(-LN(2)/35)*EA16+(1-EXP(-LN(2)/35))/(LN(2)/35)*DW17*DX17*VLOOKUP('Données projet (1)'!$B$14,'Paramètres (1)'!$A$1:$I$88,3,0)*0.475*44/12</f>
        <v>#REF!</v>
      </c>
      <c r="EB17" s="142" t="str">
        <f>EXP(-LN(2)/25)*EB16+(1-EXP(-LN(2)/25))/(LN(2)/25)*'Calculateur (1)'!DW17*'Calculateur (1)'!DY17*VLOOKUP('Données projet (1)'!$B$14,'Paramètres (1)'!$A$1:$I$88,3,0)*0.475*44/12</f>
        <v>#REF!</v>
      </c>
      <c r="EC17" s="142" t="str">
        <f>EXP(-LN(2)/2)*EC16+(1-EXP(-LN(2)/2))/(LN(2)/2)*DW17*DZ17*VLOOKUP('Données projet (1)'!$B$14,'Paramètres (1)'!$A$1:$I$88,3,0)*0.475*44/12</f>
        <v>#REF!</v>
      </c>
      <c r="ED17" s="143" t="str">
        <f t="shared" si="65"/>
        <v>#REF!</v>
      </c>
      <c r="EE17" s="139" t="str">
        <f t="shared" si="66"/>
        <v>#REF!</v>
      </c>
      <c r="EF17" s="131" t="str">
        <f t="shared" si="67"/>
        <v>#REF!</v>
      </c>
      <c r="EG17" s="131" t="str">
        <f t="shared" si="132"/>
        <v>#REF!</v>
      </c>
      <c r="EH17" s="131" t="str">
        <f t="shared" si="68"/>
        <v>#REF!</v>
      </c>
      <c r="EI17" s="131" t="str">
        <f t="array" ref="EI17">INDEX(EH:EH,MIN(IF(ISNUMBER(EH17:EH213),ROW(EH17:EH213),"")))</f>
        <v/>
      </c>
      <c r="EJ17" s="131" t="str">
        <f t="shared" si="133"/>
        <v>#REF!</v>
      </c>
      <c r="EK17" s="138" t="str">
        <f>EJ17*VLOOKUP('Données projet (1)'!$B$15,'Paramètres (1)'!$A$1:$I$88,3,0)*VLOOKUP('Données projet (1)'!$B$15,'Paramètres (1)'!$A$1:$I$88,5,0)</f>
        <v>#REF!</v>
      </c>
      <c r="EL17" s="130" t="str">
        <f t="shared" si="134"/>
        <v>#REF!</v>
      </c>
      <c r="EM17" s="141" t="str">
        <f t="shared" si="69"/>
        <v>#REF!</v>
      </c>
      <c r="EN17" s="133" t="str">
        <f t="shared" si="70"/>
        <v>#REF!</v>
      </c>
      <c r="EO17" s="133" t="str">
        <f t="shared" si="71"/>
        <v>#REF!</v>
      </c>
      <c r="EP17" s="133" t="str">
        <f t="shared" si="135"/>
        <v>#REF!</v>
      </c>
      <c r="EQ17" s="134" t="str">
        <f t="shared" si="72"/>
        <v>#REF!</v>
      </c>
      <c r="ER17" s="134" t="str">
        <f t="shared" si="73"/>
        <v>#REF!</v>
      </c>
      <c r="ES17" s="135" t="str">
        <f>IF(ISNA(VLOOKUP(A17,'Données projet (1)'!$A$191:$I$211,5,0)),0%,VLOOKUP(A17,'Données projet (1)'!$A$191:$I$211,5,0)*VLOOKUP('Données projet (1)'!$B$15,'Paramètres (1)'!$A$1:$I$88,7,0))</f>
        <v>#REF!</v>
      </c>
      <c r="ET17" s="135" t="str">
        <f>IF(ISNA(VLOOKUP(A17,'Données projet (1)'!$A$191:$I$211,6,0)),0%,VLOOKUP(A17,'Données projet (1)'!$A$191:$I$211,6,0)*VLOOKUP('Données projet (1)'!$B$15,'Paramètres (1)'!$A$1:$I$88,7,0))</f>
        <v>#REF!</v>
      </c>
      <c r="EU17" s="135" t="str">
        <f t="shared" si="74"/>
        <v>#REF!</v>
      </c>
      <c r="EV17" s="142" t="str">
        <f>EXP(-LN(2)/35)*EV16+(1-EXP(-LN(2)/35))/(LN(2)/35)*ER17*ES17*VLOOKUP('Données projet (1)'!$B$15,'Paramètres (1)'!$A$1:$I$88,3,0)*0.475*44/12</f>
        <v>#REF!</v>
      </c>
      <c r="EW17" s="142" t="str">
        <f>EXP(-LN(2)/25)*EW16+(1-EXP(-LN(2)/25))/(LN(2)/25)*'Calculateur (1)'!ER17*'Calculateur (1)'!ET17*VLOOKUP('Données projet (1)'!$B$15,'Paramètres (1)'!$A$1:$I$88,3,0)*0.475*44/12</f>
        <v>#REF!</v>
      </c>
      <c r="EX17" s="142" t="str">
        <f>EXP(-LN(2)/2)*EX16+(1-EXP(-LN(2)/2))/(LN(2)/2)*ER17*EU17*VLOOKUP('Données projet (1)'!$B$15,'Paramètres (1)'!$A$1:$I$88,3,0)*0.475*44/12</f>
        <v>#REF!</v>
      </c>
      <c r="EY17" s="143" t="str">
        <f t="shared" si="75"/>
        <v>#REF!</v>
      </c>
      <c r="EZ17" s="139" t="str">
        <f t="shared" si="76"/>
        <v>#REF!</v>
      </c>
      <c r="FA17" s="131" t="str">
        <f t="shared" si="77"/>
        <v>#REF!</v>
      </c>
      <c r="FB17" s="131" t="str">
        <f t="shared" si="136"/>
        <v>#REF!</v>
      </c>
      <c r="FC17" s="131" t="str">
        <f t="shared" si="78"/>
        <v>#REF!</v>
      </c>
      <c r="FD17" s="131" t="str">
        <f t="array" ref="FD17">INDEX(FC:FC,MIN(IF(ISNUMBER(FC17:FC213),ROW(FC17:FC213),"")))</f>
        <v/>
      </c>
      <c r="FE17" s="131" t="str">
        <f t="shared" si="137"/>
        <v>#REF!</v>
      </c>
      <c r="FF17" s="138" t="str">
        <f>FE17*VLOOKUP('Données projet (1)'!$B$16,'Paramètres (1)'!$A$1:$I$88,3,0)*VLOOKUP('Données projet (1)'!$B$16,'Paramètres (1)'!$A$1:$I$88,5,0)</f>
        <v>#REF!</v>
      </c>
      <c r="FG17" s="130" t="str">
        <f t="shared" si="138"/>
        <v>#REF!</v>
      </c>
      <c r="FH17" s="141" t="str">
        <f t="shared" si="79"/>
        <v>#REF!</v>
      </c>
      <c r="FI17" s="133" t="str">
        <f t="shared" si="80"/>
        <v>#REF!</v>
      </c>
      <c r="FJ17" s="133" t="str">
        <f t="shared" si="81"/>
        <v>#REF!</v>
      </c>
      <c r="FK17" s="133" t="str">
        <f t="shared" si="139"/>
        <v>#REF!</v>
      </c>
      <c r="FL17" s="134" t="str">
        <f t="shared" si="82"/>
        <v>#REF!</v>
      </c>
      <c r="FM17" s="134" t="str">
        <f t="shared" si="83"/>
        <v>#REF!</v>
      </c>
      <c r="FN17" s="135" t="str">
        <f>IF(ISNA(VLOOKUP(A17,'Données projet (1)'!$A$217:$I$237,5,0)),0%,VLOOKUP(A17,'Données projet (1)'!$A$217:$I$237,5,0)*VLOOKUP('Données projet (1)'!$B$16,'Paramètres (1)'!$A$1:$I$88,7,0))</f>
        <v>#REF!</v>
      </c>
      <c r="FO17" s="135" t="str">
        <f>IF(ISNA(VLOOKUP(A17,'Données projet (1)'!$A$217:$I$237,6,0)),0%,VLOOKUP(A17,'Données projet (1)'!$A$217:$I$237,6,0)*VLOOKUP('Données projet (1)'!$B$16,'Paramètres (1)'!$A$1:$I$88,7,0))</f>
        <v>#REF!</v>
      </c>
      <c r="FP17" s="135" t="str">
        <f t="shared" si="84"/>
        <v>#REF!</v>
      </c>
      <c r="FQ17" s="142" t="str">
        <f>EXP(-LN(2)/35)*FQ16+(1-EXP(-LN(2)/35))/(LN(2)/35)*FM17*FN17*VLOOKUP('Données projet (1)'!$B$16,'Paramètres (1)'!$A$1:$I$88,3,0)*0.475*44/12</f>
        <v>#REF!</v>
      </c>
      <c r="FR17" s="142" t="str">
        <f>EXP(-LN(2)/25)*FR16+(1-EXP(-LN(2)/25))/(LN(2)/25)*'Calculateur (1)'!FM17*'Calculateur (1)'!FO17*VLOOKUP('Données projet (1)'!$B$16,'Paramètres (1)'!$A$1:$I$88,3,0)*0.475*44/12</f>
        <v>#REF!</v>
      </c>
      <c r="FS17" s="142" t="str">
        <f>EXP(-LN(2)/2)*FS16+(1-EXP(-LN(2)/2))/(LN(2)/2)*FM17*FP17*VLOOKUP('Données projet (1)'!$B$16,'Paramètres (1)'!$A$1:$I$88,3,0)*0.475*44/12</f>
        <v>#REF!</v>
      </c>
      <c r="FT17" s="143" t="str">
        <f t="shared" si="85"/>
        <v>#REF!</v>
      </c>
      <c r="FU17" s="139" t="str">
        <f t="shared" si="86"/>
        <v>#REF!</v>
      </c>
      <c r="FV17" s="131" t="str">
        <f t="shared" si="87"/>
        <v>#REF!</v>
      </c>
      <c r="FW17" s="131" t="str">
        <f t="shared" si="140"/>
        <v>#REF!</v>
      </c>
      <c r="FX17" s="131" t="str">
        <f t="shared" si="88"/>
        <v>#REF!</v>
      </c>
      <c r="FY17" s="131" t="str">
        <f t="array" ref="FY17">INDEX(FX:FX,MIN(IF(ISNUMBER(FX17:FX213),ROW(FX17:FX213),"")))</f>
        <v/>
      </c>
      <c r="FZ17" s="131" t="str">
        <f t="shared" si="141"/>
        <v>#REF!</v>
      </c>
      <c r="GA17" s="138" t="str">
        <f>FZ17*VLOOKUP('Données projet (1)'!$B$17,'Paramètres (1)'!$A$1:$I$88,3,0)*VLOOKUP('Données projet (1)'!$B$17,'Paramètres (1)'!$A$1:$I$88,5,0)</f>
        <v>#REF!</v>
      </c>
      <c r="GB17" s="130" t="str">
        <f t="shared" si="142"/>
        <v>#REF!</v>
      </c>
      <c r="GC17" s="141" t="str">
        <f t="shared" si="89"/>
        <v>#REF!</v>
      </c>
      <c r="GD17" s="133" t="str">
        <f t="shared" si="90"/>
        <v>#REF!</v>
      </c>
      <c r="GE17" s="133" t="str">
        <f t="shared" si="91"/>
        <v>#REF!</v>
      </c>
      <c r="GF17" s="133" t="str">
        <f t="shared" si="143"/>
        <v>#REF!</v>
      </c>
      <c r="GG17" s="134" t="str">
        <f t="shared" si="92"/>
        <v>#REF!</v>
      </c>
      <c r="GH17" s="134" t="str">
        <f t="shared" si="93"/>
        <v>#REF!</v>
      </c>
      <c r="GI17" s="135" t="str">
        <f>IF(ISNA(VLOOKUP(A17,'Données projet (1)'!$A$243:$I$263,5,0)),0%,VLOOKUP(A17,'Données projet (1)'!$A$243:$I$263,5,0)*VLOOKUP('Données projet (1)'!$B$17,'Paramètres (1)'!$A$1:$I$88,7,0))</f>
        <v>#REF!</v>
      </c>
      <c r="GJ17" s="135" t="str">
        <f>IF(ISNA(VLOOKUP(A17,'Données projet (1)'!$A$243:$I$263,6,0)),0%,VLOOKUP(A17,'Données projet (1)'!$A$243:$I$263,6,0)*VLOOKUP('Données projet (1)'!$B$17,'Paramètres (1)'!$A$1:$I$88,7,0))</f>
        <v>#REF!</v>
      </c>
      <c r="GK17" s="135" t="str">
        <f t="shared" si="94"/>
        <v>#REF!</v>
      </c>
      <c r="GL17" s="142" t="str">
        <f>EXP(-LN(2)/35)*GL16+(1-EXP(-LN(2)/35))/(LN(2)/35)*GH17*GI17*VLOOKUP('Données projet (1)'!$B$17,'Paramètres (1)'!$A$1:$I$88,3,0)*0.475*44/12</f>
        <v>#REF!</v>
      </c>
      <c r="GM17" s="142" t="str">
        <f>EXP(-LN(2)/25)*GM16+(1-EXP(-LN(2)/25))/(LN(2)/25)*'Calculateur (1)'!GH17*'Calculateur (1)'!GJ17*VLOOKUP('Données projet (1)'!$B$17,'Paramètres (1)'!$A$1:$I$88,3,0)*0.475*44/12</f>
        <v>#REF!</v>
      </c>
      <c r="GN17" s="142" t="str">
        <f>EXP(-LN(2)/2)*GN16+(1-EXP(-LN(2)/2))/(LN(2)/2)*GH17*GK17*VLOOKUP('Données projet (1)'!$B$17,'Paramètres (1)'!$A$1:$I$88,3,0)*0.475*44/12</f>
        <v>#REF!</v>
      </c>
      <c r="GO17" s="142" t="str">
        <f t="shared" si="95"/>
        <v>#REF!</v>
      </c>
      <c r="GP17" s="139" t="str">
        <f t="shared" si="96"/>
        <v>#REF!</v>
      </c>
      <c r="GQ17" s="131" t="str">
        <f t="shared" si="97"/>
        <v>#REF!</v>
      </c>
      <c r="GR17" s="131" t="str">
        <f t="shared" si="144"/>
        <v>#REF!</v>
      </c>
      <c r="GS17" s="131" t="str">
        <f t="shared" si="98"/>
        <v>#REF!</v>
      </c>
      <c r="GT17" s="131" t="str">
        <f t="array" ref="GT17">INDEX(GS:GS,MIN(IF(ISNUMBER(GS17:GS213),ROW(GS17:GS213),"")))</f>
        <v/>
      </c>
      <c r="GU17" s="131" t="str">
        <f t="shared" si="145"/>
        <v>#REF!</v>
      </c>
      <c r="GV17" s="138" t="str">
        <f>GU17*VLOOKUP('Données projet (1)'!$B$18,'Paramètres (1)'!$A$1:$I$88,3,0)*VLOOKUP('Données projet (1)'!$B$18,'Paramètres (1)'!$A$1:$I$88,5,0)</f>
        <v>#REF!</v>
      </c>
      <c r="GW17" s="130" t="str">
        <f t="shared" si="146"/>
        <v>#REF!</v>
      </c>
      <c r="GX17" s="141" t="str">
        <f t="shared" si="99"/>
        <v>#REF!</v>
      </c>
      <c r="GY17" s="133" t="str">
        <f t="shared" si="100"/>
        <v>#REF!</v>
      </c>
      <c r="GZ17" s="133" t="str">
        <f t="shared" si="101"/>
        <v>#REF!</v>
      </c>
      <c r="HA17" s="133" t="str">
        <f t="shared" si="147"/>
        <v>#REF!</v>
      </c>
      <c r="HB17" s="134" t="str">
        <f t="shared" si="102"/>
        <v>#REF!</v>
      </c>
      <c r="HC17" s="134" t="str">
        <f t="shared" si="103"/>
        <v>#REF!</v>
      </c>
      <c r="HD17" s="135" t="str">
        <f>IF(ISNA(VLOOKUP(A17,'Données projet (1)'!$A$269:$I$289,5,0)),0%,VLOOKUP(A17,'Données projet (1)'!$A$269:$I$289,5,0)*VLOOKUP('Données projet (1)'!$B$18,'Paramètres (1)'!$A$1:$I$88,7,0))</f>
        <v>#REF!</v>
      </c>
      <c r="HE17" s="135" t="str">
        <f>IF(ISNA(VLOOKUP(A17,'Données projet (1)'!$A$269:$I$289,6,0)),0%,VLOOKUP(A17,'Données projet (1)'!$A$269:$I$289,6,0)*VLOOKUP('Données projet (1)'!$B$18,'Paramètres (1)'!$A$1:$I$88,7,0))</f>
        <v>#REF!</v>
      </c>
      <c r="HF17" s="135" t="str">
        <f t="shared" si="104"/>
        <v>#REF!</v>
      </c>
      <c r="HG17" s="142" t="str">
        <f>EXP(-LN(2)/35)*HG16+(1-EXP(-LN(2)/35))/(LN(2)/35)*HC17*HD17*VLOOKUP('Données projet (1)'!$B$18,'Paramètres (1)'!$A$1:$I$88,3,0)*0.475*44/12</f>
        <v>#REF!</v>
      </c>
      <c r="HH17" s="142" t="str">
        <f>EXP(-LN(2)/25)*HH16+(1-EXP(-LN(2)/25))/(LN(2)/25)*'Calculateur (1)'!HC17*'Calculateur (1)'!HE17*VLOOKUP('Données projet (1)'!$B$18,'Paramètres (1)'!$A$1:$I$88,3,0)*0.475*44/12</f>
        <v>#REF!</v>
      </c>
      <c r="HI17" s="142" t="str">
        <f>EXP(-LN(2)/2)*HI16+(1-EXP(-LN(2)/2))/(LN(2)/2)*HC17*HF17*VLOOKUP('Données projet (1)'!$B$18,'Paramètres (1)'!$A$1:$I$88,3,0)*0.475*44/12</f>
        <v>#REF!</v>
      </c>
      <c r="HJ17" s="143" t="str">
        <f t="shared" si="105"/>
        <v>#REF!</v>
      </c>
    </row>
    <row r="18" ht="14.25" customHeight="1">
      <c r="A18" s="125">
        <f t="shared" si="106"/>
        <v>15</v>
      </c>
      <c r="B18" s="126" t="str">
        <f t="shared" si="1"/>
        <v>#REF!</v>
      </c>
      <c r="C18" s="140" t="str">
        <f>'Calculateur (1)'!C17+'Scénario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" s="127">
        <f t="shared" si="107"/>
        <v>0</v>
      </c>
      <c r="E18" s="127" t="str">
        <f t="shared" si="2"/>
        <v>#REF!</v>
      </c>
      <c r="F18" s="127" t="str">
        <f t="shared" si="3"/>
        <v>#REF!</v>
      </c>
      <c r="G18" s="127" t="str">
        <f t="shared" si="4"/>
        <v>#REF!</v>
      </c>
      <c r="H18" s="128" t="str">
        <f t="shared" si="5"/>
        <v>#REF!</v>
      </c>
      <c r="I18" s="129" t="str">
        <f t="shared" si="6"/>
        <v>#REF!</v>
      </c>
      <c r="J18" s="130" t="str">
        <f t="shared" si="7"/>
        <v>#REF!</v>
      </c>
      <c r="K18" s="131" t="str">
        <f t="shared" si="108"/>
        <v>#REF!</v>
      </c>
      <c r="L18" s="131" t="str">
        <f t="shared" si="8"/>
        <v>#REF!</v>
      </c>
      <c r="M18" s="131" t="str">
        <f t="array" ref="M18">INDEX(L:L,MIN(IF(ISNUMBER(L18:L214),ROW(L18:L214),"")))</f>
        <v/>
      </c>
      <c r="N18" s="130" t="str">
        <f t="shared" si="109"/>
        <v>#REF!</v>
      </c>
      <c r="O18" s="130" t="str">
        <f>N18*VLOOKUP('Données projet (1)'!$B$9,'Paramètres (1)'!$A$1:$I$88,3,0)*VLOOKUP('Données projet (1)'!$B$9,'Paramètres (1)'!$A$1:$I$88,5,0)</f>
        <v>#REF!</v>
      </c>
      <c r="P18" s="130" t="str">
        <f t="shared" si="110"/>
        <v>#REF!</v>
      </c>
      <c r="Q18" s="141" t="str">
        <f t="shared" si="9"/>
        <v>#REF!</v>
      </c>
      <c r="R18" s="133" t="str">
        <f t="shared" si="10"/>
        <v>#REF!</v>
      </c>
      <c r="S18" s="133" t="str">
        <f t="shared" si="11"/>
        <v>#REF!</v>
      </c>
      <c r="T18" s="133" t="str">
        <f t="shared" si="111"/>
        <v>#REF!</v>
      </c>
      <c r="U18" s="134" t="str">
        <f t="shared" si="12"/>
        <v>#REF!</v>
      </c>
      <c r="V18" s="134" t="str">
        <f t="shared" si="13"/>
        <v>#REF!</v>
      </c>
      <c r="W18" s="135" t="str">
        <f>IF(ISNA(VLOOKUP(A18,'Données projet (1)'!$A$35:$I$55,5,0)),0%,VLOOKUP(A18,'Données projet (1)'!$A$35:$I$55,5,0)*VLOOKUP('Données projet (1)'!$B$9,'Paramètres (1)'!$A$1:$I$88,7,0))</f>
        <v>#REF!</v>
      </c>
      <c r="X18" s="135" t="str">
        <f>IF(ISNA(VLOOKUP(A18,'Données projet (1)'!$A$35:$I$55,6,0)),0%,VLOOKUP(A18,'Données projet (1)'!$A$35:$I$55,6,0)*VLOOKUP('Données projet (1)'!$B$9,'Paramètres (1)'!$A$1:$I$88,7,0))</f>
        <v>#REF!</v>
      </c>
      <c r="Y18" s="135" t="str">
        <f t="shared" si="14"/>
        <v>#REF!</v>
      </c>
      <c r="Z18" s="142" t="str">
        <f>EXP(-LN(2)/35)*Z17+(1-EXP(-LN(2)/35))/(LN(2)/35)*V18*W18*VLOOKUP('Données projet (1)'!$B$9,'Paramètres (1)'!$A$1:$I$88,3,0)*0.475*44/12</f>
        <v>#REF!</v>
      </c>
      <c r="AA18" s="142" t="str">
        <f>EXP(-LN(2)/25)*AA17+(1-EXP(-LN(2)/25))/(LN(2)/25)*'Calculateur (1)'!V18*'Calculateur (1)'!X18*VLOOKUP('Données projet (1)'!$B$9,'Paramètres (1)'!$A$1:$I$88,3,0)*0.475*44/12</f>
        <v>#REF!</v>
      </c>
      <c r="AB18" s="142" t="str">
        <f>EXP(-LN(2)/2)*AB17+(1-EXP(-LN(2)/2))/(LN(2)/2)*V18*Y18*VLOOKUP('Données projet (1)'!$B$9,'Paramètres (1)'!$A$1:$I$88,3,0)*0.475*44/12</f>
        <v>#REF!</v>
      </c>
      <c r="AC18" s="143" t="str">
        <f t="shared" si="15"/>
        <v>#REF!</v>
      </c>
      <c r="AD18" s="130" t="str">
        <f t="shared" si="16"/>
        <v>#REF!</v>
      </c>
      <c r="AE18" s="130" t="str">
        <f t="shared" si="17"/>
        <v>#REF!</v>
      </c>
      <c r="AF18" s="131" t="str">
        <f t="shared" si="112"/>
        <v>#REF!</v>
      </c>
      <c r="AG18" s="131" t="str">
        <f t="shared" si="18"/>
        <v>#REF!</v>
      </c>
      <c r="AH18" s="131" t="str">
        <f t="array" ref="AH18">INDEX(AG:AG,MIN(IF(ISNUMBER(AG18:AG214),ROW(AG18:AG214),"")))</f>
        <v/>
      </c>
      <c r="AI18" s="130" t="str">
        <f t="shared" si="113"/>
        <v>#REF!</v>
      </c>
      <c r="AJ18" s="130" t="str">
        <f>AI18*VLOOKUP('Données projet (1)'!$B$10,'Paramètres (1)'!$A$1:$I$88,3,0)*VLOOKUP('Données projet (1)'!$B$10,'Paramètres (1)'!$A$1:$I$88,5,0)</f>
        <v>#REF!</v>
      </c>
      <c r="AK18" s="130" t="str">
        <f t="shared" si="114"/>
        <v>#REF!</v>
      </c>
      <c r="AL18" s="141" t="str">
        <f t="shared" si="19"/>
        <v>#REF!</v>
      </c>
      <c r="AM18" s="133" t="str">
        <f t="shared" si="20"/>
        <v>#REF!</v>
      </c>
      <c r="AN18" s="133" t="str">
        <f t="shared" si="21"/>
        <v>#REF!</v>
      </c>
      <c r="AO18" s="133" t="str">
        <f t="shared" si="115"/>
        <v>#REF!</v>
      </c>
      <c r="AP18" s="134" t="str">
        <f t="shared" si="22"/>
        <v>#REF!</v>
      </c>
      <c r="AQ18" s="134" t="str">
        <f t="shared" si="23"/>
        <v>#REF!</v>
      </c>
      <c r="AR18" s="135" t="str">
        <f>IF(ISNA(VLOOKUP(A18,'Données projet (1)'!$A$61:$I$81,5,0)),0%,VLOOKUP(A18,'Données projet (1)'!$A$61:$I$81,5,0)*VLOOKUP('Données projet (1)'!$B$10,'Paramètres (1)'!$A$1:$I$88,7,0))</f>
        <v>#REF!</v>
      </c>
      <c r="AS18" s="135" t="str">
        <f>IF(ISNA(VLOOKUP(A18,'Données projet (1)'!$A$61:$I$81,6,0)),0%,VLOOKUP(A18,'Données projet (1)'!$A$61:$I$81,6,0)*VLOOKUP('Données projet (1)'!$B$10,'Paramètres (1)'!$A$1:$I$88,7,0))</f>
        <v>#REF!</v>
      </c>
      <c r="AT18" s="135" t="str">
        <f t="shared" si="24"/>
        <v>#REF!</v>
      </c>
      <c r="AU18" s="142" t="str">
        <f>EXP(-LN(2)/35)*AU17+(1-EXP(-LN(2)/35))/(LN(2)/35)*AQ18*AR18*VLOOKUP('Données projet (1)'!$B$10,'Paramètres (1)'!$A$1:$I$88,3,0)*0.475*44/12</f>
        <v>#REF!</v>
      </c>
      <c r="AV18" s="142" t="str">
        <f>EXP(-LN(2)/25)*AV17+(1-EXP(-LN(2)/25))/(LN(2)/25)*'Calculateur (1)'!AQ18*'Calculateur (1)'!AS18*VLOOKUP('Données projet (1)'!$B$10,'Paramètres (1)'!$A$1:$I$88,3,0)*0.475*44/12</f>
        <v>#REF!</v>
      </c>
      <c r="AW18" s="142" t="str">
        <f>EXP(-LN(2)/2)*AW17+(1-EXP(-LN(2)/2))/(LN(2)/2)*AQ18*AT18*VLOOKUP('Données projet (1)'!$B$10,'Paramètres (1)'!$A$1:$I$88,3,0)*0.475*44/12</f>
        <v>#REF!</v>
      </c>
      <c r="AX18" s="142" t="str">
        <f t="shared" si="25"/>
        <v>#REF!</v>
      </c>
      <c r="AY18" s="137" t="str">
        <f t="shared" si="26"/>
        <v>#REF!</v>
      </c>
      <c r="AZ18" s="131" t="str">
        <f t="shared" si="27"/>
        <v>#REF!</v>
      </c>
      <c r="BA18" s="131" t="str">
        <f t="shared" si="116"/>
        <v>#REF!</v>
      </c>
      <c r="BB18" s="131" t="str">
        <f t="shared" si="28"/>
        <v>#REF!</v>
      </c>
      <c r="BC18" s="131" t="str">
        <f t="array" ref="BC18">INDEX(BB:BB,MIN(IF(ISNUMBER(BB18:BB214),ROW(BB18:BB214),"")))</f>
        <v/>
      </c>
      <c r="BD18" s="131" t="str">
        <f t="shared" si="117"/>
        <v>#REF!</v>
      </c>
      <c r="BE18" s="130" t="str">
        <f>BD18*VLOOKUP('Données projet (1)'!$B$11,'Paramètres (1)'!$A$1:$I$88,3,0)*VLOOKUP('Données projet (1)'!$B$11,'Paramètres (1)'!$A$1:$I$88,5,0)</f>
        <v>#REF!</v>
      </c>
      <c r="BF18" s="130" t="str">
        <f t="shared" si="118"/>
        <v>#REF!</v>
      </c>
      <c r="BG18" s="141" t="str">
        <f t="shared" si="29"/>
        <v>#REF!</v>
      </c>
      <c r="BH18" s="133" t="str">
        <f t="shared" si="30"/>
        <v>#REF!</v>
      </c>
      <c r="BI18" s="133" t="str">
        <f t="shared" si="31"/>
        <v>#REF!</v>
      </c>
      <c r="BJ18" s="133" t="str">
        <f t="shared" si="119"/>
        <v>#REF!</v>
      </c>
      <c r="BK18" s="134" t="str">
        <f t="shared" si="32"/>
        <v>#REF!</v>
      </c>
      <c r="BL18" s="134" t="str">
        <f t="shared" si="33"/>
        <v>#REF!</v>
      </c>
      <c r="BM18" s="135" t="str">
        <f>IF(ISNA(VLOOKUP(A18,'Données projet (1)'!$A$87:$I$107,5,0)),0%,VLOOKUP(A18,'Données projet (1)'!$A$87:$I$107,5,0)*VLOOKUP('Données projet (1)'!$B$11,'Paramètres (1)'!$A$1:$I$88,7,0))</f>
        <v>#REF!</v>
      </c>
      <c r="BN18" s="135" t="str">
        <f>IF(ISNA(VLOOKUP(A18,'Données projet (1)'!$A$87:$I$107,6,0)),0%,VLOOKUP(A18,'Données projet (1)'!$A$87:$I$107,6,0)*VLOOKUP('Données projet (1)'!$B$11,'Paramètres (1)'!$A$1:$I$88,7,0))</f>
        <v>#REF!</v>
      </c>
      <c r="BO18" s="135" t="str">
        <f t="shared" si="34"/>
        <v>#REF!</v>
      </c>
      <c r="BP18" s="142" t="str">
        <f>EXP(-LN(2)/35)*BP17+(1-EXP(-LN(2)/35))/(LN(2)/35)*BL18*BM18*VLOOKUP('Données projet (1)'!$B$11,'Paramètres (1)'!$A$1:$I$88,3,0)*0.475*44/12</f>
        <v>#REF!</v>
      </c>
      <c r="BQ18" s="142" t="str">
        <f>EXP(-LN(2)/25)*BQ17+(1-EXP(-LN(2)/25))/(LN(2)/25)*'Calculateur (1)'!BL18*'Calculateur (1)'!BN18*VLOOKUP('Données projet (1)'!$B$11,'Paramètres (1)'!$A$1:$I$88,3,0)*0.475*44/12</f>
        <v>#REF!</v>
      </c>
      <c r="BR18" s="142" t="str">
        <f>EXP(-LN(2)/2)*BR17+(1-EXP(-LN(2)/2))/(LN(2)/2)*BL18*BO18*VLOOKUP('Données projet (1)'!$B$11,'Paramètres (1)'!$A$1:$I$88,3,0)*0.475*44/12</f>
        <v>#REF!</v>
      </c>
      <c r="BS18" s="143" t="str">
        <f t="shared" si="35"/>
        <v>#REF!</v>
      </c>
      <c r="BT18" s="139" t="str">
        <f t="shared" si="36"/>
        <v>#REF!</v>
      </c>
      <c r="BU18" s="131" t="str">
        <f t="shared" si="37"/>
        <v>#REF!</v>
      </c>
      <c r="BV18" s="131" t="str">
        <f t="shared" si="120"/>
        <v>#REF!</v>
      </c>
      <c r="BW18" s="131" t="str">
        <f t="shared" si="38"/>
        <v>#REF!</v>
      </c>
      <c r="BX18" s="131" t="str">
        <f t="array" ref="BX18">INDEX(BW:BW,MIN(IF(ISNUMBER(BW18:BW214),ROW(BW18:BW214),"")))</f>
        <v/>
      </c>
      <c r="BY18" s="131" t="str">
        <f t="shared" si="121"/>
        <v>#REF!</v>
      </c>
      <c r="BZ18" s="130" t="str">
        <f>BY18*VLOOKUP('Données projet (1)'!$B$12,'Paramètres (1)'!$A$1:$I$88,3,0)*VLOOKUP('Données projet (1)'!$B$12,'Paramètres (1)'!$A$1:$I$88,5,0)</f>
        <v>#REF!</v>
      </c>
      <c r="CA18" s="130" t="str">
        <f t="shared" si="122"/>
        <v>#REF!</v>
      </c>
      <c r="CB18" s="141" t="str">
        <f t="shared" si="39"/>
        <v>#REF!</v>
      </c>
      <c r="CC18" s="133" t="str">
        <f t="shared" si="40"/>
        <v>#REF!</v>
      </c>
      <c r="CD18" s="133" t="str">
        <f t="shared" si="41"/>
        <v>#REF!</v>
      </c>
      <c r="CE18" s="133" t="str">
        <f t="shared" si="123"/>
        <v>#REF!</v>
      </c>
      <c r="CF18" s="134" t="str">
        <f t="shared" si="42"/>
        <v>#REF!</v>
      </c>
      <c r="CG18" s="134" t="str">
        <f t="shared" si="43"/>
        <v>#REF!</v>
      </c>
      <c r="CH18" s="135" t="str">
        <f>IF(ISNA(VLOOKUP(A18,'Données projet (1)'!$A$113:$I$133,5,0)),0%,VLOOKUP(A18,'Données projet (1)'!$A$113:$I$133,5,0)*VLOOKUP('Données projet (1)'!$B$12,'Paramètres (1)'!$A$1:$I$88,7,0))</f>
        <v>#REF!</v>
      </c>
      <c r="CI18" s="135" t="str">
        <f>IF(ISNA(VLOOKUP(A18,'Données projet (1)'!$A$113:$I$133,6,0)),0%,VLOOKUP(A18,'Données projet (1)'!$A$113:$I$133,6,0)*VLOOKUP('Données projet (1)'!$B$12,'Paramètres (1)'!$A$1:$I$88,7,0))</f>
        <v>#REF!</v>
      </c>
      <c r="CJ18" s="135" t="str">
        <f t="shared" si="44"/>
        <v>#REF!</v>
      </c>
      <c r="CK18" s="142" t="str">
        <f>EXP(-LN(2)/35)*CK17+(1-EXP(-LN(2)/35))/(LN(2)/35)*CG18*CH18*VLOOKUP('Données projet (1)'!$B$12,'Paramètres (1)'!$A$1:$I$88,3,0)*0.475*44/12</f>
        <v>#REF!</v>
      </c>
      <c r="CL18" s="142" t="str">
        <f>EXP(-LN(2)/25)*CL17+(1-EXP(-LN(2)/25))/(LN(2)/25)*'Calculateur (1)'!CG18*'Calculateur (1)'!CI18*VLOOKUP('Données projet (1)'!$B$12,'Paramètres (1)'!$A$1:$I$88,3,0)*0.475*44/12</f>
        <v>#REF!</v>
      </c>
      <c r="CM18" s="142" t="str">
        <f>EXP(-LN(2)/2)*CM17+(1-EXP(-LN(2)/2))/(LN(2)/2)*CG18*CJ18*VLOOKUP('Données projet (1)'!$B$12,'Paramètres (1)'!$A$1:$I$88,3,0)*0.475*44/12</f>
        <v>#REF!</v>
      </c>
      <c r="CN18" s="143" t="str">
        <f t="shared" si="45"/>
        <v>#REF!</v>
      </c>
      <c r="CO18" s="139" t="str">
        <f t="shared" si="46"/>
        <v>#REF!</v>
      </c>
      <c r="CP18" s="131" t="str">
        <f t="shared" si="47"/>
        <v>#REF!</v>
      </c>
      <c r="CQ18" s="131" t="str">
        <f t="shared" si="124"/>
        <v>#REF!</v>
      </c>
      <c r="CR18" s="131" t="str">
        <f t="shared" si="48"/>
        <v>#REF!</v>
      </c>
      <c r="CS18" s="131" t="str">
        <f t="array" ref="CS18">INDEX(CR:CR,MIN(IF(ISNUMBER(CR18:CR214),ROW(CR18:CR214),"")))</f>
        <v/>
      </c>
      <c r="CT18" s="131" t="str">
        <f t="shared" si="125"/>
        <v>#REF!</v>
      </c>
      <c r="CU18" s="138" t="str">
        <f>CT18*VLOOKUP('Données projet (1)'!$B$13,'Paramètres (1)'!$A$1:$I$88,3,0)*VLOOKUP('Données projet (1)'!$B$13,'Paramètres (1)'!$A$1:$I$88,5,0)</f>
        <v>#REF!</v>
      </c>
      <c r="CV18" s="130" t="str">
        <f t="shared" si="126"/>
        <v>#REF!</v>
      </c>
      <c r="CW18" s="141" t="str">
        <f t="shared" si="49"/>
        <v>#REF!</v>
      </c>
      <c r="CX18" s="133" t="str">
        <f t="shared" si="50"/>
        <v>#REF!</v>
      </c>
      <c r="CY18" s="133" t="str">
        <f t="shared" si="51"/>
        <v>#REF!</v>
      </c>
      <c r="CZ18" s="133" t="str">
        <f t="shared" si="127"/>
        <v>#REF!</v>
      </c>
      <c r="DA18" s="134" t="str">
        <f t="shared" si="52"/>
        <v>#REF!</v>
      </c>
      <c r="DB18" s="134" t="str">
        <f t="shared" si="53"/>
        <v>#REF!</v>
      </c>
      <c r="DC18" s="135" t="str">
        <f>IF(ISNA(VLOOKUP(A18,'Données projet (1)'!$A$139:$I$159,5,0)),0%,VLOOKUP(A18,'Données projet (1)'!$A$139:$I$159,5,0)*VLOOKUP('Données projet (1)'!$B$13,'Paramètres (1)'!$A$1:$I$88,7,0))</f>
        <v>#REF!</v>
      </c>
      <c r="DD18" s="135" t="str">
        <f>IF(ISNA(VLOOKUP(A18,'Données projet (1)'!$A$139:$I$159,6,0)),0%,VLOOKUP(A18,'Données projet (1)'!$A$139:$I$159,6,0)*VLOOKUP('Données projet (1)'!$B$13,'Paramètres (1)'!$A$1:$I$88,7,0))</f>
        <v>#REF!</v>
      </c>
      <c r="DE18" s="135" t="str">
        <f t="shared" si="54"/>
        <v>#REF!</v>
      </c>
      <c r="DF18" s="142" t="str">
        <f>EXP(-LN(2)/35)*DF17+(1-EXP(-LN(2)/35))/(LN(2)/35)*DB18*DC18*VLOOKUP('Données projet (1)'!$B$13,'Paramètres (1)'!$A$1:$I$88,3,0)*0.475*44/12</f>
        <v>#REF!</v>
      </c>
      <c r="DG18" s="142" t="str">
        <f>EXP(-LN(2)/25)*DG17+(1-EXP(-LN(2)/25))/(LN(2)/25)*'Calculateur (1)'!DB18*'Calculateur (1)'!DD18*VLOOKUP('Données projet (1)'!$B$13,'Paramètres (1)'!$A$1:$I$88,3,0)*0.475*44/12</f>
        <v>#REF!</v>
      </c>
      <c r="DH18" s="142" t="str">
        <f>EXP(-LN(2)/2)*DH17+(1-EXP(-LN(2)/2))/(LN(2)/2)*DB18*DE18*VLOOKUP('Données projet (1)'!$B$13,'Paramètres (1)'!$A$1:$I$88,3,0)*0.475*44/12</f>
        <v>#REF!</v>
      </c>
      <c r="DI18" s="143" t="str">
        <f t="shared" si="55"/>
        <v>#REF!</v>
      </c>
      <c r="DJ18" s="139" t="str">
        <f t="shared" si="56"/>
        <v>#REF!</v>
      </c>
      <c r="DK18" s="131" t="str">
        <f t="shared" si="57"/>
        <v>#REF!</v>
      </c>
      <c r="DL18" s="131" t="str">
        <f t="shared" si="128"/>
        <v>#REF!</v>
      </c>
      <c r="DM18" s="131" t="str">
        <f t="shared" si="58"/>
        <v>#REF!</v>
      </c>
      <c r="DN18" s="131" t="str">
        <f t="array" ref="DN18">INDEX(DM:DM,MIN(IF(ISNUMBER(DM18:DM214),ROW(DM18:DM214),"")))</f>
        <v/>
      </c>
      <c r="DO18" s="131" t="str">
        <f t="shared" si="129"/>
        <v>#REF!</v>
      </c>
      <c r="DP18" s="138" t="str">
        <f>DO18*VLOOKUP('Données projet (1)'!$B$14,'Paramètres (1)'!$A$1:$I$88,3,0)*VLOOKUP('Données projet (1)'!$B$14,'Paramètres (1)'!$A$1:$I$88,5,0)</f>
        <v>#REF!</v>
      </c>
      <c r="DQ18" s="130" t="str">
        <f t="shared" si="130"/>
        <v>#REF!</v>
      </c>
      <c r="DR18" s="141" t="str">
        <f t="shared" si="59"/>
        <v>#REF!</v>
      </c>
      <c r="DS18" s="133" t="str">
        <f t="shared" si="60"/>
        <v>#REF!</v>
      </c>
      <c r="DT18" s="133" t="str">
        <f t="shared" si="61"/>
        <v>#REF!</v>
      </c>
      <c r="DU18" s="133" t="str">
        <f t="shared" si="131"/>
        <v>#REF!</v>
      </c>
      <c r="DV18" s="134" t="str">
        <f t="shared" si="62"/>
        <v>#REF!</v>
      </c>
      <c r="DW18" s="134" t="str">
        <f t="shared" si="63"/>
        <v>#REF!</v>
      </c>
      <c r="DX18" s="135" t="str">
        <f>IF(ISNA(VLOOKUP(A18,'Données projet (1)'!$A$165:$I$185,5,0)),0%,VLOOKUP(A18,'Données projet (1)'!$A$165:$I$185,5,0)*VLOOKUP('Données projet (1)'!$B$14,'Paramètres (1)'!$A$1:$I$88,7,0))</f>
        <v>#REF!</v>
      </c>
      <c r="DY18" s="135" t="str">
        <f>IF(ISNA(VLOOKUP(A18,'Données projet (1)'!$A$165:$I$185,6,0)),0%,VLOOKUP(A18,'Données projet (1)'!$A$165:$I$185,6,0)*VLOOKUP('Données projet (1)'!$B$14,'Paramètres (1)'!$A$1:$I$88,7,0))</f>
        <v>#REF!</v>
      </c>
      <c r="DZ18" s="135" t="str">
        <f t="shared" si="64"/>
        <v>#REF!</v>
      </c>
      <c r="EA18" s="142" t="str">
        <f>EXP(-LN(2)/35)*EA17+(1-EXP(-LN(2)/35))/(LN(2)/35)*DW18*DX18*VLOOKUP('Données projet (1)'!$B$14,'Paramètres (1)'!$A$1:$I$88,3,0)*0.475*44/12</f>
        <v>#REF!</v>
      </c>
      <c r="EB18" s="142" t="str">
        <f>EXP(-LN(2)/25)*EB17+(1-EXP(-LN(2)/25))/(LN(2)/25)*'Calculateur (1)'!DW18*'Calculateur (1)'!DY18*VLOOKUP('Données projet (1)'!$B$14,'Paramètres (1)'!$A$1:$I$88,3,0)*0.475*44/12</f>
        <v>#REF!</v>
      </c>
      <c r="EC18" s="142" t="str">
        <f>EXP(-LN(2)/2)*EC17+(1-EXP(-LN(2)/2))/(LN(2)/2)*DW18*DZ18*VLOOKUP('Données projet (1)'!$B$14,'Paramètres (1)'!$A$1:$I$88,3,0)*0.475*44/12</f>
        <v>#REF!</v>
      </c>
      <c r="ED18" s="143" t="str">
        <f t="shared" si="65"/>
        <v>#REF!</v>
      </c>
      <c r="EE18" s="139" t="str">
        <f t="shared" si="66"/>
        <v>#REF!</v>
      </c>
      <c r="EF18" s="131" t="str">
        <f t="shared" si="67"/>
        <v>#REF!</v>
      </c>
      <c r="EG18" s="131" t="str">
        <f t="shared" si="132"/>
        <v>#REF!</v>
      </c>
      <c r="EH18" s="131" t="str">
        <f t="shared" si="68"/>
        <v>#REF!</v>
      </c>
      <c r="EI18" s="131" t="str">
        <f t="array" ref="EI18">INDEX(EH:EH,MIN(IF(ISNUMBER(EH18:EH214),ROW(EH18:EH214),"")))</f>
        <v/>
      </c>
      <c r="EJ18" s="131" t="str">
        <f t="shared" si="133"/>
        <v>#REF!</v>
      </c>
      <c r="EK18" s="138" t="str">
        <f>EJ18*VLOOKUP('Données projet (1)'!$B$15,'Paramètres (1)'!$A$1:$I$88,3,0)*VLOOKUP('Données projet (1)'!$B$15,'Paramètres (1)'!$A$1:$I$88,5,0)</f>
        <v>#REF!</v>
      </c>
      <c r="EL18" s="130" t="str">
        <f t="shared" si="134"/>
        <v>#REF!</v>
      </c>
      <c r="EM18" s="141" t="str">
        <f t="shared" si="69"/>
        <v>#REF!</v>
      </c>
      <c r="EN18" s="133" t="str">
        <f t="shared" si="70"/>
        <v>#REF!</v>
      </c>
      <c r="EO18" s="133" t="str">
        <f t="shared" si="71"/>
        <v>#REF!</v>
      </c>
      <c r="EP18" s="133" t="str">
        <f t="shared" si="135"/>
        <v>#REF!</v>
      </c>
      <c r="EQ18" s="134" t="str">
        <f t="shared" si="72"/>
        <v>#REF!</v>
      </c>
      <c r="ER18" s="134" t="str">
        <f t="shared" si="73"/>
        <v>#REF!</v>
      </c>
      <c r="ES18" s="135" t="str">
        <f>IF(ISNA(VLOOKUP(A18,'Données projet (1)'!$A$191:$I$211,5,0)),0%,VLOOKUP(A18,'Données projet (1)'!$A$191:$I$211,5,0)*VLOOKUP('Données projet (1)'!$B$15,'Paramètres (1)'!$A$1:$I$88,7,0))</f>
        <v>#REF!</v>
      </c>
      <c r="ET18" s="135" t="str">
        <f>IF(ISNA(VLOOKUP(A18,'Données projet (1)'!$A$191:$I$211,6,0)),0%,VLOOKUP(A18,'Données projet (1)'!$A$191:$I$211,6,0)*VLOOKUP('Données projet (1)'!$B$15,'Paramètres (1)'!$A$1:$I$88,7,0))</f>
        <v>#REF!</v>
      </c>
      <c r="EU18" s="135" t="str">
        <f t="shared" si="74"/>
        <v>#REF!</v>
      </c>
      <c r="EV18" s="142" t="str">
        <f>EXP(-LN(2)/35)*EV17+(1-EXP(-LN(2)/35))/(LN(2)/35)*ER18*ES18*VLOOKUP('Données projet (1)'!$B$15,'Paramètres (1)'!$A$1:$I$88,3,0)*0.475*44/12</f>
        <v>#REF!</v>
      </c>
      <c r="EW18" s="142" t="str">
        <f>EXP(-LN(2)/25)*EW17+(1-EXP(-LN(2)/25))/(LN(2)/25)*'Calculateur (1)'!ER18*'Calculateur (1)'!ET18*VLOOKUP('Données projet (1)'!$B$15,'Paramètres (1)'!$A$1:$I$88,3,0)*0.475*44/12</f>
        <v>#REF!</v>
      </c>
      <c r="EX18" s="142" t="str">
        <f>EXP(-LN(2)/2)*EX17+(1-EXP(-LN(2)/2))/(LN(2)/2)*ER18*EU18*VLOOKUP('Données projet (1)'!$B$15,'Paramètres (1)'!$A$1:$I$88,3,0)*0.475*44/12</f>
        <v>#REF!</v>
      </c>
      <c r="EY18" s="143" t="str">
        <f t="shared" si="75"/>
        <v>#REF!</v>
      </c>
      <c r="EZ18" s="139" t="str">
        <f t="shared" si="76"/>
        <v>#REF!</v>
      </c>
      <c r="FA18" s="131" t="str">
        <f t="shared" si="77"/>
        <v>#REF!</v>
      </c>
      <c r="FB18" s="131" t="str">
        <f t="shared" si="136"/>
        <v>#REF!</v>
      </c>
      <c r="FC18" s="131" t="str">
        <f t="shared" si="78"/>
        <v>#REF!</v>
      </c>
      <c r="FD18" s="131" t="str">
        <f t="array" ref="FD18">INDEX(FC:FC,MIN(IF(ISNUMBER(FC18:FC214),ROW(FC18:FC214),"")))</f>
        <v/>
      </c>
      <c r="FE18" s="131" t="str">
        <f t="shared" si="137"/>
        <v>#REF!</v>
      </c>
      <c r="FF18" s="138" t="str">
        <f>FE18*VLOOKUP('Données projet (1)'!$B$16,'Paramètres (1)'!$A$1:$I$88,3,0)*VLOOKUP('Données projet (1)'!$B$16,'Paramètres (1)'!$A$1:$I$88,5,0)</f>
        <v>#REF!</v>
      </c>
      <c r="FG18" s="130" t="str">
        <f t="shared" si="138"/>
        <v>#REF!</v>
      </c>
      <c r="FH18" s="141" t="str">
        <f t="shared" si="79"/>
        <v>#REF!</v>
      </c>
      <c r="FI18" s="133" t="str">
        <f t="shared" si="80"/>
        <v>#REF!</v>
      </c>
      <c r="FJ18" s="133" t="str">
        <f t="shared" si="81"/>
        <v>#REF!</v>
      </c>
      <c r="FK18" s="133" t="str">
        <f t="shared" si="139"/>
        <v>#REF!</v>
      </c>
      <c r="FL18" s="134" t="str">
        <f t="shared" si="82"/>
        <v>#REF!</v>
      </c>
      <c r="FM18" s="134" t="str">
        <f t="shared" si="83"/>
        <v>#REF!</v>
      </c>
      <c r="FN18" s="135" t="str">
        <f>IF(ISNA(VLOOKUP(A18,'Données projet (1)'!$A$217:$I$237,5,0)),0%,VLOOKUP(A18,'Données projet (1)'!$A$217:$I$237,5,0)*VLOOKUP('Données projet (1)'!$B$16,'Paramètres (1)'!$A$1:$I$88,7,0))</f>
        <v>#REF!</v>
      </c>
      <c r="FO18" s="135" t="str">
        <f>IF(ISNA(VLOOKUP(A18,'Données projet (1)'!$A$217:$I$237,6,0)),0%,VLOOKUP(A18,'Données projet (1)'!$A$217:$I$237,6,0)*VLOOKUP('Données projet (1)'!$B$16,'Paramètres (1)'!$A$1:$I$88,7,0))</f>
        <v>#REF!</v>
      </c>
      <c r="FP18" s="135" t="str">
        <f t="shared" si="84"/>
        <v>#REF!</v>
      </c>
      <c r="FQ18" s="142" t="str">
        <f>EXP(-LN(2)/35)*FQ17+(1-EXP(-LN(2)/35))/(LN(2)/35)*FM18*FN18*VLOOKUP('Données projet (1)'!$B$16,'Paramètres (1)'!$A$1:$I$88,3,0)*0.475*44/12</f>
        <v>#REF!</v>
      </c>
      <c r="FR18" s="142" t="str">
        <f>EXP(-LN(2)/25)*FR17+(1-EXP(-LN(2)/25))/(LN(2)/25)*'Calculateur (1)'!FM18*'Calculateur (1)'!FO18*VLOOKUP('Données projet (1)'!$B$16,'Paramètres (1)'!$A$1:$I$88,3,0)*0.475*44/12</f>
        <v>#REF!</v>
      </c>
      <c r="FS18" s="142" t="str">
        <f>EXP(-LN(2)/2)*FS17+(1-EXP(-LN(2)/2))/(LN(2)/2)*FM18*FP18*VLOOKUP('Données projet (1)'!$B$16,'Paramètres (1)'!$A$1:$I$88,3,0)*0.475*44/12</f>
        <v>#REF!</v>
      </c>
      <c r="FT18" s="143" t="str">
        <f t="shared" si="85"/>
        <v>#REF!</v>
      </c>
      <c r="FU18" s="139" t="str">
        <f t="shared" si="86"/>
        <v>#REF!</v>
      </c>
      <c r="FV18" s="131" t="str">
        <f t="shared" si="87"/>
        <v>#REF!</v>
      </c>
      <c r="FW18" s="131" t="str">
        <f t="shared" si="140"/>
        <v>#REF!</v>
      </c>
      <c r="FX18" s="131" t="str">
        <f t="shared" si="88"/>
        <v>#REF!</v>
      </c>
      <c r="FY18" s="131" t="str">
        <f t="array" ref="FY18">INDEX(FX:FX,MIN(IF(ISNUMBER(FX18:FX214),ROW(FX18:FX214),"")))</f>
        <v/>
      </c>
      <c r="FZ18" s="131" t="str">
        <f t="shared" si="141"/>
        <v>#REF!</v>
      </c>
      <c r="GA18" s="138" t="str">
        <f>FZ18*VLOOKUP('Données projet (1)'!$B$17,'Paramètres (1)'!$A$1:$I$88,3,0)*VLOOKUP('Données projet (1)'!$B$17,'Paramètres (1)'!$A$1:$I$88,5,0)</f>
        <v>#REF!</v>
      </c>
      <c r="GB18" s="130" t="str">
        <f t="shared" si="142"/>
        <v>#REF!</v>
      </c>
      <c r="GC18" s="141" t="str">
        <f t="shared" si="89"/>
        <v>#REF!</v>
      </c>
      <c r="GD18" s="133" t="str">
        <f t="shared" si="90"/>
        <v>#REF!</v>
      </c>
      <c r="GE18" s="133" t="str">
        <f t="shared" si="91"/>
        <v>#REF!</v>
      </c>
      <c r="GF18" s="133" t="str">
        <f t="shared" si="143"/>
        <v>#REF!</v>
      </c>
      <c r="GG18" s="134" t="str">
        <f t="shared" si="92"/>
        <v>#REF!</v>
      </c>
      <c r="GH18" s="134" t="str">
        <f t="shared" si="93"/>
        <v>#REF!</v>
      </c>
      <c r="GI18" s="135" t="str">
        <f>IF(ISNA(VLOOKUP(A18,'Données projet (1)'!$A$243:$I$263,5,0)),0%,VLOOKUP(A18,'Données projet (1)'!$A$243:$I$263,5,0)*VLOOKUP('Données projet (1)'!$B$17,'Paramètres (1)'!$A$1:$I$88,7,0))</f>
        <v>#REF!</v>
      </c>
      <c r="GJ18" s="135" t="str">
        <f>IF(ISNA(VLOOKUP(A18,'Données projet (1)'!$A$243:$I$263,6,0)),0%,VLOOKUP(A18,'Données projet (1)'!$A$243:$I$263,6,0)*VLOOKUP('Données projet (1)'!$B$17,'Paramètres (1)'!$A$1:$I$88,7,0))</f>
        <v>#REF!</v>
      </c>
      <c r="GK18" s="135" t="str">
        <f t="shared" si="94"/>
        <v>#REF!</v>
      </c>
      <c r="GL18" s="142" t="str">
        <f>EXP(-LN(2)/35)*GL17+(1-EXP(-LN(2)/35))/(LN(2)/35)*GH18*GI18*VLOOKUP('Données projet (1)'!$B$17,'Paramètres (1)'!$A$1:$I$88,3,0)*0.475*44/12</f>
        <v>#REF!</v>
      </c>
      <c r="GM18" s="142" t="str">
        <f>EXP(-LN(2)/25)*GM17+(1-EXP(-LN(2)/25))/(LN(2)/25)*'Calculateur (1)'!GH18*'Calculateur (1)'!GJ18*VLOOKUP('Données projet (1)'!$B$17,'Paramètres (1)'!$A$1:$I$88,3,0)*0.475*44/12</f>
        <v>#REF!</v>
      </c>
      <c r="GN18" s="142" t="str">
        <f>EXP(-LN(2)/2)*GN17+(1-EXP(-LN(2)/2))/(LN(2)/2)*GH18*GK18*VLOOKUP('Données projet (1)'!$B$17,'Paramètres (1)'!$A$1:$I$88,3,0)*0.475*44/12</f>
        <v>#REF!</v>
      </c>
      <c r="GO18" s="142" t="str">
        <f t="shared" si="95"/>
        <v>#REF!</v>
      </c>
      <c r="GP18" s="139" t="str">
        <f t="shared" si="96"/>
        <v>#REF!</v>
      </c>
      <c r="GQ18" s="131" t="str">
        <f t="shared" si="97"/>
        <v>#REF!</v>
      </c>
      <c r="GR18" s="131" t="str">
        <f t="shared" si="144"/>
        <v>#REF!</v>
      </c>
      <c r="GS18" s="131" t="str">
        <f t="shared" si="98"/>
        <v>#REF!</v>
      </c>
      <c r="GT18" s="131" t="str">
        <f t="array" ref="GT18">INDEX(GS:GS,MIN(IF(ISNUMBER(GS18:GS214),ROW(GS18:GS214),"")))</f>
        <v/>
      </c>
      <c r="GU18" s="131" t="str">
        <f t="shared" si="145"/>
        <v>#REF!</v>
      </c>
      <c r="GV18" s="138" t="str">
        <f>GU18*VLOOKUP('Données projet (1)'!$B$18,'Paramètres (1)'!$A$1:$I$88,3,0)*VLOOKUP('Données projet (1)'!$B$18,'Paramètres (1)'!$A$1:$I$88,5,0)</f>
        <v>#REF!</v>
      </c>
      <c r="GW18" s="130" t="str">
        <f t="shared" si="146"/>
        <v>#REF!</v>
      </c>
      <c r="GX18" s="141" t="str">
        <f t="shared" si="99"/>
        <v>#REF!</v>
      </c>
      <c r="GY18" s="133" t="str">
        <f t="shared" si="100"/>
        <v>#REF!</v>
      </c>
      <c r="GZ18" s="133" t="str">
        <f t="shared" si="101"/>
        <v>#REF!</v>
      </c>
      <c r="HA18" s="133" t="str">
        <f t="shared" si="147"/>
        <v>#REF!</v>
      </c>
      <c r="HB18" s="134" t="str">
        <f t="shared" si="102"/>
        <v>#REF!</v>
      </c>
      <c r="HC18" s="134" t="str">
        <f t="shared" si="103"/>
        <v>#REF!</v>
      </c>
      <c r="HD18" s="135" t="str">
        <f>IF(ISNA(VLOOKUP(A18,'Données projet (1)'!$A$269:$I$289,5,0)),0%,VLOOKUP(A18,'Données projet (1)'!$A$269:$I$289,5,0)*VLOOKUP('Données projet (1)'!$B$18,'Paramètres (1)'!$A$1:$I$88,7,0))</f>
        <v>#REF!</v>
      </c>
      <c r="HE18" s="135" t="str">
        <f>IF(ISNA(VLOOKUP(A18,'Données projet (1)'!$A$269:$I$289,6,0)),0%,VLOOKUP(A18,'Données projet (1)'!$A$269:$I$289,6,0)*VLOOKUP('Données projet (1)'!$B$18,'Paramètres (1)'!$A$1:$I$88,7,0))</f>
        <v>#REF!</v>
      </c>
      <c r="HF18" s="135" t="str">
        <f t="shared" si="104"/>
        <v>#REF!</v>
      </c>
      <c r="HG18" s="142" t="str">
        <f>EXP(-LN(2)/35)*HG17+(1-EXP(-LN(2)/35))/(LN(2)/35)*HC18*HD18*VLOOKUP('Données projet (1)'!$B$18,'Paramètres (1)'!$A$1:$I$88,3,0)*0.475*44/12</f>
        <v>#REF!</v>
      </c>
      <c r="HH18" s="142" t="str">
        <f>EXP(-LN(2)/25)*HH17+(1-EXP(-LN(2)/25))/(LN(2)/25)*'Calculateur (1)'!HC18*'Calculateur (1)'!HE18*VLOOKUP('Données projet (1)'!$B$18,'Paramètres (1)'!$A$1:$I$88,3,0)*0.475*44/12</f>
        <v>#REF!</v>
      </c>
      <c r="HI18" s="142" t="str">
        <f>EXP(-LN(2)/2)*HI17+(1-EXP(-LN(2)/2))/(LN(2)/2)*HC18*HF18*VLOOKUP('Données projet (1)'!$B$18,'Paramètres (1)'!$A$1:$I$88,3,0)*0.475*44/12</f>
        <v>#REF!</v>
      </c>
      <c r="HJ18" s="143" t="str">
        <f t="shared" si="105"/>
        <v>#REF!</v>
      </c>
    </row>
    <row r="19" ht="14.25" customHeight="1">
      <c r="A19" s="125">
        <f t="shared" si="106"/>
        <v>16</v>
      </c>
      <c r="B19" s="126" t="str">
        <f t="shared" si="1"/>
        <v>#REF!</v>
      </c>
      <c r="C19" s="140" t="str">
        <f>'Calculateur (1)'!C18+'Scénario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" s="127">
        <f t="shared" si="107"/>
        <v>0</v>
      </c>
      <c r="E19" s="127" t="str">
        <f t="shared" si="2"/>
        <v>#REF!</v>
      </c>
      <c r="F19" s="127" t="str">
        <f t="shared" si="3"/>
        <v>#REF!</v>
      </c>
      <c r="G19" s="127" t="str">
        <f t="shared" si="4"/>
        <v>#REF!</v>
      </c>
      <c r="H19" s="128" t="str">
        <f t="shared" si="5"/>
        <v>#REF!</v>
      </c>
      <c r="I19" s="129" t="str">
        <f t="shared" si="6"/>
        <v>#REF!</v>
      </c>
      <c r="J19" s="130" t="str">
        <f t="shared" si="7"/>
        <v>#REF!</v>
      </c>
      <c r="K19" s="131" t="str">
        <f t="shared" si="108"/>
        <v>#REF!</v>
      </c>
      <c r="L19" s="131" t="str">
        <f t="shared" si="8"/>
        <v>#REF!</v>
      </c>
      <c r="M19" s="131" t="str">
        <f t="array" ref="M19">INDEX(L:L,MIN(IF(ISNUMBER(L19:L215),ROW(L19:L215),"")))</f>
        <v/>
      </c>
      <c r="N19" s="130" t="str">
        <f t="shared" si="109"/>
        <v>#REF!</v>
      </c>
      <c r="O19" s="130" t="str">
        <f>N19*VLOOKUP('Données projet (1)'!$B$9,'Paramètres (1)'!$A$1:$I$88,3,0)*VLOOKUP('Données projet (1)'!$B$9,'Paramètres (1)'!$A$1:$I$88,5,0)</f>
        <v>#REF!</v>
      </c>
      <c r="P19" s="130" t="str">
        <f t="shared" si="110"/>
        <v>#REF!</v>
      </c>
      <c r="Q19" s="141" t="str">
        <f t="shared" si="9"/>
        <v>#REF!</v>
      </c>
      <c r="R19" s="133" t="str">
        <f t="shared" si="10"/>
        <v>#REF!</v>
      </c>
      <c r="S19" s="133" t="str">
        <f t="shared" si="11"/>
        <v>#REF!</v>
      </c>
      <c r="T19" s="133" t="str">
        <f t="shared" si="111"/>
        <v>#REF!</v>
      </c>
      <c r="U19" s="134" t="str">
        <f t="shared" si="12"/>
        <v>#REF!</v>
      </c>
      <c r="V19" s="134" t="str">
        <f t="shared" si="13"/>
        <v>#REF!</v>
      </c>
      <c r="W19" s="135" t="str">
        <f>IF(ISNA(VLOOKUP(A19,'Données projet (1)'!$A$35:$I$55,5,0)),0%,VLOOKUP(A19,'Données projet (1)'!$A$35:$I$55,5,0)*VLOOKUP('Données projet (1)'!$B$9,'Paramètres (1)'!$A$1:$I$88,7,0))</f>
        <v>#REF!</v>
      </c>
      <c r="X19" s="135" t="str">
        <f>IF(ISNA(VLOOKUP(A19,'Données projet (1)'!$A$35:$I$55,6,0)),0%,VLOOKUP(A19,'Données projet (1)'!$A$35:$I$55,6,0)*VLOOKUP('Données projet (1)'!$B$9,'Paramètres (1)'!$A$1:$I$88,7,0))</f>
        <v>#REF!</v>
      </c>
      <c r="Y19" s="135" t="str">
        <f t="shared" si="14"/>
        <v>#REF!</v>
      </c>
      <c r="Z19" s="142" t="str">
        <f>EXP(-LN(2)/35)*Z18+(1-EXP(-LN(2)/35))/(LN(2)/35)*V19*W19*VLOOKUP('Données projet (1)'!$B$9,'Paramètres (1)'!$A$1:$I$88,3,0)*0.475*44/12</f>
        <v>#REF!</v>
      </c>
      <c r="AA19" s="142" t="str">
        <f>EXP(-LN(2)/25)*AA18+(1-EXP(-LN(2)/25))/(LN(2)/25)*'Calculateur (1)'!V19*'Calculateur (1)'!X19*VLOOKUP('Données projet (1)'!$B$9,'Paramètres (1)'!$A$1:$I$88,3,0)*0.475*44/12</f>
        <v>#REF!</v>
      </c>
      <c r="AB19" s="142" t="str">
        <f>EXP(-LN(2)/2)*AB18+(1-EXP(-LN(2)/2))/(LN(2)/2)*V19*Y19*VLOOKUP('Données projet (1)'!$B$9,'Paramètres (1)'!$A$1:$I$88,3,0)*0.475*44/12</f>
        <v>#REF!</v>
      </c>
      <c r="AC19" s="143" t="str">
        <f t="shared" si="15"/>
        <v>#REF!</v>
      </c>
      <c r="AD19" s="130" t="str">
        <f t="shared" si="16"/>
        <v>#REF!</v>
      </c>
      <c r="AE19" s="130" t="str">
        <f t="shared" si="17"/>
        <v>#REF!</v>
      </c>
      <c r="AF19" s="131" t="str">
        <f t="shared" si="112"/>
        <v>#REF!</v>
      </c>
      <c r="AG19" s="131" t="str">
        <f t="shared" si="18"/>
        <v>#REF!</v>
      </c>
      <c r="AH19" s="131" t="str">
        <f t="array" ref="AH19">INDEX(AG:AG,MIN(IF(ISNUMBER(AG19:AG215),ROW(AG19:AG215),"")))</f>
        <v/>
      </c>
      <c r="AI19" s="130" t="str">
        <f t="shared" si="113"/>
        <v>#REF!</v>
      </c>
      <c r="AJ19" s="130" t="str">
        <f>AI19*VLOOKUP('Données projet (1)'!$B$10,'Paramètres (1)'!$A$1:$I$88,3,0)*VLOOKUP('Données projet (1)'!$B$10,'Paramètres (1)'!$A$1:$I$88,5,0)</f>
        <v>#REF!</v>
      </c>
      <c r="AK19" s="130" t="str">
        <f t="shared" si="114"/>
        <v>#REF!</v>
      </c>
      <c r="AL19" s="141" t="str">
        <f t="shared" si="19"/>
        <v>#REF!</v>
      </c>
      <c r="AM19" s="133" t="str">
        <f t="shared" si="20"/>
        <v>#REF!</v>
      </c>
      <c r="AN19" s="133" t="str">
        <f t="shared" si="21"/>
        <v>#REF!</v>
      </c>
      <c r="AO19" s="133" t="str">
        <f t="shared" si="115"/>
        <v>#REF!</v>
      </c>
      <c r="AP19" s="134" t="str">
        <f t="shared" si="22"/>
        <v>#REF!</v>
      </c>
      <c r="AQ19" s="134" t="str">
        <f t="shared" si="23"/>
        <v>#REF!</v>
      </c>
      <c r="AR19" s="135" t="str">
        <f>IF(ISNA(VLOOKUP(A19,'Données projet (1)'!$A$61:$I$81,5,0)),0%,VLOOKUP(A19,'Données projet (1)'!$A$61:$I$81,5,0)*VLOOKUP('Données projet (1)'!$B$10,'Paramètres (1)'!$A$1:$I$88,7,0))</f>
        <v>#REF!</v>
      </c>
      <c r="AS19" s="135" t="str">
        <f>IF(ISNA(VLOOKUP(A19,'Données projet (1)'!$A$61:$I$81,6,0)),0%,VLOOKUP(A19,'Données projet (1)'!$A$61:$I$81,6,0)*VLOOKUP('Données projet (1)'!$B$10,'Paramètres (1)'!$A$1:$I$88,7,0))</f>
        <v>#REF!</v>
      </c>
      <c r="AT19" s="135" t="str">
        <f t="shared" si="24"/>
        <v>#REF!</v>
      </c>
      <c r="AU19" s="142" t="str">
        <f>EXP(-LN(2)/35)*AU18+(1-EXP(-LN(2)/35))/(LN(2)/35)*AQ19*AR19*VLOOKUP('Données projet (1)'!$B$10,'Paramètres (1)'!$A$1:$I$88,3,0)*0.475*44/12</f>
        <v>#REF!</v>
      </c>
      <c r="AV19" s="142" t="str">
        <f>EXP(-LN(2)/25)*AV18+(1-EXP(-LN(2)/25))/(LN(2)/25)*'Calculateur (1)'!AQ19*'Calculateur (1)'!AS19*VLOOKUP('Données projet (1)'!$B$10,'Paramètres (1)'!$A$1:$I$88,3,0)*0.475*44/12</f>
        <v>#REF!</v>
      </c>
      <c r="AW19" s="142" t="str">
        <f>EXP(-LN(2)/2)*AW18+(1-EXP(-LN(2)/2))/(LN(2)/2)*AQ19*AT19*VLOOKUP('Données projet (1)'!$B$10,'Paramètres (1)'!$A$1:$I$88,3,0)*0.475*44/12</f>
        <v>#REF!</v>
      </c>
      <c r="AX19" s="142" t="str">
        <f t="shared" si="25"/>
        <v>#REF!</v>
      </c>
      <c r="AY19" s="137" t="str">
        <f t="shared" si="26"/>
        <v>#REF!</v>
      </c>
      <c r="AZ19" s="131" t="str">
        <f t="shared" si="27"/>
        <v>#REF!</v>
      </c>
      <c r="BA19" s="131" t="str">
        <f t="shared" si="116"/>
        <v>#REF!</v>
      </c>
      <c r="BB19" s="131" t="str">
        <f t="shared" si="28"/>
        <v>#REF!</v>
      </c>
      <c r="BC19" s="131" t="str">
        <f t="array" ref="BC19">INDEX(BB:BB,MIN(IF(ISNUMBER(BB19:BB215),ROW(BB19:BB215),"")))</f>
        <v/>
      </c>
      <c r="BD19" s="131" t="str">
        <f t="shared" si="117"/>
        <v>#REF!</v>
      </c>
      <c r="BE19" s="130" t="str">
        <f>BD19*VLOOKUP('Données projet (1)'!$B$11,'Paramètres (1)'!$A$1:$I$88,3,0)*VLOOKUP('Données projet (1)'!$B$11,'Paramètres (1)'!$A$1:$I$88,5,0)</f>
        <v>#REF!</v>
      </c>
      <c r="BF19" s="130" t="str">
        <f t="shared" si="118"/>
        <v>#REF!</v>
      </c>
      <c r="BG19" s="141" t="str">
        <f t="shared" si="29"/>
        <v>#REF!</v>
      </c>
      <c r="BH19" s="133" t="str">
        <f t="shared" si="30"/>
        <v>#REF!</v>
      </c>
      <c r="BI19" s="133" t="str">
        <f t="shared" si="31"/>
        <v>#REF!</v>
      </c>
      <c r="BJ19" s="133" t="str">
        <f t="shared" si="119"/>
        <v>#REF!</v>
      </c>
      <c r="BK19" s="134" t="str">
        <f t="shared" si="32"/>
        <v>#REF!</v>
      </c>
      <c r="BL19" s="134" t="str">
        <f t="shared" si="33"/>
        <v>#REF!</v>
      </c>
      <c r="BM19" s="135" t="str">
        <f>IF(ISNA(VLOOKUP(A19,'Données projet (1)'!$A$87:$I$107,5,0)),0%,VLOOKUP(A19,'Données projet (1)'!$A$87:$I$107,5,0)*VLOOKUP('Données projet (1)'!$B$11,'Paramètres (1)'!$A$1:$I$88,7,0))</f>
        <v>#REF!</v>
      </c>
      <c r="BN19" s="135" t="str">
        <f>IF(ISNA(VLOOKUP(A19,'Données projet (1)'!$A$87:$I$107,6,0)),0%,VLOOKUP(A19,'Données projet (1)'!$A$87:$I$107,6,0)*VLOOKUP('Données projet (1)'!$B$11,'Paramètres (1)'!$A$1:$I$88,7,0))</f>
        <v>#REF!</v>
      </c>
      <c r="BO19" s="135" t="str">
        <f t="shared" si="34"/>
        <v>#REF!</v>
      </c>
      <c r="BP19" s="142" t="str">
        <f>EXP(-LN(2)/35)*BP18+(1-EXP(-LN(2)/35))/(LN(2)/35)*BL19*BM19*VLOOKUP('Données projet (1)'!$B$11,'Paramètres (1)'!$A$1:$I$88,3,0)*0.475*44/12</f>
        <v>#REF!</v>
      </c>
      <c r="BQ19" s="142" t="str">
        <f>EXP(-LN(2)/25)*BQ18+(1-EXP(-LN(2)/25))/(LN(2)/25)*'Calculateur (1)'!BL19*'Calculateur (1)'!BN19*VLOOKUP('Données projet (1)'!$B$11,'Paramètres (1)'!$A$1:$I$88,3,0)*0.475*44/12</f>
        <v>#REF!</v>
      </c>
      <c r="BR19" s="142" t="str">
        <f>EXP(-LN(2)/2)*BR18+(1-EXP(-LN(2)/2))/(LN(2)/2)*BL19*BO19*VLOOKUP('Données projet (1)'!$B$11,'Paramètres (1)'!$A$1:$I$88,3,0)*0.475*44/12</f>
        <v>#REF!</v>
      </c>
      <c r="BS19" s="143" t="str">
        <f t="shared" si="35"/>
        <v>#REF!</v>
      </c>
      <c r="BT19" s="139" t="str">
        <f t="shared" si="36"/>
        <v>#REF!</v>
      </c>
      <c r="BU19" s="131" t="str">
        <f t="shared" si="37"/>
        <v>#REF!</v>
      </c>
      <c r="BV19" s="131" t="str">
        <f t="shared" si="120"/>
        <v>#REF!</v>
      </c>
      <c r="BW19" s="131" t="str">
        <f t="shared" si="38"/>
        <v>#REF!</v>
      </c>
      <c r="BX19" s="131" t="str">
        <f t="array" ref="BX19">INDEX(BW:BW,MIN(IF(ISNUMBER(BW19:BW215),ROW(BW19:BW215),"")))</f>
        <v/>
      </c>
      <c r="BY19" s="131" t="str">
        <f t="shared" si="121"/>
        <v>#REF!</v>
      </c>
      <c r="BZ19" s="130" t="str">
        <f>BY19*VLOOKUP('Données projet (1)'!$B$12,'Paramètres (1)'!$A$1:$I$88,3,0)*VLOOKUP('Données projet (1)'!$B$12,'Paramètres (1)'!$A$1:$I$88,5,0)</f>
        <v>#REF!</v>
      </c>
      <c r="CA19" s="130" t="str">
        <f t="shared" si="122"/>
        <v>#REF!</v>
      </c>
      <c r="CB19" s="141" t="str">
        <f t="shared" si="39"/>
        <v>#REF!</v>
      </c>
      <c r="CC19" s="133" t="str">
        <f t="shared" si="40"/>
        <v>#REF!</v>
      </c>
      <c r="CD19" s="133" t="str">
        <f t="shared" si="41"/>
        <v>#REF!</v>
      </c>
      <c r="CE19" s="133" t="str">
        <f t="shared" si="123"/>
        <v>#REF!</v>
      </c>
      <c r="CF19" s="134" t="str">
        <f t="shared" si="42"/>
        <v>#REF!</v>
      </c>
      <c r="CG19" s="134" t="str">
        <f t="shared" si="43"/>
        <v>#REF!</v>
      </c>
      <c r="CH19" s="135" t="str">
        <f>IF(ISNA(VLOOKUP(A19,'Données projet (1)'!$A$113:$I$133,5,0)),0%,VLOOKUP(A19,'Données projet (1)'!$A$113:$I$133,5,0)*VLOOKUP('Données projet (1)'!$B$12,'Paramètres (1)'!$A$1:$I$88,7,0))</f>
        <v>#REF!</v>
      </c>
      <c r="CI19" s="135" t="str">
        <f>IF(ISNA(VLOOKUP(A19,'Données projet (1)'!$A$113:$I$133,6,0)),0%,VLOOKUP(A19,'Données projet (1)'!$A$113:$I$133,6,0)*VLOOKUP('Données projet (1)'!$B$12,'Paramètres (1)'!$A$1:$I$88,7,0))</f>
        <v>#REF!</v>
      </c>
      <c r="CJ19" s="135" t="str">
        <f t="shared" si="44"/>
        <v>#REF!</v>
      </c>
      <c r="CK19" s="142" t="str">
        <f>EXP(-LN(2)/35)*CK18+(1-EXP(-LN(2)/35))/(LN(2)/35)*CG19*CH19*VLOOKUP('Données projet (1)'!$B$12,'Paramètres (1)'!$A$1:$I$88,3,0)*0.475*44/12</f>
        <v>#REF!</v>
      </c>
      <c r="CL19" s="142" t="str">
        <f>EXP(-LN(2)/25)*CL18+(1-EXP(-LN(2)/25))/(LN(2)/25)*'Calculateur (1)'!CG19*'Calculateur (1)'!CI19*VLOOKUP('Données projet (1)'!$B$12,'Paramètres (1)'!$A$1:$I$88,3,0)*0.475*44/12</f>
        <v>#REF!</v>
      </c>
      <c r="CM19" s="142" t="str">
        <f>EXP(-LN(2)/2)*CM18+(1-EXP(-LN(2)/2))/(LN(2)/2)*CG19*CJ19*VLOOKUP('Données projet (1)'!$B$12,'Paramètres (1)'!$A$1:$I$88,3,0)*0.475*44/12</f>
        <v>#REF!</v>
      </c>
      <c r="CN19" s="143" t="str">
        <f t="shared" si="45"/>
        <v>#REF!</v>
      </c>
      <c r="CO19" s="139" t="str">
        <f t="shared" si="46"/>
        <v>#REF!</v>
      </c>
      <c r="CP19" s="131" t="str">
        <f t="shared" si="47"/>
        <v>#REF!</v>
      </c>
      <c r="CQ19" s="131" t="str">
        <f t="shared" si="124"/>
        <v>#REF!</v>
      </c>
      <c r="CR19" s="131" t="str">
        <f t="shared" si="48"/>
        <v>#REF!</v>
      </c>
      <c r="CS19" s="131" t="str">
        <f t="array" ref="CS19">INDEX(CR:CR,MIN(IF(ISNUMBER(CR19:CR215),ROW(CR19:CR215),"")))</f>
        <v/>
      </c>
      <c r="CT19" s="131" t="str">
        <f t="shared" si="125"/>
        <v>#REF!</v>
      </c>
      <c r="CU19" s="138" t="str">
        <f>CT19*VLOOKUP('Données projet (1)'!$B$13,'Paramètres (1)'!$A$1:$I$88,3,0)*VLOOKUP('Données projet (1)'!$B$13,'Paramètres (1)'!$A$1:$I$88,5,0)</f>
        <v>#REF!</v>
      </c>
      <c r="CV19" s="130" t="str">
        <f t="shared" si="126"/>
        <v>#REF!</v>
      </c>
      <c r="CW19" s="141" t="str">
        <f t="shared" si="49"/>
        <v>#REF!</v>
      </c>
      <c r="CX19" s="133" t="str">
        <f t="shared" si="50"/>
        <v>#REF!</v>
      </c>
      <c r="CY19" s="133" t="str">
        <f t="shared" si="51"/>
        <v>#REF!</v>
      </c>
      <c r="CZ19" s="133" t="str">
        <f t="shared" si="127"/>
        <v>#REF!</v>
      </c>
      <c r="DA19" s="134" t="str">
        <f t="shared" si="52"/>
        <v>#REF!</v>
      </c>
      <c r="DB19" s="134" t="str">
        <f t="shared" si="53"/>
        <v>#REF!</v>
      </c>
      <c r="DC19" s="135" t="str">
        <f>IF(ISNA(VLOOKUP(A19,'Données projet (1)'!$A$139:$I$159,5,0)),0%,VLOOKUP(A19,'Données projet (1)'!$A$139:$I$159,5,0)*VLOOKUP('Données projet (1)'!$B$13,'Paramètres (1)'!$A$1:$I$88,7,0))</f>
        <v>#REF!</v>
      </c>
      <c r="DD19" s="135" t="str">
        <f>IF(ISNA(VLOOKUP(A19,'Données projet (1)'!$A$139:$I$159,6,0)),0%,VLOOKUP(A19,'Données projet (1)'!$A$139:$I$159,6,0)*VLOOKUP('Données projet (1)'!$B$13,'Paramètres (1)'!$A$1:$I$88,7,0))</f>
        <v>#REF!</v>
      </c>
      <c r="DE19" s="135" t="str">
        <f t="shared" si="54"/>
        <v>#REF!</v>
      </c>
      <c r="DF19" s="142" t="str">
        <f>EXP(-LN(2)/35)*DF18+(1-EXP(-LN(2)/35))/(LN(2)/35)*DB19*DC19*VLOOKUP('Données projet (1)'!$B$13,'Paramètres (1)'!$A$1:$I$88,3,0)*0.475*44/12</f>
        <v>#REF!</v>
      </c>
      <c r="DG19" s="142" t="str">
        <f>EXP(-LN(2)/25)*DG18+(1-EXP(-LN(2)/25))/(LN(2)/25)*'Calculateur (1)'!DB19*'Calculateur (1)'!DD19*VLOOKUP('Données projet (1)'!$B$13,'Paramètres (1)'!$A$1:$I$88,3,0)*0.475*44/12</f>
        <v>#REF!</v>
      </c>
      <c r="DH19" s="142" t="str">
        <f>EXP(-LN(2)/2)*DH18+(1-EXP(-LN(2)/2))/(LN(2)/2)*DB19*DE19*VLOOKUP('Données projet (1)'!$B$13,'Paramètres (1)'!$A$1:$I$88,3,0)*0.475*44/12</f>
        <v>#REF!</v>
      </c>
      <c r="DI19" s="143" t="str">
        <f t="shared" si="55"/>
        <v>#REF!</v>
      </c>
      <c r="DJ19" s="139" t="str">
        <f t="shared" si="56"/>
        <v>#REF!</v>
      </c>
      <c r="DK19" s="131" t="str">
        <f t="shared" si="57"/>
        <v>#REF!</v>
      </c>
      <c r="DL19" s="131" t="str">
        <f t="shared" si="128"/>
        <v>#REF!</v>
      </c>
      <c r="DM19" s="131" t="str">
        <f t="shared" si="58"/>
        <v>#REF!</v>
      </c>
      <c r="DN19" s="131" t="str">
        <f t="array" ref="DN19">INDEX(DM:DM,MIN(IF(ISNUMBER(DM19:DM215),ROW(DM19:DM215),"")))</f>
        <v/>
      </c>
      <c r="DO19" s="131" t="str">
        <f t="shared" si="129"/>
        <v>#REF!</v>
      </c>
      <c r="DP19" s="138" t="str">
        <f>DO19*VLOOKUP('Données projet (1)'!$B$14,'Paramètres (1)'!$A$1:$I$88,3,0)*VLOOKUP('Données projet (1)'!$B$14,'Paramètres (1)'!$A$1:$I$88,5,0)</f>
        <v>#REF!</v>
      </c>
      <c r="DQ19" s="130" t="str">
        <f t="shared" si="130"/>
        <v>#REF!</v>
      </c>
      <c r="DR19" s="141" t="str">
        <f t="shared" si="59"/>
        <v>#REF!</v>
      </c>
      <c r="DS19" s="133" t="str">
        <f t="shared" si="60"/>
        <v>#REF!</v>
      </c>
      <c r="DT19" s="133" t="str">
        <f t="shared" si="61"/>
        <v>#REF!</v>
      </c>
      <c r="DU19" s="133" t="str">
        <f t="shared" si="131"/>
        <v>#REF!</v>
      </c>
      <c r="DV19" s="134" t="str">
        <f t="shared" si="62"/>
        <v>#REF!</v>
      </c>
      <c r="DW19" s="134" t="str">
        <f t="shared" si="63"/>
        <v>#REF!</v>
      </c>
      <c r="DX19" s="135" t="str">
        <f>IF(ISNA(VLOOKUP(A19,'Données projet (1)'!$A$165:$I$185,5,0)),0%,VLOOKUP(A19,'Données projet (1)'!$A$165:$I$185,5,0)*VLOOKUP('Données projet (1)'!$B$14,'Paramètres (1)'!$A$1:$I$88,7,0))</f>
        <v>#REF!</v>
      </c>
      <c r="DY19" s="135" t="str">
        <f>IF(ISNA(VLOOKUP(A19,'Données projet (1)'!$A$165:$I$185,6,0)),0%,VLOOKUP(A19,'Données projet (1)'!$A$165:$I$185,6,0)*VLOOKUP('Données projet (1)'!$B$14,'Paramètres (1)'!$A$1:$I$88,7,0))</f>
        <v>#REF!</v>
      </c>
      <c r="DZ19" s="135" t="str">
        <f t="shared" si="64"/>
        <v>#REF!</v>
      </c>
      <c r="EA19" s="142" t="str">
        <f>EXP(-LN(2)/35)*EA18+(1-EXP(-LN(2)/35))/(LN(2)/35)*DW19*DX19*VLOOKUP('Données projet (1)'!$B$14,'Paramètres (1)'!$A$1:$I$88,3,0)*0.475*44/12</f>
        <v>#REF!</v>
      </c>
      <c r="EB19" s="142" t="str">
        <f>EXP(-LN(2)/25)*EB18+(1-EXP(-LN(2)/25))/(LN(2)/25)*'Calculateur (1)'!DW19*'Calculateur (1)'!DY19*VLOOKUP('Données projet (1)'!$B$14,'Paramètres (1)'!$A$1:$I$88,3,0)*0.475*44/12</f>
        <v>#REF!</v>
      </c>
      <c r="EC19" s="142" t="str">
        <f>EXP(-LN(2)/2)*EC18+(1-EXP(-LN(2)/2))/(LN(2)/2)*DW19*DZ19*VLOOKUP('Données projet (1)'!$B$14,'Paramètres (1)'!$A$1:$I$88,3,0)*0.475*44/12</f>
        <v>#REF!</v>
      </c>
      <c r="ED19" s="143" t="str">
        <f t="shared" si="65"/>
        <v>#REF!</v>
      </c>
      <c r="EE19" s="139" t="str">
        <f t="shared" si="66"/>
        <v>#REF!</v>
      </c>
      <c r="EF19" s="131" t="str">
        <f t="shared" si="67"/>
        <v>#REF!</v>
      </c>
      <c r="EG19" s="131" t="str">
        <f t="shared" si="132"/>
        <v>#REF!</v>
      </c>
      <c r="EH19" s="131" t="str">
        <f t="shared" si="68"/>
        <v>#REF!</v>
      </c>
      <c r="EI19" s="131" t="str">
        <f t="array" ref="EI19">INDEX(EH:EH,MIN(IF(ISNUMBER(EH19:EH215),ROW(EH19:EH215),"")))</f>
        <v/>
      </c>
      <c r="EJ19" s="131" t="str">
        <f t="shared" si="133"/>
        <v>#REF!</v>
      </c>
      <c r="EK19" s="138" t="str">
        <f>EJ19*VLOOKUP('Données projet (1)'!$B$15,'Paramètres (1)'!$A$1:$I$88,3,0)*VLOOKUP('Données projet (1)'!$B$15,'Paramètres (1)'!$A$1:$I$88,5,0)</f>
        <v>#REF!</v>
      </c>
      <c r="EL19" s="130" t="str">
        <f t="shared" si="134"/>
        <v>#REF!</v>
      </c>
      <c r="EM19" s="141" t="str">
        <f t="shared" si="69"/>
        <v>#REF!</v>
      </c>
      <c r="EN19" s="133" t="str">
        <f t="shared" si="70"/>
        <v>#REF!</v>
      </c>
      <c r="EO19" s="133" t="str">
        <f t="shared" si="71"/>
        <v>#REF!</v>
      </c>
      <c r="EP19" s="133" t="str">
        <f t="shared" si="135"/>
        <v>#REF!</v>
      </c>
      <c r="EQ19" s="134" t="str">
        <f t="shared" si="72"/>
        <v>#REF!</v>
      </c>
      <c r="ER19" s="134" t="str">
        <f t="shared" si="73"/>
        <v>#REF!</v>
      </c>
      <c r="ES19" s="135" t="str">
        <f>IF(ISNA(VLOOKUP(A19,'Données projet (1)'!$A$191:$I$211,5,0)),0%,VLOOKUP(A19,'Données projet (1)'!$A$191:$I$211,5,0)*VLOOKUP('Données projet (1)'!$B$15,'Paramètres (1)'!$A$1:$I$88,7,0))</f>
        <v>#REF!</v>
      </c>
      <c r="ET19" s="135" t="str">
        <f>IF(ISNA(VLOOKUP(A19,'Données projet (1)'!$A$191:$I$211,6,0)),0%,VLOOKUP(A19,'Données projet (1)'!$A$191:$I$211,6,0)*VLOOKUP('Données projet (1)'!$B$15,'Paramètres (1)'!$A$1:$I$88,7,0))</f>
        <v>#REF!</v>
      </c>
      <c r="EU19" s="135" t="str">
        <f t="shared" si="74"/>
        <v>#REF!</v>
      </c>
      <c r="EV19" s="142" t="str">
        <f>EXP(-LN(2)/35)*EV18+(1-EXP(-LN(2)/35))/(LN(2)/35)*ER19*ES19*VLOOKUP('Données projet (1)'!$B$15,'Paramètres (1)'!$A$1:$I$88,3,0)*0.475*44/12</f>
        <v>#REF!</v>
      </c>
      <c r="EW19" s="142" t="str">
        <f>EXP(-LN(2)/25)*EW18+(1-EXP(-LN(2)/25))/(LN(2)/25)*'Calculateur (1)'!ER19*'Calculateur (1)'!ET19*VLOOKUP('Données projet (1)'!$B$15,'Paramètres (1)'!$A$1:$I$88,3,0)*0.475*44/12</f>
        <v>#REF!</v>
      </c>
      <c r="EX19" s="142" t="str">
        <f>EXP(-LN(2)/2)*EX18+(1-EXP(-LN(2)/2))/(LN(2)/2)*ER19*EU19*VLOOKUP('Données projet (1)'!$B$15,'Paramètres (1)'!$A$1:$I$88,3,0)*0.475*44/12</f>
        <v>#REF!</v>
      </c>
      <c r="EY19" s="143" t="str">
        <f t="shared" si="75"/>
        <v>#REF!</v>
      </c>
      <c r="EZ19" s="139" t="str">
        <f t="shared" si="76"/>
        <v>#REF!</v>
      </c>
      <c r="FA19" s="131" t="str">
        <f t="shared" si="77"/>
        <v>#REF!</v>
      </c>
      <c r="FB19" s="131" t="str">
        <f t="shared" si="136"/>
        <v>#REF!</v>
      </c>
      <c r="FC19" s="131" t="str">
        <f t="shared" si="78"/>
        <v>#REF!</v>
      </c>
      <c r="FD19" s="131" t="str">
        <f t="array" ref="FD19">INDEX(FC:FC,MIN(IF(ISNUMBER(FC19:FC215),ROW(FC19:FC215),"")))</f>
        <v/>
      </c>
      <c r="FE19" s="131" t="str">
        <f t="shared" si="137"/>
        <v>#REF!</v>
      </c>
      <c r="FF19" s="138" t="str">
        <f>FE19*VLOOKUP('Données projet (1)'!$B$16,'Paramètres (1)'!$A$1:$I$88,3,0)*VLOOKUP('Données projet (1)'!$B$16,'Paramètres (1)'!$A$1:$I$88,5,0)</f>
        <v>#REF!</v>
      </c>
      <c r="FG19" s="130" t="str">
        <f t="shared" si="138"/>
        <v>#REF!</v>
      </c>
      <c r="FH19" s="141" t="str">
        <f t="shared" si="79"/>
        <v>#REF!</v>
      </c>
      <c r="FI19" s="133" t="str">
        <f t="shared" si="80"/>
        <v>#REF!</v>
      </c>
      <c r="FJ19" s="133" t="str">
        <f t="shared" si="81"/>
        <v>#REF!</v>
      </c>
      <c r="FK19" s="133" t="str">
        <f t="shared" si="139"/>
        <v>#REF!</v>
      </c>
      <c r="FL19" s="134" t="str">
        <f t="shared" si="82"/>
        <v>#REF!</v>
      </c>
      <c r="FM19" s="134" t="str">
        <f t="shared" si="83"/>
        <v>#REF!</v>
      </c>
      <c r="FN19" s="135" t="str">
        <f>IF(ISNA(VLOOKUP(A19,'Données projet (1)'!$A$217:$I$237,5,0)),0%,VLOOKUP(A19,'Données projet (1)'!$A$217:$I$237,5,0)*VLOOKUP('Données projet (1)'!$B$16,'Paramètres (1)'!$A$1:$I$88,7,0))</f>
        <v>#REF!</v>
      </c>
      <c r="FO19" s="135" t="str">
        <f>IF(ISNA(VLOOKUP(A19,'Données projet (1)'!$A$217:$I$237,6,0)),0%,VLOOKUP(A19,'Données projet (1)'!$A$217:$I$237,6,0)*VLOOKUP('Données projet (1)'!$B$16,'Paramètres (1)'!$A$1:$I$88,7,0))</f>
        <v>#REF!</v>
      </c>
      <c r="FP19" s="135" t="str">
        <f t="shared" si="84"/>
        <v>#REF!</v>
      </c>
      <c r="FQ19" s="142" t="str">
        <f>EXP(-LN(2)/35)*FQ18+(1-EXP(-LN(2)/35))/(LN(2)/35)*FM19*FN19*VLOOKUP('Données projet (1)'!$B$16,'Paramètres (1)'!$A$1:$I$88,3,0)*0.475*44/12</f>
        <v>#REF!</v>
      </c>
      <c r="FR19" s="142" t="str">
        <f>EXP(-LN(2)/25)*FR18+(1-EXP(-LN(2)/25))/(LN(2)/25)*'Calculateur (1)'!FM19*'Calculateur (1)'!FO19*VLOOKUP('Données projet (1)'!$B$16,'Paramètres (1)'!$A$1:$I$88,3,0)*0.475*44/12</f>
        <v>#REF!</v>
      </c>
      <c r="FS19" s="142" t="str">
        <f>EXP(-LN(2)/2)*FS18+(1-EXP(-LN(2)/2))/(LN(2)/2)*FM19*FP19*VLOOKUP('Données projet (1)'!$B$16,'Paramètres (1)'!$A$1:$I$88,3,0)*0.475*44/12</f>
        <v>#REF!</v>
      </c>
      <c r="FT19" s="143" t="str">
        <f t="shared" si="85"/>
        <v>#REF!</v>
      </c>
      <c r="FU19" s="139" t="str">
        <f t="shared" si="86"/>
        <v>#REF!</v>
      </c>
      <c r="FV19" s="131" t="str">
        <f t="shared" si="87"/>
        <v>#REF!</v>
      </c>
      <c r="FW19" s="131" t="str">
        <f t="shared" si="140"/>
        <v>#REF!</v>
      </c>
      <c r="FX19" s="131" t="str">
        <f t="shared" si="88"/>
        <v>#REF!</v>
      </c>
      <c r="FY19" s="131" t="str">
        <f t="array" ref="FY19">INDEX(FX:FX,MIN(IF(ISNUMBER(FX19:FX215),ROW(FX19:FX215),"")))</f>
        <v/>
      </c>
      <c r="FZ19" s="131" t="str">
        <f t="shared" si="141"/>
        <v>#REF!</v>
      </c>
      <c r="GA19" s="138" t="str">
        <f>FZ19*VLOOKUP('Données projet (1)'!$B$17,'Paramètres (1)'!$A$1:$I$88,3,0)*VLOOKUP('Données projet (1)'!$B$17,'Paramètres (1)'!$A$1:$I$88,5,0)</f>
        <v>#REF!</v>
      </c>
      <c r="GB19" s="130" t="str">
        <f t="shared" si="142"/>
        <v>#REF!</v>
      </c>
      <c r="GC19" s="141" t="str">
        <f t="shared" si="89"/>
        <v>#REF!</v>
      </c>
      <c r="GD19" s="133" t="str">
        <f t="shared" si="90"/>
        <v>#REF!</v>
      </c>
      <c r="GE19" s="133" t="str">
        <f t="shared" si="91"/>
        <v>#REF!</v>
      </c>
      <c r="GF19" s="133" t="str">
        <f t="shared" si="143"/>
        <v>#REF!</v>
      </c>
      <c r="GG19" s="134" t="str">
        <f t="shared" si="92"/>
        <v>#REF!</v>
      </c>
      <c r="GH19" s="134" t="str">
        <f t="shared" si="93"/>
        <v>#REF!</v>
      </c>
      <c r="GI19" s="135" t="str">
        <f>IF(ISNA(VLOOKUP(A19,'Données projet (1)'!$A$243:$I$263,5,0)),0%,VLOOKUP(A19,'Données projet (1)'!$A$243:$I$263,5,0)*VLOOKUP('Données projet (1)'!$B$17,'Paramètres (1)'!$A$1:$I$88,7,0))</f>
        <v>#REF!</v>
      </c>
      <c r="GJ19" s="135" t="str">
        <f>IF(ISNA(VLOOKUP(A19,'Données projet (1)'!$A$243:$I$263,6,0)),0%,VLOOKUP(A19,'Données projet (1)'!$A$243:$I$263,6,0)*VLOOKUP('Données projet (1)'!$B$17,'Paramètres (1)'!$A$1:$I$88,7,0))</f>
        <v>#REF!</v>
      </c>
      <c r="GK19" s="135" t="str">
        <f t="shared" si="94"/>
        <v>#REF!</v>
      </c>
      <c r="GL19" s="142" t="str">
        <f>EXP(-LN(2)/35)*GL18+(1-EXP(-LN(2)/35))/(LN(2)/35)*GH19*GI19*VLOOKUP('Données projet (1)'!$B$17,'Paramètres (1)'!$A$1:$I$88,3,0)*0.475*44/12</f>
        <v>#REF!</v>
      </c>
      <c r="GM19" s="142" t="str">
        <f>EXP(-LN(2)/25)*GM18+(1-EXP(-LN(2)/25))/(LN(2)/25)*'Calculateur (1)'!GH19*'Calculateur (1)'!GJ19*VLOOKUP('Données projet (1)'!$B$17,'Paramètres (1)'!$A$1:$I$88,3,0)*0.475*44/12</f>
        <v>#REF!</v>
      </c>
      <c r="GN19" s="142" t="str">
        <f>EXP(-LN(2)/2)*GN18+(1-EXP(-LN(2)/2))/(LN(2)/2)*GH19*GK19*VLOOKUP('Données projet (1)'!$B$17,'Paramètres (1)'!$A$1:$I$88,3,0)*0.475*44/12</f>
        <v>#REF!</v>
      </c>
      <c r="GO19" s="142" t="str">
        <f t="shared" si="95"/>
        <v>#REF!</v>
      </c>
      <c r="GP19" s="139" t="str">
        <f t="shared" si="96"/>
        <v>#REF!</v>
      </c>
      <c r="GQ19" s="131" t="str">
        <f t="shared" si="97"/>
        <v>#REF!</v>
      </c>
      <c r="GR19" s="131" t="str">
        <f t="shared" si="144"/>
        <v>#REF!</v>
      </c>
      <c r="GS19" s="131" t="str">
        <f t="shared" si="98"/>
        <v>#REF!</v>
      </c>
      <c r="GT19" s="131" t="str">
        <f t="array" ref="GT19">INDEX(GS:GS,MIN(IF(ISNUMBER(GS19:GS215),ROW(GS19:GS215),"")))</f>
        <v/>
      </c>
      <c r="GU19" s="131" t="str">
        <f t="shared" si="145"/>
        <v>#REF!</v>
      </c>
      <c r="GV19" s="138" t="str">
        <f>GU19*VLOOKUP('Données projet (1)'!$B$18,'Paramètres (1)'!$A$1:$I$88,3,0)*VLOOKUP('Données projet (1)'!$B$18,'Paramètres (1)'!$A$1:$I$88,5,0)</f>
        <v>#REF!</v>
      </c>
      <c r="GW19" s="130" t="str">
        <f t="shared" si="146"/>
        <v>#REF!</v>
      </c>
      <c r="GX19" s="141" t="str">
        <f t="shared" si="99"/>
        <v>#REF!</v>
      </c>
      <c r="GY19" s="133" t="str">
        <f t="shared" si="100"/>
        <v>#REF!</v>
      </c>
      <c r="GZ19" s="133" t="str">
        <f t="shared" si="101"/>
        <v>#REF!</v>
      </c>
      <c r="HA19" s="133" t="str">
        <f t="shared" si="147"/>
        <v>#REF!</v>
      </c>
      <c r="HB19" s="134" t="str">
        <f t="shared" si="102"/>
        <v>#REF!</v>
      </c>
      <c r="HC19" s="134" t="str">
        <f t="shared" si="103"/>
        <v>#REF!</v>
      </c>
      <c r="HD19" s="135" t="str">
        <f>IF(ISNA(VLOOKUP(A19,'Données projet (1)'!$A$269:$I$289,5,0)),0%,VLOOKUP(A19,'Données projet (1)'!$A$269:$I$289,5,0)*VLOOKUP('Données projet (1)'!$B$18,'Paramètres (1)'!$A$1:$I$88,7,0))</f>
        <v>#REF!</v>
      </c>
      <c r="HE19" s="135" t="str">
        <f>IF(ISNA(VLOOKUP(A19,'Données projet (1)'!$A$269:$I$289,6,0)),0%,VLOOKUP(A19,'Données projet (1)'!$A$269:$I$289,6,0)*VLOOKUP('Données projet (1)'!$B$18,'Paramètres (1)'!$A$1:$I$88,7,0))</f>
        <v>#REF!</v>
      </c>
      <c r="HF19" s="135" t="str">
        <f t="shared" si="104"/>
        <v>#REF!</v>
      </c>
      <c r="HG19" s="142" t="str">
        <f>EXP(-LN(2)/35)*HG18+(1-EXP(-LN(2)/35))/(LN(2)/35)*HC19*HD19*VLOOKUP('Données projet (1)'!$B$18,'Paramètres (1)'!$A$1:$I$88,3,0)*0.475*44/12</f>
        <v>#REF!</v>
      </c>
      <c r="HH19" s="142" t="str">
        <f>EXP(-LN(2)/25)*HH18+(1-EXP(-LN(2)/25))/(LN(2)/25)*'Calculateur (1)'!HC19*'Calculateur (1)'!HE19*VLOOKUP('Données projet (1)'!$B$18,'Paramètres (1)'!$A$1:$I$88,3,0)*0.475*44/12</f>
        <v>#REF!</v>
      </c>
      <c r="HI19" s="142" t="str">
        <f>EXP(-LN(2)/2)*HI18+(1-EXP(-LN(2)/2))/(LN(2)/2)*HC19*HF19*VLOOKUP('Données projet (1)'!$B$18,'Paramètres (1)'!$A$1:$I$88,3,0)*0.475*44/12</f>
        <v>#REF!</v>
      </c>
      <c r="HJ19" s="143" t="str">
        <f t="shared" si="105"/>
        <v>#REF!</v>
      </c>
    </row>
    <row r="20" ht="14.25" customHeight="1">
      <c r="A20" s="125">
        <f t="shared" si="106"/>
        <v>17</v>
      </c>
      <c r="B20" s="126" t="str">
        <f t="shared" si="1"/>
        <v>#REF!</v>
      </c>
      <c r="C20" s="140" t="str">
        <f>'Calculateur (1)'!C19+'Scénario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" s="127">
        <f t="shared" si="107"/>
        <v>0</v>
      </c>
      <c r="E20" s="127" t="str">
        <f t="shared" si="2"/>
        <v>#REF!</v>
      </c>
      <c r="F20" s="127" t="str">
        <f t="shared" si="3"/>
        <v>#REF!</v>
      </c>
      <c r="G20" s="127" t="str">
        <f t="shared" si="4"/>
        <v>#REF!</v>
      </c>
      <c r="H20" s="128" t="str">
        <f t="shared" si="5"/>
        <v>#REF!</v>
      </c>
      <c r="I20" s="129" t="str">
        <f t="shared" si="6"/>
        <v>#REF!</v>
      </c>
      <c r="J20" s="130" t="str">
        <f t="shared" si="7"/>
        <v>#REF!</v>
      </c>
      <c r="K20" s="131" t="str">
        <f t="shared" si="108"/>
        <v>#REF!</v>
      </c>
      <c r="L20" s="131" t="str">
        <f t="shared" si="8"/>
        <v>#REF!</v>
      </c>
      <c r="M20" s="131" t="str">
        <f t="array" ref="M20">INDEX(L:L,MIN(IF(ISNUMBER(L20:L216),ROW(L20:L216),"")))</f>
        <v/>
      </c>
      <c r="N20" s="130" t="str">
        <f t="shared" si="109"/>
        <v>#REF!</v>
      </c>
      <c r="O20" s="130" t="str">
        <f>N20*VLOOKUP('Données projet (1)'!$B$9,'Paramètres (1)'!$A$1:$I$88,3,0)*VLOOKUP('Données projet (1)'!$B$9,'Paramètres (1)'!$A$1:$I$88,5,0)</f>
        <v>#REF!</v>
      </c>
      <c r="P20" s="130" t="str">
        <f t="shared" si="110"/>
        <v>#REF!</v>
      </c>
      <c r="Q20" s="141" t="str">
        <f t="shared" si="9"/>
        <v>#REF!</v>
      </c>
      <c r="R20" s="133" t="str">
        <f t="shared" si="10"/>
        <v>#REF!</v>
      </c>
      <c r="S20" s="133" t="str">
        <f t="shared" si="11"/>
        <v>#REF!</v>
      </c>
      <c r="T20" s="133" t="str">
        <f t="shared" si="111"/>
        <v>#REF!</v>
      </c>
      <c r="U20" s="134" t="str">
        <f t="shared" si="12"/>
        <v>#REF!</v>
      </c>
      <c r="V20" s="134" t="str">
        <f t="shared" si="13"/>
        <v>#REF!</v>
      </c>
      <c r="W20" s="135" t="str">
        <f>IF(ISNA(VLOOKUP(A20,'Données projet (1)'!$A$35:$I$55,5,0)),0%,VLOOKUP(A20,'Données projet (1)'!$A$35:$I$55,5,0)*VLOOKUP('Données projet (1)'!$B$9,'Paramètres (1)'!$A$1:$I$88,7,0))</f>
        <v>#REF!</v>
      </c>
      <c r="X20" s="135" t="str">
        <f>IF(ISNA(VLOOKUP(A20,'Données projet (1)'!$A$35:$I$55,6,0)),0%,VLOOKUP(A20,'Données projet (1)'!$A$35:$I$55,6,0)*VLOOKUP('Données projet (1)'!$B$9,'Paramètres (1)'!$A$1:$I$88,7,0))</f>
        <v>#REF!</v>
      </c>
      <c r="Y20" s="135" t="str">
        <f t="shared" si="14"/>
        <v>#REF!</v>
      </c>
      <c r="Z20" s="142" t="str">
        <f>EXP(-LN(2)/35)*Z19+(1-EXP(-LN(2)/35))/(LN(2)/35)*V20*W20*VLOOKUP('Données projet (1)'!$B$9,'Paramètres (1)'!$A$1:$I$88,3,0)*0.475*44/12</f>
        <v>#REF!</v>
      </c>
      <c r="AA20" s="142" t="str">
        <f>EXP(-LN(2)/25)*AA19+(1-EXP(-LN(2)/25))/(LN(2)/25)*'Calculateur (1)'!V20*'Calculateur (1)'!X20*VLOOKUP('Données projet (1)'!$B$9,'Paramètres (1)'!$A$1:$I$88,3,0)*0.475*44/12</f>
        <v>#REF!</v>
      </c>
      <c r="AB20" s="142" t="str">
        <f>EXP(-LN(2)/2)*AB19+(1-EXP(-LN(2)/2))/(LN(2)/2)*V20*Y20*VLOOKUP('Données projet (1)'!$B$9,'Paramètres (1)'!$A$1:$I$88,3,0)*0.475*44/12</f>
        <v>#REF!</v>
      </c>
      <c r="AC20" s="143" t="str">
        <f t="shared" si="15"/>
        <v>#REF!</v>
      </c>
      <c r="AD20" s="130" t="str">
        <f t="shared" si="16"/>
        <v>#REF!</v>
      </c>
      <c r="AE20" s="130" t="str">
        <f t="shared" si="17"/>
        <v>#REF!</v>
      </c>
      <c r="AF20" s="131" t="str">
        <f t="shared" si="112"/>
        <v>#REF!</v>
      </c>
      <c r="AG20" s="131" t="str">
        <f t="shared" si="18"/>
        <v>#REF!</v>
      </c>
      <c r="AH20" s="131" t="str">
        <f t="array" ref="AH20">INDEX(AG:AG,MIN(IF(ISNUMBER(AG20:AG216),ROW(AG20:AG216),"")))</f>
        <v/>
      </c>
      <c r="AI20" s="130" t="str">
        <f t="shared" si="113"/>
        <v>#REF!</v>
      </c>
      <c r="AJ20" s="130" t="str">
        <f>AI20*VLOOKUP('Données projet (1)'!$B$10,'Paramètres (1)'!$A$1:$I$88,3,0)*VLOOKUP('Données projet (1)'!$B$10,'Paramètres (1)'!$A$1:$I$88,5,0)</f>
        <v>#REF!</v>
      </c>
      <c r="AK20" s="130" t="str">
        <f t="shared" si="114"/>
        <v>#REF!</v>
      </c>
      <c r="AL20" s="141" t="str">
        <f t="shared" si="19"/>
        <v>#REF!</v>
      </c>
      <c r="AM20" s="133" t="str">
        <f t="shared" si="20"/>
        <v>#REF!</v>
      </c>
      <c r="AN20" s="133" t="str">
        <f t="shared" si="21"/>
        <v>#REF!</v>
      </c>
      <c r="AO20" s="133" t="str">
        <f t="shared" si="115"/>
        <v>#REF!</v>
      </c>
      <c r="AP20" s="134" t="str">
        <f t="shared" si="22"/>
        <v>#REF!</v>
      </c>
      <c r="AQ20" s="134" t="str">
        <f t="shared" si="23"/>
        <v>#REF!</v>
      </c>
      <c r="AR20" s="135" t="str">
        <f>IF(ISNA(VLOOKUP(A20,'Données projet (1)'!$A$61:$I$81,5,0)),0%,VLOOKUP(A20,'Données projet (1)'!$A$61:$I$81,5,0)*VLOOKUP('Données projet (1)'!$B$10,'Paramètres (1)'!$A$1:$I$88,7,0))</f>
        <v>#REF!</v>
      </c>
      <c r="AS20" s="135" t="str">
        <f>IF(ISNA(VLOOKUP(A20,'Données projet (1)'!$A$61:$I$81,6,0)),0%,VLOOKUP(A20,'Données projet (1)'!$A$61:$I$81,6,0)*VLOOKUP('Données projet (1)'!$B$10,'Paramètres (1)'!$A$1:$I$88,7,0))</f>
        <v>#REF!</v>
      </c>
      <c r="AT20" s="135" t="str">
        <f t="shared" si="24"/>
        <v>#REF!</v>
      </c>
      <c r="AU20" s="142" t="str">
        <f>EXP(-LN(2)/35)*AU19+(1-EXP(-LN(2)/35))/(LN(2)/35)*AQ20*AR20*VLOOKUP('Données projet (1)'!$B$10,'Paramètres (1)'!$A$1:$I$88,3,0)*0.475*44/12</f>
        <v>#REF!</v>
      </c>
      <c r="AV20" s="142" t="str">
        <f>EXP(-LN(2)/25)*AV19+(1-EXP(-LN(2)/25))/(LN(2)/25)*'Calculateur (1)'!AQ20*'Calculateur (1)'!AS20*VLOOKUP('Données projet (1)'!$B$10,'Paramètres (1)'!$A$1:$I$88,3,0)*0.475*44/12</f>
        <v>#REF!</v>
      </c>
      <c r="AW20" s="142" t="str">
        <f>EXP(-LN(2)/2)*AW19+(1-EXP(-LN(2)/2))/(LN(2)/2)*AQ20*AT20*VLOOKUP('Données projet (1)'!$B$10,'Paramètres (1)'!$A$1:$I$88,3,0)*0.475*44/12</f>
        <v>#REF!</v>
      </c>
      <c r="AX20" s="142" t="str">
        <f t="shared" si="25"/>
        <v>#REF!</v>
      </c>
      <c r="AY20" s="137" t="str">
        <f t="shared" si="26"/>
        <v>#REF!</v>
      </c>
      <c r="AZ20" s="131" t="str">
        <f t="shared" si="27"/>
        <v>#REF!</v>
      </c>
      <c r="BA20" s="131" t="str">
        <f t="shared" si="116"/>
        <v>#REF!</v>
      </c>
      <c r="BB20" s="131" t="str">
        <f t="shared" si="28"/>
        <v>#REF!</v>
      </c>
      <c r="BC20" s="131" t="str">
        <f t="array" ref="BC20">INDEX(BB:BB,MIN(IF(ISNUMBER(BB20:BB216),ROW(BB20:BB216),"")))</f>
        <v/>
      </c>
      <c r="BD20" s="131" t="str">
        <f t="shared" si="117"/>
        <v>#REF!</v>
      </c>
      <c r="BE20" s="130" t="str">
        <f>BD20*VLOOKUP('Données projet (1)'!$B$11,'Paramètres (1)'!$A$1:$I$88,3,0)*VLOOKUP('Données projet (1)'!$B$11,'Paramètres (1)'!$A$1:$I$88,5,0)</f>
        <v>#REF!</v>
      </c>
      <c r="BF20" s="130" t="str">
        <f t="shared" si="118"/>
        <v>#REF!</v>
      </c>
      <c r="BG20" s="141" t="str">
        <f t="shared" si="29"/>
        <v>#REF!</v>
      </c>
      <c r="BH20" s="133" t="str">
        <f t="shared" si="30"/>
        <v>#REF!</v>
      </c>
      <c r="BI20" s="133" t="str">
        <f t="shared" si="31"/>
        <v>#REF!</v>
      </c>
      <c r="BJ20" s="133" t="str">
        <f t="shared" si="119"/>
        <v>#REF!</v>
      </c>
      <c r="BK20" s="134" t="str">
        <f t="shared" si="32"/>
        <v>#REF!</v>
      </c>
      <c r="BL20" s="134" t="str">
        <f t="shared" si="33"/>
        <v>#REF!</v>
      </c>
      <c r="BM20" s="135" t="str">
        <f>IF(ISNA(VLOOKUP(A20,'Données projet (1)'!$A$87:$I$107,5,0)),0%,VLOOKUP(A20,'Données projet (1)'!$A$87:$I$107,5,0)*VLOOKUP('Données projet (1)'!$B$11,'Paramètres (1)'!$A$1:$I$88,7,0))</f>
        <v>#REF!</v>
      </c>
      <c r="BN20" s="135" t="str">
        <f>IF(ISNA(VLOOKUP(A20,'Données projet (1)'!$A$87:$I$107,6,0)),0%,VLOOKUP(A20,'Données projet (1)'!$A$87:$I$107,6,0)*VLOOKUP('Données projet (1)'!$B$11,'Paramètres (1)'!$A$1:$I$88,7,0))</f>
        <v>#REF!</v>
      </c>
      <c r="BO20" s="135" t="str">
        <f t="shared" si="34"/>
        <v>#REF!</v>
      </c>
      <c r="BP20" s="142" t="str">
        <f>EXP(-LN(2)/35)*BP19+(1-EXP(-LN(2)/35))/(LN(2)/35)*BL20*BM20*VLOOKUP('Données projet (1)'!$B$11,'Paramètres (1)'!$A$1:$I$88,3,0)*0.475*44/12</f>
        <v>#REF!</v>
      </c>
      <c r="BQ20" s="142" t="str">
        <f>EXP(-LN(2)/25)*BQ19+(1-EXP(-LN(2)/25))/(LN(2)/25)*'Calculateur (1)'!BL20*'Calculateur (1)'!BN20*VLOOKUP('Données projet (1)'!$B$11,'Paramètres (1)'!$A$1:$I$88,3,0)*0.475*44/12</f>
        <v>#REF!</v>
      </c>
      <c r="BR20" s="142" t="str">
        <f>EXP(-LN(2)/2)*BR19+(1-EXP(-LN(2)/2))/(LN(2)/2)*BL20*BO20*VLOOKUP('Données projet (1)'!$B$11,'Paramètres (1)'!$A$1:$I$88,3,0)*0.475*44/12</f>
        <v>#REF!</v>
      </c>
      <c r="BS20" s="143" t="str">
        <f t="shared" si="35"/>
        <v>#REF!</v>
      </c>
      <c r="BT20" s="139" t="str">
        <f t="shared" si="36"/>
        <v>#REF!</v>
      </c>
      <c r="BU20" s="131" t="str">
        <f t="shared" si="37"/>
        <v>#REF!</v>
      </c>
      <c r="BV20" s="131" t="str">
        <f t="shared" si="120"/>
        <v>#REF!</v>
      </c>
      <c r="BW20" s="131" t="str">
        <f t="shared" si="38"/>
        <v>#REF!</v>
      </c>
      <c r="BX20" s="131" t="str">
        <f t="array" ref="BX20">INDEX(BW:BW,MIN(IF(ISNUMBER(BW20:BW216),ROW(BW20:BW216),"")))</f>
        <v/>
      </c>
      <c r="BY20" s="131" t="str">
        <f t="shared" si="121"/>
        <v>#REF!</v>
      </c>
      <c r="BZ20" s="130" t="str">
        <f>BY20*VLOOKUP('Données projet (1)'!$B$12,'Paramètres (1)'!$A$1:$I$88,3,0)*VLOOKUP('Données projet (1)'!$B$12,'Paramètres (1)'!$A$1:$I$88,5,0)</f>
        <v>#REF!</v>
      </c>
      <c r="CA20" s="130" t="str">
        <f t="shared" si="122"/>
        <v>#REF!</v>
      </c>
      <c r="CB20" s="141" t="str">
        <f t="shared" si="39"/>
        <v>#REF!</v>
      </c>
      <c r="CC20" s="133" t="str">
        <f t="shared" si="40"/>
        <v>#REF!</v>
      </c>
      <c r="CD20" s="133" t="str">
        <f t="shared" si="41"/>
        <v>#REF!</v>
      </c>
      <c r="CE20" s="133" t="str">
        <f t="shared" si="123"/>
        <v>#REF!</v>
      </c>
      <c r="CF20" s="134" t="str">
        <f t="shared" si="42"/>
        <v>#REF!</v>
      </c>
      <c r="CG20" s="134" t="str">
        <f t="shared" si="43"/>
        <v>#REF!</v>
      </c>
      <c r="CH20" s="135" t="str">
        <f>IF(ISNA(VLOOKUP(A20,'Données projet (1)'!$A$113:$I$133,5,0)),0%,VLOOKUP(A20,'Données projet (1)'!$A$113:$I$133,5,0)*VLOOKUP('Données projet (1)'!$B$12,'Paramètres (1)'!$A$1:$I$88,7,0))</f>
        <v>#REF!</v>
      </c>
      <c r="CI20" s="135" t="str">
        <f>IF(ISNA(VLOOKUP(A20,'Données projet (1)'!$A$113:$I$133,6,0)),0%,VLOOKUP(A20,'Données projet (1)'!$A$113:$I$133,6,0)*VLOOKUP('Données projet (1)'!$B$12,'Paramètres (1)'!$A$1:$I$88,7,0))</f>
        <v>#REF!</v>
      </c>
      <c r="CJ20" s="135" t="str">
        <f t="shared" si="44"/>
        <v>#REF!</v>
      </c>
      <c r="CK20" s="142" t="str">
        <f>EXP(-LN(2)/35)*CK19+(1-EXP(-LN(2)/35))/(LN(2)/35)*CG20*CH20*VLOOKUP('Données projet (1)'!$B$12,'Paramètres (1)'!$A$1:$I$88,3,0)*0.475*44/12</f>
        <v>#REF!</v>
      </c>
      <c r="CL20" s="142" t="str">
        <f>EXP(-LN(2)/25)*CL19+(1-EXP(-LN(2)/25))/(LN(2)/25)*'Calculateur (1)'!CG20*'Calculateur (1)'!CI20*VLOOKUP('Données projet (1)'!$B$12,'Paramètres (1)'!$A$1:$I$88,3,0)*0.475*44/12</f>
        <v>#REF!</v>
      </c>
      <c r="CM20" s="142" t="str">
        <f>EXP(-LN(2)/2)*CM19+(1-EXP(-LN(2)/2))/(LN(2)/2)*CG20*CJ20*VLOOKUP('Données projet (1)'!$B$12,'Paramètres (1)'!$A$1:$I$88,3,0)*0.475*44/12</f>
        <v>#REF!</v>
      </c>
      <c r="CN20" s="143" t="str">
        <f t="shared" si="45"/>
        <v>#REF!</v>
      </c>
      <c r="CO20" s="139" t="str">
        <f t="shared" si="46"/>
        <v>#REF!</v>
      </c>
      <c r="CP20" s="131" t="str">
        <f t="shared" si="47"/>
        <v>#REF!</v>
      </c>
      <c r="CQ20" s="131" t="str">
        <f t="shared" si="124"/>
        <v>#REF!</v>
      </c>
      <c r="CR20" s="131" t="str">
        <f t="shared" si="48"/>
        <v>#REF!</v>
      </c>
      <c r="CS20" s="131" t="str">
        <f t="array" ref="CS20">INDEX(CR:CR,MIN(IF(ISNUMBER(CR20:CR216),ROW(CR20:CR216),"")))</f>
        <v/>
      </c>
      <c r="CT20" s="131" t="str">
        <f t="shared" si="125"/>
        <v>#REF!</v>
      </c>
      <c r="CU20" s="138" t="str">
        <f>CT20*VLOOKUP('Données projet (1)'!$B$13,'Paramètres (1)'!$A$1:$I$88,3,0)*VLOOKUP('Données projet (1)'!$B$13,'Paramètres (1)'!$A$1:$I$88,5,0)</f>
        <v>#REF!</v>
      </c>
      <c r="CV20" s="130" t="str">
        <f t="shared" si="126"/>
        <v>#REF!</v>
      </c>
      <c r="CW20" s="141" t="str">
        <f t="shared" si="49"/>
        <v>#REF!</v>
      </c>
      <c r="CX20" s="133" t="str">
        <f t="shared" si="50"/>
        <v>#REF!</v>
      </c>
      <c r="CY20" s="133" t="str">
        <f t="shared" si="51"/>
        <v>#REF!</v>
      </c>
      <c r="CZ20" s="133" t="str">
        <f t="shared" si="127"/>
        <v>#REF!</v>
      </c>
      <c r="DA20" s="134" t="str">
        <f t="shared" si="52"/>
        <v>#REF!</v>
      </c>
      <c r="DB20" s="134" t="str">
        <f t="shared" si="53"/>
        <v>#REF!</v>
      </c>
      <c r="DC20" s="135" t="str">
        <f>IF(ISNA(VLOOKUP(A20,'Données projet (1)'!$A$139:$I$159,5,0)),0%,VLOOKUP(A20,'Données projet (1)'!$A$139:$I$159,5,0)*VLOOKUP('Données projet (1)'!$B$13,'Paramètres (1)'!$A$1:$I$88,7,0))</f>
        <v>#REF!</v>
      </c>
      <c r="DD20" s="135" t="str">
        <f>IF(ISNA(VLOOKUP(A20,'Données projet (1)'!$A$139:$I$159,6,0)),0%,VLOOKUP(A20,'Données projet (1)'!$A$139:$I$159,6,0)*VLOOKUP('Données projet (1)'!$B$13,'Paramètres (1)'!$A$1:$I$88,7,0))</f>
        <v>#REF!</v>
      </c>
      <c r="DE20" s="135" t="str">
        <f t="shared" si="54"/>
        <v>#REF!</v>
      </c>
      <c r="DF20" s="142" t="str">
        <f>EXP(-LN(2)/35)*DF19+(1-EXP(-LN(2)/35))/(LN(2)/35)*DB20*DC20*VLOOKUP('Données projet (1)'!$B$13,'Paramètres (1)'!$A$1:$I$88,3,0)*0.475*44/12</f>
        <v>#REF!</v>
      </c>
      <c r="DG20" s="142" t="str">
        <f>EXP(-LN(2)/25)*DG19+(1-EXP(-LN(2)/25))/(LN(2)/25)*'Calculateur (1)'!DB20*'Calculateur (1)'!DD20*VLOOKUP('Données projet (1)'!$B$13,'Paramètres (1)'!$A$1:$I$88,3,0)*0.475*44/12</f>
        <v>#REF!</v>
      </c>
      <c r="DH20" s="142" t="str">
        <f>EXP(-LN(2)/2)*DH19+(1-EXP(-LN(2)/2))/(LN(2)/2)*DB20*DE20*VLOOKUP('Données projet (1)'!$B$13,'Paramètres (1)'!$A$1:$I$88,3,0)*0.475*44/12</f>
        <v>#REF!</v>
      </c>
      <c r="DI20" s="143" t="str">
        <f t="shared" si="55"/>
        <v>#REF!</v>
      </c>
      <c r="DJ20" s="139" t="str">
        <f t="shared" si="56"/>
        <v>#REF!</v>
      </c>
      <c r="DK20" s="131" t="str">
        <f t="shared" si="57"/>
        <v>#REF!</v>
      </c>
      <c r="DL20" s="131" t="str">
        <f t="shared" si="128"/>
        <v>#REF!</v>
      </c>
      <c r="DM20" s="131" t="str">
        <f t="shared" si="58"/>
        <v>#REF!</v>
      </c>
      <c r="DN20" s="131" t="str">
        <f t="array" ref="DN20">INDEX(DM:DM,MIN(IF(ISNUMBER(DM20:DM216),ROW(DM20:DM216),"")))</f>
        <v/>
      </c>
      <c r="DO20" s="131" t="str">
        <f t="shared" si="129"/>
        <v>#REF!</v>
      </c>
      <c r="DP20" s="138" t="str">
        <f>DO20*VLOOKUP('Données projet (1)'!$B$14,'Paramètres (1)'!$A$1:$I$88,3,0)*VLOOKUP('Données projet (1)'!$B$14,'Paramètres (1)'!$A$1:$I$88,5,0)</f>
        <v>#REF!</v>
      </c>
      <c r="DQ20" s="130" t="str">
        <f t="shared" si="130"/>
        <v>#REF!</v>
      </c>
      <c r="DR20" s="141" t="str">
        <f t="shared" si="59"/>
        <v>#REF!</v>
      </c>
      <c r="DS20" s="133" t="str">
        <f t="shared" si="60"/>
        <v>#REF!</v>
      </c>
      <c r="DT20" s="133" t="str">
        <f t="shared" si="61"/>
        <v>#REF!</v>
      </c>
      <c r="DU20" s="133" t="str">
        <f t="shared" si="131"/>
        <v>#REF!</v>
      </c>
      <c r="DV20" s="134" t="str">
        <f t="shared" si="62"/>
        <v>#REF!</v>
      </c>
      <c r="DW20" s="134" t="str">
        <f t="shared" si="63"/>
        <v>#REF!</v>
      </c>
      <c r="DX20" s="135" t="str">
        <f>IF(ISNA(VLOOKUP(A20,'Données projet (1)'!$A$165:$I$185,5,0)),0%,VLOOKUP(A20,'Données projet (1)'!$A$165:$I$185,5,0)*VLOOKUP('Données projet (1)'!$B$14,'Paramètres (1)'!$A$1:$I$88,7,0))</f>
        <v>#REF!</v>
      </c>
      <c r="DY20" s="135" t="str">
        <f>IF(ISNA(VLOOKUP(A20,'Données projet (1)'!$A$165:$I$185,6,0)),0%,VLOOKUP(A20,'Données projet (1)'!$A$165:$I$185,6,0)*VLOOKUP('Données projet (1)'!$B$14,'Paramètres (1)'!$A$1:$I$88,7,0))</f>
        <v>#REF!</v>
      </c>
      <c r="DZ20" s="135" t="str">
        <f t="shared" si="64"/>
        <v>#REF!</v>
      </c>
      <c r="EA20" s="142" t="str">
        <f>EXP(-LN(2)/35)*EA19+(1-EXP(-LN(2)/35))/(LN(2)/35)*DW20*DX20*VLOOKUP('Données projet (1)'!$B$14,'Paramètres (1)'!$A$1:$I$88,3,0)*0.475*44/12</f>
        <v>#REF!</v>
      </c>
      <c r="EB20" s="142" t="str">
        <f>EXP(-LN(2)/25)*EB19+(1-EXP(-LN(2)/25))/(LN(2)/25)*'Calculateur (1)'!DW20*'Calculateur (1)'!DY20*VLOOKUP('Données projet (1)'!$B$14,'Paramètres (1)'!$A$1:$I$88,3,0)*0.475*44/12</f>
        <v>#REF!</v>
      </c>
      <c r="EC20" s="142" t="str">
        <f>EXP(-LN(2)/2)*EC19+(1-EXP(-LN(2)/2))/(LN(2)/2)*DW20*DZ20*VLOOKUP('Données projet (1)'!$B$14,'Paramètres (1)'!$A$1:$I$88,3,0)*0.475*44/12</f>
        <v>#REF!</v>
      </c>
      <c r="ED20" s="143" t="str">
        <f t="shared" si="65"/>
        <v>#REF!</v>
      </c>
      <c r="EE20" s="139" t="str">
        <f t="shared" si="66"/>
        <v>#REF!</v>
      </c>
      <c r="EF20" s="131" t="str">
        <f t="shared" si="67"/>
        <v>#REF!</v>
      </c>
      <c r="EG20" s="131" t="str">
        <f t="shared" si="132"/>
        <v>#REF!</v>
      </c>
      <c r="EH20" s="131" t="str">
        <f t="shared" si="68"/>
        <v>#REF!</v>
      </c>
      <c r="EI20" s="131" t="str">
        <f t="array" ref="EI20">INDEX(EH:EH,MIN(IF(ISNUMBER(EH20:EH216),ROW(EH20:EH216),"")))</f>
        <v/>
      </c>
      <c r="EJ20" s="131" t="str">
        <f t="shared" si="133"/>
        <v>#REF!</v>
      </c>
      <c r="EK20" s="138" t="str">
        <f>EJ20*VLOOKUP('Données projet (1)'!$B$15,'Paramètres (1)'!$A$1:$I$88,3,0)*VLOOKUP('Données projet (1)'!$B$15,'Paramètres (1)'!$A$1:$I$88,5,0)</f>
        <v>#REF!</v>
      </c>
      <c r="EL20" s="130" t="str">
        <f t="shared" si="134"/>
        <v>#REF!</v>
      </c>
      <c r="EM20" s="141" t="str">
        <f t="shared" si="69"/>
        <v>#REF!</v>
      </c>
      <c r="EN20" s="133" t="str">
        <f t="shared" si="70"/>
        <v>#REF!</v>
      </c>
      <c r="EO20" s="133" t="str">
        <f t="shared" si="71"/>
        <v>#REF!</v>
      </c>
      <c r="EP20" s="133" t="str">
        <f t="shared" si="135"/>
        <v>#REF!</v>
      </c>
      <c r="EQ20" s="134" t="str">
        <f t="shared" si="72"/>
        <v>#REF!</v>
      </c>
      <c r="ER20" s="134" t="str">
        <f t="shared" si="73"/>
        <v>#REF!</v>
      </c>
      <c r="ES20" s="135" t="str">
        <f>IF(ISNA(VLOOKUP(A20,'Données projet (1)'!$A$191:$I$211,5,0)),0%,VLOOKUP(A20,'Données projet (1)'!$A$191:$I$211,5,0)*VLOOKUP('Données projet (1)'!$B$15,'Paramètres (1)'!$A$1:$I$88,7,0))</f>
        <v>#REF!</v>
      </c>
      <c r="ET20" s="135" t="str">
        <f>IF(ISNA(VLOOKUP(A20,'Données projet (1)'!$A$191:$I$211,6,0)),0%,VLOOKUP(A20,'Données projet (1)'!$A$191:$I$211,6,0)*VLOOKUP('Données projet (1)'!$B$15,'Paramètres (1)'!$A$1:$I$88,7,0))</f>
        <v>#REF!</v>
      </c>
      <c r="EU20" s="135" t="str">
        <f t="shared" si="74"/>
        <v>#REF!</v>
      </c>
      <c r="EV20" s="142" t="str">
        <f>EXP(-LN(2)/35)*EV19+(1-EXP(-LN(2)/35))/(LN(2)/35)*ER20*ES20*VLOOKUP('Données projet (1)'!$B$15,'Paramètres (1)'!$A$1:$I$88,3,0)*0.475*44/12</f>
        <v>#REF!</v>
      </c>
      <c r="EW20" s="142" t="str">
        <f>EXP(-LN(2)/25)*EW19+(1-EXP(-LN(2)/25))/(LN(2)/25)*'Calculateur (1)'!ER20*'Calculateur (1)'!ET20*VLOOKUP('Données projet (1)'!$B$15,'Paramètres (1)'!$A$1:$I$88,3,0)*0.475*44/12</f>
        <v>#REF!</v>
      </c>
      <c r="EX20" s="142" t="str">
        <f>EXP(-LN(2)/2)*EX19+(1-EXP(-LN(2)/2))/(LN(2)/2)*ER20*EU20*VLOOKUP('Données projet (1)'!$B$15,'Paramètres (1)'!$A$1:$I$88,3,0)*0.475*44/12</f>
        <v>#REF!</v>
      </c>
      <c r="EY20" s="143" t="str">
        <f t="shared" si="75"/>
        <v>#REF!</v>
      </c>
      <c r="EZ20" s="139" t="str">
        <f t="shared" si="76"/>
        <v>#REF!</v>
      </c>
      <c r="FA20" s="131" t="str">
        <f t="shared" si="77"/>
        <v>#REF!</v>
      </c>
      <c r="FB20" s="131" t="str">
        <f t="shared" si="136"/>
        <v>#REF!</v>
      </c>
      <c r="FC20" s="131" t="str">
        <f t="shared" si="78"/>
        <v>#REF!</v>
      </c>
      <c r="FD20" s="131" t="str">
        <f t="array" ref="FD20">INDEX(FC:FC,MIN(IF(ISNUMBER(FC20:FC216),ROW(FC20:FC216),"")))</f>
        <v/>
      </c>
      <c r="FE20" s="131" t="str">
        <f t="shared" si="137"/>
        <v>#REF!</v>
      </c>
      <c r="FF20" s="138" t="str">
        <f>FE20*VLOOKUP('Données projet (1)'!$B$16,'Paramètres (1)'!$A$1:$I$88,3,0)*VLOOKUP('Données projet (1)'!$B$16,'Paramètres (1)'!$A$1:$I$88,5,0)</f>
        <v>#REF!</v>
      </c>
      <c r="FG20" s="130" t="str">
        <f t="shared" si="138"/>
        <v>#REF!</v>
      </c>
      <c r="FH20" s="141" t="str">
        <f t="shared" si="79"/>
        <v>#REF!</v>
      </c>
      <c r="FI20" s="133" t="str">
        <f t="shared" si="80"/>
        <v>#REF!</v>
      </c>
      <c r="FJ20" s="133" t="str">
        <f t="shared" si="81"/>
        <v>#REF!</v>
      </c>
      <c r="FK20" s="133" t="str">
        <f t="shared" si="139"/>
        <v>#REF!</v>
      </c>
      <c r="FL20" s="134" t="str">
        <f t="shared" si="82"/>
        <v>#REF!</v>
      </c>
      <c r="FM20" s="134" t="str">
        <f t="shared" si="83"/>
        <v>#REF!</v>
      </c>
      <c r="FN20" s="135" t="str">
        <f>IF(ISNA(VLOOKUP(A20,'Données projet (1)'!$A$217:$I$237,5,0)),0%,VLOOKUP(A20,'Données projet (1)'!$A$217:$I$237,5,0)*VLOOKUP('Données projet (1)'!$B$16,'Paramètres (1)'!$A$1:$I$88,7,0))</f>
        <v>#REF!</v>
      </c>
      <c r="FO20" s="135" t="str">
        <f>IF(ISNA(VLOOKUP(A20,'Données projet (1)'!$A$217:$I$237,6,0)),0%,VLOOKUP(A20,'Données projet (1)'!$A$217:$I$237,6,0)*VLOOKUP('Données projet (1)'!$B$16,'Paramètres (1)'!$A$1:$I$88,7,0))</f>
        <v>#REF!</v>
      </c>
      <c r="FP20" s="135" t="str">
        <f t="shared" si="84"/>
        <v>#REF!</v>
      </c>
      <c r="FQ20" s="142" t="str">
        <f>EXP(-LN(2)/35)*FQ19+(1-EXP(-LN(2)/35))/(LN(2)/35)*FM20*FN20*VLOOKUP('Données projet (1)'!$B$16,'Paramètres (1)'!$A$1:$I$88,3,0)*0.475*44/12</f>
        <v>#REF!</v>
      </c>
      <c r="FR20" s="142" t="str">
        <f>EXP(-LN(2)/25)*FR19+(1-EXP(-LN(2)/25))/(LN(2)/25)*'Calculateur (1)'!FM20*'Calculateur (1)'!FO20*VLOOKUP('Données projet (1)'!$B$16,'Paramètres (1)'!$A$1:$I$88,3,0)*0.475*44/12</f>
        <v>#REF!</v>
      </c>
      <c r="FS20" s="142" t="str">
        <f>EXP(-LN(2)/2)*FS19+(1-EXP(-LN(2)/2))/(LN(2)/2)*FM20*FP20*VLOOKUP('Données projet (1)'!$B$16,'Paramètres (1)'!$A$1:$I$88,3,0)*0.475*44/12</f>
        <v>#REF!</v>
      </c>
      <c r="FT20" s="143" t="str">
        <f t="shared" si="85"/>
        <v>#REF!</v>
      </c>
      <c r="FU20" s="139" t="str">
        <f t="shared" si="86"/>
        <v>#REF!</v>
      </c>
      <c r="FV20" s="131" t="str">
        <f t="shared" si="87"/>
        <v>#REF!</v>
      </c>
      <c r="FW20" s="131" t="str">
        <f t="shared" si="140"/>
        <v>#REF!</v>
      </c>
      <c r="FX20" s="131" t="str">
        <f t="shared" si="88"/>
        <v>#REF!</v>
      </c>
      <c r="FY20" s="131" t="str">
        <f t="array" ref="FY20">INDEX(FX:FX,MIN(IF(ISNUMBER(FX20:FX216),ROW(FX20:FX216),"")))</f>
        <v/>
      </c>
      <c r="FZ20" s="131" t="str">
        <f t="shared" si="141"/>
        <v>#REF!</v>
      </c>
      <c r="GA20" s="138" t="str">
        <f>FZ20*VLOOKUP('Données projet (1)'!$B$17,'Paramètres (1)'!$A$1:$I$88,3,0)*VLOOKUP('Données projet (1)'!$B$17,'Paramètres (1)'!$A$1:$I$88,5,0)</f>
        <v>#REF!</v>
      </c>
      <c r="GB20" s="130" t="str">
        <f t="shared" si="142"/>
        <v>#REF!</v>
      </c>
      <c r="GC20" s="141" t="str">
        <f t="shared" si="89"/>
        <v>#REF!</v>
      </c>
      <c r="GD20" s="133" t="str">
        <f t="shared" si="90"/>
        <v>#REF!</v>
      </c>
      <c r="GE20" s="133" t="str">
        <f t="shared" si="91"/>
        <v>#REF!</v>
      </c>
      <c r="GF20" s="133" t="str">
        <f t="shared" si="143"/>
        <v>#REF!</v>
      </c>
      <c r="GG20" s="134" t="str">
        <f t="shared" si="92"/>
        <v>#REF!</v>
      </c>
      <c r="GH20" s="134" t="str">
        <f t="shared" si="93"/>
        <v>#REF!</v>
      </c>
      <c r="GI20" s="135" t="str">
        <f>IF(ISNA(VLOOKUP(A20,'Données projet (1)'!$A$243:$I$263,5,0)),0%,VLOOKUP(A20,'Données projet (1)'!$A$243:$I$263,5,0)*VLOOKUP('Données projet (1)'!$B$17,'Paramètres (1)'!$A$1:$I$88,7,0))</f>
        <v>#REF!</v>
      </c>
      <c r="GJ20" s="135" t="str">
        <f>IF(ISNA(VLOOKUP(A20,'Données projet (1)'!$A$243:$I$263,6,0)),0%,VLOOKUP(A20,'Données projet (1)'!$A$243:$I$263,6,0)*VLOOKUP('Données projet (1)'!$B$17,'Paramètres (1)'!$A$1:$I$88,7,0))</f>
        <v>#REF!</v>
      </c>
      <c r="GK20" s="135" t="str">
        <f t="shared" si="94"/>
        <v>#REF!</v>
      </c>
      <c r="GL20" s="142" t="str">
        <f>EXP(-LN(2)/35)*GL19+(1-EXP(-LN(2)/35))/(LN(2)/35)*GH20*GI20*VLOOKUP('Données projet (1)'!$B$17,'Paramètres (1)'!$A$1:$I$88,3,0)*0.475*44/12</f>
        <v>#REF!</v>
      </c>
      <c r="GM20" s="142" t="str">
        <f>EXP(-LN(2)/25)*GM19+(1-EXP(-LN(2)/25))/(LN(2)/25)*'Calculateur (1)'!GH20*'Calculateur (1)'!GJ20*VLOOKUP('Données projet (1)'!$B$17,'Paramètres (1)'!$A$1:$I$88,3,0)*0.475*44/12</f>
        <v>#REF!</v>
      </c>
      <c r="GN20" s="142" t="str">
        <f>EXP(-LN(2)/2)*GN19+(1-EXP(-LN(2)/2))/(LN(2)/2)*GH20*GK20*VLOOKUP('Données projet (1)'!$B$17,'Paramètres (1)'!$A$1:$I$88,3,0)*0.475*44/12</f>
        <v>#REF!</v>
      </c>
      <c r="GO20" s="142" t="str">
        <f t="shared" si="95"/>
        <v>#REF!</v>
      </c>
      <c r="GP20" s="139" t="str">
        <f t="shared" si="96"/>
        <v>#REF!</v>
      </c>
      <c r="GQ20" s="131" t="str">
        <f t="shared" si="97"/>
        <v>#REF!</v>
      </c>
      <c r="GR20" s="131" t="str">
        <f t="shared" si="144"/>
        <v>#REF!</v>
      </c>
      <c r="GS20" s="131" t="str">
        <f t="shared" si="98"/>
        <v>#REF!</v>
      </c>
      <c r="GT20" s="131" t="str">
        <f t="array" ref="GT20">INDEX(GS:GS,MIN(IF(ISNUMBER(GS20:GS216),ROW(GS20:GS216),"")))</f>
        <v/>
      </c>
      <c r="GU20" s="131" t="str">
        <f t="shared" si="145"/>
        <v>#REF!</v>
      </c>
      <c r="GV20" s="138" t="str">
        <f>GU20*VLOOKUP('Données projet (1)'!$B$18,'Paramètres (1)'!$A$1:$I$88,3,0)*VLOOKUP('Données projet (1)'!$B$18,'Paramètres (1)'!$A$1:$I$88,5,0)</f>
        <v>#REF!</v>
      </c>
      <c r="GW20" s="130" t="str">
        <f t="shared" si="146"/>
        <v>#REF!</v>
      </c>
      <c r="GX20" s="141" t="str">
        <f t="shared" si="99"/>
        <v>#REF!</v>
      </c>
      <c r="GY20" s="133" t="str">
        <f t="shared" si="100"/>
        <v>#REF!</v>
      </c>
      <c r="GZ20" s="133" t="str">
        <f t="shared" si="101"/>
        <v>#REF!</v>
      </c>
      <c r="HA20" s="133" t="str">
        <f t="shared" si="147"/>
        <v>#REF!</v>
      </c>
      <c r="HB20" s="134" t="str">
        <f t="shared" si="102"/>
        <v>#REF!</v>
      </c>
      <c r="HC20" s="134" t="str">
        <f t="shared" si="103"/>
        <v>#REF!</v>
      </c>
      <c r="HD20" s="135" t="str">
        <f>IF(ISNA(VLOOKUP(A20,'Données projet (1)'!$A$269:$I$289,5,0)),0%,VLOOKUP(A20,'Données projet (1)'!$A$269:$I$289,5,0)*VLOOKUP('Données projet (1)'!$B$18,'Paramètres (1)'!$A$1:$I$88,7,0))</f>
        <v>#REF!</v>
      </c>
      <c r="HE20" s="135" t="str">
        <f>IF(ISNA(VLOOKUP(A20,'Données projet (1)'!$A$269:$I$289,6,0)),0%,VLOOKUP(A20,'Données projet (1)'!$A$269:$I$289,6,0)*VLOOKUP('Données projet (1)'!$B$18,'Paramètres (1)'!$A$1:$I$88,7,0))</f>
        <v>#REF!</v>
      </c>
      <c r="HF20" s="135" t="str">
        <f t="shared" si="104"/>
        <v>#REF!</v>
      </c>
      <c r="HG20" s="142" t="str">
        <f>EXP(-LN(2)/35)*HG19+(1-EXP(-LN(2)/35))/(LN(2)/35)*HC20*HD20*VLOOKUP('Données projet (1)'!$B$18,'Paramètres (1)'!$A$1:$I$88,3,0)*0.475*44/12</f>
        <v>#REF!</v>
      </c>
      <c r="HH20" s="142" t="str">
        <f>EXP(-LN(2)/25)*HH19+(1-EXP(-LN(2)/25))/(LN(2)/25)*'Calculateur (1)'!HC20*'Calculateur (1)'!HE20*VLOOKUP('Données projet (1)'!$B$18,'Paramètres (1)'!$A$1:$I$88,3,0)*0.475*44/12</f>
        <v>#REF!</v>
      </c>
      <c r="HI20" s="142" t="str">
        <f>EXP(-LN(2)/2)*HI19+(1-EXP(-LN(2)/2))/(LN(2)/2)*HC20*HF20*VLOOKUP('Données projet (1)'!$B$18,'Paramètres (1)'!$A$1:$I$88,3,0)*0.475*44/12</f>
        <v>#REF!</v>
      </c>
      <c r="HJ20" s="143" t="str">
        <f t="shared" si="105"/>
        <v>#REF!</v>
      </c>
    </row>
    <row r="21" ht="14.25" customHeight="1">
      <c r="A21" s="125">
        <f t="shared" si="106"/>
        <v>18</v>
      </c>
      <c r="B21" s="126" t="str">
        <f t="shared" si="1"/>
        <v>#REF!</v>
      </c>
      <c r="C21" s="140" t="str">
        <f>'Calculateur (1)'!C20+'Scénario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1" s="127">
        <f t="shared" si="107"/>
        <v>0</v>
      </c>
      <c r="E21" s="127" t="str">
        <f t="shared" si="2"/>
        <v>#REF!</v>
      </c>
      <c r="F21" s="127" t="str">
        <f t="shared" si="3"/>
        <v>#REF!</v>
      </c>
      <c r="G21" s="127" t="str">
        <f t="shared" si="4"/>
        <v>#REF!</v>
      </c>
      <c r="H21" s="128" t="str">
        <f t="shared" si="5"/>
        <v>#REF!</v>
      </c>
      <c r="I21" s="129" t="str">
        <f t="shared" si="6"/>
        <v>#REF!</v>
      </c>
      <c r="J21" s="130" t="str">
        <f t="shared" si="7"/>
        <v>#REF!</v>
      </c>
      <c r="K21" s="131" t="str">
        <f t="shared" si="108"/>
        <v>#REF!</v>
      </c>
      <c r="L21" s="131" t="str">
        <f t="shared" si="8"/>
        <v>#REF!</v>
      </c>
      <c r="M21" s="131" t="str">
        <f t="array" ref="M21">INDEX(L:L,MIN(IF(ISNUMBER(L21:L217),ROW(L21:L217),"")))</f>
        <v/>
      </c>
      <c r="N21" s="130" t="str">
        <f t="shared" si="109"/>
        <v>#REF!</v>
      </c>
      <c r="O21" s="130" t="str">
        <f>N21*VLOOKUP('Données projet (1)'!$B$9,'Paramètres (1)'!$A$1:$I$88,3,0)*VLOOKUP('Données projet (1)'!$B$9,'Paramètres (1)'!$A$1:$I$88,5,0)</f>
        <v>#REF!</v>
      </c>
      <c r="P21" s="130" t="str">
        <f t="shared" si="110"/>
        <v>#REF!</v>
      </c>
      <c r="Q21" s="141" t="str">
        <f t="shared" si="9"/>
        <v>#REF!</v>
      </c>
      <c r="R21" s="133" t="str">
        <f t="shared" si="10"/>
        <v>#REF!</v>
      </c>
      <c r="S21" s="133" t="str">
        <f t="shared" si="11"/>
        <v>#REF!</v>
      </c>
      <c r="T21" s="133" t="str">
        <f t="shared" si="111"/>
        <v>#REF!</v>
      </c>
      <c r="U21" s="134" t="str">
        <f t="shared" si="12"/>
        <v>#REF!</v>
      </c>
      <c r="V21" s="134" t="str">
        <f t="shared" si="13"/>
        <v>#REF!</v>
      </c>
      <c r="W21" s="135" t="str">
        <f>IF(ISNA(VLOOKUP(A21,'Données projet (1)'!$A$35:$I$55,5,0)),0%,VLOOKUP(A21,'Données projet (1)'!$A$35:$I$55,5,0)*VLOOKUP('Données projet (1)'!$B$9,'Paramètres (1)'!$A$1:$I$88,7,0))</f>
        <v>#REF!</v>
      </c>
      <c r="X21" s="135" t="str">
        <f>IF(ISNA(VLOOKUP(A21,'Données projet (1)'!$A$35:$I$55,6,0)),0%,VLOOKUP(A21,'Données projet (1)'!$A$35:$I$55,6,0)*VLOOKUP('Données projet (1)'!$B$9,'Paramètres (1)'!$A$1:$I$88,7,0))</f>
        <v>#REF!</v>
      </c>
      <c r="Y21" s="135" t="str">
        <f t="shared" si="14"/>
        <v>#REF!</v>
      </c>
      <c r="Z21" s="142" t="str">
        <f>EXP(-LN(2)/35)*Z20+(1-EXP(-LN(2)/35))/(LN(2)/35)*V21*W21*VLOOKUP('Données projet (1)'!$B$9,'Paramètres (1)'!$A$1:$I$88,3,0)*0.475*44/12</f>
        <v>#REF!</v>
      </c>
      <c r="AA21" s="142" t="str">
        <f>EXP(-LN(2)/25)*AA20+(1-EXP(-LN(2)/25))/(LN(2)/25)*'Calculateur (1)'!V21*'Calculateur (1)'!X21*VLOOKUP('Données projet (1)'!$B$9,'Paramètres (1)'!$A$1:$I$88,3,0)*0.475*44/12</f>
        <v>#REF!</v>
      </c>
      <c r="AB21" s="142" t="str">
        <f>EXP(-LN(2)/2)*AB20+(1-EXP(-LN(2)/2))/(LN(2)/2)*V21*Y21*VLOOKUP('Données projet (1)'!$B$9,'Paramètres (1)'!$A$1:$I$88,3,0)*0.475*44/12</f>
        <v>#REF!</v>
      </c>
      <c r="AC21" s="143" t="str">
        <f t="shared" si="15"/>
        <v>#REF!</v>
      </c>
      <c r="AD21" s="130" t="str">
        <f t="shared" si="16"/>
        <v>#REF!</v>
      </c>
      <c r="AE21" s="130" t="str">
        <f t="shared" si="17"/>
        <v>#REF!</v>
      </c>
      <c r="AF21" s="131" t="str">
        <f t="shared" si="112"/>
        <v>#REF!</v>
      </c>
      <c r="AG21" s="131" t="str">
        <f t="shared" si="18"/>
        <v>#REF!</v>
      </c>
      <c r="AH21" s="131" t="str">
        <f t="array" ref="AH21">INDEX(AG:AG,MIN(IF(ISNUMBER(AG21:AG217),ROW(AG21:AG217),"")))</f>
        <v/>
      </c>
      <c r="AI21" s="130" t="str">
        <f t="shared" si="113"/>
        <v>#REF!</v>
      </c>
      <c r="AJ21" s="130" t="str">
        <f>AI21*VLOOKUP('Données projet (1)'!$B$10,'Paramètres (1)'!$A$1:$I$88,3,0)*VLOOKUP('Données projet (1)'!$B$10,'Paramètres (1)'!$A$1:$I$88,5,0)</f>
        <v>#REF!</v>
      </c>
      <c r="AK21" s="130" t="str">
        <f t="shared" si="114"/>
        <v>#REF!</v>
      </c>
      <c r="AL21" s="141" t="str">
        <f t="shared" si="19"/>
        <v>#REF!</v>
      </c>
      <c r="AM21" s="133" t="str">
        <f t="shared" si="20"/>
        <v>#REF!</v>
      </c>
      <c r="AN21" s="133" t="str">
        <f t="shared" si="21"/>
        <v>#REF!</v>
      </c>
      <c r="AO21" s="133" t="str">
        <f t="shared" si="115"/>
        <v>#REF!</v>
      </c>
      <c r="AP21" s="134" t="str">
        <f t="shared" si="22"/>
        <v>#REF!</v>
      </c>
      <c r="AQ21" s="134" t="str">
        <f t="shared" si="23"/>
        <v>#REF!</v>
      </c>
      <c r="AR21" s="135" t="str">
        <f>IF(ISNA(VLOOKUP(A21,'Données projet (1)'!$A$61:$I$81,5,0)),0%,VLOOKUP(A21,'Données projet (1)'!$A$61:$I$81,5,0)*VLOOKUP('Données projet (1)'!$B$10,'Paramètres (1)'!$A$1:$I$88,7,0))</f>
        <v>#REF!</v>
      </c>
      <c r="AS21" s="135" t="str">
        <f>IF(ISNA(VLOOKUP(A21,'Données projet (1)'!$A$61:$I$81,6,0)),0%,VLOOKUP(A21,'Données projet (1)'!$A$61:$I$81,6,0)*VLOOKUP('Données projet (1)'!$B$10,'Paramètres (1)'!$A$1:$I$88,7,0))</f>
        <v>#REF!</v>
      </c>
      <c r="AT21" s="135" t="str">
        <f t="shared" si="24"/>
        <v>#REF!</v>
      </c>
      <c r="AU21" s="142" t="str">
        <f>EXP(-LN(2)/35)*AU20+(1-EXP(-LN(2)/35))/(LN(2)/35)*AQ21*AR21*VLOOKUP('Données projet (1)'!$B$10,'Paramètres (1)'!$A$1:$I$88,3,0)*0.475*44/12</f>
        <v>#REF!</v>
      </c>
      <c r="AV21" s="142" t="str">
        <f>EXP(-LN(2)/25)*AV20+(1-EXP(-LN(2)/25))/(LN(2)/25)*'Calculateur (1)'!AQ21*'Calculateur (1)'!AS21*VLOOKUP('Données projet (1)'!$B$10,'Paramètres (1)'!$A$1:$I$88,3,0)*0.475*44/12</f>
        <v>#REF!</v>
      </c>
      <c r="AW21" s="142" t="str">
        <f>EXP(-LN(2)/2)*AW20+(1-EXP(-LN(2)/2))/(LN(2)/2)*AQ21*AT21*VLOOKUP('Données projet (1)'!$B$10,'Paramètres (1)'!$A$1:$I$88,3,0)*0.475*44/12</f>
        <v>#REF!</v>
      </c>
      <c r="AX21" s="142" t="str">
        <f t="shared" si="25"/>
        <v>#REF!</v>
      </c>
      <c r="AY21" s="137" t="str">
        <f t="shared" si="26"/>
        <v>#REF!</v>
      </c>
      <c r="AZ21" s="131" t="str">
        <f t="shared" si="27"/>
        <v>#REF!</v>
      </c>
      <c r="BA21" s="131" t="str">
        <f t="shared" si="116"/>
        <v>#REF!</v>
      </c>
      <c r="BB21" s="131" t="str">
        <f t="shared" si="28"/>
        <v>#REF!</v>
      </c>
      <c r="BC21" s="131" t="str">
        <f t="array" ref="BC21">INDEX(BB:BB,MIN(IF(ISNUMBER(BB21:BB217),ROW(BB21:BB217),"")))</f>
        <v/>
      </c>
      <c r="BD21" s="131" t="str">
        <f t="shared" si="117"/>
        <v>#REF!</v>
      </c>
      <c r="BE21" s="130" t="str">
        <f>BD21*VLOOKUP('Données projet (1)'!$B$11,'Paramètres (1)'!$A$1:$I$88,3,0)*VLOOKUP('Données projet (1)'!$B$11,'Paramètres (1)'!$A$1:$I$88,5,0)</f>
        <v>#REF!</v>
      </c>
      <c r="BF21" s="130" t="str">
        <f t="shared" si="118"/>
        <v>#REF!</v>
      </c>
      <c r="BG21" s="141" t="str">
        <f t="shared" si="29"/>
        <v>#REF!</v>
      </c>
      <c r="BH21" s="133" t="str">
        <f t="shared" si="30"/>
        <v>#REF!</v>
      </c>
      <c r="BI21" s="133" t="str">
        <f t="shared" si="31"/>
        <v>#REF!</v>
      </c>
      <c r="BJ21" s="133" t="str">
        <f t="shared" si="119"/>
        <v>#REF!</v>
      </c>
      <c r="BK21" s="134" t="str">
        <f t="shared" si="32"/>
        <v>#REF!</v>
      </c>
      <c r="BL21" s="134" t="str">
        <f t="shared" si="33"/>
        <v>#REF!</v>
      </c>
      <c r="BM21" s="135" t="str">
        <f>IF(ISNA(VLOOKUP(A21,'Données projet (1)'!$A$87:$I$107,5,0)),0%,VLOOKUP(A21,'Données projet (1)'!$A$87:$I$107,5,0)*VLOOKUP('Données projet (1)'!$B$11,'Paramètres (1)'!$A$1:$I$88,7,0))</f>
        <v>#REF!</v>
      </c>
      <c r="BN21" s="135" t="str">
        <f>IF(ISNA(VLOOKUP(A21,'Données projet (1)'!$A$87:$I$107,6,0)),0%,VLOOKUP(A21,'Données projet (1)'!$A$87:$I$107,6,0)*VLOOKUP('Données projet (1)'!$B$11,'Paramètres (1)'!$A$1:$I$88,7,0))</f>
        <v>#REF!</v>
      </c>
      <c r="BO21" s="135" t="str">
        <f t="shared" si="34"/>
        <v>#REF!</v>
      </c>
      <c r="BP21" s="142" t="str">
        <f>EXP(-LN(2)/35)*BP20+(1-EXP(-LN(2)/35))/(LN(2)/35)*BL21*BM21*VLOOKUP('Données projet (1)'!$B$11,'Paramètres (1)'!$A$1:$I$88,3,0)*0.475*44/12</f>
        <v>#REF!</v>
      </c>
      <c r="BQ21" s="142" t="str">
        <f>EXP(-LN(2)/25)*BQ20+(1-EXP(-LN(2)/25))/(LN(2)/25)*'Calculateur (1)'!BL21*'Calculateur (1)'!BN21*VLOOKUP('Données projet (1)'!$B$11,'Paramètres (1)'!$A$1:$I$88,3,0)*0.475*44/12</f>
        <v>#REF!</v>
      </c>
      <c r="BR21" s="142" t="str">
        <f>EXP(-LN(2)/2)*BR20+(1-EXP(-LN(2)/2))/(LN(2)/2)*BL21*BO21*VLOOKUP('Données projet (1)'!$B$11,'Paramètres (1)'!$A$1:$I$88,3,0)*0.475*44/12</f>
        <v>#REF!</v>
      </c>
      <c r="BS21" s="143" t="str">
        <f t="shared" si="35"/>
        <v>#REF!</v>
      </c>
      <c r="BT21" s="139" t="str">
        <f t="shared" si="36"/>
        <v>#REF!</v>
      </c>
      <c r="BU21" s="131" t="str">
        <f t="shared" si="37"/>
        <v>#REF!</v>
      </c>
      <c r="BV21" s="131" t="str">
        <f t="shared" si="120"/>
        <v>#REF!</v>
      </c>
      <c r="BW21" s="131" t="str">
        <f t="shared" si="38"/>
        <v>#REF!</v>
      </c>
      <c r="BX21" s="131" t="str">
        <f t="array" ref="BX21">INDEX(BW:BW,MIN(IF(ISNUMBER(BW21:BW217),ROW(BW21:BW217),"")))</f>
        <v/>
      </c>
      <c r="BY21" s="131" t="str">
        <f t="shared" si="121"/>
        <v>#REF!</v>
      </c>
      <c r="BZ21" s="130" t="str">
        <f>BY21*VLOOKUP('Données projet (1)'!$B$12,'Paramètres (1)'!$A$1:$I$88,3,0)*VLOOKUP('Données projet (1)'!$B$12,'Paramètres (1)'!$A$1:$I$88,5,0)</f>
        <v>#REF!</v>
      </c>
      <c r="CA21" s="130" t="str">
        <f t="shared" si="122"/>
        <v>#REF!</v>
      </c>
      <c r="CB21" s="141" t="str">
        <f t="shared" si="39"/>
        <v>#REF!</v>
      </c>
      <c r="CC21" s="133" t="str">
        <f t="shared" si="40"/>
        <v>#REF!</v>
      </c>
      <c r="CD21" s="133" t="str">
        <f t="shared" si="41"/>
        <v>#REF!</v>
      </c>
      <c r="CE21" s="133" t="str">
        <f t="shared" si="123"/>
        <v>#REF!</v>
      </c>
      <c r="CF21" s="134" t="str">
        <f t="shared" si="42"/>
        <v>#REF!</v>
      </c>
      <c r="CG21" s="134" t="str">
        <f t="shared" si="43"/>
        <v>#REF!</v>
      </c>
      <c r="CH21" s="135" t="str">
        <f>IF(ISNA(VLOOKUP(A21,'Données projet (1)'!$A$113:$I$133,5,0)),0%,VLOOKUP(A21,'Données projet (1)'!$A$113:$I$133,5,0)*VLOOKUP('Données projet (1)'!$B$12,'Paramètres (1)'!$A$1:$I$88,7,0))</f>
        <v>#REF!</v>
      </c>
      <c r="CI21" s="135" t="str">
        <f>IF(ISNA(VLOOKUP(A21,'Données projet (1)'!$A$113:$I$133,6,0)),0%,VLOOKUP(A21,'Données projet (1)'!$A$113:$I$133,6,0)*VLOOKUP('Données projet (1)'!$B$12,'Paramètres (1)'!$A$1:$I$88,7,0))</f>
        <v>#REF!</v>
      </c>
      <c r="CJ21" s="135" t="str">
        <f t="shared" si="44"/>
        <v>#REF!</v>
      </c>
      <c r="CK21" s="142" t="str">
        <f>EXP(-LN(2)/35)*CK20+(1-EXP(-LN(2)/35))/(LN(2)/35)*CG21*CH21*VLOOKUP('Données projet (1)'!$B$12,'Paramètres (1)'!$A$1:$I$88,3,0)*0.475*44/12</f>
        <v>#REF!</v>
      </c>
      <c r="CL21" s="142" t="str">
        <f>EXP(-LN(2)/25)*CL20+(1-EXP(-LN(2)/25))/(LN(2)/25)*'Calculateur (1)'!CG21*'Calculateur (1)'!CI21*VLOOKUP('Données projet (1)'!$B$12,'Paramètres (1)'!$A$1:$I$88,3,0)*0.475*44/12</f>
        <v>#REF!</v>
      </c>
      <c r="CM21" s="142" t="str">
        <f>EXP(-LN(2)/2)*CM20+(1-EXP(-LN(2)/2))/(LN(2)/2)*CG21*CJ21*VLOOKUP('Données projet (1)'!$B$12,'Paramètres (1)'!$A$1:$I$88,3,0)*0.475*44/12</f>
        <v>#REF!</v>
      </c>
      <c r="CN21" s="143" t="str">
        <f t="shared" si="45"/>
        <v>#REF!</v>
      </c>
      <c r="CO21" s="139" t="str">
        <f t="shared" si="46"/>
        <v>#REF!</v>
      </c>
      <c r="CP21" s="131" t="str">
        <f t="shared" si="47"/>
        <v>#REF!</v>
      </c>
      <c r="CQ21" s="131" t="str">
        <f t="shared" si="124"/>
        <v>#REF!</v>
      </c>
      <c r="CR21" s="131" t="str">
        <f t="shared" si="48"/>
        <v>#REF!</v>
      </c>
      <c r="CS21" s="131" t="str">
        <f t="array" ref="CS21">INDEX(CR:CR,MIN(IF(ISNUMBER(CR21:CR217),ROW(CR21:CR217),"")))</f>
        <v/>
      </c>
      <c r="CT21" s="131" t="str">
        <f t="shared" si="125"/>
        <v>#REF!</v>
      </c>
      <c r="CU21" s="138" t="str">
        <f>CT21*VLOOKUP('Données projet (1)'!$B$13,'Paramètres (1)'!$A$1:$I$88,3,0)*VLOOKUP('Données projet (1)'!$B$13,'Paramètres (1)'!$A$1:$I$88,5,0)</f>
        <v>#REF!</v>
      </c>
      <c r="CV21" s="130" t="str">
        <f t="shared" si="126"/>
        <v>#REF!</v>
      </c>
      <c r="CW21" s="141" t="str">
        <f t="shared" si="49"/>
        <v>#REF!</v>
      </c>
      <c r="CX21" s="133" t="str">
        <f t="shared" si="50"/>
        <v>#REF!</v>
      </c>
      <c r="CY21" s="133" t="str">
        <f t="shared" si="51"/>
        <v>#REF!</v>
      </c>
      <c r="CZ21" s="133" t="str">
        <f t="shared" si="127"/>
        <v>#REF!</v>
      </c>
      <c r="DA21" s="134" t="str">
        <f t="shared" si="52"/>
        <v>#REF!</v>
      </c>
      <c r="DB21" s="134" t="str">
        <f t="shared" si="53"/>
        <v>#REF!</v>
      </c>
      <c r="DC21" s="135" t="str">
        <f>IF(ISNA(VLOOKUP(A21,'Données projet (1)'!$A$139:$I$159,5,0)),0%,VLOOKUP(A21,'Données projet (1)'!$A$139:$I$159,5,0)*VLOOKUP('Données projet (1)'!$B$13,'Paramètres (1)'!$A$1:$I$88,7,0))</f>
        <v>#REF!</v>
      </c>
      <c r="DD21" s="135" t="str">
        <f>IF(ISNA(VLOOKUP(A21,'Données projet (1)'!$A$139:$I$159,6,0)),0%,VLOOKUP(A21,'Données projet (1)'!$A$139:$I$159,6,0)*VLOOKUP('Données projet (1)'!$B$13,'Paramètres (1)'!$A$1:$I$88,7,0))</f>
        <v>#REF!</v>
      </c>
      <c r="DE21" s="135" t="str">
        <f t="shared" si="54"/>
        <v>#REF!</v>
      </c>
      <c r="DF21" s="142" t="str">
        <f>EXP(-LN(2)/35)*DF20+(1-EXP(-LN(2)/35))/(LN(2)/35)*DB21*DC21*VLOOKUP('Données projet (1)'!$B$13,'Paramètres (1)'!$A$1:$I$88,3,0)*0.475*44/12</f>
        <v>#REF!</v>
      </c>
      <c r="DG21" s="142" t="str">
        <f>EXP(-LN(2)/25)*DG20+(1-EXP(-LN(2)/25))/(LN(2)/25)*'Calculateur (1)'!DB21*'Calculateur (1)'!DD21*VLOOKUP('Données projet (1)'!$B$13,'Paramètres (1)'!$A$1:$I$88,3,0)*0.475*44/12</f>
        <v>#REF!</v>
      </c>
      <c r="DH21" s="142" t="str">
        <f>EXP(-LN(2)/2)*DH20+(1-EXP(-LN(2)/2))/(LN(2)/2)*DB21*DE21*VLOOKUP('Données projet (1)'!$B$13,'Paramètres (1)'!$A$1:$I$88,3,0)*0.475*44/12</f>
        <v>#REF!</v>
      </c>
      <c r="DI21" s="143" t="str">
        <f t="shared" si="55"/>
        <v>#REF!</v>
      </c>
      <c r="DJ21" s="139" t="str">
        <f t="shared" si="56"/>
        <v>#REF!</v>
      </c>
      <c r="DK21" s="131" t="str">
        <f t="shared" si="57"/>
        <v>#REF!</v>
      </c>
      <c r="DL21" s="131" t="str">
        <f t="shared" si="128"/>
        <v>#REF!</v>
      </c>
      <c r="DM21" s="131" t="str">
        <f t="shared" si="58"/>
        <v>#REF!</v>
      </c>
      <c r="DN21" s="131" t="str">
        <f t="array" ref="DN21">INDEX(DM:DM,MIN(IF(ISNUMBER(DM21:DM217),ROW(DM21:DM217),"")))</f>
        <v/>
      </c>
      <c r="DO21" s="131" t="str">
        <f t="shared" si="129"/>
        <v>#REF!</v>
      </c>
      <c r="DP21" s="138" t="str">
        <f>DO21*VLOOKUP('Données projet (1)'!$B$14,'Paramètres (1)'!$A$1:$I$88,3,0)*VLOOKUP('Données projet (1)'!$B$14,'Paramètres (1)'!$A$1:$I$88,5,0)</f>
        <v>#REF!</v>
      </c>
      <c r="DQ21" s="130" t="str">
        <f t="shared" si="130"/>
        <v>#REF!</v>
      </c>
      <c r="DR21" s="141" t="str">
        <f t="shared" si="59"/>
        <v>#REF!</v>
      </c>
      <c r="DS21" s="133" t="str">
        <f t="shared" si="60"/>
        <v>#REF!</v>
      </c>
      <c r="DT21" s="133" t="str">
        <f t="shared" si="61"/>
        <v>#REF!</v>
      </c>
      <c r="DU21" s="133" t="str">
        <f t="shared" si="131"/>
        <v>#REF!</v>
      </c>
      <c r="DV21" s="134" t="str">
        <f t="shared" si="62"/>
        <v>#REF!</v>
      </c>
      <c r="DW21" s="134" t="str">
        <f t="shared" si="63"/>
        <v>#REF!</v>
      </c>
      <c r="DX21" s="135" t="str">
        <f>IF(ISNA(VLOOKUP(A21,'Données projet (1)'!$A$165:$I$185,5,0)),0%,VLOOKUP(A21,'Données projet (1)'!$A$165:$I$185,5,0)*VLOOKUP('Données projet (1)'!$B$14,'Paramètres (1)'!$A$1:$I$88,7,0))</f>
        <v>#REF!</v>
      </c>
      <c r="DY21" s="135" t="str">
        <f>IF(ISNA(VLOOKUP(A21,'Données projet (1)'!$A$165:$I$185,6,0)),0%,VLOOKUP(A21,'Données projet (1)'!$A$165:$I$185,6,0)*VLOOKUP('Données projet (1)'!$B$14,'Paramètres (1)'!$A$1:$I$88,7,0))</f>
        <v>#REF!</v>
      </c>
      <c r="DZ21" s="135" t="str">
        <f t="shared" si="64"/>
        <v>#REF!</v>
      </c>
      <c r="EA21" s="142" t="str">
        <f>EXP(-LN(2)/35)*EA20+(1-EXP(-LN(2)/35))/(LN(2)/35)*DW21*DX21*VLOOKUP('Données projet (1)'!$B$14,'Paramètres (1)'!$A$1:$I$88,3,0)*0.475*44/12</f>
        <v>#REF!</v>
      </c>
      <c r="EB21" s="142" t="str">
        <f>EXP(-LN(2)/25)*EB20+(1-EXP(-LN(2)/25))/(LN(2)/25)*'Calculateur (1)'!DW21*'Calculateur (1)'!DY21*VLOOKUP('Données projet (1)'!$B$14,'Paramètres (1)'!$A$1:$I$88,3,0)*0.475*44/12</f>
        <v>#REF!</v>
      </c>
      <c r="EC21" s="142" t="str">
        <f>EXP(-LN(2)/2)*EC20+(1-EXP(-LN(2)/2))/(LN(2)/2)*DW21*DZ21*VLOOKUP('Données projet (1)'!$B$14,'Paramètres (1)'!$A$1:$I$88,3,0)*0.475*44/12</f>
        <v>#REF!</v>
      </c>
      <c r="ED21" s="143" t="str">
        <f t="shared" si="65"/>
        <v>#REF!</v>
      </c>
      <c r="EE21" s="139" t="str">
        <f t="shared" si="66"/>
        <v>#REF!</v>
      </c>
      <c r="EF21" s="131" t="str">
        <f t="shared" si="67"/>
        <v>#REF!</v>
      </c>
      <c r="EG21" s="131" t="str">
        <f t="shared" si="132"/>
        <v>#REF!</v>
      </c>
      <c r="EH21" s="131" t="str">
        <f t="shared" si="68"/>
        <v>#REF!</v>
      </c>
      <c r="EI21" s="131" t="str">
        <f t="array" ref="EI21">INDEX(EH:EH,MIN(IF(ISNUMBER(EH21:EH217),ROW(EH21:EH217),"")))</f>
        <v/>
      </c>
      <c r="EJ21" s="131" t="str">
        <f t="shared" si="133"/>
        <v>#REF!</v>
      </c>
      <c r="EK21" s="138" t="str">
        <f>EJ21*VLOOKUP('Données projet (1)'!$B$15,'Paramètres (1)'!$A$1:$I$88,3,0)*VLOOKUP('Données projet (1)'!$B$15,'Paramètres (1)'!$A$1:$I$88,5,0)</f>
        <v>#REF!</v>
      </c>
      <c r="EL21" s="130" t="str">
        <f t="shared" si="134"/>
        <v>#REF!</v>
      </c>
      <c r="EM21" s="141" t="str">
        <f t="shared" si="69"/>
        <v>#REF!</v>
      </c>
      <c r="EN21" s="133" t="str">
        <f t="shared" si="70"/>
        <v>#REF!</v>
      </c>
      <c r="EO21" s="133" t="str">
        <f t="shared" si="71"/>
        <v>#REF!</v>
      </c>
      <c r="EP21" s="133" t="str">
        <f t="shared" si="135"/>
        <v>#REF!</v>
      </c>
      <c r="EQ21" s="134" t="str">
        <f t="shared" si="72"/>
        <v>#REF!</v>
      </c>
      <c r="ER21" s="134" t="str">
        <f t="shared" si="73"/>
        <v>#REF!</v>
      </c>
      <c r="ES21" s="135" t="str">
        <f>IF(ISNA(VLOOKUP(A21,'Données projet (1)'!$A$191:$I$211,5,0)),0%,VLOOKUP(A21,'Données projet (1)'!$A$191:$I$211,5,0)*VLOOKUP('Données projet (1)'!$B$15,'Paramètres (1)'!$A$1:$I$88,7,0))</f>
        <v>#REF!</v>
      </c>
      <c r="ET21" s="135" t="str">
        <f>IF(ISNA(VLOOKUP(A21,'Données projet (1)'!$A$191:$I$211,6,0)),0%,VLOOKUP(A21,'Données projet (1)'!$A$191:$I$211,6,0)*VLOOKUP('Données projet (1)'!$B$15,'Paramètres (1)'!$A$1:$I$88,7,0))</f>
        <v>#REF!</v>
      </c>
      <c r="EU21" s="135" t="str">
        <f t="shared" si="74"/>
        <v>#REF!</v>
      </c>
      <c r="EV21" s="142" t="str">
        <f>EXP(-LN(2)/35)*EV20+(1-EXP(-LN(2)/35))/(LN(2)/35)*ER21*ES21*VLOOKUP('Données projet (1)'!$B$15,'Paramètres (1)'!$A$1:$I$88,3,0)*0.475*44/12</f>
        <v>#REF!</v>
      </c>
      <c r="EW21" s="142" t="str">
        <f>EXP(-LN(2)/25)*EW20+(1-EXP(-LN(2)/25))/(LN(2)/25)*'Calculateur (1)'!ER21*'Calculateur (1)'!ET21*VLOOKUP('Données projet (1)'!$B$15,'Paramètres (1)'!$A$1:$I$88,3,0)*0.475*44/12</f>
        <v>#REF!</v>
      </c>
      <c r="EX21" s="142" t="str">
        <f>EXP(-LN(2)/2)*EX20+(1-EXP(-LN(2)/2))/(LN(2)/2)*ER21*EU21*VLOOKUP('Données projet (1)'!$B$15,'Paramètres (1)'!$A$1:$I$88,3,0)*0.475*44/12</f>
        <v>#REF!</v>
      </c>
      <c r="EY21" s="143" t="str">
        <f t="shared" si="75"/>
        <v>#REF!</v>
      </c>
      <c r="EZ21" s="139" t="str">
        <f t="shared" si="76"/>
        <v>#REF!</v>
      </c>
      <c r="FA21" s="131" t="str">
        <f t="shared" si="77"/>
        <v>#REF!</v>
      </c>
      <c r="FB21" s="131" t="str">
        <f t="shared" si="136"/>
        <v>#REF!</v>
      </c>
      <c r="FC21" s="131" t="str">
        <f t="shared" si="78"/>
        <v>#REF!</v>
      </c>
      <c r="FD21" s="131" t="str">
        <f t="array" ref="FD21">INDEX(FC:FC,MIN(IF(ISNUMBER(FC21:FC217),ROW(FC21:FC217),"")))</f>
        <v/>
      </c>
      <c r="FE21" s="131" t="str">
        <f t="shared" si="137"/>
        <v>#REF!</v>
      </c>
      <c r="FF21" s="138" t="str">
        <f>FE21*VLOOKUP('Données projet (1)'!$B$16,'Paramètres (1)'!$A$1:$I$88,3,0)*VLOOKUP('Données projet (1)'!$B$16,'Paramètres (1)'!$A$1:$I$88,5,0)</f>
        <v>#REF!</v>
      </c>
      <c r="FG21" s="130" t="str">
        <f t="shared" si="138"/>
        <v>#REF!</v>
      </c>
      <c r="FH21" s="141" t="str">
        <f t="shared" si="79"/>
        <v>#REF!</v>
      </c>
      <c r="FI21" s="133" t="str">
        <f t="shared" si="80"/>
        <v>#REF!</v>
      </c>
      <c r="FJ21" s="133" t="str">
        <f t="shared" si="81"/>
        <v>#REF!</v>
      </c>
      <c r="FK21" s="133" t="str">
        <f t="shared" si="139"/>
        <v>#REF!</v>
      </c>
      <c r="FL21" s="134" t="str">
        <f t="shared" si="82"/>
        <v>#REF!</v>
      </c>
      <c r="FM21" s="134" t="str">
        <f t="shared" si="83"/>
        <v>#REF!</v>
      </c>
      <c r="FN21" s="135" t="str">
        <f>IF(ISNA(VLOOKUP(A21,'Données projet (1)'!$A$217:$I$237,5,0)),0%,VLOOKUP(A21,'Données projet (1)'!$A$217:$I$237,5,0)*VLOOKUP('Données projet (1)'!$B$16,'Paramètres (1)'!$A$1:$I$88,7,0))</f>
        <v>#REF!</v>
      </c>
      <c r="FO21" s="135" t="str">
        <f>IF(ISNA(VLOOKUP(A21,'Données projet (1)'!$A$217:$I$237,6,0)),0%,VLOOKUP(A21,'Données projet (1)'!$A$217:$I$237,6,0)*VLOOKUP('Données projet (1)'!$B$16,'Paramètres (1)'!$A$1:$I$88,7,0))</f>
        <v>#REF!</v>
      </c>
      <c r="FP21" s="135" t="str">
        <f t="shared" si="84"/>
        <v>#REF!</v>
      </c>
      <c r="FQ21" s="142" t="str">
        <f>EXP(-LN(2)/35)*FQ20+(1-EXP(-LN(2)/35))/(LN(2)/35)*FM21*FN21*VLOOKUP('Données projet (1)'!$B$16,'Paramètres (1)'!$A$1:$I$88,3,0)*0.475*44/12</f>
        <v>#REF!</v>
      </c>
      <c r="FR21" s="142" t="str">
        <f>EXP(-LN(2)/25)*FR20+(1-EXP(-LN(2)/25))/(LN(2)/25)*'Calculateur (1)'!FM21*'Calculateur (1)'!FO21*VLOOKUP('Données projet (1)'!$B$16,'Paramètres (1)'!$A$1:$I$88,3,0)*0.475*44/12</f>
        <v>#REF!</v>
      </c>
      <c r="FS21" s="142" t="str">
        <f>EXP(-LN(2)/2)*FS20+(1-EXP(-LN(2)/2))/(LN(2)/2)*FM21*FP21*VLOOKUP('Données projet (1)'!$B$16,'Paramètres (1)'!$A$1:$I$88,3,0)*0.475*44/12</f>
        <v>#REF!</v>
      </c>
      <c r="FT21" s="143" t="str">
        <f t="shared" si="85"/>
        <v>#REF!</v>
      </c>
      <c r="FU21" s="139" t="str">
        <f t="shared" si="86"/>
        <v>#REF!</v>
      </c>
      <c r="FV21" s="131" t="str">
        <f t="shared" si="87"/>
        <v>#REF!</v>
      </c>
      <c r="FW21" s="131" t="str">
        <f t="shared" si="140"/>
        <v>#REF!</v>
      </c>
      <c r="FX21" s="131" t="str">
        <f t="shared" si="88"/>
        <v>#REF!</v>
      </c>
      <c r="FY21" s="131" t="str">
        <f t="array" ref="FY21">INDEX(FX:FX,MIN(IF(ISNUMBER(FX21:FX217),ROW(FX21:FX217),"")))</f>
        <v/>
      </c>
      <c r="FZ21" s="131" t="str">
        <f t="shared" si="141"/>
        <v>#REF!</v>
      </c>
      <c r="GA21" s="138" t="str">
        <f>FZ21*VLOOKUP('Données projet (1)'!$B$17,'Paramètres (1)'!$A$1:$I$88,3,0)*VLOOKUP('Données projet (1)'!$B$17,'Paramètres (1)'!$A$1:$I$88,5,0)</f>
        <v>#REF!</v>
      </c>
      <c r="GB21" s="130" t="str">
        <f t="shared" si="142"/>
        <v>#REF!</v>
      </c>
      <c r="GC21" s="141" t="str">
        <f t="shared" si="89"/>
        <v>#REF!</v>
      </c>
      <c r="GD21" s="133" t="str">
        <f t="shared" si="90"/>
        <v>#REF!</v>
      </c>
      <c r="GE21" s="133" t="str">
        <f t="shared" si="91"/>
        <v>#REF!</v>
      </c>
      <c r="GF21" s="133" t="str">
        <f t="shared" si="143"/>
        <v>#REF!</v>
      </c>
      <c r="GG21" s="134" t="str">
        <f t="shared" si="92"/>
        <v>#REF!</v>
      </c>
      <c r="GH21" s="134" t="str">
        <f t="shared" si="93"/>
        <v>#REF!</v>
      </c>
      <c r="GI21" s="135" t="str">
        <f>IF(ISNA(VLOOKUP(A21,'Données projet (1)'!$A$243:$I$263,5,0)),0%,VLOOKUP(A21,'Données projet (1)'!$A$243:$I$263,5,0)*VLOOKUP('Données projet (1)'!$B$17,'Paramètres (1)'!$A$1:$I$88,7,0))</f>
        <v>#REF!</v>
      </c>
      <c r="GJ21" s="135" t="str">
        <f>IF(ISNA(VLOOKUP(A21,'Données projet (1)'!$A$243:$I$263,6,0)),0%,VLOOKUP(A21,'Données projet (1)'!$A$243:$I$263,6,0)*VLOOKUP('Données projet (1)'!$B$17,'Paramètres (1)'!$A$1:$I$88,7,0))</f>
        <v>#REF!</v>
      </c>
      <c r="GK21" s="135" t="str">
        <f t="shared" si="94"/>
        <v>#REF!</v>
      </c>
      <c r="GL21" s="142" t="str">
        <f>EXP(-LN(2)/35)*GL20+(1-EXP(-LN(2)/35))/(LN(2)/35)*GH21*GI21*VLOOKUP('Données projet (1)'!$B$17,'Paramètres (1)'!$A$1:$I$88,3,0)*0.475*44/12</f>
        <v>#REF!</v>
      </c>
      <c r="GM21" s="142" t="str">
        <f>EXP(-LN(2)/25)*GM20+(1-EXP(-LN(2)/25))/(LN(2)/25)*'Calculateur (1)'!GH21*'Calculateur (1)'!GJ21*VLOOKUP('Données projet (1)'!$B$17,'Paramètres (1)'!$A$1:$I$88,3,0)*0.475*44/12</f>
        <v>#REF!</v>
      </c>
      <c r="GN21" s="142" t="str">
        <f>EXP(-LN(2)/2)*GN20+(1-EXP(-LN(2)/2))/(LN(2)/2)*GH21*GK21*VLOOKUP('Données projet (1)'!$B$17,'Paramètres (1)'!$A$1:$I$88,3,0)*0.475*44/12</f>
        <v>#REF!</v>
      </c>
      <c r="GO21" s="142" t="str">
        <f t="shared" si="95"/>
        <v>#REF!</v>
      </c>
      <c r="GP21" s="139" t="str">
        <f t="shared" si="96"/>
        <v>#REF!</v>
      </c>
      <c r="GQ21" s="131" t="str">
        <f t="shared" si="97"/>
        <v>#REF!</v>
      </c>
      <c r="GR21" s="131" t="str">
        <f t="shared" si="144"/>
        <v>#REF!</v>
      </c>
      <c r="GS21" s="131" t="str">
        <f t="shared" si="98"/>
        <v>#REF!</v>
      </c>
      <c r="GT21" s="131" t="str">
        <f t="array" ref="GT21">INDEX(GS:GS,MIN(IF(ISNUMBER(GS21:GS217),ROW(GS21:GS217),"")))</f>
        <v/>
      </c>
      <c r="GU21" s="131" t="str">
        <f t="shared" si="145"/>
        <v>#REF!</v>
      </c>
      <c r="GV21" s="138" t="str">
        <f>GU21*VLOOKUP('Données projet (1)'!$B$18,'Paramètres (1)'!$A$1:$I$88,3,0)*VLOOKUP('Données projet (1)'!$B$18,'Paramètres (1)'!$A$1:$I$88,5,0)</f>
        <v>#REF!</v>
      </c>
      <c r="GW21" s="130" t="str">
        <f t="shared" si="146"/>
        <v>#REF!</v>
      </c>
      <c r="GX21" s="141" t="str">
        <f t="shared" si="99"/>
        <v>#REF!</v>
      </c>
      <c r="GY21" s="133" t="str">
        <f t="shared" si="100"/>
        <v>#REF!</v>
      </c>
      <c r="GZ21" s="133" t="str">
        <f t="shared" si="101"/>
        <v>#REF!</v>
      </c>
      <c r="HA21" s="133" t="str">
        <f t="shared" si="147"/>
        <v>#REF!</v>
      </c>
      <c r="HB21" s="134" t="str">
        <f t="shared" si="102"/>
        <v>#REF!</v>
      </c>
      <c r="HC21" s="134" t="str">
        <f t="shared" si="103"/>
        <v>#REF!</v>
      </c>
      <c r="HD21" s="135" t="str">
        <f>IF(ISNA(VLOOKUP(A21,'Données projet (1)'!$A$269:$I$289,5,0)),0%,VLOOKUP(A21,'Données projet (1)'!$A$269:$I$289,5,0)*VLOOKUP('Données projet (1)'!$B$18,'Paramètres (1)'!$A$1:$I$88,7,0))</f>
        <v>#REF!</v>
      </c>
      <c r="HE21" s="135" t="str">
        <f>IF(ISNA(VLOOKUP(A21,'Données projet (1)'!$A$269:$I$289,6,0)),0%,VLOOKUP(A21,'Données projet (1)'!$A$269:$I$289,6,0)*VLOOKUP('Données projet (1)'!$B$18,'Paramètres (1)'!$A$1:$I$88,7,0))</f>
        <v>#REF!</v>
      </c>
      <c r="HF21" s="135" t="str">
        <f t="shared" si="104"/>
        <v>#REF!</v>
      </c>
      <c r="HG21" s="142" t="str">
        <f>EXP(-LN(2)/35)*HG20+(1-EXP(-LN(2)/35))/(LN(2)/35)*HC21*HD21*VLOOKUP('Données projet (1)'!$B$18,'Paramètres (1)'!$A$1:$I$88,3,0)*0.475*44/12</f>
        <v>#REF!</v>
      </c>
      <c r="HH21" s="142" t="str">
        <f>EXP(-LN(2)/25)*HH20+(1-EXP(-LN(2)/25))/(LN(2)/25)*'Calculateur (1)'!HC21*'Calculateur (1)'!HE21*VLOOKUP('Données projet (1)'!$B$18,'Paramètres (1)'!$A$1:$I$88,3,0)*0.475*44/12</f>
        <v>#REF!</v>
      </c>
      <c r="HI21" s="142" t="str">
        <f>EXP(-LN(2)/2)*HI20+(1-EXP(-LN(2)/2))/(LN(2)/2)*HC21*HF21*VLOOKUP('Données projet (1)'!$B$18,'Paramètres (1)'!$A$1:$I$88,3,0)*0.475*44/12</f>
        <v>#REF!</v>
      </c>
      <c r="HJ21" s="143" t="str">
        <f t="shared" si="105"/>
        <v>#REF!</v>
      </c>
    </row>
    <row r="22" ht="14.25" customHeight="1">
      <c r="A22" s="125">
        <f t="shared" si="106"/>
        <v>19</v>
      </c>
      <c r="B22" s="126" t="str">
        <f t="shared" si="1"/>
        <v>#REF!</v>
      </c>
      <c r="C22" s="140" t="str">
        <f>'Calculateur (1)'!C21+'Scénario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2" s="127">
        <f t="shared" si="107"/>
        <v>0</v>
      </c>
      <c r="E22" s="127" t="str">
        <f t="shared" si="2"/>
        <v>#REF!</v>
      </c>
      <c r="F22" s="127" t="str">
        <f t="shared" si="3"/>
        <v>#REF!</v>
      </c>
      <c r="G22" s="127" t="str">
        <f t="shared" si="4"/>
        <v>#REF!</v>
      </c>
      <c r="H22" s="128" t="str">
        <f t="shared" si="5"/>
        <v>#REF!</v>
      </c>
      <c r="I22" s="129" t="str">
        <f t="shared" si="6"/>
        <v>#REF!</v>
      </c>
      <c r="J22" s="130" t="str">
        <f t="shared" si="7"/>
        <v>#REF!</v>
      </c>
      <c r="K22" s="131" t="str">
        <f t="shared" si="108"/>
        <v>#REF!</v>
      </c>
      <c r="L22" s="131" t="str">
        <f t="shared" si="8"/>
        <v>#REF!</v>
      </c>
      <c r="M22" s="131" t="str">
        <f t="array" ref="M22">INDEX(L:L,MIN(IF(ISNUMBER(L22:L218),ROW(L22:L218),"")))</f>
        <v/>
      </c>
      <c r="N22" s="130" t="str">
        <f t="shared" si="109"/>
        <v>#REF!</v>
      </c>
      <c r="O22" s="130" t="str">
        <f>N22*VLOOKUP('Données projet (1)'!$B$9,'Paramètres (1)'!$A$1:$I$88,3,0)*VLOOKUP('Données projet (1)'!$B$9,'Paramètres (1)'!$A$1:$I$88,5,0)</f>
        <v>#REF!</v>
      </c>
      <c r="P22" s="130" t="str">
        <f t="shared" si="110"/>
        <v>#REF!</v>
      </c>
      <c r="Q22" s="141" t="str">
        <f t="shared" si="9"/>
        <v>#REF!</v>
      </c>
      <c r="R22" s="133" t="str">
        <f t="shared" si="10"/>
        <v>#REF!</v>
      </c>
      <c r="S22" s="133" t="str">
        <f t="shared" si="11"/>
        <v>#REF!</v>
      </c>
      <c r="T22" s="133" t="str">
        <f t="shared" si="111"/>
        <v>#REF!</v>
      </c>
      <c r="U22" s="134" t="str">
        <f t="shared" si="12"/>
        <v>#REF!</v>
      </c>
      <c r="V22" s="134" t="str">
        <f t="shared" si="13"/>
        <v>#REF!</v>
      </c>
      <c r="W22" s="135" t="str">
        <f>IF(ISNA(VLOOKUP(A22,'Données projet (1)'!$A$35:$I$55,5,0)),0%,VLOOKUP(A22,'Données projet (1)'!$A$35:$I$55,5,0)*VLOOKUP('Données projet (1)'!$B$9,'Paramètres (1)'!$A$1:$I$88,7,0))</f>
        <v>#REF!</v>
      </c>
      <c r="X22" s="135" t="str">
        <f>IF(ISNA(VLOOKUP(A22,'Données projet (1)'!$A$35:$I$55,6,0)),0%,VLOOKUP(A22,'Données projet (1)'!$A$35:$I$55,6,0)*VLOOKUP('Données projet (1)'!$B$9,'Paramètres (1)'!$A$1:$I$88,7,0))</f>
        <v>#REF!</v>
      </c>
      <c r="Y22" s="135" t="str">
        <f t="shared" si="14"/>
        <v>#REF!</v>
      </c>
      <c r="Z22" s="142" t="str">
        <f>EXP(-LN(2)/35)*Z21+(1-EXP(-LN(2)/35))/(LN(2)/35)*V22*W22*VLOOKUP('Données projet (1)'!$B$9,'Paramètres (1)'!$A$1:$I$88,3,0)*0.475*44/12</f>
        <v>#REF!</v>
      </c>
      <c r="AA22" s="142" t="str">
        <f>EXP(-LN(2)/25)*AA21+(1-EXP(-LN(2)/25))/(LN(2)/25)*'Calculateur (1)'!V22*'Calculateur (1)'!X22*VLOOKUP('Données projet (1)'!$B$9,'Paramètres (1)'!$A$1:$I$88,3,0)*0.475*44/12</f>
        <v>#REF!</v>
      </c>
      <c r="AB22" s="142" t="str">
        <f>EXP(-LN(2)/2)*AB21+(1-EXP(-LN(2)/2))/(LN(2)/2)*V22*Y22*VLOOKUP('Données projet (1)'!$B$9,'Paramètres (1)'!$A$1:$I$88,3,0)*0.475*44/12</f>
        <v>#REF!</v>
      </c>
      <c r="AC22" s="143" t="str">
        <f t="shared" si="15"/>
        <v>#REF!</v>
      </c>
      <c r="AD22" s="130" t="str">
        <f t="shared" si="16"/>
        <v>#REF!</v>
      </c>
      <c r="AE22" s="130" t="str">
        <f t="shared" si="17"/>
        <v>#REF!</v>
      </c>
      <c r="AF22" s="131" t="str">
        <f t="shared" si="112"/>
        <v>#REF!</v>
      </c>
      <c r="AG22" s="131" t="str">
        <f t="shared" si="18"/>
        <v>#REF!</v>
      </c>
      <c r="AH22" s="131" t="str">
        <f t="array" ref="AH22">INDEX(AG:AG,MIN(IF(ISNUMBER(AG22:AG218),ROW(AG22:AG218),"")))</f>
        <v/>
      </c>
      <c r="AI22" s="130" t="str">
        <f t="shared" si="113"/>
        <v>#REF!</v>
      </c>
      <c r="AJ22" s="130" t="str">
        <f>AI22*VLOOKUP('Données projet (1)'!$B$10,'Paramètres (1)'!$A$1:$I$88,3,0)*VLOOKUP('Données projet (1)'!$B$10,'Paramètres (1)'!$A$1:$I$88,5,0)</f>
        <v>#REF!</v>
      </c>
      <c r="AK22" s="130" t="str">
        <f t="shared" si="114"/>
        <v>#REF!</v>
      </c>
      <c r="AL22" s="141" t="str">
        <f t="shared" si="19"/>
        <v>#REF!</v>
      </c>
      <c r="AM22" s="133" t="str">
        <f t="shared" si="20"/>
        <v>#REF!</v>
      </c>
      <c r="AN22" s="133" t="str">
        <f t="shared" si="21"/>
        <v>#REF!</v>
      </c>
      <c r="AO22" s="133" t="str">
        <f t="shared" si="115"/>
        <v>#REF!</v>
      </c>
      <c r="AP22" s="134" t="str">
        <f t="shared" si="22"/>
        <v>#REF!</v>
      </c>
      <c r="AQ22" s="134" t="str">
        <f t="shared" si="23"/>
        <v>#REF!</v>
      </c>
      <c r="AR22" s="135" t="str">
        <f>IF(ISNA(VLOOKUP(A22,'Données projet (1)'!$A$61:$I$81,5,0)),0%,VLOOKUP(A22,'Données projet (1)'!$A$61:$I$81,5,0)*VLOOKUP('Données projet (1)'!$B$10,'Paramètres (1)'!$A$1:$I$88,7,0))</f>
        <v>#REF!</v>
      </c>
      <c r="AS22" s="135" t="str">
        <f>IF(ISNA(VLOOKUP(A22,'Données projet (1)'!$A$61:$I$81,6,0)),0%,VLOOKUP(A22,'Données projet (1)'!$A$61:$I$81,6,0)*VLOOKUP('Données projet (1)'!$B$10,'Paramètres (1)'!$A$1:$I$88,7,0))</f>
        <v>#REF!</v>
      </c>
      <c r="AT22" s="135" t="str">
        <f t="shared" si="24"/>
        <v>#REF!</v>
      </c>
      <c r="AU22" s="142" t="str">
        <f>EXP(-LN(2)/35)*AU21+(1-EXP(-LN(2)/35))/(LN(2)/35)*AQ22*AR22*VLOOKUP('Données projet (1)'!$B$10,'Paramètres (1)'!$A$1:$I$88,3,0)*0.475*44/12</f>
        <v>#REF!</v>
      </c>
      <c r="AV22" s="142" t="str">
        <f>EXP(-LN(2)/25)*AV21+(1-EXP(-LN(2)/25))/(LN(2)/25)*'Calculateur (1)'!AQ22*'Calculateur (1)'!AS22*VLOOKUP('Données projet (1)'!$B$10,'Paramètres (1)'!$A$1:$I$88,3,0)*0.475*44/12</f>
        <v>#REF!</v>
      </c>
      <c r="AW22" s="142" t="str">
        <f>EXP(-LN(2)/2)*AW21+(1-EXP(-LN(2)/2))/(LN(2)/2)*AQ22*AT22*VLOOKUP('Données projet (1)'!$B$10,'Paramètres (1)'!$A$1:$I$88,3,0)*0.475*44/12</f>
        <v>#REF!</v>
      </c>
      <c r="AX22" s="142" t="str">
        <f t="shared" si="25"/>
        <v>#REF!</v>
      </c>
      <c r="AY22" s="137" t="str">
        <f t="shared" si="26"/>
        <v>#REF!</v>
      </c>
      <c r="AZ22" s="131" t="str">
        <f t="shared" si="27"/>
        <v>#REF!</v>
      </c>
      <c r="BA22" s="131" t="str">
        <f t="shared" si="116"/>
        <v>#REF!</v>
      </c>
      <c r="BB22" s="131" t="str">
        <f t="shared" si="28"/>
        <v>#REF!</v>
      </c>
      <c r="BC22" s="131" t="str">
        <f t="array" ref="BC22">INDEX(BB:BB,MIN(IF(ISNUMBER(BB22:BB218),ROW(BB22:BB218),"")))</f>
        <v/>
      </c>
      <c r="BD22" s="131" t="str">
        <f t="shared" si="117"/>
        <v>#REF!</v>
      </c>
      <c r="BE22" s="130" t="str">
        <f>BD22*VLOOKUP('Données projet (1)'!$B$11,'Paramètres (1)'!$A$1:$I$88,3,0)*VLOOKUP('Données projet (1)'!$B$11,'Paramètres (1)'!$A$1:$I$88,5,0)</f>
        <v>#REF!</v>
      </c>
      <c r="BF22" s="130" t="str">
        <f t="shared" si="118"/>
        <v>#REF!</v>
      </c>
      <c r="BG22" s="141" t="str">
        <f t="shared" si="29"/>
        <v>#REF!</v>
      </c>
      <c r="BH22" s="133" t="str">
        <f t="shared" si="30"/>
        <v>#REF!</v>
      </c>
      <c r="BI22" s="133" t="str">
        <f t="shared" si="31"/>
        <v>#REF!</v>
      </c>
      <c r="BJ22" s="133" t="str">
        <f t="shared" si="119"/>
        <v>#REF!</v>
      </c>
      <c r="BK22" s="134" t="str">
        <f t="shared" si="32"/>
        <v>#REF!</v>
      </c>
      <c r="BL22" s="134" t="str">
        <f t="shared" si="33"/>
        <v>#REF!</v>
      </c>
      <c r="BM22" s="135" t="str">
        <f>IF(ISNA(VLOOKUP(A22,'Données projet (1)'!$A$87:$I$107,5,0)),0%,VLOOKUP(A22,'Données projet (1)'!$A$87:$I$107,5,0)*VLOOKUP('Données projet (1)'!$B$11,'Paramètres (1)'!$A$1:$I$88,7,0))</f>
        <v>#REF!</v>
      </c>
      <c r="BN22" s="135" t="str">
        <f>IF(ISNA(VLOOKUP(A22,'Données projet (1)'!$A$87:$I$107,6,0)),0%,VLOOKUP(A22,'Données projet (1)'!$A$87:$I$107,6,0)*VLOOKUP('Données projet (1)'!$B$11,'Paramètres (1)'!$A$1:$I$88,7,0))</f>
        <v>#REF!</v>
      </c>
      <c r="BO22" s="135" t="str">
        <f t="shared" si="34"/>
        <v>#REF!</v>
      </c>
      <c r="BP22" s="142" t="str">
        <f>EXP(-LN(2)/35)*BP21+(1-EXP(-LN(2)/35))/(LN(2)/35)*BL22*BM22*VLOOKUP('Données projet (1)'!$B$11,'Paramètres (1)'!$A$1:$I$88,3,0)*0.475*44/12</f>
        <v>#REF!</v>
      </c>
      <c r="BQ22" s="142" t="str">
        <f>EXP(-LN(2)/25)*BQ21+(1-EXP(-LN(2)/25))/(LN(2)/25)*'Calculateur (1)'!BL22*'Calculateur (1)'!BN22*VLOOKUP('Données projet (1)'!$B$11,'Paramètres (1)'!$A$1:$I$88,3,0)*0.475*44/12</f>
        <v>#REF!</v>
      </c>
      <c r="BR22" s="142" t="str">
        <f>EXP(-LN(2)/2)*BR21+(1-EXP(-LN(2)/2))/(LN(2)/2)*BL22*BO22*VLOOKUP('Données projet (1)'!$B$11,'Paramètres (1)'!$A$1:$I$88,3,0)*0.475*44/12</f>
        <v>#REF!</v>
      </c>
      <c r="BS22" s="143" t="str">
        <f t="shared" si="35"/>
        <v>#REF!</v>
      </c>
      <c r="BT22" s="139" t="str">
        <f t="shared" si="36"/>
        <v>#REF!</v>
      </c>
      <c r="BU22" s="131" t="str">
        <f t="shared" si="37"/>
        <v>#REF!</v>
      </c>
      <c r="BV22" s="131" t="str">
        <f t="shared" si="120"/>
        <v>#REF!</v>
      </c>
      <c r="BW22" s="131" t="str">
        <f t="shared" si="38"/>
        <v>#REF!</v>
      </c>
      <c r="BX22" s="131" t="str">
        <f t="array" ref="BX22">INDEX(BW:BW,MIN(IF(ISNUMBER(BW22:BW218),ROW(BW22:BW218),"")))</f>
        <v/>
      </c>
      <c r="BY22" s="131" t="str">
        <f t="shared" si="121"/>
        <v>#REF!</v>
      </c>
      <c r="BZ22" s="130" t="str">
        <f>BY22*VLOOKUP('Données projet (1)'!$B$12,'Paramètres (1)'!$A$1:$I$88,3,0)*VLOOKUP('Données projet (1)'!$B$12,'Paramètres (1)'!$A$1:$I$88,5,0)</f>
        <v>#REF!</v>
      </c>
      <c r="CA22" s="130" t="str">
        <f t="shared" si="122"/>
        <v>#REF!</v>
      </c>
      <c r="CB22" s="141" t="str">
        <f t="shared" si="39"/>
        <v>#REF!</v>
      </c>
      <c r="CC22" s="133" t="str">
        <f t="shared" si="40"/>
        <v>#REF!</v>
      </c>
      <c r="CD22" s="133" t="str">
        <f t="shared" si="41"/>
        <v>#REF!</v>
      </c>
      <c r="CE22" s="133" t="str">
        <f t="shared" si="123"/>
        <v>#REF!</v>
      </c>
      <c r="CF22" s="134" t="str">
        <f t="shared" si="42"/>
        <v>#REF!</v>
      </c>
      <c r="CG22" s="134" t="str">
        <f t="shared" si="43"/>
        <v>#REF!</v>
      </c>
      <c r="CH22" s="135" t="str">
        <f>IF(ISNA(VLOOKUP(A22,'Données projet (1)'!$A$113:$I$133,5,0)),0%,VLOOKUP(A22,'Données projet (1)'!$A$113:$I$133,5,0)*VLOOKUP('Données projet (1)'!$B$12,'Paramètres (1)'!$A$1:$I$88,7,0))</f>
        <v>#REF!</v>
      </c>
      <c r="CI22" s="135" t="str">
        <f>IF(ISNA(VLOOKUP(A22,'Données projet (1)'!$A$113:$I$133,6,0)),0%,VLOOKUP(A22,'Données projet (1)'!$A$113:$I$133,6,0)*VLOOKUP('Données projet (1)'!$B$12,'Paramètres (1)'!$A$1:$I$88,7,0))</f>
        <v>#REF!</v>
      </c>
      <c r="CJ22" s="135" t="str">
        <f t="shared" si="44"/>
        <v>#REF!</v>
      </c>
      <c r="CK22" s="142" t="str">
        <f>EXP(-LN(2)/35)*CK21+(1-EXP(-LN(2)/35))/(LN(2)/35)*CG22*CH22*VLOOKUP('Données projet (1)'!$B$12,'Paramètres (1)'!$A$1:$I$88,3,0)*0.475*44/12</f>
        <v>#REF!</v>
      </c>
      <c r="CL22" s="142" t="str">
        <f>EXP(-LN(2)/25)*CL21+(1-EXP(-LN(2)/25))/(LN(2)/25)*'Calculateur (1)'!CG22*'Calculateur (1)'!CI22*VLOOKUP('Données projet (1)'!$B$12,'Paramètres (1)'!$A$1:$I$88,3,0)*0.475*44/12</f>
        <v>#REF!</v>
      </c>
      <c r="CM22" s="142" t="str">
        <f>EXP(-LN(2)/2)*CM21+(1-EXP(-LN(2)/2))/(LN(2)/2)*CG22*CJ22*VLOOKUP('Données projet (1)'!$B$12,'Paramètres (1)'!$A$1:$I$88,3,0)*0.475*44/12</f>
        <v>#REF!</v>
      </c>
      <c r="CN22" s="143" t="str">
        <f t="shared" si="45"/>
        <v>#REF!</v>
      </c>
      <c r="CO22" s="139" t="str">
        <f t="shared" si="46"/>
        <v>#REF!</v>
      </c>
      <c r="CP22" s="131" t="str">
        <f t="shared" si="47"/>
        <v>#REF!</v>
      </c>
      <c r="CQ22" s="131" t="str">
        <f t="shared" si="124"/>
        <v>#REF!</v>
      </c>
      <c r="CR22" s="131" t="str">
        <f t="shared" si="48"/>
        <v>#REF!</v>
      </c>
      <c r="CS22" s="131" t="str">
        <f t="array" ref="CS22">INDEX(CR:CR,MIN(IF(ISNUMBER(CR22:CR218),ROW(CR22:CR218),"")))</f>
        <v/>
      </c>
      <c r="CT22" s="131" t="str">
        <f t="shared" si="125"/>
        <v>#REF!</v>
      </c>
      <c r="CU22" s="138" t="str">
        <f>CT22*VLOOKUP('Données projet (1)'!$B$13,'Paramètres (1)'!$A$1:$I$88,3,0)*VLOOKUP('Données projet (1)'!$B$13,'Paramètres (1)'!$A$1:$I$88,5,0)</f>
        <v>#REF!</v>
      </c>
      <c r="CV22" s="130" t="str">
        <f t="shared" si="126"/>
        <v>#REF!</v>
      </c>
      <c r="CW22" s="141" t="str">
        <f t="shared" si="49"/>
        <v>#REF!</v>
      </c>
      <c r="CX22" s="133" t="str">
        <f t="shared" si="50"/>
        <v>#REF!</v>
      </c>
      <c r="CY22" s="133" t="str">
        <f t="shared" si="51"/>
        <v>#REF!</v>
      </c>
      <c r="CZ22" s="133" t="str">
        <f t="shared" si="127"/>
        <v>#REF!</v>
      </c>
      <c r="DA22" s="134" t="str">
        <f t="shared" si="52"/>
        <v>#REF!</v>
      </c>
      <c r="DB22" s="134" t="str">
        <f t="shared" si="53"/>
        <v>#REF!</v>
      </c>
      <c r="DC22" s="135" t="str">
        <f>IF(ISNA(VLOOKUP(A22,'Données projet (1)'!$A$139:$I$159,5,0)),0%,VLOOKUP(A22,'Données projet (1)'!$A$139:$I$159,5,0)*VLOOKUP('Données projet (1)'!$B$13,'Paramètres (1)'!$A$1:$I$88,7,0))</f>
        <v>#REF!</v>
      </c>
      <c r="DD22" s="135" t="str">
        <f>IF(ISNA(VLOOKUP(A22,'Données projet (1)'!$A$139:$I$159,6,0)),0%,VLOOKUP(A22,'Données projet (1)'!$A$139:$I$159,6,0)*VLOOKUP('Données projet (1)'!$B$13,'Paramètres (1)'!$A$1:$I$88,7,0))</f>
        <v>#REF!</v>
      </c>
      <c r="DE22" s="135" t="str">
        <f t="shared" si="54"/>
        <v>#REF!</v>
      </c>
      <c r="DF22" s="142" t="str">
        <f>EXP(-LN(2)/35)*DF21+(1-EXP(-LN(2)/35))/(LN(2)/35)*DB22*DC22*VLOOKUP('Données projet (1)'!$B$13,'Paramètres (1)'!$A$1:$I$88,3,0)*0.475*44/12</f>
        <v>#REF!</v>
      </c>
      <c r="DG22" s="142" t="str">
        <f>EXP(-LN(2)/25)*DG21+(1-EXP(-LN(2)/25))/(LN(2)/25)*'Calculateur (1)'!DB22*'Calculateur (1)'!DD22*VLOOKUP('Données projet (1)'!$B$13,'Paramètres (1)'!$A$1:$I$88,3,0)*0.475*44/12</f>
        <v>#REF!</v>
      </c>
      <c r="DH22" s="142" t="str">
        <f>EXP(-LN(2)/2)*DH21+(1-EXP(-LN(2)/2))/(LN(2)/2)*DB22*DE22*VLOOKUP('Données projet (1)'!$B$13,'Paramètres (1)'!$A$1:$I$88,3,0)*0.475*44/12</f>
        <v>#REF!</v>
      </c>
      <c r="DI22" s="143" t="str">
        <f t="shared" si="55"/>
        <v>#REF!</v>
      </c>
      <c r="DJ22" s="139" t="str">
        <f t="shared" si="56"/>
        <v>#REF!</v>
      </c>
      <c r="DK22" s="131" t="str">
        <f t="shared" si="57"/>
        <v>#REF!</v>
      </c>
      <c r="DL22" s="131" t="str">
        <f t="shared" si="128"/>
        <v>#REF!</v>
      </c>
      <c r="DM22" s="131" t="str">
        <f t="shared" si="58"/>
        <v>#REF!</v>
      </c>
      <c r="DN22" s="131" t="str">
        <f t="array" ref="DN22">INDEX(DM:DM,MIN(IF(ISNUMBER(DM22:DM218),ROW(DM22:DM218),"")))</f>
        <v/>
      </c>
      <c r="DO22" s="131" t="str">
        <f t="shared" si="129"/>
        <v>#REF!</v>
      </c>
      <c r="DP22" s="138" t="str">
        <f>DO22*VLOOKUP('Données projet (1)'!$B$14,'Paramètres (1)'!$A$1:$I$88,3,0)*VLOOKUP('Données projet (1)'!$B$14,'Paramètres (1)'!$A$1:$I$88,5,0)</f>
        <v>#REF!</v>
      </c>
      <c r="DQ22" s="130" t="str">
        <f t="shared" si="130"/>
        <v>#REF!</v>
      </c>
      <c r="DR22" s="141" t="str">
        <f t="shared" si="59"/>
        <v>#REF!</v>
      </c>
      <c r="DS22" s="133" t="str">
        <f t="shared" si="60"/>
        <v>#REF!</v>
      </c>
      <c r="DT22" s="133" t="str">
        <f t="shared" si="61"/>
        <v>#REF!</v>
      </c>
      <c r="DU22" s="133" t="str">
        <f t="shared" si="131"/>
        <v>#REF!</v>
      </c>
      <c r="DV22" s="134" t="str">
        <f t="shared" si="62"/>
        <v>#REF!</v>
      </c>
      <c r="DW22" s="134" t="str">
        <f t="shared" si="63"/>
        <v>#REF!</v>
      </c>
      <c r="DX22" s="135" t="str">
        <f>IF(ISNA(VLOOKUP(A22,'Données projet (1)'!$A$165:$I$185,5,0)),0%,VLOOKUP(A22,'Données projet (1)'!$A$165:$I$185,5,0)*VLOOKUP('Données projet (1)'!$B$14,'Paramètres (1)'!$A$1:$I$88,7,0))</f>
        <v>#REF!</v>
      </c>
      <c r="DY22" s="135" t="str">
        <f>IF(ISNA(VLOOKUP(A22,'Données projet (1)'!$A$165:$I$185,6,0)),0%,VLOOKUP(A22,'Données projet (1)'!$A$165:$I$185,6,0)*VLOOKUP('Données projet (1)'!$B$14,'Paramètres (1)'!$A$1:$I$88,7,0))</f>
        <v>#REF!</v>
      </c>
      <c r="DZ22" s="135" t="str">
        <f t="shared" si="64"/>
        <v>#REF!</v>
      </c>
      <c r="EA22" s="142" t="str">
        <f>EXP(-LN(2)/35)*EA21+(1-EXP(-LN(2)/35))/(LN(2)/35)*DW22*DX22*VLOOKUP('Données projet (1)'!$B$14,'Paramètres (1)'!$A$1:$I$88,3,0)*0.475*44/12</f>
        <v>#REF!</v>
      </c>
      <c r="EB22" s="142" t="str">
        <f>EXP(-LN(2)/25)*EB21+(1-EXP(-LN(2)/25))/(LN(2)/25)*'Calculateur (1)'!DW22*'Calculateur (1)'!DY22*VLOOKUP('Données projet (1)'!$B$14,'Paramètres (1)'!$A$1:$I$88,3,0)*0.475*44/12</f>
        <v>#REF!</v>
      </c>
      <c r="EC22" s="142" t="str">
        <f>EXP(-LN(2)/2)*EC21+(1-EXP(-LN(2)/2))/(LN(2)/2)*DW22*DZ22*VLOOKUP('Données projet (1)'!$B$14,'Paramètres (1)'!$A$1:$I$88,3,0)*0.475*44/12</f>
        <v>#REF!</v>
      </c>
      <c r="ED22" s="143" t="str">
        <f t="shared" si="65"/>
        <v>#REF!</v>
      </c>
      <c r="EE22" s="139" t="str">
        <f t="shared" si="66"/>
        <v>#REF!</v>
      </c>
      <c r="EF22" s="131" t="str">
        <f t="shared" si="67"/>
        <v>#REF!</v>
      </c>
      <c r="EG22" s="131" t="str">
        <f t="shared" si="132"/>
        <v>#REF!</v>
      </c>
      <c r="EH22" s="131" t="str">
        <f t="shared" si="68"/>
        <v>#REF!</v>
      </c>
      <c r="EI22" s="131" t="str">
        <f t="array" ref="EI22">INDEX(EH:EH,MIN(IF(ISNUMBER(EH22:EH218),ROW(EH22:EH218),"")))</f>
        <v/>
      </c>
      <c r="EJ22" s="131" t="str">
        <f t="shared" si="133"/>
        <v>#REF!</v>
      </c>
      <c r="EK22" s="138" t="str">
        <f>EJ22*VLOOKUP('Données projet (1)'!$B$15,'Paramètres (1)'!$A$1:$I$88,3,0)*VLOOKUP('Données projet (1)'!$B$15,'Paramètres (1)'!$A$1:$I$88,5,0)</f>
        <v>#REF!</v>
      </c>
      <c r="EL22" s="130" t="str">
        <f t="shared" si="134"/>
        <v>#REF!</v>
      </c>
      <c r="EM22" s="141" t="str">
        <f t="shared" si="69"/>
        <v>#REF!</v>
      </c>
      <c r="EN22" s="133" t="str">
        <f t="shared" si="70"/>
        <v>#REF!</v>
      </c>
      <c r="EO22" s="133" t="str">
        <f t="shared" si="71"/>
        <v>#REF!</v>
      </c>
      <c r="EP22" s="133" t="str">
        <f t="shared" si="135"/>
        <v>#REF!</v>
      </c>
      <c r="EQ22" s="134" t="str">
        <f t="shared" si="72"/>
        <v>#REF!</v>
      </c>
      <c r="ER22" s="134" t="str">
        <f t="shared" si="73"/>
        <v>#REF!</v>
      </c>
      <c r="ES22" s="135" t="str">
        <f>IF(ISNA(VLOOKUP(A22,'Données projet (1)'!$A$191:$I$211,5,0)),0%,VLOOKUP(A22,'Données projet (1)'!$A$191:$I$211,5,0)*VLOOKUP('Données projet (1)'!$B$15,'Paramètres (1)'!$A$1:$I$88,7,0))</f>
        <v>#REF!</v>
      </c>
      <c r="ET22" s="135" t="str">
        <f>IF(ISNA(VLOOKUP(A22,'Données projet (1)'!$A$191:$I$211,6,0)),0%,VLOOKUP(A22,'Données projet (1)'!$A$191:$I$211,6,0)*VLOOKUP('Données projet (1)'!$B$15,'Paramètres (1)'!$A$1:$I$88,7,0))</f>
        <v>#REF!</v>
      </c>
      <c r="EU22" s="135" t="str">
        <f t="shared" si="74"/>
        <v>#REF!</v>
      </c>
      <c r="EV22" s="142" t="str">
        <f>EXP(-LN(2)/35)*EV21+(1-EXP(-LN(2)/35))/(LN(2)/35)*ER22*ES22*VLOOKUP('Données projet (1)'!$B$15,'Paramètres (1)'!$A$1:$I$88,3,0)*0.475*44/12</f>
        <v>#REF!</v>
      </c>
      <c r="EW22" s="142" t="str">
        <f>EXP(-LN(2)/25)*EW21+(1-EXP(-LN(2)/25))/(LN(2)/25)*'Calculateur (1)'!ER22*'Calculateur (1)'!ET22*VLOOKUP('Données projet (1)'!$B$15,'Paramètres (1)'!$A$1:$I$88,3,0)*0.475*44/12</f>
        <v>#REF!</v>
      </c>
      <c r="EX22" s="142" t="str">
        <f>EXP(-LN(2)/2)*EX21+(1-EXP(-LN(2)/2))/(LN(2)/2)*ER22*EU22*VLOOKUP('Données projet (1)'!$B$15,'Paramètres (1)'!$A$1:$I$88,3,0)*0.475*44/12</f>
        <v>#REF!</v>
      </c>
      <c r="EY22" s="143" t="str">
        <f t="shared" si="75"/>
        <v>#REF!</v>
      </c>
      <c r="EZ22" s="139" t="str">
        <f t="shared" si="76"/>
        <v>#REF!</v>
      </c>
      <c r="FA22" s="131" t="str">
        <f t="shared" si="77"/>
        <v>#REF!</v>
      </c>
      <c r="FB22" s="131" t="str">
        <f t="shared" si="136"/>
        <v>#REF!</v>
      </c>
      <c r="FC22" s="131" t="str">
        <f t="shared" si="78"/>
        <v>#REF!</v>
      </c>
      <c r="FD22" s="131" t="str">
        <f t="array" ref="FD22">INDEX(FC:FC,MIN(IF(ISNUMBER(FC22:FC218),ROW(FC22:FC218),"")))</f>
        <v/>
      </c>
      <c r="FE22" s="131" t="str">
        <f t="shared" si="137"/>
        <v>#REF!</v>
      </c>
      <c r="FF22" s="138" t="str">
        <f>FE22*VLOOKUP('Données projet (1)'!$B$16,'Paramètres (1)'!$A$1:$I$88,3,0)*VLOOKUP('Données projet (1)'!$B$16,'Paramètres (1)'!$A$1:$I$88,5,0)</f>
        <v>#REF!</v>
      </c>
      <c r="FG22" s="130" t="str">
        <f t="shared" si="138"/>
        <v>#REF!</v>
      </c>
      <c r="FH22" s="141" t="str">
        <f t="shared" si="79"/>
        <v>#REF!</v>
      </c>
      <c r="FI22" s="133" t="str">
        <f t="shared" si="80"/>
        <v>#REF!</v>
      </c>
      <c r="FJ22" s="133" t="str">
        <f t="shared" si="81"/>
        <v>#REF!</v>
      </c>
      <c r="FK22" s="133" t="str">
        <f t="shared" si="139"/>
        <v>#REF!</v>
      </c>
      <c r="FL22" s="134" t="str">
        <f t="shared" si="82"/>
        <v>#REF!</v>
      </c>
      <c r="FM22" s="134" t="str">
        <f t="shared" si="83"/>
        <v>#REF!</v>
      </c>
      <c r="FN22" s="135" t="str">
        <f>IF(ISNA(VLOOKUP(A22,'Données projet (1)'!$A$217:$I$237,5,0)),0%,VLOOKUP(A22,'Données projet (1)'!$A$217:$I$237,5,0)*VLOOKUP('Données projet (1)'!$B$16,'Paramètres (1)'!$A$1:$I$88,7,0))</f>
        <v>#REF!</v>
      </c>
      <c r="FO22" s="135" t="str">
        <f>IF(ISNA(VLOOKUP(A22,'Données projet (1)'!$A$217:$I$237,6,0)),0%,VLOOKUP(A22,'Données projet (1)'!$A$217:$I$237,6,0)*VLOOKUP('Données projet (1)'!$B$16,'Paramètres (1)'!$A$1:$I$88,7,0))</f>
        <v>#REF!</v>
      </c>
      <c r="FP22" s="135" t="str">
        <f t="shared" si="84"/>
        <v>#REF!</v>
      </c>
      <c r="FQ22" s="142" t="str">
        <f>EXP(-LN(2)/35)*FQ21+(1-EXP(-LN(2)/35))/(LN(2)/35)*FM22*FN22*VLOOKUP('Données projet (1)'!$B$16,'Paramètres (1)'!$A$1:$I$88,3,0)*0.475*44/12</f>
        <v>#REF!</v>
      </c>
      <c r="FR22" s="142" t="str">
        <f>EXP(-LN(2)/25)*FR21+(1-EXP(-LN(2)/25))/(LN(2)/25)*'Calculateur (1)'!FM22*'Calculateur (1)'!FO22*VLOOKUP('Données projet (1)'!$B$16,'Paramètres (1)'!$A$1:$I$88,3,0)*0.475*44/12</f>
        <v>#REF!</v>
      </c>
      <c r="FS22" s="142" t="str">
        <f>EXP(-LN(2)/2)*FS21+(1-EXP(-LN(2)/2))/(LN(2)/2)*FM22*FP22*VLOOKUP('Données projet (1)'!$B$16,'Paramètres (1)'!$A$1:$I$88,3,0)*0.475*44/12</f>
        <v>#REF!</v>
      </c>
      <c r="FT22" s="143" t="str">
        <f t="shared" si="85"/>
        <v>#REF!</v>
      </c>
      <c r="FU22" s="139" t="str">
        <f t="shared" si="86"/>
        <v>#REF!</v>
      </c>
      <c r="FV22" s="131" t="str">
        <f t="shared" si="87"/>
        <v>#REF!</v>
      </c>
      <c r="FW22" s="131" t="str">
        <f t="shared" si="140"/>
        <v>#REF!</v>
      </c>
      <c r="FX22" s="131" t="str">
        <f t="shared" si="88"/>
        <v>#REF!</v>
      </c>
      <c r="FY22" s="131" t="str">
        <f t="array" ref="FY22">INDEX(FX:FX,MIN(IF(ISNUMBER(FX22:FX218),ROW(FX22:FX218),"")))</f>
        <v/>
      </c>
      <c r="FZ22" s="131" t="str">
        <f t="shared" si="141"/>
        <v>#REF!</v>
      </c>
      <c r="GA22" s="138" t="str">
        <f>FZ22*VLOOKUP('Données projet (1)'!$B$17,'Paramètres (1)'!$A$1:$I$88,3,0)*VLOOKUP('Données projet (1)'!$B$17,'Paramètres (1)'!$A$1:$I$88,5,0)</f>
        <v>#REF!</v>
      </c>
      <c r="GB22" s="130" t="str">
        <f t="shared" si="142"/>
        <v>#REF!</v>
      </c>
      <c r="GC22" s="141" t="str">
        <f t="shared" si="89"/>
        <v>#REF!</v>
      </c>
      <c r="GD22" s="133" t="str">
        <f t="shared" si="90"/>
        <v>#REF!</v>
      </c>
      <c r="GE22" s="133" t="str">
        <f t="shared" si="91"/>
        <v>#REF!</v>
      </c>
      <c r="GF22" s="133" t="str">
        <f t="shared" si="143"/>
        <v>#REF!</v>
      </c>
      <c r="GG22" s="134" t="str">
        <f t="shared" si="92"/>
        <v>#REF!</v>
      </c>
      <c r="GH22" s="134" t="str">
        <f t="shared" si="93"/>
        <v>#REF!</v>
      </c>
      <c r="GI22" s="135" t="str">
        <f>IF(ISNA(VLOOKUP(A22,'Données projet (1)'!$A$243:$I$263,5,0)),0%,VLOOKUP(A22,'Données projet (1)'!$A$243:$I$263,5,0)*VLOOKUP('Données projet (1)'!$B$17,'Paramètres (1)'!$A$1:$I$88,7,0))</f>
        <v>#REF!</v>
      </c>
      <c r="GJ22" s="135" t="str">
        <f>IF(ISNA(VLOOKUP(A22,'Données projet (1)'!$A$243:$I$263,6,0)),0%,VLOOKUP(A22,'Données projet (1)'!$A$243:$I$263,6,0)*VLOOKUP('Données projet (1)'!$B$17,'Paramètres (1)'!$A$1:$I$88,7,0))</f>
        <v>#REF!</v>
      </c>
      <c r="GK22" s="135" t="str">
        <f t="shared" si="94"/>
        <v>#REF!</v>
      </c>
      <c r="GL22" s="142" t="str">
        <f>EXP(-LN(2)/35)*GL21+(1-EXP(-LN(2)/35))/(LN(2)/35)*GH22*GI22*VLOOKUP('Données projet (1)'!$B$17,'Paramètres (1)'!$A$1:$I$88,3,0)*0.475*44/12</f>
        <v>#REF!</v>
      </c>
      <c r="GM22" s="142" t="str">
        <f>EXP(-LN(2)/25)*GM21+(1-EXP(-LN(2)/25))/(LN(2)/25)*'Calculateur (1)'!GH22*'Calculateur (1)'!GJ22*VLOOKUP('Données projet (1)'!$B$17,'Paramètres (1)'!$A$1:$I$88,3,0)*0.475*44/12</f>
        <v>#REF!</v>
      </c>
      <c r="GN22" s="142" t="str">
        <f>EXP(-LN(2)/2)*GN21+(1-EXP(-LN(2)/2))/(LN(2)/2)*GH22*GK22*VLOOKUP('Données projet (1)'!$B$17,'Paramètres (1)'!$A$1:$I$88,3,0)*0.475*44/12</f>
        <v>#REF!</v>
      </c>
      <c r="GO22" s="142" t="str">
        <f t="shared" si="95"/>
        <v>#REF!</v>
      </c>
      <c r="GP22" s="139" t="str">
        <f t="shared" si="96"/>
        <v>#REF!</v>
      </c>
      <c r="GQ22" s="131" t="str">
        <f t="shared" si="97"/>
        <v>#REF!</v>
      </c>
      <c r="GR22" s="131" t="str">
        <f t="shared" si="144"/>
        <v>#REF!</v>
      </c>
      <c r="GS22" s="131" t="str">
        <f t="shared" si="98"/>
        <v>#REF!</v>
      </c>
      <c r="GT22" s="131" t="str">
        <f t="array" ref="GT22">INDEX(GS:GS,MIN(IF(ISNUMBER(GS22:GS218),ROW(GS22:GS218),"")))</f>
        <v/>
      </c>
      <c r="GU22" s="131" t="str">
        <f t="shared" si="145"/>
        <v>#REF!</v>
      </c>
      <c r="GV22" s="138" t="str">
        <f>GU22*VLOOKUP('Données projet (1)'!$B$18,'Paramètres (1)'!$A$1:$I$88,3,0)*VLOOKUP('Données projet (1)'!$B$18,'Paramètres (1)'!$A$1:$I$88,5,0)</f>
        <v>#REF!</v>
      </c>
      <c r="GW22" s="130" t="str">
        <f t="shared" si="146"/>
        <v>#REF!</v>
      </c>
      <c r="GX22" s="141" t="str">
        <f t="shared" si="99"/>
        <v>#REF!</v>
      </c>
      <c r="GY22" s="133" t="str">
        <f t="shared" si="100"/>
        <v>#REF!</v>
      </c>
      <c r="GZ22" s="133" t="str">
        <f t="shared" si="101"/>
        <v>#REF!</v>
      </c>
      <c r="HA22" s="133" t="str">
        <f t="shared" si="147"/>
        <v>#REF!</v>
      </c>
      <c r="HB22" s="134" t="str">
        <f t="shared" si="102"/>
        <v>#REF!</v>
      </c>
      <c r="HC22" s="134" t="str">
        <f t="shared" si="103"/>
        <v>#REF!</v>
      </c>
      <c r="HD22" s="135" t="str">
        <f>IF(ISNA(VLOOKUP(A22,'Données projet (1)'!$A$269:$I$289,5,0)),0%,VLOOKUP(A22,'Données projet (1)'!$A$269:$I$289,5,0)*VLOOKUP('Données projet (1)'!$B$18,'Paramètres (1)'!$A$1:$I$88,7,0))</f>
        <v>#REF!</v>
      </c>
      <c r="HE22" s="135" t="str">
        <f>IF(ISNA(VLOOKUP(A22,'Données projet (1)'!$A$269:$I$289,6,0)),0%,VLOOKUP(A22,'Données projet (1)'!$A$269:$I$289,6,0)*VLOOKUP('Données projet (1)'!$B$18,'Paramètres (1)'!$A$1:$I$88,7,0))</f>
        <v>#REF!</v>
      </c>
      <c r="HF22" s="135" t="str">
        <f t="shared" si="104"/>
        <v>#REF!</v>
      </c>
      <c r="HG22" s="142" t="str">
        <f>EXP(-LN(2)/35)*HG21+(1-EXP(-LN(2)/35))/(LN(2)/35)*HC22*HD22*VLOOKUP('Données projet (1)'!$B$18,'Paramètres (1)'!$A$1:$I$88,3,0)*0.475*44/12</f>
        <v>#REF!</v>
      </c>
      <c r="HH22" s="142" t="str">
        <f>EXP(-LN(2)/25)*HH21+(1-EXP(-LN(2)/25))/(LN(2)/25)*'Calculateur (1)'!HC22*'Calculateur (1)'!HE22*VLOOKUP('Données projet (1)'!$B$18,'Paramètres (1)'!$A$1:$I$88,3,0)*0.475*44/12</f>
        <v>#REF!</v>
      </c>
      <c r="HI22" s="142" t="str">
        <f>EXP(-LN(2)/2)*HI21+(1-EXP(-LN(2)/2))/(LN(2)/2)*HC22*HF22*VLOOKUP('Données projet (1)'!$B$18,'Paramètres (1)'!$A$1:$I$88,3,0)*0.475*44/12</f>
        <v>#REF!</v>
      </c>
      <c r="HJ22" s="143" t="str">
        <f t="shared" si="105"/>
        <v>#REF!</v>
      </c>
    </row>
    <row r="23" ht="14.25" customHeight="1">
      <c r="A23" s="125">
        <f t="shared" si="106"/>
        <v>20</v>
      </c>
      <c r="B23" s="126" t="str">
        <f t="shared" si="1"/>
        <v>#REF!</v>
      </c>
      <c r="C23" s="140" t="str">
        <f>'Calculateur (1)'!C22+'Scénario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3" s="127">
        <f t="shared" si="107"/>
        <v>0</v>
      </c>
      <c r="E23" s="127" t="str">
        <f t="shared" si="2"/>
        <v>#REF!</v>
      </c>
      <c r="F23" s="127" t="str">
        <f t="shared" si="3"/>
        <v>#REF!</v>
      </c>
      <c r="G23" s="127" t="str">
        <f t="shared" si="4"/>
        <v>#REF!</v>
      </c>
      <c r="H23" s="128" t="str">
        <f t="shared" si="5"/>
        <v>#REF!</v>
      </c>
      <c r="I23" s="129" t="str">
        <f t="shared" si="6"/>
        <v>#REF!</v>
      </c>
      <c r="J23" s="130" t="str">
        <f t="shared" si="7"/>
        <v>#REF!</v>
      </c>
      <c r="K23" s="131" t="str">
        <f t="shared" si="108"/>
        <v>#REF!</v>
      </c>
      <c r="L23" s="131" t="str">
        <f t="shared" si="8"/>
        <v>#REF!</v>
      </c>
      <c r="M23" s="131" t="str">
        <f t="array" ref="M23">INDEX(L:L,MIN(IF(ISNUMBER(L23:L219),ROW(L23:L219),"")))</f>
        <v/>
      </c>
      <c r="N23" s="130" t="str">
        <f t="shared" si="109"/>
        <v>#REF!</v>
      </c>
      <c r="O23" s="130" t="str">
        <f>N23*VLOOKUP('Données projet (1)'!$B$9,'Paramètres (1)'!$A$1:$I$88,3,0)*VLOOKUP('Données projet (1)'!$B$9,'Paramètres (1)'!$A$1:$I$88,5,0)</f>
        <v>#REF!</v>
      </c>
      <c r="P23" s="130" t="str">
        <f t="shared" si="110"/>
        <v>#REF!</v>
      </c>
      <c r="Q23" s="141" t="str">
        <f t="shared" si="9"/>
        <v>#REF!</v>
      </c>
      <c r="R23" s="133" t="str">
        <f t="shared" si="10"/>
        <v>#REF!</v>
      </c>
      <c r="S23" s="133" t="str">
        <f t="shared" si="11"/>
        <v>#REF!</v>
      </c>
      <c r="T23" s="133" t="str">
        <f t="shared" si="111"/>
        <v>#REF!</v>
      </c>
      <c r="U23" s="134" t="str">
        <f t="shared" si="12"/>
        <v>#REF!</v>
      </c>
      <c r="V23" s="134" t="str">
        <f t="shared" si="13"/>
        <v>#REF!</v>
      </c>
      <c r="W23" s="135" t="str">
        <f>IF(ISNA(VLOOKUP(A23,'Données projet (1)'!$A$35:$I$55,5,0)),0%,VLOOKUP(A23,'Données projet (1)'!$A$35:$I$55,5,0)*VLOOKUP('Données projet (1)'!$B$9,'Paramètres (1)'!$A$1:$I$88,7,0))</f>
        <v>#REF!</v>
      </c>
      <c r="X23" s="135" t="str">
        <f>IF(ISNA(VLOOKUP(A23,'Données projet (1)'!$A$35:$I$55,6,0)),0%,VLOOKUP(A23,'Données projet (1)'!$A$35:$I$55,6,0)*VLOOKUP('Données projet (1)'!$B$9,'Paramètres (1)'!$A$1:$I$88,7,0))</f>
        <v>#REF!</v>
      </c>
      <c r="Y23" s="135" t="str">
        <f t="shared" si="14"/>
        <v>#REF!</v>
      </c>
      <c r="Z23" s="142" t="str">
        <f>EXP(-LN(2)/35)*Z22+(1-EXP(-LN(2)/35))/(LN(2)/35)*V23*W23*VLOOKUP('Données projet (1)'!$B$9,'Paramètres (1)'!$A$1:$I$88,3,0)*0.475*44/12</f>
        <v>#REF!</v>
      </c>
      <c r="AA23" s="142" t="str">
        <f>EXP(-LN(2)/25)*AA22+(1-EXP(-LN(2)/25))/(LN(2)/25)*'Calculateur (1)'!V23*'Calculateur (1)'!X23*VLOOKUP('Données projet (1)'!$B$9,'Paramètres (1)'!$A$1:$I$88,3,0)*0.475*44/12</f>
        <v>#REF!</v>
      </c>
      <c r="AB23" s="142" t="str">
        <f>EXP(-LN(2)/2)*AB22+(1-EXP(-LN(2)/2))/(LN(2)/2)*V23*Y23*VLOOKUP('Données projet (1)'!$B$9,'Paramètres (1)'!$A$1:$I$88,3,0)*0.475*44/12</f>
        <v>#REF!</v>
      </c>
      <c r="AC23" s="143" t="str">
        <f t="shared" si="15"/>
        <v>#REF!</v>
      </c>
      <c r="AD23" s="130" t="str">
        <f t="shared" si="16"/>
        <v>#REF!</v>
      </c>
      <c r="AE23" s="130" t="str">
        <f t="shared" si="17"/>
        <v>#REF!</v>
      </c>
      <c r="AF23" s="131" t="str">
        <f t="shared" si="112"/>
        <v>#REF!</v>
      </c>
      <c r="AG23" s="131" t="str">
        <f t="shared" si="18"/>
        <v>#REF!</v>
      </c>
      <c r="AH23" s="131" t="str">
        <f t="array" ref="AH23">INDEX(AG:AG,MIN(IF(ISNUMBER(AG23:AG219),ROW(AG23:AG219),"")))</f>
        <v/>
      </c>
      <c r="AI23" s="130" t="str">
        <f t="shared" si="113"/>
        <v>#REF!</v>
      </c>
      <c r="AJ23" s="130" t="str">
        <f>AI23*VLOOKUP('Données projet (1)'!$B$10,'Paramètres (1)'!$A$1:$I$88,3,0)*VLOOKUP('Données projet (1)'!$B$10,'Paramètres (1)'!$A$1:$I$88,5,0)</f>
        <v>#REF!</v>
      </c>
      <c r="AK23" s="130" t="str">
        <f t="shared" si="114"/>
        <v>#REF!</v>
      </c>
      <c r="AL23" s="141" t="str">
        <f t="shared" si="19"/>
        <v>#REF!</v>
      </c>
      <c r="AM23" s="133" t="str">
        <f t="shared" si="20"/>
        <v>#REF!</v>
      </c>
      <c r="AN23" s="133" t="str">
        <f t="shared" si="21"/>
        <v>#REF!</v>
      </c>
      <c r="AO23" s="133" t="str">
        <f t="shared" si="115"/>
        <v>#REF!</v>
      </c>
      <c r="AP23" s="134" t="str">
        <f t="shared" si="22"/>
        <v>#REF!</v>
      </c>
      <c r="AQ23" s="134" t="str">
        <f t="shared" si="23"/>
        <v>#REF!</v>
      </c>
      <c r="AR23" s="135" t="str">
        <f>IF(ISNA(VLOOKUP(A23,'Données projet (1)'!$A$61:$I$81,5,0)),0%,VLOOKUP(A23,'Données projet (1)'!$A$61:$I$81,5,0)*VLOOKUP('Données projet (1)'!$B$10,'Paramètres (1)'!$A$1:$I$88,7,0))</f>
        <v>#REF!</v>
      </c>
      <c r="AS23" s="135" t="str">
        <f>IF(ISNA(VLOOKUP(A23,'Données projet (1)'!$A$61:$I$81,6,0)),0%,VLOOKUP(A23,'Données projet (1)'!$A$61:$I$81,6,0)*VLOOKUP('Données projet (1)'!$B$10,'Paramètres (1)'!$A$1:$I$88,7,0))</f>
        <v>#REF!</v>
      </c>
      <c r="AT23" s="135" t="str">
        <f t="shared" si="24"/>
        <v>#REF!</v>
      </c>
      <c r="AU23" s="142" t="str">
        <f>EXP(-LN(2)/35)*AU22+(1-EXP(-LN(2)/35))/(LN(2)/35)*AQ23*AR23*VLOOKUP('Données projet (1)'!$B$10,'Paramètres (1)'!$A$1:$I$88,3,0)*0.475*44/12</f>
        <v>#REF!</v>
      </c>
      <c r="AV23" s="142" t="str">
        <f>EXP(-LN(2)/25)*AV22+(1-EXP(-LN(2)/25))/(LN(2)/25)*'Calculateur (1)'!AQ23*'Calculateur (1)'!AS23*VLOOKUP('Données projet (1)'!$B$10,'Paramètres (1)'!$A$1:$I$88,3,0)*0.475*44/12</f>
        <v>#REF!</v>
      </c>
      <c r="AW23" s="142" t="str">
        <f>EXP(-LN(2)/2)*AW22+(1-EXP(-LN(2)/2))/(LN(2)/2)*AQ23*AT23*VLOOKUP('Données projet (1)'!$B$10,'Paramètres (1)'!$A$1:$I$88,3,0)*0.475*44/12</f>
        <v>#REF!</v>
      </c>
      <c r="AX23" s="142" t="str">
        <f t="shared" si="25"/>
        <v>#REF!</v>
      </c>
      <c r="AY23" s="137" t="str">
        <f t="shared" si="26"/>
        <v>#REF!</v>
      </c>
      <c r="AZ23" s="131" t="str">
        <f t="shared" si="27"/>
        <v>#REF!</v>
      </c>
      <c r="BA23" s="131" t="str">
        <f t="shared" si="116"/>
        <v>#REF!</v>
      </c>
      <c r="BB23" s="131" t="str">
        <f t="shared" si="28"/>
        <v>#REF!</v>
      </c>
      <c r="BC23" s="131" t="str">
        <f t="array" ref="BC23">INDEX(BB:BB,MIN(IF(ISNUMBER(BB23:BB219),ROW(BB23:BB219),"")))</f>
        <v/>
      </c>
      <c r="BD23" s="131" t="str">
        <f t="shared" si="117"/>
        <v>#REF!</v>
      </c>
      <c r="BE23" s="130" t="str">
        <f>BD23*VLOOKUP('Données projet (1)'!$B$11,'Paramètres (1)'!$A$1:$I$88,3,0)*VLOOKUP('Données projet (1)'!$B$11,'Paramètres (1)'!$A$1:$I$88,5,0)</f>
        <v>#REF!</v>
      </c>
      <c r="BF23" s="130" t="str">
        <f t="shared" si="118"/>
        <v>#REF!</v>
      </c>
      <c r="BG23" s="141" t="str">
        <f t="shared" si="29"/>
        <v>#REF!</v>
      </c>
      <c r="BH23" s="133" t="str">
        <f t="shared" si="30"/>
        <v>#REF!</v>
      </c>
      <c r="BI23" s="133" t="str">
        <f t="shared" si="31"/>
        <v>#REF!</v>
      </c>
      <c r="BJ23" s="133" t="str">
        <f t="shared" si="119"/>
        <v>#REF!</v>
      </c>
      <c r="BK23" s="134" t="str">
        <f t="shared" si="32"/>
        <v>#REF!</v>
      </c>
      <c r="BL23" s="134" t="str">
        <f t="shared" si="33"/>
        <v>#REF!</v>
      </c>
      <c r="BM23" s="135" t="str">
        <f>IF(ISNA(VLOOKUP(A23,'Données projet (1)'!$A$87:$I$107,5,0)),0%,VLOOKUP(A23,'Données projet (1)'!$A$87:$I$107,5,0)*VLOOKUP('Données projet (1)'!$B$11,'Paramètres (1)'!$A$1:$I$88,7,0))</f>
        <v>#REF!</v>
      </c>
      <c r="BN23" s="135" t="str">
        <f>IF(ISNA(VLOOKUP(A23,'Données projet (1)'!$A$87:$I$107,6,0)),0%,VLOOKUP(A23,'Données projet (1)'!$A$87:$I$107,6,0)*VLOOKUP('Données projet (1)'!$B$11,'Paramètres (1)'!$A$1:$I$88,7,0))</f>
        <v>#REF!</v>
      </c>
      <c r="BO23" s="135" t="str">
        <f t="shared" si="34"/>
        <v>#REF!</v>
      </c>
      <c r="BP23" s="142" t="str">
        <f>EXP(-LN(2)/35)*BP22+(1-EXP(-LN(2)/35))/(LN(2)/35)*BL23*BM23*VLOOKUP('Données projet (1)'!$B$11,'Paramètres (1)'!$A$1:$I$88,3,0)*0.475*44/12</f>
        <v>#REF!</v>
      </c>
      <c r="BQ23" s="142" t="str">
        <f>EXP(-LN(2)/25)*BQ22+(1-EXP(-LN(2)/25))/(LN(2)/25)*'Calculateur (1)'!BL23*'Calculateur (1)'!BN23*VLOOKUP('Données projet (1)'!$B$11,'Paramètres (1)'!$A$1:$I$88,3,0)*0.475*44/12</f>
        <v>#REF!</v>
      </c>
      <c r="BR23" s="142" t="str">
        <f>EXP(-LN(2)/2)*BR22+(1-EXP(-LN(2)/2))/(LN(2)/2)*BL23*BO23*VLOOKUP('Données projet (1)'!$B$11,'Paramètres (1)'!$A$1:$I$88,3,0)*0.475*44/12</f>
        <v>#REF!</v>
      </c>
      <c r="BS23" s="143" t="str">
        <f t="shared" si="35"/>
        <v>#REF!</v>
      </c>
      <c r="BT23" s="139" t="str">
        <f t="shared" si="36"/>
        <v>#REF!</v>
      </c>
      <c r="BU23" s="131" t="str">
        <f t="shared" si="37"/>
        <v>#REF!</v>
      </c>
      <c r="BV23" s="131" t="str">
        <f t="shared" si="120"/>
        <v>#REF!</v>
      </c>
      <c r="BW23" s="131" t="str">
        <f t="shared" si="38"/>
        <v>#REF!</v>
      </c>
      <c r="BX23" s="131" t="str">
        <f t="array" ref="BX23">INDEX(BW:BW,MIN(IF(ISNUMBER(BW23:BW219),ROW(BW23:BW219),"")))</f>
        <v/>
      </c>
      <c r="BY23" s="131" t="str">
        <f t="shared" si="121"/>
        <v>#REF!</v>
      </c>
      <c r="BZ23" s="130" t="str">
        <f>BY23*VLOOKUP('Données projet (1)'!$B$12,'Paramètres (1)'!$A$1:$I$88,3,0)*VLOOKUP('Données projet (1)'!$B$12,'Paramètres (1)'!$A$1:$I$88,5,0)</f>
        <v>#REF!</v>
      </c>
      <c r="CA23" s="130" t="str">
        <f t="shared" si="122"/>
        <v>#REF!</v>
      </c>
      <c r="CB23" s="141" t="str">
        <f t="shared" si="39"/>
        <v>#REF!</v>
      </c>
      <c r="CC23" s="133" t="str">
        <f t="shared" si="40"/>
        <v>#REF!</v>
      </c>
      <c r="CD23" s="133" t="str">
        <f t="shared" si="41"/>
        <v>#REF!</v>
      </c>
      <c r="CE23" s="133" t="str">
        <f t="shared" si="123"/>
        <v>#REF!</v>
      </c>
      <c r="CF23" s="134" t="str">
        <f t="shared" si="42"/>
        <v>#REF!</v>
      </c>
      <c r="CG23" s="134" t="str">
        <f t="shared" si="43"/>
        <v>#REF!</v>
      </c>
      <c r="CH23" s="135" t="str">
        <f>IF(ISNA(VLOOKUP(A23,'Données projet (1)'!$A$113:$I$133,5,0)),0%,VLOOKUP(A23,'Données projet (1)'!$A$113:$I$133,5,0)*VLOOKUP('Données projet (1)'!$B$12,'Paramètres (1)'!$A$1:$I$88,7,0))</f>
        <v>#REF!</v>
      </c>
      <c r="CI23" s="135" t="str">
        <f>IF(ISNA(VLOOKUP(A23,'Données projet (1)'!$A$113:$I$133,6,0)),0%,VLOOKUP(A23,'Données projet (1)'!$A$113:$I$133,6,0)*VLOOKUP('Données projet (1)'!$B$12,'Paramètres (1)'!$A$1:$I$88,7,0))</f>
        <v>#REF!</v>
      </c>
      <c r="CJ23" s="135" t="str">
        <f t="shared" si="44"/>
        <v>#REF!</v>
      </c>
      <c r="CK23" s="142" t="str">
        <f>EXP(-LN(2)/35)*CK22+(1-EXP(-LN(2)/35))/(LN(2)/35)*CG23*CH23*VLOOKUP('Données projet (1)'!$B$12,'Paramètres (1)'!$A$1:$I$88,3,0)*0.475*44/12</f>
        <v>#REF!</v>
      </c>
      <c r="CL23" s="142" t="str">
        <f>EXP(-LN(2)/25)*CL22+(1-EXP(-LN(2)/25))/(LN(2)/25)*'Calculateur (1)'!CG23*'Calculateur (1)'!CI23*VLOOKUP('Données projet (1)'!$B$12,'Paramètres (1)'!$A$1:$I$88,3,0)*0.475*44/12</f>
        <v>#REF!</v>
      </c>
      <c r="CM23" s="142" t="str">
        <f>EXP(-LN(2)/2)*CM22+(1-EXP(-LN(2)/2))/(LN(2)/2)*CG23*CJ23*VLOOKUP('Données projet (1)'!$B$12,'Paramètres (1)'!$A$1:$I$88,3,0)*0.475*44/12</f>
        <v>#REF!</v>
      </c>
      <c r="CN23" s="143" t="str">
        <f t="shared" si="45"/>
        <v>#REF!</v>
      </c>
      <c r="CO23" s="139" t="str">
        <f t="shared" si="46"/>
        <v>#REF!</v>
      </c>
      <c r="CP23" s="131" t="str">
        <f t="shared" si="47"/>
        <v>#REF!</v>
      </c>
      <c r="CQ23" s="131" t="str">
        <f t="shared" si="124"/>
        <v>#REF!</v>
      </c>
      <c r="CR23" s="131" t="str">
        <f t="shared" si="48"/>
        <v>#REF!</v>
      </c>
      <c r="CS23" s="131" t="str">
        <f t="array" ref="CS23">INDEX(CR:CR,MIN(IF(ISNUMBER(CR23:CR219),ROW(CR23:CR219),"")))</f>
        <v/>
      </c>
      <c r="CT23" s="131" t="str">
        <f t="shared" si="125"/>
        <v>#REF!</v>
      </c>
      <c r="CU23" s="138" t="str">
        <f>CT23*VLOOKUP('Données projet (1)'!$B$13,'Paramètres (1)'!$A$1:$I$88,3,0)*VLOOKUP('Données projet (1)'!$B$13,'Paramètres (1)'!$A$1:$I$88,5,0)</f>
        <v>#REF!</v>
      </c>
      <c r="CV23" s="130" t="str">
        <f t="shared" si="126"/>
        <v>#REF!</v>
      </c>
      <c r="CW23" s="141" t="str">
        <f t="shared" si="49"/>
        <v>#REF!</v>
      </c>
      <c r="CX23" s="133" t="str">
        <f t="shared" si="50"/>
        <v>#REF!</v>
      </c>
      <c r="CY23" s="133" t="str">
        <f t="shared" si="51"/>
        <v>#REF!</v>
      </c>
      <c r="CZ23" s="133" t="str">
        <f t="shared" si="127"/>
        <v>#REF!</v>
      </c>
      <c r="DA23" s="134" t="str">
        <f t="shared" si="52"/>
        <v>#REF!</v>
      </c>
      <c r="DB23" s="134" t="str">
        <f t="shared" si="53"/>
        <v>#REF!</v>
      </c>
      <c r="DC23" s="135" t="str">
        <f>IF(ISNA(VLOOKUP(A23,'Données projet (1)'!$A$139:$I$159,5,0)),0%,VLOOKUP(A23,'Données projet (1)'!$A$139:$I$159,5,0)*VLOOKUP('Données projet (1)'!$B$13,'Paramètres (1)'!$A$1:$I$88,7,0))</f>
        <v>#REF!</v>
      </c>
      <c r="DD23" s="135" t="str">
        <f>IF(ISNA(VLOOKUP(A23,'Données projet (1)'!$A$139:$I$159,6,0)),0%,VLOOKUP(A23,'Données projet (1)'!$A$139:$I$159,6,0)*VLOOKUP('Données projet (1)'!$B$13,'Paramètres (1)'!$A$1:$I$88,7,0))</f>
        <v>#REF!</v>
      </c>
      <c r="DE23" s="135" t="str">
        <f t="shared" si="54"/>
        <v>#REF!</v>
      </c>
      <c r="DF23" s="142" t="str">
        <f>EXP(-LN(2)/35)*DF22+(1-EXP(-LN(2)/35))/(LN(2)/35)*DB23*DC23*VLOOKUP('Données projet (1)'!$B$13,'Paramètres (1)'!$A$1:$I$88,3,0)*0.475*44/12</f>
        <v>#REF!</v>
      </c>
      <c r="DG23" s="142" t="str">
        <f>EXP(-LN(2)/25)*DG22+(1-EXP(-LN(2)/25))/(LN(2)/25)*'Calculateur (1)'!DB23*'Calculateur (1)'!DD23*VLOOKUP('Données projet (1)'!$B$13,'Paramètres (1)'!$A$1:$I$88,3,0)*0.475*44/12</f>
        <v>#REF!</v>
      </c>
      <c r="DH23" s="142" t="str">
        <f>EXP(-LN(2)/2)*DH22+(1-EXP(-LN(2)/2))/(LN(2)/2)*DB23*DE23*VLOOKUP('Données projet (1)'!$B$13,'Paramètres (1)'!$A$1:$I$88,3,0)*0.475*44/12</f>
        <v>#REF!</v>
      </c>
      <c r="DI23" s="143" t="str">
        <f t="shared" si="55"/>
        <v>#REF!</v>
      </c>
      <c r="DJ23" s="139" t="str">
        <f t="shared" si="56"/>
        <v>#REF!</v>
      </c>
      <c r="DK23" s="131" t="str">
        <f t="shared" si="57"/>
        <v>#REF!</v>
      </c>
      <c r="DL23" s="131" t="str">
        <f t="shared" si="128"/>
        <v>#REF!</v>
      </c>
      <c r="DM23" s="131" t="str">
        <f t="shared" si="58"/>
        <v>#REF!</v>
      </c>
      <c r="DN23" s="131" t="str">
        <f t="array" ref="DN23">INDEX(DM:DM,MIN(IF(ISNUMBER(DM23:DM219),ROW(DM23:DM219),"")))</f>
        <v/>
      </c>
      <c r="DO23" s="131" t="str">
        <f t="shared" si="129"/>
        <v>#REF!</v>
      </c>
      <c r="DP23" s="138" t="str">
        <f>DO23*VLOOKUP('Données projet (1)'!$B$14,'Paramètres (1)'!$A$1:$I$88,3,0)*VLOOKUP('Données projet (1)'!$B$14,'Paramètres (1)'!$A$1:$I$88,5,0)</f>
        <v>#REF!</v>
      </c>
      <c r="DQ23" s="130" t="str">
        <f t="shared" si="130"/>
        <v>#REF!</v>
      </c>
      <c r="DR23" s="141" t="str">
        <f t="shared" si="59"/>
        <v>#REF!</v>
      </c>
      <c r="DS23" s="133" t="str">
        <f t="shared" si="60"/>
        <v>#REF!</v>
      </c>
      <c r="DT23" s="133" t="str">
        <f t="shared" si="61"/>
        <v>#REF!</v>
      </c>
      <c r="DU23" s="133" t="str">
        <f t="shared" si="131"/>
        <v>#REF!</v>
      </c>
      <c r="DV23" s="134" t="str">
        <f t="shared" si="62"/>
        <v>#REF!</v>
      </c>
      <c r="DW23" s="134" t="str">
        <f t="shared" si="63"/>
        <v>#REF!</v>
      </c>
      <c r="DX23" s="135" t="str">
        <f>IF(ISNA(VLOOKUP(A23,'Données projet (1)'!$A$165:$I$185,5,0)),0%,VLOOKUP(A23,'Données projet (1)'!$A$165:$I$185,5,0)*VLOOKUP('Données projet (1)'!$B$14,'Paramètres (1)'!$A$1:$I$88,7,0))</f>
        <v>#REF!</v>
      </c>
      <c r="DY23" s="135" t="str">
        <f>IF(ISNA(VLOOKUP(A23,'Données projet (1)'!$A$165:$I$185,6,0)),0%,VLOOKUP(A23,'Données projet (1)'!$A$165:$I$185,6,0)*VLOOKUP('Données projet (1)'!$B$14,'Paramètres (1)'!$A$1:$I$88,7,0))</f>
        <v>#REF!</v>
      </c>
      <c r="DZ23" s="135" t="str">
        <f t="shared" si="64"/>
        <v>#REF!</v>
      </c>
      <c r="EA23" s="142" t="str">
        <f>EXP(-LN(2)/35)*EA22+(1-EXP(-LN(2)/35))/(LN(2)/35)*DW23*DX23*VLOOKUP('Données projet (1)'!$B$14,'Paramètres (1)'!$A$1:$I$88,3,0)*0.475*44/12</f>
        <v>#REF!</v>
      </c>
      <c r="EB23" s="142" t="str">
        <f>EXP(-LN(2)/25)*EB22+(1-EXP(-LN(2)/25))/(LN(2)/25)*'Calculateur (1)'!DW23*'Calculateur (1)'!DY23*VLOOKUP('Données projet (1)'!$B$14,'Paramètres (1)'!$A$1:$I$88,3,0)*0.475*44/12</f>
        <v>#REF!</v>
      </c>
      <c r="EC23" s="142" t="str">
        <f>EXP(-LN(2)/2)*EC22+(1-EXP(-LN(2)/2))/(LN(2)/2)*DW23*DZ23*VLOOKUP('Données projet (1)'!$B$14,'Paramètres (1)'!$A$1:$I$88,3,0)*0.475*44/12</f>
        <v>#REF!</v>
      </c>
      <c r="ED23" s="143" t="str">
        <f t="shared" si="65"/>
        <v>#REF!</v>
      </c>
      <c r="EE23" s="139" t="str">
        <f t="shared" si="66"/>
        <v>#REF!</v>
      </c>
      <c r="EF23" s="131" t="str">
        <f t="shared" si="67"/>
        <v>#REF!</v>
      </c>
      <c r="EG23" s="131" t="str">
        <f t="shared" si="132"/>
        <v>#REF!</v>
      </c>
      <c r="EH23" s="131" t="str">
        <f t="shared" si="68"/>
        <v>#REF!</v>
      </c>
      <c r="EI23" s="131" t="str">
        <f t="array" ref="EI23">INDEX(EH:EH,MIN(IF(ISNUMBER(EH23:EH219),ROW(EH23:EH219),"")))</f>
        <v/>
      </c>
      <c r="EJ23" s="131" t="str">
        <f t="shared" si="133"/>
        <v>#REF!</v>
      </c>
      <c r="EK23" s="138" t="str">
        <f>EJ23*VLOOKUP('Données projet (1)'!$B$15,'Paramètres (1)'!$A$1:$I$88,3,0)*VLOOKUP('Données projet (1)'!$B$15,'Paramètres (1)'!$A$1:$I$88,5,0)</f>
        <v>#REF!</v>
      </c>
      <c r="EL23" s="130" t="str">
        <f t="shared" si="134"/>
        <v>#REF!</v>
      </c>
      <c r="EM23" s="141" t="str">
        <f t="shared" si="69"/>
        <v>#REF!</v>
      </c>
      <c r="EN23" s="133" t="str">
        <f t="shared" si="70"/>
        <v>#REF!</v>
      </c>
      <c r="EO23" s="133" t="str">
        <f t="shared" si="71"/>
        <v>#REF!</v>
      </c>
      <c r="EP23" s="133" t="str">
        <f t="shared" si="135"/>
        <v>#REF!</v>
      </c>
      <c r="EQ23" s="134" t="str">
        <f t="shared" si="72"/>
        <v>#REF!</v>
      </c>
      <c r="ER23" s="134" t="str">
        <f t="shared" si="73"/>
        <v>#REF!</v>
      </c>
      <c r="ES23" s="135" t="str">
        <f>IF(ISNA(VLOOKUP(A23,'Données projet (1)'!$A$191:$I$211,5,0)),0%,VLOOKUP(A23,'Données projet (1)'!$A$191:$I$211,5,0)*VLOOKUP('Données projet (1)'!$B$15,'Paramètres (1)'!$A$1:$I$88,7,0))</f>
        <v>#REF!</v>
      </c>
      <c r="ET23" s="135" t="str">
        <f>IF(ISNA(VLOOKUP(A23,'Données projet (1)'!$A$191:$I$211,6,0)),0%,VLOOKUP(A23,'Données projet (1)'!$A$191:$I$211,6,0)*VLOOKUP('Données projet (1)'!$B$15,'Paramètres (1)'!$A$1:$I$88,7,0))</f>
        <v>#REF!</v>
      </c>
      <c r="EU23" s="135" t="str">
        <f t="shared" si="74"/>
        <v>#REF!</v>
      </c>
      <c r="EV23" s="142" t="str">
        <f>EXP(-LN(2)/35)*EV22+(1-EXP(-LN(2)/35))/(LN(2)/35)*ER23*ES23*VLOOKUP('Données projet (1)'!$B$15,'Paramètres (1)'!$A$1:$I$88,3,0)*0.475*44/12</f>
        <v>#REF!</v>
      </c>
      <c r="EW23" s="142" t="str">
        <f>EXP(-LN(2)/25)*EW22+(1-EXP(-LN(2)/25))/(LN(2)/25)*'Calculateur (1)'!ER23*'Calculateur (1)'!ET23*VLOOKUP('Données projet (1)'!$B$15,'Paramètres (1)'!$A$1:$I$88,3,0)*0.475*44/12</f>
        <v>#REF!</v>
      </c>
      <c r="EX23" s="142" t="str">
        <f>EXP(-LN(2)/2)*EX22+(1-EXP(-LN(2)/2))/(LN(2)/2)*ER23*EU23*VLOOKUP('Données projet (1)'!$B$15,'Paramètres (1)'!$A$1:$I$88,3,0)*0.475*44/12</f>
        <v>#REF!</v>
      </c>
      <c r="EY23" s="143" t="str">
        <f t="shared" si="75"/>
        <v>#REF!</v>
      </c>
      <c r="EZ23" s="139" t="str">
        <f t="shared" si="76"/>
        <v>#REF!</v>
      </c>
      <c r="FA23" s="131" t="str">
        <f t="shared" si="77"/>
        <v>#REF!</v>
      </c>
      <c r="FB23" s="131" t="str">
        <f t="shared" si="136"/>
        <v>#REF!</v>
      </c>
      <c r="FC23" s="131" t="str">
        <f t="shared" si="78"/>
        <v>#REF!</v>
      </c>
      <c r="FD23" s="131" t="str">
        <f t="array" ref="FD23">INDEX(FC:FC,MIN(IF(ISNUMBER(FC23:FC219),ROW(FC23:FC219),"")))</f>
        <v/>
      </c>
      <c r="FE23" s="131" t="str">
        <f t="shared" si="137"/>
        <v>#REF!</v>
      </c>
      <c r="FF23" s="138" t="str">
        <f>FE23*VLOOKUP('Données projet (1)'!$B$16,'Paramètres (1)'!$A$1:$I$88,3,0)*VLOOKUP('Données projet (1)'!$B$16,'Paramètres (1)'!$A$1:$I$88,5,0)</f>
        <v>#REF!</v>
      </c>
      <c r="FG23" s="130" t="str">
        <f t="shared" si="138"/>
        <v>#REF!</v>
      </c>
      <c r="FH23" s="141" t="str">
        <f t="shared" si="79"/>
        <v>#REF!</v>
      </c>
      <c r="FI23" s="133" t="str">
        <f t="shared" si="80"/>
        <v>#REF!</v>
      </c>
      <c r="FJ23" s="133" t="str">
        <f t="shared" si="81"/>
        <v>#REF!</v>
      </c>
      <c r="FK23" s="133" t="str">
        <f t="shared" si="139"/>
        <v>#REF!</v>
      </c>
      <c r="FL23" s="134" t="str">
        <f t="shared" si="82"/>
        <v>#REF!</v>
      </c>
      <c r="FM23" s="134" t="str">
        <f t="shared" si="83"/>
        <v>#REF!</v>
      </c>
      <c r="FN23" s="135" t="str">
        <f>IF(ISNA(VLOOKUP(A23,'Données projet (1)'!$A$217:$I$237,5,0)),0%,VLOOKUP(A23,'Données projet (1)'!$A$217:$I$237,5,0)*VLOOKUP('Données projet (1)'!$B$16,'Paramètres (1)'!$A$1:$I$88,7,0))</f>
        <v>#REF!</v>
      </c>
      <c r="FO23" s="135" t="str">
        <f>IF(ISNA(VLOOKUP(A23,'Données projet (1)'!$A$217:$I$237,6,0)),0%,VLOOKUP(A23,'Données projet (1)'!$A$217:$I$237,6,0)*VLOOKUP('Données projet (1)'!$B$16,'Paramètres (1)'!$A$1:$I$88,7,0))</f>
        <v>#REF!</v>
      </c>
      <c r="FP23" s="135" t="str">
        <f t="shared" si="84"/>
        <v>#REF!</v>
      </c>
      <c r="FQ23" s="142" t="str">
        <f>EXP(-LN(2)/35)*FQ22+(1-EXP(-LN(2)/35))/(LN(2)/35)*FM23*FN23*VLOOKUP('Données projet (1)'!$B$16,'Paramètres (1)'!$A$1:$I$88,3,0)*0.475*44/12</f>
        <v>#REF!</v>
      </c>
      <c r="FR23" s="142" t="str">
        <f>EXP(-LN(2)/25)*FR22+(1-EXP(-LN(2)/25))/(LN(2)/25)*'Calculateur (1)'!FM23*'Calculateur (1)'!FO23*VLOOKUP('Données projet (1)'!$B$16,'Paramètres (1)'!$A$1:$I$88,3,0)*0.475*44/12</f>
        <v>#REF!</v>
      </c>
      <c r="FS23" s="142" t="str">
        <f>EXP(-LN(2)/2)*FS22+(1-EXP(-LN(2)/2))/(LN(2)/2)*FM23*FP23*VLOOKUP('Données projet (1)'!$B$16,'Paramètres (1)'!$A$1:$I$88,3,0)*0.475*44/12</f>
        <v>#REF!</v>
      </c>
      <c r="FT23" s="143" t="str">
        <f t="shared" si="85"/>
        <v>#REF!</v>
      </c>
      <c r="FU23" s="139" t="str">
        <f t="shared" si="86"/>
        <v>#REF!</v>
      </c>
      <c r="FV23" s="131" t="str">
        <f t="shared" si="87"/>
        <v>#REF!</v>
      </c>
      <c r="FW23" s="131" t="str">
        <f t="shared" si="140"/>
        <v>#REF!</v>
      </c>
      <c r="FX23" s="131" t="str">
        <f t="shared" si="88"/>
        <v>#REF!</v>
      </c>
      <c r="FY23" s="131" t="str">
        <f t="array" ref="FY23">INDEX(FX:FX,MIN(IF(ISNUMBER(FX23:FX219),ROW(FX23:FX219),"")))</f>
        <v/>
      </c>
      <c r="FZ23" s="131" t="str">
        <f t="shared" si="141"/>
        <v>#REF!</v>
      </c>
      <c r="GA23" s="138" t="str">
        <f>FZ23*VLOOKUP('Données projet (1)'!$B$17,'Paramètres (1)'!$A$1:$I$88,3,0)*VLOOKUP('Données projet (1)'!$B$17,'Paramètres (1)'!$A$1:$I$88,5,0)</f>
        <v>#REF!</v>
      </c>
      <c r="GB23" s="130" t="str">
        <f t="shared" si="142"/>
        <v>#REF!</v>
      </c>
      <c r="GC23" s="141" t="str">
        <f t="shared" si="89"/>
        <v>#REF!</v>
      </c>
      <c r="GD23" s="133" t="str">
        <f t="shared" si="90"/>
        <v>#REF!</v>
      </c>
      <c r="GE23" s="133" t="str">
        <f t="shared" si="91"/>
        <v>#REF!</v>
      </c>
      <c r="GF23" s="133" t="str">
        <f t="shared" si="143"/>
        <v>#REF!</v>
      </c>
      <c r="GG23" s="134" t="str">
        <f t="shared" si="92"/>
        <v>#REF!</v>
      </c>
      <c r="GH23" s="134" t="str">
        <f t="shared" si="93"/>
        <v>#REF!</v>
      </c>
      <c r="GI23" s="135" t="str">
        <f>IF(ISNA(VLOOKUP(A23,'Données projet (1)'!$A$243:$I$263,5,0)),0%,VLOOKUP(A23,'Données projet (1)'!$A$243:$I$263,5,0)*VLOOKUP('Données projet (1)'!$B$17,'Paramètres (1)'!$A$1:$I$88,7,0))</f>
        <v>#REF!</v>
      </c>
      <c r="GJ23" s="135" t="str">
        <f>IF(ISNA(VLOOKUP(A23,'Données projet (1)'!$A$243:$I$263,6,0)),0%,VLOOKUP(A23,'Données projet (1)'!$A$243:$I$263,6,0)*VLOOKUP('Données projet (1)'!$B$17,'Paramètres (1)'!$A$1:$I$88,7,0))</f>
        <v>#REF!</v>
      </c>
      <c r="GK23" s="135" t="str">
        <f t="shared" si="94"/>
        <v>#REF!</v>
      </c>
      <c r="GL23" s="142" t="str">
        <f>EXP(-LN(2)/35)*GL22+(1-EXP(-LN(2)/35))/(LN(2)/35)*GH23*GI23*VLOOKUP('Données projet (1)'!$B$17,'Paramètres (1)'!$A$1:$I$88,3,0)*0.475*44/12</f>
        <v>#REF!</v>
      </c>
      <c r="GM23" s="142" t="str">
        <f>EXP(-LN(2)/25)*GM22+(1-EXP(-LN(2)/25))/(LN(2)/25)*'Calculateur (1)'!GH23*'Calculateur (1)'!GJ23*VLOOKUP('Données projet (1)'!$B$17,'Paramètres (1)'!$A$1:$I$88,3,0)*0.475*44/12</f>
        <v>#REF!</v>
      </c>
      <c r="GN23" s="142" t="str">
        <f>EXP(-LN(2)/2)*GN22+(1-EXP(-LN(2)/2))/(LN(2)/2)*GH23*GK23*VLOOKUP('Données projet (1)'!$B$17,'Paramètres (1)'!$A$1:$I$88,3,0)*0.475*44/12</f>
        <v>#REF!</v>
      </c>
      <c r="GO23" s="142" t="str">
        <f t="shared" si="95"/>
        <v>#REF!</v>
      </c>
      <c r="GP23" s="139" t="str">
        <f t="shared" si="96"/>
        <v>#REF!</v>
      </c>
      <c r="GQ23" s="131" t="str">
        <f t="shared" si="97"/>
        <v>#REF!</v>
      </c>
      <c r="GR23" s="131" t="str">
        <f t="shared" si="144"/>
        <v>#REF!</v>
      </c>
      <c r="GS23" s="131" t="str">
        <f t="shared" si="98"/>
        <v>#REF!</v>
      </c>
      <c r="GT23" s="131" t="str">
        <f t="array" ref="GT23">INDEX(GS:GS,MIN(IF(ISNUMBER(GS23:GS219),ROW(GS23:GS219),"")))</f>
        <v/>
      </c>
      <c r="GU23" s="131" t="str">
        <f t="shared" si="145"/>
        <v>#REF!</v>
      </c>
      <c r="GV23" s="138" t="str">
        <f>GU23*VLOOKUP('Données projet (1)'!$B$18,'Paramètres (1)'!$A$1:$I$88,3,0)*VLOOKUP('Données projet (1)'!$B$18,'Paramètres (1)'!$A$1:$I$88,5,0)</f>
        <v>#REF!</v>
      </c>
      <c r="GW23" s="130" t="str">
        <f t="shared" si="146"/>
        <v>#REF!</v>
      </c>
      <c r="GX23" s="141" t="str">
        <f t="shared" si="99"/>
        <v>#REF!</v>
      </c>
      <c r="GY23" s="133" t="str">
        <f t="shared" si="100"/>
        <v>#REF!</v>
      </c>
      <c r="GZ23" s="133" t="str">
        <f t="shared" si="101"/>
        <v>#REF!</v>
      </c>
      <c r="HA23" s="133" t="str">
        <f t="shared" si="147"/>
        <v>#REF!</v>
      </c>
      <c r="HB23" s="134" t="str">
        <f t="shared" si="102"/>
        <v>#REF!</v>
      </c>
      <c r="HC23" s="134" t="str">
        <f t="shared" si="103"/>
        <v>#REF!</v>
      </c>
      <c r="HD23" s="135" t="str">
        <f>IF(ISNA(VLOOKUP(A23,'Données projet (1)'!$A$269:$I$289,5,0)),0%,VLOOKUP(A23,'Données projet (1)'!$A$269:$I$289,5,0)*VLOOKUP('Données projet (1)'!$B$18,'Paramètres (1)'!$A$1:$I$88,7,0))</f>
        <v>#REF!</v>
      </c>
      <c r="HE23" s="135" t="str">
        <f>IF(ISNA(VLOOKUP(A23,'Données projet (1)'!$A$269:$I$289,6,0)),0%,VLOOKUP(A23,'Données projet (1)'!$A$269:$I$289,6,0)*VLOOKUP('Données projet (1)'!$B$18,'Paramètres (1)'!$A$1:$I$88,7,0))</f>
        <v>#REF!</v>
      </c>
      <c r="HF23" s="135" t="str">
        <f t="shared" si="104"/>
        <v>#REF!</v>
      </c>
      <c r="HG23" s="142" t="str">
        <f>EXP(-LN(2)/35)*HG22+(1-EXP(-LN(2)/35))/(LN(2)/35)*HC23*HD23*VLOOKUP('Données projet (1)'!$B$18,'Paramètres (1)'!$A$1:$I$88,3,0)*0.475*44/12</f>
        <v>#REF!</v>
      </c>
      <c r="HH23" s="142" t="str">
        <f>EXP(-LN(2)/25)*HH22+(1-EXP(-LN(2)/25))/(LN(2)/25)*'Calculateur (1)'!HC23*'Calculateur (1)'!HE23*VLOOKUP('Données projet (1)'!$B$18,'Paramètres (1)'!$A$1:$I$88,3,0)*0.475*44/12</f>
        <v>#REF!</v>
      </c>
      <c r="HI23" s="142" t="str">
        <f>EXP(-LN(2)/2)*HI22+(1-EXP(-LN(2)/2))/(LN(2)/2)*HC23*HF23*VLOOKUP('Données projet (1)'!$B$18,'Paramètres (1)'!$A$1:$I$88,3,0)*0.475*44/12</f>
        <v>#REF!</v>
      </c>
      <c r="HJ23" s="143" t="str">
        <f t="shared" si="105"/>
        <v>#REF!</v>
      </c>
    </row>
    <row r="24" ht="14.25" customHeight="1">
      <c r="A24" s="125">
        <f t="shared" si="106"/>
        <v>21</v>
      </c>
      <c r="B24" s="126" t="str">
        <f t="shared" si="1"/>
        <v>#REF!</v>
      </c>
      <c r="C24" s="140" t="str">
        <f>'Calculateur (1)'!C23+'Scénario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4" s="127">
        <f t="shared" si="107"/>
        <v>0</v>
      </c>
      <c r="E24" s="127" t="str">
        <f t="shared" si="2"/>
        <v>#REF!</v>
      </c>
      <c r="F24" s="127" t="str">
        <f t="shared" si="3"/>
        <v>#REF!</v>
      </c>
      <c r="G24" s="127" t="str">
        <f t="shared" si="4"/>
        <v>#REF!</v>
      </c>
      <c r="H24" s="128" t="str">
        <f t="shared" si="5"/>
        <v>#REF!</v>
      </c>
      <c r="I24" s="129" t="str">
        <f t="shared" si="6"/>
        <v>#REF!</v>
      </c>
      <c r="J24" s="130" t="str">
        <f t="shared" si="7"/>
        <v>#REF!</v>
      </c>
      <c r="K24" s="131" t="str">
        <f t="shared" si="108"/>
        <v>#REF!</v>
      </c>
      <c r="L24" s="131" t="str">
        <f t="shared" si="8"/>
        <v>#REF!</v>
      </c>
      <c r="M24" s="131" t="str">
        <f t="array" ref="M24">INDEX(L:L,MIN(IF(ISNUMBER(L24:L220),ROW(L24:L220),"")))</f>
        <v/>
      </c>
      <c r="N24" s="130" t="str">
        <f t="shared" si="109"/>
        <v>#REF!</v>
      </c>
      <c r="O24" s="130" t="str">
        <f>N24*VLOOKUP('Données projet (1)'!$B$9,'Paramètres (1)'!$A$1:$I$88,3,0)*VLOOKUP('Données projet (1)'!$B$9,'Paramètres (1)'!$A$1:$I$88,5,0)</f>
        <v>#REF!</v>
      </c>
      <c r="P24" s="130" t="str">
        <f t="shared" si="110"/>
        <v>#REF!</v>
      </c>
      <c r="Q24" s="141" t="str">
        <f t="shared" si="9"/>
        <v>#REF!</v>
      </c>
      <c r="R24" s="133" t="str">
        <f t="shared" si="10"/>
        <v>#REF!</v>
      </c>
      <c r="S24" s="133" t="str">
        <f t="shared" si="11"/>
        <v>#REF!</v>
      </c>
      <c r="T24" s="133" t="str">
        <f t="shared" si="111"/>
        <v>#REF!</v>
      </c>
      <c r="U24" s="134" t="str">
        <f t="shared" si="12"/>
        <v>#REF!</v>
      </c>
      <c r="V24" s="134" t="str">
        <f t="shared" si="13"/>
        <v>#REF!</v>
      </c>
      <c r="W24" s="135" t="str">
        <f>IF(ISNA(VLOOKUP(A24,'Données projet (1)'!$A$35:$I$55,5,0)),0%,VLOOKUP(A24,'Données projet (1)'!$A$35:$I$55,5,0)*VLOOKUP('Données projet (1)'!$B$9,'Paramètres (1)'!$A$1:$I$88,7,0))</f>
        <v>#REF!</v>
      </c>
      <c r="X24" s="135" t="str">
        <f>IF(ISNA(VLOOKUP(A24,'Données projet (1)'!$A$35:$I$55,6,0)),0%,VLOOKUP(A24,'Données projet (1)'!$A$35:$I$55,6,0)*VLOOKUP('Données projet (1)'!$B$9,'Paramètres (1)'!$A$1:$I$88,7,0))</f>
        <v>#REF!</v>
      </c>
      <c r="Y24" s="135" t="str">
        <f t="shared" si="14"/>
        <v>#REF!</v>
      </c>
      <c r="Z24" s="142" t="str">
        <f>EXP(-LN(2)/35)*Z23+(1-EXP(-LN(2)/35))/(LN(2)/35)*V24*W24*VLOOKUP('Données projet (1)'!$B$9,'Paramètres (1)'!$A$1:$I$88,3,0)*0.475*44/12</f>
        <v>#REF!</v>
      </c>
      <c r="AA24" s="142" t="str">
        <f>EXP(-LN(2)/25)*AA23+(1-EXP(-LN(2)/25))/(LN(2)/25)*'Calculateur (1)'!V24*'Calculateur (1)'!X24*VLOOKUP('Données projet (1)'!$B$9,'Paramètres (1)'!$A$1:$I$88,3,0)*0.475*44/12</f>
        <v>#REF!</v>
      </c>
      <c r="AB24" s="142" t="str">
        <f>EXP(-LN(2)/2)*AB23+(1-EXP(-LN(2)/2))/(LN(2)/2)*V24*Y24*VLOOKUP('Données projet (1)'!$B$9,'Paramètres (1)'!$A$1:$I$88,3,0)*0.475*44/12</f>
        <v>#REF!</v>
      </c>
      <c r="AC24" s="143" t="str">
        <f t="shared" si="15"/>
        <v>#REF!</v>
      </c>
      <c r="AD24" s="130" t="str">
        <f t="shared" si="16"/>
        <v>#REF!</v>
      </c>
      <c r="AE24" s="130" t="str">
        <f t="shared" si="17"/>
        <v>#REF!</v>
      </c>
      <c r="AF24" s="131" t="str">
        <f t="shared" si="112"/>
        <v>#REF!</v>
      </c>
      <c r="AG24" s="131" t="str">
        <f t="shared" si="18"/>
        <v>#REF!</v>
      </c>
      <c r="AH24" s="131" t="str">
        <f t="array" ref="AH24">INDEX(AG:AG,MIN(IF(ISNUMBER(AG24:AG220),ROW(AG24:AG220),"")))</f>
        <v/>
      </c>
      <c r="AI24" s="130" t="str">
        <f t="shared" si="113"/>
        <v>#REF!</v>
      </c>
      <c r="AJ24" s="130" t="str">
        <f>AI24*VLOOKUP('Données projet (1)'!$B$10,'Paramètres (1)'!$A$1:$I$88,3,0)*VLOOKUP('Données projet (1)'!$B$10,'Paramètres (1)'!$A$1:$I$88,5,0)</f>
        <v>#REF!</v>
      </c>
      <c r="AK24" s="130" t="str">
        <f t="shared" si="114"/>
        <v>#REF!</v>
      </c>
      <c r="AL24" s="141" t="str">
        <f t="shared" si="19"/>
        <v>#REF!</v>
      </c>
      <c r="AM24" s="133" t="str">
        <f t="shared" si="20"/>
        <v>#REF!</v>
      </c>
      <c r="AN24" s="133" t="str">
        <f t="shared" si="21"/>
        <v>#REF!</v>
      </c>
      <c r="AO24" s="133" t="str">
        <f t="shared" si="115"/>
        <v>#REF!</v>
      </c>
      <c r="AP24" s="134" t="str">
        <f t="shared" si="22"/>
        <v>#REF!</v>
      </c>
      <c r="AQ24" s="134" t="str">
        <f t="shared" si="23"/>
        <v>#REF!</v>
      </c>
      <c r="AR24" s="135" t="str">
        <f>IF(ISNA(VLOOKUP(A24,'Données projet (1)'!$A$61:$I$81,5,0)),0%,VLOOKUP(A24,'Données projet (1)'!$A$61:$I$81,5,0)*VLOOKUP('Données projet (1)'!$B$10,'Paramètres (1)'!$A$1:$I$88,7,0))</f>
        <v>#REF!</v>
      </c>
      <c r="AS24" s="135" t="str">
        <f>IF(ISNA(VLOOKUP(A24,'Données projet (1)'!$A$61:$I$81,6,0)),0%,VLOOKUP(A24,'Données projet (1)'!$A$61:$I$81,6,0)*VLOOKUP('Données projet (1)'!$B$10,'Paramètres (1)'!$A$1:$I$88,7,0))</f>
        <v>#REF!</v>
      </c>
      <c r="AT24" s="135" t="str">
        <f t="shared" si="24"/>
        <v>#REF!</v>
      </c>
      <c r="AU24" s="142" t="str">
        <f>EXP(-LN(2)/35)*AU23+(1-EXP(-LN(2)/35))/(LN(2)/35)*AQ24*AR24*VLOOKUP('Données projet (1)'!$B$10,'Paramètres (1)'!$A$1:$I$88,3,0)*0.475*44/12</f>
        <v>#REF!</v>
      </c>
      <c r="AV24" s="142" t="str">
        <f>EXP(-LN(2)/25)*AV23+(1-EXP(-LN(2)/25))/(LN(2)/25)*'Calculateur (1)'!AQ24*'Calculateur (1)'!AS24*VLOOKUP('Données projet (1)'!$B$10,'Paramètres (1)'!$A$1:$I$88,3,0)*0.475*44/12</f>
        <v>#REF!</v>
      </c>
      <c r="AW24" s="142" t="str">
        <f>EXP(-LN(2)/2)*AW23+(1-EXP(-LN(2)/2))/(LN(2)/2)*AQ24*AT24*VLOOKUP('Données projet (1)'!$B$10,'Paramètres (1)'!$A$1:$I$88,3,0)*0.475*44/12</f>
        <v>#REF!</v>
      </c>
      <c r="AX24" s="142" t="str">
        <f t="shared" si="25"/>
        <v>#REF!</v>
      </c>
      <c r="AY24" s="137" t="str">
        <f t="shared" si="26"/>
        <v>#REF!</v>
      </c>
      <c r="AZ24" s="131" t="str">
        <f t="shared" si="27"/>
        <v>#REF!</v>
      </c>
      <c r="BA24" s="131" t="str">
        <f t="shared" si="116"/>
        <v>#REF!</v>
      </c>
      <c r="BB24" s="131" t="str">
        <f t="shared" si="28"/>
        <v>#REF!</v>
      </c>
      <c r="BC24" s="131" t="str">
        <f t="array" ref="BC24">INDEX(BB:BB,MIN(IF(ISNUMBER(BB24:BB220),ROW(BB24:BB220),"")))</f>
        <v/>
      </c>
      <c r="BD24" s="131" t="str">
        <f t="shared" si="117"/>
        <v>#REF!</v>
      </c>
      <c r="BE24" s="130" t="str">
        <f>BD24*VLOOKUP('Données projet (1)'!$B$11,'Paramètres (1)'!$A$1:$I$88,3,0)*VLOOKUP('Données projet (1)'!$B$11,'Paramètres (1)'!$A$1:$I$88,5,0)</f>
        <v>#REF!</v>
      </c>
      <c r="BF24" s="130" t="str">
        <f t="shared" si="118"/>
        <v>#REF!</v>
      </c>
      <c r="BG24" s="141" t="str">
        <f t="shared" si="29"/>
        <v>#REF!</v>
      </c>
      <c r="BH24" s="133" t="str">
        <f t="shared" si="30"/>
        <v>#REF!</v>
      </c>
      <c r="BI24" s="133" t="str">
        <f t="shared" si="31"/>
        <v>#REF!</v>
      </c>
      <c r="BJ24" s="133" t="str">
        <f t="shared" si="119"/>
        <v>#REF!</v>
      </c>
      <c r="BK24" s="134" t="str">
        <f t="shared" si="32"/>
        <v>#REF!</v>
      </c>
      <c r="BL24" s="134" t="str">
        <f t="shared" si="33"/>
        <v>#REF!</v>
      </c>
      <c r="BM24" s="135" t="str">
        <f>IF(ISNA(VLOOKUP(A24,'Données projet (1)'!$A$87:$I$107,5,0)),0%,VLOOKUP(A24,'Données projet (1)'!$A$87:$I$107,5,0)*VLOOKUP('Données projet (1)'!$B$11,'Paramètres (1)'!$A$1:$I$88,7,0))</f>
        <v>#REF!</v>
      </c>
      <c r="BN24" s="135" t="str">
        <f>IF(ISNA(VLOOKUP(A24,'Données projet (1)'!$A$87:$I$107,6,0)),0%,VLOOKUP(A24,'Données projet (1)'!$A$87:$I$107,6,0)*VLOOKUP('Données projet (1)'!$B$11,'Paramètres (1)'!$A$1:$I$88,7,0))</f>
        <v>#REF!</v>
      </c>
      <c r="BO24" s="135" t="str">
        <f t="shared" si="34"/>
        <v>#REF!</v>
      </c>
      <c r="BP24" s="142" t="str">
        <f>EXP(-LN(2)/35)*BP23+(1-EXP(-LN(2)/35))/(LN(2)/35)*BL24*BM24*VLOOKUP('Données projet (1)'!$B$11,'Paramètres (1)'!$A$1:$I$88,3,0)*0.475*44/12</f>
        <v>#REF!</v>
      </c>
      <c r="BQ24" s="142" t="str">
        <f>EXP(-LN(2)/25)*BQ23+(1-EXP(-LN(2)/25))/(LN(2)/25)*'Calculateur (1)'!BL24*'Calculateur (1)'!BN24*VLOOKUP('Données projet (1)'!$B$11,'Paramètres (1)'!$A$1:$I$88,3,0)*0.475*44/12</f>
        <v>#REF!</v>
      </c>
      <c r="BR24" s="142" t="str">
        <f>EXP(-LN(2)/2)*BR23+(1-EXP(-LN(2)/2))/(LN(2)/2)*BL24*BO24*VLOOKUP('Données projet (1)'!$B$11,'Paramètres (1)'!$A$1:$I$88,3,0)*0.475*44/12</f>
        <v>#REF!</v>
      </c>
      <c r="BS24" s="143" t="str">
        <f t="shared" si="35"/>
        <v>#REF!</v>
      </c>
      <c r="BT24" s="139" t="str">
        <f t="shared" si="36"/>
        <v>#REF!</v>
      </c>
      <c r="BU24" s="131" t="str">
        <f t="shared" si="37"/>
        <v>#REF!</v>
      </c>
      <c r="BV24" s="131" t="str">
        <f t="shared" si="120"/>
        <v>#REF!</v>
      </c>
      <c r="BW24" s="131" t="str">
        <f t="shared" si="38"/>
        <v>#REF!</v>
      </c>
      <c r="BX24" s="131" t="str">
        <f t="array" ref="BX24">INDEX(BW:BW,MIN(IF(ISNUMBER(BW24:BW220),ROW(BW24:BW220),"")))</f>
        <v/>
      </c>
      <c r="BY24" s="131" t="str">
        <f t="shared" si="121"/>
        <v>#REF!</v>
      </c>
      <c r="BZ24" s="130" t="str">
        <f>BY24*VLOOKUP('Données projet (1)'!$B$12,'Paramètres (1)'!$A$1:$I$88,3,0)*VLOOKUP('Données projet (1)'!$B$12,'Paramètres (1)'!$A$1:$I$88,5,0)</f>
        <v>#REF!</v>
      </c>
      <c r="CA24" s="130" t="str">
        <f t="shared" si="122"/>
        <v>#REF!</v>
      </c>
      <c r="CB24" s="141" t="str">
        <f t="shared" si="39"/>
        <v>#REF!</v>
      </c>
      <c r="CC24" s="133" t="str">
        <f t="shared" si="40"/>
        <v>#REF!</v>
      </c>
      <c r="CD24" s="133" t="str">
        <f t="shared" si="41"/>
        <v>#REF!</v>
      </c>
      <c r="CE24" s="133" t="str">
        <f t="shared" si="123"/>
        <v>#REF!</v>
      </c>
      <c r="CF24" s="134" t="str">
        <f t="shared" si="42"/>
        <v>#REF!</v>
      </c>
      <c r="CG24" s="134" t="str">
        <f t="shared" si="43"/>
        <v>#REF!</v>
      </c>
      <c r="CH24" s="135" t="str">
        <f>IF(ISNA(VLOOKUP(A24,'Données projet (1)'!$A$113:$I$133,5,0)),0%,VLOOKUP(A24,'Données projet (1)'!$A$113:$I$133,5,0)*VLOOKUP('Données projet (1)'!$B$12,'Paramètres (1)'!$A$1:$I$88,7,0))</f>
        <v>#REF!</v>
      </c>
      <c r="CI24" s="135" t="str">
        <f>IF(ISNA(VLOOKUP(A24,'Données projet (1)'!$A$113:$I$133,6,0)),0%,VLOOKUP(A24,'Données projet (1)'!$A$113:$I$133,6,0)*VLOOKUP('Données projet (1)'!$B$12,'Paramètres (1)'!$A$1:$I$88,7,0))</f>
        <v>#REF!</v>
      </c>
      <c r="CJ24" s="135" t="str">
        <f t="shared" si="44"/>
        <v>#REF!</v>
      </c>
      <c r="CK24" s="142" t="str">
        <f>EXP(-LN(2)/35)*CK23+(1-EXP(-LN(2)/35))/(LN(2)/35)*CG24*CH24*VLOOKUP('Données projet (1)'!$B$12,'Paramètres (1)'!$A$1:$I$88,3,0)*0.475*44/12</f>
        <v>#REF!</v>
      </c>
      <c r="CL24" s="142" t="str">
        <f>EXP(-LN(2)/25)*CL23+(1-EXP(-LN(2)/25))/(LN(2)/25)*'Calculateur (1)'!CG24*'Calculateur (1)'!CI24*VLOOKUP('Données projet (1)'!$B$12,'Paramètres (1)'!$A$1:$I$88,3,0)*0.475*44/12</f>
        <v>#REF!</v>
      </c>
      <c r="CM24" s="142" t="str">
        <f>EXP(-LN(2)/2)*CM23+(1-EXP(-LN(2)/2))/(LN(2)/2)*CG24*CJ24*VLOOKUP('Données projet (1)'!$B$12,'Paramètres (1)'!$A$1:$I$88,3,0)*0.475*44/12</f>
        <v>#REF!</v>
      </c>
      <c r="CN24" s="143" t="str">
        <f t="shared" si="45"/>
        <v>#REF!</v>
      </c>
      <c r="CO24" s="139" t="str">
        <f t="shared" si="46"/>
        <v>#REF!</v>
      </c>
      <c r="CP24" s="131" t="str">
        <f t="shared" si="47"/>
        <v>#REF!</v>
      </c>
      <c r="CQ24" s="131" t="str">
        <f t="shared" si="124"/>
        <v>#REF!</v>
      </c>
      <c r="CR24" s="131" t="str">
        <f t="shared" si="48"/>
        <v>#REF!</v>
      </c>
      <c r="CS24" s="131" t="str">
        <f t="array" ref="CS24">INDEX(CR:CR,MIN(IF(ISNUMBER(CR24:CR220),ROW(CR24:CR220),"")))</f>
        <v/>
      </c>
      <c r="CT24" s="131" t="str">
        <f t="shared" si="125"/>
        <v>#REF!</v>
      </c>
      <c r="CU24" s="138" t="str">
        <f>CT24*VLOOKUP('Données projet (1)'!$B$13,'Paramètres (1)'!$A$1:$I$88,3,0)*VLOOKUP('Données projet (1)'!$B$13,'Paramètres (1)'!$A$1:$I$88,5,0)</f>
        <v>#REF!</v>
      </c>
      <c r="CV24" s="130" t="str">
        <f t="shared" si="126"/>
        <v>#REF!</v>
      </c>
      <c r="CW24" s="141" t="str">
        <f t="shared" si="49"/>
        <v>#REF!</v>
      </c>
      <c r="CX24" s="133" t="str">
        <f t="shared" si="50"/>
        <v>#REF!</v>
      </c>
      <c r="CY24" s="133" t="str">
        <f t="shared" si="51"/>
        <v>#REF!</v>
      </c>
      <c r="CZ24" s="133" t="str">
        <f t="shared" si="127"/>
        <v>#REF!</v>
      </c>
      <c r="DA24" s="134" t="str">
        <f t="shared" si="52"/>
        <v>#REF!</v>
      </c>
      <c r="DB24" s="134" t="str">
        <f t="shared" si="53"/>
        <v>#REF!</v>
      </c>
      <c r="DC24" s="135" t="str">
        <f>IF(ISNA(VLOOKUP(A24,'Données projet (1)'!$A$139:$I$159,5,0)),0%,VLOOKUP(A24,'Données projet (1)'!$A$139:$I$159,5,0)*VLOOKUP('Données projet (1)'!$B$13,'Paramètres (1)'!$A$1:$I$88,7,0))</f>
        <v>#REF!</v>
      </c>
      <c r="DD24" s="135" t="str">
        <f>IF(ISNA(VLOOKUP(A24,'Données projet (1)'!$A$139:$I$159,6,0)),0%,VLOOKUP(A24,'Données projet (1)'!$A$139:$I$159,6,0)*VLOOKUP('Données projet (1)'!$B$13,'Paramètres (1)'!$A$1:$I$88,7,0))</f>
        <v>#REF!</v>
      </c>
      <c r="DE24" s="135" t="str">
        <f t="shared" si="54"/>
        <v>#REF!</v>
      </c>
      <c r="DF24" s="142" t="str">
        <f>EXP(-LN(2)/35)*DF23+(1-EXP(-LN(2)/35))/(LN(2)/35)*DB24*DC24*VLOOKUP('Données projet (1)'!$B$13,'Paramètres (1)'!$A$1:$I$88,3,0)*0.475*44/12</f>
        <v>#REF!</v>
      </c>
      <c r="DG24" s="142" t="str">
        <f>EXP(-LN(2)/25)*DG23+(1-EXP(-LN(2)/25))/(LN(2)/25)*'Calculateur (1)'!DB24*'Calculateur (1)'!DD24*VLOOKUP('Données projet (1)'!$B$13,'Paramètres (1)'!$A$1:$I$88,3,0)*0.475*44/12</f>
        <v>#REF!</v>
      </c>
      <c r="DH24" s="142" t="str">
        <f>EXP(-LN(2)/2)*DH23+(1-EXP(-LN(2)/2))/(LN(2)/2)*DB24*DE24*VLOOKUP('Données projet (1)'!$B$13,'Paramètres (1)'!$A$1:$I$88,3,0)*0.475*44/12</f>
        <v>#REF!</v>
      </c>
      <c r="DI24" s="143" t="str">
        <f t="shared" si="55"/>
        <v>#REF!</v>
      </c>
      <c r="DJ24" s="139" t="str">
        <f t="shared" si="56"/>
        <v>#REF!</v>
      </c>
      <c r="DK24" s="131" t="str">
        <f t="shared" si="57"/>
        <v>#REF!</v>
      </c>
      <c r="DL24" s="131" t="str">
        <f t="shared" si="128"/>
        <v>#REF!</v>
      </c>
      <c r="DM24" s="131" t="str">
        <f t="shared" si="58"/>
        <v>#REF!</v>
      </c>
      <c r="DN24" s="131" t="str">
        <f t="array" ref="DN24">INDEX(DM:DM,MIN(IF(ISNUMBER(DM24:DM220),ROW(DM24:DM220),"")))</f>
        <v/>
      </c>
      <c r="DO24" s="131" t="str">
        <f t="shared" si="129"/>
        <v>#REF!</v>
      </c>
      <c r="DP24" s="138" t="str">
        <f>DO24*VLOOKUP('Données projet (1)'!$B$14,'Paramètres (1)'!$A$1:$I$88,3,0)*VLOOKUP('Données projet (1)'!$B$14,'Paramètres (1)'!$A$1:$I$88,5,0)</f>
        <v>#REF!</v>
      </c>
      <c r="DQ24" s="130" t="str">
        <f t="shared" si="130"/>
        <v>#REF!</v>
      </c>
      <c r="DR24" s="141" t="str">
        <f t="shared" si="59"/>
        <v>#REF!</v>
      </c>
      <c r="DS24" s="133" t="str">
        <f t="shared" si="60"/>
        <v>#REF!</v>
      </c>
      <c r="DT24" s="133" t="str">
        <f t="shared" si="61"/>
        <v>#REF!</v>
      </c>
      <c r="DU24" s="133" t="str">
        <f t="shared" si="131"/>
        <v>#REF!</v>
      </c>
      <c r="DV24" s="134" t="str">
        <f t="shared" si="62"/>
        <v>#REF!</v>
      </c>
      <c r="DW24" s="134" t="str">
        <f t="shared" si="63"/>
        <v>#REF!</v>
      </c>
      <c r="DX24" s="135" t="str">
        <f>IF(ISNA(VLOOKUP(A24,'Données projet (1)'!$A$165:$I$185,5,0)),0%,VLOOKUP(A24,'Données projet (1)'!$A$165:$I$185,5,0)*VLOOKUP('Données projet (1)'!$B$14,'Paramètres (1)'!$A$1:$I$88,7,0))</f>
        <v>#REF!</v>
      </c>
      <c r="DY24" s="135" t="str">
        <f>IF(ISNA(VLOOKUP(A24,'Données projet (1)'!$A$165:$I$185,6,0)),0%,VLOOKUP(A24,'Données projet (1)'!$A$165:$I$185,6,0)*VLOOKUP('Données projet (1)'!$B$14,'Paramètres (1)'!$A$1:$I$88,7,0))</f>
        <v>#REF!</v>
      </c>
      <c r="DZ24" s="135" t="str">
        <f t="shared" si="64"/>
        <v>#REF!</v>
      </c>
      <c r="EA24" s="142" t="str">
        <f>EXP(-LN(2)/35)*EA23+(1-EXP(-LN(2)/35))/(LN(2)/35)*DW24*DX24*VLOOKUP('Données projet (1)'!$B$14,'Paramètres (1)'!$A$1:$I$88,3,0)*0.475*44/12</f>
        <v>#REF!</v>
      </c>
      <c r="EB24" s="142" t="str">
        <f>EXP(-LN(2)/25)*EB23+(1-EXP(-LN(2)/25))/(LN(2)/25)*'Calculateur (1)'!DW24*'Calculateur (1)'!DY24*VLOOKUP('Données projet (1)'!$B$14,'Paramètres (1)'!$A$1:$I$88,3,0)*0.475*44/12</f>
        <v>#REF!</v>
      </c>
      <c r="EC24" s="142" t="str">
        <f>EXP(-LN(2)/2)*EC23+(1-EXP(-LN(2)/2))/(LN(2)/2)*DW24*DZ24*VLOOKUP('Données projet (1)'!$B$14,'Paramètres (1)'!$A$1:$I$88,3,0)*0.475*44/12</f>
        <v>#REF!</v>
      </c>
      <c r="ED24" s="143" t="str">
        <f t="shared" si="65"/>
        <v>#REF!</v>
      </c>
      <c r="EE24" s="139" t="str">
        <f t="shared" si="66"/>
        <v>#REF!</v>
      </c>
      <c r="EF24" s="131" t="str">
        <f t="shared" si="67"/>
        <v>#REF!</v>
      </c>
      <c r="EG24" s="131" t="str">
        <f t="shared" si="132"/>
        <v>#REF!</v>
      </c>
      <c r="EH24" s="131" t="str">
        <f t="shared" si="68"/>
        <v>#REF!</v>
      </c>
      <c r="EI24" s="131" t="str">
        <f t="array" ref="EI24">INDEX(EH:EH,MIN(IF(ISNUMBER(EH24:EH220),ROW(EH24:EH220),"")))</f>
        <v/>
      </c>
      <c r="EJ24" s="131" t="str">
        <f t="shared" si="133"/>
        <v>#REF!</v>
      </c>
      <c r="EK24" s="138" t="str">
        <f>EJ24*VLOOKUP('Données projet (1)'!$B$15,'Paramètres (1)'!$A$1:$I$88,3,0)*VLOOKUP('Données projet (1)'!$B$15,'Paramètres (1)'!$A$1:$I$88,5,0)</f>
        <v>#REF!</v>
      </c>
      <c r="EL24" s="130" t="str">
        <f t="shared" si="134"/>
        <v>#REF!</v>
      </c>
      <c r="EM24" s="141" t="str">
        <f t="shared" si="69"/>
        <v>#REF!</v>
      </c>
      <c r="EN24" s="133" t="str">
        <f t="shared" si="70"/>
        <v>#REF!</v>
      </c>
      <c r="EO24" s="133" t="str">
        <f t="shared" si="71"/>
        <v>#REF!</v>
      </c>
      <c r="EP24" s="133" t="str">
        <f t="shared" si="135"/>
        <v>#REF!</v>
      </c>
      <c r="EQ24" s="134" t="str">
        <f t="shared" si="72"/>
        <v>#REF!</v>
      </c>
      <c r="ER24" s="134" t="str">
        <f t="shared" si="73"/>
        <v>#REF!</v>
      </c>
      <c r="ES24" s="135" t="str">
        <f>IF(ISNA(VLOOKUP(A24,'Données projet (1)'!$A$191:$I$211,5,0)),0%,VLOOKUP(A24,'Données projet (1)'!$A$191:$I$211,5,0)*VLOOKUP('Données projet (1)'!$B$15,'Paramètres (1)'!$A$1:$I$88,7,0))</f>
        <v>#REF!</v>
      </c>
      <c r="ET24" s="135" t="str">
        <f>IF(ISNA(VLOOKUP(A24,'Données projet (1)'!$A$191:$I$211,6,0)),0%,VLOOKUP(A24,'Données projet (1)'!$A$191:$I$211,6,0)*VLOOKUP('Données projet (1)'!$B$15,'Paramètres (1)'!$A$1:$I$88,7,0))</f>
        <v>#REF!</v>
      </c>
      <c r="EU24" s="135" t="str">
        <f t="shared" si="74"/>
        <v>#REF!</v>
      </c>
      <c r="EV24" s="142" t="str">
        <f>EXP(-LN(2)/35)*EV23+(1-EXP(-LN(2)/35))/(LN(2)/35)*ER24*ES24*VLOOKUP('Données projet (1)'!$B$15,'Paramètres (1)'!$A$1:$I$88,3,0)*0.475*44/12</f>
        <v>#REF!</v>
      </c>
      <c r="EW24" s="142" t="str">
        <f>EXP(-LN(2)/25)*EW23+(1-EXP(-LN(2)/25))/(LN(2)/25)*'Calculateur (1)'!ER24*'Calculateur (1)'!ET24*VLOOKUP('Données projet (1)'!$B$15,'Paramètres (1)'!$A$1:$I$88,3,0)*0.475*44/12</f>
        <v>#REF!</v>
      </c>
      <c r="EX24" s="142" t="str">
        <f>EXP(-LN(2)/2)*EX23+(1-EXP(-LN(2)/2))/(LN(2)/2)*ER24*EU24*VLOOKUP('Données projet (1)'!$B$15,'Paramètres (1)'!$A$1:$I$88,3,0)*0.475*44/12</f>
        <v>#REF!</v>
      </c>
      <c r="EY24" s="143" t="str">
        <f t="shared" si="75"/>
        <v>#REF!</v>
      </c>
      <c r="EZ24" s="139" t="str">
        <f t="shared" si="76"/>
        <v>#REF!</v>
      </c>
      <c r="FA24" s="131" t="str">
        <f t="shared" si="77"/>
        <v>#REF!</v>
      </c>
      <c r="FB24" s="131" t="str">
        <f t="shared" si="136"/>
        <v>#REF!</v>
      </c>
      <c r="FC24" s="131" t="str">
        <f t="shared" si="78"/>
        <v>#REF!</v>
      </c>
      <c r="FD24" s="131" t="str">
        <f t="array" ref="FD24">INDEX(FC:FC,MIN(IF(ISNUMBER(FC24:FC220),ROW(FC24:FC220),"")))</f>
        <v/>
      </c>
      <c r="FE24" s="131" t="str">
        <f t="shared" si="137"/>
        <v>#REF!</v>
      </c>
      <c r="FF24" s="138" t="str">
        <f>FE24*VLOOKUP('Données projet (1)'!$B$16,'Paramètres (1)'!$A$1:$I$88,3,0)*VLOOKUP('Données projet (1)'!$B$16,'Paramètres (1)'!$A$1:$I$88,5,0)</f>
        <v>#REF!</v>
      </c>
      <c r="FG24" s="130" t="str">
        <f t="shared" si="138"/>
        <v>#REF!</v>
      </c>
      <c r="FH24" s="141" t="str">
        <f t="shared" si="79"/>
        <v>#REF!</v>
      </c>
      <c r="FI24" s="133" t="str">
        <f t="shared" si="80"/>
        <v>#REF!</v>
      </c>
      <c r="FJ24" s="133" t="str">
        <f t="shared" si="81"/>
        <v>#REF!</v>
      </c>
      <c r="FK24" s="133" t="str">
        <f t="shared" si="139"/>
        <v>#REF!</v>
      </c>
      <c r="FL24" s="134" t="str">
        <f t="shared" si="82"/>
        <v>#REF!</v>
      </c>
      <c r="FM24" s="134" t="str">
        <f t="shared" si="83"/>
        <v>#REF!</v>
      </c>
      <c r="FN24" s="135" t="str">
        <f>IF(ISNA(VLOOKUP(A24,'Données projet (1)'!$A$217:$I$237,5,0)),0%,VLOOKUP(A24,'Données projet (1)'!$A$217:$I$237,5,0)*VLOOKUP('Données projet (1)'!$B$16,'Paramètres (1)'!$A$1:$I$88,7,0))</f>
        <v>#REF!</v>
      </c>
      <c r="FO24" s="135" t="str">
        <f>IF(ISNA(VLOOKUP(A24,'Données projet (1)'!$A$217:$I$237,6,0)),0%,VLOOKUP(A24,'Données projet (1)'!$A$217:$I$237,6,0)*VLOOKUP('Données projet (1)'!$B$16,'Paramètres (1)'!$A$1:$I$88,7,0))</f>
        <v>#REF!</v>
      </c>
      <c r="FP24" s="135" t="str">
        <f t="shared" si="84"/>
        <v>#REF!</v>
      </c>
      <c r="FQ24" s="142" t="str">
        <f>EXP(-LN(2)/35)*FQ23+(1-EXP(-LN(2)/35))/(LN(2)/35)*FM24*FN24*VLOOKUP('Données projet (1)'!$B$16,'Paramètres (1)'!$A$1:$I$88,3,0)*0.475*44/12</f>
        <v>#REF!</v>
      </c>
      <c r="FR24" s="142" t="str">
        <f>EXP(-LN(2)/25)*FR23+(1-EXP(-LN(2)/25))/(LN(2)/25)*'Calculateur (1)'!FM24*'Calculateur (1)'!FO24*VLOOKUP('Données projet (1)'!$B$16,'Paramètres (1)'!$A$1:$I$88,3,0)*0.475*44/12</f>
        <v>#REF!</v>
      </c>
      <c r="FS24" s="142" t="str">
        <f>EXP(-LN(2)/2)*FS23+(1-EXP(-LN(2)/2))/(LN(2)/2)*FM24*FP24*VLOOKUP('Données projet (1)'!$B$16,'Paramètres (1)'!$A$1:$I$88,3,0)*0.475*44/12</f>
        <v>#REF!</v>
      </c>
      <c r="FT24" s="143" t="str">
        <f t="shared" si="85"/>
        <v>#REF!</v>
      </c>
      <c r="FU24" s="139" t="str">
        <f t="shared" si="86"/>
        <v>#REF!</v>
      </c>
      <c r="FV24" s="131" t="str">
        <f t="shared" si="87"/>
        <v>#REF!</v>
      </c>
      <c r="FW24" s="131" t="str">
        <f t="shared" si="140"/>
        <v>#REF!</v>
      </c>
      <c r="FX24" s="131" t="str">
        <f t="shared" si="88"/>
        <v>#REF!</v>
      </c>
      <c r="FY24" s="131" t="str">
        <f t="array" ref="FY24">INDEX(FX:FX,MIN(IF(ISNUMBER(FX24:FX220),ROW(FX24:FX220),"")))</f>
        <v/>
      </c>
      <c r="FZ24" s="131" t="str">
        <f t="shared" si="141"/>
        <v>#REF!</v>
      </c>
      <c r="GA24" s="138" t="str">
        <f>FZ24*VLOOKUP('Données projet (1)'!$B$17,'Paramètres (1)'!$A$1:$I$88,3,0)*VLOOKUP('Données projet (1)'!$B$17,'Paramètres (1)'!$A$1:$I$88,5,0)</f>
        <v>#REF!</v>
      </c>
      <c r="GB24" s="130" t="str">
        <f t="shared" si="142"/>
        <v>#REF!</v>
      </c>
      <c r="GC24" s="141" t="str">
        <f t="shared" si="89"/>
        <v>#REF!</v>
      </c>
      <c r="GD24" s="133" t="str">
        <f t="shared" si="90"/>
        <v>#REF!</v>
      </c>
      <c r="GE24" s="133" t="str">
        <f t="shared" si="91"/>
        <v>#REF!</v>
      </c>
      <c r="GF24" s="133" t="str">
        <f t="shared" si="143"/>
        <v>#REF!</v>
      </c>
      <c r="GG24" s="134" t="str">
        <f t="shared" si="92"/>
        <v>#REF!</v>
      </c>
      <c r="GH24" s="134" t="str">
        <f t="shared" si="93"/>
        <v>#REF!</v>
      </c>
      <c r="GI24" s="135" t="str">
        <f>IF(ISNA(VLOOKUP(A24,'Données projet (1)'!$A$243:$I$263,5,0)),0%,VLOOKUP(A24,'Données projet (1)'!$A$243:$I$263,5,0)*VLOOKUP('Données projet (1)'!$B$17,'Paramètres (1)'!$A$1:$I$88,7,0))</f>
        <v>#REF!</v>
      </c>
      <c r="GJ24" s="135" t="str">
        <f>IF(ISNA(VLOOKUP(A24,'Données projet (1)'!$A$243:$I$263,6,0)),0%,VLOOKUP(A24,'Données projet (1)'!$A$243:$I$263,6,0)*VLOOKUP('Données projet (1)'!$B$17,'Paramètres (1)'!$A$1:$I$88,7,0))</f>
        <v>#REF!</v>
      </c>
      <c r="GK24" s="135" t="str">
        <f t="shared" si="94"/>
        <v>#REF!</v>
      </c>
      <c r="GL24" s="142" t="str">
        <f>EXP(-LN(2)/35)*GL23+(1-EXP(-LN(2)/35))/(LN(2)/35)*GH24*GI24*VLOOKUP('Données projet (1)'!$B$17,'Paramètres (1)'!$A$1:$I$88,3,0)*0.475*44/12</f>
        <v>#REF!</v>
      </c>
      <c r="GM24" s="142" t="str">
        <f>EXP(-LN(2)/25)*GM23+(1-EXP(-LN(2)/25))/(LN(2)/25)*'Calculateur (1)'!GH24*'Calculateur (1)'!GJ24*VLOOKUP('Données projet (1)'!$B$17,'Paramètres (1)'!$A$1:$I$88,3,0)*0.475*44/12</f>
        <v>#REF!</v>
      </c>
      <c r="GN24" s="142" t="str">
        <f>EXP(-LN(2)/2)*GN23+(1-EXP(-LN(2)/2))/(LN(2)/2)*GH24*GK24*VLOOKUP('Données projet (1)'!$B$17,'Paramètres (1)'!$A$1:$I$88,3,0)*0.475*44/12</f>
        <v>#REF!</v>
      </c>
      <c r="GO24" s="142" t="str">
        <f t="shared" si="95"/>
        <v>#REF!</v>
      </c>
      <c r="GP24" s="139" t="str">
        <f t="shared" si="96"/>
        <v>#REF!</v>
      </c>
      <c r="GQ24" s="131" t="str">
        <f t="shared" si="97"/>
        <v>#REF!</v>
      </c>
      <c r="GR24" s="131" t="str">
        <f t="shared" si="144"/>
        <v>#REF!</v>
      </c>
      <c r="GS24" s="131" t="str">
        <f t="shared" si="98"/>
        <v>#REF!</v>
      </c>
      <c r="GT24" s="131" t="str">
        <f t="array" ref="GT24">INDEX(GS:GS,MIN(IF(ISNUMBER(GS24:GS220),ROW(GS24:GS220),"")))</f>
        <v/>
      </c>
      <c r="GU24" s="131" t="str">
        <f t="shared" si="145"/>
        <v>#REF!</v>
      </c>
      <c r="GV24" s="138" t="str">
        <f>GU24*VLOOKUP('Données projet (1)'!$B$18,'Paramètres (1)'!$A$1:$I$88,3,0)*VLOOKUP('Données projet (1)'!$B$18,'Paramètres (1)'!$A$1:$I$88,5,0)</f>
        <v>#REF!</v>
      </c>
      <c r="GW24" s="130" t="str">
        <f t="shared" si="146"/>
        <v>#REF!</v>
      </c>
      <c r="GX24" s="141" t="str">
        <f t="shared" si="99"/>
        <v>#REF!</v>
      </c>
      <c r="GY24" s="133" t="str">
        <f t="shared" si="100"/>
        <v>#REF!</v>
      </c>
      <c r="GZ24" s="133" t="str">
        <f t="shared" si="101"/>
        <v>#REF!</v>
      </c>
      <c r="HA24" s="133" t="str">
        <f t="shared" si="147"/>
        <v>#REF!</v>
      </c>
      <c r="HB24" s="134" t="str">
        <f t="shared" si="102"/>
        <v>#REF!</v>
      </c>
      <c r="HC24" s="134" t="str">
        <f t="shared" si="103"/>
        <v>#REF!</v>
      </c>
      <c r="HD24" s="135" t="str">
        <f>IF(ISNA(VLOOKUP(A24,'Données projet (1)'!$A$269:$I$289,5,0)),0%,VLOOKUP(A24,'Données projet (1)'!$A$269:$I$289,5,0)*VLOOKUP('Données projet (1)'!$B$18,'Paramètres (1)'!$A$1:$I$88,7,0))</f>
        <v>#REF!</v>
      </c>
      <c r="HE24" s="135" t="str">
        <f>IF(ISNA(VLOOKUP(A24,'Données projet (1)'!$A$269:$I$289,6,0)),0%,VLOOKUP(A24,'Données projet (1)'!$A$269:$I$289,6,0)*VLOOKUP('Données projet (1)'!$B$18,'Paramètres (1)'!$A$1:$I$88,7,0))</f>
        <v>#REF!</v>
      </c>
      <c r="HF24" s="135" t="str">
        <f t="shared" si="104"/>
        <v>#REF!</v>
      </c>
      <c r="HG24" s="142" t="str">
        <f>EXP(-LN(2)/35)*HG23+(1-EXP(-LN(2)/35))/(LN(2)/35)*HC24*HD24*VLOOKUP('Données projet (1)'!$B$18,'Paramètres (1)'!$A$1:$I$88,3,0)*0.475*44/12</f>
        <v>#REF!</v>
      </c>
      <c r="HH24" s="142" t="str">
        <f>EXP(-LN(2)/25)*HH23+(1-EXP(-LN(2)/25))/(LN(2)/25)*'Calculateur (1)'!HC24*'Calculateur (1)'!HE24*VLOOKUP('Données projet (1)'!$B$18,'Paramètres (1)'!$A$1:$I$88,3,0)*0.475*44/12</f>
        <v>#REF!</v>
      </c>
      <c r="HI24" s="142" t="str">
        <f>EXP(-LN(2)/2)*HI23+(1-EXP(-LN(2)/2))/(LN(2)/2)*HC24*HF24*VLOOKUP('Données projet (1)'!$B$18,'Paramètres (1)'!$A$1:$I$88,3,0)*0.475*44/12</f>
        <v>#REF!</v>
      </c>
      <c r="HJ24" s="143" t="str">
        <f t="shared" si="105"/>
        <v>#REF!</v>
      </c>
    </row>
    <row r="25" ht="14.25" customHeight="1">
      <c r="A25" s="125">
        <f t="shared" si="106"/>
        <v>22</v>
      </c>
      <c r="B25" s="126" t="str">
        <f t="shared" si="1"/>
        <v>#REF!</v>
      </c>
      <c r="C25" s="140" t="str">
        <f>'Calculateur (1)'!C24+'Scénario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5" s="127">
        <f t="shared" si="107"/>
        <v>0</v>
      </c>
      <c r="E25" s="127" t="str">
        <f t="shared" si="2"/>
        <v>#REF!</v>
      </c>
      <c r="F25" s="127" t="str">
        <f t="shared" si="3"/>
        <v>#REF!</v>
      </c>
      <c r="G25" s="127" t="str">
        <f t="shared" si="4"/>
        <v>#REF!</v>
      </c>
      <c r="H25" s="128" t="str">
        <f t="shared" si="5"/>
        <v>#REF!</v>
      </c>
      <c r="I25" s="129" t="str">
        <f t="shared" si="6"/>
        <v>#REF!</v>
      </c>
      <c r="J25" s="130" t="str">
        <f t="shared" si="7"/>
        <v>#REF!</v>
      </c>
      <c r="K25" s="131" t="str">
        <f t="shared" si="108"/>
        <v>#REF!</v>
      </c>
      <c r="L25" s="131" t="str">
        <f t="shared" si="8"/>
        <v>#REF!</v>
      </c>
      <c r="M25" s="131" t="str">
        <f t="array" ref="M25">INDEX(L:L,MIN(IF(ISNUMBER(L25:L221),ROW(L25:L221),"")))</f>
        <v/>
      </c>
      <c r="N25" s="130" t="str">
        <f t="shared" si="109"/>
        <v>#REF!</v>
      </c>
      <c r="O25" s="130" t="str">
        <f>N25*VLOOKUP('Données projet (1)'!$B$9,'Paramètres (1)'!$A$1:$I$88,3,0)*VLOOKUP('Données projet (1)'!$B$9,'Paramètres (1)'!$A$1:$I$88,5,0)</f>
        <v>#REF!</v>
      </c>
      <c r="P25" s="130" t="str">
        <f t="shared" si="110"/>
        <v>#REF!</v>
      </c>
      <c r="Q25" s="141" t="str">
        <f t="shared" si="9"/>
        <v>#REF!</v>
      </c>
      <c r="R25" s="133" t="str">
        <f t="shared" si="10"/>
        <v>#REF!</v>
      </c>
      <c r="S25" s="133" t="str">
        <f t="shared" si="11"/>
        <v>#REF!</v>
      </c>
      <c r="T25" s="133" t="str">
        <f t="shared" si="111"/>
        <v>#REF!</v>
      </c>
      <c r="U25" s="134" t="str">
        <f t="shared" si="12"/>
        <v>#REF!</v>
      </c>
      <c r="V25" s="134" t="str">
        <f t="shared" si="13"/>
        <v>#REF!</v>
      </c>
      <c r="W25" s="135" t="str">
        <f>IF(ISNA(VLOOKUP(A25,'Données projet (1)'!$A$35:$I$55,5,0)),0%,VLOOKUP(A25,'Données projet (1)'!$A$35:$I$55,5,0)*VLOOKUP('Données projet (1)'!$B$9,'Paramètres (1)'!$A$1:$I$88,7,0))</f>
        <v>#REF!</v>
      </c>
      <c r="X25" s="135" t="str">
        <f>IF(ISNA(VLOOKUP(A25,'Données projet (1)'!$A$35:$I$55,6,0)),0%,VLOOKUP(A25,'Données projet (1)'!$A$35:$I$55,6,0)*VLOOKUP('Données projet (1)'!$B$9,'Paramètres (1)'!$A$1:$I$88,7,0))</f>
        <v>#REF!</v>
      </c>
      <c r="Y25" s="135" t="str">
        <f t="shared" si="14"/>
        <v>#REF!</v>
      </c>
      <c r="Z25" s="142" t="str">
        <f>EXP(-LN(2)/35)*Z24+(1-EXP(-LN(2)/35))/(LN(2)/35)*V25*W25*VLOOKUP('Données projet (1)'!$B$9,'Paramètres (1)'!$A$1:$I$88,3,0)*0.475*44/12</f>
        <v>#REF!</v>
      </c>
      <c r="AA25" s="142" t="str">
        <f>EXP(-LN(2)/25)*AA24+(1-EXP(-LN(2)/25))/(LN(2)/25)*'Calculateur (1)'!V25*'Calculateur (1)'!X25*VLOOKUP('Données projet (1)'!$B$9,'Paramètres (1)'!$A$1:$I$88,3,0)*0.475*44/12</f>
        <v>#REF!</v>
      </c>
      <c r="AB25" s="142" t="str">
        <f>EXP(-LN(2)/2)*AB24+(1-EXP(-LN(2)/2))/(LN(2)/2)*V25*Y25*VLOOKUP('Données projet (1)'!$B$9,'Paramètres (1)'!$A$1:$I$88,3,0)*0.475*44/12</f>
        <v>#REF!</v>
      </c>
      <c r="AC25" s="143" t="str">
        <f t="shared" si="15"/>
        <v>#REF!</v>
      </c>
      <c r="AD25" s="130" t="str">
        <f t="shared" si="16"/>
        <v>#REF!</v>
      </c>
      <c r="AE25" s="130" t="str">
        <f t="shared" si="17"/>
        <v>#REF!</v>
      </c>
      <c r="AF25" s="131" t="str">
        <f t="shared" si="112"/>
        <v>#REF!</v>
      </c>
      <c r="AG25" s="131" t="str">
        <f t="shared" si="18"/>
        <v>#REF!</v>
      </c>
      <c r="AH25" s="131" t="str">
        <f t="array" ref="AH25">INDEX(AG:AG,MIN(IF(ISNUMBER(AG25:AG221),ROW(AG25:AG221),"")))</f>
        <v/>
      </c>
      <c r="AI25" s="130" t="str">
        <f t="shared" si="113"/>
        <v>#REF!</v>
      </c>
      <c r="AJ25" s="130" t="str">
        <f>AI25*VLOOKUP('Données projet (1)'!$B$10,'Paramètres (1)'!$A$1:$I$88,3,0)*VLOOKUP('Données projet (1)'!$B$10,'Paramètres (1)'!$A$1:$I$88,5,0)</f>
        <v>#REF!</v>
      </c>
      <c r="AK25" s="130" t="str">
        <f t="shared" si="114"/>
        <v>#REF!</v>
      </c>
      <c r="AL25" s="141" t="str">
        <f t="shared" si="19"/>
        <v>#REF!</v>
      </c>
      <c r="AM25" s="133" t="str">
        <f t="shared" si="20"/>
        <v>#REF!</v>
      </c>
      <c r="AN25" s="133" t="str">
        <f t="shared" si="21"/>
        <v>#REF!</v>
      </c>
      <c r="AO25" s="133" t="str">
        <f t="shared" si="115"/>
        <v>#REF!</v>
      </c>
      <c r="AP25" s="134" t="str">
        <f t="shared" si="22"/>
        <v>#REF!</v>
      </c>
      <c r="AQ25" s="134" t="str">
        <f t="shared" si="23"/>
        <v>#REF!</v>
      </c>
      <c r="AR25" s="135" t="str">
        <f>IF(ISNA(VLOOKUP(A25,'Données projet (1)'!$A$61:$I$81,5,0)),0%,VLOOKUP(A25,'Données projet (1)'!$A$61:$I$81,5,0)*VLOOKUP('Données projet (1)'!$B$10,'Paramètres (1)'!$A$1:$I$88,7,0))</f>
        <v>#REF!</v>
      </c>
      <c r="AS25" s="135" t="str">
        <f>IF(ISNA(VLOOKUP(A25,'Données projet (1)'!$A$61:$I$81,6,0)),0%,VLOOKUP(A25,'Données projet (1)'!$A$61:$I$81,6,0)*VLOOKUP('Données projet (1)'!$B$10,'Paramètres (1)'!$A$1:$I$88,7,0))</f>
        <v>#REF!</v>
      </c>
      <c r="AT25" s="135" t="str">
        <f t="shared" si="24"/>
        <v>#REF!</v>
      </c>
      <c r="AU25" s="142" t="str">
        <f>EXP(-LN(2)/35)*AU24+(1-EXP(-LN(2)/35))/(LN(2)/35)*AQ25*AR25*VLOOKUP('Données projet (1)'!$B$10,'Paramètres (1)'!$A$1:$I$88,3,0)*0.475*44/12</f>
        <v>#REF!</v>
      </c>
      <c r="AV25" s="142" t="str">
        <f>EXP(-LN(2)/25)*AV24+(1-EXP(-LN(2)/25))/(LN(2)/25)*'Calculateur (1)'!AQ25*'Calculateur (1)'!AS25*VLOOKUP('Données projet (1)'!$B$10,'Paramètres (1)'!$A$1:$I$88,3,0)*0.475*44/12</f>
        <v>#REF!</v>
      </c>
      <c r="AW25" s="142" t="str">
        <f>EXP(-LN(2)/2)*AW24+(1-EXP(-LN(2)/2))/(LN(2)/2)*AQ25*AT25*VLOOKUP('Données projet (1)'!$B$10,'Paramètres (1)'!$A$1:$I$88,3,0)*0.475*44/12</f>
        <v>#REF!</v>
      </c>
      <c r="AX25" s="142" t="str">
        <f t="shared" si="25"/>
        <v>#REF!</v>
      </c>
      <c r="AY25" s="137" t="str">
        <f t="shared" si="26"/>
        <v>#REF!</v>
      </c>
      <c r="AZ25" s="131" t="str">
        <f t="shared" si="27"/>
        <v>#REF!</v>
      </c>
      <c r="BA25" s="131" t="str">
        <f t="shared" si="116"/>
        <v>#REF!</v>
      </c>
      <c r="BB25" s="131" t="str">
        <f t="shared" si="28"/>
        <v>#REF!</v>
      </c>
      <c r="BC25" s="131" t="str">
        <f t="array" ref="BC25">INDEX(BB:BB,MIN(IF(ISNUMBER(BB25:BB221),ROW(BB25:BB221),"")))</f>
        <v/>
      </c>
      <c r="BD25" s="131" t="str">
        <f t="shared" si="117"/>
        <v>#REF!</v>
      </c>
      <c r="BE25" s="130" t="str">
        <f>BD25*VLOOKUP('Données projet (1)'!$B$11,'Paramètres (1)'!$A$1:$I$88,3,0)*VLOOKUP('Données projet (1)'!$B$11,'Paramètres (1)'!$A$1:$I$88,5,0)</f>
        <v>#REF!</v>
      </c>
      <c r="BF25" s="130" t="str">
        <f t="shared" si="118"/>
        <v>#REF!</v>
      </c>
      <c r="BG25" s="141" t="str">
        <f t="shared" si="29"/>
        <v>#REF!</v>
      </c>
      <c r="BH25" s="133" t="str">
        <f t="shared" si="30"/>
        <v>#REF!</v>
      </c>
      <c r="BI25" s="133" t="str">
        <f t="shared" si="31"/>
        <v>#REF!</v>
      </c>
      <c r="BJ25" s="133" t="str">
        <f t="shared" si="119"/>
        <v>#REF!</v>
      </c>
      <c r="BK25" s="134" t="str">
        <f t="shared" si="32"/>
        <v>#REF!</v>
      </c>
      <c r="BL25" s="134" t="str">
        <f t="shared" si="33"/>
        <v>#REF!</v>
      </c>
      <c r="BM25" s="135" t="str">
        <f>IF(ISNA(VLOOKUP(A25,'Données projet (1)'!$A$87:$I$107,5,0)),0%,VLOOKUP(A25,'Données projet (1)'!$A$87:$I$107,5,0)*VLOOKUP('Données projet (1)'!$B$11,'Paramètres (1)'!$A$1:$I$88,7,0))</f>
        <v>#REF!</v>
      </c>
      <c r="BN25" s="135" t="str">
        <f>IF(ISNA(VLOOKUP(A25,'Données projet (1)'!$A$87:$I$107,6,0)),0%,VLOOKUP(A25,'Données projet (1)'!$A$87:$I$107,6,0)*VLOOKUP('Données projet (1)'!$B$11,'Paramètres (1)'!$A$1:$I$88,7,0))</f>
        <v>#REF!</v>
      </c>
      <c r="BO25" s="135" t="str">
        <f t="shared" si="34"/>
        <v>#REF!</v>
      </c>
      <c r="BP25" s="142" t="str">
        <f>EXP(-LN(2)/35)*BP24+(1-EXP(-LN(2)/35))/(LN(2)/35)*BL25*BM25*VLOOKUP('Données projet (1)'!$B$11,'Paramètres (1)'!$A$1:$I$88,3,0)*0.475*44/12</f>
        <v>#REF!</v>
      </c>
      <c r="BQ25" s="142" t="str">
        <f>EXP(-LN(2)/25)*BQ24+(1-EXP(-LN(2)/25))/(LN(2)/25)*'Calculateur (1)'!BL25*'Calculateur (1)'!BN25*VLOOKUP('Données projet (1)'!$B$11,'Paramètres (1)'!$A$1:$I$88,3,0)*0.475*44/12</f>
        <v>#REF!</v>
      </c>
      <c r="BR25" s="142" t="str">
        <f>EXP(-LN(2)/2)*BR24+(1-EXP(-LN(2)/2))/(LN(2)/2)*BL25*BO25*VLOOKUP('Données projet (1)'!$B$11,'Paramètres (1)'!$A$1:$I$88,3,0)*0.475*44/12</f>
        <v>#REF!</v>
      </c>
      <c r="BS25" s="143" t="str">
        <f t="shared" si="35"/>
        <v>#REF!</v>
      </c>
      <c r="BT25" s="139" t="str">
        <f t="shared" si="36"/>
        <v>#REF!</v>
      </c>
      <c r="BU25" s="131" t="str">
        <f t="shared" si="37"/>
        <v>#REF!</v>
      </c>
      <c r="BV25" s="131" t="str">
        <f t="shared" si="120"/>
        <v>#REF!</v>
      </c>
      <c r="BW25" s="131" t="str">
        <f t="shared" si="38"/>
        <v>#REF!</v>
      </c>
      <c r="BX25" s="131" t="str">
        <f t="array" ref="BX25">INDEX(BW:BW,MIN(IF(ISNUMBER(BW25:BW221),ROW(BW25:BW221),"")))</f>
        <v/>
      </c>
      <c r="BY25" s="131" t="str">
        <f t="shared" si="121"/>
        <v>#REF!</v>
      </c>
      <c r="BZ25" s="130" t="str">
        <f>BY25*VLOOKUP('Données projet (1)'!$B$12,'Paramètres (1)'!$A$1:$I$88,3,0)*VLOOKUP('Données projet (1)'!$B$12,'Paramètres (1)'!$A$1:$I$88,5,0)</f>
        <v>#REF!</v>
      </c>
      <c r="CA25" s="130" t="str">
        <f t="shared" si="122"/>
        <v>#REF!</v>
      </c>
      <c r="CB25" s="141" t="str">
        <f t="shared" si="39"/>
        <v>#REF!</v>
      </c>
      <c r="CC25" s="133" t="str">
        <f t="shared" si="40"/>
        <v>#REF!</v>
      </c>
      <c r="CD25" s="133" t="str">
        <f t="shared" si="41"/>
        <v>#REF!</v>
      </c>
      <c r="CE25" s="133" t="str">
        <f t="shared" si="123"/>
        <v>#REF!</v>
      </c>
      <c r="CF25" s="134" t="str">
        <f t="shared" si="42"/>
        <v>#REF!</v>
      </c>
      <c r="CG25" s="134" t="str">
        <f t="shared" si="43"/>
        <v>#REF!</v>
      </c>
      <c r="CH25" s="135" t="str">
        <f>IF(ISNA(VLOOKUP(A25,'Données projet (1)'!$A$113:$I$133,5,0)),0%,VLOOKUP(A25,'Données projet (1)'!$A$113:$I$133,5,0)*VLOOKUP('Données projet (1)'!$B$12,'Paramètres (1)'!$A$1:$I$88,7,0))</f>
        <v>#REF!</v>
      </c>
      <c r="CI25" s="135" t="str">
        <f>IF(ISNA(VLOOKUP(A25,'Données projet (1)'!$A$113:$I$133,6,0)),0%,VLOOKUP(A25,'Données projet (1)'!$A$113:$I$133,6,0)*VLOOKUP('Données projet (1)'!$B$12,'Paramètres (1)'!$A$1:$I$88,7,0))</f>
        <v>#REF!</v>
      </c>
      <c r="CJ25" s="135" t="str">
        <f t="shared" si="44"/>
        <v>#REF!</v>
      </c>
      <c r="CK25" s="142" t="str">
        <f>EXP(-LN(2)/35)*CK24+(1-EXP(-LN(2)/35))/(LN(2)/35)*CG25*CH25*VLOOKUP('Données projet (1)'!$B$12,'Paramètres (1)'!$A$1:$I$88,3,0)*0.475*44/12</f>
        <v>#REF!</v>
      </c>
      <c r="CL25" s="142" t="str">
        <f>EXP(-LN(2)/25)*CL24+(1-EXP(-LN(2)/25))/(LN(2)/25)*'Calculateur (1)'!CG25*'Calculateur (1)'!CI25*VLOOKUP('Données projet (1)'!$B$12,'Paramètres (1)'!$A$1:$I$88,3,0)*0.475*44/12</f>
        <v>#REF!</v>
      </c>
      <c r="CM25" s="142" t="str">
        <f>EXP(-LN(2)/2)*CM24+(1-EXP(-LN(2)/2))/(LN(2)/2)*CG25*CJ25*VLOOKUP('Données projet (1)'!$B$12,'Paramètres (1)'!$A$1:$I$88,3,0)*0.475*44/12</f>
        <v>#REF!</v>
      </c>
      <c r="CN25" s="143" t="str">
        <f t="shared" si="45"/>
        <v>#REF!</v>
      </c>
      <c r="CO25" s="139" t="str">
        <f t="shared" si="46"/>
        <v>#REF!</v>
      </c>
      <c r="CP25" s="131" t="str">
        <f t="shared" si="47"/>
        <v>#REF!</v>
      </c>
      <c r="CQ25" s="131" t="str">
        <f t="shared" si="124"/>
        <v>#REF!</v>
      </c>
      <c r="CR25" s="131" t="str">
        <f t="shared" si="48"/>
        <v>#REF!</v>
      </c>
      <c r="CS25" s="131" t="str">
        <f t="array" ref="CS25">INDEX(CR:CR,MIN(IF(ISNUMBER(CR25:CR221),ROW(CR25:CR221),"")))</f>
        <v/>
      </c>
      <c r="CT25" s="131" t="str">
        <f t="shared" si="125"/>
        <v>#REF!</v>
      </c>
      <c r="CU25" s="138" t="str">
        <f>CT25*VLOOKUP('Données projet (1)'!$B$13,'Paramètres (1)'!$A$1:$I$88,3,0)*VLOOKUP('Données projet (1)'!$B$13,'Paramètres (1)'!$A$1:$I$88,5,0)</f>
        <v>#REF!</v>
      </c>
      <c r="CV25" s="130" t="str">
        <f t="shared" si="126"/>
        <v>#REF!</v>
      </c>
      <c r="CW25" s="141" t="str">
        <f t="shared" si="49"/>
        <v>#REF!</v>
      </c>
      <c r="CX25" s="133" t="str">
        <f t="shared" si="50"/>
        <v>#REF!</v>
      </c>
      <c r="CY25" s="133" t="str">
        <f t="shared" si="51"/>
        <v>#REF!</v>
      </c>
      <c r="CZ25" s="133" t="str">
        <f t="shared" si="127"/>
        <v>#REF!</v>
      </c>
      <c r="DA25" s="134" t="str">
        <f t="shared" si="52"/>
        <v>#REF!</v>
      </c>
      <c r="DB25" s="134" t="str">
        <f t="shared" si="53"/>
        <v>#REF!</v>
      </c>
      <c r="DC25" s="135" t="str">
        <f>IF(ISNA(VLOOKUP(A25,'Données projet (1)'!$A$139:$I$159,5,0)),0%,VLOOKUP(A25,'Données projet (1)'!$A$139:$I$159,5,0)*VLOOKUP('Données projet (1)'!$B$13,'Paramètres (1)'!$A$1:$I$88,7,0))</f>
        <v>#REF!</v>
      </c>
      <c r="DD25" s="135" t="str">
        <f>IF(ISNA(VLOOKUP(A25,'Données projet (1)'!$A$139:$I$159,6,0)),0%,VLOOKUP(A25,'Données projet (1)'!$A$139:$I$159,6,0)*VLOOKUP('Données projet (1)'!$B$13,'Paramètres (1)'!$A$1:$I$88,7,0))</f>
        <v>#REF!</v>
      </c>
      <c r="DE25" s="135" t="str">
        <f t="shared" si="54"/>
        <v>#REF!</v>
      </c>
      <c r="DF25" s="142" t="str">
        <f>EXP(-LN(2)/35)*DF24+(1-EXP(-LN(2)/35))/(LN(2)/35)*DB25*DC25*VLOOKUP('Données projet (1)'!$B$13,'Paramètres (1)'!$A$1:$I$88,3,0)*0.475*44/12</f>
        <v>#REF!</v>
      </c>
      <c r="DG25" s="142" t="str">
        <f>EXP(-LN(2)/25)*DG24+(1-EXP(-LN(2)/25))/(LN(2)/25)*'Calculateur (1)'!DB25*'Calculateur (1)'!DD25*VLOOKUP('Données projet (1)'!$B$13,'Paramètres (1)'!$A$1:$I$88,3,0)*0.475*44/12</f>
        <v>#REF!</v>
      </c>
      <c r="DH25" s="142" t="str">
        <f>EXP(-LN(2)/2)*DH24+(1-EXP(-LN(2)/2))/(LN(2)/2)*DB25*DE25*VLOOKUP('Données projet (1)'!$B$13,'Paramètres (1)'!$A$1:$I$88,3,0)*0.475*44/12</f>
        <v>#REF!</v>
      </c>
      <c r="DI25" s="143" t="str">
        <f t="shared" si="55"/>
        <v>#REF!</v>
      </c>
      <c r="DJ25" s="139" t="str">
        <f t="shared" si="56"/>
        <v>#REF!</v>
      </c>
      <c r="DK25" s="131" t="str">
        <f t="shared" si="57"/>
        <v>#REF!</v>
      </c>
      <c r="DL25" s="131" t="str">
        <f t="shared" si="128"/>
        <v>#REF!</v>
      </c>
      <c r="DM25" s="131" t="str">
        <f t="shared" si="58"/>
        <v>#REF!</v>
      </c>
      <c r="DN25" s="131" t="str">
        <f t="array" ref="DN25">INDEX(DM:DM,MIN(IF(ISNUMBER(DM25:DM221),ROW(DM25:DM221),"")))</f>
        <v/>
      </c>
      <c r="DO25" s="131" t="str">
        <f t="shared" si="129"/>
        <v>#REF!</v>
      </c>
      <c r="DP25" s="138" t="str">
        <f>DO25*VLOOKUP('Données projet (1)'!$B$14,'Paramètres (1)'!$A$1:$I$88,3,0)*VLOOKUP('Données projet (1)'!$B$14,'Paramètres (1)'!$A$1:$I$88,5,0)</f>
        <v>#REF!</v>
      </c>
      <c r="DQ25" s="130" t="str">
        <f t="shared" si="130"/>
        <v>#REF!</v>
      </c>
      <c r="DR25" s="141" t="str">
        <f t="shared" si="59"/>
        <v>#REF!</v>
      </c>
      <c r="DS25" s="133" t="str">
        <f t="shared" si="60"/>
        <v>#REF!</v>
      </c>
      <c r="DT25" s="133" t="str">
        <f t="shared" si="61"/>
        <v>#REF!</v>
      </c>
      <c r="DU25" s="133" t="str">
        <f t="shared" si="131"/>
        <v>#REF!</v>
      </c>
      <c r="DV25" s="134" t="str">
        <f t="shared" si="62"/>
        <v>#REF!</v>
      </c>
      <c r="DW25" s="134" t="str">
        <f t="shared" si="63"/>
        <v>#REF!</v>
      </c>
      <c r="DX25" s="135" t="str">
        <f>IF(ISNA(VLOOKUP(A25,'Données projet (1)'!$A$165:$I$185,5,0)),0%,VLOOKUP(A25,'Données projet (1)'!$A$165:$I$185,5,0)*VLOOKUP('Données projet (1)'!$B$14,'Paramètres (1)'!$A$1:$I$88,7,0))</f>
        <v>#REF!</v>
      </c>
      <c r="DY25" s="135" t="str">
        <f>IF(ISNA(VLOOKUP(A25,'Données projet (1)'!$A$165:$I$185,6,0)),0%,VLOOKUP(A25,'Données projet (1)'!$A$165:$I$185,6,0)*VLOOKUP('Données projet (1)'!$B$14,'Paramètres (1)'!$A$1:$I$88,7,0))</f>
        <v>#REF!</v>
      </c>
      <c r="DZ25" s="135" t="str">
        <f t="shared" si="64"/>
        <v>#REF!</v>
      </c>
      <c r="EA25" s="142" t="str">
        <f>EXP(-LN(2)/35)*EA24+(1-EXP(-LN(2)/35))/(LN(2)/35)*DW25*DX25*VLOOKUP('Données projet (1)'!$B$14,'Paramètres (1)'!$A$1:$I$88,3,0)*0.475*44/12</f>
        <v>#REF!</v>
      </c>
      <c r="EB25" s="142" t="str">
        <f>EXP(-LN(2)/25)*EB24+(1-EXP(-LN(2)/25))/(LN(2)/25)*'Calculateur (1)'!DW25*'Calculateur (1)'!DY25*VLOOKUP('Données projet (1)'!$B$14,'Paramètres (1)'!$A$1:$I$88,3,0)*0.475*44/12</f>
        <v>#REF!</v>
      </c>
      <c r="EC25" s="142" t="str">
        <f>EXP(-LN(2)/2)*EC24+(1-EXP(-LN(2)/2))/(LN(2)/2)*DW25*DZ25*VLOOKUP('Données projet (1)'!$B$14,'Paramètres (1)'!$A$1:$I$88,3,0)*0.475*44/12</f>
        <v>#REF!</v>
      </c>
      <c r="ED25" s="143" t="str">
        <f t="shared" si="65"/>
        <v>#REF!</v>
      </c>
      <c r="EE25" s="139" t="str">
        <f t="shared" si="66"/>
        <v>#REF!</v>
      </c>
      <c r="EF25" s="131" t="str">
        <f t="shared" si="67"/>
        <v>#REF!</v>
      </c>
      <c r="EG25" s="131" t="str">
        <f t="shared" si="132"/>
        <v>#REF!</v>
      </c>
      <c r="EH25" s="131" t="str">
        <f t="shared" si="68"/>
        <v>#REF!</v>
      </c>
      <c r="EI25" s="131" t="str">
        <f t="array" ref="EI25">INDEX(EH:EH,MIN(IF(ISNUMBER(EH25:EH221),ROW(EH25:EH221),"")))</f>
        <v/>
      </c>
      <c r="EJ25" s="131" t="str">
        <f t="shared" si="133"/>
        <v>#REF!</v>
      </c>
      <c r="EK25" s="138" t="str">
        <f>EJ25*VLOOKUP('Données projet (1)'!$B$15,'Paramètres (1)'!$A$1:$I$88,3,0)*VLOOKUP('Données projet (1)'!$B$15,'Paramètres (1)'!$A$1:$I$88,5,0)</f>
        <v>#REF!</v>
      </c>
      <c r="EL25" s="130" t="str">
        <f t="shared" si="134"/>
        <v>#REF!</v>
      </c>
      <c r="EM25" s="141" t="str">
        <f t="shared" si="69"/>
        <v>#REF!</v>
      </c>
      <c r="EN25" s="133" t="str">
        <f t="shared" si="70"/>
        <v>#REF!</v>
      </c>
      <c r="EO25" s="133" t="str">
        <f t="shared" si="71"/>
        <v>#REF!</v>
      </c>
      <c r="EP25" s="133" t="str">
        <f t="shared" si="135"/>
        <v>#REF!</v>
      </c>
      <c r="EQ25" s="134" t="str">
        <f t="shared" si="72"/>
        <v>#REF!</v>
      </c>
      <c r="ER25" s="134" t="str">
        <f t="shared" si="73"/>
        <v>#REF!</v>
      </c>
      <c r="ES25" s="135" t="str">
        <f>IF(ISNA(VLOOKUP(A25,'Données projet (1)'!$A$191:$I$211,5,0)),0%,VLOOKUP(A25,'Données projet (1)'!$A$191:$I$211,5,0)*VLOOKUP('Données projet (1)'!$B$15,'Paramètres (1)'!$A$1:$I$88,7,0))</f>
        <v>#REF!</v>
      </c>
      <c r="ET25" s="135" t="str">
        <f>IF(ISNA(VLOOKUP(A25,'Données projet (1)'!$A$191:$I$211,6,0)),0%,VLOOKUP(A25,'Données projet (1)'!$A$191:$I$211,6,0)*VLOOKUP('Données projet (1)'!$B$15,'Paramètres (1)'!$A$1:$I$88,7,0))</f>
        <v>#REF!</v>
      </c>
      <c r="EU25" s="135" t="str">
        <f t="shared" si="74"/>
        <v>#REF!</v>
      </c>
      <c r="EV25" s="142" t="str">
        <f>EXP(-LN(2)/35)*EV24+(1-EXP(-LN(2)/35))/(LN(2)/35)*ER25*ES25*VLOOKUP('Données projet (1)'!$B$15,'Paramètres (1)'!$A$1:$I$88,3,0)*0.475*44/12</f>
        <v>#REF!</v>
      </c>
      <c r="EW25" s="142" t="str">
        <f>EXP(-LN(2)/25)*EW24+(1-EXP(-LN(2)/25))/(LN(2)/25)*'Calculateur (1)'!ER25*'Calculateur (1)'!ET25*VLOOKUP('Données projet (1)'!$B$15,'Paramètres (1)'!$A$1:$I$88,3,0)*0.475*44/12</f>
        <v>#REF!</v>
      </c>
      <c r="EX25" s="142" t="str">
        <f>EXP(-LN(2)/2)*EX24+(1-EXP(-LN(2)/2))/(LN(2)/2)*ER25*EU25*VLOOKUP('Données projet (1)'!$B$15,'Paramètres (1)'!$A$1:$I$88,3,0)*0.475*44/12</f>
        <v>#REF!</v>
      </c>
      <c r="EY25" s="143" t="str">
        <f t="shared" si="75"/>
        <v>#REF!</v>
      </c>
      <c r="EZ25" s="139" t="str">
        <f t="shared" si="76"/>
        <v>#REF!</v>
      </c>
      <c r="FA25" s="131" t="str">
        <f t="shared" si="77"/>
        <v>#REF!</v>
      </c>
      <c r="FB25" s="131" t="str">
        <f t="shared" si="136"/>
        <v>#REF!</v>
      </c>
      <c r="FC25" s="131" t="str">
        <f t="shared" si="78"/>
        <v>#REF!</v>
      </c>
      <c r="FD25" s="131" t="str">
        <f t="array" ref="FD25">INDEX(FC:FC,MIN(IF(ISNUMBER(FC25:FC221),ROW(FC25:FC221),"")))</f>
        <v/>
      </c>
      <c r="FE25" s="131" t="str">
        <f t="shared" si="137"/>
        <v>#REF!</v>
      </c>
      <c r="FF25" s="138" t="str">
        <f>FE25*VLOOKUP('Données projet (1)'!$B$16,'Paramètres (1)'!$A$1:$I$88,3,0)*VLOOKUP('Données projet (1)'!$B$16,'Paramètres (1)'!$A$1:$I$88,5,0)</f>
        <v>#REF!</v>
      </c>
      <c r="FG25" s="130" t="str">
        <f t="shared" si="138"/>
        <v>#REF!</v>
      </c>
      <c r="FH25" s="141" t="str">
        <f t="shared" si="79"/>
        <v>#REF!</v>
      </c>
      <c r="FI25" s="133" t="str">
        <f t="shared" si="80"/>
        <v>#REF!</v>
      </c>
      <c r="FJ25" s="133" t="str">
        <f t="shared" si="81"/>
        <v>#REF!</v>
      </c>
      <c r="FK25" s="133" t="str">
        <f t="shared" si="139"/>
        <v>#REF!</v>
      </c>
      <c r="FL25" s="134" t="str">
        <f t="shared" si="82"/>
        <v>#REF!</v>
      </c>
      <c r="FM25" s="134" t="str">
        <f t="shared" si="83"/>
        <v>#REF!</v>
      </c>
      <c r="FN25" s="135" t="str">
        <f>IF(ISNA(VLOOKUP(A25,'Données projet (1)'!$A$217:$I$237,5,0)),0%,VLOOKUP(A25,'Données projet (1)'!$A$217:$I$237,5,0)*VLOOKUP('Données projet (1)'!$B$16,'Paramètres (1)'!$A$1:$I$88,7,0))</f>
        <v>#REF!</v>
      </c>
      <c r="FO25" s="135" t="str">
        <f>IF(ISNA(VLOOKUP(A25,'Données projet (1)'!$A$217:$I$237,6,0)),0%,VLOOKUP(A25,'Données projet (1)'!$A$217:$I$237,6,0)*VLOOKUP('Données projet (1)'!$B$16,'Paramètres (1)'!$A$1:$I$88,7,0))</f>
        <v>#REF!</v>
      </c>
      <c r="FP25" s="135" t="str">
        <f t="shared" si="84"/>
        <v>#REF!</v>
      </c>
      <c r="FQ25" s="142" t="str">
        <f>EXP(-LN(2)/35)*FQ24+(1-EXP(-LN(2)/35))/(LN(2)/35)*FM25*FN25*VLOOKUP('Données projet (1)'!$B$16,'Paramètres (1)'!$A$1:$I$88,3,0)*0.475*44/12</f>
        <v>#REF!</v>
      </c>
      <c r="FR25" s="142" t="str">
        <f>EXP(-LN(2)/25)*FR24+(1-EXP(-LN(2)/25))/(LN(2)/25)*'Calculateur (1)'!FM25*'Calculateur (1)'!FO25*VLOOKUP('Données projet (1)'!$B$16,'Paramètres (1)'!$A$1:$I$88,3,0)*0.475*44/12</f>
        <v>#REF!</v>
      </c>
      <c r="FS25" s="142" t="str">
        <f>EXP(-LN(2)/2)*FS24+(1-EXP(-LN(2)/2))/(LN(2)/2)*FM25*FP25*VLOOKUP('Données projet (1)'!$B$16,'Paramètres (1)'!$A$1:$I$88,3,0)*0.475*44/12</f>
        <v>#REF!</v>
      </c>
      <c r="FT25" s="143" t="str">
        <f t="shared" si="85"/>
        <v>#REF!</v>
      </c>
      <c r="FU25" s="139" t="str">
        <f t="shared" si="86"/>
        <v>#REF!</v>
      </c>
      <c r="FV25" s="131" t="str">
        <f t="shared" si="87"/>
        <v>#REF!</v>
      </c>
      <c r="FW25" s="131" t="str">
        <f t="shared" si="140"/>
        <v>#REF!</v>
      </c>
      <c r="FX25" s="131" t="str">
        <f t="shared" si="88"/>
        <v>#REF!</v>
      </c>
      <c r="FY25" s="131" t="str">
        <f t="array" ref="FY25">INDEX(FX:FX,MIN(IF(ISNUMBER(FX25:FX221),ROW(FX25:FX221),"")))</f>
        <v/>
      </c>
      <c r="FZ25" s="131" t="str">
        <f t="shared" si="141"/>
        <v>#REF!</v>
      </c>
      <c r="GA25" s="138" t="str">
        <f>FZ25*VLOOKUP('Données projet (1)'!$B$17,'Paramètres (1)'!$A$1:$I$88,3,0)*VLOOKUP('Données projet (1)'!$B$17,'Paramètres (1)'!$A$1:$I$88,5,0)</f>
        <v>#REF!</v>
      </c>
      <c r="GB25" s="130" t="str">
        <f t="shared" si="142"/>
        <v>#REF!</v>
      </c>
      <c r="GC25" s="141" t="str">
        <f t="shared" si="89"/>
        <v>#REF!</v>
      </c>
      <c r="GD25" s="133" t="str">
        <f t="shared" si="90"/>
        <v>#REF!</v>
      </c>
      <c r="GE25" s="133" t="str">
        <f t="shared" si="91"/>
        <v>#REF!</v>
      </c>
      <c r="GF25" s="133" t="str">
        <f t="shared" si="143"/>
        <v>#REF!</v>
      </c>
      <c r="GG25" s="134" t="str">
        <f t="shared" si="92"/>
        <v>#REF!</v>
      </c>
      <c r="GH25" s="134" t="str">
        <f t="shared" si="93"/>
        <v>#REF!</v>
      </c>
      <c r="GI25" s="135" t="str">
        <f>IF(ISNA(VLOOKUP(A25,'Données projet (1)'!$A$243:$I$263,5,0)),0%,VLOOKUP(A25,'Données projet (1)'!$A$243:$I$263,5,0)*VLOOKUP('Données projet (1)'!$B$17,'Paramètres (1)'!$A$1:$I$88,7,0))</f>
        <v>#REF!</v>
      </c>
      <c r="GJ25" s="135" t="str">
        <f>IF(ISNA(VLOOKUP(A25,'Données projet (1)'!$A$243:$I$263,6,0)),0%,VLOOKUP(A25,'Données projet (1)'!$A$243:$I$263,6,0)*VLOOKUP('Données projet (1)'!$B$17,'Paramètres (1)'!$A$1:$I$88,7,0))</f>
        <v>#REF!</v>
      </c>
      <c r="GK25" s="135" t="str">
        <f t="shared" si="94"/>
        <v>#REF!</v>
      </c>
      <c r="GL25" s="142" t="str">
        <f>EXP(-LN(2)/35)*GL24+(1-EXP(-LN(2)/35))/(LN(2)/35)*GH25*GI25*VLOOKUP('Données projet (1)'!$B$17,'Paramètres (1)'!$A$1:$I$88,3,0)*0.475*44/12</f>
        <v>#REF!</v>
      </c>
      <c r="GM25" s="142" t="str">
        <f>EXP(-LN(2)/25)*GM24+(1-EXP(-LN(2)/25))/(LN(2)/25)*'Calculateur (1)'!GH25*'Calculateur (1)'!GJ25*VLOOKUP('Données projet (1)'!$B$17,'Paramètres (1)'!$A$1:$I$88,3,0)*0.475*44/12</f>
        <v>#REF!</v>
      </c>
      <c r="GN25" s="142" t="str">
        <f>EXP(-LN(2)/2)*GN24+(1-EXP(-LN(2)/2))/(LN(2)/2)*GH25*GK25*VLOOKUP('Données projet (1)'!$B$17,'Paramètres (1)'!$A$1:$I$88,3,0)*0.475*44/12</f>
        <v>#REF!</v>
      </c>
      <c r="GO25" s="142" t="str">
        <f t="shared" si="95"/>
        <v>#REF!</v>
      </c>
      <c r="GP25" s="139" t="str">
        <f t="shared" si="96"/>
        <v>#REF!</v>
      </c>
      <c r="GQ25" s="131" t="str">
        <f t="shared" si="97"/>
        <v>#REF!</v>
      </c>
      <c r="GR25" s="131" t="str">
        <f t="shared" si="144"/>
        <v>#REF!</v>
      </c>
      <c r="GS25" s="131" t="str">
        <f t="shared" si="98"/>
        <v>#REF!</v>
      </c>
      <c r="GT25" s="131" t="str">
        <f t="array" ref="GT25">INDEX(GS:GS,MIN(IF(ISNUMBER(GS25:GS221),ROW(GS25:GS221),"")))</f>
        <v/>
      </c>
      <c r="GU25" s="131" t="str">
        <f t="shared" si="145"/>
        <v>#REF!</v>
      </c>
      <c r="GV25" s="138" t="str">
        <f>GU25*VLOOKUP('Données projet (1)'!$B$18,'Paramètres (1)'!$A$1:$I$88,3,0)*VLOOKUP('Données projet (1)'!$B$18,'Paramètres (1)'!$A$1:$I$88,5,0)</f>
        <v>#REF!</v>
      </c>
      <c r="GW25" s="130" t="str">
        <f t="shared" si="146"/>
        <v>#REF!</v>
      </c>
      <c r="GX25" s="141" t="str">
        <f t="shared" si="99"/>
        <v>#REF!</v>
      </c>
      <c r="GY25" s="133" t="str">
        <f t="shared" si="100"/>
        <v>#REF!</v>
      </c>
      <c r="GZ25" s="133" t="str">
        <f t="shared" si="101"/>
        <v>#REF!</v>
      </c>
      <c r="HA25" s="133" t="str">
        <f t="shared" si="147"/>
        <v>#REF!</v>
      </c>
      <c r="HB25" s="134" t="str">
        <f t="shared" si="102"/>
        <v>#REF!</v>
      </c>
      <c r="HC25" s="134" t="str">
        <f t="shared" si="103"/>
        <v>#REF!</v>
      </c>
      <c r="HD25" s="135" t="str">
        <f>IF(ISNA(VLOOKUP(A25,'Données projet (1)'!$A$269:$I$289,5,0)),0%,VLOOKUP(A25,'Données projet (1)'!$A$269:$I$289,5,0)*VLOOKUP('Données projet (1)'!$B$18,'Paramètres (1)'!$A$1:$I$88,7,0))</f>
        <v>#REF!</v>
      </c>
      <c r="HE25" s="135" t="str">
        <f>IF(ISNA(VLOOKUP(A25,'Données projet (1)'!$A$269:$I$289,6,0)),0%,VLOOKUP(A25,'Données projet (1)'!$A$269:$I$289,6,0)*VLOOKUP('Données projet (1)'!$B$18,'Paramètres (1)'!$A$1:$I$88,7,0))</f>
        <v>#REF!</v>
      </c>
      <c r="HF25" s="135" t="str">
        <f t="shared" si="104"/>
        <v>#REF!</v>
      </c>
      <c r="HG25" s="142" t="str">
        <f>EXP(-LN(2)/35)*HG24+(1-EXP(-LN(2)/35))/(LN(2)/35)*HC25*HD25*VLOOKUP('Données projet (1)'!$B$18,'Paramètres (1)'!$A$1:$I$88,3,0)*0.475*44/12</f>
        <v>#REF!</v>
      </c>
      <c r="HH25" s="142" t="str">
        <f>EXP(-LN(2)/25)*HH24+(1-EXP(-LN(2)/25))/(LN(2)/25)*'Calculateur (1)'!HC25*'Calculateur (1)'!HE25*VLOOKUP('Données projet (1)'!$B$18,'Paramètres (1)'!$A$1:$I$88,3,0)*0.475*44/12</f>
        <v>#REF!</v>
      </c>
      <c r="HI25" s="142" t="str">
        <f>EXP(-LN(2)/2)*HI24+(1-EXP(-LN(2)/2))/(LN(2)/2)*HC25*HF25*VLOOKUP('Données projet (1)'!$B$18,'Paramètres (1)'!$A$1:$I$88,3,0)*0.475*44/12</f>
        <v>#REF!</v>
      </c>
      <c r="HJ25" s="143" t="str">
        <f t="shared" si="105"/>
        <v>#REF!</v>
      </c>
    </row>
    <row r="26" ht="14.25" customHeight="1">
      <c r="A26" s="125">
        <f t="shared" si="106"/>
        <v>23</v>
      </c>
      <c r="B26" s="126" t="str">
        <f t="shared" si="1"/>
        <v>#REF!</v>
      </c>
      <c r="C26" s="140" t="str">
        <f>'Calculateur (1)'!C25+'Scénario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6" s="127">
        <f t="shared" si="107"/>
        <v>0</v>
      </c>
      <c r="E26" s="127" t="str">
        <f t="shared" si="2"/>
        <v>#REF!</v>
      </c>
      <c r="F26" s="127" t="str">
        <f t="shared" si="3"/>
        <v>#REF!</v>
      </c>
      <c r="G26" s="127" t="str">
        <f t="shared" si="4"/>
        <v>#REF!</v>
      </c>
      <c r="H26" s="128" t="str">
        <f t="shared" si="5"/>
        <v>#REF!</v>
      </c>
      <c r="I26" s="129" t="str">
        <f t="shared" si="6"/>
        <v>#REF!</v>
      </c>
      <c r="J26" s="130" t="str">
        <f t="shared" si="7"/>
        <v>#REF!</v>
      </c>
      <c r="K26" s="131" t="str">
        <f t="shared" si="108"/>
        <v>#REF!</v>
      </c>
      <c r="L26" s="131" t="str">
        <f t="shared" si="8"/>
        <v>#REF!</v>
      </c>
      <c r="M26" s="131" t="str">
        <f t="array" ref="M26">INDEX(L:L,MIN(IF(ISNUMBER(L26:L222),ROW(L26:L222),"")))</f>
        <v/>
      </c>
      <c r="N26" s="130" t="str">
        <f t="shared" si="109"/>
        <v>#REF!</v>
      </c>
      <c r="O26" s="130" t="str">
        <f>N26*VLOOKUP('Données projet (1)'!$B$9,'Paramètres (1)'!$A$1:$I$88,3,0)*VLOOKUP('Données projet (1)'!$B$9,'Paramètres (1)'!$A$1:$I$88,5,0)</f>
        <v>#REF!</v>
      </c>
      <c r="P26" s="130" t="str">
        <f t="shared" si="110"/>
        <v>#REF!</v>
      </c>
      <c r="Q26" s="141" t="str">
        <f t="shared" si="9"/>
        <v>#REF!</v>
      </c>
      <c r="R26" s="133" t="str">
        <f t="shared" si="10"/>
        <v>#REF!</v>
      </c>
      <c r="S26" s="133" t="str">
        <f t="shared" si="11"/>
        <v>#REF!</v>
      </c>
      <c r="T26" s="133" t="str">
        <f t="shared" si="111"/>
        <v>#REF!</v>
      </c>
      <c r="U26" s="134" t="str">
        <f t="shared" si="12"/>
        <v>#REF!</v>
      </c>
      <c r="V26" s="134" t="str">
        <f t="shared" si="13"/>
        <v>#REF!</v>
      </c>
      <c r="W26" s="135" t="str">
        <f>IF(ISNA(VLOOKUP(A26,'Données projet (1)'!$A$35:$I$55,5,0)),0%,VLOOKUP(A26,'Données projet (1)'!$A$35:$I$55,5,0)*VLOOKUP('Données projet (1)'!$B$9,'Paramètres (1)'!$A$1:$I$88,7,0))</f>
        <v>#REF!</v>
      </c>
      <c r="X26" s="135" t="str">
        <f>IF(ISNA(VLOOKUP(A26,'Données projet (1)'!$A$35:$I$55,6,0)),0%,VLOOKUP(A26,'Données projet (1)'!$A$35:$I$55,6,0)*VLOOKUP('Données projet (1)'!$B$9,'Paramètres (1)'!$A$1:$I$88,7,0))</f>
        <v>#REF!</v>
      </c>
      <c r="Y26" s="135" t="str">
        <f t="shared" si="14"/>
        <v>#REF!</v>
      </c>
      <c r="Z26" s="142" t="str">
        <f>EXP(-LN(2)/35)*Z25+(1-EXP(-LN(2)/35))/(LN(2)/35)*V26*W26*VLOOKUP('Données projet (1)'!$B$9,'Paramètres (1)'!$A$1:$I$88,3,0)*0.475*44/12</f>
        <v>#REF!</v>
      </c>
      <c r="AA26" s="142" t="str">
        <f>EXP(-LN(2)/25)*AA25+(1-EXP(-LN(2)/25))/(LN(2)/25)*'Calculateur (1)'!V26*'Calculateur (1)'!X26*VLOOKUP('Données projet (1)'!$B$9,'Paramètres (1)'!$A$1:$I$88,3,0)*0.475*44/12</f>
        <v>#REF!</v>
      </c>
      <c r="AB26" s="142" t="str">
        <f>EXP(-LN(2)/2)*AB25+(1-EXP(-LN(2)/2))/(LN(2)/2)*V26*Y26*VLOOKUP('Données projet (1)'!$B$9,'Paramètres (1)'!$A$1:$I$88,3,0)*0.475*44/12</f>
        <v>#REF!</v>
      </c>
      <c r="AC26" s="143" t="str">
        <f t="shared" si="15"/>
        <v>#REF!</v>
      </c>
      <c r="AD26" s="130" t="str">
        <f t="shared" si="16"/>
        <v>#REF!</v>
      </c>
      <c r="AE26" s="130" t="str">
        <f t="shared" si="17"/>
        <v>#REF!</v>
      </c>
      <c r="AF26" s="131" t="str">
        <f t="shared" si="112"/>
        <v>#REF!</v>
      </c>
      <c r="AG26" s="131" t="str">
        <f t="shared" si="18"/>
        <v>#REF!</v>
      </c>
      <c r="AH26" s="131" t="str">
        <f t="array" ref="AH26">INDEX(AG:AG,MIN(IF(ISNUMBER(AG26:AG222),ROW(AG26:AG222),"")))</f>
        <v/>
      </c>
      <c r="AI26" s="130" t="str">
        <f t="shared" si="113"/>
        <v>#REF!</v>
      </c>
      <c r="AJ26" s="130" t="str">
        <f>AI26*VLOOKUP('Données projet (1)'!$B$10,'Paramètres (1)'!$A$1:$I$88,3,0)*VLOOKUP('Données projet (1)'!$B$10,'Paramètres (1)'!$A$1:$I$88,5,0)</f>
        <v>#REF!</v>
      </c>
      <c r="AK26" s="130" t="str">
        <f t="shared" si="114"/>
        <v>#REF!</v>
      </c>
      <c r="AL26" s="141" t="str">
        <f t="shared" si="19"/>
        <v>#REF!</v>
      </c>
      <c r="AM26" s="133" t="str">
        <f t="shared" si="20"/>
        <v>#REF!</v>
      </c>
      <c r="AN26" s="133" t="str">
        <f t="shared" si="21"/>
        <v>#REF!</v>
      </c>
      <c r="AO26" s="133" t="str">
        <f t="shared" si="115"/>
        <v>#REF!</v>
      </c>
      <c r="AP26" s="134" t="str">
        <f t="shared" si="22"/>
        <v>#REF!</v>
      </c>
      <c r="AQ26" s="134" t="str">
        <f t="shared" si="23"/>
        <v>#REF!</v>
      </c>
      <c r="AR26" s="135" t="str">
        <f>IF(ISNA(VLOOKUP(A26,'Données projet (1)'!$A$61:$I$81,5,0)),0%,VLOOKUP(A26,'Données projet (1)'!$A$61:$I$81,5,0)*VLOOKUP('Données projet (1)'!$B$10,'Paramètres (1)'!$A$1:$I$88,7,0))</f>
        <v>#REF!</v>
      </c>
      <c r="AS26" s="135" t="str">
        <f>IF(ISNA(VLOOKUP(A26,'Données projet (1)'!$A$61:$I$81,6,0)),0%,VLOOKUP(A26,'Données projet (1)'!$A$61:$I$81,6,0)*VLOOKUP('Données projet (1)'!$B$10,'Paramètres (1)'!$A$1:$I$88,7,0))</f>
        <v>#REF!</v>
      </c>
      <c r="AT26" s="135" t="str">
        <f t="shared" si="24"/>
        <v>#REF!</v>
      </c>
      <c r="AU26" s="142" t="str">
        <f>EXP(-LN(2)/35)*AU25+(1-EXP(-LN(2)/35))/(LN(2)/35)*AQ26*AR26*VLOOKUP('Données projet (1)'!$B$10,'Paramètres (1)'!$A$1:$I$88,3,0)*0.475*44/12</f>
        <v>#REF!</v>
      </c>
      <c r="AV26" s="142" t="str">
        <f>EXP(-LN(2)/25)*AV25+(1-EXP(-LN(2)/25))/(LN(2)/25)*'Calculateur (1)'!AQ26*'Calculateur (1)'!AS26*VLOOKUP('Données projet (1)'!$B$10,'Paramètres (1)'!$A$1:$I$88,3,0)*0.475*44/12</f>
        <v>#REF!</v>
      </c>
      <c r="AW26" s="142" t="str">
        <f>EXP(-LN(2)/2)*AW25+(1-EXP(-LN(2)/2))/(LN(2)/2)*AQ26*AT26*VLOOKUP('Données projet (1)'!$B$10,'Paramètres (1)'!$A$1:$I$88,3,0)*0.475*44/12</f>
        <v>#REF!</v>
      </c>
      <c r="AX26" s="142" t="str">
        <f t="shared" si="25"/>
        <v>#REF!</v>
      </c>
      <c r="AY26" s="137" t="str">
        <f t="shared" si="26"/>
        <v>#REF!</v>
      </c>
      <c r="AZ26" s="131" t="str">
        <f t="shared" si="27"/>
        <v>#REF!</v>
      </c>
      <c r="BA26" s="131" t="str">
        <f t="shared" si="116"/>
        <v>#REF!</v>
      </c>
      <c r="BB26" s="131" t="str">
        <f t="shared" si="28"/>
        <v>#REF!</v>
      </c>
      <c r="BC26" s="131" t="str">
        <f t="array" ref="BC26">INDEX(BB:BB,MIN(IF(ISNUMBER(BB26:BB222),ROW(BB26:BB222),"")))</f>
        <v/>
      </c>
      <c r="BD26" s="131" t="str">
        <f t="shared" si="117"/>
        <v>#REF!</v>
      </c>
      <c r="BE26" s="130" t="str">
        <f>BD26*VLOOKUP('Données projet (1)'!$B$11,'Paramètres (1)'!$A$1:$I$88,3,0)*VLOOKUP('Données projet (1)'!$B$11,'Paramètres (1)'!$A$1:$I$88,5,0)</f>
        <v>#REF!</v>
      </c>
      <c r="BF26" s="130" t="str">
        <f t="shared" si="118"/>
        <v>#REF!</v>
      </c>
      <c r="BG26" s="141" t="str">
        <f t="shared" si="29"/>
        <v>#REF!</v>
      </c>
      <c r="BH26" s="133" t="str">
        <f t="shared" si="30"/>
        <v>#REF!</v>
      </c>
      <c r="BI26" s="133" t="str">
        <f t="shared" si="31"/>
        <v>#REF!</v>
      </c>
      <c r="BJ26" s="133" t="str">
        <f t="shared" si="119"/>
        <v>#REF!</v>
      </c>
      <c r="BK26" s="134" t="str">
        <f t="shared" si="32"/>
        <v>#REF!</v>
      </c>
      <c r="BL26" s="134" t="str">
        <f t="shared" si="33"/>
        <v>#REF!</v>
      </c>
      <c r="BM26" s="135" t="str">
        <f>IF(ISNA(VLOOKUP(A26,'Données projet (1)'!$A$87:$I$107,5,0)),0%,VLOOKUP(A26,'Données projet (1)'!$A$87:$I$107,5,0)*VLOOKUP('Données projet (1)'!$B$11,'Paramètres (1)'!$A$1:$I$88,7,0))</f>
        <v>#REF!</v>
      </c>
      <c r="BN26" s="135" t="str">
        <f>IF(ISNA(VLOOKUP(A26,'Données projet (1)'!$A$87:$I$107,6,0)),0%,VLOOKUP(A26,'Données projet (1)'!$A$87:$I$107,6,0)*VLOOKUP('Données projet (1)'!$B$11,'Paramètres (1)'!$A$1:$I$88,7,0))</f>
        <v>#REF!</v>
      </c>
      <c r="BO26" s="135" t="str">
        <f t="shared" si="34"/>
        <v>#REF!</v>
      </c>
      <c r="BP26" s="142" t="str">
        <f>EXP(-LN(2)/35)*BP25+(1-EXP(-LN(2)/35))/(LN(2)/35)*BL26*BM26*VLOOKUP('Données projet (1)'!$B$11,'Paramètres (1)'!$A$1:$I$88,3,0)*0.475*44/12</f>
        <v>#REF!</v>
      </c>
      <c r="BQ26" s="142" t="str">
        <f>EXP(-LN(2)/25)*BQ25+(1-EXP(-LN(2)/25))/(LN(2)/25)*'Calculateur (1)'!BL26*'Calculateur (1)'!BN26*VLOOKUP('Données projet (1)'!$B$11,'Paramètres (1)'!$A$1:$I$88,3,0)*0.475*44/12</f>
        <v>#REF!</v>
      </c>
      <c r="BR26" s="142" t="str">
        <f>EXP(-LN(2)/2)*BR25+(1-EXP(-LN(2)/2))/(LN(2)/2)*BL26*BO26*VLOOKUP('Données projet (1)'!$B$11,'Paramètres (1)'!$A$1:$I$88,3,0)*0.475*44/12</f>
        <v>#REF!</v>
      </c>
      <c r="BS26" s="143" t="str">
        <f t="shared" si="35"/>
        <v>#REF!</v>
      </c>
      <c r="BT26" s="139" t="str">
        <f t="shared" si="36"/>
        <v>#REF!</v>
      </c>
      <c r="BU26" s="131" t="str">
        <f t="shared" si="37"/>
        <v>#REF!</v>
      </c>
      <c r="BV26" s="131" t="str">
        <f t="shared" si="120"/>
        <v>#REF!</v>
      </c>
      <c r="BW26" s="131" t="str">
        <f t="shared" si="38"/>
        <v>#REF!</v>
      </c>
      <c r="BX26" s="131" t="str">
        <f t="array" ref="BX26">INDEX(BW:BW,MIN(IF(ISNUMBER(BW26:BW222),ROW(BW26:BW222),"")))</f>
        <v/>
      </c>
      <c r="BY26" s="131" t="str">
        <f t="shared" si="121"/>
        <v>#REF!</v>
      </c>
      <c r="BZ26" s="130" t="str">
        <f>BY26*VLOOKUP('Données projet (1)'!$B$12,'Paramètres (1)'!$A$1:$I$88,3,0)*VLOOKUP('Données projet (1)'!$B$12,'Paramètres (1)'!$A$1:$I$88,5,0)</f>
        <v>#REF!</v>
      </c>
      <c r="CA26" s="130" t="str">
        <f t="shared" si="122"/>
        <v>#REF!</v>
      </c>
      <c r="CB26" s="141" t="str">
        <f t="shared" si="39"/>
        <v>#REF!</v>
      </c>
      <c r="CC26" s="133" t="str">
        <f t="shared" si="40"/>
        <v>#REF!</v>
      </c>
      <c r="CD26" s="133" t="str">
        <f t="shared" si="41"/>
        <v>#REF!</v>
      </c>
      <c r="CE26" s="133" t="str">
        <f t="shared" si="123"/>
        <v>#REF!</v>
      </c>
      <c r="CF26" s="134" t="str">
        <f t="shared" si="42"/>
        <v>#REF!</v>
      </c>
      <c r="CG26" s="134" t="str">
        <f t="shared" si="43"/>
        <v>#REF!</v>
      </c>
      <c r="CH26" s="135" t="str">
        <f>IF(ISNA(VLOOKUP(A26,'Données projet (1)'!$A$113:$I$133,5,0)),0%,VLOOKUP(A26,'Données projet (1)'!$A$113:$I$133,5,0)*VLOOKUP('Données projet (1)'!$B$12,'Paramètres (1)'!$A$1:$I$88,7,0))</f>
        <v>#REF!</v>
      </c>
      <c r="CI26" s="135" t="str">
        <f>IF(ISNA(VLOOKUP(A26,'Données projet (1)'!$A$113:$I$133,6,0)),0%,VLOOKUP(A26,'Données projet (1)'!$A$113:$I$133,6,0)*VLOOKUP('Données projet (1)'!$B$12,'Paramètres (1)'!$A$1:$I$88,7,0))</f>
        <v>#REF!</v>
      </c>
      <c r="CJ26" s="135" t="str">
        <f t="shared" si="44"/>
        <v>#REF!</v>
      </c>
      <c r="CK26" s="142" t="str">
        <f>EXP(-LN(2)/35)*CK25+(1-EXP(-LN(2)/35))/(LN(2)/35)*CG26*CH26*VLOOKUP('Données projet (1)'!$B$12,'Paramètres (1)'!$A$1:$I$88,3,0)*0.475*44/12</f>
        <v>#REF!</v>
      </c>
      <c r="CL26" s="142" t="str">
        <f>EXP(-LN(2)/25)*CL25+(1-EXP(-LN(2)/25))/(LN(2)/25)*'Calculateur (1)'!CG26*'Calculateur (1)'!CI26*VLOOKUP('Données projet (1)'!$B$12,'Paramètres (1)'!$A$1:$I$88,3,0)*0.475*44/12</f>
        <v>#REF!</v>
      </c>
      <c r="CM26" s="142" t="str">
        <f>EXP(-LN(2)/2)*CM25+(1-EXP(-LN(2)/2))/(LN(2)/2)*CG26*CJ26*VLOOKUP('Données projet (1)'!$B$12,'Paramètres (1)'!$A$1:$I$88,3,0)*0.475*44/12</f>
        <v>#REF!</v>
      </c>
      <c r="CN26" s="143" t="str">
        <f t="shared" si="45"/>
        <v>#REF!</v>
      </c>
      <c r="CO26" s="139" t="str">
        <f t="shared" si="46"/>
        <v>#REF!</v>
      </c>
      <c r="CP26" s="131" t="str">
        <f t="shared" si="47"/>
        <v>#REF!</v>
      </c>
      <c r="CQ26" s="131" t="str">
        <f t="shared" si="124"/>
        <v>#REF!</v>
      </c>
      <c r="CR26" s="131" t="str">
        <f t="shared" si="48"/>
        <v>#REF!</v>
      </c>
      <c r="CS26" s="131" t="str">
        <f t="array" ref="CS26">INDEX(CR:CR,MIN(IF(ISNUMBER(CR26:CR222),ROW(CR26:CR222),"")))</f>
        <v/>
      </c>
      <c r="CT26" s="131" t="str">
        <f t="shared" si="125"/>
        <v>#REF!</v>
      </c>
      <c r="CU26" s="138" t="str">
        <f>CT26*VLOOKUP('Données projet (1)'!$B$13,'Paramètres (1)'!$A$1:$I$88,3,0)*VLOOKUP('Données projet (1)'!$B$13,'Paramètres (1)'!$A$1:$I$88,5,0)</f>
        <v>#REF!</v>
      </c>
      <c r="CV26" s="130" t="str">
        <f t="shared" si="126"/>
        <v>#REF!</v>
      </c>
      <c r="CW26" s="141" t="str">
        <f t="shared" si="49"/>
        <v>#REF!</v>
      </c>
      <c r="CX26" s="133" t="str">
        <f t="shared" si="50"/>
        <v>#REF!</v>
      </c>
      <c r="CY26" s="133" t="str">
        <f t="shared" si="51"/>
        <v>#REF!</v>
      </c>
      <c r="CZ26" s="133" t="str">
        <f t="shared" si="127"/>
        <v>#REF!</v>
      </c>
      <c r="DA26" s="134" t="str">
        <f t="shared" si="52"/>
        <v>#REF!</v>
      </c>
      <c r="DB26" s="134" t="str">
        <f t="shared" si="53"/>
        <v>#REF!</v>
      </c>
      <c r="DC26" s="135" t="str">
        <f>IF(ISNA(VLOOKUP(A26,'Données projet (1)'!$A$139:$I$159,5,0)),0%,VLOOKUP(A26,'Données projet (1)'!$A$139:$I$159,5,0)*VLOOKUP('Données projet (1)'!$B$13,'Paramètres (1)'!$A$1:$I$88,7,0))</f>
        <v>#REF!</v>
      </c>
      <c r="DD26" s="135" t="str">
        <f>IF(ISNA(VLOOKUP(A26,'Données projet (1)'!$A$139:$I$159,6,0)),0%,VLOOKUP(A26,'Données projet (1)'!$A$139:$I$159,6,0)*VLOOKUP('Données projet (1)'!$B$13,'Paramètres (1)'!$A$1:$I$88,7,0))</f>
        <v>#REF!</v>
      </c>
      <c r="DE26" s="135" t="str">
        <f t="shared" si="54"/>
        <v>#REF!</v>
      </c>
      <c r="DF26" s="142" t="str">
        <f>EXP(-LN(2)/35)*DF25+(1-EXP(-LN(2)/35))/(LN(2)/35)*DB26*DC26*VLOOKUP('Données projet (1)'!$B$13,'Paramètres (1)'!$A$1:$I$88,3,0)*0.475*44/12</f>
        <v>#REF!</v>
      </c>
      <c r="DG26" s="142" t="str">
        <f>EXP(-LN(2)/25)*DG25+(1-EXP(-LN(2)/25))/(LN(2)/25)*'Calculateur (1)'!DB26*'Calculateur (1)'!DD26*VLOOKUP('Données projet (1)'!$B$13,'Paramètres (1)'!$A$1:$I$88,3,0)*0.475*44/12</f>
        <v>#REF!</v>
      </c>
      <c r="DH26" s="142" t="str">
        <f>EXP(-LN(2)/2)*DH25+(1-EXP(-LN(2)/2))/(LN(2)/2)*DB26*DE26*VLOOKUP('Données projet (1)'!$B$13,'Paramètres (1)'!$A$1:$I$88,3,0)*0.475*44/12</f>
        <v>#REF!</v>
      </c>
      <c r="DI26" s="143" t="str">
        <f t="shared" si="55"/>
        <v>#REF!</v>
      </c>
      <c r="DJ26" s="139" t="str">
        <f t="shared" si="56"/>
        <v>#REF!</v>
      </c>
      <c r="DK26" s="131" t="str">
        <f t="shared" si="57"/>
        <v>#REF!</v>
      </c>
      <c r="DL26" s="131" t="str">
        <f t="shared" si="128"/>
        <v>#REF!</v>
      </c>
      <c r="DM26" s="131" t="str">
        <f t="shared" si="58"/>
        <v>#REF!</v>
      </c>
      <c r="DN26" s="131" t="str">
        <f t="array" ref="DN26">INDEX(DM:DM,MIN(IF(ISNUMBER(DM26:DM222),ROW(DM26:DM222),"")))</f>
        <v/>
      </c>
      <c r="DO26" s="131" t="str">
        <f t="shared" si="129"/>
        <v>#REF!</v>
      </c>
      <c r="DP26" s="138" t="str">
        <f>DO26*VLOOKUP('Données projet (1)'!$B$14,'Paramètres (1)'!$A$1:$I$88,3,0)*VLOOKUP('Données projet (1)'!$B$14,'Paramètres (1)'!$A$1:$I$88,5,0)</f>
        <v>#REF!</v>
      </c>
      <c r="DQ26" s="130" t="str">
        <f t="shared" si="130"/>
        <v>#REF!</v>
      </c>
      <c r="DR26" s="141" t="str">
        <f t="shared" si="59"/>
        <v>#REF!</v>
      </c>
      <c r="DS26" s="133" t="str">
        <f t="shared" si="60"/>
        <v>#REF!</v>
      </c>
      <c r="DT26" s="133" t="str">
        <f t="shared" si="61"/>
        <v>#REF!</v>
      </c>
      <c r="DU26" s="133" t="str">
        <f t="shared" si="131"/>
        <v>#REF!</v>
      </c>
      <c r="DV26" s="134" t="str">
        <f t="shared" si="62"/>
        <v>#REF!</v>
      </c>
      <c r="DW26" s="134" t="str">
        <f t="shared" si="63"/>
        <v>#REF!</v>
      </c>
      <c r="DX26" s="135" t="str">
        <f>IF(ISNA(VLOOKUP(A26,'Données projet (1)'!$A$165:$I$185,5,0)),0%,VLOOKUP(A26,'Données projet (1)'!$A$165:$I$185,5,0)*VLOOKUP('Données projet (1)'!$B$14,'Paramètres (1)'!$A$1:$I$88,7,0))</f>
        <v>#REF!</v>
      </c>
      <c r="DY26" s="135" t="str">
        <f>IF(ISNA(VLOOKUP(A26,'Données projet (1)'!$A$165:$I$185,6,0)),0%,VLOOKUP(A26,'Données projet (1)'!$A$165:$I$185,6,0)*VLOOKUP('Données projet (1)'!$B$14,'Paramètres (1)'!$A$1:$I$88,7,0))</f>
        <v>#REF!</v>
      </c>
      <c r="DZ26" s="135" t="str">
        <f t="shared" si="64"/>
        <v>#REF!</v>
      </c>
      <c r="EA26" s="142" t="str">
        <f>EXP(-LN(2)/35)*EA25+(1-EXP(-LN(2)/35))/(LN(2)/35)*DW26*DX26*VLOOKUP('Données projet (1)'!$B$14,'Paramètres (1)'!$A$1:$I$88,3,0)*0.475*44/12</f>
        <v>#REF!</v>
      </c>
      <c r="EB26" s="142" t="str">
        <f>EXP(-LN(2)/25)*EB25+(1-EXP(-LN(2)/25))/(LN(2)/25)*'Calculateur (1)'!DW26*'Calculateur (1)'!DY26*VLOOKUP('Données projet (1)'!$B$14,'Paramètres (1)'!$A$1:$I$88,3,0)*0.475*44/12</f>
        <v>#REF!</v>
      </c>
      <c r="EC26" s="142" t="str">
        <f>EXP(-LN(2)/2)*EC25+(1-EXP(-LN(2)/2))/(LN(2)/2)*DW26*DZ26*VLOOKUP('Données projet (1)'!$B$14,'Paramètres (1)'!$A$1:$I$88,3,0)*0.475*44/12</f>
        <v>#REF!</v>
      </c>
      <c r="ED26" s="143" t="str">
        <f t="shared" si="65"/>
        <v>#REF!</v>
      </c>
      <c r="EE26" s="139" t="str">
        <f t="shared" si="66"/>
        <v>#REF!</v>
      </c>
      <c r="EF26" s="131" t="str">
        <f t="shared" si="67"/>
        <v>#REF!</v>
      </c>
      <c r="EG26" s="131" t="str">
        <f t="shared" si="132"/>
        <v>#REF!</v>
      </c>
      <c r="EH26" s="131" t="str">
        <f t="shared" si="68"/>
        <v>#REF!</v>
      </c>
      <c r="EI26" s="131" t="str">
        <f t="array" ref="EI26">INDEX(EH:EH,MIN(IF(ISNUMBER(EH26:EH222),ROW(EH26:EH222),"")))</f>
        <v/>
      </c>
      <c r="EJ26" s="131" t="str">
        <f t="shared" si="133"/>
        <v>#REF!</v>
      </c>
      <c r="EK26" s="138" t="str">
        <f>EJ26*VLOOKUP('Données projet (1)'!$B$15,'Paramètres (1)'!$A$1:$I$88,3,0)*VLOOKUP('Données projet (1)'!$B$15,'Paramètres (1)'!$A$1:$I$88,5,0)</f>
        <v>#REF!</v>
      </c>
      <c r="EL26" s="130" t="str">
        <f t="shared" si="134"/>
        <v>#REF!</v>
      </c>
      <c r="EM26" s="141" t="str">
        <f t="shared" si="69"/>
        <v>#REF!</v>
      </c>
      <c r="EN26" s="133" t="str">
        <f t="shared" si="70"/>
        <v>#REF!</v>
      </c>
      <c r="EO26" s="133" t="str">
        <f t="shared" si="71"/>
        <v>#REF!</v>
      </c>
      <c r="EP26" s="133" t="str">
        <f t="shared" si="135"/>
        <v>#REF!</v>
      </c>
      <c r="EQ26" s="134" t="str">
        <f t="shared" si="72"/>
        <v>#REF!</v>
      </c>
      <c r="ER26" s="134" t="str">
        <f t="shared" si="73"/>
        <v>#REF!</v>
      </c>
      <c r="ES26" s="135" t="str">
        <f>IF(ISNA(VLOOKUP(A26,'Données projet (1)'!$A$191:$I$211,5,0)),0%,VLOOKUP(A26,'Données projet (1)'!$A$191:$I$211,5,0)*VLOOKUP('Données projet (1)'!$B$15,'Paramètres (1)'!$A$1:$I$88,7,0))</f>
        <v>#REF!</v>
      </c>
      <c r="ET26" s="135" t="str">
        <f>IF(ISNA(VLOOKUP(A26,'Données projet (1)'!$A$191:$I$211,6,0)),0%,VLOOKUP(A26,'Données projet (1)'!$A$191:$I$211,6,0)*VLOOKUP('Données projet (1)'!$B$15,'Paramètres (1)'!$A$1:$I$88,7,0))</f>
        <v>#REF!</v>
      </c>
      <c r="EU26" s="135" t="str">
        <f t="shared" si="74"/>
        <v>#REF!</v>
      </c>
      <c r="EV26" s="142" t="str">
        <f>EXP(-LN(2)/35)*EV25+(1-EXP(-LN(2)/35))/(LN(2)/35)*ER26*ES26*VLOOKUP('Données projet (1)'!$B$15,'Paramètres (1)'!$A$1:$I$88,3,0)*0.475*44/12</f>
        <v>#REF!</v>
      </c>
      <c r="EW26" s="142" t="str">
        <f>EXP(-LN(2)/25)*EW25+(1-EXP(-LN(2)/25))/(LN(2)/25)*'Calculateur (1)'!ER26*'Calculateur (1)'!ET26*VLOOKUP('Données projet (1)'!$B$15,'Paramètres (1)'!$A$1:$I$88,3,0)*0.475*44/12</f>
        <v>#REF!</v>
      </c>
      <c r="EX26" s="142" t="str">
        <f>EXP(-LN(2)/2)*EX25+(1-EXP(-LN(2)/2))/(LN(2)/2)*ER26*EU26*VLOOKUP('Données projet (1)'!$B$15,'Paramètres (1)'!$A$1:$I$88,3,0)*0.475*44/12</f>
        <v>#REF!</v>
      </c>
      <c r="EY26" s="143" t="str">
        <f t="shared" si="75"/>
        <v>#REF!</v>
      </c>
      <c r="EZ26" s="139" t="str">
        <f t="shared" si="76"/>
        <v>#REF!</v>
      </c>
      <c r="FA26" s="131" t="str">
        <f t="shared" si="77"/>
        <v>#REF!</v>
      </c>
      <c r="FB26" s="131" t="str">
        <f t="shared" si="136"/>
        <v>#REF!</v>
      </c>
      <c r="FC26" s="131" t="str">
        <f t="shared" si="78"/>
        <v>#REF!</v>
      </c>
      <c r="FD26" s="131" t="str">
        <f t="array" ref="FD26">INDEX(FC:FC,MIN(IF(ISNUMBER(FC26:FC222),ROW(FC26:FC222),"")))</f>
        <v/>
      </c>
      <c r="FE26" s="131" t="str">
        <f t="shared" si="137"/>
        <v>#REF!</v>
      </c>
      <c r="FF26" s="138" t="str">
        <f>FE26*VLOOKUP('Données projet (1)'!$B$16,'Paramètres (1)'!$A$1:$I$88,3,0)*VLOOKUP('Données projet (1)'!$B$16,'Paramètres (1)'!$A$1:$I$88,5,0)</f>
        <v>#REF!</v>
      </c>
      <c r="FG26" s="130" t="str">
        <f t="shared" si="138"/>
        <v>#REF!</v>
      </c>
      <c r="FH26" s="141" t="str">
        <f t="shared" si="79"/>
        <v>#REF!</v>
      </c>
      <c r="FI26" s="133" t="str">
        <f t="shared" si="80"/>
        <v>#REF!</v>
      </c>
      <c r="FJ26" s="133" t="str">
        <f t="shared" si="81"/>
        <v>#REF!</v>
      </c>
      <c r="FK26" s="133" t="str">
        <f t="shared" si="139"/>
        <v>#REF!</v>
      </c>
      <c r="FL26" s="134" t="str">
        <f t="shared" si="82"/>
        <v>#REF!</v>
      </c>
      <c r="FM26" s="134" t="str">
        <f t="shared" si="83"/>
        <v>#REF!</v>
      </c>
      <c r="FN26" s="135" t="str">
        <f>IF(ISNA(VLOOKUP(A26,'Données projet (1)'!$A$217:$I$237,5,0)),0%,VLOOKUP(A26,'Données projet (1)'!$A$217:$I$237,5,0)*VLOOKUP('Données projet (1)'!$B$16,'Paramètres (1)'!$A$1:$I$88,7,0))</f>
        <v>#REF!</v>
      </c>
      <c r="FO26" s="135" t="str">
        <f>IF(ISNA(VLOOKUP(A26,'Données projet (1)'!$A$217:$I$237,6,0)),0%,VLOOKUP(A26,'Données projet (1)'!$A$217:$I$237,6,0)*VLOOKUP('Données projet (1)'!$B$16,'Paramètres (1)'!$A$1:$I$88,7,0))</f>
        <v>#REF!</v>
      </c>
      <c r="FP26" s="135" t="str">
        <f t="shared" si="84"/>
        <v>#REF!</v>
      </c>
      <c r="FQ26" s="142" t="str">
        <f>EXP(-LN(2)/35)*FQ25+(1-EXP(-LN(2)/35))/(LN(2)/35)*FM26*FN26*VLOOKUP('Données projet (1)'!$B$16,'Paramètres (1)'!$A$1:$I$88,3,0)*0.475*44/12</f>
        <v>#REF!</v>
      </c>
      <c r="FR26" s="142" t="str">
        <f>EXP(-LN(2)/25)*FR25+(1-EXP(-LN(2)/25))/(LN(2)/25)*'Calculateur (1)'!FM26*'Calculateur (1)'!FO26*VLOOKUP('Données projet (1)'!$B$16,'Paramètres (1)'!$A$1:$I$88,3,0)*0.475*44/12</f>
        <v>#REF!</v>
      </c>
      <c r="FS26" s="142" t="str">
        <f>EXP(-LN(2)/2)*FS25+(1-EXP(-LN(2)/2))/(LN(2)/2)*FM26*FP26*VLOOKUP('Données projet (1)'!$B$16,'Paramètres (1)'!$A$1:$I$88,3,0)*0.475*44/12</f>
        <v>#REF!</v>
      </c>
      <c r="FT26" s="143" t="str">
        <f t="shared" si="85"/>
        <v>#REF!</v>
      </c>
      <c r="FU26" s="139" t="str">
        <f t="shared" si="86"/>
        <v>#REF!</v>
      </c>
      <c r="FV26" s="131" t="str">
        <f t="shared" si="87"/>
        <v>#REF!</v>
      </c>
      <c r="FW26" s="131" t="str">
        <f t="shared" si="140"/>
        <v>#REF!</v>
      </c>
      <c r="FX26" s="131" t="str">
        <f t="shared" si="88"/>
        <v>#REF!</v>
      </c>
      <c r="FY26" s="131" t="str">
        <f t="array" ref="FY26">INDEX(FX:FX,MIN(IF(ISNUMBER(FX26:FX222),ROW(FX26:FX222),"")))</f>
        <v/>
      </c>
      <c r="FZ26" s="131" t="str">
        <f t="shared" si="141"/>
        <v>#REF!</v>
      </c>
      <c r="GA26" s="138" t="str">
        <f>FZ26*VLOOKUP('Données projet (1)'!$B$17,'Paramètres (1)'!$A$1:$I$88,3,0)*VLOOKUP('Données projet (1)'!$B$17,'Paramètres (1)'!$A$1:$I$88,5,0)</f>
        <v>#REF!</v>
      </c>
      <c r="GB26" s="130" t="str">
        <f t="shared" si="142"/>
        <v>#REF!</v>
      </c>
      <c r="GC26" s="141" t="str">
        <f t="shared" si="89"/>
        <v>#REF!</v>
      </c>
      <c r="GD26" s="133" t="str">
        <f t="shared" si="90"/>
        <v>#REF!</v>
      </c>
      <c r="GE26" s="133" t="str">
        <f t="shared" si="91"/>
        <v>#REF!</v>
      </c>
      <c r="GF26" s="133" t="str">
        <f t="shared" si="143"/>
        <v>#REF!</v>
      </c>
      <c r="GG26" s="134" t="str">
        <f t="shared" si="92"/>
        <v>#REF!</v>
      </c>
      <c r="GH26" s="134" t="str">
        <f t="shared" si="93"/>
        <v>#REF!</v>
      </c>
      <c r="GI26" s="135" t="str">
        <f>IF(ISNA(VLOOKUP(A26,'Données projet (1)'!$A$243:$I$263,5,0)),0%,VLOOKUP(A26,'Données projet (1)'!$A$243:$I$263,5,0)*VLOOKUP('Données projet (1)'!$B$17,'Paramètres (1)'!$A$1:$I$88,7,0))</f>
        <v>#REF!</v>
      </c>
      <c r="GJ26" s="135" t="str">
        <f>IF(ISNA(VLOOKUP(A26,'Données projet (1)'!$A$243:$I$263,6,0)),0%,VLOOKUP(A26,'Données projet (1)'!$A$243:$I$263,6,0)*VLOOKUP('Données projet (1)'!$B$17,'Paramètres (1)'!$A$1:$I$88,7,0))</f>
        <v>#REF!</v>
      </c>
      <c r="GK26" s="135" t="str">
        <f t="shared" si="94"/>
        <v>#REF!</v>
      </c>
      <c r="GL26" s="142" t="str">
        <f>EXP(-LN(2)/35)*GL25+(1-EXP(-LN(2)/35))/(LN(2)/35)*GH26*GI26*VLOOKUP('Données projet (1)'!$B$17,'Paramètres (1)'!$A$1:$I$88,3,0)*0.475*44/12</f>
        <v>#REF!</v>
      </c>
      <c r="GM26" s="142" t="str">
        <f>EXP(-LN(2)/25)*GM25+(1-EXP(-LN(2)/25))/(LN(2)/25)*'Calculateur (1)'!GH26*'Calculateur (1)'!GJ26*VLOOKUP('Données projet (1)'!$B$17,'Paramètres (1)'!$A$1:$I$88,3,0)*0.475*44/12</f>
        <v>#REF!</v>
      </c>
      <c r="GN26" s="142" t="str">
        <f>EXP(-LN(2)/2)*GN25+(1-EXP(-LN(2)/2))/(LN(2)/2)*GH26*GK26*VLOOKUP('Données projet (1)'!$B$17,'Paramètres (1)'!$A$1:$I$88,3,0)*0.475*44/12</f>
        <v>#REF!</v>
      </c>
      <c r="GO26" s="142" t="str">
        <f t="shared" si="95"/>
        <v>#REF!</v>
      </c>
      <c r="GP26" s="139" t="str">
        <f t="shared" si="96"/>
        <v>#REF!</v>
      </c>
      <c r="GQ26" s="131" t="str">
        <f t="shared" si="97"/>
        <v>#REF!</v>
      </c>
      <c r="GR26" s="131" t="str">
        <f t="shared" si="144"/>
        <v>#REF!</v>
      </c>
      <c r="GS26" s="131" t="str">
        <f t="shared" si="98"/>
        <v>#REF!</v>
      </c>
      <c r="GT26" s="131" t="str">
        <f t="array" ref="GT26">INDEX(GS:GS,MIN(IF(ISNUMBER(GS26:GS222),ROW(GS26:GS222),"")))</f>
        <v/>
      </c>
      <c r="GU26" s="131" t="str">
        <f t="shared" si="145"/>
        <v>#REF!</v>
      </c>
      <c r="GV26" s="138" t="str">
        <f>GU26*VLOOKUP('Données projet (1)'!$B$18,'Paramètres (1)'!$A$1:$I$88,3,0)*VLOOKUP('Données projet (1)'!$B$18,'Paramètres (1)'!$A$1:$I$88,5,0)</f>
        <v>#REF!</v>
      </c>
      <c r="GW26" s="130" t="str">
        <f t="shared" si="146"/>
        <v>#REF!</v>
      </c>
      <c r="GX26" s="141" t="str">
        <f t="shared" si="99"/>
        <v>#REF!</v>
      </c>
      <c r="GY26" s="133" t="str">
        <f t="shared" si="100"/>
        <v>#REF!</v>
      </c>
      <c r="GZ26" s="133" t="str">
        <f t="shared" si="101"/>
        <v>#REF!</v>
      </c>
      <c r="HA26" s="133" t="str">
        <f t="shared" si="147"/>
        <v>#REF!</v>
      </c>
      <c r="HB26" s="134" t="str">
        <f t="shared" si="102"/>
        <v>#REF!</v>
      </c>
      <c r="HC26" s="134" t="str">
        <f t="shared" si="103"/>
        <v>#REF!</v>
      </c>
      <c r="HD26" s="135" t="str">
        <f>IF(ISNA(VLOOKUP(A26,'Données projet (1)'!$A$269:$I$289,5,0)),0%,VLOOKUP(A26,'Données projet (1)'!$A$269:$I$289,5,0)*VLOOKUP('Données projet (1)'!$B$18,'Paramètres (1)'!$A$1:$I$88,7,0))</f>
        <v>#REF!</v>
      </c>
      <c r="HE26" s="135" t="str">
        <f>IF(ISNA(VLOOKUP(A26,'Données projet (1)'!$A$269:$I$289,6,0)),0%,VLOOKUP(A26,'Données projet (1)'!$A$269:$I$289,6,0)*VLOOKUP('Données projet (1)'!$B$18,'Paramètres (1)'!$A$1:$I$88,7,0))</f>
        <v>#REF!</v>
      </c>
      <c r="HF26" s="135" t="str">
        <f t="shared" si="104"/>
        <v>#REF!</v>
      </c>
      <c r="HG26" s="142" t="str">
        <f>EXP(-LN(2)/35)*HG25+(1-EXP(-LN(2)/35))/(LN(2)/35)*HC26*HD26*VLOOKUP('Données projet (1)'!$B$18,'Paramètres (1)'!$A$1:$I$88,3,0)*0.475*44/12</f>
        <v>#REF!</v>
      </c>
      <c r="HH26" s="142" t="str">
        <f>EXP(-LN(2)/25)*HH25+(1-EXP(-LN(2)/25))/(LN(2)/25)*'Calculateur (1)'!HC26*'Calculateur (1)'!HE26*VLOOKUP('Données projet (1)'!$B$18,'Paramètres (1)'!$A$1:$I$88,3,0)*0.475*44/12</f>
        <v>#REF!</v>
      </c>
      <c r="HI26" s="142" t="str">
        <f>EXP(-LN(2)/2)*HI25+(1-EXP(-LN(2)/2))/(LN(2)/2)*HC26*HF26*VLOOKUP('Données projet (1)'!$B$18,'Paramètres (1)'!$A$1:$I$88,3,0)*0.475*44/12</f>
        <v>#REF!</v>
      </c>
      <c r="HJ26" s="143" t="str">
        <f t="shared" si="105"/>
        <v>#REF!</v>
      </c>
    </row>
    <row r="27" ht="14.25" customHeight="1">
      <c r="A27" s="125">
        <f t="shared" si="106"/>
        <v>24</v>
      </c>
      <c r="B27" s="126" t="str">
        <f t="shared" si="1"/>
        <v>#REF!</v>
      </c>
      <c r="C27" s="140" t="str">
        <f>'Calculateur (1)'!C26+'Scénario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7" s="127">
        <f t="shared" si="107"/>
        <v>0</v>
      </c>
      <c r="E27" s="127" t="str">
        <f t="shared" si="2"/>
        <v>#REF!</v>
      </c>
      <c r="F27" s="127" t="str">
        <f t="shared" si="3"/>
        <v>#REF!</v>
      </c>
      <c r="G27" s="127" t="str">
        <f t="shared" si="4"/>
        <v>#REF!</v>
      </c>
      <c r="H27" s="128" t="str">
        <f t="shared" si="5"/>
        <v>#REF!</v>
      </c>
      <c r="I27" s="129" t="str">
        <f t="shared" si="6"/>
        <v>#REF!</v>
      </c>
      <c r="J27" s="130" t="str">
        <f t="shared" si="7"/>
        <v>#REF!</v>
      </c>
      <c r="K27" s="131" t="str">
        <f t="shared" si="108"/>
        <v>#REF!</v>
      </c>
      <c r="L27" s="131" t="str">
        <f t="shared" si="8"/>
        <v>#REF!</v>
      </c>
      <c r="M27" s="131" t="str">
        <f t="array" ref="M27">INDEX(L:L,MIN(IF(ISNUMBER(L27:L223),ROW(L27:L223),"")))</f>
        <v/>
      </c>
      <c r="N27" s="130" t="str">
        <f t="shared" si="109"/>
        <v>#REF!</v>
      </c>
      <c r="O27" s="130" t="str">
        <f>N27*VLOOKUP('Données projet (1)'!$B$9,'Paramètres (1)'!$A$1:$I$88,3,0)*VLOOKUP('Données projet (1)'!$B$9,'Paramètres (1)'!$A$1:$I$88,5,0)</f>
        <v>#REF!</v>
      </c>
      <c r="P27" s="130" t="str">
        <f t="shared" si="110"/>
        <v>#REF!</v>
      </c>
      <c r="Q27" s="141" t="str">
        <f t="shared" si="9"/>
        <v>#REF!</v>
      </c>
      <c r="R27" s="133" t="str">
        <f t="shared" si="10"/>
        <v>#REF!</v>
      </c>
      <c r="S27" s="133" t="str">
        <f t="shared" si="11"/>
        <v>#REF!</v>
      </c>
      <c r="T27" s="133" t="str">
        <f t="shared" si="111"/>
        <v>#REF!</v>
      </c>
      <c r="U27" s="134" t="str">
        <f t="shared" si="12"/>
        <v>#REF!</v>
      </c>
      <c r="V27" s="134" t="str">
        <f t="shared" si="13"/>
        <v>#REF!</v>
      </c>
      <c r="W27" s="135" t="str">
        <f>IF(ISNA(VLOOKUP(A27,'Données projet (1)'!$A$35:$I$55,5,0)),0%,VLOOKUP(A27,'Données projet (1)'!$A$35:$I$55,5,0)*VLOOKUP('Données projet (1)'!$B$9,'Paramètres (1)'!$A$1:$I$88,7,0))</f>
        <v>#REF!</v>
      </c>
      <c r="X27" s="135" t="str">
        <f>IF(ISNA(VLOOKUP(A27,'Données projet (1)'!$A$35:$I$55,6,0)),0%,VLOOKUP(A27,'Données projet (1)'!$A$35:$I$55,6,0)*VLOOKUP('Données projet (1)'!$B$9,'Paramètres (1)'!$A$1:$I$88,7,0))</f>
        <v>#REF!</v>
      </c>
      <c r="Y27" s="135" t="str">
        <f t="shared" si="14"/>
        <v>#REF!</v>
      </c>
      <c r="Z27" s="142" t="str">
        <f>EXP(-LN(2)/35)*Z26+(1-EXP(-LN(2)/35))/(LN(2)/35)*V27*W27*VLOOKUP('Données projet (1)'!$B$9,'Paramètres (1)'!$A$1:$I$88,3,0)*0.475*44/12</f>
        <v>#REF!</v>
      </c>
      <c r="AA27" s="142" t="str">
        <f>EXP(-LN(2)/25)*AA26+(1-EXP(-LN(2)/25))/(LN(2)/25)*'Calculateur (1)'!V27*'Calculateur (1)'!X27*VLOOKUP('Données projet (1)'!$B$9,'Paramètres (1)'!$A$1:$I$88,3,0)*0.475*44/12</f>
        <v>#REF!</v>
      </c>
      <c r="AB27" s="142" t="str">
        <f>EXP(-LN(2)/2)*AB26+(1-EXP(-LN(2)/2))/(LN(2)/2)*V27*Y27*VLOOKUP('Données projet (1)'!$B$9,'Paramètres (1)'!$A$1:$I$88,3,0)*0.475*44/12</f>
        <v>#REF!</v>
      </c>
      <c r="AC27" s="143" t="str">
        <f t="shared" si="15"/>
        <v>#REF!</v>
      </c>
      <c r="AD27" s="130" t="str">
        <f t="shared" si="16"/>
        <v>#REF!</v>
      </c>
      <c r="AE27" s="130" t="str">
        <f t="shared" si="17"/>
        <v>#REF!</v>
      </c>
      <c r="AF27" s="131" t="str">
        <f t="shared" si="112"/>
        <v>#REF!</v>
      </c>
      <c r="AG27" s="131" t="str">
        <f t="shared" si="18"/>
        <v>#REF!</v>
      </c>
      <c r="AH27" s="131" t="str">
        <f t="array" ref="AH27">INDEX(AG:AG,MIN(IF(ISNUMBER(AG27:AG223),ROW(AG27:AG223),"")))</f>
        <v/>
      </c>
      <c r="AI27" s="130" t="str">
        <f t="shared" si="113"/>
        <v>#REF!</v>
      </c>
      <c r="AJ27" s="130" t="str">
        <f>AI27*VLOOKUP('Données projet (1)'!$B$10,'Paramètres (1)'!$A$1:$I$88,3,0)*VLOOKUP('Données projet (1)'!$B$10,'Paramètres (1)'!$A$1:$I$88,5,0)</f>
        <v>#REF!</v>
      </c>
      <c r="AK27" s="130" t="str">
        <f t="shared" si="114"/>
        <v>#REF!</v>
      </c>
      <c r="AL27" s="141" t="str">
        <f t="shared" si="19"/>
        <v>#REF!</v>
      </c>
      <c r="AM27" s="133" t="str">
        <f t="shared" si="20"/>
        <v>#REF!</v>
      </c>
      <c r="AN27" s="133" t="str">
        <f t="shared" si="21"/>
        <v>#REF!</v>
      </c>
      <c r="AO27" s="133" t="str">
        <f t="shared" si="115"/>
        <v>#REF!</v>
      </c>
      <c r="AP27" s="134" t="str">
        <f t="shared" si="22"/>
        <v>#REF!</v>
      </c>
      <c r="AQ27" s="134" t="str">
        <f t="shared" si="23"/>
        <v>#REF!</v>
      </c>
      <c r="AR27" s="135" t="str">
        <f>IF(ISNA(VLOOKUP(A27,'Données projet (1)'!$A$61:$I$81,5,0)),0%,VLOOKUP(A27,'Données projet (1)'!$A$61:$I$81,5,0)*VLOOKUP('Données projet (1)'!$B$10,'Paramètres (1)'!$A$1:$I$88,7,0))</f>
        <v>#REF!</v>
      </c>
      <c r="AS27" s="135" t="str">
        <f>IF(ISNA(VLOOKUP(A27,'Données projet (1)'!$A$61:$I$81,6,0)),0%,VLOOKUP(A27,'Données projet (1)'!$A$61:$I$81,6,0)*VLOOKUP('Données projet (1)'!$B$10,'Paramètres (1)'!$A$1:$I$88,7,0))</f>
        <v>#REF!</v>
      </c>
      <c r="AT27" s="135" t="str">
        <f t="shared" si="24"/>
        <v>#REF!</v>
      </c>
      <c r="AU27" s="142" t="str">
        <f>EXP(-LN(2)/35)*AU26+(1-EXP(-LN(2)/35))/(LN(2)/35)*AQ27*AR27*VLOOKUP('Données projet (1)'!$B$10,'Paramètres (1)'!$A$1:$I$88,3,0)*0.475*44/12</f>
        <v>#REF!</v>
      </c>
      <c r="AV27" s="142" t="str">
        <f>EXP(-LN(2)/25)*AV26+(1-EXP(-LN(2)/25))/(LN(2)/25)*'Calculateur (1)'!AQ27*'Calculateur (1)'!AS27*VLOOKUP('Données projet (1)'!$B$10,'Paramètres (1)'!$A$1:$I$88,3,0)*0.475*44/12</f>
        <v>#REF!</v>
      </c>
      <c r="AW27" s="142" t="str">
        <f>EXP(-LN(2)/2)*AW26+(1-EXP(-LN(2)/2))/(LN(2)/2)*AQ27*AT27*VLOOKUP('Données projet (1)'!$B$10,'Paramètres (1)'!$A$1:$I$88,3,0)*0.475*44/12</f>
        <v>#REF!</v>
      </c>
      <c r="AX27" s="142" t="str">
        <f t="shared" si="25"/>
        <v>#REF!</v>
      </c>
      <c r="AY27" s="137" t="str">
        <f t="shared" si="26"/>
        <v>#REF!</v>
      </c>
      <c r="AZ27" s="131" t="str">
        <f t="shared" si="27"/>
        <v>#REF!</v>
      </c>
      <c r="BA27" s="131" t="str">
        <f t="shared" si="116"/>
        <v>#REF!</v>
      </c>
      <c r="BB27" s="131" t="str">
        <f t="shared" si="28"/>
        <v>#REF!</v>
      </c>
      <c r="BC27" s="131" t="str">
        <f t="array" ref="BC27">INDEX(BB:BB,MIN(IF(ISNUMBER(BB27:BB223),ROW(BB27:BB223),"")))</f>
        <v/>
      </c>
      <c r="BD27" s="131" t="str">
        <f t="shared" si="117"/>
        <v>#REF!</v>
      </c>
      <c r="BE27" s="130" t="str">
        <f>BD27*VLOOKUP('Données projet (1)'!$B$11,'Paramètres (1)'!$A$1:$I$88,3,0)*VLOOKUP('Données projet (1)'!$B$11,'Paramètres (1)'!$A$1:$I$88,5,0)</f>
        <v>#REF!</v>
      </c>
      <c r="BF27" s="130" t="str">
        <f t="shared" si="118"/>
        <v>#REF!</v>
      </c>
      <c r="BG27" s="141" t="str">
        <f t="shared" si="29"/>
        <v>#REF!</v>
      </c>
      <c r="BH27" s="133" t="str">
        <f t="shared" si="30"/>
        <v>#REF!</v>
      </c>
      <c r="BI27" s="133" t="str">
        <f t="shared" si="31"/>
        <v>#REF!</v>
      </c>
      <c r="BJ27" s="133" t="str">
        <f t="shared" si="119"/>
        <v>#REF!</v>
      </c>
      <c r="BK27" s="134" t="str">
        <f t="shared" si="32"/>
        <v>#REF!</v>
      </c>
      <c r="BL27" s="134" t="str">
        <f t="shared" si="33"/>
        <v>#REF!</v>
      </c>
      <c r="BM27" s="135" t="str">
        <f>IF(ISNA(VLOOKUP(A27,'Données projet (1)'!$A$87:$I$107,5,0)),0%,VLOOKUP(A27,'Données projet (1)'!$A$87:$I$107,5,0)*VLOOKUP('Données projet (1)'!$B$11,'Paramètres (1)'!$A$1:$I$88,7,0))</f>
        <v>#REF!</v>
      </c>
      <c r="BN27" s="135" t="str">
        <f>IF(ISNA(VLOOKUP(A27,'Données projet (1)'!$A$87:$I$107,6,0)),0%,VLOOKUP(A27,'Données projet (1)'!$A$87:$I$107,6,0)*VLOOKUP('Données projet (1)'!$B$11,'Paramètres (1)'!$A$1:$I$88,7,0))</f>
        <v>#REF!</v>
      </c>
      <c r="BO27" s="135" t="str">
        <f t="shared" si="34"/>
        <v>#REF!</v>
      </c>
      <c r="BP27" s="142" t="str">
        <f>EXP(-LN(2)/35)*BP26+(1-EXP(-LN(2)/35))/(LN(2)/35)*BL27*BM27*VLOOKUP('Données projet (1)'!$B$11,'Paramètres (1)'!$A$1:$I$88,3,0)*0.475*44/12</f>
        <v>#REF!</v>
      </c>
      <c r="BQ27" s="142" t="str">
        <f>EXP(-LN(2)/25)*BQ26+(1-EXP(-LN(2)/25))/(LN(2)/25)*'Calculateur (1)'!BL27*'Calculateur (1)'!BN27*VLOOKUP('Données projet (1)'!$B$11,'Paramètres (1)'!$A$1:$I$88,3,0)*0.475*44/12</f>
        <v>#REF!</v>
      </c>
      <c r="BR27" s="142" t="str">
        <f>EXP(-LN(2)/2)*BR26+(1-EXP(-LN(2)/2))/(LN(2)/2)*BL27*BO27*VLOOKUP('Données projet (1)'!$B$11,'Paramètres (1)'!$A$1:$I$88,3,0)*0.475*44/12</f>
        <v>#REF!</v>
      </c>
      <c r="BS27" s="143" t="str">
        <f t="shared" si="35"/>
        <v>#REF!</v>
      </c>
      <c r="BT27" s="139" t="str">
        <f t="shared" si="36"/>
        <v>#REF!</v>
      </c>
      <c r="BU27" s="131" t="str">
        <f t="shared" si="37"/>
        <v>#REF!</v>
      </c>
      <c r="BV27" s="131" t="str">
        <f t="shared" si="120"/>
        <v>#REF!</v>
      </c>
      <c r="BW27" s="131" t="str">
        <f t="shared" si="38"/>
        <v>#REF!</v>
      </c>
      <c r="BX27" s="131" t="str">
        <f t="array" ref="BX27">INDEX(BW:BW,MIN(IF(ISNUMBER(BW27:BW223),ROW(BW27:BW223),"")))</f>
        <v/>
      </c>
      <c r="BY27" s="131" t="str">
        <f t="shared" si="121"/>
        <v>#REF!</v>
      </c>
      <c r="BZ27" s="130" t="str">
        <f>BY27*VLOOKUP('Données projet (1)'!$B$12,'Paramètres (1)'!$A$1:$I$88,3,0)*VLOOKUP('Données projet (1)'!$B$12,'Paramètres (1)'!$A$1:$I$88,5,0)</f>
        <v>#REF!</v>
      </c>
      <c r="CA27" s="130" t="str">
        <f t="shared" si="122"/>
        <v>#REF!</v>
      </c>
      <c r="CB27" s="141" t="str">
        <f t="shared" si="39"/>
        <v>#REF!</v>
      </c>
      <c r="CC27" s="133" t="str">
        <f t="shared" si="40"/>
        <v>#REF!</v>
      </c>
      <c r="CD27" s="133" t="str">
        <f t="shared" si="41"/>
        <v>#REF!</v>
      </c>
      <c r="CE27" s="133" t="str">
        <f t="shared" si="123"/>
        <v>#REF!</v>
      </c>
      <c r="CF27" s="134" t="str">
        <f t="shared" si="42"/>
        <v>#REF!</v>
      </c>
      <c r="CG27" s="134" t="str">
        <f t="shared" si="43"/>
        <v>#REF!</v>
      </c>
      <c r="CH27" s="135" t="str">
        <f>IF(ISNA(VLOOKUP(A27,'Données projet (1)'!$A$113:$I$133,5,0)),0%,VLOOKUP(A27,'Données projet (1)'!$A$113:$I$133,5,0)*VLOOKUP('Données projet (1)'!$B$12,'Paramètres (1)'!$A$1:$I$88,7,0))</f>
        <v>#REF!</v>
      </c>
      <c r="CI27" s="135" t="str">
        <f>IF(ISNA(VLOOKUP(A27,'Données projet (1)'!$A$113:$I$133,6,0)),0%,VLOOKUP(A27,'Données projet (1)'!$A$113:$I$133,6,0)*VLOOKUP('Données projet (1)'!$B$12,'Paramètres (1)'!$A$1:$I$88,7,0))</f>
        <v>#REF!</v>
      </c>
      <c r="CJ27" s="135" t="str">
        <f t="shared" si="44"/>
        <v>#REF!</v>
      </c>
      <c r="CK27" s="142" t="str">
        <f>EXP(-LN(2)/35)*CK26+(1-EXP(-LN(2)/35))/(LN(2)/35)*CG27*CH27*VLOOKUP('Données projet (1)'!$B$12,'Paramètres (1)'!$A$1:$I$88,3,0)*0.475*44/12</f>
        <v>#REF!</v>
      </c>
      <c r="CL27" s="142" t="str">
        <f>EXP(-LN(2)/25)*CL26+(1-EXP(-LN(2)/25))/(LN(2)/25)*'Calculateur (1)'!CG27*'Calculateur (1)'!CI27*VLOOKUP('Données projet (1)'!$B$12,'Paramètres (1)'!$A$1:$I$88,3,0)*0.475*44/12</f>
        <v>#REF!</v>
      </c>
      <c r="CM27" s="142" t="str">
        <f>EXP(-LN(2)/2)*CM26+(1-EXP(-LN(2)/2))/(LN(2)/2)*CG27*CJ27*VLOOKUP('Données projet (1)'!$B$12,'Paramètres (1)'!$A$1:$I$88,3,0)*0.475*44/12</f>
        <v>#REF!</v>
      </c>
      <c r="CN27" s="143" t="str">
        <f t="shared" si="45"/>
        <v>#REF!</v>
      </c>
      <c r="CO27" s="139" t="str">
        <f t="shared" si="46"/>
        <v>#REF!</v>
      </c>
      <c r="CP27" s="131" t="str">
        <f t="shared" si="47"/>
        <v>#REF!</v>
      </c>
      <c r="CQ27" s="131" t="str">
        <f t="shared" si="124"/>
        <v>#REF!</v>
      </c>
      <c r="CR27" s="131" t="str">
        <f t="shared" si="48"/>
        <v>#REF!</v>
      </c>
      <c r="CS27" s="131" t="str">
        <f t="array" ref="CS27">INDEX(CR:CR,MIN(IF(ISNUMBER(CR27:CR223),ROW(CR27:CR223),"")))</f>
        <v/>
      </c>
      <c r="CT27" s="131" t="str">
        <f t="shared" si="125"/>
        <v>#REF!</v>
      </c>
      <c r="CU27" s="138" t="str">
        <f>CT27*VLOOKUP('Données projet (1)'!$B$13,'Paramètres (1)'!$A$1:$I$88,3,0)*VLOOKUP('Données projet (1)'!$B$13,'Paramètres (1)'!$A$1:$I$88,5,0)</f>
        <v>#REF!</v>
      </c>
      <c r="CV27" s="130" t="str">
        <f t="shared" si="126"/>
        <v>#REF!</v>
      </c>
      <c r="CW27" s="141" t="str">
        <f t="shared" si="49"/>
        <v>#REF!</v>
      </c>
      <c r="CX27" s="133" t="str">
        <f t="shared" si="50"/>
        <v>#REF!</v>
      </c>
      <c r="CY27" s="133" t="str">
        <f t="shared" si="51"/>
        <v>#REF!</v>
      </c>
      <c r="CZ27" s="133" t="str">
        <f t="shared" si="127"/>
        <v>#REF!</v>
      </c>
      <c r="DA27" s="134" t="str">
        <f t="shared" si="52"/>
        <v>#REF!</v>
      </c>
      <c r="DB27" s="134" t="str">
        <f t="shared" si="53"/>
        <v>#REF!</v>
      </c>
      <c r="DC27" s="135" t="str">
        <f>IF(ISNA(VLOOKUP(A27,'Données projet (1)'!$A$139:$I$159,5,0)),0%,VLOOKUP(A27,'Données projet (1)'!$A$139:$I$159,5,0)*VLOOKUP('Données projet (1)'!$B$13,'Paramètres (1)'!$A$1:$I$88,7,0))</f>
        <v>#REF!</v>
      </c>
      <c r="DD27" s="135" t="str">
        <f>IF(ISNA(VLOOKUP(A27,'Données projet (1)'!$A$139:$I$159,6,0)),0%,VLOOKUP(A27,'Données projet (1)'!$A$139:$I$159,6,0)*VLOOKUP('Données projet (1)'!$B$13,'Paramètres (1)'!$A$1:$I$88,7,0))</f>
        <v>#REF!</v>
      </c>
      <c r="DE27" s="135" t="str">
        <f t="shared" si="54"/>
        <v>#REF!</v>
      </c>
      <c r="DF27" s="142" t="str">
        <f>EXP(-LN(2)/35)*DF26+(1-EXP(-LN(2)/35))/(LN(2)/35)*DB27*DC27*VLOOKUP('Données projet (1)'!$B$13,'Paramètres (1)'!$A$1:$I$88,3,0)*0.475*44/12</f>
        <v>#REF!</v>
      </c>
      <c r="DG27" s="142" t="str">
        <f>EXP(-LN(2)/25)*DG26+(1-EXP(-LN(2)/25))/(LN(2)/25)*'Calculateur (1)'!DB27*'Calculateur (1)'!DD27*VLOOKUP('Données projet (1)'!$B$13,'Paramètres (1)'!$A$1:$I$88,3,0)*0.475*44/12</f>
        <v>#REF!</v>
      </c>
      <c r="DH27" s="142" t="str">
        <f>EXP(-LN(2)/2)*DH26+(1-EXP(-LN(2)/2))/(LN(2)/2)*DB27*DE27*VLOOKUP('Données projet (1)'!$B$13,'Paramètres (1)'!$A$1:$I$88,3,0)*0.475*44/12</f>
        <v>#REF!</v>
      </c>
      <c r="DI27" s="143" t="str">
        <f t="shared" si="55"/>
        <v>#REF!</v>
      </c>
      <c r="DJ27" s="139" t="str">
        <f t="shared" si="56"/>
        <v>#REF!</v>
      </c>
      <c r="DK27" s="131" t="str">
        <f t="shared" si="57"/>
        <v>#REF!</v>
      </c>
      <c r="DL27" s="131" t="str">
        <f t="shared" si="128"/>
        <v>#REF!</v>
      </c>
      <c r="DM27" s="131" t="str">
        <f t="shared" si="58"/>
        <v>#REF!</v>
      </c>
      <c r="DN27" s="131" t="str">
        <f t="array" ref="DN27">INDEX(DM:DM,MIN(IF(ISNUMBER(DM27:DM223),ROW(DM27:DM223),"")))</f>
        <v/>
      </c>
      <c r="DO27" s="131" t="str">
        <f t="shared" si="129"/>
        <v>#REF!</v>
      </c>
      <c r="DP27" s="138" t="str">
        <f>DO27*VLOOKUP('Données projet (1)'!$B$14,'Paramètres (1)'!$A$1:$I$88,3,0)*VLOOKUP('Données projet (1)'!$B$14,'Paramètres (1)'!$A$1:$I$88,5,0)</f>
        <v>#REF!</v>
      </c>
      <c r="DQ27" s="130" t="str">
        <f t="shared" si="130"/>
        <v>#REF!</v>
      </c>
      <c r="DR27" s="141" t="str">
        <f t="shared" si="59"/>
        <v>#REF!</v>
      </c>
      <c r="DS27" s="133" t="str">
        <f t="shared" si="60"/>
        <v>#REF!</v>
      </c>
      <c r="DT27" s="133" t="str">
        <f t="shared" si="61"/>
        <v>#REF!</v>
      </c>
      <c r="DU27" s="133" t="str">
        <f t="shared" si="131"/>
        <v>#REF!</v>
      </c>
      <c r="DV27" s="134" t="str">
        <f t="shared" si="62"/>
        <v>#REF!</v>
      </c>
      <c r="DW27" s="134" t="str">
        <f t="shared" si="63"/>
        <v>#REF!</v>
      </c>
      <c r="DX27" s="135" t="str">
        <f>IF(ISNA(VLOOKUP(A27,'Données projet (1)'!$A$165:$I$185,5,0)),0%,VLOOKUP(A27,'Données projet (1)'!$A$165:$I$185,5,0)*VLOOKUP('Données projet (1)'!$B$14,'Paramètres (1)'!$A$1:$I$88,7,0))</f>
        <v>#REF!</v>
      </c>
      <c r="DY27" s="135" t="str">
        <f>IF(ISNA(VLOOKUP(A27,'Données projet (1)'!$A$165:$I$185,6,0)),0%,VLOOKUP(A27,'Données projet (1)'!$A$165:$I$185,6,0)*VLOOKUP('Données projet (1)'!$B$14,'Paramètres (1)'!$A$1:$I$88,7,0))</f>
        <v>#REF!</v>
      </c>
      <c r="DZ27" s="135" t="str">
        <f t="shared" si="64"/>
        <v>#REF!</v>
      </c>
      <c r="EA27" s="142" t="str">
        <f>EXP(-LN(2)/35)*EA26+(1-EXP(-LN(2)/35))/(LN(2)/35)*DW27*DX27*VLOOKUP('Données projet (1)'!$B$14,'Paramètres (1)'!$A$1:$I$88,3,0)*0.475*44/12</f>
        <v>#REF!</v>
      </c>
      <c r="EB27" s="142" t="str">
        <f>EXP(-LN(2)/25)*EB26+(1-EXP(-LN(2)/25))/(LN(2)/25)*'Calculateur (1)'!DW27*'Calculateur (1)'!DY27*VLOOKUP('Données projet (1)'!$B$14,'Paramètres (1)'!$A$1:$I$88,3,0)*0.475*44/12</f>
        <v>#REF!</v>
      </c>
      <c r="EC27" s="142" t="str">
        <f>EXP(-LN(2)/2)*EC26+(1-EXP(-LN(2)/2))/(LN(2)/2)*DW27*DZ27*VLOOKUP('Données projet (1)'!$B$14,'Paramètres (1)'!$A$1:$I$88,3,0)*0.475*44/12</f>
        <v>#REF!</v>
      </c>
      <c r="ED27" s="143" t="str">
        <f t="shared" si="65"/>
        <v>#REF!</v>
      </c>
      <c r="EE27" s="139" t="str">
        <f t="shared" si="66"/>
        <v>#REF!</v>
      </c>
      <c r="EF27" s="131" t="str">
        <f t="shared" si="67"/>
        <v>#REF!</v>
      </c>
      <c r="EG27" s="131" t="str">
        <f t="shared" si="132"/>
        <v>#REF!</v>
      </c>
      <c r="EH27" s="131" t="str">
        <f t="shared" si="68"/>
        <v>#REF!</v>
      </c>
      <c r="EI27" s="131" t="str">
        <f t="array" ref="EI27">INDEX(EH:EH,MIN(IF(ISNUMBER(EH27:EH223),ROW(EH27:EH223),"")))</f>
        <v/>
      </c>
      <c r="EJ27" s="131" t="str">
        <f t="shared" si="133"/>
        <v>#REF!</v>
      </c>
      <c r="EK27" s="138" t="str">
        <f>EJ27*VLOOKUP('Données projet (1)'!$B$15,'Paramètres (1)'!$A$1:$I$88,3,0)*VLOOKUP('Données projet (1)'!$B$15,'Paramètres (1)'!$A$1:$I$88,5,0)</f>
        <v>#REF!</v>
      </c>
      <c r="EL27" s="130" t="str">
        <f t="shared" si="134"/>
        <v>#REF!</v>
      </c>
      <c r="EM27" s="141" t="str">
        <f t="shared" si="69"/>
        <v>#REF!</v>
      </c>
      <c r="EN27" s="133" t="str">
        <f t="shared" si="70"/>
        <v>#REF!</v>
      </c>
      <c r="EO27" s="133" t="str">
        <f t="shared" si="71"/>
        <v>#REF!</v>
      </c>
      <c r="EP27" s="133" t="str">
        <f t="shared" si="135"/>
        <v>#REF!</v>
      </c>
      <c r="EQ27" s="134" t="str">
        <f t="shared" si="72"/>
        <v>#REF!</v>
      </c>
      <c r="ER27" s="134" t="str">
        <f t="shared" si="73"/>
        <v>#REF!</v>
      </c>
      <c r="ES27" s="135" t="str">
        <f>IF(ISNA(VLOOKUP(A27,'Données projet (1)'!$A$191:$I$211,5,0)),0%,VLOOKUP(A27,'Données projet (1)'!$A$191:$I$211,5,0)*VLOOKUP('Données projet (1)'!$B$15,'Paramètres (1)'!$A$1:$I$88,7,0))</f>
        <v>#REF!</v>
      </c>
      <c r="ET27" s="135" t="str">
        <f>IF(ISNA(VLOOKUP(A27,'Données projet (1)'!$A$191:$I$211,6,0)),0%,VLOOKUP(A27,'Données projet (1)'!$A$191:$I$211,6,0)*VLOOKUP('Données projet (1)'!$B$15,'Paramètres (1)'!$A$1:$I$88,7,0))</f>
        <v>#REF!</v>
      </c>
      <c r="EU27" s="135" t="str">
        <f t="shared" si="74"/>
        <v>#REF!</v>
      </c>
      <c r="EV27" s="142" t="str">
        <f>EXP(-LN(2)/35)*EV26+(1-EXP(-LN(2)/35))/(LN(2)/35)*ER27*ES27*VLOOKUP('Données projet (1)'!$B$15,'Paramètres (1)'!$A$1:$I$88,3,0)*0.475*44/12</f>
        <v>#REF!</v>
      </c>
      <c r="EW27" s="142" t="str">
        <f>EXP(-LN(2)/25)*EW26+(1-EXP(-LN(2)/25))/(LN(2)/25)*'Calculateur (1)'!ER27*'Calculateur (1)'!ET27*VLOOKUP('Données projet (1)'!$B$15,'Paramètres (1)'!$A$1:$I$88,3,0)*0.475*44/12</f>
        <v>#REF!</v>
      </c>
      <c r="EX27" s="142" t="str">
        <f>EXP(-LN(2)/2)*EX26+(1-EXP(-LN(2)/2))/(LN(2)/2)*ER27*EU27*VLOOKUP('Données projet (1)'!$B$15,'Paramètres (1)'!$A$1:$I$88,3,0)*0.475*44/12</f>
        <v>#REF!</v>
      </c>
      <c r="EY27" s="143" t="str">
        <f t="shared" si="75"/>
        <v>#REF!</v>
      </c>
      <c r="EZ27" s="139" t="str">
        <f t="shared" si="76"/>
        <v>#REF!</v>
      </c>
      <c r="FA27" s="131" t="str">
        <f t="shared" si="77"/>
        <v>#REF!</v>
      </c>
      <c r="FB27" s="131" t="str">
        <f t="shared" si="136"/>
        <v>#REF!</v>
      </c>
      <c r="FC27" s="131" t="str">
        <f t="shared" si="78"/>
        <v>#REF!</v>
      </c>
      <c r="FD27" s="131" t="str">
        <f t="array" ref="FD27">INDEX(FC:FC,MIN(IF(ISNUMBER(FC27:FC223),ROW(FC27:FC223),"")))</f>
        <v/>
      </c>
      <c r="FE27" s="131" t="str">
        <f t="shared" si="137"/>
        <v>#REF!</v>
      </c>
      <c r="FF27" s="138" t="str">
        <f>FE27*VLOOKUP('Données projet (1)'!$B$16,'Paramètres (1)'!$A$1:$I$88,3,0)*VLOOKUP('Données projet (1)'!$B$16,'Paramètres (1)'!$A$1:$I$88,5,0)</f>
        <v>#REF!</v>
      </c>
      <c r="FG27" s="130" t="str">
        <f t="shared" si="138"/>
        <v>#REF!</v>
      </c>
      <c r="FH27" s="141" t="str">
        <f t="shared" si="79"/>
        <v>#REF!</v>
      </c>
      <c r="FI27" s="133" t="str">
        <f t="shared" si="80"/>
        <v>#REF!</v>
      </c>
      <c r="FJ27" s="133" t="str">
        <f t="shared" si="81"/>
        <v>#REF!</v>
      </c>
      <c r="FK27" s="133" t="str">
        <f t="shared" si="139"/>
        <v>#REF!</v>
      </c>
      <c r="FL27" s="134" t="str">
        <f t="shared" si="82"/>
        <v>#REF!</v>
      </c>
      <c r="FM27" s="134" t="str">
        <f t="shared" si="83"/>
        <v>#REF!</v>
      </c>
      <c r="FN27" s="135" t="str">
        <f>IF(ISNA(VLOOKUP(A27,'Données projet (1)'!$A$217:$I$237,5,0)),0%,VLOOKUP(A27,'Données projet (1)'!$A$217:$I$237,5,0)*VLOOKUP('Données projet (1)'!$B$16,'Paramètres (1)'!$A$1:$I$88,7,0))</f>
        <v>#REF!</v>
      </c>
      <c r="FO27" s="135" t="str">
        <f>IF(ISNA(VLOOKUP(A27,'Données projet (1)'!$A$217:$I$237,6,0)),0%,VLOOKUP(A27,'Données projet (1)'!$A$217:$I$237,6,0)*VLOOKUP('Données projet (1)'!$B$16,'Paramètres (1)'!$A$1:$I$88,7,0))</f>
        <v>#REF!</v>
      </c>
      <c r="FP27" s="135" t="str">
        <f t="shared" si="84"/>
        <v>#REF!</v>
      </c>
      <c r="FQ27" s="142" t="str">
        <f>EXP(-LN(2)/35)*FQ26+(1-EXP(-LN(2)/35))/(LN(2)/35)*FM27*FN27*VLOOKUP('Données projet (1)'!$B$16,'Paramètres (1)'!$A$1:$I$88,3,0)*0.475*44/12</f>
        <v>#REF!</v>
      </c>
      <c r="FR27" s="142" t="str">
        <f>EXP(-LN(2)/25)*FR26+(1-EXP(-LN(2)/25))/(LN(2)/25)*'Calculateur (1)'!FM27*'Calculateur (1)'!FO27*VLOOKUP('Données projet (1)'!$B$16,'Paramètres (1)'!$A$1:$I$88,3,0)*0.475*44/12</f>
        <v>#REF!</v>
      </c>
      <c r="FS27" s="142" t="str">
        <f>EXP(-LN(2)/2)*FS26+(1-EXP(-LN(2)/2))/(LN(2)/2)*FM27*FP27*VLOOKUP('Données projet (1)'!$B$16,'Paramètres (1)'!$A$1:$I$88,3,0)*0.475*44/12</f>
        <v>#REF!</v>
      </c>
      <c r="FT27" s="143" t="str">
        <f t="shared" si="85"/>
        <v>#REF!</v>
      </c>
      <c r="FU27" s="139" t="str">
        <f t="shared" si="86"/>
        <v>#REF!</v>
      </c>
      <c r="FV27" s="131" t="str">
        <f t="shared" si="87"/>
        <v>#REF!</v>
      </c>
      <c r="FW27" s="131" t="str">
        <f t="shared" si="140"/>
        <v>#REF!</v>
      </c>
      <c r="FX27" s="131" t="str">
        <f t="shared" si="88"/>
        <v>#REF!</v>
      </c>
      <c r="FY27" s="131" t="str">
        <f t="array" ref="FY27">INDEX(FX:FX,MIN(IF(ISNUMBER(FX27:FX223),ROW(FX27:FX223),"")))</f>
        <v/>
      </c>
      <c r="FZ27" s="131" t="str">
        <f t="shared" si="141"/>
        <v>#REF!</v>
      </c>
      <c r="GA27" s="138" t="str">
        <f>FZ27*VLOOKUP('Données projet (1)'!$B$17,'Paramètres (1)'!$A$1:$I$88,3,0)*VLOOKUP('Données projet (1)'!$B$17,'Paramètres (1)'!$A$1:$I$88,5,0)</f>
        <v>#REF!</v>
      </c>
      <c r="GB27" s="130" t="str">
        <f t="shared" si="142"/>
        <v>#REF!</v>
      </c>
      <c r="GC27" s="141" t="str">
        <f t="shared" si="89"/>
        <v>#REF!</v>
      </c>
      <c r="GD27" s="133" t="str">
        <f t="shared" si="90"/>
        <v>#REF!</v>
      </c>
      <c r="GE27" s="133" t="str">
        <f t="shared" si="91"/>
        <v>#REF!</v>
      </c>
      <c r="GF27" s="133" t="str">
        <f t="shared" si="143"/>
        <v>#REF!</v>
      </c>
      <c r="GG27" s="134" t="str">
        <f t="shared" si="92"/>
        <v>#REF!</v>
      </c>
      <c r="GH27" s="134" t="str">
        <f t="shared" si="93"/>
        <v>#REF!</v>
      </c>
      <c r="GI27" s="135" t="str">
        <f>IF(ISNA(VLOOKUP(A27,'Données projet (1)'!$A$243:$I$263,5,0)),0%,VLOOKUP(A27,'Données projet (1)'!$A$243:$I$263,5,0)*VLOOKUP('Données projet (1)'!$B$17,'Paramètres (1)'!$A$1:$I$88,7,0))</f>
        <v>#REF!</v>
      </c>
      <c r="GJ27" s="135" t="str">
        <f>IF(ISNA(VLOOKUP(A27,'Données projet (1)'!$A$243:$I$263,6,0)),0%,VLOOKUP(A27,'Données projet (1)'!$A$243:$I$263,6,0)*VLOOKUP('Données projet (1)'!$B$17,'Paramètres (1)'!$A$1:$I$88,7,0))</f>
        <v>#REF!</v>
      </c>
      <c r="GK27" s="135" t="str">
        <f t="shared" si="94"/>
        <v>#REF!</v>
      </c>
      <c r="GL27" s="142" t="str">
        <f>EXP(-LN(2)/35)*GL26+(1-EXP(-LN(2)/35))/(LN(2)/35)*GH27*GI27*VLOOKUP('Données projet (1)'!$B$17,'Paramètres (1)'!$A$1:$I$88,3,0)*0.475*44/12</f>
        <v>#REF!</v>
      </c>
      <c r="GM27" s="142" t="str">
        <f>EXP(-LN(2)/25)*GM26+(1-EXP(-LN(2)/25))/(LN(2)/25)*'Calculateur (1)'!GH27*'Calculateur (1)'!GJ27*VLOOKUP('Données projet (1)'!$B$17,'Paramètres (1)'!$A$1:$I$88,3,0)*0.475*44/12</f>
        <v>#REF!</v>
      </c>
      <c r="GN27" s="142" t="str">
        <f>EXP(-LN(2)/2)*GN26+(1-EXP(-LN(2)/2))/(LN(2)/2)*GH27*GK27*VLOOKUP('Données projet (1)'!$B$17,'Paramètres (1)'!$A$1:$I$88,3,0)*0.475*44/12</f>
        <v>#REF!</v>
      </c>
      <c r="GO27" s="142" t="str">
        <f t="shared" si="95"/>
        <v>#REF!</v>
      </c>
      <c r="GP27" s="139" t="str">
        <f t="shared" si="96"/>
        <v>#REF!</v>
      </c>
      <c r="GQ27" s="131" t="str">
        <f t="shared" si="97"/>
        <v>#REF!</v>
      </c>
      <c r="GR27" s="131" t="str">
        <f t="shared" si="144"/>
        <v>#REF!</v>
      </c>
      <c r="GS27" s="131" t="str">
        <f t="shared" si="98"/>
        <v>#REF!</v>
      </c>
      <c r="GT27" s="131" t="str">
        <f t="array" ref="GT27">INDEX(GS:GS,MIN(IF(ISNUMBER(GS27:GS223),ROW(GS27:GS223),"")))</f>
        <v/>
      </c>
      <c r="GU27" s="131" t="str">
        <f t="shared" si="145"/>
        <v>#REF!</v>
      </c>
      <c r="GV27" s="138" t="str">
        <f>GU27*VLOOKUP('Données projet (1)'!$B$18,'Paramètres (1)'!$A$1:$I$88,3,0)*VLOOKUP('Données projet (1)'!$B$18,'Paramètres (1)'!$A$1:$I$88,5,0)</f>
        <v>#REF!</v>
      </c>
      <c r="GW27" s="130" t="str">
        <f t="shared" si="146"/>
        <v>#REF!</v>
      </c>
      <c r="GX27" s="141" t="str">
        <f t="shared" si="99"/>
        <v>#REF!</v>
      </c>
      <c r="GY27" s="133" t="str">
        <f t="shared" si="100"/>
        <v>#REF!</v>
      </c>
      <c r="GZ27" s="133" t="str">
        <f t="shared" si="101"/>
        <v>#REF!</v>
      </c>
      <c r="HA27" s="133" t="str">
        <f t="shared" si="147"/>
        <v>#REF!</v>
      </c>
      <c r="HB27" s="134" t="str">
        <f t="shared" si="102"/>
        <v>#REF!</v>
      </c>
      <c r="HC27" s="134" t="str">
        <f t="shared" si="103"/>
        <v>#REF!</v>
      </c>
      <c r="HD27" s="135" t="str">
        <f>IF(ISNA(VLOOKUP(A27,'Données projet (1)'!$A$269:$I$289,5,0)),0%,VLOOKUP(A27,'Données projet (1)'!$A$269:$I$289,5,0)*VLOOKUP('Données projet (1)'!$B$18,'Paramètres (1)'!$A$1:$I$88,7,0))</f>
        <v>#REF!</v>
      </c>
      <c r="HE27" s="135" t="str">
        <f>IF(ISNA(VLOOKUP(A27,'Données projet (1)'!$A$269:$I$289,6,0)),0%,VLOOKUP(A27,'Données projet (1)'!$A$269:$I$289,6,0)*VLOOKUP('Données projet (1)'!$B$18,'Paramètres (1)'!$A$1:$I$88,7,0))</f>
        <v>#REF!</v>
      </c>
      <c r="HF27" s="135" t="str">
        <f t="shared" si="104"/>
        <v>#REF!</v>
      </c>
      <c r="HG27" s="142" t="str">
        <f>EXP(-LN(2)/35)*HG26+(1-EXP(-LN(2)/35))/(LN(2)/35)*HC27*HD27*VLOOKUP('Données projet (1)'!$B$18,'Paramètres (1)'!$A$1:$I$88,3,0)*0.475*44/12</f>
        <v>#REF!</v>
      </c>
      <c r="HH27" s="142" t="str">
        <f>EXP(-LN(2)/25)*HH26+(1-EXP(-LN(2)/25))/(LN(2)/25)*'Calculateur (1)'!HC27*'Calculateur (1)'!HE27*VLOOKUP('Données projet (1)'!$B$18,'Paramètres (1)'!$A$1:$I$88,3,0)*0.475*44/12</f>
        <v>#REF!</v>
      </c>
      <c r="HI27" s="142" t="str">
        <f>EXP(-LN(2)/2)*HI26+(1-EXP(-LN(2)/2))/(LN(2)/2)*HC27*HF27*VLOOKUP('Données projet (1)'!$B$18,'Paramètres (1)'!$A$1:$I$88,3,0)*0.475*44/12</f>
        <v>#REF!</v>
      </c>
      <c r="HJ27" s="143" t="str">
        <f t="shared" si="105"/>
        <v>#REF!</v>
      </c>
    </row>
    <row r="28" ht="14.25" customHeight="1">
      <c r="A28" s="125">
        <f t="shared" si="106"/>
        <v>25</v>
      </c>
      <c r="B28" s="126" t="str">
        <f t="shared" si="1"/>
        <v>#REF!</v>
      </c>
      <c r="C28" s="140" t="str">
        <f>'Calculateur (1)'!C27+'Scénario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8" s="127">
        <f t="shared" si="107"/>
        <v>0</v>
      </c>
      <c r="E28" s="127" t="str">
        <f t="shared" si="2"/>
        <v>#REF!</v>
      </c>
      <c r="F28" s="127" t="str">
        <f t="shared" si="3"/>
        <v>#REF!</v>
      </c>
      <c r="G28" s="127" t="str">
        <f t="shared" si="4"/>
        <v>#REF!</v>
      </c>
      <c r="H28" s="128" t="str">
        <f t="shared" si="5"/>
        <v>#REF!</v>
      </c>
      <c r="I28" s="129" t="str">
        <f t="shared" si="6"/>
        <v>#REF!</v>
      </c>
      <c r="J28" s="130" t="str">
        <f t="shared" si="7"/>
        <v>#REF!</v>
      </c>
      <c r="K28" s="131" t="str">
        <f t="shared" si="108"/>
        <v>#REF!</v>
      </c>
      <c r="L28" s="131" t="str">
        <f t="shared" si="8"/>
        <v>#REF!</v>
      </c>
      <c r="M28" s="131" t="str">
        <f t="array" ref="M28">INDEX(L:L,MIN(IF(ISNUMBER(L28:L224),ROW(L28:L224),"")))</f>
        <v/>
      </c>
      <c r="N28" s="130" t="str">
        <f t="shared" si="109"/>
        <v>#REF!</v>
      </c>
      <c r="O28" s="130" t="str">
        <f>N28*VLOOKUP('Données projet (1)'!$B$9,'Paramètres (1)'!$A$1:$I$88,3,0)*VLOOKUP('Données projet (1)'!$B$9,'Paramètres (1)'!$A$1:$I$88,5,0)</f>
        <v>#REF!</v>
      </c>
      <c r="P28" s="130" t="str">
        <f t="shared" si="110"/>
        <v>#REF!</v>
      </c>
      <c r="Q28" s="141" t="str">
        <f t="shared" si="9"/>
        <v>#REF!</v>
      </c>
      <c r="R28" s="133" t="str">
        <f t="shared" si="10"/>
        <v>#REF!</v>
      </c>
      <c r="S28" s="133" t="str">
        <f t="shared" si="11"/>
        <v>#REF!</v>
      </c>
      <c r="T28" s="133" t="str">
        <f t="shared" si="111"/>
        <v>#REF!</v>
      </c>
      <c r="U28" s="134" t="str">
        <f t="shared" si="12"/>
        <v>#REF!</v>
      </c>
      <c r="V28" s="134" t="str">
        <f t="shared" si="13"/>
        <v>#REF!</v>
      </c>
      <c r="W28" s="135" t="str">
        <f>IF(ISNA(VLOOKUP(A28,'Données projet (1)'!$A$35:$I$55,5,0)),0%,VLOOKUP(A28,'Données projet (1)'!$A$35:$I$55,5,0)*VLOOKUP('Données projet (1)'!$B$9,'Paramètres (1)'!$A$1:$I$88,7,0))</f>
        <v>#REF!</v>
      </c>
      <c r="X28" s="135" t="str">
        <f>IF(ISNA(VLOOKUP(A28,'Données projet (1)'!$A$35:$I$55,6,0)),0%,VLOOKUP(A28,'Données projet (1)'!$A$35:$I$55,6,0)*VLOOKUP('Données projet (1)'!$B$9,'Paramètres (1)'!$A$1:$I$88,7,0))</f>
        <v>#REF!</v>
      </c>
      <c r="Y28" s="135" t="str">
        <f t="shared" si="14"/>
        <v>#REF!</v>
      </c>
      <c r="Z28" s="142" t="str">
        <f>EXP(-LN(2)/35)*Z27+(1-EXP(-LN(2)/35))/(LN(2)/35)*V28*W28*VLOOKUP('Données projet (1)'!$B$9,'Paramètres (1)'!$A$1:$I$88,3,0)*0.475*44/12</f>
        <v>#REF!</v>
      </c>
      <c r="AA28" s="142" t="str">
        <f>EXP(-LN(2)/25)*AA27+(1-EXP(-LN(2)/25))/(LN(2)/25)*'Calculateur (1)'!V28*'Calculateur (1)'!X28*VLOOKUP('Données projet (1)'!$B$9,'Paramètres (1)'!$A$1:$I$88,3,0)*0.475*44/12</f>
        <v>#REF!</v>
      </c>
      <c r="AB28" s="142" t="str">
        <f>EXP(-LN(2)/2)*AB27+(1-EXP(-LN(2)/2))/(LN(2)/2)*V28*Y28*VLOOKUP('Données projet (1)'!$B$9,'Paramètres (1)'!$A$1:$I$88,3,0)*0.475*44/12</f>
        <v>#REF!</v>
      </c>
      <c r="AC28" s="143" t="str">
        <f t="shared" si="15"/>
        <v>#REF!</v>
      </c>
      <c r="AD28" s="130" t="str">
        <f t="shared" si="16"/>
        <v>#REF!</v>
      </c>
      <c r="AE28" s="130" t="str">
        <f t="shared" si="17"/>
        <v>#REF!</v>
      </c>
      <c r="AF28" s="131" t="str">
        <f t="shared" si="112"/>
        <v>#REF!</v>
      </c>
      <c r="AG28" s="131" t="str">
        <f t="shared" si="18"/>
        <v>#REF!</v>
      </c>
      <c r="AH28" s="131" t="str">
        <f t="array" ref="AH28">INDEX(AG:AG,MIN(IF(ISNUMBER(AG28:AG224),ROW(AG28:AG224),"")))</f>
        <v/>
      </c>
      <c r="AI28" s="130" t="str">
        <f t="shared" si="113"/>
        <v>#REF!</v>
      </c>
      <c r="AJ28" s="130" t="str">
        <f>AI28*VLOOKUP('Données projet (1)'!$B$10,'Paramètres (1)'!$A$1:$I$88,3,0)*VLOOKUP('Données projet (1)'!$B$10,'Paramètres (1)'!$A$1:$I$88,5,0)</f>
        <v>#REF!</v>
      </c>
      <c r="AK28" s="130" t="str">
        <f t="shared" si="114"/>
        <v>#REF!</v>
      </c>
      <c r="AL28" s="141" t="str">
        <f t="shared" si="19"/>
        <v>#REF!</v>
      </c>
      <c r="AM28" s="133" t="str">
        <f t="shared" si="20"/>
        <v>#REF!</v>
      </c>
      <c r="AN28" s="133" t="str">
        <f t="shared" si="21"/>
        <v>#REF!</v>
      </c>
      <c r="AO28" s="133" t="str">
        <f t="shared" si="115"/>
        <v>#REF!</v>
      </c>
      <c r="AP28" s="134" t="str">
        <f t="shared" si="22"/>
        <v>#REF!</v>
      </c>
      <c r="AQ28" s="134" t="str">
        <f t="shared" si="23"/>
        <v>#REF!</v>
      </c>
      <c r="AR28" s="135" t="str">
        <f>IF(ISNA(VLOOKUP(A28,'Données projet (1)'!$A$61:$I$81,5,0)),0%,VLOOKUP(A28,'Données projet (1)'!$A$61:$I$81,5,0)*VLOOKUP('Données projet (1)'!$B$10,'Paramètres (1)'!$A$1:$I$88,7,0))</f>
        <v>#REF!</v>
      </c>
      <c r="AS28" s="135" t="str">
        <f>IF(ISNA(VLOOKUP(A28,'Données projet (1)'!$A$61:$I$81,6,0)),0%,VLOOKUP(A28,'Données projet (1)'!$A$61:$I$81,6,0)*VLOOKUP('Données projet (1)'!$B$10,'Paramètres (1)'!$A$1:$I$88,7,0))</f>
        <v>#REF!</v>
      </c>
      <c r="AT28" s="135" t="str">
        <f t="shared" si="24"/>
        <v>#REF!</v>
      </c>
      <c r="AU28" s="142" t="str">
        <f>EXP(-LN(2)/35)*AU27+(1-EXP(-LN(2)/35))/(LN(2)/35)*AQ28*AR28*VLOOKUP('Données projet (1)'!$B$10,'Paramètres (1)'!$A$1:$I$88,3,0)*0.475*44/12</f>
        <v>#REF!</v>
      </c>
      <c r="AV28" s="142" t="str">
        <f>EXP(-LN(2)/25)*AV27+(1-EXP(-LN(2)/25))/(LN(2)/25)*'Calculateur (1)'!AQ28*'Calculateur (1)'!AS28*VLOOKUP('Données projet (1)'!$B$10,'Paramètres (1)'!$A$1:$I$88,3,0)*0.475*44/12</f>
        <v>#REF!</v>
      </c>
      <c r="AW28" s="142" t="str">
        <f>EXP(-LN(2)/2)*AW27+(1-EXP(-LN(2)/2))/(LN(2)/2)*AQ28*AT28*VLOOKUP('Données projet (1)'!$B$10,'Paramètres (1)'!$A$1:$I$88,3,0)*0.475*44/12</f>
        <v>#REF!</v>
      </c>
      <c r="AX28" s="142" t="str">
        <f t="shared" si="25"/>
        <v>#REF!</v>
      </c>
      <c r="AY28" s="137" t="str">
        <f t="shared" si="26"/>
        <v>#REF!</v>
      </c>
      <c r="AZ28" s="131" t="str">
        <f t="shared" si="27"/>
        <v>#REF!</v>
      </c>
      <c r="BA28" s="131" t="str">
        <f t="shared" si="116"/>
        <v>#REF!</v>
      </c>
      <c r="BB28" s="131" t="str">
        <f t="shared" si="28"/>
        <v>#REF!</v>
      </c>
      <c r="BC28" s="131" t="str">
        <f t="array" ref="BC28">INDEX(BB:BB,MIN(IF(ISNUMBER(BB28:BB224),ROW(BB28:BB224),"")))</f>
        <v/>
      </c>
      <c r="BD28" s="131" t="str">
        <f t="shared" si="117"/>
        <v>#REF!</v>
      </c>
      <c r="BE28" s="130" t="str">
        <f>BD28*VLOOKUP('Données projet (1)'!$B$11,'Paramètres (1)'!$A$1:$I$88,3,0)*VLOOKUP('Données projet (1)'!$B$11,'Paramètres (1)'!$A$1:$I$88,5,0)</f>
        <v>#REF!</v>
      </c>
      <c r="BF28" s="130" t="str">
        <f t="shared" si="118"/>
        <v>#REF!</v>
      </c>
      <c r="BG28" s="141" t="str">
        <f t="shared" si="29"/>
        <v>#REF!</v>
      </c>
      <c r="BH28" s="133" t="str">
        <f t="shared" si="30"/>
        <v>#REF!</v>
      </c>
      <c r="BI28" s="133" t="str">
        <f t="shared" si="31"/>
        <v>#REF!</v>
      </c>
      <c r="BJ28" s="133" t="str">
        <f t="shared" si="119"/>
        <v>#REF!</v>
      </c>
      <c r="BK28" s="134" t="str">
        <f t="shared" si="32"/>
        <v>#REF!</v>
      </c>
      <c r="BL28" s="134" t="str">
        <f t="shared" si="33"/>
        <v>#REF!</v>
      </c>
      <c r="BM28" s="135" t="str">
        <f>IF(ISNA(VLOOKUP(A28,'Données projet (1)'!$A$87:$I$107,5,0)),0%,VLOOKUP(A28,'Données projet (1)'!$A$87:$I$107,5,0)*VLOOKUP('Données projet (1)'!$B$11,'Paramètres (1)'!$A$1:$I$88,7,0))</f>
        <v>#REF!</v>
      </c>
      <c r="BN28" s="135" t="str">
        <f>IF(ISNA(VLOOKUP(A28,'Données projet (1)'!$A$87:$I$107,6,0)),0%,VLOOKUP(A28,'Données projet (1)'!$A$87:$I$107,6,0)*VLOOKUP('Données projet (1)'!$B$11,'Paramètres (1)'!$A$1:$I$88,7,0))</f>
        <v>#REF!</v>
      </c>
      <c r="BO28" s="135" t="str">
        <f t="shared" si="34"/>
        <v>#REF!</v>
      </c>
      <c r="BP28" s="142" t="str">
        <f>EXP(-LN(2)/35)*BP27+(1-EXP(-LN(2)/35))/(LN(2)/35)*BL28*BM28*VLOOKUP('Données projet (1)'!$B$11,'Paramètres (1)'!$A$1:$I$88,3,0)*0.475*44/12</f>
        <v>#REF!</v>
      </c>
      <c r="BQ28" s="142" t="str">
        <f>EXP(-LN(2)/25)*BQ27+(1-EXP(-LN(2)/25))/(LN(2)/25)*'Calculateur (1)'!BL28*'Calculateur (1)'!BN28*VLOOKUP('Données projet (1)'!$B$11,'Paramètres (1)'!$A$1:$I$88,3,0)*0.475*44/12</f>
        <v>#REF!</v>
      </c>
      <c r="BR28" s="142" t="str">
        <f>EXP(-LN(2)/2)*BR27+(1-EXP(-LN(2)/2))/(LN(2)/2)*BL28*BO28*VLOOKUP('Données projet (1)'!$B$11,'Paramètres (1)'!$A$1:$I$88,3,0)*0.475*44/12</f>
        <v>#REF!</v>
      </c>
      <c r="BS28" s="143" t="str">
        <f t="shared" si="35"/>
        <v>#REF!</v>
      </c>
      <c r="BT28" s="139" t="str">
        <f t="shared" si="36"/>
        <v>#REF!</v>
      </c>
      <c r="BU28" s="131" t="str">
        <f t="shared" si="37"/>
        <v>#REF!</v>
      </c>
      <c r="BV28" s="131" t="str">
        <f t="shared" si="120"/>
        <v>#REF!</v>
      </c>
      <c r="BW28" s="131" t="str">
        <f t="shared" si="38"/>
        <v>#REF!</v>
      </c>
      <c r="BX28" s="131" t="str">
        <f t="array" ref="BX28">INDEX(BW:BW,MIN(IF(ISNUMBER(BW28:BW224),ROW(BW28:BW224),"")))</f>
        <v/>
      </c>
      <c r="BY28" s="131" t="str">
        <f t="shared" si="121"/>
        <v>#REF!</v>
      </c>
      <c r="BZ28" s="130" t="str">
        <f>BY28*VLOOKUP('Données projet (1)'!$B$12,'Paramètres (1)'!$A$1:$I$88,3,0)*VLOOKUP('Données projet (1)'!$B$12,'Paramètres (1)'!$A$1:$I$88,5,0)</f>
        <v>#REF!</v>
      </c>
      <c r="CA28" s="130" t="str">
        <f t="shared" si="122"/>
        <v>#REF!</v>
      </c>
      <c r="CB28" s="141" t="str">
        <f t="shared" si="39"/>
        <v>#REF!</v>
      </c>
      <c r="CC28" s="133" t="str">
        <f t="shared" si="40"/>
        <v>#REF!</v>
      </c>
      <c r="CD28" s="133" t="str">
        <f t="shared" si="41"/>
        <v>#REF!</v>
      </c>
      <c r="CE28" s="133" t="str">
        <f t="shared" si="123"/>
        <v>#REF!</v>
      </c>
      <c r="CF28" s="134" t="str">
        <f t="shared" si="42"/>
        <v>#REF!</v>
      </c>
      <c r="CG28" s="134" t="str">
        <f t="shared" si="43"/>
        <v>#REF!</v>
      </c>
      <c r="CH28" s="135" t="str">
        <f>IF(ISNA(VLOOKUP(A28,'Données projet (1)'!$A$113:$I$133,5,0)),0%,VLOOKUP(A28,'Données projet (1)'!$A$113:$I$133,5,0)*VLOOKUP('Données projet (1)'!$B$12,'Paramètres (1)'!$A$1:$I$88,7,0))</f>
        <v>#REF!</v>
      </c>
      <c r="CI28" s="135" t="str">
        <f>IF(ISNA(VLOOKUP(A28,'Données projet (1)'!$A$113:$I$133,6,0)),0%,VLOOKUP(A28,'Données projet (1)'!$A$113:$I$133,6,0)*VLOOKUP('Données projet (1)'!$B$12,'Paramètres (1)'!$A$1:$I$88,7,0))</f>
        <v>#REF!</v>
      </c>
      <c r="CJ28" s="135" t="str">
        <f t="shared" si="44"/>
        <v>#REF!</v>
      </c>
      <c r="CK28" s="142" t="str">
        <f>EXP(-LN(2)/35)*CK27+(1-EXP(-LN(2)/35))/(LN(2)/35)*CG28*CH28*VLOOKUP('Données projet (1)'!$B$12,'Paramètres (1)'!$A$1:$I$88,3,0)*0.475*44/12</f>
        <v>#REF!</v>
      </c>
      <c r="CL28" s="142" t="str">
        <f>EXP(-LN(2)/25)*CL27+(1-EXP(-LN(2)/25))/(LN(2)/25)*'Calculateur (1)'!CG28*'Calculateur (1)'!CI28*VLOOKUP('Données projet (1)'!$B$12,'Paramètres (1)'!$A$1:$I$88,3,0)*0.475*44/12</f>
        <v>#REF!</v>
      </c>
      <c r="CM28" s="142" t="str">
        <f>EXP(-LN(2)/2)*CM27+(1-EXP(-LN(2)/2))/(LN(2)/2)*CG28*CJ28*VLOOKUP('Données projet (1)'!$B$12,'Paramètres (1)'!$A$1:$I$88,3,0)*0.475*44/12</f>
        <v>#REF!</v>
      </c>
      <c r="CN28" s="143" t="str">
        <f t="shared" si="45"/>
        <v>#REF!</v>
      </c>
      <c r="CO28" s="139" t="str">
        <f t="shared" si="46"/>
        <v>#REF!</v>
      </c>
      <c r="CP28" s="131" t="str">
        <f t="shared" si="47"/>
        <v>#REF!</v>
      </c>
      <c r="CQ28" s="131" t="str">
        <f t="shared" si="124"/>
        <v>#REF!</v>
      </c>
      <c r="CR28" s="131" t="str">
        <f t="shared" si="48"/>
        <v>#REF!</v>
      </c>
      <c r="CS28" s="131" t="str">
        <f t="array" ref="CS28">INDEX(CR:CR,MIN(IF(ISNUMBER(CR28:CR224),ROW(CR28:CR224),"")))</f>
        <v/>
      </c>
      <c r="CT28" s="131" t="str">
        <f t="shared" si="125"/>
        <v>#REF!</v>
      </c>
      <c r="CU28" s="138" t="str">
        <f>CT28*VLOOKUP('Données projet (1)'!$B$13,'Paramètres (1)'!$A$1:$I$88,3,0)*VLOOKUP('Données projet (1)'!$B$13,'Paramètres (1)'!$A$1:$I$88,5,0)</f>
        <v>#REF!</v>
      </c>
      <c r="CV28" s="130" t="str">
        <f t="shared" si="126"/>
        <v>#REF!</v>
      </c>
      <c r="CW28" s="141" t="str">
        <f t="shared" si="49"/>
        <v>#REF!</v>
      </c>
      <c r="CX28" s="133" t="str">
        <f t="shared" si="50"/>
        <v>#REF!</v>
      </c>
      <c r="CY28" s="133" t="str">
        <f t="shared" si="51"/>
        <v>#REF!</v>
      </c>
      <c r="CZ28" s="133" t="str">
        <f t="shared" si="127"/>
        <v>#REF!</v>
      </c>
      <c r="DA28" s="134" t="str">
        <f t="shared" si="52"/>
        <v>#REF!</v>
      </c>
      <c r="DB28" s="134" t="str">
        <f t="shared" si="53"/>
        <v>#REF!</v>
      </c>
      <c r="DC28" s="135" t="str">
        <f>IF(ISNA(VLOOKUP(A28,'Données projet (1)'!$A$139:$I$159,5,0)),0%,VLOOKUP(A28,'Données projet (1)'!$A$139:$I$159,5,0)*VLOOKUP('Données projet (1)'!$B$13,'Paramètres (1)'!$A$1:$I$88,7,0))</f>
        <v>#REF!</v>
      </c>
      <c r="DD28" s="135" t="str">
        <f>IF(ISNA(VLOOKUP(A28,'Données projet (1)'!$A$139:$I$159,6,0)),0%,VLOOKUP(A28,'Données projet (1)'!$A$139:$I$159,6,0)*VLOOKUP('Données projet (1)'!$B$13,'Paramètres (1)'!$A$1:$I$88,7,0))</f>
        <v>#REF!</v>
      </c>
      <c r="DE28" s="135" t="str">
        <f t="shared" si="54"/>
        <v>#REF!</v>
      </c>
      <c r="DF28" s="142" t="str">
        <f>EXP(-LN(2)/35)*DF27+(1-EXP(-LN(2)/35))/(LN(2)/35)*DB28*DC28*VLOOKUP('Données projet (1)'!$B$13,'Paramètres (1)'!$A$1:$I$88,3,0)*0.475*44/12</f>
        <v>#REF!</v>
      </c>
      <c r="DG28" s="142" t="str">
        <f>EXP(-LN(2)/25)*DG27+(1-EXP(-LN(2)/25))/(LN(2)/25)*'Calculateur (1)'!DB28*'Calculateur (1)'!DD28*VLOOKUP('Données projet (1)'!$B$13,'Paramètres (1)'!$A$1:$I$88,3,0)*0.475*44/12</f>
        <v>#REF!</v>
      </c>
      <c r="DH28" s="142" t="str">
        <f>EXP(-LN(2)/2)*DH27+(1-EXP(-LN(2)/2))/(LN(2)/2)*DB28*DE28*VLOOKUP('Données projet (1)'!$B$13,'Paramètres (1)'!$A$1:$I$88,3,0)*0.475*44/12</f>
        <v>#REF!</v>
      </c>
      <c r="DI28" s="143" t="str">
        <f t="shared" si="55"/>
        <v>#REF!</v>
      </c>
      <c r="DJ28" s="139" t="str">
        <f t="shared" si="56"/>
        <v>#REF!</v>
      </c>
      <c r="DK28" s="131" t="str">
        <f t="shared" si="57"/>
        <v>#REF!</v>
      </c>
      <c r="DL28" s="131" t="str">
        <f t="shared" si="128"/>
        <v>#REF!</v>
      </c>
      <c r="DM28" s="131" t="str">
        <f t="shared" si="58"/>
        <v>#REF!</v>
      </c>
      <c r="DN28" s="131" t="str">
        <f t="array" ref="DN28">INDEX(DM:DM,MIN(IF(ISNUMBER(DM28:DM224),ROW(DM28:DM224),"")))</f>
        <v/>
      </c>
      <c r="DO28" s="131" t="str">
        <f t="shared" si="129"/>
        <v>#REF!</v>
      </c>
      <c r="DP28" s="138" t="str">
        <f>DO28*VLOOKUP('Données projet (1)'!$B$14,'Paramètres (1)'!$A$1:$I$88,3,0)*VLOOKUP('Données projet (1)'!$B$14,'Paramètres (1)'!$A$1:$I$88,5,0)</f>
        <v>#REF!</v>
      </c>
      <c r="DQ28" s="130" t="str">
        <f t="shared" si="130"/>
        <v>#REF!</v>
      </c>
      <c r="DR28" s="141" t="str">
        <f t="shared" si="59"/>
        <v>#REF!</v>
      </c>
      <c r="DS28" s="133" t="str">
        <f t="shared" si="60"/>
        <v>#REF!</v>
      </c>
      <c r="DT28" s="133" t="str">
        <f t="shared" si="61"/>
        <v>#REF!</v>
      </c>
      <c r="DU28" s="133" t="str">
        <f t="shared" si="131"/>
        <v>#REF!</v>
      </c>
      <c r="DV28" s="134" t="str">
        <f t="shared" si="62"/>
        <v>#REF!</v>
      </c>
      <c r="DW28" s="134" t="str">
        <f t="shared" si="63"/>
        <v>#REF!</v>
      </c>
      <c r="DX28" s="135" t="str">
        <f>IF(ISNA(VLOOKUP(A28,'Données projet (1)'!$A$165:$I$185,5,0)),0%,VLOOKUP(A28,'Données projet (1)'!$A$165:$I$185,5,0)*VLOOKUP('Données projet (1)'!$B$14,'Paramètres (1)'!$A$1:$I$88,7,0))</f>
        <v>#REF!</v>
      </c>
      <c r="DY28" s="135" t="str">
        <f>IF(ISNA(VLOOKUP(A28,'Données projet (1)'!$A$165:$I$185,6,0)),0%,VLOOKUP(A28,'Données projet (1)'!$A$165:$I$185,6,0)*VLOOKUP('Données projet (1)'!$B$14,'Paramètres (1)'!$A$1:$I$88,7,0))</f>
        <v>#REF!</v>
      </c>
      <c r="DZ28" s="135" t="str">
        <f t="shared" si="64"/>
        <v>#REF!</v>
      </c>
      <c r="EA28" s="142" t="str">
        <f>EXP(-LN(2)/35)*EA27+(1-EXP(-LN(2)/35))/(LN(2)/35)*DW28*DX28*VLOOKUP('Données projet (1)'!$B$14,'Paramètres (1)'!$A$1:$I$88,3,0)*0.475*44/12</f>
        <v>#REF!</v>
      </c>
      <c r="EB28" s="142" t="str">
        <f>EXP(-LN(2)/25)*EB27+(1-EXP(-LN(2)/25))/(LN(2)/25)*'Calculateur (1)'!DW28*'Calculateur (1)'!DY28*VLOOKUP('Données projet (1)'!$B$14,'Paramètres (1)'!$A$1:$I$88,3,0)*0.475*44/12</f>
        <v>#REF!</v>
      </c>
      <c r="EC28" s="142" t="str">
        <f>EXP(-LN(2)/2)*EC27+(1-EXP(-LN(2)/2))/(LN(2)/2)*DW28*DZ28*VLOOKUP('Données projet (1)'!$B$14,'Paramètres (1)'!$A$1:$I$88,3,0)*0.475*44/12</f>
        <v>#REF!</v>
      </c>
      <c r="ED28" s="143" t="str">
        <f t="shared" si="65"/>
        <v>#REF!</v>
      </c>
      <c r="EE28" s="139" t="str">
        <f t="shared" si="66"/>
        <v>#REF!</v>
      </c>
      <c r="EF28" s="131" t="str">
        <f t="shared" si="67"/>
        <v>#REF!</v>
      </c>
      <c r="EG28" s="131" t="str">
        <f t="shared" si="132"/>
        <v>#REF!</v>
      </c>
      <c r="EH28" s="131" t="str">
        <f t="shared" si="68"/>
        <v>#REF!</v>
      </c>
      <c r="EI28" s="131" t="str">
        <f t="array" ref="EI28">INDEX(EH:EH,MIN(IF(ISNUMBER(EH28:EH224),ROW(EH28:EH224),"")))</f>
        <v/>
      </c>
      <c r="EJ28" s="131" t="str">
        <f t="shared" si="133"/>
        <v>#REF!</v>
      </c>
      <c r="EK28" s="138" t="str">
        <f>EJ28*VLOOKUP('Données projet (1)'!$B$15,'Paramètres (1)'!$A$1:$I$88,3,0)*VLOOKUP('Données projet (1)'!$B$15,'Paramètres (1)'!$A$1:$I$88,5,0)</f>
        <v>#REF!</v>
      </c>
      <c r="EL28" s="130" t="str">
        <f t="shared" si="134"/>
        <v>#REF!</v>
      </c>
      <c r="EM28" s="141" t="str">
        <f t="shared" si="69"/>
        <v>#REF!</v>
      </c>
      <c r="EN28" s="133" t="str">
        <f t="shared" si="70"/>
        <v>#REF!</v>
      </c>
      <c r="EO28" s="133" t="str">
        <f t="shared" si="71"/>
        <v>#REF!</v>
      </c>
      <c r="EP28" s="133" t="str">
        <f t="shared" si="135"/>
        <v>#REF!</v>
      </c>
      <c r="EQ28" s="134" t="str">
        <f t="shared" si="72"/>
        <v>#REF!</v>
      </c>
      <c r="ER28" s="134" t="str">
        <f t="shared" si="73"/>
        <v>#REF!</v>
      </c>
      <c r="ES28" s="135" t="str">
        <f>IF(ISNA(VLOOKUP(A28,'Données projet (1)'!$A$191:$I$211,5,0)),0%,VLOOKUP(A28,'Données projet (1)'!$A$191:$I$211,5,0)*VLOOKUP('Données projet (1)'!$B$15,'Paramètres (1)'!$A$1:$I$88,7,0))</f>
        <v>#REF!</v>
      </c>
      <c r="ET28" s="135" t="str">
        <f>IF(ISNA(VLOOKUP(A28,'Données projet (1)'!$A$191:$I$211,6,0)),0%,VLOOKUP(A28,'Données projet (1)'!$A$191:$I$211,6,0)*VLOOKUP('Données projet (1)'!$B$15,'Paramètres (1)'!$A$1:$I$88,7,0))</f>
        <v>#REF!</v>
      </c>
      <c r="EU28" s="135" t="str">
        <f t="shared" si="74"/>
        <v>#REF!</v>
      </c>
      <c r="EV28" s="142" t="str">
        <f>EXP(-LN(2)/35)*EV27+(1-EXP(-LN(2)/35))/(LN(2)/35)*ER28*ES28*VLOOKUP('Données projet (1)'!$B$15,'Paramètres (1)'!$A$1:$I$88,3,0)*0.475*44/12</f>
        <v>#REF!</v>
      </c>
      <c r="EW28" s="142" t="str">
        <f>EXP(-LN(2)/25)*EW27+(1-EXP(-LN(2)/25))/(LN(2)/25)*'Calculateur (1)'!ER28*'Calculateur (1)'!ET28*VLOOKUP('Données projet (1)'!$B$15,'Paramètres (1)'!$A$1:$I$88,3,0)*0.475*44/12</f>
        <v>#REF!</v>
      </c>
      <c r="EX28" s="142" t="str">
        <f>EXP(-LN(2)/2)*EX27+(1-EXP(-LN(2)/2))/(LN(2)/2)*ER28*EU28*VLOOKUP('Données projet (1)'!$B$15,'Paramètres (1)'!$A$1:$I$88,3,0)*0.475*44/12</f>
        <v>#REF!</v>
      </c>
      <c r="EY28" s="143" t="str">
        <f t="shared" si="75"/>
        <v>#REF!</v>
      </c>
      <c r="EZ28" s="139" t="str">
        <f t="shared" si="76"/>
        <v>#REF!</v>
      </c>
      <c r="FA28" s="131" t="str">
        <f t="shared" si="77"/>
        <v>#REF!</v>
      </c>
      <c r="FB28" s="131" t="str">
        <f t="shared" si="136"/>
        <v>#REF!</v>
      </c>
      <c r="FC28" s="131" t="str">
        <f t="shared" si="78"/>
        <v>#REF!</v>
      </c>
      <c r="FD28" s="131" t="str">
        <f t="array" ref="FD28">INDEX(FC:FC,MIN(IF(ISNUMBER(FC28:FC224),ROW(FC28:FC224),"")))</f>
        <v/>
      </c>
      <c r="FE28" s="131" t="str">
        <f t="shared" si="137"/>
        <v>#REF!</v>
      </c>
      <c r="FF28" s="138" t="str">
        <f>FE28*VLOOKUP('Données projet (1)'!$B$16,'Paramètres (1)'!$A$1:$I$88,3,0)*VLOOKUP('Données projet (1)'!$B$16,'Paramètres (1)'!$A$1:$I$88,5,0)</f>
        <v>#REF!</v>
      </c>
      <c r="FG28" s="130" t="str">
        <f t="shared" si="138"/>
        <v>#REF!</v>
      </c>
      <c r="FH28" s="141" t="str">
        <f t="shared" si="79"/>
        <v>#REF!</v>
      </c>
      <c r="FI28" s="133" t="str">
        <f t="shared" si="80"/>
        <v>#REF!</v>
      </c>
      <c r="FJ28" s="133" t="str">
        <f t="shared" si="81"/>
        <v>#REF!</v>
      </c>
      <c r="FK28" s="133" t="str">
        <f t="shared" si="139"/>
        <v>#REF!</v>
      </c>
      <c r="FL28" s="134" t="str">
        <f t="shared" si="82"/>
        <v>#REF!</v>
      </c>
      <c r="FM28" s="134" t="str">
        <f t="shared" si="83"/>
        <v>#REF!</v>
      </c>
      <c r="FN28" s="135" t="str">
        <f>IF(ISNA(VLOOKUP(A28,'Données projet (1)'!$A$217:$I$237,5,0)),0%,VLOOKUP(A28,'Données projet (1)'!$A$217:$I$237,5,0)*VLOOKUP('Données projet (1)'!$B$16,'Paramètres (1)'!$A$1:$I$88,7,0))</f>
        <v>#REF!</v>
      </c>
      <c r="FO28" s="135" t="str">
        <f>IF(ISNA(VLOOKUP(A28,'Données projet (1)'!$A$217:$I$237,6,0)),0%,VLOOKUP(A28,'Données projet (1)'!$A$217:$I$237,6,0)*VLOOKUP('Données projet (1)'!$B$16,'Paramètres (1)'!$A$1:$I$88,7,0))</f>
        <v>#REF!</v>
      </c>
      <c r="FP28" s="135" t="str">
        <f t="shared" si="84"/>
        <v>#REF!</v>
      </c>
      <c r="FQ28" s="142" t="str">
        <f>EXP(-LN(2)/35)*FQ27+(1-EXP(-LN(2)/35))/(LN(2)/35)*FM28*FN28*VLOOKUP('Données projet (1)'!$B$16,'Paramètres (1)'!$A$1:$I$88,3,0)*0.475*44/12</f>
        <v>#REF!</v>
      </c>
      <c r="FR28" s="142" t="str">
        <f>EXP(-LN(2)/25)*FR27+(1-EXP(-LN(2)/25))/(LN(2)/25)*'Calculateur (1)'!FM28*'Calculateur (1)'!FO28*VLOOKUP('Données projet (1)'!$B$16,'Paramètres (1)'!$A$1:$I$88,3,0)*0.475*44/12</f>
        <v>#REF!</v>
      </c>
      <c r="FS28" s="142" t="str">
        <f>EXP(-LN(2)/2)*FS27+(1-EXP(-LN(2)/2))/(LN(2)/2)*FM28*FP28*VLOOKUP('Données projet (1)'!$B$16,'Paramètres (1)'!$A$1:$I$88,3,0)*0.475*44/12</f>
        <v>#REF!</v>
      </c>
      <c r="FT28" s="143" t="str">
        <f t="shared" si="85"/>
        <v>#REF!</v>
      </c>
      <c r="FU28" s="139" t="str">
        <f t="shared" si="86"/>
        <v>#REF!</v>
      </c>
      <c r="FV28" s="131" t="str">
        <f t="shared" si="87"/>
        <v>#REF!</v>
      </c>
      <c r="FW28" s="131" t="str">
        <f t="shared" si="140"/>
        <v>#REF!</v>
      </c>
      <c r="FX28" s="131" t="str">
        <f t="shared" si="88"/>
        <v>#REF!</v>
      </c>
      <c r="FY28" s="131" t="str">
        <f t="array" ref="FY28">INDEX(FX:FX,MIN(IF(ISNUMBER(FX28:FX224),ROW(FX28:FX224),"")))</f>
        <v/>
      </c>
      <c r="FZ28" s="131" t="str">
        <f t="shared" si="141"/>
        <v>#REF!</v>
      </c>
      <c r="GA28" s="138" t="str">
        <f>FZ28*VLOOKUP('Données projet (1)'!$B$17,'Paramètres (1)'!$A$1:$I$88,3,0)*VLOOKUP('Données projet (1)'!$B$17,'Paramètres (1)'!$A$1:$I$88,5,0)</f>
        <v>#REF!</v>
      </c>
      <c r="GB28" s="130" t="str">
        <f t="shared" si="142"/>
        <v>#REF!</v>
      </c>
      <c r="GC28" s="141" t="str">
        <f t="shared" si="89"/>
        <v>#REF!</v>
      </c>
      <c r="GD28" s="133" t="str">
        <f t="shared" si="90"/>
        <v>#REF!</v>
      </c>
      <c r="GE28" s="133" t="str">
        <f t="shared" si="91"/>
        <v>#REF!</v>
      </c>
      <c r="GF28" s="133" t="str">
        <f t="shared" si="143"/>
        <v>#REF!</v>
      </c>
      <c r="GG28" s="134" t="str">
        <f t="shared" si="92"/>
        <v>#REF!</v>
      </c>
      <c r="GH28" s="134" t="str">
        <f t="shared" si="93"/>
        <v>#REF!</v>
      </c>
      <c r="GI28" s="135" t="str">
        <f>IF(ISNA(VLOOKUP(A28,'Données projet (1)'!$A$243:$I$263,5,0)),0%,VLOOKUP(A28,'Données projet (1)'!$A$243:$I$263,5,0)*VLOOKUP('Données projet (1)'!$B$17,'Paramètres (1)'!$A$1:$I$88,7,0))</f>
        <v>#REF!</v>
      </c>
      <c r="GJ28" s="135" t="str">
        <f>IF(ISNA(VLOOKUP(A28,'Données projet (1)'!$A$243:$I$263,6,0)),0%,VLOOKUP(A28,'Données projet (1)'!$A$243:$I$263,6,0)*VLOOKUP('Données projet (1)'!$B$17,'Paramètres (1)'!$A$1:$I$88,7,0))</f>
        <v>#REF!</v>
      </c>
      <c r="GK28" s="135" t="str">
        <f t="shared" si="94"/>
        <v>#REF!</v>
      </c>
      <c r="GL28" s="142" t="str">
        <f>EXP(-LN(2)/35)*GL27+(1-EXP(-LN(2)/35))/(LN(2)/35)*GH28*GI28*VLOOKUP('Données projet (1)'!$B$17,'Paramètres (1)'!$A$1:$I$88,3,0)*0.475*44/12</f>
        <v>#REF!</v>
      </c>
      <c r="GM28" s="142" t="str">
        <f>EXP(-LN(2)/25)*GM27+(1-EXP(-LN(2)/25))/(LN(2)/25)*'Calculateur (1)'!GH28*'Calculateur (1)'!GJ28*VLOOKUP('Données projet (1)'!$B$17,'Paramètres (1)'!$A$1:$I$88,3,0)*0.475*44/12</f>
        <v>#REF!</v>
      </c>
      <c r="GN28" s="142" t="str">
        <f>EXP(-LN(2)/2)*GN27+(1-EXP(-LN(2)/2))/(LN(2)/2)*GH28*GK28*VLOOKUP('Données projet (1)'!$B$17,'Paramètres (1)'!$A$1:$I$88,3,0)*0.475*44/12</f>
        <v>#REF!</v>
      </c>
      <c r="GO28" s="142" t="str">
        <f t="shared" si="95"/>
        <v>#REF!</v>
      </c>
      <c r="GP28" s="139" t="str">
        <f t="shared" si="96"/>
        <v>#REF!</v>
      </c>
      <c r="GQ28" s="131" t="str">
        <f t="shared" si="97"/>
        <v>#REF!</v>
      </c>
      <c r="GR28" s="131" t="str">
        <f t="shared" si="144"/>
        <v>#REF!</v>
      </c>
      <c r="GS28" s="131" t="str">
        <f t="shared" si="98"/>
        <v>#REF!</v>
      </c>
      <c r="GT28" s="131" t="str">
        <f t="array" ref="GT28">INDEX(GS:GS,MIN(IF(ISNUMBER(GS28:GS224),ROW(GS28:GS224),"")))</f>
        <v/>
      </c>
      <c r="GU28" s="131" t="str">
        <f t="shared" si="145"/>
        <v>#REF!</v>
      </c>
      <c r="GV28" s="138" t="str">
        <f>GU28*VLOOKUP('Données projet (1)'!$B$18,'Paramètres (1)'!$A$1:$I$88,3,0)*VLOOKUP('Données projet (1)'!$B$18,'Paramètres (1)'!$A$1:$I$88,5,0)</f>
        <v>#REF!</v>
      </c>
      <c r="GW28" s="130" t="str">
        <f t="shared" si="146"/>
        <v>#REF!</v>
      </c>
      <c r="GX28" s="141" t="str">
        <f t="shared" si="99"/>
        <v>#REF!</v>
      </c>
      <c r="GY28" s="133" t="str">
        <f t="shared" si="100"/>
        <v>#REF!</v>
      </c>
      <c r="GZ28" s="133" t="str">
        <f t="shared" si="101"/>
        <v>#REF!</v>
      </c>
      <c r="HA28" s="133" t="str">
        <f t="shared" si="147"/>
        <v>#REF!</v>
      </c>
      <c r="HB28" s="134" t="str">
        <f t="shared" si="102"/>
        <v>#REF!</v>
      </c>
      <c r="HC28" s="134" t="str">
        <f t="shared" si="103"/>
        <v>#REF!</v>
      </c>
      <c r="HD28" s="135" t="str">
        <f>IF(ISNA(VLOOKUP(A28,'Données projet (1)'!$A$269:$I$289,5,0)),0%,VLOOKUP(A28,'Données projet (1)'!$A$269:$I$289,5,0)*VLOOKUP('Données projet (1)'!$B$18,'Paramètres (1)'!$A$1:$I$88,7,0))</f>
        <v>#REF!</v>
      </c>
      <c r="HE28" s="135" t="str">
        <f>IF(ISNA(VLOOKUP(A28,'Données projet (1)'!$A$269:$I$289,6,0)),0%,VLOOKUP(A28,'Données projet (1)'!$A$269:$I$289,6,0)*VLOOKUP('Données projet (1)'!$B$18,'Paramètres (1)'!$A$1:$I$88,7,0))</f>
        <v>#REF!</v>
      </c>
      <c r="HF28" s="135" t="str">
        <f t="shared" si="104"/>
        <v>#REF!</v>
      </c>
      <c r="HG28" s="142" t="str">
        <f>EXP(-LN(2)/35)*HG27+(1-EXP(-LN(2)/35))/(LN(2)/35)*HC28*HD28*VLOOKUP('Données projet (1)'!$B$18,'Paramètres (1)'!$A$1:$I$88,3,0)*0.475*44/12</f>
        <v>#REF!</v>
      </c>
      <c r="HH28" s="142" t="str">
        <f>EXP(-LN(2)/25)*HH27+(1-EXP(-LN(2)/25))/(LN(2)/25)*'Calculateur (1)'!HC28*'Calculateur (1)'!HE28*VLOOKUP('Données projet (1)'!$B$18,'Paramètres (1)'!$A$1:$I$88,3,0)*0.475*44/12</f>
        <v>#REF!</v>
      </c>
      <c r="HI28" s="142" t="str">
        <f>EXP(-LN(2)/2)*HI27+(1-EXP(-LN(2)/2))/(LN(2)/2)*HC28*HF28*VLOOKUP('Données projet (1)'!$B$18,'Paramètres (1)'!$A$1:$I$88,3,0)*0.475*44/12</f>
        <v>#REF!</v>
      </c>
      <c r="HJ28" s="143" t="str">
        <f t="shared" si="105"/>
        <v>#REF!</v>
      </c>
    </row>
    <row r="29" ht="14.25" customHeight="1">
      <c r="A29" s="125">
        <f t="shared" si="106"/>
        <v>26</v>
      </c>
      <c r="B29" s="126" t="str">
        <f t="shared" si="1"/>
        <v>#REF!</v>
      </c>
      <c r="C29" s="140" t="str">
        <f>'Calculateur (1)'!C28+'Scénario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9" s="127">
        <f t="shared" si="107"/>
        <v>0</v>
      </c>
      <c r="E29" s="127" t="str">
        <f t="shared" si="2"/>
        <v>#REF!</v>
      </c>
      <c r="F29" s="127" t="str">
        <f t="shared" si="3"/>
        <v>#REF!</v>
      </c>
      <c r="G29" s="127" t="str">
        <f t="shared" si="4"/>
        <v>#REF!</v>
      </c>
      <c r="H29" s="128" t="str">
        <f t="shared" si="5"/>
        <v>#REF!</v>
      </c>
      <c r="I29" s="129" t="str">
        <f t="shared" si="6"/>
        <v>#REF!</v>
      </c>
      <c r="J29" s="130" t="str">
        <f t="shared" si="7"/>
        <v>#REF!</v>
      </c>
      <c r="K29" s="131" t="str">
        <f t="shared" si="108"/>
        <v>#REF!</v>
      </c>
      <c r="L29" s="131" t="str">
        <f t="shared" si="8"/>
        <v>#REF!</v>
      </c>
      <c r="M29" s="131" t="str">
        <f t="array" ref="M29">INDEX(L:L,MIN(IF(ISNUMBER(L29:L225),ROW(L29:L225),"")))</f>
        <v/>
      </c>
      <c r="N29" s="130" t="str">
        <f t="shared" si="109"/>
        <v>#REF!</v>
      </c>
      <c r="O29" s="130" t="str">
        <f>N29*VLOOKUP('Données projet (1)'!$B$9,'Paramètres (1)'!$A$1:$I$88,3,0)*VLOOKUP('Données projet (1)'!$B$9,'Paramètres (1)'!$A$1:$I$88,5,0)</f>
        <v>#REF!</v>
      </c>
      <c r="P29" s="130" t="str">
        <f t="shared" si="110"/>
        <v>#REF!</v>
      </c>
      <c r="Q29" s="141" t="str">
        <f t="shared" si="9"/>
        <v>#REF!</v>
      </c>
      <c r="R29" s="133" t="str">
        <f t="shared" si="10"/>
        <v>#REF!</v>
      </c>
      <c r="S29" s="133" t="str">
        <f t="shared" si="11"/>
        <v>#REF!</v>
      </c>
      <c r="T29" s="133" t="str">
        <f t="shared" si="111"/>
        <v>#REF!</v>
      </c>
      <c r="U29" s="134" t="str">
        <f t="shared" si="12"/>
        <v>#REF!</v>
      </c>
      <c r="V29" s="134" t="str">
        <f t="shared" si="13"/>
        <v>#REF!</v>
      </c>
      <c r="W29" s="135" t="str">
        <f>IF(ISNA(VLOOKUP(A29,'Données projet (1)'!$A$35:$I$55,5,0)),0%,VLOOKUP(A29,'Données projet (1)'!$A$35:$I$55,5,0)*VLOOKUP('Données projet (1)'!$B$9,'Paramètres (1)'!$A$1:$I$88,7,0))</f>
        <v>#REF!</v>
      </c>
      <c r="X29" s="135" t="str">
        <f>IF(ISNA(VLOOKUP(A29,'Données projet (1)'!$A$35:$I$55,6,0)),0%,VLOOKUP(A29,'Données projet (1)'!$A$35:$I$55,6,0)*VLOOKUP('Données projet (1)'!$B$9,'Paramètres (1)'!$A$1:$I$88,7,0))</f>
        <v>#REF!</v>
      </c>
      <c r="Y29" s="135" t="str">
        <f t="shared" si="14"/>
        <v>#REF!</v>
      </c>
      <c r="Z29" s="142" t="str">
        <f>EXP(-LN(2)/35)*Z28+(1-EXP(-LN(2)/35))/(LN(2)/35)*V29*W29*VLOOKUP('Données projet (1)'!$B$9,'Paramètres (1)'!$A$1:$I$88,3,0)*0.475*44/12</f>
        <v>#REF!</v>
      </c>
      <c r="AA29" s="142" t="str">
        <f>EXP(-LN(2)/25)*AA28+(1-EXP(-LN(2)/25))/(LN(2)/25)*'Calculateur (1)'!V29*'Calculateur (1)'!X29*VLOOKUP('Données projet (1)'!$B$9,'Paramètres (1)'!$A$1:$I$88,3,0)*0.475*44/12</f>
        <v>#REF!</v>
      </c>
      <c r="AB29" s="142" t="str">
        <f>EXP(-LN(2)/2)*AB28+(1-EXP(-LN(2)/2))/(LN(2)/2)*V29*Y29*VLOOKUP('Données projet (1)'!$B$9,'Paramètres (1)'!$A$1:$I$88,3,0)*0.475*44/12</f>
        <v>#REF!</v>
      </c>
      <c r="AC29" s="143" t="str">
        <f t="shared" si="15"/>
        <v>#REF!</v>
      </c>
      <c r="AD29" s="130" t="str">
        <f t="shared" si="16"/>
        <v>#REF!</v>
      </c>
      <c r="AE29" s="130" t="str">
        <f t="shared" si="17"/>
        <v>#REF!</v>
      </c>
      <c r="AF29" s="131" t="str">
        <f t="shared" si="112"/>
        <v>#REF!</v>
      </c>
      <c r="AG29" s="131" t="str">
        <f t="shared" si="18"/>
        <v>#REF!</v>
      </c>
      <c r="AH29" s="131" t="str">
        <f t="array" ref="AH29">INDEX(AG:AG,MIN(IF(ISNUMBER(AG29:AG225),ROW(AG29:AG225),"")))</f>
        <v/>
      </c>
      <c r="AI29" s="130" t="str">
        <f t="shared" si="113"/>
        <v>#REF!</v>
      </c>
      <c r="AJ29" s="130" t="str">
        <f>AI29*VLOOKUP('Données projet (1)'!$B$10,'Paramètres (1)'!$A$1:$I$88,3,0)*VLOOKUP('Données projet (1)'!$B$10,'Paramètres (1)'!$A$1:$I$88,5,0)</f>
        <v>#REF!</v>
      </c>
      <c r="AK29" s="130" t="str">
        <f t="shared" si="114"/>
        <v>#REF!</v>
      </c>
      <c r="AL29" s="141" t="str">
        <f t="shared" si="19"/>
        <v>#REF!</v>
      </c>
      <c r="AM29" s="133" t="str">
        <f t="shared" si="20"/>
        <v>#REF!</v>
      </c>
      <c r="AN29" s="133" t="str">
        <f t="shared" si="21"/>
        <v>#REF!</v>
      </c>
      <c r="AO29" s="133" t="str">
        <f t="shared" si="115"/>
        <v>#REF!</v>
      </c>
      <c r="AP29" s="134" t="str">
        <f t="shared" si="22"/>
        <v>#REF!</v>
      </c>
      <c r="AQ29" s="134" t="str">
        <f t="shared" si="23"/>
        <v>#REF!</v>
      </c>
      <c r="AR29" s="135" t="str">
        <f>IF(ISNA(VLOOKUP(A29,'Données projet (1)'!$A$61:$I$81,5,0)),0%,VLOOKUP(A29,'Données projet (1)'!$A$61:$I$81,5,0)*VLOOKUP('Données projet (1)'!$B$10,'Paramètres (1)'!$A$1:$I$88,7,0))</f>
        <v>#REF!</v>
      </c>
      <c r="AS29" s="135" t="str">
        <f>IF(ISNA(VLOOKUP(A29,'Données projet (1)'!$A$61:$I$81,6,0)),0%,VLOOKUP(A29,'Données projet (1)'!$A$61:$I$81,6,0)*VLOOKUP('Données projet (1)'!$B$10,'Paramètres (1)'!$A$1:$I$88,7,0))</f>
        <v>#REF!</v>
      </c>
      <c r="AT29" s="135" t="str">
        <f t="shared" si="24"/>
        <v>#REF!</v>
      </c>
      <c r="AU29" s="142" t="str">
        <f>EXP(-LN(2)/35)*AU28+(1-EXP(-LN(2)/35))/(LN(2)/35)*AQ29*AR29*VLOOKUP('Données projet (1)'!$B$10,'Paramètres (1)'!$A$1:$I$88,3,0)*0.475*44/12</f>
        <v>#REF!</v>
      </c>
      <c r="AV29" s="142" t="str">
        <f>EXP(-LN(2)/25)*AV28+(1-EXP(-LN(2)/25))/(LN(2)/25)*'Calculateur (1)'!AQ29*'Calculateur (1)'!AS29*VLOOKUP('Données projet (1)'!$B$10,'Paramètres (1)'!$A$1:$I$88,3,0)*0.475*44/12</f>
        <v>#REF!</v>
      </c>
      <c r="AW29" s="142" t="str">
        <f>EXP(-LN(2)/2)*AW28+(1-EXP(-LN(2)/2))/(LN(2)/2)*AQ29*AT29*VLOOKUP('Données projet (1)'!$B$10,'Paramètres (1)'!$A$1:$I$88,3,0)*0.475*44/12</f>
        <v>#REF!</v>
      </c>
      <c r="AX29" s="142" t="str">
        <f t="shared" si="25"/>
        <v>#REF!</v>
      </c>
      <c r="AY29" s="137" t="str">
        <f t="shared" si="26"/>
        <v>#REF!</v>
      </c>
      <c r="AZ29" s="131" t="str">
        <f t="shared" si="27"/>
        <v>#REF!</v>
      </c>
      <c r="BA29" s="131" t="str">
        <f t="shared" si="116"/>
        <v>#REF!</v>
      </c>
      <c r="BB29" s="131" t="str">
        <f t="shared" si="28"/>
        <v>#REF!</v>
      </c>
      <c r="BC29" s="131" t="str">
        <f t="array" ref="BC29">INDEX(BB:BB,MIN(IF(ISNUMBER(BB29:BB225),ROW(BB29:BB225),"")))</f>
        <v/>
      </c>
      <c r="BD29" s="131" t="str">
        <f t="shared" si="117"/>
        <v>#REF!</v>
      </c>
      <c r="BE29" s="130" t="str">
        <f>BD29*VLOOKUP('Données projet (1)'!$B$11,'Paramètres (1)'!$A$1:$I$88,3,0)*VLOOKUP('Données projet (1)'!$B$11,'Paramètres (1)'!$A$1:$I$88,5,0)</f>
        <v>#REF!</v>
      </c>
      <c r="BF29" s="130" t="str">
        <f t="shared" si="118"/>
        <v>#REF!</v>
      </c>
      <c r="BG29" s="141" t="str">
        <f t="shared" si="29"/>
        <v>#REF!</v>
      </c>
      <c r="BH29" s="133" t="str">
        <f t="shared" si="30"/>
        <v>#REF!</v>
      </c>
      <c r="BI29" s="133" t="str">
        <f t="shared" si="31"/>
        <v>#REF!</v>
      </c>
      <c r="BJ29" s="133" t="str">
        <f t="shared" si="119"/>
        <v>#REF!</v>
      </c>
      <c r="BK29" s="134" t="str">
        <f t="shared" si="32"/>
        <v>#REF!</v>
      </c>
      <c r="BL29" s="134" t="str">
        <f t="shared" si="33"/>
        <v>#REF!</v>
      </c>
      <c r="BM29" s="135" t="str">
        <f>IF(ISNA(VLOOKUP(A29,'Données projet (1)'!$A$87:$I$107,5,0)),0%,VLOOKUP(A29,'Données projet (1)'!$A$87:$I$107,5,0)*VLOOKUP('Données projet (1)'!$B$11,'Paramètres (1)'!$A$1:$I$88,7,0))</f>
        <v>#REF!</v>
      </c>
      <c r="BN29" s="135" t="str">
        <f>IF(ISNA(VLOOKUP(A29,'Données projet (1)'!$A$87:$I$107,6,0)),0%,VLOOKUP(A29,'Données projet (1)'!$A$87:$I$107,6,0)*VLOOKUP('Données projet (1)'!$B$11,'Paramètres (1)'!$A$1:$I$88,7,0))</f>
        <v>#REF!</v>
      </c>
      <c r="BO29" s="135" t="str">
        <f t="shared" si="34"/>
        <v>#REF!</v>
      </c>
      <c r="BP29" s="142" t="str">
        <f>EXP(-LN(2)/35)*BP28+(1-EXP(-LN(2)/35))/(LN(2)/35)*BL29*BM29*VLOOKUP('Données projet (1)'!$B$11,'Paramètres (1)'!$A$1:$I$88,3,0)*0.475*44/12</f>
        <v>#REF!</v>
      </c>
      <c r="BQ29" s="142" t="str">
        <f>EXP(-LN(2)/25)*BQ28+(1-EXP(-LN(2)/25))/(LN(2)/25)*'Calculateur (1)'!BL29*'Calculateur (1)'!BN29*VLOOKUP('Données projet (1)'!$B$11,'Paramètres (1)'!$A$1:$I$88,3,0)*0.475*44/12</f>
        <v>#REF!</v>
      </c>
      <c r="BR29" s="142" t="str">
        <f>EXP(-LN(2)/2)*BR28+(1-EXP(-LN(2)/2))/(LN(2)/2)*BL29*BO29*VLOOKUP('Données projet (1)'!$B$11,'Paramètres (1)'!$A$1:$I$88,3,0)*0.475*44/12</f>
        <v>#REF!</v>
      </c>
      <c r="BS29" s="143" t="str">
        <f t="shared" si="35"/>
        <v>#REF!</v>
      </c>
      <c r="BT29" s="139" t="str">
        <f t="shared" si="36"/>
        <v>#REF!</v>
      </c>
      <c r="BU29" s="131" t="str">
        <f t="shared" si="37"/>
        <v>#REF!</v>
      </c>
      <c r="BV29" s="131" t="str">
        <f t="shared" si="120"/>
        <v>#REF!</v>
      </c>
      <c r="BW29" s="131" t="str">
        <f t="shared" si="38"/>
        <v>#REF!</v>
      </c>
      <c r="BX29" s="131" t="str">
        <f t="array" ref="BX29">INDEX(BW:BW,MIN(IF(ISNUMBER(BW29:BW225),ROW(BW29:BW225),"")))</f>
        <v/>
      </c>
      <c r="BY29" s="131" t="str">
        <f t="shared" si="121"/>
        <v>#REF!</v>
      </c>
      <c r="BZ29" s="130" t="str">
        <f>BY29*VLOOKUP('Données projet (1)'!$B$12,'Paramètres (1)'!$A$1:$I$88,3,0)*VLOOKUP('Données projet (1)'!$B$12,'Paramètres (1)'!$A$1:$I$88,5,0)</f>
        <v>#REF!</v>
      </c>
      <c r="CA29" s="130" t="str">
        <f t="shared" si="122"/>
        <v>#REF!</v>
      </c>
      <c r="CB29" s="141" t="str">
        <f t="shared" si="39"/>
        <v>#REF!</v>
      </c>
      <c r="CC29" s="133" t="str">
        <f t="shared" si="40"/>
        <v>#REF!</v>
      </c>
      <c r="CD29" s="133" t="str">
        <f t="shared" si="41"/>
        <v>#REF!</v>
      </c>
      <c r="CE29" s="133" t="str">
        <f t="shared" si="123"/>
        <v>#REF!</v>
      </c>
      <c r="CF29" s="134" t="str">
        <f t="shared" si="42"/>
        <v>#REF!</v>
      </c>
      <c r="CG29" s="134" t="str">
        <f t="shared" si="43"/>
        <v>#REF!</v>
      </c>
      <c r="CH29" s="135" t="str">
        <f>IF(ISNA(VLOOKUP(A29,'Données projet (1)'!$A$113:$I$133,5,0)),0%,VLOOKUP(A29,'Données projet (1)'!$A$113:$I$133,5,0)*VLOOKUP('Données projet (1)'!$B$12,'Paramètres (1)'!$A$1:$I$88,7,0))</f>
        <v>#REF!</v>
      </c>
      <c r="CI29" s="135" t="str">
        <f>IF(ISNA(VLOOKUP(A29,'Données projet (1)'!$A$113:$I$133,6,0)),0%,VLOOKUP(A29,'Données projet (1)'!$A$113:$I$133,6,0)*VLOOKUP('Données projet (1)'!$B$12,'Paramètres (1)'!$A$1:$I$88,7,0))</f>
        <v>#REF!</v>
      </c>
      <c r="CJ29" s="135" t="str">
        <f t="shared" si="44"/>
        <v>#REF!</v>
      </c>
      <c r="CK29" s="142" t="str">
        <f>EXP(-LN(2)/35)*CK28+(1-EXP(-LN(2)/35))/(LN(2)/35)*CG29*CH29*VLOOKUP('Données projet (1)'!$B$12,'Paramètres (1)'!$A$1:$I$88,3,0)*0.475*44/12</f>
        <v>#REF!</v>
      </c>
      <c r="CL29" s="142" t="str">
        <f>EXP(-LN(2)/25)*CL28+(1-EXP(-LN(2)/25))/(LN(2)/25)*'Calculateur (1)'!CG29*'Calculateur (1)'!CI29*VLOOKUP('Données projet (1)'!$B$12,'Paramètres (1)'!$A$1:$I$88,3,0)*0.475*44/12</f>
        <v>#REF!</v>
      </c>
      <c r="CM29" s="142" t="str">
        <f>EXP(-LN(2)/2)*CM28+(1-EXP(-LN(2)/2))/(LN(2)/2)*CG29*CJ29*VLOOKUP('Données projet (1)'!$B$12,'Paramètres (1)'!$A$1:$I$88,3,0)*0.475*44/12</f>
        <v>#REF!</v>
      </c>
      <c r="CN29" s="143" t="str">
        <f t="shared" si="45"/>
        <v>#REF!</v>
      </c>
      <c r="CO29" s="139" t="str">
        <f t="shared" si="46"/>
        <v>#REF!</v>
      </c>
      <c r="CP29" s="131" t="str">
        <f t="shared" si="47"/>
        <v>#REF!</v>
      </c>
      <c r="CQ29" s="131" t="str">
        <f t="shared" si="124"/>
        <v>#REF!</v>
      </c>
      <c r="CR29" s="131" t="str">
        <f t="shared" si="48"/>
        <v>#REF!</v>
      </c>
      <c r="CS29" s="131" t="str">
        <f t="array" ref="CS29">INDEX(CR:CR,MIN(IF(ISNUMBER(CR29:CR225),ROW(CR29:CR225),"")))</f>
        <v/>
      </c>
      <c r="CT29" s="131" t="str">
        <f t="shared" si="125"/>
        <v>#REF!</v>
      </c>
      <c r="CU29" s="138" t="str">
        <f>CT29*VLOOKUP('Données projet (1)'!$B$13,'Paramètres (1)'!$A$1:$I$88,3,0)*VLOOKUP('Données projet (1)'!$B$13,'Paramètres (1)'!$A$1:$I$88,5,0)</f>
        <v>#REF!</v>
      </c>
      <c r="CV29" s="130" t="str">
        <f t="shared" si="126"/>
        <v>#REF!</v>
      </c>
      <c r="CW29" s="141" t="str">
        <f t="shared" si="49"/>
        <v>#REF!</v>
      </c>
      <c r="CX29" s="133" t="str">
        <f t="shared" si="50"/>
        <v>#REF!</v>
      </c>
      <c r="CY29" s="133" t="str">
        <f t="shared" si="51"/>
        <v>#REF!</v>
      </c>
      <c r="CZ29" s="133" t="str">
        <f t="shared" si="127"/>
        <v>#REF!</v>
      </c>
      <c r="DA29" s="134" t="str">
        <f t="shared" si="52"/>
        <v>#REF!</v>
      </c>
      <c r="DB29" s="134" t="str">
        <f t="shared" si="53"/>
        <v>#REF!</v>
      </c>
      <c r="DC29" s="135" t="str">
        <f>IF(ISNA(VLOOKUP(A29,'Données projet (1)'!$A$139:$I$159,5,0)),0%,VLOOKUP(A29,'Données projet (1)'!$A$139:$I$159,5,0)*VLOOKUP('Données projet (1)'!$B$13,'Paramètres (1)'!$A$1:$I$88,7,0))</f>
        <v>#REF!</v>
      </c>
      <c r="DD29" s="135" t="str">
        <f>IF(ISNA(VLOOKUP(A29,'Données projet (1)'!$A$139:$I$159,6,0)),0%,VLOOKUP(A29,'Données projet (1)'!$A$139:$I$159,6,0)*VLOOKUP('Données projet (1)'!$B$13,'Paramètres (1)'!$A$1:$I$88,7,0))</f>
        <v>#REF!</v>
      </c>
      <c r="DE29" s="135" t="str">
        <f t="shared" si="54"/>
        <v>#REF!</v>
      </c>
      <c r="DF29" s="142" t="str">
        <f>EXP(-LN(2)/35)*DF28+(1-EXP(-LN(2)/35))/(LN(2)/35)*DB29*DC29*VLOOKUP('Données projet (1)'!$B$13,'Paramètres (1)'!$A$1:$I$88,3,0)*0.475*44/12</f>
        <v>#REF!</v>
      </c>
      <c r="DG29" s="142" t="str">
        <f>EXP(-LN(2)/25)*DG28+(1-EXP(-LN(2)/25))/(LN(2)/25)*'Calculateur (1)'!DB29*'Calculateur (1)'!DD29*VLOOKUP('Données projet (1)'!$B$13,'Paramètres (1)'!$A$1:$I$88,3,0)*0.475*44/12</f>
        <v>#REF!</v>
      </c>
      <c r="DH29" s="142" t="str">
        <f>EXP(-LN(2)/2)*DH28+(1-EXP(-LN(2)/2))/(LN(2)/2)*DB29*DE29*VLOOKUP('Données projet (1)'!$B$13,'Paramètres (1)'!$A$1:$I$88,3,0)*0.475*44/12</f>
        <v>#REF!</v>
      </c>
      <c r="DI29" s="143" t="str">
        <f t="shared" si="55"/>
        <v>#REF!</v>
      </c>
      <c r="DJ29" s="139" t="str">
        <f t="shared" si="56"/>
        <v>#REF!</v>
      </c>
      <c r="DK29" s="131" t="str">
        <f t="shared" si="57"/>
        <v>#REF!</v>
      </c>
      <c r="DL29" s="131" t="str">
        <f t="shared" si="128"/>
        <v>#REF!</v>
      </c>
      <c r="DM29" s="131" t="str">
        <f t="shared" si="58"/>
        <v>#REF!</v>
      </c>
      <c r="DN29" s="131" t="str">
        <f t="array" ref="DN29">INDEX(DM:DM,MIN(IF(ISNUMBER(DM29:DM225),ROW(DM29:DM225),"")))</f>
        <v/>
      </c>
      <c r="DO29" s="131" t="str">
        <f t="shared" si="129"/>
        <v>#REF!</v>
      </c>
      <c r="DP29" s="138" t="str">
        <f>DO29*VLOOKUP('Données projet (1)'!$B$14,'Paramètres (1)'!$A$1:$I$88,3,0)*VLOOKUP('Données projet (1)'!$B$14,'Paramètres (1)'!$A$1:$I$88,5,0)</f>
        <v>#REF!</v>
      </c>
      <c r="DQ29" s="130" t="str">
        <f t="shared" si="130"/>
        <v>#REF!</v>
      </c>
      <c r="DR29" s="141" t="str">
        <f t="shared" si="59"/>
        <v>#REF!</v>
      </c>
      <c r="DS29" s="133" t="str">
        <f t="shared" si="60"/>
        <v>#REF!</v>
      </c>
      <c r="DT29" s="133" t="str">
        <f t="shared" si="61"/>
        <v>#REF!</v>
      </c>
      <c r="DU29" s="133" t="str">
        <f t="shared" si="131"/>
        <v>#REF!</v>
      </c>
      <c r="DV29" s="134" t="str">
        <f t="shared" si="62"/>
        <v>#REF!</v>
      </c>
      <c r="DW29" s="134" t="str">
        <f t="shared" si="63"/>
        <v>#REF!</v>
      </c>
      <c r="DX29" s="135" t="str">
        <f>IF(ISNA(VLOOKUP(A29,'Données projet (1)'!$A$165:$I$185,5,0)),0%,VLOOKUP(A29,'Données projet (1)'!$A$165:$I$185,5,0)*VLOOKUP('Données projet (1)'!$B$14,'Paramètres (1)'!$A$1:$I$88,7,0))</f>
        <v>#REF!</v>
      </c>
      <c r="DY29" s="135" t="str">
        <f>IF(ISNA(VLOOKUP(A29,'Données projet (1)'!$A$165:$I$185,6,0)),0%,VLOOKUP(A29,'Données projet (1)'!$A$165:$I$185,6,0)*VLOOKUP('Données projet (1)'!$B$14,'Paramètres (1)'!$A$1:$I$88,7,0))</f>
        <v>#REF!</v>
      </c>
      <c r="DZ29" s="135" t="str">
        <f t="shared" si="64"/>
        <v>#REF!</v>
      </c>
      <c r="EA29" s="142" t="str">
        <f>EXP(-LN(2)/35)*EA28+(1-EXP(-LN(2)/35))/(LN(2)/35)*DW29*DX29*VLOOKUP('Données projet (1)'!$B$14,'Paramètres (1)'!$A$1:$I$88,3,0)*0.475*44/12</f>
        <v>#REF!</v>
      </c>
      <c r="EB29" s="142" t="str">
        <f>EXP(-LN(2)/25)*EB28+(1-EXP(-LN(2)/25))/(LN(2)/25)*'Calculateur (1)'!DW29*'Calculateur (1)'!DY29*VLOOKUP('Données projet (1)'!$B$14,'Paramètres (1)'!$A$1:$I$88,3,0)*0.475*44/12</f>
        <v>#REF!</v>
      </c>
      <c r="EC29" s="142" t="str">
        <f>EXP(-LN(2)/2)*EC28+(1-EXP(-LN(2)/2))/(LN(2)/2)*DW29*DZ29*VLOOKUP('Données projet (1)'!$B$14,'Paramètres (1)'!$A$1:$I$88,3,0)*0.475*44/12</f>
        <v>#REF!</v>
      </c>
      <c r="ED29" s="143" t="str">
        <f t="shared" si="65"/>
        <v>#REF!</v>
      </c>
      <c r="EE29" s="139" t="str">
        <f t="shared" si="66"/>
        <v>#REF!</v>
      </c>
      <c r="EF29" s="131" t="str">
        <f t="shared" si="67"/>
        <v>#REF!</v>
      </c>
      <c r="EG29" s="131" t="str">
        <f t="shared" si="132"/>
        <v>#REF!</v>
      </c>
      <c r="EH29" s="131" t="str">
        <f t="shared" si="68"/>
        <v>#REF!</v>
      </c>
      <c r="EI29" s="131" t="str">
        <f t="array" ref="EI29">INDEX(EH:EH,MIN(IF(ISNUMBER(EH29:EH225),ROW(EH29:EH225),"")))</f>
        <v/>
      </c>
      <c r="EJ29" s="131" t="str">
        <f t="shared" si="133"/>
        <v>#REF!</v>
      </c>
      <c r="EK29" s="138" t="str">
        <f>EJ29*VLOOKUP('Données projet (1)'!$B$15,'Paramètres (1)'!$A$1:$I$88,3,0)*VLOOKUP('Données projet (1)'!$B$15,'Paramètres (1)'!$A$1:$I$88,5,0)</f>
        <v>#REF!</v>
      </c>
      <c r="EL29" s="130" t="str">
        <f t="shared" si="134"/>
        <v>#REF!</v>
      </c>
      <c r="EM29" s="141" t="str">
        <f t="shared" si="69"/>
        <v>#REF!</v>
      </c>
      <c r="EN29" s="133" t="str">
        <f t="shared" si="70"/>
        <v>#REF!</v>
      </c>
      <c r="EO29" s="133" t="str">
        <f t="shared" si="71"/>
        <v>#REF!</v>
      </c>
      <c r="EP29" s="133" t="str">
        <f t="shared" si="135"/>
        <v>#REF!</v>
      </c>
      <c r="EQ29" s="134" t="str">
        <f t="shared" si="72"/>
        <v>#REF!</v>
      </c>
      <c r="ER29" s="134" t="str">
        <f t="shared" si="73"/>
        <v>#REF!</v>
      </c>
      <c r="ES29" s="135" t="str">
        <f>IF(ISNA(VLOOKUP(A29,'Données projet (1)'!$A$191:$I$211,5,0)),0%,VLOOKUP(A29,'Données projet (1)'!$A$191:$I$211,5,0)*VLOOKUP('Données projet (1)'!$B$15,'Paramètres (1)'!$A$1:$I$88,7,0))</f>
        <v>#REF!</v>
      </c>
      <c r="ET29" s="135" t="str">
        <f>IF(ISNA(VLOOKUP(A29,'Données projet (1)'!$A$191:$I$211,6,0)),0%,VLOOKUP(A29,'Données projet (1)'!$A$191:$I$211,6,0)*VLOOKUP('Données projet (1)'!$B$15,'Paramètres (1)'!$A$1:$I$88,7,0))</f>
        <v>#REF!</v>
      </c>
      <c r="EU29" s="135" t="str">
        <f t="shared" si="74"/>
        <v>#REF!</v>
      </c>
      <c r="EV29" s="142" t="str">
        <f>EXP(-LN(2)/35)*EV28+(1-EXP(-LN(2)/35))/(LN(2)/35)*ER29*ES29*VLOOKUP('Données projet (1)'!$B$15,'Paramètres (1)'!$A$1:$I$88,3,0)*0.475*44/12</f>
        <v>#REF!</v>
      </c>
      <c r="EW29" s="142" t="str">
        <f>EXP(-LN(2)/25)*EW28+(1-EXP(-LN(2)/25))/(LN(2)/25)*'Calculateur (1)'!ER29*'Calculateur (1)'!ET29*VLOOKUP('Données projet (1)'!$B$15,'Paramètres (1)'!$A$1:$I$88,3,0)*0.475*44/12</f>
        <v>#REF!</v>
      </c>
      <c r="EX29" s="142" t="str">
        <f>EXP(-LN(2)/2)*EX28+(1-EXP(-LN(2)/2))/(LN(2)/2)*ER29*EU29*VLOOKUP('Données projet (1)'!$B$15,'Paramètres (1)'!$A$1:$I$88,3,0)*0.475*44/12</f>
        <v>#REF!</v>
      </c>
      <c r="EY29" s="143" t="str">
        <f t="shared" si="75"/>
        <v>#REF!</v>
      </c>
      <c r="EZ29" s="139" t="str">
        <f t="shared" si="76"/>
        <v>#REF!</v>
      </c>
      <c r="FA29" s="131" t="str">
        <f t="shared" si="77"/>
        <v>#REF!</v>
      </c>
      <c r="FB29" s="131" t="str">
        <f t="shared" si="136"/>
        <v>#REF!</v>
      </c>
      <c r="FC29" s="131" t="str">
        <f t="shared" si="78"/>
        <v>#REF!</v>
      </c>
      <c r="FD29" s="131" t="str">
        <f t="array" ref="FD29">INDEX(FC:FC,MIN(IF(ISNUMBER(FC29:FC225),ROW(FC29:FC225),"")))</f>
        <v/>
      </c>
      <c r="FE29" s="131" t="str">
        <f t="shared" si="137"/>
        <v>#REF!</v>
      </c>
      <c r="FF29" s="138" t="str">
        <f>FE29*VLOOKUP('Données projet (1)'!$B$16,'Paramètres (1)'!$A$1:$I$88,3,0)*VLOOKUP('Données projet (1)'!$B$16,'Paramètres (1)'!$A$1:$I$88,5,0)</f>
        <v>#REF!</v>
      </c>
      <c r="FG29" s="130" t="str">
        <f t="shared" si="138"/>
        <v>#REF!</v>
      </c>
      <c r="FH29" s="141" t="str">
        <f t="shared" si="79"/>
        <v>#REF!</v>
      </c>
      <c r="FI29" s="133" t="str">
        <f t="shared" si="80"/>
        <v>#REF!</v>
      </c>
      <c r="FJ29" s="133" t="str">
        <f t="shared" si="81"/>
        <v>#REF!</v>
      </c>
      <c r="FK29" s="133" t="str">
        <f t="shared" si="139"/>
        <v>#REF!</v>
      </c>
      <c r="FL29" s="134" t="str">
        <f t="shared" si="82"/>
        <v>#REF!</v>
      </c>
      <c r="FM29" s="134" t="str">
        <f t="shared" si="83"/>
        <v>#REF!</v>
      </c>
      <c r="FN29" s="135" t="str">
        <f>IF(ISNA(VLOOKUP(A29,'Données projet (1)'!$A$217:$I$237,5,0)),0%,VLOOKUP(A29,'Données projet (1)'!$A$217:$I$237,5,0)*VLOOKUP('Données projet (1)'!$B$16,'Paramètres (1)'!$A$1:$I$88,7,0))</f>
        <v>#REF!</v>
      </c>
      <c r="FO29" s="135" t="str">
        <f>IF(ISNA(VLOOKUP(A29,'Données projet (1)'!$A$217:$I$237,6,0)),0%,VLOOKUP(A29,'Données projet (1)'!$A$217:$I$237,6,0)*VLOOKUP('Données projet (1)'!$B$16,'Paramètres (1)'!$A$1:$I$88,7,0))</f>
        <v>#REF!</v>
      </c>
      <c r="FP29" s="135" t="str">
        <f t="shared" si="84"/>
        <v>#REF!</v>
      </c>
      <c r="FQ29" s="142" t="str">
        <f>EXP(-LN(2)/35)*FQ28+(1-EXP(-LN(2)/35))/(LN(2)/35)*FM29*FN29*VLOOKUP('Données projet (1)'!$B$16,'Paramètres (1)'!$A$1:$I$88,3,0)*0.475*44/12</f>
        <v>#REF!</v>
      </c>
      <c r="FR29" s="142" t="str">
        <f>EXP(-LN(2)/25)*FR28+(1-EXP(-LN(2)/25))/(LN(2)/25)*'Calculateur (1)'!FM29*'Calculateur (1)'!FO29*VLOOKUP('Données projet (1)'!$B$16,'Paramètres (1)'!$A$1:$I$88,3,0)*0.475*44/12</f>
        <v>#REF!</v>
      </c>
      <c r="FS29" s="142" t="str">
        <f>EXP(-LN(2)/2)*FS28+(1-EXP(-LN(2)/2))/(LN(2)/2)*FM29*FP29*VLOOKUP('Données projet (1)'!$B$16,'Paramètres (1)'!$A$1:$I$88,3,0)*0.475*44/12</f>
        <v>#REF!</v>
      </c>
      <c r="FT29" s="143" t="str">
        <f t="shared" si="85"/>
        <v>#REF!</v>
      </c>
      <c r="FU29" s="139" t="str">
        <f t="shared" si="86"/>
        <v>#REF!</v>
      </c>
      <c r="FV29" s="131" t="str">
        <f t="shared" si="87"/>
        <v>#REF!</v>
      </c>
      <c r="FW29" s="131" t="str">
        <f t="shared" si="140"/>
        <v>#REF!</v>
      </c>
      <c r="FX29" s="131" t="str">
        <f t="shared" si="88"/>
        <v>#REF!</v>
      </c>
      <c r="FY29" s="131" t="str">
        <f t="array" ref="FY29">INDEX(FX:FX,MIN(IF(ISNUMBER(FX29:FX225),ROW(FX29:FX225),"")))</f>
        <v/>
      </c>
      <c r="FZ29" s="131" t="str">
        <f t="shared" si="141"/>
        <v>#REF!</v>
      </c>
      <c r="GA29" s="138" t="str">
        <f>FZ29*VLOOKUP('Données projet (1)'!$B$17,'Paramètres (1)'!$A$1:$I$88,3,0)*VLOOKUP('Données projet (1)'!$B$17,'Paramètres (1)'!$A$1:$I$88,5,0)</f>
        <v>#REF!</v>
      </c>
      <c r="GB29" s="130" t="str">
        <f t="shared" si="142"/>
        <v>#REF!</v>
      </c>
      <c r="GC29" s="141" t="str">
        <f t="shared" si="89"/>
        <v>#REF!</v>
      </c>
      <c r="GD29" s="133" t="str">
        <f t="shared" si="90"/>
        <v>#REF!</v>
      </c>
      <c r="GE29" s="133" t="str">
        <f t="shared" si="91"/>
        <v>#REF!</v>
      </c>
      <c r="GF29" s="133" t="str">
        <f t="shared" si="143"/>
        <v>#REF!</v>
      </c>
      <c r="GG29" s="134" t="str">
        <f t="shared" si="92"/>
        <v>#REF!</v>
      </c>
      <c r="GH29" s="134" t="str">
        <f t="shared" si="93"/>
        <v>#REF!</v>
      </c>
      <c r="GI29" s="135" t="str">
        <f>IF(ISNA(VLOOKUP(A29,'Données projet (1)'!$A$243:$I$263,5,0)),0%,VLOOKUP(A29,'Données projet (1)'!$A$243:$I$263,5,0)*VLOOKUP('Données projet (1)'!$B$17,'Paramètres (1)'!$A$1:$I$88,7,0))</f>
        <v>#REF!</v>
      </c>
      <c r="GJ29" s="135" t="str">
        <f>IF(ISNA(VLOOKUP(A29,'Données projet (1)'!$A$243:$I$263,6,0)),0%,VLOOKUP(A29,'Données projet (1)'!$A$243:$I$263,6,0)*VLOOKUP('Données projet (1)'!$B$17,'Paramètres (1)'!$A$1:$I$88,7,0))</f>
        <v>#REF!</v>
      </c>
      <c r="GK29" s="135" t="str">
        <f t="shared" si="94"/>
        <v>#REF!</v>
      </c>
      <c r="GL29" s="142" t="str">
        <f>EXP(-LN(2)/35)*GL28+(1-EXP(-LN(2)/35))/(LN(2)/35)*GH29*GI29*VLOOKUP('Données projet (1)'!$B$17,'Paramètres (1)'!$A$1:$I$88,3,0)*0.475*44/12</f>
        <v>#REF!</v>
      </c>
      <c r="GM29" s="142" t="str">
        <f>EXP(-LN(2)/25)*GM28+(1-EXP(-LN(2)/25))/(LN(2)/25)*'Calculateur (1)'!GH29*'Calculateur (1)'!GJ29*VLOOKUP('Données projet (1)'!$B$17,'Paramètres (1)'!$A$1:$I$88,3,0)*0.475*44/12</f>
        <v>#REF!</v>
      </c>
      <c r="GN29" s="142" t="str">
        <f>EXP(-LN(2)/2)*GN28+(1-EXP(-LN(2)/2))/(LN(2)/2)*GH29*GK29*VLOOKUP('Données projet (1)'!$B$17,'Paramètres (1)'!$A$1:$I$88,3,0)*0.475*44/12</f>
        <v>#REF!</v>
      </c>
      <c r="GO29" s="142" t="str">
        <f t="shared" si="95"/>
        <v>#REF!</v>
      </c>
      <c r="GP29" s="139" t="str">
        <f t="shared" si="96"/>
        <v>#REF!</v>
      </c>
      <c r="GQ29" s="131" t="str">
        <f t="shared" si="97"/>
        <v>#REF!</v>
      </c>
      <c r="GR29" s="131" t="str">
        <f t="shared" si="144"/>
        <v>#REF!</v>
      </c>
      <c r="GS29" s="131" t="str">
        <f t="shared" si="98"/>
        <v>#REF!</v>
      </c>
      <c r="GT29" s="131" t="str">
        <f t="array" ref="GT29">INDEX(GS:GS,MIN(IF(ISNUMBER(GS29:GS225),ROW(GS29:GS225),"")))</f>
        <v/>
      </c>
      <c r="GU29" s="131" t="str">
        <f t="shared" si="145"/>
        <v>#REF!</v>
      </c>
      <c r="GV29" s="138" t="str">
        <f>GU29*VLOOKUP('Données projet (1)'!$B$18,'Paramètres (1)'!$A$1:$I$88,3,0)*VLOOKUP('Données projet (1)'!$B$18,'Paramètres (1)'!$A$1:$I$88,5,0)</f>
        <v>#REF!</v>
      </c>
      <c r="GW29" s="130" t="str">
        <f t="shared" si="146"/>
        <v>#REF!</v>
      </c>
      <c r="GX29" s="141" t="str">
        <f t="shared" si="99"/>
        <v>#REF!</v>
      </c>
      <c r="GY29" s="133" t="str">
        <f t="shared" si="100"/>
        <v>#REF!</v>
      </c>
      <c r="GZ29" s="133" t="str">
        <f t="shared" si="101"/>
        <v>#REF!</v>
      </c>
      <c r="HA29" s="133" t="str">
        <f t="shared" si="147"/>
        <v>#REF!</v>
      </c>
      <c r="HB29" s="134" t="str">
        <f t="shared" si="102"/>
        <v>#REF!</v>
      </c>
      <c r="HC29" s="134" t="str">
        <f t="shared" si="103"/>
        <v>#REF!</v>
      </c>
      <c r="HD29" s="135" t="str">
        <f>IF(ISNA(VLOOKUP(A29,'Données projet (1)'!$A$269:$I$289,5,0)),0%,VLOOKUP(A29,'Données projet (1)'!$A$269:$I$289,5,0)*VLOOKUP('Données projet (1)'!$B$18,'Paramètres (1)'!$A$1:$I$88,7,0))</f>
        <v>#REF!</v>
      </c>
      <c r="HE29" s="135" t="str">
        <f>IF(ISNA(VLOOKUP(A29,'Données projet (1)'!$A$269:$I$289,6,0)),0%,VLOOKUP(A29,'Données projet (1)'!$A$269:$I$289,6,0)*VLOOKUP('Données projet (1)'!$B$18,'Paramètres (1)'!$A$1:$I$88,7,0))</f>
        <v>#REF!</v>
      </c>
      <c r="HF29" s="135" t="str">
        <f t="shared" si="104"/>
        <v>#REF!</v>
      </c>
      <c r="HG29" s="142" t="str">
        <f>EXP(-LN(2)/35)*HG28+(1-EXP(-LN(2)/35))/(LN(2)/35)*HC29*HD29*VLOOKUP('Données projet (1)'!$B$18,'Paramètres (1)'!$A$1:$I$88,3,0)*0.475*44/12</f>
        <v>#REF!</v>
      </c>
      <c r="HH29" s="142" t="str">
        <f>EXP(-LN(2)/25)*HH28+(1-EXP(-LN(2)/25))/(LN(2)/25)*'Calculateur (1)'!HC29*'Calculateur (1)'!HE29*VLOOKUP('Données projet (1)'!$B$18,'Paramètres (1)'!$A$1:$I$88,3,0)*0.475*44/12</f>
        <v>#REF!</v>
      </c>
      <c r="HI29" s="142" t="str">
        <f>EXP(-LN(2)/2)*HI28+(1-EXP(-LN(2)/2))/(LN(2)/2)*HC29*HF29*VLOOKUP('Données projet (1)'!$B$18,'Paramètres (1)'!$A$1:$I$88,3,0)*0.475*44/12</f>
        <v>#REF!</v>
      </c>
      <c r="HJ29" s="143" t="str">
        <f t="shared" si="105"/>
        <v>#REF!</v>
      </c>
    </row>
    <row r="30" ht="14.25" customHeight="1">
      <c r="A30" s="125">
        <f t="shared" si="106"/>
        <v>27</v>
      </c>
      <c r="B30" s="126" t="str">
        <f t="shared" si="1"/>
        <v>#REF!</v>
      </c>
      <c r="C30" s="140" t="str">
        <f>'Calculateur (1)'!C29+'Scénario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0" s="127">
        <f t="shared" si="107"/>
        <v>0</v>
      </c>
      <c r="E30" s="127" t="str">
        <f t="shared" si="2"/>
        <v>#REF!</v>
      </c>
      <c r="F30" s="127" t="str">
        <f t="shared" si="3"/>
        <v>#REF!</v>
      </c>
      <c r="G30" s="127" t="str">
        <f t="shared" si="4"/>
        <v>#REF!</v>
      </c>
      <c r="H30" s="128" t="str">
        <f t="shared" si="5"/>
        <v>#REF!</v>
      </c>
      <c r="I30" s="129" t="str">
        <f t="shared" si="6"/>
        <v>#REF!</v>
      </c>
      <c r="J30" s="130" t="str">
        <f t="shared" si="7"/>
        <v>#REF!</v>
      </c>
      <c r="K30" s="131" t="str">
        <f t="shared" si="108"/>
        <v>#REF!</v>
      </c>
      <c r="L30" s="131" t="str">
        <f t="shared" si="8"/>
        <v>#REF!</v>
      </c>
      <c r="M30" s="131" t="str">
        <f t="array" ref="M30">INDEX(L:L,MIN(IF(ISNUMBER(L30:L226),ROW(L30:L226),"")))</f>
        <v/>
      </c>
      <c r="N30" s="130" t="str">
        <f t="shared" si="109"/>
        <v>#REF!</v>
      </c>
      <c r="O30" s="130" t="str">
        <f>N30*VLOOKUP('Données projet (1)'!$B$9,'Paramètres (1)'!$A$1:$I$88,3,0)*VLOOKUP('Données projet (1)'!$B$9,'Paramètres (1)'!$A$1:$I$88,5,0)</f>
        <v>#REF!</v>
      </c>
      <c r="P30" s="130" t="str">
        <f t="shared" si="110"/>
        <v>#REF!</v>
      </c>
      <c r="Q30" s="141" t="str">
        <f t="shared" si="9"/>
        <v>#REF!</v>
      </c>
      <c r="R30" s="133" t="str">
        <f t="shared" si="10"/>
        <v>#REF!</v>
      </c>
      <c r="S30" s="133" t="str">
        <f t="shared" si="11"/>
        <v>#REF!</v>
      </c>
      <c r="T30" s="133" t="str">
        <f t="shared" si="111"/>
        <v>#REF!</v>
      </c>
      <c r="U30" s="134" t="str">
        <f t="shared" si="12"/>
        <v>#REF!</v>
      </c>
      <c r="V30" s="134" t="str">
        <f t="shared" si="13"/>
        <v>#REF!</v>
      </c>
      <c r="W30" s="135" t="str">
        <f>IF(ISNA(VLOOKUP(A30,'Données projet (1)'!$A$35:$I$55,5,0)),0%,VLOOKUP(A30,'Données projet (1)'!$A$35:$I$55,5,0)*VLOOKUP('Données projet (1)'!$B$9,'Paramètres (1)'!$A$1:$I$88,7,0))</f>
        <v>#REF!</v>
      </c>
      <c r="X30" s="135" t="str">
        <f>IF(ISNA(VLOOKUP(A30,'Données projet (1)'!$A$35:$I$55,6,0)),0%,VLOOKUP(A30,'Données projet (1)'!$A$35:$I$55,6,0)*VLOOKUP('Données projet (1)'!$B$9,'Paramètres (1)'!$A$1:$I$88,7,0))</f>
        <v>#REF!</v>
      </c>
      <c r="Y30" s="135" t="str">
        <f t="shared" si="14"/>
        <v>#REF!</v>
      </c>
      <c r="Z30" s="142" t="str">
        <f>EXP(-LN(2)/35)*Z29+(1-EXP(-LN(2)/35))/(LN(2)/35)*V30*W30*VLOOKUP('Données projet (1)'!$B$9,'Paramètres (1)'!$A$1:$I$88,3,0)*0.475*44/12</f>
        <v>#REF!</v>
      </c>
      <c r="AA30" s="142" t="str">
        <f>EXP(-LN(2)/25)*AA29+(1-EXP(-LN(2)/25))/(LN(2)/25)*'Calculateur (1)'!V30*'Calculateur (1)'!X30*VLOOKUP('Données projet (1)'!$B$9,'Paramètres (1)'!$A$1:$I$88,3,0)*0.475*44/12</f>
        <v>#REF!</v>
      </c>
      <c r="AB30" s="142" t="str">
        <f>EXP(-LN(2)/2)*AB29+(1-EXP(-LN(2)/2))/(LN(2)/2)*V30*Y30*VLOOKUP('Données projet (1)'!$B$9,'Paramètres (1)'!$A$1:$I$88,3,0)*0.475*44/12</f>
        <v>#REF!</v>
      </c>
      <c r="AC30" s="143" t="str">
        <f t="shared" si="15"/>
        <v>#REF!</v>
      </c>
      <c r="AD30" s="130" t="str">
        <f t="shared" si="16"/>
        <v>#REF!</v>
      </c>
      <c r="AE30" s="130" t="str">
        <f t="shared" si="17"/>
        <v>#REF!</v>
      </c>
      <c r="AF30" s="131" t="str">
        <f t="shared" si="112"/>
        <v>#REF!</v>
      </c>
      <c r="AG30" s="131" t="str">
        <f t="shared" si="18"/>
        <v>#REF!</v>
      </c>
      <c r="AH30" s="131" t="str">
        <f t="array" ref="AH30">INDEX(AG:AG,MIN(IF(ISNUMBER(AG30:AG226),ROW(AG30:AG226),"")))</f>
        <v/>
      </c>
      <c r="AI30" s="130" t="str">
        <f t="shared" si="113"/>
        <v>#REF!</v>
      </c>
      <c r="AJ30" s="130" t="str">
        <f>AI30*VLOOKUP('Données projet (1)'!$B$10,'Paramètres (1)'!$A$1:$I$88,3,0)*VLOOKUP('Données projet (1)'!$B$10,'Paramètres (1)'!$A$1:$I$88,5,0)</f>
        <v>#REF!</v>
      </c>
      <c r="AK30" s="130" t="str">
        <f t="shared" si="114"/>
        <v>#REF!</v>
      </c>
      <c r="AL30" s="141" t="str">
        <f t="shared" si="19"/>
        <v>#REF!</v>
      </c>
      <c r="AM30" s="133" t="str">
        <f t="shared" si="20"/>
        <v>#REF!</v>
      </c>
      <c r="AN30" s="133" t="str">
        <f t="shared" si="21"/>
        <v>#REF!</v>
      </c>
      <c r="AO30" s="133" t="str">
        <f t="shared" si="115"/>
        <v>#REF!</v>
      </c>
      <c r="AP30" s="134" t="str">
        <f t="shared" si="22"/>
        <v>#REF!</v>
      </c>
      <c r="AQ30" s="134" t="str">
        <f t="shared" si="23"/>
        <v>#REF!</v>
      </c>
      <c r="AR30" s="135" t="str">
        <f>IF(ISNA(VLOOKUP(A30,'Données projet (1)'!$A$61:$I$81,5,0)),0%,VLOOKUP(A30,'Données projet (1)'!$A$61:$I$81,5,0)*VLOOKUP('Données projet (1)'!$B$10,'Paramètres (1)'!$A$1:$I$88,7,0))</f>
        <v>#REF!</v>
      </c>
      <c r="AS30" s="135" t="str">
        <f>IF(ISNA(VLOOKUP(A30,'Données projet (1)'!$A$61:$I$81,6,0)),0%,VLOOKUP(A30,'Données projet (1)'!$A$61:$I$81,6,0)*VLOOKUP('Données projet (1)'!$B$10,'Paramètres (1)'!$A$1:$I$88,7,0))</f>
        <v>#REF!</v>
      </c>
      <c r="AT30" s="135" t="str">
        <f t="shared" si="24"/>
        <v>#REF!</v>
      </c>
      <c r="AU30" s="142" t="str">
        <f>EXP(-LN(2)/35)*AU29+(1-EXP(-LN(2)/35))/(LN(2)/35)*AQ30*AR30*VLOOKUP('Données projet (1)'!$B$10,'Paramètres (1)'!$A$1:$I$88,3,0)*0.475*44/12</f>
        <v>#REF!</v>
      </c>
      <c r="AV30" s="142" t="str">
        <f>EXP(-LN(2)/25)*AV29+(1-EXP(-LN(2)/25))/(LN(2)/25)*'Calculateur (1)'!AQ30*'Calculateur (1)'!AS30*VLOOKUP('Données projet (1)'!$B$10,'Paramètres (1)'!$A$1:$I$88,3,0)*0.475*44/12</f>
        <v>#REF!</v>
      </c>
      <c r="AW30" s="142" t="str">
        <f>EXP(-LN(2)/2)*AW29+(1-EXP(-LN(2)/2))/(LN(2)/2)*AQ30*AT30*VLOOKUP('Données projet (1)'!$B$10,'Paramètres (1)'!$A$1:$I$88,3,0)*0.475*44/12</f>
        <v>#REF!</v>
      </c>
      <c r="AX30" s="142" t="str">
        <f t="shared" si="25"/>
        <v>#REF!</v>
      </c>
      <c r="AY30" s="137" t="str">
        <f t="shared" si="26"/>
        <v>#REF!</v>
      </c>
      <c r="AZ30" s="131" t="str">
        <f t="shared" si="27"/>
        <v>#REF!</v>
      </c>
      <c r="BA30" s="131" t="str">
        <f t="shared" si="116"/>
        <v>#REF!</v>
      </c>
      <c r="BB30" s="131" t="str">
        <f t="shared" si="28"/>
        <v>#REF!</v>
      </c>
      <c r="BC30" s="131" t="str">
        <f t="array" ref="BC30">INDEX(BB:BB,MIN(IF(ISNUMBER(BB30:BB226),ROW(BB30:BB226),"")))</f>
        <v/>
      </c>
      <c r="BD30" s="131" t="str">
        <f t="shared" si="117"/>
        <v>#REF!</v>
      </c>
      <c r="BE30" s="130" t="str">
        <f>BD30*VLOOKUP('Données projet (1)'!$B$11,'Paramètres (1)'!$A$1:$I$88,3,0)*VLOOKUP('Données projet (1)'!$B$11,'Paramètres (1)'!$A$1:$I$88,5,0)</f>
        <v>#REF!</v>
      </c>
      <c r="BF30" s="130" t="str">
        <f t="shared" si="118"/>
        <v>#REF!</v>
      </c>
      <c r="BG30" s="141" t="str">
        <f t="shared" si="29"/>
        <v>#REF!</v>
      </c>
      <c r="BH30" s="133" t="str">
        <f t="shared" si="30"/>
        <v>#REF!</v>
      </c>
      <c r="BI30" s="133" t="str">
        <f t="shared" si="31"/>
        <v>#REF!</v>
      </c>
      <c r="BJ30" s="133" t="str">
        <f t="shared" si="119"/>
        <v>#REF!</v>
      </c>
      <c r="BK30" s="134" t="str">
        <f t="shared" si="32"/>
        <v>#REF!</v>
      </c>
      <c r="BL30" s="134" t="str">
        <f t="shared" si="33"/>
        <v>#REF!</v>
      </c>
      <c r="BM30" s="135" t="str">
        <f>IF(ISNA(VLOOKUP(A30,'Données projet (1)'!$A$87:$I$107,5,0)),0%,VLOOKUP(A30,'Données projet (1)'!$A$87:$I$107,5,0)*VLOOKUP('Données projet (1)'!$B$11,'Paramètres (1)'!$A$1:$I$88,7,0))</f>
        <v>#REF!</v>
      </c>
      <c r="BN30" s="135" t="str">
        <f>IF(ISNA(VLOOKUP(A30,'Données projet (1)'!$A$87:$I$107,6,0)),0%,VLOOKUP(A30,'Données projet (1)'!$A$87:$I$107,6,0)*VLOOKUP('Données projet (1)'!$B$11,'Paramètres (1)'!$A$1:$I$88,7,0))</f>
        <v>#REF!</v>
      </c>
      <c r="BO30" s="135" t="str">
        <f t="shared" si="34"/>
        <v>#REF!</v>
      </c>
      <c r="BP30" s="142" t="str">
        <f>EXP(-LN(2)/35)*BP29+(1-EXP(-LN(2)/35))/(LN(2)/35)*BL30*BM30*VLOOKUP('Données projet (1)'!$B$11,'Paramètres (1)'!$A$1:$I$88,3,0)*0.475*44/12</f>
        <v>#REF!</v>
      </c>
      <c r="BQ30" s="142" t="str">
        <f>EXP(-LN(2)/25)*BQ29+(1-EXP(-LN(2)/25))/(LN(2)/25)*'Calculateur (1)'!BL30*'Calculateur (1)'!BN30*VLOOKUP('Données projet (1)'!$B$11,'Paramètres (1)'!$A$1:$I$88,3,0)*0.475*44/12</f>
        <v>#REF!</v>
      </c>
      <c r="BR30" s="142" t="str">
        <f>EXP(-LN(2)/2)*BR29+(1-EXP(-LN(2)/2))/(LN(2)/2)*BL30*BO30*VLOOKUP('Données projet (1)'!$B$11,'Paramètres (1)'!$A$1:$I$88,3,0)*0.475*44/12</f>
        <v>#REF!</v>
      </c>
      <c r="BS30" s="143" t="str">
        <f t="shared" si="35"/>
        <v>#REF!</v>
      </c>
      <c r="BT30" s="139" t="str">
        <f t="shared" si="36"/>
        <v>#REF!</v>
      </c>
      <c r="BU30" s="131" t="str">
        <f t="shared" si="37"/>
        <v>#REF!</v>
      </c>
      <c r="BV30" s="131" t="str">
        <f t="shared" si="120"/>
        <v>#REF!</v>
      </c>
      <c r="BW30" s="131" t="str">
        <f t="shared" si="38"/>
        <v>#REF!</v>
      </c>
      <c r="BX30" s="131" t="str">
        <f t="array" ref="BX30">INDEX(BW:BW,MIN(IF(ISNUMBER(BW30:BW226),ROW(BW30:BW226),"")))</f>
        <v/>
      </c>
      <c r="BY30" s="131" t="str">
        <f t="shared" si="121"/>
        <v>#REF!</v>
      </c>
      <c r="BZ30" s="130" t="str">
        <f>BY30*VLOOKUP('Données projet (1)'!$B$12,'Paramètres (1)'!$A$1:$I$88,3,0)*VLOOKUP('Données projet (1)'!$B$12,'Paramètres (1)'!$A$1:$I$88,5,0)</f>
        <v>#REF!</v>
      </c>
      <c r="CA30" s="130" t="str">
        <f t="shared" si="122"/>
        <v>#REF!</v>
      </c>
      <c r="CB30" s="141" t="str">
        <f t="shared" si="39"/>
        <v>#REF!</v>
      </c>
      <c r="CC30" s="133" t="str">
        <f t="shared" si="40"/>
        <v>#REF!</v>
      </c>
      <c r="CD30" s="133" t="str">
        <f t="shared" si="41"/>
        <v>#REF!</v>
      </c>
      <c r="CE30" s="133" t="str">
        <f t="shared" si="123"/>
        <v>#REF!</v>
      </c>
      <c r="CF30" s="134" t="str">
        <f t="shared" si="42"/>
        <v>#REF!</v>
      </c>
      <c r="CG30" s="134" t="str">
        <f t="shared" si="43"/>
        <v>#REF!</v>
      </c>
      <c r="CH30" s="135" t="str">
        <f>IF(ISNA(VLOOKUP(A30,'Données projet (1)'!$A$113:$I$133,5,0)),0%,VLOOKUP(A30,'Données projet (1)'!$A$113:$I$133,5,0)*VLOOKUP('Données projet (1)'!$B$12,'Paramètres (1)'!$A$1:$I$88,7,0))</f>
        <v>#REF!</v>
      </c>
      <c r="CI30" s="135" t="str">
        <f>IF(ISNA(VLOOKUP(A30,'Données projet (1)'!$A$113:$I$133,6,0)),0%,VLOOKUP(A30,'Données projet (1)'!$A$113:$I$133,6,0)*VLOOKUP('Données projet (1)'!$B$12,'Paramètres (1)'!$A$1:$I$88,7,0))</f>
        <v>#REF!</v>
      </c>
      <c r="CJ30" s="135" t="str">
        <f t="shared" si="44"/>
        <v>#REF!</v>
      </c>
      <c r="CK30" s="142" t="str">
        <f>EXP(-LN(2)/35)*CK29+(1-EXP(-LN(2)/35))/(LN(2)/35)*CG30*CH30*VLOOKUP('Données projet (1)'!$B$12,'Paramètres (1)'!$A$1:$I$88,3,0)*0.475*44/12</f>
        <v>#REF!</v>
      </c>
      <c r="CL30" s="142" t="str">
        <f>EXP(-LN(2)/25)*CL29+(1-EXP(-LN(2)/25))/(LN(2)/25)*'Calculateur (1)'!CG30*'Calculateur (1)'!CI30*VLOOKUP('Données projet (1)'!$B$12,'Paramètres (1)'!$A$1:$I$88,3,0)*0.475*44/12</f>
        <v>#REF!</v>
      </c>
      <c r="CM30" s="142" t="str">
        <f>EXP(-LN(2)/2)*CM29+(1-EXP(-LN(2)/2))/(LN(2)/2)*CG30*CJ30*VLOOKUP('Données projet (1)'!$B$12,'Paramètres (1)'!$A$1:$I$88,3,0)*0.475*44/12</f>
        <v>#REF!</v>
      </c>
      <c r="CN30" s="143" t="str">
        <f t="shared" si="45"/>
        <v>#REF!</v>
      </c>
      <c r="CO30" s="139" t="str">
        <f t="shared" si="46"/>
        <v>#REF!</v>
      </c>
      <c r="CP30" s="131" t="str">
        <f t="shared" si="47"/>
        <v>#REF!</v>
      </c>
      <c r="CQ30" s="131" t="str">
        <f t="shared" si="124"/>
        <v>#REF!</v>
      </c>
      <c r="CR30" s="131" t="str">
        <f t="shared" si="48"/>
        <v>#REF!</v>
      </c>
      <c r="CS30" s="131" t="str">
        <f t="array" ref="CS30">INDEX(CR:CR,MIN(IF(ISNUMBER(CR30:CR226),ROW(CR30:CR226),"")))</f>
        <v/>
      </c>
      <c r="CT30" s="131" t="str">
        <f t="shared" si="125"/>
        <v>#REF!</v>
      </c>
      <c r="CU30" s="138" t="str">
        <f>CT30*VLOOKUP('Données projet (1)'!$B$13,'Paramètres (1)'!$A$1:$I$88,3,0)*VLOOKUP('Données projet (1)'!$B$13,'Paramètres (1)'!$A$1:$I$88,5,0)</f>
        <v>#REF!</v>
      </c>
      <c r="CV30" s="130" t="str">
        <f t="shared" si="126"/>
        <v>#REF!</v>
      </c>
      <c r="CW30" s="141" t="str">
        <f t="shared" si="49"/>
        <v>#REF!</v>
      </c>
      <c r="CX30" s="133" t="str">
        <f t="shared" si="50"/>
        <v>#REF!</v>
      </c>
      <c r="CY30" s="133" t="str">
        <f t="shared" si="51"/>
        <v>#REF!</v>
      </c>
      <c r="CZ30" s="133" t="str">
        <f t="shared" si="127"/>
        <v>#REF!</v>
      </c>
      <c r="DA30" s="134" t="str">
        <f t="shared" si="52"/>
        <v>#REF!</v>
      </c>
      <c r="DB30" s="134" t="str">
        <f t="shared" si="53"/>
        <v>#REF!</v>
      </c>
      <c r="DC30" s="135" t="str">
        <f>IF(ISNA(VLOOKUP(A30,'Données projet (1)'!$A$139:$I$159,5,0)),0%,VLOOKUP(A30,'Données projet (1)'!$A$139:$I$159,5,0)*VLOOKUP('Données projet (1)'!$B$13,'Paramètres (1)'!$A$1:$I$88,7,0))</f>
        <v>#REF!</v>
      </c>
      <c r="DD30" s="135" t="str">
        <f>IF(ISNA(VLOOKUP(A30,'Données projet (1)'!$A$139:$I$159,6,0)),0%,VLOOKUP(A30,'Données projet (1)'!$A$139:$I$159,6,0)*VLOOKUP('Données projet (1)'!$B$13,'Paramètres (1)'!$A$1:$I$88,7,0))</f>
        <v>#REF!</v>
      </c>
      <c r="DE30" s="135" t="str">
        <f t="shared" si="54"/>
        <v>#REF!</v>
      </c>
      <c r="DF30" s="142" t="str">
        <f>EXP(-LN(2)/35)*DF29+(1-EXP(-LN(2)/35))/(LN(2)/35)*DB30*DC30*VLOOKUP('Données projet (1)'!$B$13,'Paramètres (1)'!$A$1:$I$88,3,0)*0.475*44/12</f>
        <v>#REF!</v>
      </c>
      <c r="DG30" s="142" t="str">
        <f>EXP(-LN(2)/25)*DG29+(1-EXP(-LN(2)/25))/(LN(2)/25)*'Calculateur (1)'!DB30*'Calculateur (1)'!DD30*VLOOKUP('Données projet (1)'!$B$13,'Paramètres (1)'!$A$1:$I$88,3,0)*0.475*44/12</f>
        <v>#REF!</v>
      </c>
      <c r="DH30" s="142" t="str">
        <f>EXP(-LN(2)/2)*DH29+(1-EXP(-LN(2)/2))/(LN(2)/2)*DB30*DE30*VLOOKUP('Données projet (1)'!$B$13,'Paramètres (1)'!$A$1:$I$88,3,0)*0.475*44/12</f>
        <v>#REF!</v>
      </c>
      <c r="DI30" s="143" t="str">
        <f t="shared" si="55"/>
        <v>#REF!</v>
      </c>
      <c r="DJ30" s="139" t="str">
        <f t="shared" si="56"/>
        <v>#REF!</v>
      </c>
      <c r="DK30" s="131" t="str">
        <f t="shared" si="57"/>
        <v>#REF!</v>
      </c>
      <c r="DL30" s="131" t="str">
        <f t="shared" si="128"/>
        <v>#REF!</v>
      </c>
      <c r="DM30" s="131" t="str">
        <f t="shared" si="58"/>
        <v>#REF!</v>
      </c>
      <c r="DN30" s="131" t="str">
        <f t="array" ref="DN30">INDEX(DM:DM,MIN(IF(ISNUMBER(DM30:DM226),ROW(DM30:DM226),"")))</f>
        <v/>
      </c>
      <c r="DO30" s="131" t="str">
        <f t="shared" si="129"/>
        <v>#REF!</v>
      </c>
      <c r="DP30" s="138" t="str">
        <f>DO30*VLOOKUP('Données projet (1)'!$B$14,'Paramètres (1)'!$A$1:$I$88,3,0)*VLOOKUP('Données projet (1)'!$B$14,'Paramètres (1)'!$A$1:$I$88,5,0)</f>
        <v>#REF!</v>
      </c>
      <c r="DQ30" s="130" t="str">
        <f t="shared" si="130"/>
        <v>#REF!</v>
      </c>
      <c r="DR30" s="141" t="str">
        <f t="shared" si="59"/>
        <v>#REF!</v>
      </c>
      <c r="DS30" s="133" t="str">
        <f t="shared" si="60"/>
        <v>#REF!</v>
      </c>
      <c r="DT30" s="133" t="str">
        <f t="shared" si="61"/>
        <v>#REF!</v>
      </c>
      <c r="DU30" s="133" t="str">
        <f t="shared" si="131"/>
        <v>#REF!</v>
      </c>
      <c r="DV30" s="134" t="str">
        <f t="shared" si="62"/>
        <v>#REF!</v>
      </c>
      <c r="DW30" s="134" t="str">
        <f t="shared" si="63"/>
        <v>#REF!</v>
      </c>
      <c r="DX30" s="135" t="str">
        <f>IF(ISNA(VLOOKUP(A30,'Données projet (1)'!$A$165:$I$185,5,0)),0%,VLOOKUP(A30,'Données projet (1)'!$A$165:$I$185,5,0)*VLOOKUP('Données projet (1)'!$B$14,'Paramètres (1)'!$A$1:$I$88,7,0))</f>
        <v>#REF!</v>
      </c>
      <c r="DY30" s="135" t="str">
        <f>IF(ISNA(VLOOKUP(A30,'Données projet (1)'!$A$165:$I$185,6,0)),0%,VLOOKUP(A30,'Données projet (1)'!$A$165:$I$185,6,0)*VLOOKUP('Données projet (1)'!$B$14,'Paramètres (1)'!$A$1:$I$88,7,0))</f>
        <v>#REF!</v>
      </c>
      <c r="DZ30" s="135" t="str">
        <f t="shared" si="64"/>
        <v>#REF!</v>
      </c>
      <c r="EA30" s="142" t="str">
        <f>EXP(-LN(2)/35)*EA29+(1-EXP(-LN(2)/35))/(LN(2)/35)*DW30*DX30*VLOOKUP('Données projet (1)'!$B$14,'Paramètres (1)'!$A$1:$I$88,3,0)*0.475*44/12</f>
        <v>#REF!</v>
      </c>
      <c r="EB30" s="142" t="str">
        <f>EXP(-LN(2)/25)*EB29+(1-EXP(-LN(2)/25))/(LN(2)/25)*'Calculateur (1)'!DW30*'Calculateur (1)'!DY30*VLOOKUP('Données projet (1)'!$B$14,'Paramètres (1)'!$A$1:$I$88,3,0)*0.475*44/12</f>
        <v>#REF!</v>
      </c>
      <c r="EC30" s="142" t="str">
        <f>EXP(-LN(2)/2)*EC29+(1-EXP(-LN(2)/2))/(LN(2)/2)*DW30*DZ30*VLOOKUP('Données projet (1)'!$B$14,'Paramètres (1)'!$A$1:$I$88,3,0)*0.475*44/12</f>
        <v>#REF!</v>
      </c>
      <c r="ED30" s="143" t="str">
        <f t="shared" si="65"/>
        <v>#REF!</v>
      </c>
      <c r="EE30" s="139" t="str">
        <f t="shared" si="66"/>
        <v>#REF!</v>
      </c>
      <c r="EF30" s="131" t="str">
        <f t="shared" si="67"/>
        <v>#REF!</v>
      </c>
      <c r="EG30" s="131" t="str">
        <f t="shared" si="132"/>
        <v>#REF!</v>
      </c>
      <c r="EH30" s="131" t="str">
        <f t="shared" si="68"/>
        <v>#REF!</v>
      </c>
      <c r="EI30" s="131" t="str">
        <f t="array" ref="EI30">INDEX(EH:EH,MIN(IF(ISNUMBER(EH30:EH226),ROW(EH30:EH226),"")))</f>
        <v/>
      </c>
      <c r="EJ30" s="131" t="str">
        <f t="shared" si="133"/>
        <v>#REF!</v>
      </c>
      <c r="EK30" s="138" t="str">
        <f>EJ30*VLOOKUP('Données projet (1)'!$B$15,'Paramètres (1)'!$A$1:$I$88,3,0)*VLOOKUP('Données projet (1)'!$B$15,'Paramètres (1)'!$A$1:$I$88,5,0)</f>
        <v>#REF!</v>
      </c>
      <c r="EL30" s="130" t="str">
        <f t="shared" si="134"/>
        <v>#REF!</v>
      </c>
      <c r="EM30" s="141" t="str">
        <f t="shared" si="69"/>
        <v>#REF!</v>
      </c>
      <c r="EN30" s="133" t="str">
        <f t="shared" si="70"/>
        <v>#REF!</v>
      </c>
      <c r="EO30" s="133" t="str">
        <f t="shared" si="71"/>
        <v>#REF!</v>
      </c>
      <c r="EP30" s="133" t="str">
        <f t="shared" si="135"/>
        <v>#REF!</v>
      </c>
      <c r="EQ30" s="134" t="str">
        <f t="shared" si="72"/>
        <v>#REF!</v>
      </c>
      <c r="ER30" s="134" t="str">
        <f t="shared" si="73"/>
        <v>#REF!</v>
      </c>
      <c r="ES30" s="135" t="str">
        <f>IF(ISNA(VLOOKUP(A30,'Données projet (1)'!$A$191:$I$211,5,0)),0%,VLOOKUP(A30,'Données projet (1)'!$A$191:$I$211,5,0)*VLOOKUP('Données projet (1)'!$B$15,'Paramètres (1)'!$A$1:$I$88,7,0))</f>
        <v>#REF!</v>
      </c>
      <c r="ET30" s="135" t="str">
        <f>IF(ISNA(VLOOKUP(A30,'Données projet (1)'!$A$191:$I$211,6,0)),0%,VLOOKUP(A30,'Données projet (1)'!$A$191:$I$211,6,0)*VLOOKUP('Données projet (1)'!$B$15,'Paramètres (1)'!$A$1:$I$88,7,0))</f>
        <v>#REF!</v>
      </c>
      <c r="EU30" s="135" t="str">
        <f t="shared" si="74"/>
        <v>#REF!</v>
      </c>
      <c r="EV30" s="142" t="str">
        <f>EXP(-LN(2)/35)*EV29+(1-EXP(-LN(2)/35))/(LN(2)/35)*ER30*ES30*VLOOKUP('Données projet (1)'!$B$15,'Paramètres (1)'!$A$1:$I$88,3,0)*0.475*44/12</f>
        <v>#REF!</v>
      </c>
      <c r="EW30" s="142" t="str">
        <f>EXP(-LN(2)/25)*EW29+(1-EXP(-LN(2)/25))/(LN(2)/25)*'Calculateur (1)'!ER30*'Calculateur (1)'!ET30*VLOOKUP('Données projet (1)'!$B$15,'Paramètres (1)'!$A$1:$I$88,3,0)*0.475*44/12</f>
        <v>#REF!</v>
      </c>
      <c r="EX30" s="142" t="str">
        <f>EXP(-LN(2)/2)*EX29+(1-EXP(-LN(2)/2))/(LN(2)/2)*ER30*EU30*VLOOKUP('Données projet (1)'!$B$15,'Paramètres (1)'!$A$1:$I$88,3,0)*0.475*44/12</f>
        <v>#REF!</v>
      </c>
      <c r="EY30" s="143" t="str">
        <f t="shared" si="75"/>
        <v>#REF!</v>
      </c>
      <c r="EZ30" s="139" t="str">
        <f t="shared" si="76"/>
        <v>#REF!</v>
      </c>
      <c r="FA30" s="131" t="str">
        <f t="shared" si="77"/>
        <v>#REF!</v>
      </c>
      <c r="FB30" s="131" t="str">
        <f t="shared" si="136"/>
        <v>#REF!</v>
      </c>
      <c r="FC30" s="131" t="str">
        <f t="shared" si="78"/>
        <v>#REF!</v>
      </c>
      <c r="FD30" s="131" t="str">
        <f t="array" ref="FD30">INDEX(FC:FC,MIN(IF(ISNUMBER(FC30:FC226),ROW(FC30:FC226),"")))</f>
        <v/>
      </c>
      <c r="FE30" s="131" t="str">
        <f t="shared" si="137"/>
        <v>#REF!</v>
      </c>
      <c r="FF30" s="138" t="str">
        <f>FE30*VLOOKUP('Données projet (1)'!$B$16,'Paramètres (1)'!$A$1:$I$88,3,0)*VLOOKUP('Données projet (1)'!$B$16,'Paramètres (1)'!$A$1:$I$88,5,0)</f>
        <v>#REF!</v>
      </c>
      <c r="FG30" s="130" t="str">
        <f t="shared" si="138"/>
        <v>#REF!</v>
      </c>
      <c r="FH30" s="141" t="str">
        <f t="shared" si="79"/>
        <v>#REF!</v>
      </c>
      <c r="FI30" s="133" t="str">
        <f t="shared" si="80"/>
        <v>#REF!</v>
      </c>
      <c r="FJ30" s="133" t="str">
        <f t="shared" si="81"/>
        <v>#REF!</v>
      </c>
      <c r="FK30" s="133" t="str">
        <f t="shared" si="139"/>
        <v>#REF!</v>
      </c>
      <c r="FL30" s="134" t="str">
        <f t="shared" si="82"/>
        <v>#REF!</v>
      </c>
      <c r="FM30" s="134" t="str">
        <f t="shared" si="83"/>
        <v>#REF!</v>
      </c>
      <c r="FN30" s="135" t="str">
        <f>IF(ISNA(VLOOKUP(A30,'Données projet (1)'!$A$217:$I$237,5,0)),0%,VLOOKUP(A30,'Données projet (1)'!$A$217:$I$237,5,0)*VLOOKUP('Données projet (1)'!$B$16,'Paramètres (1)'!$A$1:$I$88,7,0))</f>
        <v>#REF!</v>
      </c>
      <c r="FO30" s="135" t="str">
        <f>IF(ISNA(VLOOKUP(A30,'Données projet (1)'!$A$217:$I$237,6,0)),0%,VLOOKUP(A30,'Données projet (1)'!$A$217:$I$237,6,0)*VLOOKUP('Données projet (1)'!$B$16,'Paramètres (1)'!$A$1:$I$88,7,0))</f>
        <v>#REF!</v>
      </c>
      <c r="FP30" s="135" t="str">
        <f t="shared" si="84"/>
        <v>#REF!</v>
      </c>
      <c r="FQ30" s="142" t="str">
        <f>EXP(-LN(2)/35)*FQ29+(1-EXP(-LN(2)/35))/(LN(2)/35)*FM30*FN30*VLOOKUP('Données projet (1)'!$B$16,'Paramètres (1)'!$A$1:$I$88,3,0)*0.475*44/12</f>
        <v>#REF!</v>
      </c>
      <c r="FR30" s="142" t="str">
        <f>EXP(-LN(2)/25)*FR29+(1-EXP(-LN(2)/25))/(LN(2)/25)*'Calculateur (1)'!FM30*'Calculateur (1)'!FO30*VLOOKUP('Données projet (1)'!$B$16,'Paramètres (1)'!$A$1:$I$88,3,0)*0.475*44/12</f>
        <v>#REF!</v>
      </c>
      <c r="FS30" s="142" t="str">
        <f>EXP(-LN(2)/2)*FS29+(1-EXP(-LN(2)/2))/(LN(2)/2)*FM30*FP30*VLOOKUP('Données projet (1)'!$B$16,'Paramètres (1)'!$A$1:$I$88,3,0)*0.475*44/12</f>
        <v>#REF!</v>
      </c>
      <c r="FT30" s="143" t="str">
        <f t="shared" si="85"/>
        <v>#REF!</v>
      </c>
      <c r="FU30" s="139" t="str">
        <f t="shared" si="86"/>
        <v>#REF!</v>
      </c>
      <c r="FV30" s="131" t="str">
        <f t="shared" si="87"/>
        <v>#REF!</v>
      </c>
      <c r="FW30" s="131" t="str">
        <f t="shared" si="140"/>
        <v>#REF!</v>
      </c>
      <c r="FX30" s="131" t="str">
        <f t="shared" si="88"/>
        <v>#REF!</v>
      </c>
      <c r="FY30" s="131" t="str">
        <f t="array" ref="FY30">INDEX(FX:FX,MIN(IF(ISNUMBER(FX30:FX226),ROW(FX30:FX226),"")))</f>
        <v/>
      </c>
      <c r="FZ30" s="131" t="str">
        <f t="shared" si="141"/>
        <v>#REF!</v>
      </c>
      <c r="GA30" s="138" t="str">
        <f>FZ30*VLOOKUP('Données projet (1)'!$B$17,'Paramètres (1)'!$A$1:$I$88,3,0)*VLOOKUP('Données projet (1)'!$B$17,'Paramètres (1)'!$A$1:$I$88,5,0)</f>
        <v>#REF!</v>
      </c>
      <c r="GB30" s="130" t="str">
        <f t="shared" si="142"/>
        <v>#REF!</v>
      </c>
      <c r="GC30" s="141" t="str">
        <f t="shared" si="89"/>
        <v>#REF!</v>
      </c>
      <c r="GD30" s="133" t="str">
        <f t="shared" si="90"/>
        <v>#REF!</v>
      </c>
      <c r="GE30" s="133" t="str">
        <f t="shared" si="91"/>
        <v>#REF!</v>
      </c>
      <c r="GF30" s="133" t="str">
        <f t="shared" si="143"/>
        <v>#REF!</v>
      </c>
      <c r="GG30" s="134" t="str">
        <f t="shared" si="92"/>
        <v>#REF!</v>
      </c>
      <c r="GH30" s="134" t="str">
        <f t="shared" si="93"/>
        <v>#REF!</v>
      </c>
      <c r="GI30" s="135" t="str">
        <f>IF(ISNA(VLOOKUP(A30,'Données projet (1)'!$A$243:$I$263,5,0)),0%,VLOOKUP(A30,'Données projet (1)'!$A$243:$I$263,5,0)*VLOOKUP('Données projet (1)'!$B$17,'Paramètres (1)'!$A$1:$I$88,7,0))</f>
        <v>#REF!</v>
      </c>
      <c r="GJ30" s="135" t="str">
        <f>IF(ISNA(VLOOKUP(A30,'Données projet (1)'!$A$243:$I$263,6,0)),0%,VLOOKUP(A30,'Données projet (1)'!$A$243:$I$263,6,0)*VLOOKUP('Données projet (1)'!$B$17,'Paramètres (1)'!$A$1:$I$88,7,0))</f>
        <v>#REF!</v>
      </c>
      <c r="GK30" s="135" t="str">
        <f t="shared" si="94"/>
        <v>#REF!</v>
      </c>
      <c r="GL30" s="142" t="str">
        <f>EXP(-LN(2)/35)*GL29+(1-EXP(-LN(2)/35))/(LN(2)/35)*GH30*GI30*VLOOKUP('Données projet (1)'!$B$17,'Paramètres (1)'!$A$1:$I$88,3,0)*0.475*44/12</f>
        <v>#REF!</v>
      </c>
      <c r="GM30" s="142" t="str">
        <f>EXP(-LN(2)/25)*GM29+(1-EXP(-LN(2)/25))/(LN(2)/25)*'Calculateur (1)'!GH30*'Calculateur (1)'!GJ30*VLOOKUP('Données projet (1)'!$B$17,'Paramètres (1)'!$A$1:$I$88,3,0)*0.475*44/12</f>
        <v>#REF!</v>
      </c>
      <c r="GN30" s="142" t="str">
        <f>EXP(-LN(2)/2)*GN29+(1-EXP(-LN(2)/2))/(LN(2)/2)*GH30*GK30*VLOOKUP('Données projet (1)'!$B$17,'Paramètres (1)'!$A$1:$I$88,3,0)*0.475*44/12</f>
        <v>#REF!</v>
      </c>
      <c r="GO30" s="142" t="str">
        <f t="shared" si="95"/>
        <v>#REF!</v>
      </c>
      <c r="GP30" s="139" t="str">
        <f t="shared" si="96"/>
        <v>#REF!</v>
      </c>
      <c r="GQ30" s="131" t="str">
        <f t="shared" si="97"/>
        <v>#REF!</v>
      </c>
      <c r="GR30" s="131" t="str">
        <f t="shared" si="144"/>
        <v>#REF!</v>
      </c>
      <c r="GS30" s="131" t="str">
        <f t="shared" si="98"/>
        <v>#REF!</v>
      </c>
      <c r="GT30" s="131" t="str">
        <f t="array" ref="GT30">INDEX(GS:GS,MIN(IF(ISNUMBER(GS30:GS226),ROW(GS30:GS226),"")))</f>
        <v/>
      </c>
      <c r="GU30" s="131" t="str">
        <f t="shared" si="145"/>
        <v>#REF!</v>
      </c>
      <c r="GV30" s="138" t="str">
        <f>GU30*VLOOKUP('Données projet (1)'!$B$18,'Paramètres (1)'!$A$1:$I$88,3,0)*VLOOKUP('Données projet (1)'!$B$18,'Paramètres (1)'!$A$1:$I$88,5,0)</f>
        <v>#REF!</v>
      </c>
      <c r="GW30" s="130" t="str">
        <f t="shared" si="146"/>
        <v>#REF!</v>
      </c>
      <c r="GX30" s="141" t="str">
        <f t="shared" si="99"/>
        <v>#REF!</v>
      </c>
      <c r="GY30" s="133" t="str">
        <f t="shared" si="100"/>
        <v>#REF!</v>
      </c>
      <c r="GZ30" s="133" t="str">
        <f t="shared" si="101"/>
        <v>#REF!</v>
      </c>
      <c r="HA30" s="133" t="str">
        <f t="shared" si="147"/>
        <v>#REF!</v>
      </c>
      <c r="HB30" s="134" t="str">
        <f t="shared" si="102"/>
        <v>#REF!</v>
      </c>
      <c r="HC30" s="134" t="str">
        <f t="shared" si="103"/>
        <v>#REF!</v>
      </c>
      <c r="HD30" s="135" t="str">
        <f>IF(ISNA(VLOOKUP(A30,'Données projet (1)'!$A$269:$I$289,5,0)),0%,VLOOKUP(A30,'Données projet (1)'!$A$269:$I$289,5,0)*VLOOKUP('Données projet (1)'!$B$18,'Paramètres (1)'!$A$1:$I$88,7,0))</f>
        <v>#REF!</v>
      </c>
      <c r="HE30" s="135" t="str">
        <f>IF(ISNA(VLOOKUP(A30,'Données projet (1)'!$A$269:$I$289,6,0)),0%,VLOOKUP(A30,'Données projet (1)'!$A$269:$I$289,6,0)*VLOOKUP('Données projet (1)'!$B$18,'Paramètres (1)'!$A$1:$I$88,7,0))</f>
        <v>#REF!</v>
      </c>
      <c r="HF30" s="135" t="str">
        <f t="shared" si="104"/>
        <v>#REF!</v>
      </c>
      <c r="HG30" s="142" t="str">
        <f>EXP(-LN(2)/35)*HG29+(1-EXP(-LN(2)/35))/(LN(2)/35)*HC30*HD30*VLOOKUP('Données projet (1)'!$B$18,'Paramètres (1)'!$A$1:$I$88,3,0)*0.475*44/12</f>
        <v>#REF!</v>
      </c>
      <c r="HH30" s="142" t="str">
        <f>EXP(-LN(2)/25)*HH29+(1-EXP(-LN(2)/25))/(LN(2)/25)*'Calculateur (1)'!HC30*'Calculateur (1)'!HE30*VLOOKUP('Données projet (1)'!$B$18,'Paramètres (1)'!$A$1:$I$88,3,0)*0.475*44/12</f>
        <v>#REF!</v>
      </c>
      <c r="HI30" s="142" t="str">
        <f>EXP(-LN(2)/2)*HI29+(1-EXP(-LN(2)/2))/(LN(2)/2)*HC30*HF30*VLOOKUP('Données projet (1)'!$B$18,'Paramètres (1)'!$A$1:$I$88,3,0)*0.475*44/12</f>
        <v>#REF!</v>
      </c>
      <c r="HJ30" s="143" t="str">
        <f t="shared" si="105"/>
        <v>#REF!</v>
      </c>
    </row>
    <row r="31" ht="14.25" customHeight="1">
      <c r="A31" s="125">
        <f t="shared" si="106"/>
        <v>28</v>
      </c>
      <c r="B31" s="126" t="str">
        <f t="shared" si="1"/>
        <v>#REF!</v>
      </c>
      <c r="C31" s="140" t="str">
        <f>'Calculateur (1)'!C30+'Scénario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1" s="127">
        <f t="shared" si="107"/>
        <v>0</v>
      </c>
      <c r="E31" s="127" t="str">
        <f t="shared" si="2"/>
        <v>#REF!</v>
      </c>
      <c r="F31" s="127" t="str">
        <f t="shared" si="3"/>
        <v>#REF!</v>
      </c>
      <c r="G31" s="127" t="str">
        <f t="shared" si="4"/>
        <v>#REF!</v>
      </c>
      <c r="H31" s="128" t="str">
        <f t="shared" si="5"/>
        <v>#REF!</v>
      </c>
      <c r="I31" s="129" t="str">
        <f t="shared" si="6"/>
        <v>#REF!</v>
      </c>
      <c r="J31" s="130" t="str">
        <f t="shared" si="7"/>
        <v>#REF!</v>
      </c>
      <c r="K31" s="131" t="str">
        <f t="shared" si="108"/>
        <v>#REF!</v>
      </c>
      <c r="L31" s="131" t="str">
        <f t="shared" si="8"/>
        <v>#REF!</v>
      </c>
      <c r="M31" s="131" t="str">
        <f t="array" ref="M31">INDEX(L:L,MIN(IF(ISNUMBER(L31:L227),ROW(L31:L227),"")))</f>
        <v/>
      </c>
      <c r="N31" s="130" t="str">
        <f t="shared" si="109"/>
        <v>#REF!</v>
      </c>
      <c r="O31" s="130" t="str">
        <f>N31*VLOOKUP('Données projet (1)'!$B$9,'Paramètres (1)'!$A$1:$I$88,3,0)*VLOOKUP('Données projet (1)'!$B$9,'Paramètres (1)'!$A$1:$I$88,5,0)</f>
        <v>#REF!</v>
      </c>
      <c r="P31" s="130" t="str">
        <f t="shared" si="110"/>
        <v>#REF!</v>
      </c>
      <c r="Q31" s="141" t="str">
        <f t="shared" si="9"/>
        <v>#REF!</v>
      </c>
      <c r="R31" s="133" t="str">
        <f t="shared" si="10"/>
        <v>#REF!</v>
      </c>
      <c r="S31" s="133" t="str">
        <f t="shared" si="11"/>
        <v>#REF!</v>
      </c>
      <c r="T31" s="133" t="str">
        <f t="shared" si="111"/>
        <v>#REF!</v>
      </c>
      <c r="U31" s="134" t="str">
        <f t="shared" si="12"/>
        <v>#REF!</v>
      </c>
      <c r="V31" s="134" t="str">
        <f t="shared" si="13"/>
        <v>#REF!</v>
      </c>
      <c r="W31" s="135" t="str">
        <f>IF(ISNA(VLOOKUP(A31,'Données projet (1)'!$A$35:$I$55,5,0)),0%,VLOOKUP(A31,'Données projet (1)'!$A$35:$I$55,5,0)*VLOOKUP('Données projet (1)'!$B$9,'Paramètres (1)'!$A$1:$I$88,7,0))</f>
        <v>#REF!</v>
      </c>
      <c r="X31" s="135" t="str">
        <f>IF(ISNA(VLOOKUP(A31,'Données projet (1)'!$A$35:$I$55,6,0)),0%,VLOOKUP(A31,'Données projet (1)'!$A$35:$I$55,6,0)*VLOOKUP('Données projet (1)'!$B$9,'Paramètres (1)'!$A$1:$I$88,7,0))</f>
        <v>#REF!</v>
      </c>
      <c r="Y31" s="135" t="str">
        <f t="shared" si="14"/>
        <v>#REF!</v>
      </c>
      <c r="Z31" s="142" t="str">
        <f>EXP(-LN(2)/35)*Z30+(1-EXP(-LN(2)/35))/(LN(2)/35)*V31*W31*VLOOKUP('Données projet (1)'!$B$9,'Paramètres (1)'!$A$1:$I$88,3,0)*0.475*44/12</f>
        <v>#REF!</v>
      </c>
      <c r="AA31" s="142" t="str">
        <f>EXP(-LN(2)/25)*AA30+(1-EXP(-LN(2)/25))/(LN(2)/25)*'Calculateur (1)'!V31*'Calculateur (1)'!X31*VLOOKUP('Données projet (1)'!$B$9,'Paramètres (1)'!$A$1:$I$88,3,0)*0.475*44/12</f>
        <v>#REF!</v>
      </c>
      <c r="AB31" s="142" t="str">
        <f>EXP(-LN(2)/2)*AB30+(1-EXP(-LN(2)/2))/(LN(2)/2)*V31*Y31*VLOOKUP('Données projet (1)'!$B$9,'Paramètres (1)'!$A$1:$I$88,3,0)*0.475*44/12</f>
        <v>#REF!</v>
      </c>
      <c r="AC31" s="143" t="str">
        <f t="shared" si="15"/>
        <v>#REF!</v>
      </c>
      <c r="AD31" s="130" t="str">
        <f t="shared" si="16"/>
        <v>#REF!</v>
      </c>
      <c r="AE31" s="130" t="str">
        <f t="shared" si="17"/>
        <v>#REF!</v>
      </c>
      <c r="AF31" s="131" t="str">
        <f t="shared" si="112"/>
        <v>#REF!</v>
      </c>
      <c r="AG31" s="131" t="str">
        <f t="shared" si="18"/>
        <v>#REF!</v>
      </c>
      <c r="AH31" s="131" t="str">
        <f t="array" ref="AH31">INDEX(AG:AG,MIN(IF(ISNUMBER(AG31:AG227),ROW(AG31:AG227),"")))</f>
        <v/>
      </c>
      <c r="AI31" s="130" t="str">
        <f t="shared" si="113"/>
        <v>#REF!</v>
      </c>
      <c r="AJ31" s="130" t="str">
        <f>AI31*VLOOKUP('Données projet (1)'!$B$10,'Paramètres (1)'!$A$1:$I$88,3,0)*VLOOKUP('Données projet (1)'!$B$10,'Paramètres (1)'!$A$1:$I$88,5,0)</f>
        <v>#REF!</v>
      </c>
      <c r="AK31" s="130" t="str">
        <f t="shared" si="114"/>
        <v>#REF!</v>
      </c>
      <c r="AL31" s="141" t="str">
        <f t="shared" si="19"/>
        <v>#REF!</v>
      </c>
      <c r="AM31" s="133" t="str">
        <f t="shared" si="20"/>
        <v>#REF!</v>
      </c>
      <c r="AN31" s="133" t="str">
        <f t="shared" si="21"/>
        <v>#REF!</v>
      </c>
      <c r="AO31" s="133" t="str">
        <f t="shared" si="115"/>
        <v>#REF!</v>
      </c>
      <c r="AP31" s="134" t="str">
        <f t="shared" si="22"/>
        <v>#REF!</v>
      </c>
      <c r="AQ31" s="134" t="str">
        <f t="shared" si="23"/>
        <v>#REF!</v>
      </c>
      <c r="AR31" s="135" t="str">
        <f>IF(ISNA(VLOOKUP(A31,'Données projet (1)'!$A$61:$I$81,5,0)),0%,VLOOKUP(A31,'Données projet (1)'!$A$61:$I$81,5,0)*VLOOKUP('Données projet (1)'!$B$10,'Paramètres (1)'!$A$1:$I$88,7,0))</f>
        <v>#REF!</v>
      </c>
      <c r="AS31" s="135" t="str">
        <f>IF(ISNA(VLOOKUP(A31,'Données projet (1)'!$A$61:$I$81,6,0)),0%,VLOOKUP(A31,'Données projet (1)'!$A$61:$I$81,6,0)*VLOOKUP('Données projet (1)'!$B$10,'Paramètres (1)'!$A$1:$I$88,7,0))</f>
        <v>#REF!</v>
      </c>
      <c r="AT31" s="135" t="str">
        <f t="shared" si="24"/>
        <v>#REF!</v>
      </c>
      <c r="AU31" s="142" t="str">
        <f>EXP(-LN(2)/35)*AU30+(1-EXP(-LN(2)/35))/(LN(2)/35)*AQ31*AR31*VLOOKUP('Données projet (1)'!$B$10,'Paramètres (1)'!$A$1:$I$88,3,0)*0.475*44/12</f>
        <v>#REF!</v>
      </c>
      <c r="AV31" s="142" t="str">
        <f>EXP(-LN(2)/25)*AV30+(1-EXP(-LN(2)/25))/(LN(2)/25)*'Calculateur (1)'!AQ31*'Calculateur (1)'!AS31*VLOOKUP('Données projet (1)'!$B$10,'Paramètres (1)'!$A$1:$I$88,3,0)*0.475*44/12</f>
        <v>#REF!</v>
      </c>
      <c r="AW31" s="142" t="str">
        <f>EXP(-LN(2)/2)*AW30+(1-EXP(-LN(2)/2))/(LN(2)/2)*AQ31*AT31*VLOOKUP('Données projet (1)'!$B$10,'Paramètres (1)'!$A$1:$I$88,3,0)*0.475*44/12</f>
        <v>#REF!</v>
      </c>
      <c r="AX31" s="142" t="str">
        <f t="shared" si="25"/>
        <v>#REF!</v>
      </c>
      <c r="AY31" s="137" t="str">
        <f t="shared" si="26"/>
        <v>#REF!</v>
      </c>
      <c r="AZ31" s="131" t="str">
        <f t="shared" si="27"/>
        <v>#REF!</v>
      </c>
      <c r="BA31" s="131" t="str">
        <f t="shared" si="116"/>
        <v>#REF!</v>
      </c>
      <c r="BB31" s="131" t="str">
        <f t="shared" si="28"/>
        <v>#REF!</v>
      </c>
      <c r="BC31" s="131" t="str">
        <f t="array" ref="BC31">INDEX(BB:BB,MIN(IF(ISNUMBER(BB31:BB227),ROW(BB31:BB227),"")))</f>
        <v/>
      </c>
      <c r="BD31" s="131" t="str">
        <f t="shared" si="117"/>
        <v>#REF!</v>
      </c>
      <c r="BE31" s="130" t="str">
        <f>BD31*VLOOKUP('Données projet (1)'!$B$11,'Paramètres (1)'!$A$1:$I$88,3,0)*VLOOKUP('Données projet (1)'!$B$11,'Paramètres (1)'!$A$1:$I$88,5,0)</f>
        <v>#REF!</v>
      </c>
      <c r="BF31" s="130" t="str">
        <f t="shared" si="118"/>
        <v>#REF!</v>
      </c>
      <c r="BG31" s="141" t="str">
        <f t="shared" si="29"/>
        <v>#REF!</v>
      </c>
      <c r="BH31" s="133" t="str">
        <f t="shared" si="30"/>
        <v>#REF!</v>
      </c>
      <c r="BI31" s="133" t="str">
        <f t="shared" si="31"/>
        <v>#REF!</v>
      </c>
      <c r="BJ31" s="133" t="str">
        <f t="shared" si="119"/>
        <v>#REF!</v>
      </c>
      <c r="BK31" s="134" t="str">
        <f t="shared" si="32"/>
        <v>#REF!</v>
      </c>
      <c r="BL31" s="134" t="str">
        <f t="shared" si="33"/>
        <v>#REF!</v>
      </c>
      <c r="BM31" s="135" t="str">
        <f>IF(ISNA(VLOOKUP(A31,'Données projet (1)'!$A$87:$I$107,5,0)),0%,VLOOKUP(A31,'Données projet (1)'!$A$87:$I$107,5,0)*VLOOKUP('Données projet (1)'!$B$11,'Paramètres (1)'!$A$1:$I$88,7,0))</f>
        <v>#REF!</v>
      </c>
      <c r="BN31" s="135" t="str">
        <f>IF(ISNA(VLOOKUP(A31,'Données projet (1)'!$A$87:$I$107,6,0)),0%,VLOOKUP(A31,'Données projet (1)'!$A$87:$I$107,6,0)*VLOOKUP('Données projet (1)'!$B$11,'Paramètres (1)'!$A$1:$I$88,7,0))</f>
        <v>#REF!</v>
      </c>
      <c r="BO31" s="135" t="str">
        <f t="shared" si="34"/>
        <v>#REF!</v>
      </c>
      <c r="BP31" s="142" t="str">
        <f>EXP(-LN(2)/35)*BP30+(1-EXP(-LN(2)/35))/(LN(2)/35)*BL31*BM31*VLOOKUP('Données projet (1)'!$B$11,'Paramètres (1)'!$A$1:$I$88,3,0)*0.475*44/12</f>
        <v>#REF!</v>
      </c>
      <c r="BQ31" s="142" t="str">
        <f>EXP(-LN(2)/25)*BQ30+(1-EXP(-LN(2)/25))/(LN(2)/25)*'Calculateur (1)'!BL31*'Calculateur (1)'!BN31*VLOOKUP('Données projet (1)'!$B$11,'Paramètres (1)'!$A$1:$I$88,3,0)*0.475*44/12</f>
        <v>#REF!</v>
      </c>
      <c r="BR31" s="142" t="str">
        <f>EXP(-LN(2)/2)*BR30+(1-EXP(-LN(2)/2))/(LN(2)/2)*BL31*BO31*VLOOKUP('Données projet (1)'!$B$11,'Paramètres (1)'!$A$1:$I$88,3,0)*0.475*44/12</f>
        <v>#REF!</v>
      </c>
      <c r="BS31" s="143" t="str">
        <f t="shared" si="35"/>
        <v>#REF!</v>
      </c>
      <c r="BT31" s="139" t="str">
        <f t="shared" si="36"/>
        <v>#REF!</v>
      </c>
      <c r="BU31" s="131" t="str">
        <f t="shared" si="37"/>
        <v>#REF!</v>
      </c>
      <c r="BV31" s="131" t="str">
        <f t="shared" si="120"/>
        <v>#REF!</v>
      </c>
      <c r="BW31" s="131" t="str">
        <f t="shared" si="38"/>
        <v>#REF!</v>
      </c>
      <c r="BX31" s="131" t="str">
        <f t="array" ref="BX31">INDEX(BW:BW,MIN(IF(ISNUMBER(BW31:BW227),ROW(BW31:BW227),"")))</f>
        <v/>
      </c>
      <c r="BY31" s="131" t="str">
        <f t="shared" si="121"/>
        <v>#REF!</v>
      </c>
      <c r="BZ31" s="130" t="str">
        <f>BY31*VLOOKUP('Données projet (1)'!$B$12,'Paramètres (1)'!$A$1:$I$88,3,0)*VLOOKUP('Données projet (1)'!$B$12,'Paramètres (1)'!$A$1:$I$88,5,0)</f>
        <v>#REF!</v>
      </c>
      <c r="CA31" s="130" t="str">
        <f t="shared" si="122"/>
        <v>#REF!</v>
      </c>
      <c r="CB31" s="141" t="str">
        <f t="shared" si="39"/>
        <v>#REF!</v>
      </c>
      <c r="CC31" s="133" t="str">
        <f t="shared" si="40"/>
        <v>#REF!</v>
      </c>
      <c r="CD31" s="133" t="str">
        <f t="shared" si="41"/>
        <v>#REF!</v>
      </c>
      <c r="CE31" s="133" t="str">
        <f t="shared" si="123"/>
        <v>#REF!</v>
      </c>
      <c r="CF31" s="134" t="str">
        <f t="shared" si="42"/>
        <v>#REF!</v>
      </c>
      <c r="CG31" s="134" t="str">
        <f t="shared" si="43"/>
        <v>#REF!</v>
      </c>
      <c r="CH31" s="135" t="str">
        <f>IF(ISNA(VLOOKUP(A31,'Données projet (1)'!$A$113:$I$133,5,0)),0%,VLOOKUP(A31,'Données projet (1)'!$A$113:$I$133,5,0)*VLOOKUP('Données projet (1)'!$B$12,'Paramètres (1)'!$A$1:$I$88,7,0))</f>
        <v>#REF!</v>
      </c>
      <c r="CI31" s="135" t="str">
        <f>IF(ISNA(VLOOKUP(A31,'Données projet (1)'!$A$113:$I$133,6,0)),0%,VLOOKUP(A31,'Données projet (1)'!$A$113:$I$133,6,0)*VLOOKUP('Données projet (1)'!$B$12,'Paramètres (1)'!$A$1:$I$88,7,0))</f>
        <v>#REF!</v>
      </c>
      <c r="CJ31" s="135" t="str">
        <f t="shared" si="44"/>
        <v>#REF!</v>
      </c>
      <c r="CK31" s="142" t="str">
        <f>EXP(-LN(2)/35)*CK30+(1-EXP(-LN(2)/35))/(LN(2)/35)*CG31*CH31*VLOOKUP('Données projet (1)'!$B$12,'Paramètres (1)'!$A$1:$I$88,3,0)*0.475*44/12</f>
        <v>#REF!</v>
      </c>
      <c r="CL31" s="142" t="str">
        <f>EXP(-LN(2)/25)*CL30+(1-EXP(-LN(2)/25))/(LN(2)/25)*'Calculateur (1)'!CG31*'Calculateur (1)'!CI31*VLOOKUP('Données projet (1)'!$B$12,'Paramètres (1)'!$A$1:$I$88,3,0)*0.475*44/12</f>
        <v>#REF!</v>
      </c>
      <c r="CM31" s="142" t="str">
        <f>EXP(-LN(2)/2)*CM30+(1-EXP(-LN(2)/2))/(LN(2)/2)*CG31*CJ31*VLOOKUP('Données projet (1)'!$B$12,'Paramètres (1)'!$A$1:$I$88,3,0)*0.475*44/12</f>
        <v>#REF!</v>
      </c>
      <c r="CN31" s="143" t="str">
        <f t="shared" si="45"/>
        <v>#REF!</v>
      </c>
      <c r="CO31" s="139" t="str">
        <f t="shared" si="46"/>
        <v>#REF!</v>
      </c>
      <c r="CP31" s="131" t="str">
        <f t="shared" si="47"/>
        <v>#REF!</v>
      </c>
      <c r="CQ31" s="131" t="str">
        <f t="shared" si="124"/>
        <v>#REF!</v>
      </c>
      <c r="CR31" s="131" t="str">
        <f t="shared" si="48"/>
        <v>#REF!</v>
      </c>
      <c r="CS31" s="131" t="str">
        <f t="array" ref="CS31">INDEX(CR:CR,MIN(IF(ISNUMBER(CR31:CR227),ROW(CR31:CR227),"")))</f>
        <v/>
      </c>
      <c r="CT31" s="131" t="str">
        <f t="shared" si="125"/>
        <v>#REF!</v>
      </c>
      <c r="CU31" s="138" t="str">
        <f>CT31*VLOOKUP('Données projet (1)'!$B$13,'Paramètres (1)'!$A$1:$I$88,3,0)*VLOOKUP('Données projet (1)'!$B$13,'Paramètres (1)'!$A$1:$I$88,5,0)</f>
        <v>#REF!</v>
      </c>
      <c r="CV31" s="130" t="str">
        <f t="shared" si="126"/>
        <v>#REF!</v>
      </c>
      <c r="CW31" s="141" t="str">
        <f t="shared" si="49"/>
        <v>#REF!</v>
      </c>
      <c r="CX31" s="133" t="str">
        <f t="shared" si="50"/>
        <v>#REF!</v>
      </c>
      <c r="CY31" s="133" t="str">
        <f t="shared" si="51"/>
        <v>#REF!</v>
      </c>
      <c r="CZ31" s="133" t="str">
        <f t="shared" si="127"/>
        <v>#REF!</v>
      </c>
      <c r="DA31" s="134" t="str">
        <f t="shared" si="52"/>
        <v>#REF!</v>
      </c>
      <c r="DB31" s="134" t="str">
        <f t="shared" si="53"/>
        <v>#REF!</v>
      </c>
      <c r="DC31" s="135" t="str">
        <f>IF(ISNA(VLOOKUP(A31,'Données projet (1)'!$A$139:$I$159,5,0)),0%,VLOOKUP(A31,'Données projet (1)'!$A$139:$I$159,5,0)*VLOOKUP('Données projet (1)'!$B$13,'Paramètres (1)'!$A$1:$I$88,7,0))</f>
        <v>#REF!</v>
      </c>
      <c r="DD31" s="135" t="str">
        <f>IF(ISNA(VLOOKUP(A31,'Données projet (1)'!$A$139:$I$159,6,0)),0%,VLOOKUP(A31,'Données projet (1)'!$A$139:$I$159,6,0)*VLOOKUP('Données projet (1)'!$B$13,'Paramètres (1)'!$A$1:$I$88,7,0))</f>
        <v>#REF!</v>
      </c>
      <c r="DE31" s="135" t="str">
        <f t="shared" si="54"/>
        <v>#REF!</v>
      </c>
      <c r="DF31" s="142" t="str">
        <f>EXP(-LN(2)/35)*DF30+(1-EXP(-LN(2)/35))/(LN(2)/35)*DB31*DC31*VLOOKUP('Données projet (1)'!$B$13,'Paramètres (1)'!$A$1:$I$88,3,0)*0.475*44/12</f>
        <v>#REF!</v>
      </c>
      <c r="DG31" s="142" t="str">
        <f>EXP(-LN(2)/25)*DG30+(1-EXP(-LN(2)/25))/(LN(2)/25)*'Calculateur (1)'!DB31*'Calculateur (1)'!DD31*VLOOKUP('Données projet (1)'!$B$13,'Paramètres (1)'!$A$1:$I$88,3,0)*0.475*44/12</f>
        <v>#REF!</v>
      </c>
      <c r="DH31" s="142" t="str">
        <f>EXP(-LN(2)/2)*DH30+(1-EXP(-LN(2)/2))/(LN(2)/2)*DB31*DE31*VLOOKUP('Données projet (1)'!$B$13,'Paramètres (1)'!$A$1:$I$88,3,0)*0.475*44/12</f>
        <v>#REF!</v>
      </c>
      <c r="DI31" s="143" t="str">
        <f t="shared" si="55"/>
        <v>#REF!</v>
      </c>
      <c r="DJ31" s="139" t="str">
        <f t="shared" si="56"/>
        <v>#REF!</v>
      </c>
      <c r="DK31" s="131" t="str">
        <f t="shared" si="57"/>
        <v>#REF!</v>
      </c>
      <c r="DL31" s="131" t="str">
        <f t="shared" si="128"/>
        <v>#REF!</v>
      </c>
      <c r="DM31" s="131" t="str">
        <f t="shared" si="58"/>
        <v>#REF!</v>
      </c>
      <c r="DN31" s="131" t="str">
        <f t="array" ref="DN31">INDEX(DM:DM,MIN(IF(ISNUMBER(DM31:DM227),ROW(DM31:DM227),"")))</f>
        <v/>
      </c>
      <c r="DO31" s="131" t="str">
        <f t="shared" si="129"/>
        <v>#REF!</v>
      </c>
      <c r="DP31" s="138" t="str">
        <f>DO31*VLOOKUP('Données projet (1)'!$B$14,'Paramètres (1)'!$A$1:$I$88,3,0)*VLOOKUP('Données projet (1)'!$B$14,'Paramètres (1)'!$A$1:$I$88,5,0)</f>
        <v>#REF!</v>
      </c>
      <c r="DQ31" s="130" t="str">
        <f t="shared" si="130"/>
        <v>#REF!</v>
      </c>
      <c r="DR31" s="141" t="str">
        <f t="shared" si="59"/>
        <v>#REF!</v>
      </c>
      <c r="DS31" s="133" t="str">
        <f t="shared" si="60"/>
        <v>#REF!</v>
      </c>
      <c r="DT31" s="133" t="str">
        <f t="shared" si="61"/>
        <v>#REF!</v>
      </c>
      <c r="DU31" s="133" t="str">
        <f t="shared" si="131"/>
        <v>#REF!</v>
      </c>
      <c r="DV31" s="134" t="str">
        <f t="shared" si="62"/>
        <v>#REF!</v>
      </c>
      <c r="DW31" s="134" t="str">
        <f t="shared" si="63"/>
        <v>#REF!</v>
      </c>
      <c r="DX31" s="135" t="str">
        <f>IF(ISNA(VLOOKUP(A31,'Données projet (1)'!$A$165:$I$185,5,0)),0%,VLOOKUP(A31,'Données projet (1)'!$A$165:$I$185,5,0)*VLOOKUP('Données projet (1)'!$B$14,'Paramètres (1)'!$A$1:$I$88,7,0))</f>
        <v>#REF!</v>
      </c>
      <c r="DY31" s="135" t="str">
        <f>IF(ISNA(VLOOKUP(A31,'Données projet (1)'!$A$165:$I$185,6,0)),0%,VLOOKUP(A31,'Données projet (1)'!$A$165:$I$185,6,0)*VLOOKUP('Données projet (1)'!$B$14,'Paramètres (1)'!$A$1:$I$88,7,0))</f>
        <v>#REF!</v>
      </c>
      <c r="DZ31" s="135" t="str">
        <f t="shared" si="64"/>
        <v>#REF!</v>
      </c>
      <c r="EA31" s="142" t="str">
        <f>EXP(-LN(2)/35)*EA30+(1-EXP(-LN(2)/35))/(LN(2)/35)*DW31*DX31*VLOOKUP('Données projet (1)'!$B$14,'Paramètres (1)'!$A$1:$I$88,3,0)*0.475*44/12</f>
        <v>#REF!</v>
      </c>
      <c r="EB31" s="142" t="str">
        <f>EXP(-LN(2)/25)*EB30+(1-EXP(-LN(2)/25))/(LN(2)/25)*'Calculateur (1)'!DW31*'Calculateur (1)'!DY31*VLOOKUP('Données projet (1)'!$B$14,'Paramètres (1)'!$A$1:$I$88,3,0)*0.475*44/12</f>
        <v>#REF!</v>
      </c>
      <c r="EC31" s="142" t="str">
        <f>EXP(-LN(2)/2)*EC30+(1-EXP(-LN(2)/2))/(LN(2)/2)*DW31*DZ31*VLOOKUP('Données projet (1)'!$B$14,'Paramètres (1)'!$A$1:$I$88,3,0)*0.475*44/12</f>
        <v>#REF!</v>
      </c>
      <c r="ED31" s="143" t="str">
        <f t="shared" si="65"/>
        <v>#REF!</v>
      </c>
      <c r="EE31" s="139" t="str">
        <f t="shared" si="66"/>
        <v>#REF!</v>
      </c>
      <c r="EF31" s="131" t="str">
        <f t="shared" si="67"/>
        <v>#REF!</v>
      </c>
      <c r="EG31" s="131" t="str">
        <f t="shared" si="132"/>
        <v>#REF!</v>
      </c>
      <c r="EH31" s="131" t="str">
        <f t="shared" si="68"/>
        <v>#REF!</v>
      </c>
      <c r="EI31" s="131" t="str">
        <f t="array" ref="EI31">INDEX(EH:EH,MIN(IF(ISNUMBER(EH31:EH227),ROW(EH31:EH227),"")))</f>
        <v/>
      </c>
      <c r="EJ31" s="131" t="str">
        <f t="shared" si="133"/>
        <v>#REF!</v>
      </c>
      <c r="EK31" s="138" t="str">
        <f>EJ31*VLOOKUP('Données projet (1)'!$B$15,'Paramètres (1)'!$A$1:$I$88,3,0)*VLOOKUP('Données projet (1)'!$B$15,'Paramètres (1)'!$A$1:$I$88,5,0)</f>
        <v>#REF!</v>
      </c>
      <c r="EL31" s="130" t="str">
        <f t="shared" si="134"/>
        <v>#REF!</v>
      </c>
      <c r="EM31" s="141" t="str">
        <f t="shared" si="69"/>
        <v>#REF!</v>
      </c>
      <c r="EN31" s="133" t="str">
        <f t="shared" si="70"/>
        <v>#REF!</v>
      </c>
      <c r="EO31" s="133" t="str">
        <f t="shared" si="71"/>
        <v>#REF!</v>
      </c>
      <c r="EP31" s="133" t="str">
        <f t="shared" si="135"/>
        <v>#REF!</v>
      </c>
      <c r="EQ31" s="134" t="str">
        <f t="shared" si="72"/>
        <v>#REF!</v>
      </c>
      <c r="ER31" s="134" t="str">
        <f t="shared" si="73"/>
        <v>#REF!</v>
      </c>
      <c r="ES31" s="135" t="str">
        <f>IF(ISNA(VLOOKUP(A31,'Données projet (1)'!$A$191:$I$211,5,0)),0%,VLOOKUP(A31,'Données projet (1)'!$A$191:$I$211,5,0)*VLOOKUP('Données projet (1)'!$B$15,'Paramètres (1)'!$A$1:$I$88,7,0))</f>
        <v>#REF!</v>
      </c>
      <c r="ET31" s="135" t="str">
        <f>IF(ISNA(VLOOKUP(A31,'Données projet (1)'!$A$191:$I$211,6,0)),0%,VLOOKUP(A31,'Données projet (1)'!$A$191:$I$211,6,0)*VLOOKUP('Données projet (1)'!$B$15,'Paramètres (1)'!$A$1:$I$88,7,0))</f>
        <v>#REF!</v>
      </c>
      <c r="EU31" s="135" t="str">
        <f t="shared" si="74"/>
        <v>#REF!</v>
      </c>
      <c r="EV31" s="142" t="str">
        <f>EXP(-LN(2)/35)*EV30+(1-EXP(-LN(2)/35))/(LN(2)/35)*ER31*ES31*VLOOKUP('Données projet (1)'!$B$15,'Paramètres (1)'!$A$1:$I$88,3,0)*0.475*44/12</f>
        <v>#REF!</v>
      </c>
      <c r="EW31" s="142" t="str">
        <f>EXP(-LN(2)/25)*EW30+(1-EXP(-LN(2)/25))/(LN(2)/25)*'Calculateur (1)'!ER31*'Calculateur (1)'!ET31*VLOOKUP('Données projet (1)'!$B$15,'Paramètres (1)'!$A$1:$I$88,3,0)*0.475*44/12</f>
        <v>#REF!</v>
      </c>
      <c r="EX31" s="142" t="str">
        <f>EXP(-LN(2)/2)*EX30+(1-EXP(-LN(2)/2))/(LN(2)/2)*ER31*EU31*VLOOKUP('Données projet (1)'!$B$15,'Paramètres (1)'!$A$1:$I$88,3,0)*0.475*44/12</f>
        <v>#REF!</v>
      </c>
      <c r="EY31" s="143" t="str">
        <f t="shared" si="75"/>
        <v>#REF!</v>
      </c>
      <c r="EZ31" s="139" t="str">
        <f t="shared" si="76"/>
        <v>#REF!</v>
      </c>
      <c r="FA31" s="131" t="str">
        <f t="shared" si="77"/>
        <v>#REF!</v>
      </c>
      <c r="FB31" s="131" t="str">
        <f t="shared" si="136"/>
        <v>#REF!</v>
      </c>
      <c r="FC31" s="131" t="str">
        <f t="shared" si="78"/>
        <v>#REF!</v>
      </c>
      <c r="FD31" s="131" t="str">
        <f t="array" ref="FD31">INDEX(FC:FC,MIN(IF(ISNUMBER(FC31:FC227),ROW(FC31:FC227),"")))</f>
        <v/>
      </c>
      <c r="FE31" s="131" t="str">
        <f t="shared" si="137"/>
        <v>#REF!</v>
      </c>
      <c r="FF31" s="138" t="str">
        <f>FE31*VLOOKUP('Données projet (1)'!$B$16,'Paramètres (1)'!$A$1:$I$88,3,0)*VLOOKUP('Données projet (1)'!$B$16,'Paramètres (1)'!$A$1:$I$88,5,0)</f>
        <v>#REF!</v>
      </c>
      <c r="FG31" s="130" t="str">
        <f t="shared" si="138"/>
        <v>#REF!</v>
      </c>
      <c r="FH31" s="141" t="str">
        <f t="shared" si="79"/>
        <v>#REF!</v>
      </c>
      <c r="FI31" s="133" t="str">
        <f t="shared" si="80"/>
        <v>#REF!</v>
      </c>
      <c r="FJ31" s="133" t="str">
        <f t="shared" si="81"/>
        <v>#REF!</v>
      </c>
      <c r="FK31" s="133" t="str">
        <f t="shared" si="139"/>
        <v>#REF!</v>
      </c>
      <c r="FL31" s="134" t="str">
        <f t="shared" si="82"/>
        <v>#REF!</v>
      </c>
      <c r="FM31" s="134" t="str">
        <f t="shared" si="83"/>
        <v>#REF!</v>
      </c>
      <c r="FN31" s="135" t="str">
        <f>IF(ISNA(VLOOKUP(A31,'Données projet (1)'!$A$217:$I$237,5,0)),0%,VLOOKUP(A31,'Données projet (1)'!$A$217:$I$237,5,0)*VLOOKUP('Données projet (1)'!$B$16,'Paramètres (1)'!$A$1:$I$88,7,0))</f>
        <v>#REF!</v>
      </c>
      <c r="FO31" s="135" t="str">
        <f>IF(ISNA(VLOOKUP(A31,'Données projet (1)'!$A$217:$I$237,6,0)),0%,VLOOKUP(A31,'Données projet (1)'!$A$217:$I$237,6,0)*VLOOKUP('Données projet (1)'!$B$16,'Paramètres (1)'!$A$1:$I$88,7,0))</f>
        <v>#REF!</v>
      </c>
      <c r="FP31" s="135" t="str">
        <f t="shared" si="84"/>
        <v>#REF!</v>
      </c>
      <c r="FQ31" s="142" t="str">
        <f>EXP(-LN(2)/35)*FQ30+(1-EXP(-LN(2)/35))/(LN(2)/35)*FM31*FN31*VLOOKUP('Données projet (1)'!$B$16,'Paramètres (1)'!$A$1:$I$88,3,0)*0.475*44/12</f>
        <v>#REF!</v>
      </c>
      <c r="FR31" s="142" t="str">
        <f>EXP(-LN(2)/25)*FR30+(1-EXP(-LN(2)/25))/(LN(2)/25)*'Calculateur (1)'!FM31*'Calculateur (1)'!FO31*VLOOKUP('Données projet (1)'!$B$16,'Paramètres (1)'!$A$1:$I$88,3,0)*0.475*44/12</f>
        <v>#REF!</v>
      </c>
      <c r="FS31" s="142" t="str">
        <f>EXP(-LN(2)/2)*FS30+(1-EXP(-LN(2)/2))/(LN(2)/2)*FM31*FP31*VLOOKUP('Données projet (1)'!$B$16,'Paramètres (1)'!$A$1:$I$88,3,0)*0.475*44/12</f>
        <v>#REF!</v>
      </c>
      <c r="FT31" s="143" t="str">
        <f t="shared" si="85"/>
        <v>#REF!</v>
      </c>
      <c r="FU31" s="139" t="str">
        <f t="shared" si="86"/>
        <v>#REF!</v>
      </c>
      <c r="FV31" s="131" t="str">
        <f t="shared" si="87"/>
        <v>#REF!</v>
      </c>
      <c r="FW31" s="131" t="str">
        <f t="shared" si="140"/>
        <v>#REF!</v>
      </c>
      <c r="FX31" s="131" t="str">
        <f t="shared" si="88"/>
        <v>#REF!</v>
      </c>
      <c r="FY31" s="131" t="str">
        <f t="array" ref="FY31">INDEX(FX:FX,MIN(IF(ISNUMBER(FX31:FX227),ROW(FX31:FX227),"")))</f>
        <v/>
      </c>
      <c r="FZ31" s="131" t="str">
        <f t="shared" si="141"/>
        <v>#REF!</v>
      </c>
      <c r="GA31" s="138" t="str">
        <f>FZ31*VLOOKUP('Données projet (1)'!$B$17,'Paramètres (1)'!$A$1:$I$88,3,0)*VLOOKUP('Données projet (1)'!$B$17,'Paramètres (1)'!$A$1:$I$88,5,0)</f>
        <v>#REF!</v>
      </c>
      <c r="GB31" s="130" t="str">
        <f t="shared" si="142"/>
        <v>#REF!</v>
      </c>
      <c r="GC31" s="141" t="str">
        <f t="shared" si="89"/>
        <v>#REF!</v>
      </c>
      <c r="GD31" s="133" t="str">
        <f t="shared" si="90"/>
        <v>#REF!</v>
      </c>
      <c r="GE31" s="133" t="str">
        <f t="shared" si="91"/>
        <v>#REF!</v>
      </c>
      <c r="GF31" s="133" t="str">
        <f t="shared" si="143"/>
        <v>#REF!</v>
      </c>
      <c r="GG31" s="134" t="str">
        <f t="shared" si="92"/>
        <v>#REF!</v>
      </c>
      <c r="GH31" s="134" t="str">
        <f t="shared" si="93"/>
        <v>#REF!</v>
      </c>
      <c r="GI31" s="135" t="str">
        <f>IF(ISNA(VLOOKUP(A31,'Données projet (1)'!$A$243:$I$263,5,0)),0%,VLOOKUP(A31,'Données projet (1)'!$A$243:$I$263,5,0)*VLOOKUP('Données projet (1)'!$B$17,'Paramètres (1)'!$A$1:$I$88,7,0))</f>
        <v>#REF!</v>
      </c>
      <c r="GJ31" s="135" t="str">
        <f>IF(ISNA(VLOOKUP(A31,'Données projet (1)'!$A$243:$I$263,6,0)),0%,VLOOKUP(A31,'Données projet (1)'!$A$243:$I$263,6,0)*VLOOKUP('Données projet (1)'!$B$17,'Paramètres (1)'!$A$1:$I$88,7,0))</f>
        <v>#REF!</v>
      </c>
      <c r="GK31" s="135" t="str">
        <f t="shared" si="94"/>
        <v>#REF!</v>
      </c>
      <c r="GL31" s="142" t="str">
        <f>EXP(-LN(2)/35)*GL30+(1-EXP(-LN(2)/35))/(LN(2)/35)*GH31*GI31*VLOOKUP('Données projet (1)'!$B$17,'Paramètres (1)'!$A$1:$I$88,3,0)*0.475*44/12</f>
        <v>#REF!</v>
      </c>
      <c r="GM31" s="142" t="str">
        <f>EXP(-LN(2)/25)*GM30+(1-EXP(-LN(2)/25))/(LN(2)/25)*'Calculateur (1)'!GH31*'Calculateur (1)'!GJ31*VLOOKUP('Données projet (1)'!$B$17,'Paramètres (1)'!$A$1:$I$88,3,0)*0.475*44/12</f>
        <v>#REF!</v>
      </c>
      <c r="GN31" s="142" t="str">
        <f>EXP(-LN(2)/2)*GN30+(1-EXP(-LN(2)/2))/(LN(2)/2)*GH31*GK31*VLOOKUP('Données projet (1)'!$B$17,'Paramètres (1)'!$A$1:$I$88,3,0)*0.475*44/12</f>
        <v>#REF!</v>
      </c>
      <c r="GO31" s="142" t="str">
        <f t="shared" si="95"/>
        <v>#REF!</v>
      </c>
      <c r="GP31" s="139" t="str">
        <f t="shared" si="96"/>
        <v>#REF!</v>
      </c>
      <c r="GQ31" s="131" t="str">
        <f t="shared" si="97"/>
        <v>#REF!</v>
      </c>
      <c r="GR31" s="131" t="str">
        <f t="shared" si="144"/>
        <v>#REF!</v>
      </c>
      <c r="GS31" s="131" t="str">
        <f t="shared" si="98"/>
        <v>#REF!</v>
      </c>
      <c r="GT31" s="131" t="str">
        <f t="array" ref="GT31">INDEX(GS:GS,MIN(IF(ISNUMBER(GS31:GS227),ROW(GS31:GS227),"")))</f>
        <v/>
      </c>
      <c r="GU31" s="131" t="str">
        <f t="shared" si="145"/>
        <v>#REF!</v>
      </c>
      <c r="GV31" s="138" t="str">
        <f>GU31*VLOOKUP('Données projet (1)'!$B$18,'Paramètres (1)'!$A$1:$I$88,3,0)*VLOOKUP('Données projet (1)'!$B$18,'Paramètres (1)'!$A$1:$I$88,5,0)</f>
        <v>#REF!</v>
      </c>
      <c r="GW31" s="130" t="str">
        <f t="shared" si="146"/>
        <v>#REF!</v>
      </c>
      <c r="GX31" s="141" t="str">
        <f t="shared" si="99"/>
        <v>#REF!</v>
      </c>
      <c r="GY31" s="133" t="str">
        <f t="shared" si="100"/>
        <v>#REF!</v>
      </c>
      <c r="GZ31" s="133" t="str">
        <f t="shared" si="101"/>
        <v>#REF!</v>
      </c>
      <c r="HA31" s="133" t="str">
        <f t="shared" si="147"/>
        <v>#REF!</v>
      </c>
      <c r="HB31" s="134" t="str">
        <f t="shared" si="102"/>
        <v>#REF!</v>
      </c>
      <c r="HC31" s="134" t="str">
        <f t="shared" si="103"/>
        <v>#REF!</v>
      </c>
      <c r="HD31" s="135" t="str">
        <f>IF(ISNA(VLOOKUP(A31,'Données projet (1)'!$A$269:$I$289,5,0)),0%,VLOOKUP(A31,'Données projet (1)'!$A$269:$I$289,5,0)*VLOOKUP('Données projet (1)'!$B$18,'Paramètres (1)'!$A$1:$I$88,7,0))</f>
        <v>#REF!</v>
      </c>
      <c r="HE31" s="135" t="str">
        <f>IF(ISNA(VLOOKUP(A31,'Données projet (1)'!$A$269:$I$289,6,0)),0%,VLOOKUP(A31,'Données projet (1)'!$A$269:$I$289,6,0)*VLOOKUP('Données projet (1)'!$B$18,'Paramètres (1)'!$A$1:$I$88,7,0))</f>
        <v>#REF!</v>
      </c>
      <c r="HF31" s="135" t="str">
        <f t="shared" si="104"/>
        <v>#REF!</v>
      </c>
      <c r="HG31" s="142" t="str">
        <f>EXP(-LN(2)/35)*HG30+(1-EXP(-LN(2)/35))/(LN(2)/35)*HC31*HD31*VLOOKUP('Données projet (1)'!$B$18,'Paramètres (1)'!$A$1:$I$88,3,0)*0.475*44/12</f>
        <v>#REF!</v>
      </c>
      <c r="HH31" s="142" t="str">
        <f>EXP(-LN(2)/25)*HH30+(1-EXP(-LN(2)/25))/(LN(2)/25)*'Calculateur (1)'!HC31*'Calculateur (1)'!HE31*VLOOKUP('Données projet (1)'!$B$18,'Paramètres (1)'!$A$1:$I$88,3,0)*0.475*44/12</f>
        <v>#REF!</v>
      </c>
      <c r="HI31" s="142" t="str">
        <f>EXP(-LN(2)/2)*HI30+(1-EXP(-LN(2)/2))/(LN(2)/2)*HC31*HF31*VLOOKUP('Données projet (1)'!$B$18,'Paramètres (1)'!$A$1:$I$88,3,0)*0.475*44/12</f>
        <v>#REF!</v>
      </c>
      <c r="HJ31" s="143" t="str">
        <f t="shared" si="105"/>
        <v>#REF!</v>
      </c>
    </row>
    <row r="32" ht="14.25" customHeight="1">
      <c r="A32" s="125">
        <f t="shared" si="106"/>
        <v>29</v>
      </c>
      <c r="B32" s="126" t="str">
        <f t="shared" si="1"/>
        <v>#REF!</v>
      </c>
      <c r="C32" s="140" t="str">
        <f>'Calculateur (1)'!C31+'Scénario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2" s="127">
        <f t="shared" si="107"/>
        <v>0</v>
      </c>
      <c r="E32" s="127" t="str">
        <f t="shared" si="2"/>
        <v>#REF!</v>
      </c>
      <c r="F32" s="127" t="str">
        <f t="shared" si="3"/>
        <v>#REF!</v>
      </c>
      <c r="G32" s="127" t="str">
        <f t="shared" si="4"/>
        <v>#REF!</v>
      </c>
      <c r="H32" s="128" t="str">
        <f t="shared" si="5"/>
        <v>#REF!</v>
      </c>
      <c r="I32" s="129" t="str">
        <f t="shared" si="6"/>
        <v>#REF!</v>
      </c>
      <c r="J32" s="130" t="str">
        <f t="shared" si="7"/>
        <v>#REF!</v>
      </c>
      <c r="K32" s="131" t="str">
        <f t="shared" si="108"/>
        <v>#REF!</v>
      </c>
      <c r="L32" s="131" t="str">
        <f t="shared" si="8"/>
        <v>#REF!</v>
      </c>
      <c r="M32" s="131" t="str">
        <f t="array" ref="M32">INDEX(L:L,MIN(IF(ISNUMBER(L32:L228),ROW(L32:L228),"")))</f>
        <v/>
      </c>
      <c r="N32" s="130" t="str">
        <f t="shared" si="109"/>
        <v>#REF!</v>
      </c>
      <c r="O32" s="130" t="str">
        <f>N32*VLOOKUP('Données projet (1)'!$B$9,'Paramètres (1)'!$A$1:$I$88,3,0)*VLOOKUP('Données projet (1)'!$B$9,'Paramètres (1)'!$A$1:$I$88,5,0)</f>
        <v>#REF!</v>
      </c>
      <c r="P32" s="130" t="str">
        <f t="shared" si="110"/>
        <v>#REF!</v>
      </c>
      <c r="Q32" s="141" t="str">
        <f t="shared" si="9"/>
        <v>#REF!</v>
      </c>
      <c r="R32" s="133" t="str">
        <f t="shared" si="10"/>
        <v>#REF!</v>
      </c>
      <c r="S32" s="133" t="str">
        <f t="shared" si="11"/>
        <v>#REF!</v>
      </c>
      <c r="T32" s="133" t="str">
        <f t="shared" si="111"/>
        <v>#REF!</v>
      </c>
      <c r="U32" s="134" t="str">
        <f t="shared" si="12"/>
        <v>#REF!</v>
      </c>
      <c r="V32" s="134" t="str">
        <f t="shared" si="13"/>
        <v>#REF!</v>
      </c>
      <c r="W32" s="135" t="str">
        <f>IF(ISNA(VLOOKUP(A32,'Données projet (1)'!$A$35:$I$55,5,0)),0%,VLOOKUP(A32,'Données projet (1)'!$A$35:$I$55,5,0)*VLOOKUP('Données projet (1)'!$B$9,'Paramètres (1)'!$A$1:$I$88,7,0))</f>
        <v>#REF!</v>
      </c>
      <c r="X32" s="135" t="str">
        <f>IF(ISNA(VLOOKUP(A32,'Données projet (1)'!$A$35:$I$55,6,0)),0%,VLOOKUP(A32,'Données projet (1)'!$A$35:$I$55,6,0)*VLOOKUP('Données projet (1)'!$B$9,'Paramètres (1)'!$A$1:$I$88,7,0))</f>
        <v>#REF!</v>
      </c>
      <c r="Y32" s="135" t="str">
        <f t="shared" si="14"/>
        <v>#REF!</v>
      </c>
      <c r="Z32" s="142" t="str">
        <f>EXP(-LN(2)/35)*Z31+(1-EXP(-LN(2)/35))/(LN(2)/35)*V32*W32*VLOOKUP('Données projet (1)'!$B$9,'Paramètres (1)'!$A$1:$I$88,3,0)*0.475*44/12</f>
        <v>#REF!</v>
      </c>
      <c r="AA32" s="142" t="str">
        <f>EXP(-LN(2)/25)*AA31+(1-EXP(-LN(2)/25))/(LN(2)/25)*'Calculateur (1)'!V32*'Calculateur (1)'!X32*VLOOKUP('Données projet (1)'!$B$9,'Paramètres (1)'!$A$1:$I$88,3,0)*0.475*44/12</f>
        <v>#REF!</v>
      </c>
      <c r="AB32" s="142" t="str">
        <f>EXP(-LN(2)/2)*AB31+(1-EXP(-LN(2)/2))/(LN(2)/2)*V32*Y32*VLOOKUP('Données projet (1)'!$B$9,'Paramètres (1)'!$A$1:$I$88,3,0)*0.475*44/12</f>
        <v>#REF!</v>
      </c>
      <c r="AC32" s="143" t="str">
        <f t="shared" si="15"/>
        <v>#REF!</v>
      </c>
      <c r="AD32" s="130" t="str">
        <f t="shared" si="16"/>
        <v>#REF!</v>
      </c>
      <c r="AE32" s="130" t="str">
        <f t="shared" si="17"/>
        <v>#REF!</v>
      </c>
      <c r="AF32" s="131" t="str">
        <f t="shared" si="112"/>
        <v>#REF!</v>
      </c>
      <c r="AG32" s="131" t="str">
        <f t="shared" si="18"/>
        <v>#REF!</v>
      </c>
      <c r="AH32" s="131" t="str">
        <f t="array" ref="AH32">INDEX(AG:AG,MIN(IF(ISNUMBER(AG32:AG228),ROW(AG32:AG228),"")))</f>
        <v/>
      </c>
      <c r="AI32" s="130" t="str">
        <f t="shared" si="113"/>
        <v>#REF!</v>
      </c>
      <c r="AJ32" s="130" t="str">
        <f>AI32*VLOOKUP('Données projet (1)'!$B$10,'Paramètres (1)'!$A$1:$I$88,3,0)*VLOOKUP('Données projet (1)'!$B$10,'Paramètres (1)'!$A$1:$I$88,5,0)</f>
        <v>#REF!</v>
      </c>
      <c r="AK32" s="130" t="str">
        <f t="shared" si="114"/>
        <v>#REF!</v>
      </c>
      <c r="AL32" s="141" t="str">
        <f t="shared" si="19"/>
        <v>#REF!</v>
      </c>
      <c r="AM32" s="133" t="str">
        <f t="shared" si="20"/>
        <v>#REF!</v>
      </c>
      <c r="AN32" s="133" t="str">
        <f t="shared" si="21"/>
        <v>#REF!</v>
      </c>
      <c r="AO32" s="133" t="str">
        <f t="shared" si="115"/>
        <v>#REF!</v>
      </c>
      <c r="AP32" s="134" t="str">
        <f t="shared" si="22"/>
        <v>#REF!</v>
      </c>
      <c r="AQ32" s="134" t="str">
        <f t="shared" si="23"/>
        <v>#REF!</v>
      </c>
      <c r="AR32" s="135" t="str">
        <f>IF(ISNA(VLOOKUP(A32,'Données projet (1)'!$A$61:$I$81,5,0)),0%,VLOOKUP(A32,'Données projet (1)'!$A$61:$I$81,5,0)*VLOOKUP('Données projet (1)'!$B$10,'Paramètres (1)'!$A$1:$I$88,7,0))</f>
        <v>#REF!</v>
      </c>
      <c r="AS32" s="135" t="str">
        <f>IF(ISNA(VLOOKUP(A32,'Données projet (1)'!$A$61:$I$81,6,0)),0%,VLOOKUP(A32,'Données projet (1)'!$A$61:$I$81,6,0)*VLOOKUP('Données projet (1)'!$B$10,'Paramètres (1)'!$A$1:$I$88,7,0))</f>
        <v>#REF!</v>
      </c>
      <c r="AT32" s="135" t="str">
        <f t="shared" si="24"/>
        <v>#REF!</v>
      </c>
      <c r="AU32" s="142" t="str">
        <f>EXP(-LN(2)/35)*AU31+(1-EXP(-LN(2)/35))/(LN(2)/35)*AQ32*AR32*VLOOKUP('Données projet (1)'!$B$10,'Paramètres (1)'!$A$1:$I$88,3,0)*0.475*44/12</f>
        <v>#REF!</v>
      </c>
      <c r="AV32" s="142" t="str">
        <f>EXP(-LN(2)/25)*AV31+(1-EXP(-LN(2)/25))/(LN(2)/25)*'Calculateur (1)'!AQ32*'Calculateur (1)'!AS32*VLOOKUP('Données projet (1)'!$B$10,'Paramètres (1)'!$A$1:$I$88,3,0)*0.475*44/12</f>
        <v>#REF!</v>
      </c>
      <c r="AW32" s="142" t="str">
        <f>EXP(-LN(2)/2)*AW31+(1-EXP(-LN(2)/2))/(LN(2)/2)*AQ32*AT32*VLOOKUP('Données projet (1)'!$B$10,'Paramètres (1)'!$A$1:$I$88,3,0)*0.475*44/12</f>
        <v>#REF!</v>
      </c>
      <c r="AX32" s="142" t="str">
        <f t="shared" si="25"/>
        <v>#REF!</v>
      </c>
      <c r="AY32" s="137" t="str">
        <f t="shared" si="26"/>
        <v>#REF!</v>
      </c>
      <c r="AZ32" s="131" t="str">
        <f t="shared" si="27"/>
        <v>#REF!</v>
      </c>
      <c r="BA32" s="131" t="str">
        <f t="shared" si="116"/>
        <v>#REF!</v>
      </c>
      <c r="BB32" s="131" t="str">
        <f t="shared" si="28"/>
        <v>#REF!</v>
      </c>
      <c r="BC32" s="131" t="str">
        <f t="array" ref="BC32">INDEX(BB:BB,MIN(IF(ISNUMBER(BB32:BB228),ROW(BB32:BB228),"")))</f>
        <v/>
      </c>
      <c r="BD32" s="131" t="str">
        <f t="shared" si="117"/>
        <v>#REF!</v>
      </c>
      <c r="BE32" s="130" t="str">
        <f>BD32*VLOOKUP('Données projet (1)'!$B$11,'Paramètres (1)'!$A$1:$I$88,3,0)*VLOOKUP('Données projet (1)'!$B$11,'Paramètres (1)'!$A$1:$I$88,5,0)</f>
        <v>#REF!</v>
      </c>
      <c r="BF32" s="130" t="str">
        <f t="shared" si="118"/>
        <v>#REF!</v>
      </c>
      <c r="BG32" s="141" t="str">
        <f t="shared" si="29"/>
        <v>#REF!</v>
      </c>
      <c r="BH32" s="133" t="str">
        <f t="shared" si="30"/>
        <v>#REF!</v>
      </c>
      <c r="BI32" s="133" t="str">
        <f t="shared" si="31"/>
        <v>#REF!</v>
      </c>
      <c r="BJ32" s="133" t="str">
        <f t="shared" si="119"/>
        <v>#REF!</v>
      </c>
      <c r="BK32" s="134" t="str">
        <f t="shared" si="32"/>
        <v>#REF!</v>
      </c>
      <c r="BL32" s="134" t="str">
        <f t="shared" si="33"/>
        <v>#REF!</v>
      </c>
      <c r="BM32" s="135" t="str">
        <f>IF(ISNA(VLOOKUP(A32,'Données projet (1)'!$A$87:$I$107,5,0)),0%,VLOOKUP(A32,'Données projet (1)'!$A$87:$I$107,5,0)*VLOOKUP('Données projet (1)'!$B$11,'Paramètres (1)'!$A$1:$I$88,7,0))</f>
        <v>#REF!</v>
      </c>
      <c r="BN32" s="135" t="str">
        <f>IF(ISNA(VLOOKUP(A32,'Données projet (1)'!$A$87:$I$107,6,0)),0%,VLOOKUP(A32,'Données projet (1)'!$A$87:$I$107,6,0)*VLOOKUP('Données projet (1)'!$B$11,'Paramètres (1)'!$A$1:$I$88,7,0))</f>
        <v>#REF!</v>
      </c>
      <c r="BO32" s="135" t="str">
        <f t="shared" si="34"/>
        <v>#REF!</v>
      </c>
      <c r="BP32" s="142" t="str">
        <f>EXP(-LN(2)/35)*BP31+(1-EXP(-LN(2)/35))/(LN(2)/35)*BL32*BM32*VLOOKUP('Données projet (1)'!$B$11,'Paramètres (1)'!$A$1:$I$88,3,0)*0.475*44/12</f>
        <v>#REF!</v>
      </c>
      <c r="BQ32" s="142" t="str">
        <f>EXP(-LN(2)/25)*BQ31+(1-EXP(-LN(2)/25))/(LN(2)/25)*'Calculateur (1)'!BL32*'Calculateur (1)'!BN32*VLOOKUP('Données projet (1)'!$B$11,'Paramètres (1)'!$A$1:$I$88,3,0)*0.475*44/12</f>
        <v>#REF!</v>
      </c>
      <c r="BR32" s="142" t="str">
        <f>EXP(-LN(2)/2)*BR31+(1-EXP(-LN(2)/2))/(LN(2)/2)*BL32*BO32*VLOOKUP('Données projet (1)'!$B$11,'Paramètres (1)'!$A$1:$I$88,3,0)*0.475*44/12</f>
        <v>#REF!</v>
      </c>
      <c r="BS32" s="143" t="str">
        <f t="shared" si="35"/>
        <v>#REF!</v>
      </c>
      <c r="BT32" s="139" t="str">
        <f t="shared" si="36"/>
        <v>#REF!</v>
      </c>
      <c r="BU32" s="131" t="str">
        <f t="shared" si="37"/>
        <v>#REF!</v>
      </c>
      <c r="BV32" s="131" t="str">
        <f t="shared" si="120"/>
        <v>#REF!</v>
      </c>
      <c r="BW32" s="131" t="str">
        <f t="shared" si="38"/>
        <v>#REF!</v>
      </c>
      <c r="BX32" s="131" t="str">
        <f t="array" ref="BX32">INDEX(BW:BW,MIN(IF(ISNUMBER(BW32:BW228),ROW(BW32:BW228),"")))</f>
        <v/>
      </c>
      <c r="BY32" s="131" t="str">
        <f t="shared" si="121"/>
        <v>#REF!</v>
      </c>
      <c r="BZ32" s="130" t="str">
        <f>BY32*VLOOKUP('Données projet (1)'!$B$12,'Paramètres (1)'!$A$1:$I$88,3,0)*VLOOKUP('Données projet (1)'!$B$12,'Paramètres (1)'!$A$1:$I$88,5,0)</f>
        <v>#REF!</v>
      </c>
      <c r="CA32" s="130" t="str">
        <f t="shared" si="122"/>
        <v>#REF!</v>
      </c>
      <c r="CB32" s="141" t="str">
        <f t="shared" si="39"/>
        <v>#REF!</v>
      </c>
      <c r="CC32" s="133" t="str">
        <f t="shared" si="40"/>
        <v>#REF!</v>
      </c>
      <c r="CD32" s="133" t="str">
        <f t="shared" si="41"/>
        <v>#REF!</v>
      </c>
      <c r="CE32" s="133" t="str">
        <f t="shared" si="123"/>
        <v>#REF!</v>
      </c>
      <c r="CF32" s="134" t="str">
        <f t="shared" si="42"/>
        <v>#REF!</v>
      </c>
      <c r="CG32" s="134" t="str">
        <f t="shared" si="43"/>
        <v>#REF!</v>
      </c>
      <c r="CH32" s="135" t="str">
        <f>IF(ISNA(VLOOKUP(A32,'Données projet (1)'!$A$113:$I$133,5,0)),0%,VLOOKUP(A32,'Données projet (1)'!$A$113:$I$133,5,0)*VLOOKUP('Données projet (1)'!$B$12,'Paramètres (1)'!$A$1:$I$88,7,0))</f>
        <v>#REF!</v>
      </c>
      <c r="CI32" s="135" t="str">
        <f>IF(ISNA(VLOOKUP(A32,'Données projet (1)'!$A$113:$I$133,6,0)),0%,VLOOKUP(A32,'Données projet (1)'!$A$113:$I$133,6,0)*VLOOKUP('Données projet (1)'!$B$12,'Paramètres (1)'!$A$1:$I$88,7,0))</f>
        <v>#REF!</v>
      </c>
      <c r="CJ32" s="135" t="str">
        <f t="shared" si="44"/>
        <v>#REF!</v>
      </c>
      <c r="CK32" s="142" t="str">
        <f>EXP(-LN(2)/35)*CK31+(1-EXP(-LN(2)/35))/(LN(2)/35)*CG32*CH32*VLOOKUP('Données projet (1)'!$B$12,'Paramètres (1)'!$A$1:$I$88,3,0)*0.475*44/12</f>
        <v>#REF!</v>
      </c>
      <c r="CL32" s="142" t="str">
        <f>EXP(-LN(2)/25)*CL31+(1-EXP(-LN(2)/25))/(LN(2)/25)*'Calculateur (1)'!CG32*'Calculateur (1)'!CI32*VLOOKUP('Données projet (1)'!$B$12,'Paramètres (1)'!$A$1:$I$88,3,0)*0.475*44/12</f>
        <v>#REF!</v>
      </c>
      <c r="CM32" s="142" t="str">
        <f>EXP(-LN(2)/2)*CM31+(1-EXP(-LN(2)/2))/(LN(2)/2)*CG32*CJ32*VLOOKUP('Données projet (1)'!$B$12,'Paramètres (1)'!$A$1:$I$88,3,0)*0.475*44/12</f>
        <v>#REF!</v>
      </c>
      <c r="CN32" s="143" t="str">
        <f t="shared" si="45"/>
        <v>#REF!</v>
      </c>
      <c r="CO32" s="139" t="str">
        <f t="shared" si="46"/>
        <v>#REF!</v>
      </c>
      <c r="CP32" s="131" t="str">
        <f t="shared" si="47"/>
        <v>#REF!</v>
      </c>
      <c r="CQ32" s="131" t="str">
        <f t="shared" si="124"/>
        <v>#REF!</v>
      </c>
      <c r="CR32" s="131" t="str">
        <f t="shared" si="48"/>
        <v>#REF!</v>
      </c>
      <c r="CS32" s="131" t="str">
        <f t="array" ref="CS32">INDEX(CR:CR,MIN(IF(ISNUMBER(CR32:CR228),ROW(CR32:CR228),"")))</f>
        <v/>
      </c>
      <c r="CT32" s="131" t="str">
        <f t="shared" si="125"/>
        <v>#REF!</v>
      </c>
      <c r="CU32" s="138" t="str">
        <f>CT32*VLOOKUP('Données projet (1)'!$B$13,'Paramètres (1)'!$A$1:$I$88,3,0)*VLOOKUP('Données projet (1)'!$B$13,'Paramètres (1)'!$A$1:$I$88,5,0)</f>
        <v>#REF!</v>
      </c>
      <c r="CV32" s="130" t="str">
        <f t="shared" si="126"/>
        <v>#REF!</v>
      </c>
      <c r="CW32" s="141" t="str">
        <f t="shared" si="49"/>
        <v>#REF!</v>
      </c>
      <c r="CX32" s="133" t="str">
        <f t="shared" si="50"/>
        <v>#REF!</v>
      </c>
      <c r="CY32" s="133" t="str">
        <f t="shared" si="51"/>
        <v>#REF!</v>
      </c>
      <c r="CZ32" s="133" t="str">
        <f t="shared" si="127"/>
        <v>#REF!</v>
      </c>
      <c r="DA32" s="134" t="str">
        <f t="shared" si="52"/>
        <v>#REF!</v>
      </c>
      <c r="DB32" s="134" t="str">
        <f t="shared" si="53"/>
        <v>#REF!</v>
      </c>
      <c r="DC32" s="135" t="str">
        <f>IF(ISNA(VLOOKUP(A32,'Données projet (1)'!$A$139:$I$159,5,0)),0%,VLOOKUP(A32,'Données projet (1)'!$A$139:$I$159,5,0)*VLOOKUP('Données projet (1)'!$B$13,'Paramètres (1)'!$A$1:$I$88,7,0))</f>
        <v>#REF!</v>
      </c>
      <c r="DD32" s="135" t="str">
        <f>IF(ISNA(VLOOKUP(A32,'Données projet (1)'!$A$139:$I$159,6,0)),0%,VLOOKUP(A32,'Données projet (1)'!$A$139:$I$159,6,0)*VLOOKUP('Données projet (1)'!$B$13,'Paramètres (1)'!$A$1:$I$88,7,0))</f>
        <v>#REF!</v>
      </c>
      <c r="DE32" s="135" t="str">
        <f t="shared" si="54"/>
        <v>#REF!</v>
      </c>
      <c r="DF32" s="142" t="str">
        <f>EXP(-LN(2)/35)*DF31+(1-EXP(-LN(2)/35))/(LN(2)/35)*DB32*DC32*VLOOKUP('Données projet (1)'!$B$13,'Paramètres (1)'!$A$1:$I$88,3,0)*0.475*44/12</f>
        <v>#REF!</v>
      </c>
      <c r="DG32" s="142" t="str">
        <f>EXP(-LN(2)/25)*DG31+(1-EXP(-LN(2)/25))/(LN(2)/25)*'Calculateur (1)'!DB32*'Calculateur (1)'!DD32*VLOOKUP('Données projet (1)'!$B$13,'Paramètres (1)'!$A$1:$I$88,3,0)*0.475*44/12</f>
        <v>#REF!</v>
      </c>
      <c r="DH32" s="142" t="str">
        <f>EXP(-LN(2)/2)*DH31+(1-EXP(-LN(2)/2))/(LN(2)/2)*DB32*DE32*VLOOKUP('Données projet (1)'!$B$13,'Paramètres (1)'!$A$1:$I$88,3,0)*0.475*44/12</f>
        <v>#REF!</v>
      </c>
      <c r="DI32" s="143" t="str">
        <f t="shared" si="55"/>
        <v>#REF!</v>
      </c>
      <c r="DJ32" s="139" t="str">
        <f t="shared" si="56"/>
        <v>#REF!</v>
      </c>
      <c r="DK32" s="131" t="str">
        <f t="shared" si="57"/>
        <v>#REF!</v>
      </c>
      <c r="DL32" s="131" t="str">
        <f t="shared" si="128"/>
        <v>#REF!</v>
      </c>
      <c r="DM32" s="131" t="str">
        <f t="shared" si="58"/>
        <v>#REF!</v>
      </c>
      <c r="DN32" s="131" t="str">
        <f t="array" ref="DN32">INDEX(DM:DM,MIN(IF(ISNUMBER(DM32:DM228),ROW(DM32:DM228),"")))</f>
        <v/>
      </c>
      <c r="DO32" s="131" t="str">
        <f t="shared" si="129"/>
        <v>#REF!</v>
      </c>
      <c r="DP32" s="138" t="str">
        <f>DO32*VLOOKUP('Données projet (1)'!$B$14,'Paramètres (1)'!$A$1:$I$88,3,0)*VLOOKUP('Données projet (1)'!$B$14,'Paramètres (1)'!$A$1:$I$88,5,0)</f>
        <v>#REF!</v>
      </c>
      <c r="DQ32" s="130" t="str">
        <f t="shared" si="130"/>
        <v>#REF!</v>
      </c>
      <c r="DR32" s="141" t="str">
        <f t="shared" si="59"/>
        <v>#REF!</v>
      </c>
      <c r="DS32" s="133" t="str">
        <f t="shared" si="60"/>
        <v>#REF!</v>
      </c>
      <c r="DT32" s="133" t="str">
        <f t="shared" si="61"/>
        <v>#REF!</v>
      </c>
      <c r="DU32" s="133" t="str">
        <f t="shared" si="131"/>
        <v>#REF!</v>
      </c>
      <c r="DV32" s="134" t="str">
        <f t="shared" si="62"/>
        <v>#REF!</v>
      </c>
      <c r="DW32" s="134" t="str">
        <f t="shared" si="63"/>
        <v>#REF!</v>
      </c>
      <c r="DX32" s="135" t="str">
        <f>IF(ISNA(VLOOKUP(A32,'Données projet (1)'!$A$165:$I$185,5,0)),0%,VLOOKUP(A32,'Données projet (1)'!$A$165:$I$185,5,0)*VLOOKUP('Données projet (1)'!$B$14,'Paramètres (1)'!$A$1:$I$88,7,0))</f>
        <v>#REF!</v>
      </c>
      <c r="DY32" s="135" t="str">
        <f>IF(ISNA(VLOOKUP(A32,'Données projet (1)'!$A$165:$I$185,6,0)),0%,VLOOKUP(A32,'Données projet (1)'!$A$165:$I$185,6,0)*VLOOKUP('Données projet (1)'!$B$14,'Paramètres (1)'!$A$1:$I$88,7,0))</f>
        <v>#REF!</v>
      </c>
      <c r="DZ32" s="135" t="str">
        <f t="shared" si="64"/>
        <v>#REF!</v>
      </c>
      <c r="EA32" s="142" t="str">
        <f>EXP(-LN(2)/35)*EA31+(1-EXP(-LN(2)/35))/(LN(2)/35)*DW32*DX32*VLOOKUP('Données projet (1)'!$B$14,'Paramètres (1)'!$A$1:$I$88,3,0)*0.475*44/12</f>
        <v>#REF!</v>
      </c>
      <c r="EB32" s="142" t="str">
        <f>EXP(-LN(2)/25)*EB31+(1-EXP(-LN(2)/25))/(LN(2)/25)*'Calculateur (1)'!DW32*'Calculateur (1)'!DY32*VLOOKUP('Données projet (1)'!$B$14,'Paramètres (1)'!$A$1:$I$88,3,0)*0.475*44/12</f>
        <v>#REF!</v>
      </c>
      <c r="EC32" s="142" t="str">
        <f>EXP(-LN(2)/2)*EC31+(1-EXP(-LN(2)/2))/(LN(2)/2)*DW32*DZ32*VLOOKUP('Données projet (1)'!$B$14,'Paramètres (1)'!$A$1:$I$88,3,0)*0.475*44/12</f>
        <v>#REF!</v>
      </c>
      <c r="ED32" s="143" t="str">
        <f t="shared" si="65"/>
        <v>#REF!</v>
      </c>
      <c r="EE32" s="139" t="str">
        <f t="shared" si="66"/>
        <v>#REF!</v>
      </c>
      <c r="EF32" s="131" t="str">
        <f t="shared" si="67"/>
        <v>#REF!</v>
      </c>
      <c r="EG32" s="131" t="str">
        <f t="shared" si="132"/>
        <v>#REF!</v>
      </c>
      <c r="EH32" s="131" t="str">
        <f t="shared" si="68"/>
        <v>#REF!</v>
      </c>
      <c r="EI32" s="131" t="str">
        <f t="array" ref="EI32">INDEX(EH:EH,MIN(IF(ISNUMBER(EH32:EH228),ROW(EH32:EH228),"")))</f>
        <v/>
      </c>
      <c r="EJ32" s="131" t="str">
        <f t="shared" si="133"/>
        <v>#REF!</v>
      </c>
      <c r="EK32" s="138" t="str">
        <f>EJ32*VLOOKUP('Données projet (1)'!$B$15,'Paramètres (1)'!$A$1:$I$88,3,0)*VLOOKUP('Données projet (1)'!$B$15,'Paramètres (1)'!$A$1:$I$88,5,0)</f>
        <v>#REF!</v>
      </c>
      <c r="EL32" s="130" t="str">
        <f t="shared" si="134"/>
        <v>#REF!</v>
      </c>
      <c r="EM32" s="141" t="str">
        <f t="shared" si="69"/>
        <v>#REF!</v>
      </c>
      <c r="EN32" s="133" t="str">
        <f t="shared" si="70"/>
        <v>#REF!</v>
      </c>
      <c r="EO32" s="133" t="str">
        <f t="shared" si="71"/>
        <v>#REF!</v>
      </c>
      <c r="EP32" s="133" t="str">
        <f t="shared" si="135"/>
        <v>#REF!</v>
      </c>
      <c r="EQ32" s="134" t="str">
        <f t="shared" si="72"/>
        <v>#REF!</v>
      </c>
      <c r="ER32" s="134" t="str">
        <f t="shared" si="73"/>
        <v>#REF!</v>
      </c>
      <c r="ES32" s="135" t="str">
        <f>IF(ISNA(VLOOKUP(A32,'Données projet (1)'!$A$191:$I$211,5,0)),0%,VLOOKUP(A32,'Données projet (1)'!$A$191:$I$211,5,0)*VLOOKUP('Données projet (1)'!$B$15,'Paramètres (1)'!$A$1:$I$88,7,0))</f>
        <v>#REF!</v>
      </c>
      <c r="ET32" s="135" t="str">
        <f>IF(ISNA(VLOOKUP(A32,'Données projet (1)'!$A$191:$I$211,6,0)),0%,VLOOKUP(A32,'Données projet (1)'!$A$191:$I$211,6,0)*VLOOKUP('Données projet (1)'!$B$15,'Paramètres (1)'!$A$1:$I$88,7,0))</f>
        <v>#REF!</v>
      </c>
      <c r="EU32" s="135" t="str">
        <f t="shared" si="74"/>
        <v>#REF!</v>
      </c>
      <c r="EV32" s="142" t="str">
        <f>EXP(-LN(2)/35)*EV31+(1-EXP(-LN(2)/35))/(LN(2)/35)*ER32*ES32*VLOOKUP('Données projet (1)'!$B$15,'Paramètres (1)'!$A$1:$I$88,3,0)*0.475*44/12</f>
        <v>#REF!</v>
      </c>
      <c r="EW32" s="142" t="str">
        <f>EXP(-LN(2)/25)*EW31+(1-EXP(-LN(2)/25))/(LN(2)/25)*'Calculateur (1)'!ER32*'Calculateur (1)'!ET32*VLOOKUP('Données projet (1)'!$B$15,'Paramètres (1)'!$A$1:$I$88,3,0)*0.475*44/12</f>
        <v>#REF!</v>
      </c>
      <c r="EX32" s="142" t="str">
        <f>EXP(-LN(2)/2)*EX31+(1-EXP(-LN(2)/2))/(LN(2)/2)*ER32*EU32*VLOOKUP('Données projet (1)'!$B$15,'Paramètres (1)'!$A$1:$I$88,3,0)*0.475*44/12</f>
        <v>#REF!</v>
      </c>
      <c r="EY32" s="143" t="str">
        <f t="shared" si="75"/>
        <v>#REF!</v>
      </c>
      <c r="EZ32" s="139" t="str">
        <f t="shared" si="76"/>
        <v>#REF!</v>
      </c>
      <c r="FA32" s="131" t="str">
        <f t="shared" si="77"/>
        <v>#REF!</v>
      </c>
      <c r="FB32" s="131" t="str">
        <f t="shared" si="136"/>
        <v>#REF!</v>
      </c>
      <c r="FC32" s="131" t="str">
        <f t="shared" si="78"/>
        <v>#REF!</v>
      </c>
      <c r="FD32" s="131" t="str">
        <f t="array" ref="FD32">INDEX(FC:FC,MIN(IF(ISNUMBER(FC32:FC228),ROW(FC32:FC228),"")))</f>
        <v/>
      </c>
      <c r="FE32" s="131" t="str">
        <f t="shared" si="137"/>
        <v>#REF!</v>
      </c>
      <c r="FF32" s="138" t="str">
        <f>FE32*VLOOKUP('Données projet (1)'!$B$16,'Paramètres (1)'!$A$1:$I$88,3,0)*VLOOKUP('Données projet (1)'!$B$16,'Paramètres (1)'!$A$1:$I$88,5,0)</f>
        <v>#REF!</v>
      </c>
      <c r="FG32" s="130" t="str">
        <f t="shared" si="138"/>
        <v>#REF!</v>
      </c>
      <c r="FH32" s="141" t="str">
        <f t="shared" si="79"/>
        <v>#REF!</v>
      </c>
      <c r="FI32" s="133" t="str">
        <f t="shared" si="80"/>
        <v>#REF!</v>
      </c>
      <c r="FJ32" s="133" t="str">
        <f t="shared" si="81"/>
        <v>#REF!</v>
      </c>
      <c r="FK32" s="133" t="str">
        <f t="shared" si="139"/>
        <v>#REF!</v>
      </c>
      <c r="FL32" s="134" t="str">
        <f t="shared" si="82"/>
        <v>#REF!</v>
      </c>
      <c r="FM32" s="134" t="str">
        <f t="shared" si="83"/>
        <v>#REF!</v>
      </c>
      <c r="FN32" s="135" t="str">
        <f>IF(ISNA(VLOOKUP(A32,'Données projet (1)'!$A$217:$I$237,5,0)),0%,VLOOKUP(A32,'Données projet (1)'!$A$217:$I$237,5,0)*VLOOKUP('Données projet (1)'!$B$16,'Paramètres (1)'!$A$1:$I$88,7,0))</f>
        <v>#REF!</v>
      </c>
      <c r="FO32" s="135" t="str">
        <f>IF(ISNA(VLOOKUP(A32,'Données projet (1)'!$A$217:$I$237,6,0)),0%,VLOOKUP(A32,'Données projet (1)'!$A$217:$I$237,6,0)*VLOOKUP('Données projet (1)'!$B$16,'Paramètres (1)'!$A$1:$I$88,7,0))</f>
        <v>#REF!</v>
      </c>
      <c r="FP32" s="135" t="str">
        <f t="shared" si="84"/>
        <v>#REF!</v>
      </c>
      <c r="FQ32" s="142" t="str">
        <f>EXP(-LN(2)/35)*FQ31+(1-EXP(-LN(2)/35))/(LN(2)/35)*FM32*FN32*VLOOKUP('Données projet (1)'!$B$16,'Paramètres (1)'!$A$1:$I$88,3,0)*0.475*44/12</f>
        <v>#REF!</v>
      </c>
      <c r="FR32" s="142" t="str">
        <f>EXP(-LN(2)/25)*FR31+(1-EXP(-LN(2)/25))/(LN(2)/25)*'Calculateur (1)'!FM32*'Calculateur (1)'!FO32*VLOOKUP('Données projet (1)'!$B$16,'Paramètres (1)'!$A$1:$I$88,3,0)*0.475*44/12</f>
        <v>#REF!</v>
      </c>
      <c r="FS32" s="142" t="str">
        <f>EXP(-LN(2)/2)*FS31+(1-EXP(-LN(2)/2))/(LN(2)/2)*FM32*FP32*VLOOKUP('Données projet (1)'!$B$16,'Paramètres (1)'!$A$1:$I$88,3,0)*0.475*44/12</f>
        <v>#REF!</v>
      </c>
      <c r="FT32" s="143" t="str">
        <f t="shared" si="85"/>
        <v>#REF!</v>
      </c>
      <c r="FU32" s="139" t="str">
        <f t="shared" si="86"/>
        <v>#REF!</v>
      </c>
      <c r="FV32" s="131" t="str">
        <f t="shared" si="87"/>
        <v>#REF!</v>
      </c>
      <c r="FW32" s="131" t="str">
        <f t="shared" si="140"/>
        <v>#REF!</v>
      </c>
      <c r="FX32" s="131" t="str">
        <f t="shared" si="88"/>
        <v>#REF!</v>
      </c>
      <c r="FY32" s="131" t="str">
        <f t="array" ref="FY32">INDEX(FX:FX,MIN(IF(ISNUMBER(FX32:FX228),ROW(FX32:FX228),"")))</f>
        <v/>
      </c>
      <c r="FZ32" s="131" t="str">
        <f t="shared" si="141"/>
        <v>#REF!</v>
      </c>
      <c r="GA32" s="138" t="str">
        <f>FZ32*VLOOKUP('Données projet (1)'!$B$17,'Paramètres (1)'!$A$1:$I$88,3,0)*VLOOKUP('Données projet (1)'!$B$17,'Paramètres (1)'!$A$1:$I$88,5,0)</f>
        <v>#REF!</v>
      </c>
      <c r="GB32" s="130" t="str">
        <f t="shared" si="142"/>
        <v>#REF!</v>
      </c>
      <c r="GC32" s="141" t="str">
        <f t="shared" si="89"/>
        <v>#REF!</v>
      </c>
      <c r="GD32" s="133" t="str">
        <f t="shared" si="90"/>
        <v>#REF!</v>
      </c>
      <c r="GE32" s="133" t="str">
        <f t="shared" si="91"/>
        <v>#REF!</v>
      </c>
      <c r="GF32" s="133" t="str">
        <f t="shared" si="143"/>
        <v>#REF!</v>
      </c>
      <c r="GG32" s="134" t="str">
        <f t="shared" si="92"/>
        <v>#REF!</v>
      </c>
      <c r="GH32" s="134" t="str">
        <f t="shared" si="93"/>
        <v>#REF!</v>
      </c>
      <c r="GI32" s="135" t="str">
        <f>IF(ISNA(VLOOKUP(A32,'Données projet (1)'!$A$243:$I$263,5,0)),0%,VLOOKUP(A32,'Données projet (1)'!$A$243:$I$263,5,0)*VLOOKUP('Données projet (1)'!$B$17,'Paramètres (1)'!$A$1:$I$88,7,0))</f>
        <v>#REF!</v>
      </c>
      <c r="GJ32" s="135" t="str">
        <f>IF(ISNA(VLOOKUP(A32,'Données projet (1)'!$A$243:$I$263,6,0)),0%,VLOOKUP(A32,'Données projet (1)'!$A$243:$I$263,6,0)*VLOOKUP('Données projet (1)'!$B$17,'Paramètres (1)'!$A$1:$I$88,7,0))</f>
        <v>#REF!</v>
      </c>
      <c r="GK32" s="135" t="str">
        <f t="shared" si="94"/>
        <v>#REF!</v>
      </c>
      <c r="GL32" s="142" t="str">
        <f>EXP(-LN(2)/35)*GL31+(1-EXP(-LN(2)/35))/(LN(2)/35)*GH32*GI32*VLOOKUP('Données projet (1)'!$B$17,'Paramètres (1)'!$A$1:$I$88,3,0)*0.475*44/12</f>
        <v>#REF!</v>
      </c>
      <c r="GM32" s="142" t="str">
        <f>EXP(-LN(2)/25)*GM31+(1-EXP(-LN(2)/25))/(LN(2)/25)*'Calculateur (1)'!GH32*'Calculateur (1)'!GJ32*VLOOKUP('Données projet (1)'!$B$17,'Paramètres (1)'!$A$1:$I$88,3,0)*0.475*44/12</f>
        <v>#REF!</v>
      </c>
      <c r="GN32" s="142" t="str">
        <f>EXP(-LN(2)/2)*GN31+(1-EXP(-LN(2)/2))/(LN(2)/2)*GH32*GK32*VLOOKUP('Données projet (1)'!$B$17,'Paramètres (1)'!$A$1:$I$88,3,0)*0.475*44/12</f>
        <v>#REF!</v>
      </c>
      <c r="GO32" s="142" t="str">
        <f t="shared" si="95"/>
        <v>#REF!</v>
      </c>
      <c r="GP32" s="139" t="str">
        <f t="shared" si="96"/>
        <v>#REF!</v>
      </c>
      <c r="GQ32" s="131" t="str">
        <f t="shared" si="97"/>
        <v>#REF!</v>
      </c>
      <c r="GR32" s="131" t="str">
        <f t="shared" si="144"/>
        <v>#REF!</v>
      </c>
      <c r="GS32" s="131" t="str">
        <f t="shared" si="98"/>
        <v>#REF!</v>
      </c>
      <c r="GT32" s="131" t="str">
        <f t="array" ref="GT32">INDEX(GS:GS,MIN(IF(ISNUMBER(GS32:GS228),ROW(GS32:GS228),"")))</f>
        <v/>
      </c>
      <c r="GU32" s="131" t="str">
        <f t="shared" si="145"/>
        <v>#REF!</v>
      </c>
      <c r="GV32" s="138" t="str">
        <f>GU32*VLOOKUP('Données projet (1)'!$B$18,'Paramètres (1)'!$A$1:$I$88,3,0)*VLOOKUP('Données projet (1)'!$B$18,'Paramètres (1)'!$A$1:$I$88,5,0)</f>
        <v>#REF!</v>
      </c>
      <c r="GW32" s="130" t="str">
        <f t="shared" si="146"/>
        <v>#REF!</v>
      </c>
      <c r="GX32" s="141" t="str">
        <f t="shared" si="99"/>
        <v>#REF!</v>
      </c>
      <c r="GY32" s="133" t="str">
        <f t="shared" si="100"/>
        <v>#REF!</v>
      </c>
      <c r="GZ32" s="133" t="str">
        <f t="shared" si="101"/>
        <v>#REF!</v>
      </c>
      <c r="HA32" s="133" t="str">
        <f t="shared" si="147"/>
        <v>#REF!</v>
      </c>
      <c r="HB32" s="134" t="str">
        <f t="shared" si="102"/>
        <v>#REF!</v>
      </c>
      <c r="HC32" s="134" t="str">
        <f t="shared" si="103"/>
        <v>#REF!</v>
      </c>
      <c r="HD32" s="135" t="str">
        <f>IF(ISNA(VLOOKUP(A32,'Données projet (1)'!$A$269:$I$289,5,0)),0%,VLOOKUP(A32,'Données projet (1)'!$A$269:$I$289,5,0)*VLOOKUP('Données projet (1)'!$B$18,'Paramètres (1)'!$A$1:$I$88,7,0))</f>
        <v>#REF!</v>
      </c>
      <c r="HE32" s="135" t="str">
        <f>IF(ISNA(VLOOKUP(A32,'Données projet (1)'!$A$269:$I$289,6,0)),0%,VLOOKUP(A32,'Données projet (1)'!$A$269:$I$289,6,0)*VLOOKUP('Données projet (1)'!$B$18,'Paramètres (1)'!$A$1:$I$88,7,0))</f>
        <v>#REF!</v>
      </c>
      <c r="HF32" s="135" t="str">
        <f t="shared" si="104"/>
        <v>#REF!</v>
      </c>
      <c r="HG32" s="142" t="str">
        <f>EXP(-LN(2)/35)*HG31+(1-EXP(-LN(2)/35))/(LN(2)/35)*HC32*HD32*VLOOKUP('Données projet (1)'!$B$18,'Paramètres (1)'!$A$1:$I$88,3,0)*0.475*44/12</f>
        <v>#REF!</v>
      </c>
      <c r="HH32" s="142" t="str">
        <f>EXP(-LN(2)/25)*HH31+(1-EXP(-LN(2)/25))/(LN(2)/25)*'Calculateur (1)'!HC32*'Calculateur (1)'!HE32*VLOOKUP('Données projet (1)'!$B$18,'Paramètres (1)'!$A$1:$I$88,3,0)*0.475*44/12</f>
        <v>#REF!</v>
      </c>
      <c r="HI32" s="142" t="str">
        <f>EXP(-LN(2)/2)*HI31+(1-EXP(-LN(2)/2))/(LN(2)/2)*HC32*HF32*VLOOKUP('Données projet (1)'!$B$18,'Paramètres (1)'!$A$1:$I$88,3,0)*0.475*44/12</f>
        <v>#REF!</v>
      </c>
      <c r="HJ32" s="143" t="str">
        <f t="shared" si="105"/>
        <v>#REF!</v>
      </c>
    </row>
    <row r="33" ht="14.25" customHeight="1">
      <c r="A33" s="125">
        <f t="shared" si="106"/>
        <v>30</v>
      </c>
      <c r="B33" s="126" t="str">
        <f t="shared" si="1"/>
        <v>#REF!</v>
      </c>
      <c r="C33" s="140" t="str">
        <f>'Calculateur (1)'!C32+'Scénario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3" s="127">
        <f t="shared" si="107"/>
        <v>0</v>
      </c>
      <c r="E33" s="127" t="str">
        <f t="shared" si="2"/>
        <v>#REF!</v>
      </c>
      <c r="F33" s="127" t="str">
        <f t="shared" si="3"/>
        <v>#REF!</v>
      </c>
      <c r="G33" s="127" t="str">
        <f t="shared" si="4"/>
        <v>#REF!</v>
      </c>
      <c r="H33" s="128" t="str">
        <f t="shared" si="5"/>
        <v>#REF!</v>
      </c>
      <c r="I33" s="129" t="str">
        <f t="shared" si="6"/>
        <v>#REF!</v>
      </c>
      <c r="J33" s="130" t="str">
        <f t="shared" si="7"/>
        <v>#REF!</v>
      </c>
      <c r="K33" s="131" t="str">
        <f t="shared" si="108"/>
        <v>#REF!</v>
      </c>
      <c r="L33" s="131" t="str">
        <f t="shared" si="8"/>
        <v>#REF!</v>
      </c>
      <c r="M33" s="131" t="str">
        <f t="array" ref="M33">INDEX(L:L,MIN(IF(ISNUMBER(L33:L229),ROW(L33:L229),"")))</f>
        <v/>
      </c>
      <c r="N33" s="130" t="str">
        <f t="shared" si="109"/>
        <v>#REF!</v>
      </c>
      <c r="O33" s="130" t="str">
        <f>N33*VLOOKUP('Données projet (1)'!$B$9,'Paramètres (1)'!$A$1:$I$88,3,0)*VLOOKUP('Données projet (1)'!$B$9,'Paramètres (1)'!$A$1:$I$88,5,0)</f>
        <v>#REF!</v>
      </c>
      <c r="P33" s="130" t="str">
        <f t="shared" si="110"/>
        <v>#REF!</v>
      </c>
      <c r="Q33" s="141" t="str">
        <f t="shared" si="9"/>
        <v>#REF!</v>
      </c>
      <c r="R33" s="133" t="str">
        <f t="shared" si="10"/>
        <v>#REF!</v>
      </c>
      <c r="S33" s="133" t="str">
        <f t="shared" si="11"/>
        <v>#REF!</v>
      </c>
      <c r="T33" s="133" t="str">
        <f t="shared" si="111"/>
        <v>#REF!</v>
      </c>
      <c r="U33" s="134" t="str">
        <f t="shared" si="12"/>
        <v>#REF!</v>
      </c>
      <c r="V33" s="134" t="str">
        <f t="shared" si="13"/>
        <v>#REF!</v>
      </c>
      <c r="W33" s="135" t="str">
        <f>IF(ISNA(VLOOKUP(A33,'Données projet (1)'!$A$35:$I$55,5,0)),0%,VLOOKUP(A33,'Données projet (1)'!$A$35:$I$55,5,0)*VLOOKUP('Données projet (1)'!$B$9,'Paramètres (1)'!$A$1:$I$88,7,0))</f>
        <v>#REF!</v>
      </c>
      <c r="X33" s="135" t="str">
        <f>IF(ISNA(VLOOKUP(A33,'Données projet (1)'!$A$35:$I$55,6,0)),0%,VLOOKUP(A33,'Données projet (1)'!$A$35:$I$55,6,0)*VLOOKUP('Données projet (1)'!$B$9,'Paramètres (1)'!$A$1:$I$88,7,0))</f>
        <v>#REF!</v>
      </c>
      <c r="Y33" s="135" t="str">
        <f t="shared" si="14"/>
        <v>#REF!</v>
      </c>
      <c r="Z33" s="142" t="str">
        <f>EXP(-LN(2)/35)*Z32+(1-EXP(-LN(2)/35))/(LN(2)/35)*V33*W33*VLOOKUP('Données projet (1)'!$B$9,'Paramètres (1)'!$A$1:$I$88,3,0)*0.475*44/12</f>
        <v>#REF!</v>
      </c>
      <c r="AA33" s="142" t="str">
        <f>EXP(-LN(2)/25)*AA32+(1-EXP(-LN(2)/25))/(LN(2)/25)*'Calculateur (1)'!V33*'Calculateur (1)'!X33*VLOOKUP('Données projet (1)'!$B$9,'Paramètres (1)'!$A$1:$I$88,3,0)*0.475*44/12</f>
        <v>#REF!</v>
      </c>
      <c r="AB33" s="142" t="str">
        <f>EXP(-LN(2)/2)*AB32+(1-EXP(-LN(2)/2))/(LN(2)/2)*V33*Y33*VLOOKUP('Données projet (1)'!$B$9,'Paramètres (1)'!$A$1:$I$88,3,0)*0.475*44/12</f>
        <v>#REF!</v>
      </c>
      <c r="AC33" s="143" t="str">
        <f t="shared" si="15"/>
        <v>#REF!</v>
      </c>
      <c r="AD33" s="130" t="str">
        <f t="shared" si="16"/>
        <v>#REF!</v>
      </c>
      <c r="AE33" s="130" t="str">
        <f t="shared" si="17"/>
        <v>#REF!</v>
      </c>
      <c r="AF33" s="131" t="str">
        <f t="shared" si="112"/>
        <v>#REF!</v>
      </c>
      <c r="AG33" s="131" t="str">
        <f t="shared" si="18"/>
        <v>#REF!</v>
      </c>
      <c r="AH33" s="131" t="str">
        <f t="array" ref="AH33">INDEX(AG:AG,MIN(IF(ISNUMBER(AG33:AG229),ROW(AG33:AG229),"")))</f>
        <v/>
      </c>
      <c r="AI33" s="130" t="str">
        <f t="shared" si="113"/>
        <v>#REF!</v>
      </c>
      <c r="AJ33" s="130" t="str">
        <f>AI33*VLOOKUP('Données projet (1)'!$B$10,'Paramètres (1)'!$A$1:$I$88,3,0)*VLOOKUP('Données projet (1)'!$B$10,'Paramètres (1)'!$A$1:$I$88,5,0)</f>
        <v>#REF!</v>
      </c>
      <c r="AK33" s="130" t="str">
        <f t="shared" si="114"/>
        <v>#REF!</v>
      </c>
      <c r="AL33" s="141" t="str">
        <f t="shared" si="19"/>
        <v>#REF!</v>
      </c>
      <c r="AM33" s="133" t="str">
        <f t="shared" si="20"/>
        <v>#REF!</v>
      </c>
      <c r="AN33" s="133" t="str">
        <f t="shared" si="21"/>
        <v>#REF!</v>
      </c>
      <c r="AO33" s="133" t="str">
        <f t="shared" si="115"/>
        <v>#REF!</v>
      </c>
      <c r="AP33" s="134" t="str">
        <f t="shared" si="22"/>
        <v>#REF!</v>
      </c>
      <c r="AQ33" s="134" t="str">
        <f t="shared" si="23"/>
        <v>#REF!</v>
      </c>
      <c r="AR33" s="135" t="str">
        <f>IF(ISNA(VLOOKUP(A33,'Données projet (1)'!$A$61:$I$81,5,0)),0%,VLOOKUP(A33,'Données projet (1)'!$A$61:$I$81,5,0)*VLOOKUP('Données projet (1)'!$B$10,'Paramètres (1)'!$A$1:$I$88,7,0))</f>
        <v>#REF!</v>
      </c>
      <c r="AS33" s="135" t="str">
        <f>IF(ISNA(VLOOKUP(A33,'Données projet (1)'!$A$61:$I$81,6,0)),0%,VLOOKUP(A33,'Données projet (1)'!$A$61:$I$81,6,0)*VLOOKUP('Données projet (1)'!$B$10,'Paramètres (1)'!$A$1:$I$88,7,0))</f>
        <v>#REF!</v>
      </c>
      <c r="AT33" s="135" t="str">
        <f t="shared" si="24"/>
        <v>#REF!</v>
      </c>
      <c r="AU33" s="142" t="str">
        <f>EXP(-LN(2)/35)*AU32+(1-EXP(-LN(2)/35))/(LN(2)/35)*AQ33*AR33*VLOOKUP('Données projet (1)'!$B$10,'Paramètres (1)'!$A$1:$I$88,3,0)*0.475*44/12</f>
        <v>#REF!</v>
      </c>
      <c r="AV33" s="142" t="str">
        <f>EXP(-LN(2)/25)*AV32+(1-EXP(-LN(2)/25))/(LN(2)/25)*'Calculateur (1)'!AQ33*'Calculateur (1)'!AS33*VLOOKUP('Données projet (1)'!$B$10,'Paramètres (1)'!$A$1:$I$88,3,0)*0.475*44/12</f>
        <v>#REF!</v>
      </c>
      <c r="AW33" s="142" t="str">
        <f>EXP(-LN(2)/2)*AW32+(1-EXP(-LN(2)/2))/(LN(2)/2)*AQ33*AT33*VLOOKUP('Données projet (1)'!$B$10,'Paramètres (1)'!$A$1:$I$88,3,0)*0.475*44/12</f>
        <v>#REF!</v>
      </c>
      <c r="AX33" s="142" t="str">
        <f t="shared" si="25"/>
        <v>#REF!</v>
      </c>
      <c r="AY33" s="137" t="str">
        <f t="shared" si="26"/>
        <v>#REF!</v>
      </c>
      <c r="AZ33" s="131" t="str">
        <f t="shared" si="27"/>
        <v>#REF!</v>
      </c>
      <c r="BA33" s="131" t="str">
        <f t="shared" si="116"/>
        <v>#REF!</v>
      </c>
      <c r="BB33" s="131" t="str">
        <f t="shared" si="28"/>
        <v>#REF!</v>
      </c>
      <c r="BC33" s="131" t="str">
        <f t="array" ref="BC33">INDEX(BB:BB,MIN(IF(ISNUMBER(BB33:BB229),ROW(BB33:BB229),"")))</f>
        <v/>
      </c>
      <c r="BD33" s="131" t="str">
        <f t="shared" si="117"/>
        <v>#REF!</v>
      </c>
      <c r="BE33" s="130" t="str">
        <f>BD33*VLOOKUP('Données projet (1)'!$B$11,'Paramètres (1)'!$A$1:$I$88,3,0)*VLOOKUP('Données projet (1)'!$B$11,'Paramètres (1)'!$A$1:$I$88,5,0)</f>
        <v>#REF!</v>
      </c>
      <c r="BF33" s="130" t="str">
        <f t="shared" si="118"/>
        <v>#REF!</v>
      </c>
      <c r="BG33" s="141" t="str">
        <f t="shared" si="29"/>
        <v>#REF!</v>
      </c>
      <c r="BH33" s="133" t="str">
        <f t="shared" si="30"/>
        <v>#REF!</v>
      </c>
      <c r="BI33" s="133" t="str">
        <f t="shared" si="31"/>
        <v>#REF!</v>
      </c>
      <c r="BJ33" s="133" t="str">
        <f t="shared" si="119"/>
        <v>#REF!</v>
      </c>
      <c r="BK33" s="134" t="str">
        <f t="shared" si="32"/>
        <v>#REF!</v>
      </c>
      <c r="BL33" s="134" t="str">
        <f t="shared" si="33"/>
        <v>#REF!</v>
      </c>
      <c r="BM33" s="135" t="str">
        <f>IF(ISNA(VLOOKUP(A33,'Données projet (1)'!$A$87:$I$107,5,0)),0%,VLOOKUP(A33,'Données projet (1)'!$A$87:$I$107,5,0)*VLOOKUP('Données projet (1)'!$B$11,'Paramètres (1)'!$A$1:$I$88,7,0))</f>
        <v>#REF!</v>
      </c>
      <c r="BN33" s="135" t="str">
        <f>IF(ISNA(VLOOKUP(A33,'Données projet (1)'!$A$87:$I$107,6,0)),0%,VLOOKUP(A33,'Données projet (1)'!$A$87:$I$107,6,0)*VLOOKUP('Données projet (1)'!$B$11,'Paramètres (1)'!$A$1:$I$88,7,0))</f>
        <v>#REF!</v>
      </c>
      <c r="BO33" s="135" t="str">
        <f t="shared" si="34"/>
        <v>#REF!</v>
      </c>
      <c r="BP33" s="142" t="str">
        <f>EXP(-LN(2)/35)*BP32+(1-EXP(-LN(2)/35))/(LN(2)/35)*BL33*BM33*VLOOKUP('Données projet (1)'!$B$11,'Paramètres (1)'!$A$1:$I$88,3,0)*0.475*44/12</f>
        <v>#REF!</v>
      </c>
      <c r="BQ33" s="142" t="str">
        <f>EXP(-LN(2)/25)*BQ32+(1-EXP(-LN(2)/25))/(LN(2)/25)*'Calculateur (1)'!BL33*'Calculateur (1)'!BN33*VLOOKUP('Données projet (1)'!$B$11,'Paramètres (1)'!$A$1:$I$88,3,0)*0.475*44/12</f>
        <v>#REF!</v>
      </c>
      <c r="BR33" s="142" t="str">
        <f>EXP(-LN(2)/2)*BR32+(1-EXP(-LN(2)/2))/(LN(2)/2)*BL33*BO33*VLOOKUP('Données projet (1)'!$B$11,'Paramètres (1)'!$A$1:$I$88,3,0)*0.475*44/12</f>
        <v>#REF!</v>
      </c>
      <c r="BS33" s="143" t="str">
        <f t="shared" si="35"/>
        <v>#REF!</v>
      </c>
      <c r="BT33" s="139" t="str">
        <f t="shared" si="36"/>
        <v>#REF!</v>
      </c>
      <c r="BU33" s="131" t="str">
        <f t="shared" si="37"/>
        <v>#REF!</v>
      </c>
      <c r="BV33" s="131" t="str">
        <f t="shared" si="120"/>
        <v>#REF!</v>
      </c>
      <c r="BW33" s="131" t="str">
        <f t="shared" si="38"/>
        <v>#REF!</v>
      </c>
      <c r="BX33" s="131" t="str">
        <f t="array" ref="BX33">INDEX(BW:BW,MIN(IF(ISNUMBER(BW33:BW229),ROW(BW33:BW229),"")))</f>
        <v/>
      </c>
      <c r="BY33" s="131" t="str">
        <f t="shared" si="121"/>
        <v>#REF!</v>
      </c>
      <c r="BZ33" s="130" t="str">
        <f>BY33*VLOOKUP('Données projet (1)'!$B$12,'Paramètres (1)'!$A$1:$I$88,3,0)*VLOOKUP('Données projet (1)'!$B$12,'Paramètres (1)'!$A$1:$I$88,5,0)</f>
        <v>#REF!</v>
      </c>
      <c r="CA33" s="130" t="str">
        <f t="shared" si="122"/>
        <v>#REF!</v>
      </c>
      <c r="CB33" s="141" t="str">
        <f t="shared" si="39"/>
        <v>#REF!</v>
      </c>
      <c r="CC33" s="133" t="str">
        <f t="shared" si="40"/>
        <v>#REF!</v>
      </c>
      <c r="CD33" s="133" t="str">
        <f t="shared" si="41"/>
        <v>#REF!</v>
      </c>
      <c r="CE33" s="133" t="str">
        <f t="shared" si="123"/>
        <v>#REF!</v>
      </c>
      <c r="CF33" s="134" t="str">
        <f t="shared" si="42"/>
        <v>#REF!</v>
      </c>
      <c r="CG33" s="134" t="str">
        <f t="shared" si="43"/>
        <v>#REF!</v>
      </c>
      <c r="CH33" s="135" t="str">
        <f>IF(ISNA(VLOOKUP(A33,'Données projet (1)'!$A$113:$I$133,5,0)),0%,VLOOKUP(A33,'Données projet (1)'!$A$113:$I$133,5,0)*VLOOKUP('Données projet (1)'!$B$12,'Paramètres (1)'!$A$1:$I$88,7,0))</f>
        <v>#REF!</v>
      </c>
      <c r="CI33" s="135" t="str">
        <f>IF(ISNA(VLOOKUP(A33,'Données projet (1)'!$A$113:$I$133,6,0)),0%,VLOOKUP(A33,'Données projet (1)'!$A$113:$I$133,6,0)*VLOOKUP('Données projet (1)'!$B$12,'Paramètres (1)'!$A$1:$I$88,7,0))</f>
        <v>#REF!</v>
      </c>
      <c r="CJ33" s="135" t="str">
        <f t="shared" si="44"/>
        <v>#REF!</v>
      </c>
      <c r="CK33" s="142" t="str">
        <f>EXP(-LN(2)/35)*CK32+(1-EXP(-LN(2)/35))/(LN(2)/35)*CG33*CH33*VLOOKUP('Données projet (1)'!$B$12,'Paramètres (1)'!$A$1:$I$88,3,0)*0.475*44/12</f>
        <v>#REF!</v>
      </c>
      <c r="CL33" s="142" t="str">
        <f>EXP(-LN(2)/25)*CL32+(1-EXP(-LN(2)/25))/(LN(2)/25)*'Calculateur (1)'!CG33*'Calculateur (1)'!CI33*VLOOKUP('Données projet (1)'!$B$12,'Paramètres (1)'!$A$1:$I$88,3,0)*0.475*44/12</f>
        <v>#REF!</v>
      </c>
      <c r="CM33" s="142" t="str">
        <f>EXP(-LN(2)/2)*CM32+(1-EXP(-LN(2)/2))/(LN(2)/2)*CG33*CJ33*VLOOKUP('Données projet (1)'!$B$12,'Paramètres (1)'!$A$1:$I$88,3,0)*0.475*44/12</f>
        <v>#REF!</v>
      </c>
      <c r="CN33" s="143" t="str">
        <f t="shared" si="45"/>
        <v>#REF!</v>
      </c>
      <c r="CO33" s="139" t="str">
        <f t="shared" si="46"/>
        <v>#REF!</v>
      </c>
      <c r="CP33" s="131" t="str">
        <f t="shared" si="47"/>
        <v>#REF!</v>
      </c>
      <c r="CQ33" s="131" t="str">
        <f t="shared" si="124"/>
        <v>#REF!</v>
      </c>
      <c r="CR33" s="131" t="str">
        <f t="shared" si="48"/>
        <v>#REF!</v>
      </c>
      <c r="CS33" s="131" t="str">
        <f t="array" ref="CS33">INDEX(CR:CR,MIN(IF(ISNUMBER(CR33:CR229),ROW(CR33:CR229),"")))</f>
        <v/>
      </c>
      <c r="CT33" s="131" t="str">
        <f t="shared" si="125"/>
        <v>#REF!</v>
      </c>
      <c r="CU33" s="138" t="str">
        <f>CT33*VLOOKUP('Données projet (1)'!$B$13,'Paramètres (1)'!$A$1:$I$88,3,0)*VLOOKUP('Données projet (1)'!$B$13,'Paramètres (1)'!$A$1:$I$88,5,0)</f>
        <v>#REF!</v>
      </c>
      <c r="CV33" s="130" t="str">
        <f t="shared" si="126"/>
        <v>#REF!</v>
      </c>
      <c r="CW33" s="141" t="str">
        <f t="shared" si="49"/>
        <v>#REF!</v>
      </c>
      <c r="CX33" s="133" t="str">
        <f t="shared" si="50"/>
        <v>#REF!</v>
      </c>
      <c r="CY33" s="133" t="str">
        <f t="shared" si="51"/>
        <v>#REF!</v>
      </c>
      <c r="CZ33" s="133" t="str">
        <f t="shared" si="127"/>
        <v>#REF!</v>
      </c>
      <c r="DA33" s="134" t="str">
        <f t="shared" si="52"/>
        <v>#REF!</v>
      </c>
      <c r="DB33" s="134" t="str">
        <f t="shared" si="53"/>
        <v>#REF!</v>
      </c>
      <c r="DC33" s="135" t="str">
        <f>IF(ISNA(VLOOKUP(A33,'Données projet (1)'!$A$139:$I$159,5,0)),0%,VLOOKUP(A33,'Données projet (1)'!$A$139:$I$159,5,0)*VLOOKUP('Données projet (1)'!$B$13,'Paramètres (1)'!$A$1:$I$88,7,0))</f>
        <v>#REF!</v>
      </c>
      <c r="DD33" s="135" t="str">
        <f>IF(ISNA(VLOOKUP(A33,'Données projet (1)'!$A$139:$I$159,6,0)),0%,VLOOKUP(A33,'Données projet (1)'!$A$139:$I$159,6,0)*VLOOKUP('Données projet (1)'!$B$13,'Paramètres (1)'!$A$1:$I$88,7,0))</f>
        <v>#REF!</v>
      </c>
      <c r="DE33" s="135" t="str">
        <f t="shared" si="54"/>
        <v>#REF!</v>
      </c>
      <c r="DF33" s="142" t="str">
        <f>EXP(-LN(2)/35)*DF32+(1-EXP(-LN(2)/35))/(LN(2)/35)*DB33*DC33*VLOOKUP('Données projet (1)'!$B$13,'Paramètres (1)'!$A$1:$I$88,3,0)*0.475*44/12</f>
        <v>#REF!</v>
      </c>
      <c r="DG33" s="142" t="str">
        <f>EXP(-LN(2)/25)*DG32+(1-EXP(-LN(2)/25))/(LN(2)/25)*'Calculateur (1)'!DB33*'Calculateur (1)'!DD33*VLOOKUP('Données projet (1)'!$B$13,'Paramètres (1)'!$A$1:$I$88,3,0)*0.475*44/12</f>
        <v>#REF!</v>
      </c>
      <c r="DH33" s="142" t="str">
        <f>EXP(-LN(2)/2)*DH32+(1-EXP(-LN(2)/2))/(LN(2)/2)*DB33*DE33*VLOOKUP('Données projet (1)'!$B$13,'Paramètres (1)'!$A$1:$I$88,3,0)*0.475*44/12</f>
        <v>#REF!</v>
      </c>
      <c r="DI33" s="143" t="str">
        <f t="shared" si="55"/>
        <v>#REF!</v>
      </c>
      <c r="DJ33" s="139" t="str">
        <f t="shared" si="56"/>
        <v>#REF!</v>
      </c>
      <c r="DK33" s="131" t="str">
        <f t="shared" si="57"/>
        <v>#REF!</v>
      </c>
      <c r="DL33" s="131" t="str">
        <f t="shared" si="128"/>
        <v>#REF!</v>
      </c>
      <c r="DM33" s="131" t="str">
        <f t="shared" si="58"/>
        <v>#REF!</v>
      </c>
      <c r="DN33" s="131" t="str">
        <f t="array" ref="DN33">INDEX(DM:DM,MIN(IF(ISNUMBER(DM33:DM229),ROW(DM33:DM229),"")))</f>
        <v/>
      </c>
      <c r="DO33" s="131" t="str">
        <f t="shared" si="129"/>
        <v>#REF!</v>
      </c>
      <c r="DP33" s="138" t="str">
        <f>DO33*VLOOKUP('Données projet (1)'!$B$14,'Paramètres (1)'!$A$1:$I$88,3,0)*VLOOKUP('Données projet (1)'!$B$14,'Paramètres (1)'!$A$1:$I$88,5,0)</f>
        <v>#REF!</v>
      </c>
      <c r="DQ33" s="130" t="str">
        <f t="shared" si="130"/>
        <v>#REF!</v>
      </c>
      <c r="DR33" s="141" t="str">
        <f t="shared" si="59"/>
        <v>#REF!</v>
      </c>
      <c r="DS33" s="133" t="str">
        <f t="shared" si="60"/>
        <v>#REF!</v>
      </c>
      <c r="DT33" s="133" t="str">
        <f t="shared" si="61"/>
        <v>#REF!</v>
      </c>
      <c r="DU33" s="133" t="str">
        <f t="shared" si="131"/>
        <v>#REF!</v>
      </c>
      <c r="DV33" s="134" t="str">
        <f t="shared" si="62"/>
        <v>#REF!</v>
      </c>
      <c r="DW33" s="134" t="str">
        <f t="shared" si="63"/>
        <v>#REF!</v>
      </c>
      <c r="DX33" s="135" t="str">
        <f>IF(ISNA(VLOOKUP(A33,'Données projet (1)'!$A$165:$I$185,5,0)),0%,VLOOKUP(A33,'Données projet (1)'!$A$165:$I$185,5,0)*VLOOKUP('Données projet (1)'!$B$14,'Paramètres (1)'!$A$1:$I$88,7,0))</f>
        <v>#REF!</v>
      </c>
      <c r="DY33" s="135" t="str">
        <f>IF(ISNA(VLOOKUP(A33,'Données projet (1)'!$A$165:$I$185,6,0)),0%,VLOOKUP(A33,'Données projet (1)'!$A$165:$I$185,6,0)*VLOOKUP('Données projet (1)'!$B$14,'Paramètres (1)'!$A$1:$I$88,7,0))</f>
        <v>#REF!</v>
      </c>
      <c r="DZ33" s="135" t="str">
        <f t="shared" si="64"/>
        <v>#REF!</v>
      </c>
      <c r="EA33" s="142" t="str">
        <f>EXP(-LN(2)/35)*EA32+(1-EXP(-LN(2)/35))/(LN(2)/35)*DW33*DX33*VLOOKUP('Données projet (1)'!$B$14,'Paramètres (1)'!$A$1:$I$88,3,0)*0.475*44/12</f>
        <v>#REF!</v>
      </c>
      <c r="EB33" s="142" t="str">
        <f>EXP(-LN(2)/25)*EB32+(1-EXP(-LN(2)/25))/(LN(2)/25)*'Calculateur (1)'!DW33*'Calculateur (1)'!DY33*VLOOKUP('Données projet (1)'!$B$14,'Paramètres (1)'!$A$1:$I$88,3,0)*0.475*44/12</f>
        <v>#REF!</v>
      </c>
      <c r="EC33" s="142" t="str">
        <f>EXP(-LN(2)/2)*EC32+(1-EXP(-LN(2)/2))/(LN(2)/2)*DW33*DZ33*VLOOKUP('Données projet (1)'!$B$14,'Paramètres (1)'!$A$1:$I$88,3,0)*0.475*44/12</f>
        <v>#REF!</v>
      </c>
      <c r="ED33" s="143" t="str">
        <f t="shared" si="65"/>
        <v>#REF!</v>
      </c>
      <c r="EE33" s="139" t="str">
        <f t="shared" si="66"/>
        <v>#REF!</v>
      </c>
      <c r="EF33" s="131" t="str">
        <f t="shared" si="67"/>
        <v>#REF!</v>
      </c>
      <c r="EG33" s="131" t="str">
        <f t="shared" si="132"/>
        <v>#REF!</v>
      </c>
      <c r="EH33" s="131" t="str">
        <f t="shared" si="68"/>
        <v>#REF!</v>
      </c>
      <c r="EI33" s="131" t="str">
        <f t="array" ref="EI33">INDEX(EH:EH,MIN(IF(ISNUMBER(EH33:EH229),ROW(EH33:EH229),"")))</f>
        <v/>
      </c>
      <c r="EJ33" s="131" t="str">
        <f t="shared" si="133"/>
        <v>#REF!</v>
      </c>
      <c r="EK33" s="138" t="str">
        <f>EJ33*VLOOKUP('Données projet (1)'!$B$15,'Paramètres (1)'!$A$1:$I$88,3,0)*VLOOKUP('Données projet (1)'!$B$15,'Paramètres (1)'!$A$1:$I$88,5,0)</f>
        <v>#REF!</v>
      </c>
      <c r="EL33" s="130" t="str">
        <f t="shared" si="134"/>
        <v>#REF!</v>
      </c>
      <c r="EM33" s="141" t="str">
        <f t="shared" si="69"/>
        <v>#REF!</v>
      </c>
      <c r="EN33" s="133" t="str">
        <f t="shared" si="70"/>
        <v>#REF!</v>
      </c>
      <c r="EO33" s="133" t="str">
        <f t="shared" si="71"/>
        <v>#REF!</v>
      </c>
      <c r="EP33" s="133" t="str">
        <f t="shared" si="135"/>
        <v>#REF!</v>
      </c>
      <c r="EQ33" s="134" t="str">
        <f t="shared" si="72"/>
        <v>#REF!</v>
      </c>
      <c r="ER33" s="134" t="str">
        <f t="shared" si="73"/>
        <v>#REF!</v>
      </c>
      <c r="ES33" s="135" t="str">
        <f>IF(ISNA(VLOOKUP(A33,'Données projet (1)'!$A$191:$I$211,5,0)),0%,VLOOKUP(A33,'Données projet (1)'!$A$191:$I$211,5,0)*VLOOKUP('Données projet (1)'!$B$15,'Paramètres (1)'!$A$1:$I$88,7,0))</f>
        <v>#REF!</v>
      </c>
      <c r="ET33" s="135" t="str">
        <f>IF(ISNA(VLOOKUP(A33,'Données projet (1)'!$A$191:$I$211,6,0)),0%,VLOOKUP(A33,'Données projet (1)'!$A$191:$I$211,6,0)*VLOOKUP('Données projet (1)'!$B$15,'Paramètres (1)'!$A$1:$I$88,7,0))</f>
        <v>#REF!</v>
      </c>
      <c r="EU33" s="135" t="str">
        <f t="shared" si="74"/>
        <v>#REF!</v>
      </c>
      <c r="EV33" s="142" t="str">
        <f>EXP(-LN(2)/35)*EV32+(1-EXP(-LN(2)/35))/(LN(2)/35)*ER33*ES33*VLOOKUP('Données projet (1)'!$B$15,'Paramètres (1)'!$A$1:$I$88,3,0)*0.475*44/12</f>
        <v>#REF!</v>
      </c>
      <c r="EW33" s="142" t="str">
        <f>EXP(-LN(2)/25)*EW32+(1-EXP(-LN(2)/25))/(LN(2)/25)*'Calculateur (1)'!ER33*'Calculateur (1)'!ET33*VLOOKUP('Données projet (1)'!$B$15,'Paramètres (1)'!$A$1:$I$88,3,0)*0.475*44/12</f>
        <v>#REF!</v>
      </c>
      <c r="EX33" s="142" t="str">
        <f>EXP(-LN(2)/2)*EX32+(1-EXP(-LN(2)/2))/(LN(2)/2)*ER33*EU33*VLOOKUP('Données projet (1)'!$B$15,'Paramètres (1)'!$A$1:$I$88,3,0)*0.475*44/12</f>
        <v>#REF!</v>
      </c>
      <c r="EY33" s="143" t="str">
        <f t="shared" si="75"/>
        <v>#REF!</v>
      </c>
      <c r="EZ33" s="139" t="str">
        <f t="shared" si="76"/>
        <v>#REF!</v>
      </c>
      <c r="FA33" s="131" t="str">
        <f t="shared" si="77"/>
        <v>#REF!</v>
      </c>
      <c r="FB33" s="131" t="str">
        <f t="shared" si="136"/>
        <v>#REF!</v>
      </c>
      <c r="FC33" s="131" t="str">
        <f t="shared" si="78"/>
        <v>#REF!</v>
      </c>
      <c r="FD33" s="131" t="str">
        <f t="array" ref="FD33">INDEX(FC:FC,MIN(IF(ISNUMBER(FC33:FC229),ROW(FC33:FC229),"")))</f>
        <v/>
      </c>
      <c r="FE33" s="131" t="str">
        <f t="shared" si="137"/>
        <v>#REF!</v>
      </c>
      <c r="FF33" s="138" t="str">
        <f>FE33*VLOOKUP('Données projet (1)'!$B$16,'Paramètres (1)'!$A$1:$I$88,3,0)*VLOOKUP('Données projet (1)'!$B$16,'Paramètres (1)'!$A$1:$I$88,5,0)</f>
        <v>#REF!</v>
      </c>
      <c r="FG33" s="130" t="str">
        <f t="shared" si="138"/>
        <v>#REF!</v>
      </c>
      <c r="FH33" s="141" t="str">
        <f t="shared" si="79"/>
        <v>#REF!</v>
      </c>
      <c r="FI33" s="133" t="str">
        <f t="shared" si="80"/>
        <v>#REF!</v>
      </c>
      <c r="FJ33" s="133" t="str">
        <f t="shared" si="81"/>
        <v>#REF!</v>
      </c>
      <c r="FK33" s="133" t="str">
        <f t="shared" si="139"/>
        <v>#REF!</v>
      </c>
      <c r="FL33" s="134" t="str">
        <f t="shared" si="82"/>
        <v>#REF!</v>
      </c>
      <c r="FM33" s="134" t="str">
        <f t="shared" si="83"/>
        <v>#REF!</v>
      </c>
      <c r="FN33" s="135" t="str">
        <f>IF(ISNA(VLOOKUP(A33,'Données projet (1)'!$A$217:$I$237,5,0)),0%,VLOOKUP(A33,'Données projet (1)'!$A$217:$I$237,5,0)*VLOOKUP('Données projet (1)'!$B$16,'Paramètres (1)'!$A$1:$I$88,7,0))</f>
        <v>#REF!</v>
      </c>
      <c r="FO33" s="135" t="str">
        <f>IF(ISNA(VLOOKUP(A33,'Données projet (1)'!$A$217:$I$237,6,0)),0%,VLOOKUP(A33,'Données projet (1)'!$A$217:$I$237,6,0)*VLOOKUP('Données projet (1)'!$B$16,'Paramètres (1)'!$A$1:$I$88,7,0))</f>
        <v>#REF!</v>
      </c>
      <c r="FP33" s="135" t="str">
        <f t="shared" si="84"/>
        <v>#REF!</v>
      </c>
      <c r="FQ33" s="142" t="str">
        <f>EXP(-LN(2)/35)*FQ32+(1-EXP(-LN(2)/35))/(LN(2)/35)*FM33*FN33*VLOOKUP('Données projet (1)'!$B$16,'Paramètres (1)'!$A$1:$I$88,3,0)*0.475*44/12</f>
        <v>#REF!</v>
      </c>
      <c r="FR33" s="142" t="str">
        <f>EXP(-LN(2)/25)*FR32+(1-EXP(-LN(2)/25))/(LN(2)/25)*'Calculateur (1)'!FM33*'Calculateur (1)'!FO33*VLOOKUP('Données projet (1)'!$B$16,'Paramètres (1)'!$A$1:$I$88,3,0)*0.475*44/12</f>
        <v>#REF!</v>
      </c>
      <c r="FS33" s="142" t="str">
        <f>EXP(-LN(2)/2)*FS32+(1-EXP(-LN(2)/2))/(LN(2)/2)*FM33*FP33*VLOOKUP('Données projet (1)'!$B$16,'Paramètres (1)'!$A$1:$I$88,3,0)*0.475*44/12</f>
        <v>#REF!</v>
      </c>
      <c r="FT33" s="143" t="str">
        <f t="shared" si="85"/>
        <v>#REF!</v>
      </c>
      <c r="FU33" s="139" t="str">
        <f t="shared" si="86"/>
        <v>#REF!</v>
      </c>
      <c r="FV33" s="131" t="str">
        <f t="shared" si="87"/>
        <v>#REF!</v>
      </c>
      <c r="FW33" s="131" t="str">
        <f t="shared" si="140"/>
        <v>#REF!</v>
      </c>
      <c r="FX33" s="131" t="str">
        <f t="shared" si="88"/>
        <v>#REF!</v>
      </c>
      <c r="FY33" s="131" t="str">
        <f t="array" ref="FY33">INDEX(FX:FX,MIN(IF(ISNUMBER(FX33:FX229),ROW(FX33:FX229),"")))</f>
        <v/>
      </c>
      <c r="FZ33" s="131" t="str">
        <f t="shared" si="141"/>
        <v>#REF!</v>
      </c>
      <c r="GA33" s="138" t="str">
        <f>FZ33*VLOOKUP('Données projet (1)'!$B$17,'Paramètres (1)'!$A$1:$I$88,3,0)*VLOOKUP('Données projet (1)'!$B$17,'Paramètres (1)'!$A$1:$I$88,5,0)</f>
        <v>#REF!</v>
      </c>
      <c r="GB33" s="130" t="str">
        <f t="shared" si="142"/>
        <v>#REF!</v>
      </c>
      <c r="GC33" s="141" t="str">
        <f t="shared" si="89"/>
        <v>#REF!</v>
      </c>
      <c r="GD33" s="133" t="str">
        <f t="shared" si="90"/>
        <v>#REF!</v>
      </c>
      <c r="GE33" s="133" t="str">
        <f t="shared" si="91"/>
        <v>#REF!</v>
      </c>
      <c r="GF33" s="133" t="str">
        <f t="shared" si="143"/>
        <v>#REF!</v>
      </c>
      <c r="GG33" s="134" t="str">
        <f t="shared" si="92"/>
        <v>#REF!</v>
      </c>
      <c r="GH33" s="134" t="str">
        <f t="shared" si="93"/>
        <v>#REF!</v>
      </c>
      <c r="GI33" s="135" t="str">
        <f>IF(ISNA(VLOOKUP(A33,'Données projet (1)'!$A$243:$I$263,5,0)),0%,VLOOKUP(A33,'Données projet (1)'!$A$243:$I$263,5,0)*VLOOKUP('Données projet (1)'!$B$17,'Paramètres (1)'!$A$1:$I$88,7,0))</f>
        <v>#REF!</v>
      </c>
      <c r="GJ33" s="135" t="str">
        <f>IF(ISNA(VLOOKUP(A33,'Données projet (1)'!$A$243:$I$263,6,0)),0%,VLOOKUP(A33,'Données projet (1)'!$A$243:$I$263,6,0)*VLOOKUP('Données projet (1)'!$B$17,'Paramètres (1)'!$A$1:$I$88,7,0))</f>
        <v>#REF!</v>
      </c>
      <c r="GK33" s="135" t="str">
        <f t="shared" si="94"/>
        <v>#REF!</v>
      </c>
      <c r="GL33" s="142" t="str">
        <f>EXP(-LN(2)/35)*GL32+(1-EXP(-LN(2)/35))/(LN(2)/35)*GH33*GI33*VLOOKUP('Données projet (1)'!$B$17,'Paramètres (1)'!$A$1:$I$88,3,0)*0.475*44/12</f>
        <v>#REF!</v>
      </c>
      <c r="GM33" s="142" t="str">
        <f>EXP(-LN(2)/25)*GM32+(1-EXP(-LN(2)/25))/(LN(2)/25)*'Calculateur (1)'!GH33*'Calculateur (1)'!GJ33*VLOOKUP('Données projet (1)'!$B$17,'Paramètres (1)'!$A$1:$I$88,3,0)*0.475*44/12</f>
        <v>#REF!</v>
      </c>
      <c r="GN33" s="142" t="str">
        <f>EXP(-LN(2)/2)*GN32+(1-EXP(-LN(2)/2))/(LN(2)/2)*GH33*GK33*VLOOKUP('Données projet (1)'!$B$17,'Paramètres (1)'!$A$1:$I$88,3,0)*0.475*44/12</f>
        <v>#REF!</v>
      </c>
      <c r="GO33" s="142" t="str">
        <f t="shared" si="95"/>
        <v>#REF!</v>
      </c>
      <c r="GP33" s="139" t="str">
        <f t="shared" si="96"/>
        <v>#REF!</v>
      </c>
      <c r="GQ33" s="131" t="str">
        <f t="shared" si="97"/>
        <v>#REF!</v>
      </c>
      <c r="GR33" s="131" t="str">
        <f t="shared" si="144"/>
        <v>#REF!</v>
      </c>
      <c r="GS33" s="131" t="str">
        <f t="shared" si="98"/>
        <v>#REF!</v>
      </c>
      <c r="GT33" s="131" t="str">
        <f t="array" ref="GT33">INDEX(GS:GS,MIN(IF(ISNUMBER(GS33:GS229),ROW(GS33:GS229),"")))</f>
        <v/>
      </c>
      <c r="GU33" s="131" t="str">
        <f t="shared" si="145"/>
        <v>#REF!</v>
      </c>
      <c r="GV33" s="138" t="str">
        <f>GU33*VLOOKUP('Données projet (1)'!$B$18,'Paramètres (1)'!$A$1:$I$88,3,0)*VLOOKUP('Données projet (1)'!$B$18,'Paramètres (1)'!$A$1:$I$88,5,0)</f>
        <v>#REF!</v>
      </c>
      <c r="GW33" s="130" t="str">
        <f t="shared" si="146"/>
        <v>#REF!</v>
      </c>
      <c r="GX33" s="141" t="str">
        <f t="shared" si="99"/>
        <v>#REF!</v>
      </c>
      <c r="GY33" s="133" t="str">
        <f t="shared" si="100"/>
        <v>#REF!</v>
      </c>
      <c r="GZ33" s="133" t="str">
        <f t="shared" si="101"/>
        <v>#REF!</v>
      </c>
      <c r="HA33" s="133" t="str">
        <f t="shared" si="147"/>
        <v>#REF!</v>
      </c>
      <c r="HB33" s="134" t="str">
        <f t="shared" si="102"/>
        <v>#REF!</v>
      </c>
      <c r="HC33" s="134" t="str">
        <f t="shared" si="103"/>
        <v>#REF!</v>
      </c>
      <c r="HD33" s="135" t="str">
        <f>IF(ISNA(VLOOKUP(A33,'Données projet (1)'!$A$269:$I$289,5,0)),0%,VLOOKUP(A33,'Données projet (1)'!$A$269:$I$289,5,0)*VLOOKUP('Données projet (1)'!$B$18,'Paramètres (1)'!$A$1:$I$88,7,0))</f>
        <v>#REF!</v>
      </c>
      <c r="HE33" s="135" t="str">
        <f>IF(ISNA(VLOOKUP(A33,'Données projet (1)'!$A$269:$I$289,6,0)),0%,VLOOKUP(A33,'Données projet (1)'!$A$269:$I$289,6,0)*VLOOKUP('Données projet (1)'!$B$18,'Paramètres (1)'!$A$1:$I$88,7,0))</f>
        <v>#REF!</v>
      </c>
      <c r="HF33" s="135" t="str">
        <f t="shared" si="104"/>
        <v>#REF!</v>
      </c>
      <c r="HG33" s="142" t="str">
        <f>EXP(-LN(2)/35)*HG32+(1-EXP(-LN(2)/35))/(LN(2)/35)*HC33*HD33*VLOOKUP('Données projet (1)'!$B$18,'Paramètres (1)'!$A$1:$I$88,3,0)*0.475*44/12</f>
        <v>#REF!</v>
      </c>
      <c r="HH33" s="142" t="str">
        <f>EXP(-LN(2)/25)*HH32+(1-EXP(-LN(2)/25))/(LN(2)/25)*'Calculateur (1)'!HC33*'Calculateur (1)'!HE33*VLOOKUP('Données projet (1)'!$B$18,'Paramètres (1)'!$A$1:$I$88,3,0)*0.475*44/12</f>
        <v>#REF!</v>
      </c>
      <c r="HI33" s="142" t="str">
        <f>EXP(-LN(2)/2)*HI32+(1-EXP(-LN(2)/2))/(LN(2)/2)*HC33*HF33*VLOOKUP('Données projet (1)'!$B$18,'Paramètres (1)'!$A$1:$I$88,3,0)*0.475*44/12</f>
        <v>#REF!</v>
      </c>
      <c r="HJ33" s="143" t="str">
        <f t="shared" si="105"/>
        <v>#REF!</v>
      </c>
    </row>
    <row r="34" ht="14.25" customHeight="1">
      <c r="A34" s="125">
        <f t="shared" si="106"/>
        <v>31</v>
      </c>
      <c r="B34" s="126" t="str">
        <f t="shared" si="1"/>
        <v>#REF!</v>
      </c>
      <c r="C34" s="140" t="str">
        <f>'Calculateur (1)'!C33+'Scénario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4" s="127">
        <f t="shared" si="107"/>
        <v>0</v>
      </c>
      <c r="E34" s="127" t="str">
        <f t="shared" si="2"/>
        <v>#REF!</v>
      </c>
      <c r="F34" s="127" t="str">
        <f t="shared" si="3"/>
        <v>#REF!</v>
      </c>
      <c r="G34" s="127" t="str">
        <f t="shared" si="4"/>
        <v>#REF!</v>
      </c>
      <c r="H34" s="128" t="str">
        <f t="shared" si="5"/>
        <v>#REF!</v>
      </c>
      <c r="I34" s="129" t="str">
        <f t="shared" si="6"/>
        <v>#REF!</v>
      </c>
      <c r="J34" s="130">
        <f t="shared" si="7"/>
        <v>10</v>
      </c>
      <c r="K34" s="131" t="str">
        <f t="shared" si="108"/>
        <v>#REF!</v>
      </c>
      <c r="L34" s="131" t="str">
        <f t="shared" si="8"/>
        <v>#REF!</v>
      </c>
      <c r="M34" s="131" t="str">
        <f t="array" ref="M34">INDEX(L:L,MIN(IF(ISNUMBER(L34:L230),ROW(L34:L230),"")))</f>
        <v/>
      </c>
      <c r="N34" s="130" t="str">
        <f t="shared" si="109"/>
        <v>#REF!</v>
      </c>
      <c r="O34" s="130" t="str">
        <f>N34*VLOOKUP('Données projet (1)'!$B$9,'Paramètres (1)'!$A$1:$I$88,3,0)*VLOOKUP('Données projet (1)'!$B$9,'Paramètres (1)'!$A$1:$I$88,5,0)</f>
        <v>#REF!</v>
      </c>
      <c r="P34" s="130" t="str">
        <f t="shared" si="110"/>
        <v>#REF!</v>
      </c>
      <c r="Q34" s="141" t="str">
        <f t="shared" si="9"/>
        <v>#REF!</v>
      </c>
      <c r="R34" s="133" t="str">
        <f t="shared" si="10"/>
        <v>#REF!</v>
      </c>
      <c r="S34" s="133" t="str">
        <f t="shared" si="11"/>
        <v>#REF!</v>
      </c>
      <c r="T34" s="133" t="str">
        <f t="shared" si="111"/>
        <v>#REF!</v>
      </c>
      <c r="U34" s="134" t="str">
        <f t="shared" si="12"/>
        <v>#REF!</v>
      </c>
      <c r="V34" s="134" t="str">
        <f t="shared" si="13"/>
        <v>#REF!</v>
      </c>
      <c r="W34" s="135" t="str">
        <f>IF(ISNA(VLOOKUP(A34,'Données projet (1)'!$A$35:$I$55,5,0)),0%,VLOOKUP(A34,'Données projet (1)'!$A$35:$I$55,5,0)*VLOOKUP('Données projet (1)'!$B$9,'Paramètres (1)'!$A$1:$I$88,7,0))</f>
        <v>#REF!</v>
      </c>
      <c r="X34" s="135" t="str">
        <f>IF(ISNA(VLOOKUP(A34,'Données projet (1)'!$A$35:$I$55,6,0)),0%,VLOOKUP(A34,'Données projet (1)'!$A$35:$I$55,6,0)*VLOOKUP('Données projet (1)'!$B$9,'Paramètres (1)'!$A$1:$I$88,7,0))</f>
        <v>#REF!</v>
      </c>
      <c r="Y34" s="135" t="str">
        <f t="shared" si="14"/>
        <v>#REF!</v>
      </c>
      <c r="Z34" s="142" t="str">
        <f>EXP(-LN(2)/35)*Z33+(1-EXP(-LN(2)/35))/(LN(2)/35)*V34*W34*VLOOKUP('Données projet (1)'!$B$9,'Paramètres (1)'!$A$1:$I$88,3,0)*0.475*44/12</f>
        <v>#REF!</v>
      </c>
      <c r="AA34" s="142" t="str">
        <f>EXP(-LN(2)/25)*AA33+(1-EXP(-LN(2)/25))/(LN(2)/25)*'Calculateur (1)'!V34*'Calculateur (1)'!X34*VLOOKUP('Données projet (1)'!$B$9,'Paramètres (1)'!$A$1:$I$88,3,0)*0.475*44/12</f>
        <v>#REF!</v>
      </c>
      <c r="AB34" s="142" t="str">
        <f>EXP(-LN(2)/2)*AB33+(1-EXP(-LN(2)/2))/(LN(2)/2)*V34*Y34*VLOOKUP('Données projet (1)'!$B$9,'Paramètres (1)'!$A$1:$I$88,3,0)*0.475*44/12</f>
        <v>#REF!</v>
      </c>
      <c r="AC34" s="143" t="str">
        <f t="shared" si="15"/>
        <v>#REF!</v>
      </c>
      <c r="AD34" s="130" t="str">
        <f t="shared" si="16"/>
        <v>#REF!</v>
      </c>
      <c r="AE34" s="130">
        <f t="shared" si="17"/>
        <v>10</v>
      </c>
      <c r="AF34" s="131" t="str">
        <f t="shared" si="112"/>
        <v>#REF!</v>
      </c>
      <c r="AG34" s="131" t="str">
        <f t="shared" si="18"/>
        <v>#REF!</v>
      </c>
      <c r="AH34" s="131" t="str">
        <f t="array" ref="AH34">INDEX(AG:AG,MIN(IF(ISNUMBER(AG34:AG230),ROW(AG34:AG230),"")))</f>
        <v/>
      </c>
      <c r="AI34" s="130" t="str">
        <f t="shared" si="113"/>
        <v>#REF!</v>
      </c>
      <c r="AJ34" s="130" t="str">
        <f>AI34*VLOOKUP('Données projet (1)'!$B$10,'Paramètres (1)'!$A$1:$I$88,3,0)*VLOOKUP('Données projet (1)'!$B$10,'Paramètres (1)'!$A$1:$I$88,5,0)</f>
        <v>#REF!</v>
      </c>
      <c r="AK34" s="130" t="str">
        <f t="shared" si="114"/>
        <v>#REF!</v>
      </c>
      <c r="AL34" s="141" t="str">
        <f t="shared" si="19"/>
        <v>#REF!</v>
      </c>
      <c r="AM34" s="133" t="str">
        <f t="shared" si="20"/>
        <v>#REF!</v>
      </c>
      <c r="AN34" s="133" t="str">
        <f t="shared" si="21"/>
        <v>#REF!</v>
      </c>
      <c r="AO34" s="133" t="str">
        <f t="shared" si="115"/>
        <v>#REF!</v>
      </c>
      <c r="AP34" s="134" t="str">
        <f t="shared" si="22"/>
        <v>#REF!</v>
      </c>
      <c r="AQ34" s="134" t="str">
        <f t="shared" si="23"/>
        <v>#REF!</v>
      </c>
      <c r="AR34" s="135" t="str">
        <f>IF(ISNA(VLOOKUP(A34,'Données projet (1)'!$A$61:$I$81,5,0)),0%,VLOOKUP(A34,'Données projet (1)'!$A$61:$I$81,5,0)*VLOOKUP('Données projet (1)'!$B$10,'Paramètres (1)'!$A$1:$I$88,7,0))</f>
        <v>#REF!</v>
      </c>
      <c r="AS34" s="135" t="str">
        <f>IF(ISNA(VLOOKUP(A34,'Données projet (1)'!$A$61:$I$81,6,0)),0%,VLOOKUP(A34,'Données projet (1)'!$A$61:$I$81,6,0)*VLOOKUP('Données projet (1)'!$B$10,'Paramètres (1)'!$A$1:$I$88,7,0))</f>
        <v>#REF!</v>
      </c>
      <c r="AT34" s="135" t="str">
        <f t="shared" si="24"/>
        <v>#REF!</v>
      </c>
      <c r="AU34" s="142" t="str">
        <f>EXP(-LN(2)/35)*AU33+(1-EXP(-LN(2)/35))/(LN(2)/35)*AQ34*AR34*VLOOKUP('Données projet (1)'!$B$10,'Paramètres (1)'!$A$1:$I$88,3,0)*0.475*44/12</f>
        <v>#REF!</v>
      </c>
      <c r="AV34" s="142" t="str">
        <f>EXP(-LN(2)/25)*AV33+(1-EXP(-LN(2)/25))/(LN(2)/25)*'Calculateur (1)'!AQ34*'Calculateur (1)'!AS34*VLOOKUP('Données projet (1)'!$B$10,'Paramètres (1)'!$A$1:$I$88,3,0)*0.475*44/12</f>
        <v>#REF!</v>
      </c>
      <c r="AW34" s="142" t="str">
        <f>EXP(-LN(2)/2)*AW33+(1-EXP(-LN(2)/2))/(LN(2)/2)*AQ34*AT34*VLOOKUP('Données projet (1)'!$B$10,'Paramètres (1)'!$A$1:$I$88,3,0)*0.475*44/12</f>
        <v>#REF!</v>
      </c>
      <c r="AX34" s="142" t="str">
        <f t="shared" si="25"/>
        <v>#REF!</v>
      </c>
      <c r="AY34" s="137" t="str">
        <f t="shared" si="26"/>
        <v>#REF!</v>
      </c>
      <c r="AZ34" s="131">
        <f t="shared" si="27"/>
        <v>10</v>
      </c>
      <c r="BA34" s="131" t="str">
        <f t="shared" si="116"/>
        <v>#REF!</v>
      </c>
      <c r="BB34" s="131" t="str">
        <f t="shared" si="28"/>
        <v>#REF!</v>
      </c>
      <c r="BC34" s="131" t="str">
        <f t="array" ref="BC34">INDEX(BB:BB,MIN(IF(ISNUMBER(BB34:BB230),ROW(BB34:BB230),"")))</f>
        <v/>
      </c>
      <c r="BD34" s="131" t="str">
        <f t="shared" si="117"/>
        <v>#REF!</v>
      </c>
      <c r="BE34" s="130" t="str">
        <f>BD34*VLOOKUP('Données projet (1)'!$B$11,'Paramètres (1)'!$A$1:$I$88,3,0)*VLOOKUP('Données projet (1)'!$B$11,'Paramètres (1)'!$A$1:$I$88,5,0)</f>
        <v>#REF!</v>
      </c>
      <c r="BF34" s="130" t="str">
        <f t="shared" si="118"/>
        <v>#REF!</v>
      </c>
      <c r="BG34" s="141" t="str">
        <f t="shared" si="29"/>
        <v>#REF!</v>
      </c>
      <c r="BH34" s="133" t="str">
        <f t="shared" si="30"/>
        <v>#REF!</v>
      </c>
      <c r="BI34" s="133" t="str">
        <f t="shared" si="31"/>
        <v>#REF!</v>
      </c>
      <c r="BJ34" s="133" t="str">
        <f t="shared" si="119"/>
        <v>#REF!</v>
      </c>
      <c r="BK34" s="134" t="str">
        <f t="shared" si="32"/>
        <v>#REF!</v>
      </c>
      <c r="BL34" s="134" t="str">
        <f t="shared" si="33"/>
        <v>#REF!</v>
      </c>
      <c r="BM34" s="135" t="str">
        <f>IF(ISNA(VLOOKUP(A34,'Données projet (1)'!$A$87:$I$107,5,0)),0%,VLOOKUP(A34,'Données projet (1)'!$A$87:$I$107,5,0)*VLOOKUP('Données projet (1)'!$B$11,'Paramètres (1)'!$A$1:$I$88,7,0))</f>
        <v>#REF!</v>
      </c>
      <c r="BN34" s="135" t="str">
        <f>IF(ISNA(VLOOKUP(A34,'Données projet (1)'!$A$87:$I$107,6,0)),0%,VLOOKUP(A34,'Données projet (1)'!$A$87:$I$107,6,0)*VLOOKUP('Données projet (1)'!$B$11,'Paramètres (1)'!$A$1:$I$88,7,0))</f>
        <v>#REF!</v>
      </c>
      <c r="BO34" s="135" t="str">
        <f t="shared" si="34"/>
        <v>#REF!</v>
      </c>
      <c r="BP34" s="142" t="str">
        <f>EXP(-LN(2)/35)*BP33+(1-EXP(-LN(2)/35))/(LN(2)/35)*BL34*BM34*VLOOKUP('Données projet (1)'!$B$11,'Paramètres (1)'!$A$1:$I$88,3,0)*0.475*44/12</f>
        <v>#REF!</v>
      </c>
      <c r="BQ34" s="142" t="str">
        <f>EXP(-LN(2)/25)*BQ33+(1-EXP(-LN(2)/25))/(LN(2)/25)*'Calculateur (1)'!BL34*'Calculateur (1)'!BN34*VLOOKUP('Données projet (1)'!$B$11,'Paramètres (1)'!$A$1:$I$88,3,0)*0.475*44/12</f>
        <v>#REF!</v>
      </c>
      <c r="BR34" s="142" t="str">
        <f>EXP(-LN(2)/2)*BR33+(1-EXP(-LN(2)/2))/(LN(2)/2)*BL34*BO34*VLOOKUP('Données projet (1)'!$B$11,'Paramètres (1)'!$A$1:$I$88,3,0)*0.475*44/12</f>
        <v>#REF!</v>
      </c>
      <c r="BS34" s="143" t="str">
        <f t="shared" si="35"/>
        <v>#REF!</v>
      </c>
      <c r="BT34" s="139" t="str">
        <f t="shared" si="36"/>
        <v>#REF!</v>
      </c>
      <c r="BU34" s="131">
        <f t="shared" si="37"/>
        <v>10</v>
      </c>
      <c r="BV34" s="131" t="str">
        <f t="shared" si="120"/>
        <v>#REF!</v>
      </c>
      <c r="BW34" s="131" t="str">
        <f t="shared" si="38"/>
        <v>#REF!</v>
      </c>
      <c r="BX34" s="131" t="str">
        <f t="array" ref="BX34">INDEX(BW:BW,MIN(IF(ISNUMBER(BW34:BW230),ROW(BW34:BW230),"")))</f>
        <v/>
      </c>
      <c r="BY34" s="131" t="str">
        <f t="shared" si="121"/>
        <v>#REF!</v>
      </c>
      <c r="BZ34" s="130" t="str">
        <f>BY34*VLOOKUP('Données projet (1)'!$B$12,'Paramètres (1)'!$A$1:$I$88,3,0)*VLOOKUP('Données projet (1)'!$B$12,'Paramètres (1)'!$A$1:$I$88,5,0)</f>
        <v>#REF!</v>
      </c>
      <c r="CA34" s="130" t="str">
        <f t="shared" si="122"/>
        <v>#REF!</v>
      </c>
      <c r="CB34" s="141" t="str">
        <f t="shared" si="39"/>
        <v>#REF!</v>
      </c>
      <c r="CC34" s="133" t="str">
        <f t="shared" si="40"/>
        <v>#REF!</v>
      </c>
      <c r="CD34" s="133" t="str">
        <f t="shared" si="41"/>
        <v>#REF!</v>
      </c>
      <c r="CE34" s="133" t="str">
        <f t="shared" si="123"/>
        <v>#REF!</v>
      </c>
      <c r="CF34" s="134" t="str">
        <f t="shared" si="42"/>
        <v>#REF!</v>
      </c>
      <c r="CG34" s="134" t="str">
        <f t="shared" si="43"/>
        <v>#REF!</v>
      </c>
      <c r="CH34" s="135" t="str">
        <f>IF(ISNA(VLOOKUP(A34,'Données projet (1)'!$A$113:$I$133,5,0)),0%,VLOOKUP(A34,'Données projet (1)'!$A$113:$I$133,5,0)*VLOOKUP('Données projet (1)'!$B$12,'Paramètres (1)'!$A$1:$I$88,7,0))</f>
        <v>#REF!</v>
      </c>
      <c r="CI34" s="135" t="str">
        <f>IF(ISNA(VLOOKUP(A34,'Données projet (1)'!$A$113:$I$133,6,0)),0%,VLOOKUP(A34,'Données projet (1)'!$A$113:$I$133,6,0)*VLOOKUP('Données projet (1)'!$B$12,'Paramètres (1)'!$A$1:$I$88,7,0))</f>
        <v>#REF!</v>
      </c>
      <c r="CJ34" s="135" t="str">
        <f t="shared" si="44"/>
        <v>#REF!</v>
      </c>
      <c r="CK34" s="142" t="str">
        <f>EXP(-LN(2)/35)*CK33+(1-EXP(-LN(2)/35))/(LN(2)/35)*CG34*CH34*VLOOKUP('Données projet (1)'!$B$12,'Paramètres (1)'!$A$1:$I$88,3,0)*0.475*44/12</f>
        <v>#REF!</v>
      </c>
      <c r="CL34" s="142" t="str">
        <f>EXP(-LN(2)/25)*CL33+(1-EXP(-LN(2)/25))/(LN(2)/25)*'Calculateur (1)'!CG34*'Calculateur (1)'!CI34*VLOOKUP('Données projet (1)'!$B$12,'Paramètres (1)'!$A$1:$I$88,3,0)*0.475*44/12</f>
        <v>#REF!</v>
      </c>
      <c r="CM34" s="142" t="str">
        <f>EXP(-LN(2)/2)*CM33+(1-EXP(-LN(2)/2))/(LN(2)/2)*CG34*CJ34*VLOOKUP('Données projet (1)'!$B$12,'Paramètres (1)'!$A$1:$I$88,3,0)*0.475*44/12</f>
        <v>#REF!</v>
      </c>
      <c r="CN34" s="143" t="str">
        <f t="shared" si="45"/>
        <v>#REF!</v>
      </c>
      <c r="CO34" s="139" t="str">
        <f t="shared" si="46"/>
        <v>#REF!</v>
      </c>
      <c r="CP34" s="131">
        <f t="shared" si="47"/>
        <v>10</v>
      </c>
      <c r="CQ34" s="131" t="str">
        <f t="shared" si="124"/>
        <v>#REF!</v>
      </c>
      <c r="CR34" s="131" t="str">
        <f t="shared" si="48"/>
        <v>#REF!</v>
      </c>
      <c r="CS34" s="131" t="str">
        <f t="array" ref="CS34">INDEX(CR:CR,MIN(IF(ISNUMBER(CR34:CR230),ROW(CR34:CR230),"")))</f>
        <v/>
      </c>
      <c r="CT34" s="131" t="str">
        <f t="shared" si="125"/>
        <v>#REF!</v>
      </c>
      <c r="CU34" s="138" t="str">
        <f>CT34*VLOOKUP('Données projet (1)'!$B$13,'Paramètres (1)'!$A$1:$I$88,3,0)*VLOOKUP('Données projet (1)'!$B$13,'Paramètres (1)'!$A$1:$I$88,5,0)</f>
        <v>#REF!</v>
      </c>
      <c r="CV34" s="130" t="str">
        <f t="shared" si="126"/>
        <v>#REF!</v>
      </c>
      <c r="CW34" s="141" t="str">
        <f t="shared" si="49"/>
        <v>#REF!</v>
      </c>
      <c r="CX34" s="133" t="str">
        <f t="shared" si="50"/>
        <v>#REF!</v>
      </c>
      <c r="CY34" s="133" t="str">
        <f t="shared" si="51"/>
        <v>#REF!</v>
      </c>
      <c r="CZ34" s="133" t="str">
        <f t="shared" si="127"/>
        <v>#REF!</v>
      </c>
      <c r="DA34" s="134" t="str">
        <f t="shared" si="52"/>
        <v>#REF!</v>
      </c>
      <c r="DB34" s="134" t="str">
        <f t="shared" si="53"/>
        <v>#REF!</v>
      </c>
      <c r="DC34" s="135" t="str">
        <f>IF(ISNA(VLOOKUP(A34,'Données projet (1)'!$A$139:$I$159,5,0)),0%,VLOOKUP(A34,'Données projet (1)'!$A$139:$I$159,5,0)*VLOOKUP('Données projet (1)'!$B$13,'Paramètres (1)'!$A$1:$I$88,7,0))</f>
        <v>#REF!</v>
      </c>
      <c r="DD34" s="135" t="str">
        <f>IF(ISNA(VLOOKUP(A34,'Données projet (1)'!$A$139:$I$159,6,0)),0%,VLOOKUP(A34,'Données projet (1)'!$A$139:$I$159,6,0)*VLOOKUP('Données projet (1)'!$B$13,'Paramètres (1)'!$A$1:$I$88,7,0))</f>
        <v>#REF!</v>
      </c>
      <c r="DE34" s="135" t="str">
        <f t="shared" si="54"/>
        <v>#REF!</v>
      </c>
      <c r="DF34" s="142" t="str">
        <f>EXP(-LN(2)/35)*DF33+(1-EXP(-LN(2)/35))/(LN(2)/35)*DB34*DC34*VLOOKUP('Données projet (1)'!$B$13,'Paramètres (1)'!$A$1:$I$88,3,0)*0.475*44/12</f>
        <v>#REF!</v>
      </c>
      <c r="DG34" s="142" t="str">
        <f>EXP(-LN(2)/25)*DG33+(1-EXP(-LN(2)/25))/(LN(2)/25)*'Calculateur (1)'!DB34*'Calculateur (1)'!DD34*VLOOKUP('Données projet (1)'!$B$13,'Paramètres (1)'!$A$1:$I$88,3,0)*0.475*44/12</f>
        <v>#REF!</v>
      </c>
      <c r="DH34" s="142" t="str">
        <f>EXP(-LN(2)/2)*DH33+(1-EXP(-LN(2)/2))/(LN(2)/2)*DB34*DE34*VLOOKUP('Données projet (1)'!$B$13,'Paramètres (1)'!$A$1:$I$88,3,0)*0.475*44/12</f>
        <v>#REF!</v>
      </c>
      <c r="DI34" s="143" t="str">
        <f t="shared" si="55"/>
        <v>#REF!</v>
      </c>
      <c r="DJ34" s="139" t="str">
        <f t="shared" si="56"/>
        <v>#REF!</v>
      </c>
      <c r="DK34" s="131">
        <f t="shared" si="57"/>
        <v>10</v>
      </c>
      <c r="DL34" s="131" t="str">
        <f t="shared" si="128"/>
        <v>#REF!</v>
      </c>
      <c r="DM34" s="131" t="str">
        <f t="shared" si="58"/>
        <v>#REF!</v>
      </c>
      <c r="DN34" s="131" t="str">
        <f t="array" ref="DN34">INDEX(DM:DM,MIN(IF(ISNUMBER(DM34:DM230),ROW(DM34:DM230),"")))</f>
        <v/>
      </c>
      <c r="DO34" s="131" t="str">
        <f t="shared" si="129"/>
        <v>#REF!</v>
      </c>
      <c r="DP34" s="138" t="str">
        <f>DO34*VLOOKUP('Données projet (1)'!$B$14,'Paramètres (1)'!$A$1:$I$88,3,0)*VLOOKUP('Données projet (1)'!$B$14,'Paramètres (1)'!$A$1:$I$88,5,0)</f>
        <v>#REF!</v>
      </c>
      <c r="DQ34" s="130" t="str">
        <f t="shared" si="130"/>
        <v>#REF!</v>
      </c>
      <c r="DR34" s="141" t="str">
        <f t="shared" si="59"/>
        <v>#REF!</v>
      </c>
      <c r="DS34" s="133" t="str">
        <f t="shared" si="60"/>
        <v>#REF!</v>
      </c>
      <c r="DT34" s="133" t="str">
        <f t="shared" si="61"/>
        <v>#REF!</v>
      </c>
      <c r="DU34" s="133" t="str">
        <f t="shared" si="131"/>
        <v>#REF!</v>
      </c>
      <c r="DV34" s="134" t="str">
        <f t="shared" si="62"/>
        <v>#REF!</v>
      </c>
      <c r="DW34" s="134" t="str">
        <f t="shared" si="63"/>
        <v>#REF!</v>
      </c>
      <c r="DX34" s="135" t="str">
        <f>IF(ISNA(VLOOKUP(A34,'Données projet (1)'!$A$165:$I$185,5,0)),0%,VLOOKUP(A34,'Données projet (1)'!$A$165:$I$185,5,0)*VLOOKUP('Données projet (1)'!$B$14,'Paramètres (1)'!$A$1:$I$88,7,0))</f>
        <v>#REF!</v>
      </c>
      <c r="DY34" s="135" t="str">
        <f>IF(ISNA(VLOOKUP(A34,'Données projet (1)'!$A$165:$I$185,6,0)),0%,VLOOKUP(A34,'Données projet (1)'!$A$165:$I$185,6,0)*VLOOKUP('Données projet (1)'!$B$14,'Paramètres (1)'!$A$1:$I$88,7,0))</f>
        <v>#REF!</v>
      </c>
      <c r="DZ34" s="135" t="str">
        <f t="shared" si="64"/>
        <v>#REF!</v>
      </c>
      <c r="EA34" s="142" t="str">
        <f>EXP(-LN(2)/35)*EA33+(1-EXP(-LN(2)/35))/(LN(2)/35)*DW34*DX34*VLOOKUP('Données projet (1)'!$B$14,'Paramètres (1)'!$A$1:$I$88,3,0)*0.475*44/12</f>
        <v>#REF!</v>
      </c>
      <c r="EB34" s="142" t="str">
        <f>EXP(-LN(2)/25)*EB33+(1-EXP(-LN(2)/25))/(LN(2)/25)*'Calculateur (1)'!DW34*'Calculateur (1)'!DY34*VLOOKUP('Données projet (1)'!$B$14,'Paramètres (1)'!$A$1:$I$88,3,0)*0.475*44/12</f>
        <v>#REF!</v>
      </c>
      <c r="EC34" s="142" t="str">
        <f>EXP(-LN(2)/2)*EC33+(1-EXP(-LN(2)/2))/(LN(2)/2)*DW34*DZ34*VLOOKUP('Données projet (1)'!$B$14,'Paramètres (1)'!$A$1:$I$88,3,0)*0.475*44/12</f>
        <v>#REF!</v>
      </c>
      <c r="ED34" s="143" t="str">
        <f t="shared" si="65"/>
        <v>#REF!</v>
      </c>
      <c r="EE34" s="139" t="str">
        <f t="shared" si="66"/>
        <v>#REF!</v>
      </c>
      <c r="EF34" s="131">
        <f t="shared" si="67"/>
        <v>10</v>
      </c>
      <c r="EG34" s="131" t="str">
        <f t="shared" si="132"/>
        <v>#REF!</v>
      </c>
      <c r="EH34" s="131" t="str">
        <f t="shared" si="68"/>
        <v>#REF!</v>
      </c>
      <c r="EI34" s="131" t="str">
        <f t="array" ref="EI34">INDEX(EH:EH,MIN(IF(ISNUMBER(EH34:EH230),ROW(EH34:EH230),"")))</f>
        <v/>
      </c>
      <c r="EJ34" s="131" t="str">
        <f t="shared" si="133"/>
        <v>#REF!</v>
      </c>
      <c r="EK34" s="138" t="str">
        <f>EJ34*VLOOKUP('Données projet (1)'!$B$15,'Paramètres (1)'!$A$1:$I$88,3,0)*VLOOKUP('Données projet (1)'!$B$15,'Paramètres (1)'!$A$1:$I$88,5,0)</f>
        <v>#REF!</v>
      </c>
      <c r="EL34" s="130" t="str">
        <f t="shared" si="134"/>
        <v>#REF!</v>
      </c>
      <c r="EM34" s="141" t="str">
        <f t="shared" si="69"/>
        <v>#REF!</v>
      </c>
      <c r="EN34" s="133" t="str">
        <f t="shared" si="70"/>
        <v>#REF!</v>
      </c>
      <c r="EO34" s="133" t="str">
        <f t="shared" si="71"/>
        <v>#REF!</v>
      </c>
      <c r="EP34" s="133" t="str">
        <f t="shared" si="135"/>
        <v>#REF!</v>
      </c>
      <c r="EQ34" s="134" t="str">
        <f t="shared" si="72"/>
        <v>#REF!</v>
      </c>
      <c r="ER34" s="134" t="str">
        <f t="shared" si="73"/>
        <v>#REF!</v>
      </c>
      <c r="ES34" s="135" t="str">
        <f>IF(ISNA(VLOOKUP(A34,'Données projet (1)'!$A$191:$I$211,5,0)),0%,VLOOKUP(A34,'Données projet (1)'!$A$191:$I$211,5,0)*VLOOKUP('Données projet (1)'!$B$15,'Paramètres (1)'!$A$1:$I$88,7,0))</f>
        <v>#REF!</v>
      </c>
      <c r="ET34" s="135" t="str">
        <f>IF(ISNA(VLOOKUP(A34,'Données projet (1)'!$A$191:$I$211,6,0)),0%,VLOOKUP(A34,'Données projet (1)'!$A$191:$I$211,6,0)*VLOOKUP('Données projet (1)'!$B$15,'Paramètres (1)'!$A$1:$I$88,7,0))</f>
        <v>#REF!</v>
      </c>
      <c r="EU34" s="135" t="str">
        <f t="shared" si="74"/>
        <v>#REF!</v>
      </c>
      <c r="EV34" s="142" t="str">
        <f>EXP(-LN(2)/35)*EV33+(1-EXP(-LN(2)/35))/(LN(2)/35)*ER34*ES34*VLOOKUP('Données projet (1)'!$B$15,'Paramètres (1)'!$A$1:$I$88,3,0)*0.475*44/12</f>
        <v>#REF!</v>
      </c>
      <c r="EW34" s="142" t="str">
        <f>EXP(-LN(2)/25)*EW33+(1-EXP(-LN(2)/25))/(LN(2)/25)*'Calculateur (1)'!ER34*'Calculateur (1)'!ET34*VLOOKUP('Données projet (1)'!$B$15,'Paramètres (1)'!$A$1:$I$88,3,0)*0.475*44/12</f>
        <v>#REF!</v>
      </c>
      <c r="EX34" s="142" t="str">
        <f>EXP(-LN(2)/2)*EX33+(1-EXP(-LN(2)/2))/(LN(2)/2)*ER34*EU34*VLOOKUP('Données projet (1)'!$B$15,'Paramètres (1)'!$A$1:$I$88,3,0)*0.475*44/12</f>
        <v>#REF!</v>
      </c>
      <c r="EY34" s="143" t="str">
        <f t="shared" si="75"/>
        <v>#REF!</v>
      </c>
      <c r="EZ34" s="139" t="str">
        <f t="shared" si="76"/>
        <v>#REF!</v>
      </c>
      <c r="FA34" s="131">
        <f t="shared" si="77"/>
        <v>10</v>
      </c>
      <c r="FB34" s="131" t="str">
        <f t="shared" si="136"/>
        <v>#REF!</v>
      </c>
      <c r="FC34" s="131" t="str">
        <f t="shared" si="78"/>
        <v>#REF!</v>
      </c>
      <c r="FD34" s="131" t="str">
        <f t="array" ref="FD34">INDEX(FC:FC,MIN(IF(ISNUMBER(FC34:FC230),ROW(FC34:FC230),"")))</f>
        <v/>
      </c>
      <c r="FE34" s="131" t="str">
        <f t="shared" si="137"/>
        <v>#REF!</v>
      </c>
      <c r="FF34" s="138" t="str">
        <f>FE34*VLOOKUP('Données projet (1)'!$B$16,'Paramètres (1)'!$A$1:$I$88,3,0)*VLOOKUP('Données projet (1)'!$B$16,'Paramètres (1)'!$A$1:$I$88,5,0)</f>
        <v>#REF!</v>
      </c>
      <c r="FG34" s="130" t="str">
        <f t="shared" si="138"/>
        <v>#REF!</v>
      </c>
      <c r="FH34" s="141" t="str">
        <f t="shared" si="79"/>
        <v>#REF!</v>
      </c>
      <c r="FI34" s="133" t="str">
        <f t="shared" si="80"/>
        <v>#REF!</v>
      </c>
      <c r="FJ34" s="133" t="str">
        <f t="shared" si="81"/>
        <v>#REF!</v>
      </c>
      <c r="FK34" s="133" t="str">
        <f t="shared" si="139"/>
        <v>#REF!</v>
      </c>
      <c r="FL34" s="134" t="str">
        <f t="shared" si="82"/>
        <v>#REF!</v>
      </c>
      <c r="FM34" s="134" t="str">
        <f t="shared" si="83"/>
        <v>#REF!</v>
      </c>
      <c r="FN34" s="135" t="str">
        <f>IF(ISNA(VLOOKUP(A34,'Données projet (1)'!$A$217:$I$237,5,0)),0%,VLOOKUP(A34,'Données projet (1)'!$A$217:$I$237,5,0)*VLOOKUP('Données projet (1)'!$B$16,'Paramètres (1)'!$A$1:$I$88,7,0))</f>
        <v>#REF!</v>
      </c>
      <c r="FO34" s="135" t="str">
        <f>IF(ISNA(VLOOKUP(A34,'Données projet (1)'!$A$217:$I$237,6,0)),0%,VLOOKUP(A34,'Données projet (1)'!$A$217:$I$237,6,0)*VLOOKUP('Données projet (1)'!$B$16,'Paramètres (1)'!$A$1:$I$88,7,0))</f>
        <v>#REF!</v>
      </c>
      <c r="FP34" s="135" t="str">
        <f t="shared" si="84"/>
        <v>#REF!</v>
      </c>
      <c r="FQ34" s="142" t="str">
        <f>EXP(-LN(2)/35)*FQ33+(1-EXP(-LN(2)/35))/(LN(2)/35)*FM34*FN34*VLOOKUP('Données projet (1)'!$B$16,'Paramètres (1)'!$A$1:$I$88,3,0)*0.475*44/12</f>
        <v>#REF!</v>
      </c>
      <c r="FR34" s="142" t="str">
        <f>EXP(-LN(2)/25)*FR33+(1-EXP(-LN(2)/25))/(LN(2)/25)*'Calculateur (1)'!FM34*'Calculateur (1)'!FO34*VLOOKUP('Données projet (1)'!$B$16,'Paramètres (1)'!$A$1:$I$88,3,0)*0.475*44/12</f>
        <v>#REF!</v>
      </c>
      <c r="FS34" s="142" t="str">
        <f>EXP(-LN(2)/2)*FS33+(1-EXP(-LN(2)/2))/(LN(2)/2)*FM34*FP34*VLOOKUP('Données projet (1)'!$B$16,'Paramètres (1)'!$A$1:$I$88,3,0)*0.475*44/12</f>
        <v>#REF!</v>
      </c>
      <c r="FT34" s="143" t="str">
        <f t="shared" si="85"/>
        <v>#REF!</v>
      </c>
      <c r="FU34" s="139" t="str">
        <f t="shared" si="86"/>
        <v>#REF!</v>
      </c>
      <c r="FV34" s="131">
        <f t="shared" si="87"/>
        <v>10</v>
      </c>
      <c r="FW34" s="131" t="str">
        <f t="shared" si="140"/>
        <v>#REF!</v>
      </c>
      <c r="FX34" s="131" t="str">
        <f t="shared" si="88"/>
        <v>#REF!</v>
      </c>
      <c r="FY34" s="131" t="str">
        <f t="array" ref="FY34">INDEX(FX:FX,MIN(IF(ISNUMBER(FX34:FX230),ROW(FX34:FX230),"")))</f>
        <v/>
      </c>
      <c r="FZ34" s="131" t="str">
        <f t="shared" si="141"/>
        <v>#REF!</v>
      </c>
      <c r="GA34" s="138" t="str">
        <f>FZ34*VLOOKUP('Données projet (1)'!$B$17,'Paramètres (1)'!$A$1:$I$88,3,0)*VLOOKUP('Données projet (1)'!$B$17,'Paramètres (1)'!$A$1:$I$88,5,0)</f>
        <v>#REF!</v>
      </c>
      <c r="GB34" s="130" t="str">
        <f t="shared" si="142"/>
        <v>#REF!</v>
      </c>
      <c r="GC34" s="141" t="str">
        <f t="shared" si="89"/>
        <v>#REF!</v>
      </c>
      <c r="GD34" s="133" t="str">
        <f t="shared" si="90"/>
        <v>#REF!</v>
      </c>
      <c r="GE34" s="133" t="str">
        <f t="shared" si="91"/>
        <v>#REF!</v>
      </c>
      <c r="GF34" s="133" t="str">
        <f t="shared" si="143"/>
        <v>#REF!</v>
      </c>
      <c r="GG34" s="134" t="str">
        <f t="shared" si="92"/>
        <v>#REF!</v>
      </c>
      <c r="GH34" s="134" t="str">
        <f t="shared" si="93"/>
        <v>#REF!</v>
      </c>
      <c r="GI34" s="135" t="str">
        <f>IF(ISNA(VLOOKUP(A34,'Données projet (1)'!$A$243:$I$263,5,0)),0%,VLOOKUP(A34,'Données projet (1)'!$A$243:$I$263,5,0)*VLOOKUP('Données projet (1)'!$B$17,'Paramètres (1)'!$A$1:$I$88,7,0))</f>
        <v>#REF!</v>
      </c>
      <c r="GJ34" s="135" t="str">
        <f>IF(ISNA(VLOOKUP(A34,'Données projet (1)'!$A$243:$I$263,6,0)),0%,VLOOKUP(A34,'Données projet (1)'!$A$243:$I$263,6,0)*VLOOKUP('Données projet (1)'!$B$17,'Paramètres (1)'!$A$1:$I$88,7,0))</f>
        <v>#REF!</v>
      </c>
      <c r="GK34" s="135" t="str">
        <f t="shared" si="94"/>
        <v>#REF!</v>
      </c>
      <c r="GL34" s="142" t="str">
        <f>EXP(-LN(2)/35)*GL33+(1-EXP(-LN(2)/35))/(LN(2)/35)*GH34*GI34*VLOOKUP('Données projet (1)'!$B$17,'Paramètres (1)'!$A$1:$I$88,3,0)*0.475*44/12</f>
        <v>#REF!</v>
      </c>
      <c r="GM34" s="142" t="str">
        <f>EXP(-LN(2)/25)*GM33+(1-EXP(-LN(2)/25))/(LN(2)/25)*'Calculateur (1)'!GH34*'Calculateur (1)'!GJ34*VLOOKUP('Données projet (1)'!$B$17,'Paramètres (1)'!$A$1:$I$88,3,0)*0.475*44/12</f>
        <v>#REF!</v>
      </c>
      <c r="GN34" s="142" t="str">
        <f>EXP(-LN(2)/2)*GN33+(1-EXP(-LN(2)/2))/(LN(2)/2)*GH34*GK34*VLOOKUP('Données projet (1)'!$B$17,'Paramètres (1)'!$A$1:$I$88,3,0)*0.475*44/12</f>
        <v>#REF!</v>
      </c>
      <c r="GO34" s="142" t="str">
        <f t="shared" si="95"/>
        <v>#REF!</v>
      </c>
      <c r="GP34" s="139" t="str">
        <f t="shared" si="96"/>
        <v>#REF!</v>
      </c>
      <c r="GQ34" s="131">
        <f t="shared" si="97"/>
        <v>10</v>
      </c>
      <c r="GR34" s="131" t="str">
        <f t="shared" si="144"/>
        <v>#REF!</v>
      </c>
      <c r="GS34" s="131" t="str">
        <f t="shared" si="98"/>
        <v>#REF!</v>
      </c>
      <c r="GT34" s="131" t="str">
        <f t="array" ref="GT34">INDEX(GS:GS,MIN(IF(ISNUMBER(GS34:GS230),ROW(GS34:GS230),"")))</f>
        <v/>
      </c>
      <c r="GU34" s="131" t="str">
        <f t="shared" si="145"/>
        <v>#REF!</v>
      </c>
      <c r="GV34" s="138" t="str">
        <f>GU34*VLOOKUP('Données projet (1)'!$B$18,'Paramètres (1)'!$A$1:$I$88,3,0)*VLOOKUP('Données projet (1)'!$B$18,'Paramètres (1)'!$A$1:$I$88,5,0)</f>
        <v>#REF!</v>
      </c>
      <c r="GW34" s="130" t="str">
        <f t="shared" si="146"/>
        <v>#REF!</v>
      </c>
      <c r="GX34" s="141" t="str">
        <f t="shared" si="99"/>
        <v>#REF!</v>
      </c>
      <c r="GY34" s="133" t="str">
        <f t="shared" si="100"/>
        <v>#REF!</v>
      </c>
      <c r="GZ34" s="133" t="str">
        <f t="shared" si="101"/>
        <v>#REF!</v>
      </c>
      <c r="HA34" s="133" t="str">
        <f t="shared" si="147"/>
        <v>#REF!</v>
      </c>
      <c r="HB34" s="134" t="str">
        <f t="shared" si="102"/>
        <v>#REF!</v>
      </c>
      <c r="HC34" s="134" t="str">
        <f t="shared" si="103"/>
        <v>#REF!</v>
      </c>
      <c r="HD34" s="135" t="str">
        <f>IF(ISNA(VLOOKUP(A34,'Données projet (1)'!$A$269:$I$289,5,0)),0%,VLOOKUP(A34,'Données projet (1)'!$A$269:$I$289,5,0)*VLOOKUP('Données projet (1)'!$B$18,'Paramètres (1)'!$A$1:$I$88,7,0))</f>
        <v>#REF!</v>
      </c>
      <c r="HE34" s="135" t="str">
        <f>IF(ISNA(VLOOKUP(A34,'Données projet (1)'!$A$269:$I$289,6,0)),0%,VLOOKUP(A34,'Données projet (1)'!$A$269:$I$289,6,0)*VLOOKUP('Données projet (1)'!$B$18,'Paramètres (1)'!$A$1:$I$88,7,0))</f>
        <v>#REF!</v>
      </c>
      <c r="HF34" s="135" t="str">
        <f t="shared" si="104"/>
        <v>#REF!</v>
      </c>
      <c r="HG34" s="142" t="str">
        <f>EXP(-LN(2)/35)*HG33+(1-EXP(-LN(2)/35))/(LN(2)/35)*HC34*HD34*VLOOKUP('Données projet (1)'!$B$18,'Paramètres (1)'!$A$1:$I$88,3,0)*0.475*44/12</f>
        <v>#REF!</v>
      </c>
      <c r="HH34" s="142" t="str">
        <f>EXP(-LN(2)/25)*HH33+(1-EXP(-LN(2)/25))/(LN(2)/25)*'Calculateur (1)'!HC34*'Calculateur (1)'!HE34*VLOOKUP('Données projet (1)'!$B$18,'Paramètres (1)'!$A$1:$I$88,3,0)*0.475*44/12</f>
        <v>#REF!</v>
      </c>
      <c r="HI34" s="142" t="str">
        <f>EXP(-LN(2)/2)*HI33+(1-EXP(-LN(2)/2))/(LN(2)/2)*HC34*HF34*VLOOKUP('Données projet (1)'!$B$18,'Paramètres (1)'!$A$1:$I$88,3,0)*0.475*44/12</f>
        <v>#REF!</v>
      </c>
      <c r="HJ34" s="143" t="str">
        <f t="shared" si="105"/>
        <v>#REF!</v>
      </c>
    </row>
    <row r="35" ht="14.25" customHeight="1">
      <c r="A35" s="125">
        <f t="shared" si="106"/>
        <v>32</v>
      </c>
      <c r="B35" s="126" t="str">
        <f t="shared" si="1"/>
        <v>#REF!</v>
      </c>
      <c r="C35" s="140" t="str">
        <f>'Calculateur (1)'!C34+'Scénario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5" s="127">
        <f t="shared" si="107"/>
        <v>0</v>
      </c>
      <c r="E35" s="127" t="str">
        <f t="shared" si="2"/>
        <v>#REF!</v>
      </c>
      <c r="F35" s="127" t="str">
        <f t="shared" si="3"/>
        <v>#REF!</v>
      </c>
      <c r="G35" s="127" t="str">
        <f t="shared" si="4"/>
        <v>#REF!</v>
      </c>
      <c r="H35" s="128" t="str">
        <f t="shared" si="5"/>
        <v>#REF!</v>
      </c>
      <c r="I35" s="129" t="str">
        <f t="shared" si="6"/>
        <v>#REF!</v>
      </c>
      <c r="J35" s="130">
        <f t="shared" si="7"/>
        <v>10</v>
      </c>
      <c r="K35" s="131" t="str">
        <f t="shared" si="108"/>
        <v>#REF!</v>
      </c>
      <c r="L35" s="131" t="str">
        <f t="shared" si="8"/>
        <v>#REF!</v>
      </c>
      <c r="M35" s="131" t="str">
        <f t="array" ref="M35">INDEX(L:L,MIN(IF(ISNUMBER(L35:L231),ROW(L35:L231),"")))</f>
        <v/>
      </c>
      <c r="N35" s="130" t="str">
        <f t="shared" si="109"/>
        <v>#REF!</v>
      </c>
      <c r="O35" s="130" t="str">
        <f>N35*VLOOKUP('Données projet (1)'!$B$9,'Paramètres (1)'!$A$1:$I$88,3,0)*VLOOKUP('Données projet (1)'!$B$9,'Paramètres (1)'!$A$1:$I$88,5,0)</f>
        <v>#REF!</v>
      </c>
      <c r="P35" s="130" t="str">
        <f t="shared" si="110"/>
        <v>#REF!</v>
      </c>
      <c r="Q35" s="141" t="str">
        <f t="shared" si="9"/>
        <v>#REF!</v>
      </c>
      <c r="R35" s="133" t="str">
        <f t="shared" si="10"/>
        <v>#REF!</v>
      </c>
      <c r="S35" s="133" t="str">
        <f t="shared" si="11"/>
        <v>#REF!</v>
      </c>
      <c r="T35" s="133" t="str">
        <f t="shared" si="111"/>
        <v>#REF!</v>
      </c>
      <c r="U35" s="134" t="str">
        <f t="shared" si="12"/>
        <v>#REF!</v>
      </c>
      <c r="V35" s="134" t="str">
        <f t="shared" si="13"/>
        <v>#REF!</v>
      </c>
      <c r="W35" s="135" t="str">
        <f>IF(ISNA(VLOOKUP(A35,'Données projet (1)'!$A$35:$I$55,5,0)),0%,VLOOKUP(A35,'Données projet (1)'!$A$35:$I$55,5,0)*VLOOKUP('Données projet (1)'!$B$9,'Paramètres (1)'!$A$1:$I$88,7,0))</f>
        <v>#REF!</v>
      </c>
      <c r="X35" s="135" t="str">
        <f>IF(ISNA(VLOOKUP(A35,'Données projet (1)'!$A$35:$I$55,6,0)),0%,VLOOKUP(A35,'Données projet (1)'!$A$35:$I$55,6,0)*VLOOKUP('Données projet (1)'!$B$9,'Paramètres (1)'!$A$1:$I$88,7,0))</f>
        <v>#REF!</v>
      </c>
      <c r="Y35" s="135" t="str">
        <f t="shared" si="14"/>
        <v>#REF!</v>
      </c>
      <c r="Z35" s="142" t="str">
        <f>EXP(-LN(2)/35)*Z34+(1-EXP(-LN(2)/35))/(LN(2)/35)*V35*W35*VLOOKUP('Données projet (1)'!$B$9,'Paramètres (1)'!$A$1:$I$88,3,0)*0.475*44/12</f>
        <v>#REF!</v>
      </c>
      <c r="AA35" s="142" t="str">
        <f>EXP(-LN(2)/25)*AA34+(1-EXP(-LN(2)/25))/(LN(2)/25)*'Calculateur (1)'!V35*'Calculateur (1)'!X35*VLOOKUP('Données projet (1)'!$B$9,'Paramètres (1)'!$A$1:$I$88,3,0)*0.475*44/12</f>
        <v>#REF!</v>
      </c>
      <c r="AB35" s="142" t="str">
        <f>EXP(-LN(2)/2)*AB34+(1-EXP(-LN(2)/2))/(LN(2)/2)*V35*Y35*VLOOKUP('Données projet (1)'!$B$9,'Paramètres (1)'!$A$1:$I$88,3,0)*0.475*44/12</f>
        <v>#REF!</v>
      </c>
      <c r="AC35" s="143" t="str">
        <f t="shared" si="15"/>
        <v>#REF!</v>
      </c>
      <c r="AD35" s="130" t="str">
        <f t="shared" si="16"/>
        <v>#REF!</v>
      </c>
      <c r="AE35" s="130">
        <f t="shared" si="17"/>
        <v>10</v>
      </c>
      <c r="AF35" s="131" t="str">
        <f t="shared" si="112"/>
        <v>#REF!</v>
      </c>
      <c r="AG35" s="131" t="str">
        <f t="shared" si="18"/>
        <v>#REF!</v>
      </c>
      <c r="AH35" s="131" t="str">
        <f t="array" ref="AH35">INDEX(AG:AG,MIN(IF(ISNUMBER(AG35:AG231),ROW(AG35:AG231),"")))</f>
        <v/>
      </c>
      <c r="AI35" s="130" t="str">
        <f t="shared" si="113"/>
        <v>#REF!</v>
      </c>
      <c r="AJ35" s="130" t="str">
        <f>AI35*VLOOKUP('Données projet (1)'!$B$10,'Paramètres (1)'!$A$1:$I$88,3,0)*VLOOKUP('Données projet (1)'!$B$10,'Paramètres (1)'!$A$1:$I$88,5,0)</f>
        <v>#REF!</v>
      </c>
      <c r="AK35" s="130" t="str">
        <f t="shared" si="114"/>
        <v>#REF!</v>
      </c>
      <c r="AL35" s="141" t="str">
        <f t="shared" si="19"/>
        <v>#REF!</v>
      </c>
      <c r="AM35" s="133" t="str">
        <f t="shared" si="20"/>
        <v>#REF!</v>
      </c>
      <c r="AN35" s="133" t="str">
        <f t="shared" si="21"/>
        <v>#REF!</v>
      </c>
      <c r="AO35" s="133" t="str">
        <f t="shared" si="115"/>
        <v>#REF!</v>
      </c>
      <c r="AP35" s="134" t="str">
        <f t="shared" si="22"/>
        <v>#REF!</v>
      </c>
      <c r="AQ35" s="134" t="str">
        <f t="shared" si="23"/>
        <v>#REF!</v>
      </c>
      <c r="AR35" s="135" t="str">
        <f>IF(ISNA(VLOOKUP(A35,'Données projet (1)'!$A$61:$I$81,5,0)),0%,VLOOKUP(A35,'Données projet (1)'!$A$61:$I$81,5,0)*VLOOKUP('Données projet (1)'!$B$10,'Paramètres (1)'!$A$1:$I$88,7,0))</f>
        <v>#REF!</v>
      </c>
      <c r="AS35" s="135" t="str">
        <f>IF(ISNA(VLOOKUP(A35,'Données projet (1)'!$A$61:$I$81,6,0)),0%,VLOOKUP(A35,'Données projet (1)'!$A$61:$I$81,6,0)*VLOOKUP('Données projet (1)'!$B$10,'Paramètres (1)'!$A$1:$I$88,7,0))</f>
        <v>#REF!</v>
      </c>
      <c r="AT35" s="135" t="str">
        <f t="shared" si="24"/>
        <v>#REF!</v>
      </c>
      <c r="AU35" s="142" t="str">
        <f>EXP(-LN(2)/35)*AU34+(1-EXP(-LN(2)/35))/(LN(2)/35)*AQ35*AR35*VLOOKUP('Données projet (1)'!$B$10,'Paramètres (1)'!$A$1:$I$88,3,0)*0.475*44/12</f>
        <v>#REF!</v>
      </c>
      <c r="AV35" s="142" t="str">
        <f>EXP(-LN(2)/25)*AV34+(1-EXP(-LN(2)/25))/(LN(2)/25)*'Calculateur (1)'!AQ35*'Calculateur (1)'!AS35*VLOOKUP('Données projet (1)'!$B$10,'Paramètres (1)'!$A$1:$I$88,3,0)*0.475*44/12</f>
        <v>#REF!</v>
      </c>
      <c r="AW35" s="142" t="str">
        <f>EXP(-LN(2)/2)*AW34+(1-EXP(-LN(2)/2))/(LN(2)/2)*AQ35*AT35*VLOOKUP('Données projet (1)'!$B$10,'Paramètres (1)'!$A$1:$I$88,3,0)*0.475*44/12</f>
        <v>#REF!</v>
      </c>
      <c r="AX35" s="142" t="str">
        <f t="shared" si="25"/>
        <v>#REF!</v>
      </c>
      <c r="AY35" s="137" t="str">
        <f t="shared" si="26"/>
        <v>#REF!</v>
      </c>
      <c r="AZ35" s="131">
        <f t="shared" si="27"/>
        <v>10</v>
      </c>
      <c r="BA35" s="131" t="str">
        <f t="shared" si="116"/>
        <v>#REF!</v>
      </c>
      <c r="BB35" s="131" t="str">
        <f t="shared" si="28"/>
        <v>#REF!</v>
      </c>
      <c r="BC35" s="131" t="str">
        <f t="array" ref="BC35">INDEX(BB:BB,MIN(IF(ISNUMBER(BB35:BB231),ROW(BB35:BB231),"")))</f>
        <v/>
      </c>
      <c r="BD35" s="131" t="str">
        <f t="shared" si="117"/>
        <v>#REF!</v>
      </c>
      <c r="BE35" s="130" t="str">
        <f>BD35*VLOOKUP('Données projet (1)'!$B$11,'Paramètres (1)'!$A$1:$I$88,3,0)*VLOOKUP('Données projet (1)'!$B$11,'Paramètres (1)'!$A$1:$I$88,5,0)</f>
        <v>#REF!</v>
      </c>
      <c r="BF35" s="130" t="str">
        <f t="shared" si="118"/>
        <v>#REF!</v>
      </c>
      <c r="BG35" s="141" t="str">
        <f t="shared" si="29"/>
        <v>#REF!</v>
      </c>
      <c r="BH35" s="133" t="str">
        <f t="shared" si="30"/>
        <v>#REF!</v>
      </c>
      <c r="BI35" s="133" t="str">
        <f t="shared" si="31"/>
        <v>#REF!</v>
      </c>
      <c r="BJ35" s="133" t="str">
        <f t="shared" si="119"/>
        <v>#REF!</v>
      </c>
      <c r="BK35" s="134" t="str">
        <f t="shared" si="32"/>
        <v>#REF!</v>
      </c>
      <c r="BL35" s="134" t="str">
        <f t="shared" si="33"/>
        <v>#REF!</v>
      </c>
      <c r="BM35" s="135" t="str">
        <f>IF(ISNA(VLOOKUP(A35,'Données projet (1)'!$A$87:$I$107,5,0)),0%,VLOOKUP(A35,'Données projet (1)'!$A$87:$I$107,5,0)*VLOOKUP('Données projet (1)'!$B$11,'Paramètres (1)'!$A$1:$I$88,7,0))</f>
        <v>#REF!</v>
      </c>
      <c r="BN35" s="135" t="str">
        <f>IF(ISNA(VLOOKUP(A35,'Données projet (1)'!$A$87:$I$107,6,0)),0%,VLOOKUP(A35,'Données projet (1)'!$A$87:$I$107,6,0)*VLOOKUP('Données projet (1)'!$B$11,'Paramètres (1)'!$A$1:$I$88,7,0))</f>
        <v>#REF!</v>
      </c>
      <c r="BO35" s="135" t="str">
        <f t="shared" si="34"/>
        <v>#REF!</v>
      </c>
      <c r="BP35" s="142" t="str">
        <f>EXP(-LN(2)/35)*BP34+(1-EXP(-LN(2)/35))/(LN(2)/35)*BL35*BM35*VLOOKUP('Données projet (1)'!$B$11,'Paramètres (1)'!$A$1:$I$88,3,0)*0.475*44/12</f>
        <v>#REF!</v>
      </c>
      <c r="BQ35" s="142" t="str">
        <f>EXP(-LN(2)/25)*BQ34+(1-EXP(-LN(2)/25))/(LN(2)/25)*'Calculateur (1)'!BL35*'Calculateur (1)'!BN35*VLOOKUP('Données projet (1)'!$B$11,'Paramètres (1)'!$A$1:$I$88,3,0)*0.475*44/12</f>
        <v>#REF!</v>
      </c>
      <c r="BR35" s="142" t="str">
        <f>EXP(-LN(2)/2)*BR34+(1-EXP(-LN(2)/2))/(LN(2)/2)*BL35*BO35*VLOOKUP('Données projet (1)'!$B$11,'Paramètres (1)'!$A$1:$I$88,3,0)*0.475*44/12</f>
        <v>#REF!</v>
      </c>
      <c r="BS35" s="143" t="str">
        <f t="shared" si="35"/>
        <v>#REF!</v>
      </c>
      <c r="BT35" s="139" t="str">
        <f t="shared" si="36"/>
        <v>#REF!</v>
      </c>
      <c r="BU35" s="131">
        <f t="shared" si="37"/>
        <v>10</v>
      </c>
      <c r="BV35" s="131" t="str">
        <f t="shared" si="120"/>
        <v>#REF!</v>
      </c>
      <c r="BW35" s="131" t="str">
        <f t="shared" si="38"/>
        <v>#REF!</v>
      </c>
      <c r="BX35" s="131" t="str">
        <f t="array" ref="BX35">INDEX(BW:BW,MIN(IF(ISNUMBER(BW35:BW231),ROW(BW35:BW231),"")))</f>
        <v/>
      </c>
      <c r="BY35" s="131" t="str">
        <f t="shared" si="121"/>
        <v>#REF!</v>
      </c>
      <c r="BZ35" s="130" t="str">
        <f>BY35*VLOOKUP('Données projet (1)'!$B$12,'Paramètres (1)'!$A$1:$I$88,3,0)*VLOOKUP('Données projet (1)'!$B$12,'Paramètres (1)'!$A$1:$I$88,5,0)</f>
        <v>#REF!</v>
      </c>
      <c r="CA35" s="130" t="str">
        <f t="shared" si="122"/>
        <v>#REF!</v>
      </c>
      <c r="CB35" s="141" t="str">
        <f t="shared" si="39"/>
        <v>#REF!</v>
      </c>
      <c r="CC35" s="133" t="str">
        <f t="shared" si="40"/>
        <v>#REF!</v>
      </c>
      <c r="CD35" s="133" t="str">
        <f t="shared" si="41"/>
        <v>#REF!</v>
      </c>
      <c r="CE35" s="133" t="str">
        <f t="shared" si="123"/>
        <v>#REF!</v>
      </c>
      <c r="CF35" s="134" t="str">
        <f t="shared" si="42"/>
        <v>#REF!</v>
      </c>
      <c r="CG35" s="134" t="str">
        <f t="shared" si="43"/>
        <v>#REF!</v>
      </c>
      <c r="CH35" s="135" t="str">
        <f>IF(ISNA(VLOOKUP(A35,'Données projet (1)'!$A$113:$I$133,5,0)),0%,VLOOKUP(A35,'Données projet (1)'!$A$113:$I$133,5,0)*VLOOKUP('Données projet (1)'!$B$12,'Paramètres (1)'!$A$1:$I$88,7,0))</f>
        <v>#REF!</v>
      </c>
      <c r="CI35" s="135" t="str">
        <f>IF(ISNA(VLOOKUP(A35,'Données projet (1)'!$A$113:$I$133,6,0)),0%,VLOOKUP(A35,'Données projet (1)'!$A$113:$I$133,6,0)*VLOOKUP('Données projet (1)'!$B$12,'Paramètres (1)'!$A$1:$I$88,7,0))</f>
        <v>#REF!</v>
      </c>
      <c r="CJ35" s="135" t="str">
        <f t="shared" si="44"/>
        <v>#REF!</v>
      </c>
      <c r="CK35" s="142" t="str">
        <f>EXP(-LN(2)/35)*CK34+(1-EXP(-LN(2)/35))/(LN(2)/35)*CG35*CH35*VLOOKUP('Données projet (1)'!$B$12,'Paramètres (1)'!$A$1:$I$88,3,0)*0.475*44/12</f>
        <v>#REF!</v>
      </c>
      <c r="CL35" s="142" t="str">
        <f>EXP(-LN(2)/25)*CL34+(1-EXP(-LN(2)/25))/(LN(2)/25)*'Calculateur (1)'!CG35*'Calculateur (1)'!CI35*VLOOKUP('Données projet (1)'!$B$12,'Paramètres (1)'!$A$1:$I$88,3,0)*0.475*44/12</f>
        <v>#REF!</v>
      </c>
      <c r="CM35" s="142" t="str">
        <f>EXP(-LN(2)/2)*CM34+(1-EXP(-LN(2)/2))/(LN(2)/2)*CG35*CJ35*VLOOKUP('Données projet (1)'!$B$12,'Paramètres (1)'!$A$1:$I$88,3,0)*0.475*44/12</f>
        <v>#REF!</v>
      </c>
      <c r="CN35" s="143" t="str">
        <f t="shared" si="45"/>
        <v>#REF!</v>
      </c>
      <c r="CO35" s="139" t="str">
        <f t="shared" si="46"/>
        <v>#REF!</v>
      </c>
      <c r="CP35" s="131">
        <f t="shared" si="47"/>
        <v>10</v>
      </c>
      <c r="CQ35" s="131" t="str">
        <f t="shared" si="124"/>
        <v>#REF!</v>
      </c>
      <c r="CR35" s="131" t="str">
        <f t="shared" si="48"/>
        <v>#REF!</v>
      </c>
      <c r="CS35" s="131" t="str">
        <f t="array" ref="CS35">INDEX(CR:CR,MIN(IF(ISNUMBER(CR35:CR231),ROW(CR35:CR231),"")))</f>
        <v/>
      </c>
      <c r="CT35" s="131" t="str">
        <f t="shared" si="125"/>
        <v>#REF!</v>
      </c>
      <c r="CU35" s="138" t="str">
        <f>CT35*VLOOKUP('Données projet (1)'!$B$13,'Paramètres (1)'!$A$1:$I$88,3,0)*VLOOKUP('Données projet (1)'!$B$13,'Paramètres (1)'!$A$1:$I$88,5,0)</f>
        <v>#REF!</v>
      </c>
      <c r="CV35" s="130" t="str">
        <f t="shared" si="126"/>
        <v>#REF!</v>
      </c>
      <c r="CW35" s="141" t="str">
        <f t="shared" si="49"/>
        <v>#REF!</v>
      </c>
      <c r="CX35" s="133" t="str">
        <f t="shared" si="50"/>
        <v>#REF!</v>
      </c>
      <c r="CY35" s="133" t="str">
        <f t="shared" si="51"/>
        <v>#REF!</v>
      </c>
      <c r="CZ35" s="133" t="str">
        <f t="shared" si="127"/>
        <v>#REF!</v>
      </c>
      <c r="DA35" s="134" t="str">
        <f t="shared" si="52"/>
        <v>#REF!</v>
      </c>
      <c r="DB35" s="134" t="str">
        <f t="shared" si="53"/>
        <v>#REF!</v>
      </c>
      <c r="DC35" s="135" t="str">
        <f>IF(ISNA(VLOOKUP(A35,'Données projet (1)'!$A$139:$I$159,5,0)),0%,VLOOKUP(A35,'Données projet (1)'!$A$139:$I$159,5,0)*VLOOKUP('Données projet (1)'!$B$13,'Paramètres (1)'!$A$1:$I$88,7,0))</f>
        <v>#REF!</v>
      </c>
      <c r="DD35" s="135" t="str">
        <f>IF(ISNA(VLOOKUP(A35,'Données projet (1)'!$A$139:$I$159,6,0)),0%,VLOOKUP(A35,'Données projet (1)'!$A$139:$I$159,6,0)*VLOOKUP('Données projet (1)'!$B$13,'Paramètres (1)'!$A$1:$I$88,7,0))</f>
        <v>#REF!</v>
      </c>
      <c r="DE35" s="135" t="str">
        <f t="shared" si="54"/>
        <v>#REF!</v>
      </c>
      <c r="DF35" s="142" t="str">
        <f>EXP(-LN(2)/35)*DF34+(1-EXP(-LN(2)/35))/(LN(2)/35)*DB35*DC35*VLOOKUP('Données projet (1)'!$B$13,'Paramètres (1)'!$A$1:$I$88,3,0)*0.475*44/12</f>
        <v>#REF!</v>
      </c>
      <c r="DG35" s="142" t="str">
        <f>EXP(-LN(2)/25)*DG34+(1-EXP(-LN(2)/25))/(LN(2)/25)*'Calculateur (1)'!DB35*'Calculateur (1)'!DD35*VLOOKUP('Données projet (1)'!$B$13,'Paramètres (1)'!$A$1:$I$88,3,0)*0.475*44/12</f>
        <v>#REF!</v>
      </c>
      <c r="DH35" s="142" t="str">
        <f>EXP(-LN(2)/2)*DH34+(1-EXP(-LN(2)/2))/(LN(2)/2)*DB35*DE35*VLOOKUP('Données projet (1)'!$B$13,'Paramètres (1)'!$A$1:$I$88,3,0)*0.475*44/12</f>
        <v>#REF!</v>
      </c>
      <c r="DI35" s="143" t="str">
        <f t="shared" si="55"/>
        <v>#REF!</v>
      </c>
      <c r="DJ35" s="139" t="str">
        <f t="shared" si="56"/>
        <v>#REF!</v>
      </c>
      <c r="DK35" s="131">
        <f t="shared" si="57"/>
        <v>10</v>
      </c>
      <c r="DL35" s="131" t="str">
        <f t="shared" si="128"/>
        <v>#REF!</v>
      </c>
      <c r="DM35" s="131" t="str">
        <f t="shared" si="58"/>
        <v>#REF!</v>
      </c>
      <c r="DN35" s="131" t="str">
        <f t="array" ref="DN35">INDEX(DM:DM,MIN(IF(ISNUMBER(DM35:DM231),ROW(DM35:DM231),"")))</f>
        <v/>
      </c>
      <c r="DO35" s="131" t="str">
        <f t="shared" si="129"/>
        <v>#REF!</v>
      </c>
      <c r="DP35" s="138" t="str">
        <f>DO35*VLOOKUP('Données projet (1)'!$B$14,'Paramètres (1)'!$A$1:$I$88,3,0)*VLOOKUP('Données projet (1)'!$B$14,'Paramètres (1)'!$A$1:$I$88,5,0)</f>
        <v>#REF!</v>
      </c>
      <c r="DQ35" s="130" t="str">
        <f t="shared" si="130"/>
        <v>#REF!</v>
      </c>
      <c r="DR35" s="141" t="str">
        <f t="shared" si="59"/>
        <v>#REF!</v>
      </c>
      <c r="DS35" s="133" t="str">
        <f t="shared" si="60"/>
        <v>#REF!</v>
      </c>
      <c r="DT35" s="133" t="str">
        <f t="shared" si="61"/>
        <v>#REF!</v>
      </c>
      <c r="DU35" s="133" t="str">
        <f t="shared" si="131"/>
        <v>#REF!</v>
      </c>
      <c r="DV35" s="134" t="str">
        <f t="shared" si="62"/>
        <v>#REF!</v>
      </c>
      <c r="DW35" s="134" t="str">
        <f t="shared" si="63"/>
        <v>#REF!</v>
      </c>
      <c r="DX35" s="135" t="str">
        <f>IF(ISNA(VLOOKUP(A35,'Données projet (1)'!$A$165:$I$185,5,0)),0%,VLOOKUP(A35,'Données projet (1)'!$A$165:$I$185,5,0)*VLOOKUP('Données projet (1)'!$B$14,'Paramètres (1)'!$A$1:$I$88,7,0))</f>
        <v>#REF!</v>
      </c>
      <c r="DY35" s="135" t="str">
        <f>IF(ISNA(VLOOKUP(A35,'Données projet (1)'!$A$165:$I$185,6,0)),0%,VLOOKUP(A35,'Données projet (1)'!$A$165:$I$185,6,0)*VLOOKUP('Données projet (1)'!$B$14,'Paramètres (1)'!$A$1:$I$88,7,0))</f>
        <v>#REF!</v>
      </c>
      <c r="DZ35" s="135" t="str">
        <f t="shared" si="64"/>
        <v>#REF!</v>
      </c>
      <c r="EA35" s="142" t="str">
        <f>EXP(-LN(2)/35)*EA34+(1-EXP(-LN(2)/35))/(LN(2)/35)*DW35*DX35*VLOOKUP('Données projet (1)'!$B$14,'Paramètres (1)'!$A$1:$I$88,3,0)*0.475*44/12</f>
        <v>#REF!</v>
      </c>
      <c r="EB35" s="142" t="str">
        <f>EXP(-LN(2)/25)*EB34+(1-EXP(-LN(2)/25))/(LN(2)/25)*'Calculateur (1)'!DW35*'Calculateur (1)'!DY35*VLOOKUP('Données projet (1)'!$B$14,'Paramètres (1)'!$A$1:$I$88,3,0)*0.475*44/12</f>
        <v>#REF!</v>
      </c>
      <c r="EC35" s="142" t="str">
        <f>EXP(-LN(2)/2)*EC34+(1-EXP(-LN(2)/2))/(LN(2)/2)*DW35*DZ35*VLOOKUP('Données projet (1)'!$B$14,'Paramètres (1)'!$A$1:$I$88,3,0)*0.475*44/12</f>
        <v>#REF!</v>
      </c>
      <c r="ED35" s="143" t="str">
        <f t="shared" si="65"/>
        <v>#REF!</v>
      </c>
      <c r="EE35" s="139" t="str">
        <f t="shared" si="66"/>
        <v>#REF!</v>
      </c>
      <c r="EF35" s="131">
        <f t="shared" si="67"/>
        <v>10</v>
      </c>
      <c r="EG35" s="131" t="str">
        <f t="shared" si="132"/>
        <v>#REF!</v>
      </c>
      <c r="EH35" s="131" t="str">
        <f t="shared" si="68"/>
        <v>#REF!</v>
      </c>
      <c r="EI35" s="131" t="str">
        <f t="array" ref="EI35">INDEX(EH:EH,MIN(IF(ISNUMBER(EH35:EH231),ROW(EH35:EH231),"")))</f>
        <v/>
      </c>
      <c r="EJ35" s="131" t="str">
        <f t="shared" si="133"/>
        <v>#REF!</v>
      </c>
      <c r="EK35" s="138" t="str">
        <f>EJ35*VLOOKUP('Données projet (1)'!$B$15,'Paramètres (1)'!$A$1:$I$88,3,0)*VLOOKUP('Données projet (1)'!$B$15,'Paramètres (1)'!$A$1:$I$88,5,0)</f>
        <v>#REF!</v>
      </c>
      <c r="EL35" s="130" t="str">
        <f t="shared" si="134"/>
        <v>#REF!</v>
      </c>
      <c r="EM35" s="141" t="str">
        <f t="shared" si="69"/>
        <v>#REF!</v>
      </c>
      <c r="EN35" s="133" t="str">
        <f t="shared" si="70"/>
        <v>#REF!</v>
      </c>
      <c r="EO35" s="133" t="str">
        <f t="shared" si="71"/>
        <v>#REF!</v>
      </c>
      <c r="EP35" s="133" t="str">
        <f t="shared" si="135"/>
        <v>#REF!</v>
      </c>
      <c r="EQ35" s="134" t="str">
        <f t="shared" si="72"/>
        <v>#REF!</v>
      </c>
      <c r="ER35" s="134" t="str">
        <f t="shared" si="73"/>
        <v>#REF!</v>
      </c>
      <c r="ES35" s="135" t="str">
        <f>IF(ISNA(VLOOKUP(A35,'Données projet (1)'!$A$191:$I$211,5,0)),0%,VLOOKUP(A35,'Données projet (1)'!$A$191:$I$211,5,0)*VLOOKUP('Données projet (1)'!$B$15,'Paramètres (1)'!$A$1:$I$88,7,0))</f>
        <v>#REF!</v>
      </c>
      <c r="ET35" s="135" t="str">
        <f>IF(ISNA(VLOOKUP(A35,'Données projet (1)'!$A$191:$I$211,6,0)),0%,VLOOKUP(A35,'Données projet (1)'!$A$191:$I$211,6,0)*VLOOKUP('Données projet (1)'!$B$15,'Paramètres (1)'!$A$1:$I$88,7,0))</f>
        <v>#REF!</v>
      </c>
      <c r="EU35" s="135" t="str">
        <f t="shared" si="74"/>
        <v>#REF!</v>
      </c>
      <c r="EV35" s="142" t="str">
        <f>EXP(-LN(2)/35)*EV34+(1-EXP(-LN(2)/35))/(LN(2)/35)*ER35*ES35*VLOOKUP('Données projet (1)'!$B$15,'Paramètres (1)'!$A$1:$I$88,3,0)*0.475*44/12</f>
        <v>#REF!</v>
      </c>
      <c r="EW35" s="142" t="str">
        <f>EXP(-LN(2)/25)*EW34+(1-EXP(-LN(2)/25))/(LN(2)/25)*'Calculateur (1)'!ER35*'Calculateur (1)'!ET35*VLOOKUP('Données projet (1)'!$B$15,'Paramètres (1)'!$A$1:$I$88,3,0)*0.475*44/12</f>
        <v>#REF!</v>
      </c>
      <c r="EX35" s="142" t="str">
        <f>EXP(-LN(2)/2)*EX34+(1-EXP(-LN(2)/2))/(LN(2)/2)*ER35*EU35*VLOOKUP('Données projet (1)'!$B$15,'Paramètres (1)'!$A$1:$I$88,3,0)*0.475*44/12</f>
        <v>#REF!</v>
      </c>
      <c r="EY35" s="143" t="str">
        <f t="shared" si="75"/>
        <v>#REF!</v>
      </c>
      <c r="EZ35" s="139" t="str">
        <f t="shared" si="76"/>
        <v>#REF!</v>
      </c>
      <c r="FA35" s="131">
        <f t="shared" si="77"/>
        <v>10</v>
      </c>
      <c r="FB35" s="131" t="str">
        <f t="shared" si="136"/>
        <v>#REF!</v>
      </c>
      <c r="FC35" s="131" t="str">
        <f t="shared" si="78"/>
        <v>#REF!</v>
      </c>
      <c r="FD35" s="131" t="str">
        <f t="array" ref="FD35">INDEX(FC:FC,MIN(IF(ISNUMBER(FC35:FC231),ROW(FC35:FC231),"")))</f>
        <v/>
      </c>
      <c r="FE35" s="131" t="str">
        <f t="shared" si="137"/>
        <v>#REF!</v>
      </c>
      <c r="FF35" s="138" t="str">
        <f>FE35*VLOOKUP('Données projet (1)'!$B$16,'Paramètres (1)'!$A$1:$I$88,3,0)*VLOOKUP('Données projet (1)'!$B$16,'Paramètres (1)'!$A$1:$I$88,5,0)</f>
        <v>#REF!</v>
      </c>
      <c r="FG35" s="130" t="str">
        <f t="shared" si="138"/>
        <v>#REF!</v>
      </c>
      <c r="FH35" s="141" t="str">
        <f t="shared" si="79"/>
        <v>#REF!</v>
      </c>
      <c r="FI35" s="133" t="str">
        <f t="shared" si="80"/>
        <v>#REF!</v>
      </c>
      <c r="FJ35" s="133" t="str">
        <f t="shared" si="81"/>
        <v>#REF!</v>
      </c>
      <c r="FK35" s="133" t="str">
        <f t="shared" si="139"/>
        <v>#REF!</v>
      </c>
      <c r="FL35" s="134" t="str">
        <f t="shared" si="82"/>
        <v>#REF!</v>
      </c>
      <c r="FM35" s="134" t="str">
        <f t="shared" si="83"/>
        <v>#REF!</v>
      </c>
      <c r="FN35" s="135" t="str">
        <f>IF(ISNA(VLOOKUP(A35,'Données projet (1)'!$A$217:$I$237,5,0)),0%,VLOOKUP(A35,'Données projet (1)'!$A$217:$I$237,5,0)*VLOOKUP('Données projet (1)'!$B$16,'Paramètres (1)'!$A$1:$I$88,7,0))</f>
        <v>#REF!</v>
      </c>
      <c r="FO35" s="135" t="str">
        <f>IF(ISNA(VLOOKUP(A35,'Données projet (1)'!$A$217:$I$237,6,0)),0%,VLOOKUP(A35,'Données projet (1)'!$A$217:$I$237,6,0)*VLOOKUP('Données projet (1)'!$B$16,'Paramètres (1)'!$A$1:$I$88,7,0))</f>
        <v>#REF!</v>
      </c>
      <c r="FP35" s="135" t="str">
        <f t="shared" si="84"/>
        <v>#REF!</v>
      </c>
      <c r="FQ35" s="142" t="str">
        <f>EXP(-LN(2)/35)*FQ34+(1-EXP(-LN(2)/35))/(LN(2)/35)*FM35*FN35*VLOOKUP('Données projet (1)'!$B$16,'Paramètres (1)'!$A$1:$I$88,3,0)*0.475*44/12</f>
        <v>#REF!</v>
      </c>
      <c r="FR35" s="142" t="str">
        <f>EXP(-LN(2)/25)*FR34+(1-EXP(-LN(2)/25))/(LN(2)/25)*'Calculateur (1)'!FM35*'Calculateur (1)'!FO35*VLOOKUP('Données projet (1)'!$B$16,'Paramètres (1)'!$A$1:$I$88,3,0)*0.475*44/12</f>
        <v>#REF!</v>
      </c>
      <c r="FS35" s="142" t="str">
        <f>EXP(-LN(2)/2)*FS34+(1-EXP(-LN(2)/2))/(LN(2)/2)*FM35*FP35*VLOOKUP('Données projet (1)'!$B$16,'Paramètres (1)'!$A$1:$I$88,3,0)*0.475*44/12</f>
        <v>#REF!</v>
      </c>
      <c r="FT35" s="143" t="str">
        <f t="shared" si="85"/>
        <v>#REF!</v>
      </c>
      <c r="FU35" s="139" t="str">
        <f t="shared" si="86"/>
        <v>#REF!</v>
      </c>
      <c r="FV35" s="131">
        <f t="shared" si="87"/>
        <v>10</v>
      </c>
      <c r="FW35" s="131" t="str">
        <f t="shared" si="140"/>
        <v>#REF!</v>
      </c>
      <c r="FX35" s="131" t="str">
        <f t="shared" si="88"/>
        <v>#REF!</v>
      </c>
      <c r="FY35" s="131" t="str">
        <f t="array" ref="FY35">INDEX(FX:FX,MIN(IF(ISNUMBER(FX35:FX231),ROW(FX35:FX231),"")))</f>
        <v/>
      </c>
      <c r="FZ35" s="131" t="str">
        <f t="shared" si="141"/>
        <v>#REF!</v>
      </c>
      <c r="GA35" s="138" t="str">
        <f>FZ35*VLOOKUP('Données projet (1)'!$B$17,'Paramètres (1)'!$A$1:$I$88,3,0)*VLOOKUP('Données projet (1)'!$B$17,'Paramètres (1)'!$A$1:$I$88,5,0)</f>
        <v>#REF!</v>
      </c>
      <c r="GB35" s="130" t="str">
        <f t="shared" si="142"/>
        <v>#REF!</v>
      </c>
      <c r="GC35" s="141" t="str">
        <f t="shared" si="89"/>
        <v>#REF!</v>
      </c>
      <c r="GD35" s="133" t="str">
        <f t="shared" si="90"/>
        <v>#REF!</v>
      </c>
      <c r="GE35" s="133" t="str">
        <f t="shared" si="91"/>
        <v>#REF!</v>
      </c>
      <c r="GF35" s="133" t="str">
        <f t="shared" si="143"/>
        <v>#REF!</v>
      </c>
      <c r="GG35" s="134" t="str">
        <f t="shared" si="92"/>
        <v>#REF!</v>
      </c>
      <c r="GH35" s="134" t="str">
        <f t="shared" si="93"/>
        <v>#REF!</v>
      </c>
      <c r="GI35" s="135" t="str">
        <f>IF(ISNA(VLOOKUP(A35,'Données projet (1)'!$A$243:$I$263,5,0)),0%,VLOOKUP(A35,'Données projet (1)'!$A$243:$I$263,5,0)*VLOOKUP('Données projet (1)'!$B$17,'Paramètres (1)'!$A$1:$I$88,7,0))</f>
        <v>#REF!</v>
      </c>
      <c r="GJ35" s="135" t="str">
        <f>IF(ISNA(VLOOKUP(A35,'Données projet (1)'!$A$243:$I$263,6,0)),0%,VLOOKUP(A35,'Données projet (1)'!$A$243:$I$263,6,0)*VLOOKUP('Données projet (1)'!$B$17,'Paramètres (1)'!$A$1:$I$88,7,0))</f>
        <v>#REF!</v>
      </c>
      <c r="GK35" s="135" t="str">
        <f t="shared" si="94"/>
        <v>#REF!</v>
      </c>
      <c r="GL35" s="142" t="str">
        <f>EXP(-LN(2)/35)*GL34+(1-EXP(-LN(2)/35))/(LN(2)/35)*GH35*GI35*VLOOKUP('Données projet (1)'!$B$17,'Paramètres (1)'!$A$1:$I$88,3,0)*0.475*44/12</f>
        <v>#REF!</v>
      </c>
      <c r="GM35" s="142" t="str">
        <f>EXP(-LN(2)/25)*GM34+(1-EXP(-LN(2)/25))/(LN(2)/25)*'Calculateur (1)'!GH35*'Calculateur (1)'!GJ35*VLOOKUP('Données projet (1)'!$B$17,'Paramètres (1)'!$A$1:$I$88,3,0)*0.475*44/12</f>
        <v>#REF!</v>
      </c>
      <c r="GN35" s="142" t="str">
        <f>EXP(-LN(2)/2)*GN34+(1-EXP(-LN(2)/2))/(LN(2)/2)*GH35*GK35*VLOOKUP('Données projet (1)'!$B$17,'Paramètres (1)'!$A$1:$I$88,3,0)*0.475*44/12</f>
        <v>#REF!</v>
      </c>
      <c r="GO35" s="142" t="str">
        <f t="shared" si="95"/>
        <v>#REF!</v>
      </c>
      <c r="GP35" s="139" t="str">
        <f t="shared" si="96"/>
        <v>#REF!</v>
      </c>
      <c r="GQ35" s="131">
        <f t="shared" si="97"/>
        <v>10</v>
      </c>
      <c r="GR35" s="131" t="str">
        <f t="shared" si="144"/>
        <v>#REF!</v>
      </c>
      <c r="GS35" s="131" t="str">
        <f t="shared" si="98"/>
        <v>#REF!</v>
      </c>
      <c r="GT35" s="131" t="str">
        <f t="array" ref="GT35">INDEX(GS:GS,MIN(IF(ISNUMBER(GS35:GS231),ROW(GS35:GS231),"")))</f>
        <v/>
      </c>
      <c r="GU35" s="131" t="str">
        <f t="shared" si="145"/>
        <v>#REF!</v>
      </c>
      <c r="GV35" s="138" t="str">
        <f>GU35*VLOOKUP('Données projet (1)'!$B$18,'Paramètres (1)'!$A$1:$I$88,3,0)*VLOOKUP('Données projet (1)'!$B$18,'Paramètres (1)'!$A$1:$I$88,5,0)</f>
        <v>#REF!</v>
      </c>
      <c r="GW35" s="130" t="str">
        <f t="shared" si="146"/>
        <v>#REF!</v>
      </c>
      <c r="GX35" s="141" t="str">
        <f t="shared" si="99"/>
        <v>#REF!</v>
      </c>
      <c r="GY35" s="133" t="str">
        <f t="shared" si="100"/>
        <v>#REF!</v>
      </c>
      <c r="GZ35" s="133" t="str">
        <f t="shared" si="101"/>
        <v>#REF!</v>
      </c>
      <c r="HA35" s="133" t="str">
        <f t="shared" si="147"/>
        <v>#REF!</v>
      </c>
      <c r="HB35" s="134" t="str">
        <f t="shared" si="102"/>
        <v>#REF!</v>
      </c>
      <c r="HC35" s="134" t="str">
        <f t="shared" si="103"/>
        <v>#REF!</v>
      </c>
      <c r="HD35" s="135" t="str">
        <f>IF(ISNA(VLOOKUP(A35,'Données projet (1)'!$A$269:$I$289,5,0)),0%,VLOOKUP(A35,'Données projet (1)'!$A$269:$I$289,5,0)*VLOOKUP('Données projet (1)'!$B$18,'Paramètres (1)'!$A$1:$I$88,7,0))</f>
        <v>#REF!</v>
      </c>
      <c r="HE35" s="135" t="str">
        <f>IF(ISNA(VLOOKUP(A35,'Données projet (1)'!$A$269:$I$289,6,0)),0%,VLOOKUP(A35,'Données projet (1)'!$A$269:$I$289,6,0)*VLOOKUP('Données projet (1)'!$B$18,'Paramètres (1)'!$A$1:$I$88,7,0))</f>
        <v>#REF!</v>
      </c>
      <c r="HF35" s="135" t="str">
        <f t="shared" si="104"/>
        <v>#REF!</v>
      </c>
      <c r="HG35" s="142" t="str">
        <f>EXP(-LN(2)/35)*HG34+(1-EXP(-LN(2)/35))/(LN(2)/35)*HC35*HD35*VLOOKUP('Données projet (1)'!$B$18,'Paramètres (1)'!$A$1:$I$88,3,0)*0.475*44/12</f>
        <v>#REF!</v>
      </c>
      <c r="HH35" s="142" t="str">
        <f>EXP(-LN(2)/25)*HH34+(1-EXP(-LN(2)/25))/(LN(2)/25)*'Calculateur (1)'!HC35*'Calculateur (1)'!HE35*VLOOKUP('Données projet (1)'!$B$18,'Paramètres (1)'!$A$1:$I$88,3,0)*0.475*44/12</f>
        <v>#REF!</v>
      </c>
      <c r="HI35" s="142" t="str">
        <f>EXP(-LN(2)/2)*HI34+(1-EXP(-LN(2)/2))/(LN(2)/2)*HC35*HF35*VLOOKUP('Données projet (1)'!$B$18,'Paramètres (1)'!$A$1:$I$88,3,0)*0.475*44/12</f>
        <v>#REF!</v>
      </c>
      <c r="HJ35" s="143" t="str">
        <f t="shared" si="105"/>
        <v>#REF!</v>
      </c>
    </row>
    <row r="36" ht="14.25" customHeight="1">
      <c r="A36" s="125">
        <f t="shared" si="106"/>
        <v>33</v>
      </c>
      <c r="B36" s="126" t="str">
        <f t="shared" si="1"/>
        <v>#REF!</v>
      </c>
      <c r="C36" s="140" t="str">
        <f>'Calculateur (1)'!C35+'Scénario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6" s="127">
        <f t="shared" si="107"/>
        <v>0</v>
      </c>
      <c r="E36" s="127" t="str">
        <f t="shared" si="2"/>
        <v>#REF!</v>
      </c>
      <c r="F36" s="127" t="str">
        <f t="shared" si="3"/>
        <v>#REF!</v>
      </c>
      <c r="G36" s="127" t="str">
        <f t="shared" si="4"/>
        <v>#REF!</v>
      </c>
      <c r="H36" s="128" t="str">
        <f t="shared" si="5"/>
        <v>#REF!</v>
      </c>
      <c r="I36" s="129" t="str">
        <f t="shared" si="6"/>
        <v>#REF!</v>
      </c>
      <c r="J36" s="130">
        <f t="shared" si="7"/>
        <v>10</v>
      </c>
      <c r="K36" s="131" t="str">
        <f t="shared" si="108"/>
        <v>#REF!</v>
      </c>
      <c r="L36" s="131" t="str">
        <f t="shared" si="8"/>
        <v>#REF!</v>
      </c>
      <c r="M36" s="131" t="str">
        <f t="array" ref="M36">INDEX(L:L,MIN(IF(ISNUMBER(L36:L232),ROW(L36:L232),"")))</f>
        <v/>
      </c>
      <c r="N36" s="130" t="str">
        <f t="shared" si="109"/>
        <v>#REF!</v>
      </c>
      <c r="O36" s="130" t="str">
        <f>N36*VLOOKUP('Données projet (1)'!$B$9,'Paramètres (1)'!$A$1:$I$88,3,0)*VLOOKUP('Données projet (1)'!$B$9,'Paramètres (1)'!$A$1:$I$88,5,0)</f>
        <v>#REF!</v>
      </c>
      <c r="P36" s="130" t="str">
        <f t="shared" si="110"/>
        <v>#REF!</v>
      </c>
      <c r="Q36" s="141" t="str">
        <f t="shared" si="9"/>
        <v>#REF!</v>
      </c>
      <c r="R36" s="133" t="str">
        <f t="shared" si="10"/>
        <v>#REF!</v>
      </c>
      <c r="S36" s="133" t="str">
        <f t="shared" si="11"/>
        <v>#REF!</v>
      </c>
      <c r="T36" s="133" t="str">
        <f t="shared" si="111"/>
        <v>#REF!</v>
      </c>
      <c r="U36" s="134" t="str">
        <f t="shared" si="12"/>
        <v>#REF!</v>
      </c>
      <c r="V36" s="134" t="str">
        <f t="shared" si="13"/>
        <v>#REF!</v>
      </c>
      <c r="W36" s="135" t="str">
        <f>IF(ISNA(VLOOKUP(A36,'Données projet (1)'!$A$35:$I$55,5,0)),0%,VLOOKUP(A36,'Données projet (1)'!$A$35:$I$55,5,0)*VLOOKUP('Données projet (1)'!$B$9,'Paramètres (1)'!$A$1:$I$88,7,0))</f>
        <v>#REF!</v>
      </c>
      <c r="X36" s="135" t="str">
        <f>IF(ISNA(VLOOKUP(A36,'Données projet (1)'!$A$35:$I$55,6,0)),0%,VLOOKUP(A36,'Données projet (1)'!$A$35:$I$55,6,0)*VLOOKUP('Données projet (1)'!$B$9,'Paramètres (1)'!$A$1:$I$88,7,0))</f>
        <v>#REF!</v>
      </c>
      <c r="Y36" s="135" t="str">
        <f t="shared" si="14"/>
        <v>#REF!</v>
      </c>
      <c r="Z36" s="142" t="str">
        <f>EXP(-LN(2)/35)*Z35+(1-EXP(-LN(2)/35))/(LN(2)/35)*V36*W36*VLOOKUP('Données projet (1)'!$B$9,'Paramètres (1)'!$A$1:$I$88,3,0)*0.475*44/12</f>
        <v>#REF!</v>
      </c>
      <c r="AA36" s="142" t="str">
        <f>EXP(-LN(2)/25)*AA35+(1-EXP(-LN(2)/25))/(LN(2)/25)*'Calculateur (1)'!V36*'Calculateur (1)'!X36*VLOOKUP('Données projet (1)'!$B$9,'Paramètres (1)'!$A$1:$I$88,3,0)*0.475*44/12</f>
        <v>#REF!</v>
      </c>
      <c r="AB36" s="142" t="str">
        <f>EXP(-LN(2)/2)*AB35+(1-EXP(-LN(2)/2))/(LN(2)/2)*V36*Y36*VLOOKUP('Données projet (1)'!$B$9,'Paramètres (1)'!$A$1:$I$88,3,0)*0.475*44/12</f>
        <v>#REF!</v>
      </c>
      <c r="AC36" s="143" t="str">
        <f t="shared" si="15"/>
        <v>#REF!</v>
      </c>
      <c r="AD36" s="130" t="str">
        <f t="shared" si="16"/>
        <v>#REF!</v>
      </c>
      <c r="AE36" s="130">
        <f t="shared" si="17"/>
        <v>10</v>
      </c>
      <c r="AF36" s="131" t="str">
        <f t="shared" si="112"/>
        <v>#REF!</v>
      </c>
      <c r="AG36" s="131" t="str">
        <f t="shared" si="18"/>
        <v>#REF!</v>
      </c>
      <c r="AH36" s="131" t="str">
        <f t="array" ref="AH36">INDEX(AG:AG,MIN(IF(ISNUMBER(AG36:AG232),ROW(AG36:AG232),"")))</f>
        <v/>
      </c>
      <c r="AI36" s="130" t="str">
        <f t="shared" si="113"/>
        <v>#REF!</v>
      </c>
      <c r="AJ36" s="130" t="str">
        <f>AI36*VLOOKUP('Données projet (1)'!$B$10,'Paramètres (1)'!$A$1:$I$88,3,0)*VLOOKUP('Données projet (1)'!$B$10,'Paramètres (1)'!$A$1:$I$88,5,0)</f>
        <v>#REF!</v>
      </c>
      <c r="AK36" s="130" t="str">
        <f t="shared" si="114"/>
        <v>#REF!</v>
      </c>
      <c r="AL36" s="141" t="str">
        <f t="shared" si="19"/>
        <v>#REF!</v>
      </c>
      <c r="AM36" s="133" t="str">
        <f t="shared" si="20"/>
        <v>#REF!</v>
      </c>
      <c r="AN36" s="133" t="str">
        <f t="shared" si="21"/>
        <v>#REF!</v>
      </c>
      <c r="AO36" s="133" t="str">
        <f t="shared" si="115"/>
        <v>#REF!</v>
      </c>
      <c r="AP36" s="134" t="str">
        <f t="shared" si="22"/>
        <v>#REF!</v>
      </c>
      <c r="AQ36" s="134" t="str">
        <f t="shared" si="23"/>
        <v>#REF!</v>
      </c>
      <c r="AR36" s="135" t="str">
        <f>IF(ISNA(VLOOKUP(A36,'Données projet (1)'!$A$61:$I$81,5,0)),0%,VLOOKUP(A36,'Données projet (1)'!$A$61:$I$81,5,0)*VLOOKUP('Données projet (1)'!$B$10,'Paramètres (1)'!$A$1:$I$88,7,0))</f>
        <v>#REF!</v>
      </c>
      <c r="AS36" s="135" t="str">
        <f>IF(ISNA(VLOOKUP(A36,'Données projet (1)'!$A$61:$I$81,6,0)),0%,VLOOKUP(A36,'Données projet (1)'!$A$61:$I$81,6,0)*VLOOKUP('Données projet (1)'!$B$10,'Paramètres (1)'!$A$1:$I$88,7,0))</f>
        <v>#REF!</v>
      </c>
      <c r="AT36" s="135" t="str">
        <f t="shared" si="24"/>
        <v>#REF!</v>
      </c>
      <c r="AU36" s="142" t="str">
        <f>EXP(-LN(2)/35)*AU35+(1-EXP(-LN(2)/35))/(LN(2)/35)*AQ36*AR36*VLOOKUP('Données projet (1)'!$B$10,'Paramètres (1)'!$A$1:$I$88,3,0)*0.475*44/12</f>
        <v>#REF!</v>
      </c>
      <c r="AV36" s="142" t="str">
        <f>EXP(-LN(2)/25)*AV35+(1-EXP(-LN(2)/25))/(LN(2)/25)*'Calculateur (1)'!AQ36*'Calculateur (1)'!AS36*VLOOKUP('Données projet (1)'!$B$10,'Paramètres (1)'!$A$1:$I$88,3,0)*0.475*44/12</f>
        <v>#REF!</v>
      </c>
      <c r="AW36" s="142" t="str">
        <f>EXP(-LN(2)/2)*AW35+(1-EXP(-LN(2)/2))/(LN(2)/2)*AQ36*AT36*VLOOKUP('Données projet (1)'!$B$10,'Paramètres (1)'!$A$1:$I$88,3,0)*0.475*44/12</f>
        <v>#REF!</v>
      </c>
      <c r="AX36" s="142" t="str">
        <f t="shared" si="25"/>
        <v>#REF!</v>
      </c>
      <c r="AY36" s="137" t="str">
        <f t="shared" si="26"/>
        <v>#REF!</v>
      </c>
      <c r="AZ36" s="131">
        <f t="shared" si="27"/>
        <v>10</v>
      </c>
      <c r="BA36" s="131" t="str">
        <f t="shared" si="116"/>
        <v>#REF!</v>
      </c>
      <c r="BB36" s="131" t="str">
        <f t="shared" si="28"/>
        <v>#REF!</v>
      </c>
      <c r="BC36" s="131" t="str">
        <f t="array" ref="BC36">INDEX(BB:BB,MIN(IF(ISNUMBER(BB36:BB232),ROW(BB36:BB232),"")))</f>
        <v/>
      </c>
      <c r="BD36" s="131" t="str">
        <f t="shared" si="117"/>
        <v>#REF!</v>
      </c>
      <c r="BE36" s="130" t="str">
        <f>BD36*VLOOKUP('Données projet (1)'!$B$11,'Paramètres (1)'!$A$1:$I$88,3,0)*VLOOKUP('Données projet (1)'!$B$11,'Paramètres (1)'!$A$1:$I$88,5,0)</f>
        <v>#REF!</v>
      </c>
      <c r="BF36" s="130" t="str">
        <f t="shared" si="118"/>
        <v>#REF!</v>
      </c>
      <c r="BG36" s="141" t="str">
        <f t="shared" si="29"/>
        <v>#REF!</v>
      </c>
      <c r="BH36" s="133" t="str">
        <f t="shared" si="30"/>
        <v>#REF!</v>
      </c>
      <c r="BI36" s="133" t="str">
        <f t="shared" si="31"/>
        <v>#REF!</v>
      </c>
      <c r="BJ36" s="133" t="str">
        <f t="shared" si="119"/>
        <v>#REF!</v>
      </c>
      <c r="BK36" s="134" t="str">
        <f t="shared" si="32"/>
        <v>#REF!</v>
      </c>
      <c r="BL36" s="134" t="str">
        <f t="shared" si="33"/>
        <v>#REF!</v>
      </c>
      <c r="BM36" s="135" t="str">
        <f>IF(ISNA(VLOOKUP(A36,'Données projet (1)'!$A$87:$I$107,5,0)),0%,VLOOKUP(A36,'Données projet (1)'!$A$87:$I$107,5,0)*VLOOKUP('Données projet (1)'!$B$11,'Paramètres (1)'!$A$1:$I$88,7,0))</f>
        <v>#REF!</v>
      </c>
      <c r="BN36" s="135" t="str">
        <f>IF(ISNA(VLOOKUP(A36,'Données projet (1)'!$A$87:$I$107,6,0)),0%,VLOOKUP(A36,'Données projet (1)'!$A$87:$I$107,6,0)*VLOOKUP('Données projet (1)'!$B$11,'Paramètres (1)'!$A$1:$I$88,7,0))</f>
        <v>#REF!</v>
      </c>
      <c r="BO36" s="135" t="str">
        <f t="shared" si="34"/>
        <v>#REF!</v>
      </c>
      <c r="BP36" s="142" t="str">
        <f>EXP(-LN(2)/35)*BP35+(1-EXP(-LN(2)/35))/(LN(2)/35)*BL36*BM36*VLOOKUP('Données projet (1)'!$B$11,'Paramètres (1)'!$A$1:$I$88,3,0)*0.475*44/12</f>
        <v>#REF!</v>
      </c>
      <c r="BQ36" s="142" t="str">
        <f>EXP(-LN(2)/25)*BQ35+(1-EXP(-LN(2)/25))/(LN(2)/25)*'Calculateur (1)'!BL36*'Calculateur (1)'!BN36*VLOOKUP('Données projet (1)'!$B$11,'Paramètres (1)'!$A$1:$I$88,3,0)*0.475*44/12</f>
        <v>#REF!</v>
      </c>
      <c r="BR36" s="142" t="str">
        <f>EXP(-LN(2)/2)*BR35+(1-EXP(-LN(2)/2))/(LN(2)/2)*BL36*BO36*VLOOKUP('Données projet (1)'!$B$11,'Paramètres (1)'!$A$1:$I$88,3,0)*0.475*44/12</f>
        <v>#REF!</v>
      </c>
      <c r="BS36" s="143" t="str">
        <f t="shared" si="35"/>
        <v>#REF!</v>
      </c>
      <c r="BT36" s="139" t="str">
        <f t="shared" si="36"/>
        <v>#REF!</v>
      </c>
      <c r="BU36" s="131">
        <f t="shared" si="37"/>
        <v>10</v>
      </c>
      <c r="BV36" s="131" t="str">
        <f t="shared" si="120"/>
        <v>#REF!</v>
      </c>
      <c r="BW36" s="131" t="str">
        <f t="shared" si="38"/>
        <v>#REF!</v>
      </c>
      <c r="BX36" s="131" t="str">
        <f t="array" ref="BX36">INDEX(BW:BW,MIN(IF(ISNUMBER(BW36:BW232),ROW(BW36:BW232),"")))</f>
        <v/>
      </c>
      <c r="BY36" s="131" t="str">
        <f t="shared" si="121"/>
        <v>#REF!</v>
      </c>
      <c r="BZ36" s="130" t="str">
        <f>BY36*VLOOKUP('Données projet (1)'!$B$12,'Paramètres (1)'!$A$1:$I$88,3,0)*VLOOKUP('Données projet (1)'!$B$12,'Paramètres (1)'!$A$1:$I$88,5,0)</f>
        <v>#REF!</v>
      </c>
      <c r="CA36" s="130" t="str">
        <f t="shared" si="122"/>
        <v>#REF!</v>
      </c>
      <c r="CB36" s="141" t="str">
        <f t="shared" si="39"/>
        <v>#REF!</v>
      </c>
      <c r="CC36" s="133" t="str">
        <f t="shared" si="40"/>
        <v>#REF!</v>
      </c>
      <c r="CD36" s="133" t="str">
        <f t="shared" si="41"/>
        <v>#REF!</v>
      </c>
      <c r="CE36" s="133" t="str">
        <f t="shared" si="123"/>
        <v>#REF!</v>
      </c>
      <c r="CF36" s="134" t="str">
        <f t="shared" si="42"/>
        <v>#REF!</v>
      </c>
      <c r="CG36" s="134" t="str">
        <f t="shared" si="43"/>
        <v>#REF!</v>
      </c>
      <c r="CH36" s="135" t="str">
        <f>IF(ISNA(VLOOKUP(A36,'Données projet (1)'!$A$113:$I$133,5,0)),0%,VLOOKUP(A36,'Données projet (1)'!$A$113:$I$133,5,0)*VLOOKUP('Données projet (1)'!$B$12,'Paramètres (1)'!$A$1:$I$88,7,0))</f>
        <v>#REF!</v>
      </c>
      <c r="CI36" s="135" t="str">
        <f>IF(ISNA(VLOOKUP(A36,'Données projet (1)'!$A$113:$I$133,6,0)),0%,VLOOKUP(A36,'Données projet (1)'!$A$113:$I$133,6,0)*VLOOKUP('Données projet (1)'!$B$12,'Paramètres (1)'!$A$1:$I$88,7,0))</f>
        <v>#REF!</v>
      </c>
      <c r="CJ36" s="135" t="str">
        <f t="shared" si="44"/>
        <v>#REF!</v>
      </c>
      <c r="CK36" s="142" t="str">
        <f>EXP(-LN(2)/35)*CK35+(1-EXP(-LN(2)/35))/(LN(2)/35)*CG36*CH36*VLOOKUP('Données projet (1)'!$B$12,'Paramètres (1)'!$A$1:$I$88,3,0)*0.475*44/12</f>
        <v>#REF!</v>
      </c>
      <c r="CL36" s="142" t="str">
        <f>EXP(-LN(2)/25)*CL35+(1-EXP(-LN(2)/25))/(LN(2)/25)*'Calculateur (1)'!CG36*'Calculateur (1)'!CI36*VLOOKUP('Données projet (1)'!$B$12,'Paramètres (1)'!$A$1:$I$88,3,0)*0.475*44/12</f>
        <v>#REF!</v>
      </c>
      <c r="CM36" s="142" t="str">
        <f>EXP(-LN(2)/2)*CM35+(1-EXP(-LN(2)/2))/(LN(2)/2)*CG36*CJ36*VLOOKUP('Données projet (1)'!$B$12,'Paramètres (1)'!$A$1:$I$88,3,0)*0.475*44/12</f>
        <v>#REF!</v>
      </c>
      <c r="CN36" s="143" t="str">
        <f t="shared" si="45"/>
        <v>#REF!</v>
      </c>
      <c r="CO36" s="139" t="str">
        <f t="shared" si="46"/>
        <v>#REF!</v>
      </c>
      <c r="CP36" s="131">
        <f t="shared" si="47"/>
        <v>10</v>
      </c>
      <c r="CQ36" s="131" t="str">
        <f t="shared" si="124"/>
        <v>#REF!</v>
      </c>
      <c r="CR36" s="131" t="str">
        <f t="shared" si="48"/>
        <v>#REF!</v>
      </c>
      <c r="CS36" s="131" t="str">
        <f t="array" ref="CS36">INDEX(CR:CR,MIN(IF(ISNUMBER(CR36:CR232),ROW(CR36:CR232),"")))</f>
        <v/>
      </c>
      <c r="CT36" s="131" t="str">
        <f t="shared" si="125"/>
        <v>#REF!</v>
      </c>
      <c r="CU36" s="138" t="str">
        <f>CT36*VLOOKUP('Données projet (1)'!$B$13,'Paramètres (1)'!$A$1:$I$88,3,0)*VLOOKUP('Données projet (1)'!$B$13,'Paramètres (1)'!$A$1:$I$88,5,0)</f>
        <v>#REF!</v>
      </c>
      <c r="CV36" s="130" t="str">
        <f t="shared" si="126"/>
        <v>#REF!</v>
      </c>
      <c r="CW36" s="141" t="str">
        <f t="shared" si="49"/>
        <v>#REF!</v>
      </c>
      <c r="CX36" s="133" t="str">
        <f t="shared" si="50"/>
        <v>#REF!</v>
      </c>
      <c r="CY36" s="133" t="str">
        <f t="shared" si="51"/>
        <v>#REF!</v>
      </c>
      <c r="CZ36" s="133" t="str">
        <f t="shared" si="127"/>
        <v>#REF!</v>
      </c>
      <c r="DA36" s="134" t="str">
        <f t="shared" si="52"/>
        <v>#REF!</v>
      </c>
      <c r="DB36" s="134" t="str">
        <f t="shared" si="53"/>
        <v>#REF!</v>
      </c>
      <c r="DC36" s="135" t="str">
        <f>IF(ISNA(VLOOKUP(A36,'Données projet (1)'!$A$139:$I$159,5,0)),0%,VLOOKUP(A36,'Données projet (1)'!$A$139:$I$159,5,0)*VLOOKUP('Données projet (1)'!$B$13,'Paramètres (1)'!$A$1:$I$88,7,0))</f>
        <v>#REF!</v>
      </c>
      <c r="DD36" s="135" t="str">
        <f>IF(ISNA(VLOOKUP(A36,'Données projet (1)'!$A$139:$I$159,6,0)),0%,VLOOKUP(A36,'Données projet (1)'!$A$139:$I$159,6,0)*VLOOKUP('Données projet (1)'!$B$13,'Paramètres (1)'!$A$1:$I$88,7,0))</f>
        <v>#REF!</v>
      </c>
      <c r="DE36" s="135" t="str">
        <f t="shared" si="54"/>
        <v>#REF!</v>
      </c>
      <c r="DF36" s="142" t="str">
        <f>EXP(-LN(2)/35)*DF35+(1-EXP(-LN(2)/35))/(LN(2)/35)*DB36*DC36*VLOOKUP('Données projet (1)'!$B$13,'Paramètres (1)'!$A$1:$I$88,3,0)*0.475*44/12</f>
        <v>#REF!</v>
      </c>
      <c r="DG36" s="142" t="str">
        <f>EXP(-LN(2)/25)*DG35+(1-EXP(-LN(2)/25))/(LN(2)/25)*'Calculateur (1)'!DB36*'Calculateur (1)'!DD36*VLOOKUP('Données projet (1)'!$B$13,'Paramètres (1)'!$A$1:$I$88,3,0)*0.475*44/12</f>
        <v>#REF!</v>
      </c>
      <c r="DH36" s="142" t="str">
        <f>EXP(-LN(2)/2)*DH35+(1-EXP(-LN(2)/2))/(LN(2)/2)*DB36*DE36*VLOOKUP('Données projet (1)'!$B$13,'Paramètres (1)'!$A$1:$I$88,3,0)*0.475*44/12</f>
        <v>#REF!</v>
      </c>
      <c r="DI36" s="143" t="str">
        <f t="shared" si="55"/>
        <v>#REF!</v>
      </c>
      <c r="DJ36" s="139" t="str">
        <f t="shared" si="56"/>
        <v>#REF!</v>
      </c>
      <c r="DK36" s="131">
        <f t="shared" si="57"/>
        <v>10</v>
      </c>
      <c r="DL36" s="131" t="str">
        <f t="shared" si="128"/>
        <v>#REF!</v>
      </c>
      <c r="DM36" s="131" t="str">
        <f t="shared" si="58"/>
        <v>#REF!</v>
      </c>
      <c r="DN36" s="131" t="str">
        <f t="array" ref="DN36">INDEX(DM:DM,MIN(IF(ISNUMBER(DM36:DM232),ROW(DM36:DM232),"")))</f>
        <v/>
      </c>
      <c r="DO36" s="131" t="str">
        <f t="shared" si="129"/>
        <v>#REF!</v>
      </c>
      <c r="DP36" s="138" t="str">
        <f>DO36*VLOOKUP('Données projet (1)'!$B$14,'Paramètres (1)'!$A$1:$I$88,3,0)*VLOOKUP('Données projet (1)'!$B$14,'Paramètres (1)'!$A$1:$I$88,5,0)</f>
        <v>#REF!</v>
      </c>
      <c r="DQ36" s="130" t="str">
        <f t="shared" si="130"/>
        <v>#REF!</v>
      </c>
      <c r="DR36" s="141" t="str">
        <f t="shared" si="59"/>
        <v>#REF!</v>
      </c>
      <c r="DS36" s="133" t="str">
        <f t="shared" si="60"/>
        <v>#REF!</v>
      </c>
      <c r="DT36" s="133" t="str">
        <f t="shared" si="61"/>
        <v>#REF!</v>
      </c>
      <c r="DU36" s="133" t="str">
        <f t="shared" si="131"/>
        <v>#REF!</v>
      </c>
      <c r="DV36" s="134" t="str">
        <f t="shared" si="62"/>
        <v>#REF!</v>
      </c>
      <c r="DW36" s="134" t="str">
        <f t="shared" si="63"/>
        <v>#REF!</v>
      </c>
      <c r="DX36" s="135" t="str">
        <f>IF(ISNA(VLOOKUP(A36,'Données projet (1)'!$A$165:$I$185,5,0)),0%,VLOOKUP(A36,'Données projet (1)'!$A$165:$I$185,5,0)*VLOOKUP('Données projet (1)'!$B$14,'Paramètres (1)'!$A$1:$I$88,7,0))</f>
        <v>#REF!</v>
      </c>
      <c r="DY36" s="135" t="str">
        <f>IF(ISNA(VLOOKUP(A36,'Données projet (1)'!$A$165:$I$185,6,0)),0%,VLOOKUP(A36,'Données projet (1)'!$A$165:$I$185,6,0)*VLOOKUP('Données projet (1)'!$B$14,'Paramètres (1)'!$A$1:$I$88,7,0))</f>
        <v>#REF!</v>
      </c>
      <c r="DZ36" s="135" t="str">
        <f t="shared" si="64"/>
        <v>#REF!</v>
      </c>
      <c r="EA36" s="142" t="str">
        <f>EXP(-LN(2)/35)*EA35+(1-EXP(-LN(2)/35))/(LN(2)/35)*DW36*DX36*VLOOKUP('Données projet (1)'!$B$14,'Paramètres (1)'!$A$1:$I$88,3,0)*0.475*44/12</f>
        <v>#REF!</v>
      </c>
      <c r="EB36" s="142" t="str">
        <f>EXP(-LN(2)/25)*EB35+(1-EXP(-LN(2)/25))/(LN(2)/25)*'Calculateur (1)'!DW36*'Calculateur (1)'!DY36*VLOOKUP('Données projet (1)'!$B$14,'Paramètres (1)'!$A$1:$I$88,3,0)*0.475*44/12</f>
        <v>#REF!</v>
      </c>
      <c r="EC36" s="142" t="str">
        <f>EXP(-LN(2)/2)*EC35+(1-EXP(-LN(2)/2))/(LN(2)/2)*DW36*DZ36*VLOOKUP('Données projet (1)'!$B$14,'Paramètres (1)'!$A$1:$I$88,3,0)*0.475*44/12</f>
        <v>#REF!</v>
      </c>
      <c r="ED36" s="143" t="str">
        <f t="shared" si="65"/>
        <v>#REF!</v>
      </c>
      <c r="EE36" s="139" t="str">
        <f t="shared" si="66"/>
        <v>#REF!</v>
      </c>
      <c r="EF36" s="131">
        <f t="shared" si="67"/>
        <v>10</v>
      </c>
      <c r="EG36" s="131" t="str">
        <f t="shared" si="132"/>
        <v>#REF!</v>
      </c>
      <c r="EH36" s="131" t="str">
        <f t="shared" si="68"/>
        <v>#REF!</v>
      </c>
      <c r="EI36" s="131" t="str">
        <f t="array" ref="EI36">INDEX(EH:EH,MIN(IF(ISNUMBER(EH36:EH232),ROW(EH36:EH232),"")))</f>
        <v/>
      </c>
      <c r="EJ36" s="131" t="str">
        <f t="shared" si="133"/>
        <v>#REF!</v>
      </c>
      <c r="EK36" s="138" t="str">
        <f>EJ36*VLOOKUP('Données projet (1)'!$B$15,'Paramètres (1)'!$A$1:$I$88,3,0)*VLOOKUP('Données projet (1)'!$B$15,'Paramètres (1)'!$A$1:$I$88,5,0)</f>
        <v>#REF!</v>
      </c>
      <c r="EL36" s="130" t="str">
        <f t="shared" si="134"/>
        <v>#REF!</v>
      </c>
      <c r="EM36" s="141" t="str">
        <f t="shared" si="69"/>
        <v>#REF!</v>
      </c>
      <c r="EN36" s="133" t="str">
        <f t="shared" si="70"/>
        <v>#REF!</v>
      </c>
      <c r="EO36" s="133" t="str">
        <f t="shared" si="71"/>
        <v>#REF!</v>
      </c>
      <c r="EP36" s="133" t="str">
        <f t="shared" si="135"/>
        <v>#REF!</v>
      </c>
      <c r="EQ36" s="134" t="str">
        <f t="shared" si="72"/>
        <v>#REF!</v>
      </c>
      <c r="ER36" s="134" t="str">
        <f t="shared" si="73"/>
        <v>#REF!</v>
      </c>
      <c r="ES36" s="135" t="str">
        <f>IF(ISNA(VLOOKUP(A36,'Données projet (1)'!$A$191:$I$211,5,0)),0%,VLOOKUP(A36,'Données projet (1)'!$A$191:$I$211,5,0)*VLOOKUP('Données projet (1)'!$B$15,'Paramètres (1)'!$A$1:$I$88,7,0))</f>
        <v>#REF!</v>
      </c>
      <c r="ET36" s="135" t="str">
        <f>IF(ISNA(VLOOKUP(A36,'Données projet (1)'!$A$191:$I$211,6,0)),0%,VLOOKUP(A36,'Données projet (1)'!$A$191:$I$211,6,0)*VLOOKUP('Données projet (1)'!$B$15,'Paramètres (1)'!$A$1:$I$88,7,0))</f>
        <v>#REF!</v>
      </c>
      <c r="EU36" s="135" t="str">
        <f t="shared" si="74"/>
        <v>#REF!</v>
      </c>
      <c r="EV36" s="142" t="str">
        <f>EXP(-LN(2)/35)*EV35+(1-EXP(-LN(2)/35))/(LN(2)/35)*ER36*ES36*VLOOKUP('Données projet (1)'!$B$15,'Paramètres (1)'!$A$1:$I$88,3,0)*0.475*44/12</f>
        <v>#REF!</v>
      </c>
      <c r="EW36" s="142" t="str">
        <f>EXP(-LN(2)/25)*EW35+(1-EXP(-LN(2)/25))/(LN(2)/25)*'Calculateur (1)'!ER36*'Calculateur (1)'!ET36*VLOOKUP('Données projet (1)'!$B$15,'Paramètres (1)'!$A$1:$I$88,3,0)*0.475*44/12</f>
        <v>#REF!</v>
      </c>
      <c r="EX36" s="142" t="str">
        <f>EXP(-LN(2)/2)*EX35+(1-EXP(-LN(2)/2))/(LN(2)/2)*ER36*EU36*VLOOKUP('Données projet (1)'!$B$15,'Paramètres (1)'!$A$1:$I$88,3,0)*0.475*44/12</f>
        <v>#REF!</v>
      </c>
      <c r="EY36" s="143" t="str">
        <f t="shared" si="75"/>
        <v>#REF!</v>
      </c>
      <c r="EZ36" s="139" t="str">
        <f t="shared" si="76"/>
        <v>#REF!</v>
      </c>
      <c r="FA36" s="131">
        <f t="shared" si="77"/>
        <v>10</v>
      </c>
      <c r="FB36" s="131" t="str">
        <f t="shared" si="136"/>
        <v>#REF!</v>
      </c>
      <c r="FC36" s="131" t="str">
        <f t="shared" si="78"/>
        <v>#REF!</v>
      </c>
      <c r="FD36" s="131" t="str">
        <f t="array" ref="FD36">INDEX(FC:FC,MIN(IF(ISNUMBER(FC36:FC232),ROW(FC36:FC232),"")))</f>
        <v/>
      </c>
      <c r="FE36" s="131" t="str">
        <f t="shared" si="137"/>
        <v>#REF!</v>
      </c>
      <c r="FF36" s="138" t="str">
        <f>FE36*VLOOKUP('Données projet (1)'!$B$16,'Paramètres (1)'!$A$1:$I$88,3,0)*VLOOKUP('Données projet (1)'!$B$16,'Paramètres (1)'!$A$1:$I$88,5,0)</f>
        <v>#REF!</v>
      </c>
      <c r="FG36" s="130" t="str">
        <f t="shared" si="138"/>
        <v>#REF!</v>
      </c>
      <c r="FH36" s="141" t="str">
        <f t="shared" si="79"/>
        <v>#REF!</v>
      </c>
      <c r="FI36" s="133" t="str">
        <f t="shared" si="80"/>
        <v>#REF!</v>
      </c>
      <c r="FJ36" s="133" t="str">
        <f t="shared" si="81"/>
        <v>#REF!</v>
      </c>
      <c r="FK36" s="133" t="str">
        <f t="shared" si="139"/>
        <v>#REF!</v>
      </c>
      <c r="FL36" s="134" t="str">
        <f t="shared" si="82"/>
        <v>#REF!</v>
      </c>
      <c r="FM36" s="134" t="str">
        <f t="shared" si="83"/>
        <v>#REF!</v>
      </c>
      <c r="FN36" s="135" t="str">
        <f>IF(ISNA(VLOOKUP(A36,'Données projet (1)'!$A$217:$I$237,5,0)),0%,VLOOKUP(A36,'Données projet (1)'!$A$217:$I$237,5,0)*VLOOKUP('Données projet (1)'!$B$16,'Paramètres (1)'!$A$1:$I$88,7,0))</f>
        <v>#REF!</v>
      </c>
      <c r="FO36" s="135" t="str">
        <f>IF(ISNA(VLOOKUP(A36,'Données projet (1)'!$A$217:$I$237,6,0)),0%,VLOOKUP(A36,'Données projet (1)'!$A$217:$I$237,6,0)*VLOOKUP('Données projet (1)'!$B$16,'Paramètres (1)'!$A$1:$I$88,7,0))</f>
        <v>#REF!</v>
      </c>
      <c r="FP36" s="135" t="str">
        <f t="shared" si="84"/>
        <v>#REF!</v>
      </c>
      <c r="FQ36" s="142" t="str">
        <f>EXP(-LN(2)/35)*FQ35+(1-EXP(-LN(2)/35))/(LN(2)/35)*FM36*FN36*VLOOKUP('Données projet (1)'!$B$16,'Paramètres (1)'!$A$1:$I$88,3,0)*0.475*44/12</f>
        <v>#REF!</v>
      </c>
      <c r="FR36" s="142" t="str">
        <f>EXP(-LN(2)/25)*FR35+(1-EXP(-LN(2)/25))/(LN(2)/25)*'Calculateur (1)'!FM36*'Calculateur (1)'!FO36*VLOOKUP('Données projet (1)'!$B$16,'Paramètres (1)'!$A$1:$I$88,3,0)*0.475*44/12</f>
        <v>#REF!</v>
      </c>
      <c r="FS36" s="142" t="str">
        <f>EXP(-LN(2)/2)*FS35+(1-EXP(-LN(2)/2))/(LN(2)/2)*FM36*FP36*VLOOKUP('Données projet (1)'!$B$16,'Paramètres (1)'!$A$1:$I$88,3,0)*0.475*44/12</f>
        <v>#REF!</v>
      </c>
      <c r="FT36" s="143" t="str">
        <f t="shared" si="85"/>
        <v>#REF!</v>
      </c>
      <c r="FU36" s="139" t="str">
        <f t="shared" si="86"/>
        <v>#REF!</v>
      </c>
      <c r="FV36" s="131">
        <f t="shared" si="87"/>
        <v>10</v>
      </c>
      <c r="FW36" s="131" t="str">
        <f t="shared" si="140"/>
        <v>#REF!</v>
      </c>
      <c r="FX36" s="131" t="str">
        <f t="shared" si="88"/>
        <v>#REF!</v>
      </c>
      <c r="FY36" s="131" t="str">
        <f t="array" ref="FY36">INDEX(FX:FX,MIN(IF(ISNUMBER(FX36:FX232),ROW(FX36:FX232),"")))</f>
        <v/>
      </c>
      <c r="FZ36" s="131" t="str">
        <f t="shared" si="141"/>
        <v>#REF!</v>
      </c>
      <c r="GA36" s="138" t="str">
        <f>FZ36*VLOOKUP('Données projet (1)'!$B$17,'Paramètres (1)'!$A$1:$I$88,3,0)*VLOOKUP('Données projet (1)'!$B$17,'Paramètres (1)'!$A$1:$I$88,5,0)</f>
        <v>#REF!</v>
      </c>
      <c r="GB36" s="130" t="str">
        <f t="shared" si="142"/>
        <v>#REF!</v>
      </c>
      <c r="GC36" s="141" t="str">
        <f t="shared" si="89"/>
        <v>#REF!</v>
      </c>
      <c r="GD36" s="133" t="str">
        <f t="shared" si="90"/>
        <v>#REF!</v>
      </c>
      <c r="GE36" s="133" t="str">
        <f t="shared" si="91"/>
        <v>#REF!</v>
      </c>
      <c r="GF36" s="133" t="str">
        <f t="shared" si="143"/>
        <v>#REF!</v>
      </c>
      <c r="GG36" s="134" t="str">
        <f t="shared" si="92"/>
        <v>#REF!</v>
      </c>
      <c r="GH36" s="134" t="str">
        <f t="shared" si="93"/>
        <v>#REF!</v>
      </c>
      <c r="GI36" s="135" t="str">
        <f>IF(ISNA(VLOOKUP(A36,'Données projet (1)'!$A$243:$I$263,5,0)),0%,VLOOKUP(A36,'Données projet (1)'!$A$243:$I$263,5,0)*VLOOKUP('Données projet (1)'!$B$17,'Paramètres (1)'!$A$1:$I$88,7,0))</f>
        <v>#REF!</v>
      </c>
      <c r="GJ36" s="135" t="str">
        <f>IF(ISNA(VLOOKUP(A36,'Données projet (1)'!$A$243:$I$263,6,0)),0%,VLOOKUP(A36,'Données projet (1)'!$A$243:$I$263,6,0)*VLOOKUP('Données projet (1)'!$B$17,'Paramètres (1)'!$A$1:$I$88,7,0))</f>
        <v>#REF!</v>
      </c>
      <c r="GK36" s="135" t="str">
        <f t="shared" si="94"/>
        <v>#REF!</v>
      </c>
      <c r="GL36" s="142" t="str">
        <f>EXP(-LN(2)/35)*GL35+(1-EXP(-LN(2)/35))/(LN(2)/35)*GH36*GI36*VLOOKUP('Données projet (1)'!$B$17,'Paramètres (1)'!$A$1:$I$88,3,0)*0.475*44/12</f>
        <v>#REF!</v>
      </c>
      <c r="GM36" s="142" t="str">
        <f>EXP(-LN(2)/25)*GM35+(1-EXP(-LN(2)/25))/(LN(2)/25)*'Calculateur (1)'!GH36*'Calculateur (1)'!GJ36*VLOOKUP('Données projet (1)'!$B$17,'Paramètres (1)'!$A$1:$I$88,3,0)*0.475*44/12</f>
        <v>#REF!</v>
      </c>
      <c r="GN36" s="142" t="str">
        <f>EXP(-LN(2)/2)*GN35+(1-EXP(-LN(2)/2))/(LN(2)/2)*GH36*GK36*VLOOKUP('Données projet (1)'!$B$17,'Paramètres (1)'!$A$1:$I$88,3,0)*0.475*44/12</f>
        <v>#REF!</v>
      </c>
      <c r="GO36" s="142" t="str">
        <f t="shared" si="95"/>
        <v>#REF!</v>
      </c>
      <c r="GP36" s="139" t="str">
        <f t="shared" si="96"/>
        <v>#REF!</v>
      </c>
      <c r="GQ36" s="131">
        <f t="shared" si="97"/>
        <v>10</v>
      </c>
      <c r="GR36" s="131" t="str">
        <f t="shared" si="144"/>
        <v>#REF!</v>
      </c>
      <c r="GS36" s="131" t="str">
        <f t="shared" si="98"/>
        <v>#REF!</v>
      </c>
      <c r="GT36" s="131" t="str">
        <f t="array" ref="GT36">INDEX(GS:GS,MIN(IF(ISNUMBER(GS36:GS232),ROW(GS36:GS232),"")))</f>
        <v/>
      </c>
      <c r="GU36" s="131" t="str">
        <f t="shared" si="145"/>
        <v>#REF!</v>
      </c>
      <c r="GV36" s="138" t="str">
        <f>GU36*VLOOKUP('Données projet (1)'!$B$18,'Paramètres (1)'!$A$1:$I$88,3,0)*VLOOKUP('Données projet (1)'!$B$18,'Paramètres (1)'!$A$1:$I$88,5,0)</f>
        <v>#REF!</v>
      </c>
      <c r="GW36" s="130" t="str">
        <f t="shared" si="146"/>
        <v>#REF!</v>
      </c>
      <c r="GX36" s="141" t="str">
        <f t="shared" si="99"/>
        <v>#REF!</v>
      </c>
      <c r="GY36" s="133" t="str">
        <f t="shared" si="100"/>
        <v>#REF!</v>
      </c>
      <c r="GZ36" s="133" t="str">
        <f t="shared" si="101"/>
        <v>#REF!</v>
      </c>
      <c r="HA36" s="133" t="str">
        <f t="shared" si="147"/>
        <v>#REF!</v>
      </c>
      <c r="HB36" s="134" t="str">
        <f t="shared" si="102"/>
        <v>#REF!</v>
      </c>
      <c r="HC36" s="134" t="str">
        <f t="shared" si="103"/>
        <v>#REF!</v>
      </c>
      <c r="HD36" s="135" t="str">
        <f>IF(ISNA(VLOOKUP(A36,'Données projet (1)'!$A$269:$I$289,5,0)),0%,VLOOKUP(A36,'Données projet (1)'!$A$269:$I$289,5,0)*VLOOKUP('Données projet (1)'!$B$18,'Paramètres (1)'!$A$1:$I$88,7,0))</f>
        <v>#REF!</v>
      </c>
      <c r="HE36" s="135" t="str">
        <f>IF(ISNA(VLOOKUP(A36,'Données projet (1)'!$A$269:$I$289,6,0)),0%,VLOOKUP(A36,'Données projet (1)'!$A$269:$I$289,6,0)*VLOOKUP('Données projet (1)'!$B$18,'Paramètres (1)'!$A$1:$I$88,7,0))</f>
        <v>#REF!</v>
      </c>
      <c r="HF36" s="135" t="str">
        <f t="shared" si="104"/>
        <v>#REF!</v>
      </c>
      <c r="HG36" s="142" t="str">
        <f>EXP(-LN(2)/35)*HG35+(1-EXP(-LN(2)/35))/(LN(2)/35)*HC36*HD36*VLOOKUP('Données projet (1)'!$B$18,'Paramètres (1)'!$A$1:$I$88,3,0)*0.475*44/12</f>
        <v>#REF!</v>
      </c>
      <c r="HH36" s="142" t="str">
        <f>EXP(-LN(2)/25)*HH35+(1-EXP(-LN(2)/25))/(LN(2)/25)*'Calculateur (1)'!HC36*'Calculateur (1)'!HE36*VLOOKUP('Données projet (1)'!$B$18,'Paramètres (1)'!$A$1:$I$88,3,0)*0.475*44/12</f>
        <v>#REF!</v>
      </c>
      <c r="HI36" s="142" t="str">
        <f>EXP(-LN(2)/2)*HI35+(1-EXP(-LN(2)/2))/(LN(2)/2)*HC36*HF36*VLOOKUP('Données projet (1)'!$B$18,'Paramètres (1)'!$A$1:$I$88,3,0)*0.475*44/12</f>
        <v>#REF!</v>
      </c>
      <c r="HJ36" s="143" t="str">
        <f t="shared" si="105"/>
        <v>#REF!</v>
      </c>
    </row>
    <row r="37" ht="14.25" customHeight="1">
      <c r="A37" s="125">
        <f t="shared" si="106"/>
        <v>34</v>
      </c>
      <c r="B37" s="126" t="str">
        <f t="shared" si="1"/>
        <v>#REF!</v>
      </c>
      <c r="C37" s="140" t="str">
        <f>'Calculateur (1)'!C36+'Scénario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7" s="127">
        <f t="shared" si="107"/>
        <v>0</v>
      </c>
      <c r="E37" s="127" t="str">
        <f t="shared" si="2"/>
        <v>#REF!</v>
      </c>
      <c r="F37" s="127" t="str">
        <f t="shared" si="3"/>
        <v>#REF!</v>
      </c>
      <c r="G37" s="127" t="str">
        <f t="shared" si="4"/>
        <v>#REF!</v>
      </c>
      <c r="H37" s="128" t="str">
        <f t="shared" si="5"/>
        <v>#REF!</v>
      </c>
      <c r="I37" s="129" t="str">
        <f t="shared" si="6"/>
        <v>#REF!</v>
      </c>
      <c r="J37" s="130">
        <f t="shared" si="7"/>
        <v>10</v>
      </c>
      <c r="K37" s="131" t="str">
        <f t="shared" si="108"/>
        <v>#REF!</v>
      </c>
      <c r="L37" s="131" t="str">
        <f t="shared" si="8"/>
        <v>#REF!</v>
      </c>
      <c r="M37" s="131" t="str">
        <f t="array" ref="M37">INDEX(L:L,MIN(IF(ISNUMBER(L37:L233),ROW(L37:L233),"")))</f>
        <v/>
      </c>
      <c r="N37" s="130" t="str">
        <f t="shared" si="109"/>
        <v>#REF!</v>
      </c>
      <c r="O37" s="130" t="str">
        <f>N37*VLOOKUP('Données projet (1)'!$B$9,'Paramètres (1)'!$A$1:$I$88,3,0)*VLOOKUP('Données projet (1)'!$B$9,'Paramètres (1)'!$A$1:$I$88,5,0)</f>
        <v>#REF!</v>
      </c>
      <c r="P37" s="130" t="str">
        <f t="shared" si="110"/>
        <v>#REF!</v>
      </c>
      <c r="Q37" s="141" t="str">
        <f t="shared" si="9"/>
        <v>#REF!</v>
      </c>
      <c r="R37" s="133" t="str">
        <f t="shared" si="10"/>
        <v>#REF!</v>
      </c>
      <c r="S37" s="133" t="str">
        <f t="shared" si="11"/>
        <v>#REF!</v>
      </c>
      <c r="T37" s="133" t="str">
        <f t="shared" si="111"/>
        <v>#REF!</v>
      </c>
      <c r="U37" s="134" t="str">
        <f t="shared" si="12"/>
        <v>#REF!</v>
      </c>
      <c r="V37" s="134" t="str">
        <f t="shared" si="13"/>
        <v>#REF!</v>
      </c>
      <c r="W37" s="135" t="str">
        <f>IF(ISNA(VLOOKUP(A37,'Données projet (1)'!$A$35:$I$55,5,0)),0%,VLOOKUP(A37,'Données projet (1)'!$A$35:$I$55,5,0)*VLOOKUP('Données projet (1)'!$B$9,'Paramètres (1)'!$A$1:$I$88,7,0))</f>
        <v>#REF!</v>
      </c>
      <c r="X37" s="135" t="str">
        <f>IF(ISNA(VLOOKUP(A37,'Données projet (1)'!$A$35:$I$55,6,0)),0%,VLOOKUP(A37,'Données projet (1)'!$A$35:$I$55,6,0)*VLOOKUP('Données projet (1)'!$B$9,'Paramètres (1)'!$A$1:$I$88,7,0))</f>
        <v>#REF!</v>
      </c>
      <c r="Y37" s="135" t="str">
        <f t="shared" si="14"/>
        <v>#REF!</v>
      </c>
      <c r="Z37" s="142" t="str">
        <f>EXP(-LN(2)/35)*Z36+(1-EXP(-LN(2)/35))/(LN(2)/35)*V37*W37*VLOOKUP('Données projet (1)'!$B$9,'Paramètres (1)'!$A$1:$I$88,3,0)*0.475*44/12</f>
        <v>#REF!</v>
      </c>
      <c r="AA37" s="142" t="str">
        <f>EXP(-LN(2)/25)*AA36+(1-EXP(-LN(2)/25))/(LN(2)/25)*'Calculateur (1)'!V37*'Calculateur (1)'!X37*VLOOKUP('Données projet (1)'!$B$9,'Paramètres (1)'!$A$1:$I$88,3,0)*0.475*44/12</f>
        <v>#REF!</v>
      </c>
      <c r="AB37" s="142" t="str">
        <f>EXP(-LN(2)/2)*AB36+(1-EXP(-LN(2)/2))/(LN(2)/2)*V37*Y37*VLOOKUP('Données projet (1)'!$B$9,'Paramètres (1)'!$A$1:$I$88,3,0)*0.475*44/12</f>
        <v>#REF!</v>
      </c>
      <c r="AC37" s="143" t="str">
        <f t="shared" si="15"/>
        <v>#REF!</v>
      </c>
      <c r="AD37" s="130" t="str">
        <f t="shared" si="16"/>
        <v>#REF!</v>
      </c>
      <c r="AE37" s="130">
        <f t="shared" si="17"/>
        <v>10</v>
      </c>
      <c r="AF37" s="131" t="str">
        <f t="shared" si="112"/>
        <v>#REF!</v>
      </c>
      <c r="AG37" s="131" t="str">
        <f t="shared" si="18"/>
        <v>#REF!</v>
      </c>
      <c r="AH37" s="131" t="str">
        <f t="array" ref="AH37">INDEX(AG:AG,MIN(IF(ISNUMBER(AG37:AG233),ROW(AG37:AG233),"")))</f>
        <v/>
      </c>
      <c r="AI37" s="130" t="str">
        <f t="shared" si="113"/>
        <v>#REF!</v>
      </c>
      <c r="AJ37" s="130" t="str">
        <f>AI37*VLOOKUP('Données projet (1)'!$B$10,'Paramètres (1)'!$A$1:$I$88,3,0)*VLOOKUP('Données projet (1)'!$B$10,'Paramètres (1)'!$A$1:$I$88,5,0)</f>
        <v>#REF!</v>
      </c>
      <c r="AK37" s="130" t="str">
        <f t="shared" si="114"/>
        <v>#REF!</v>
      </c>
      <c r="AL37" s="141" t="str">
        <f t="shared" si="19"/>
        <v>#REF!</v>
      </c>
      <c r="AM37" s="133" t="str">
        <f t="shared" si="20"/>
        <v>#REF!</v>
      </c>
      <c r="AN37" s="133" t="str">
        <f t="shared" si="21"/>
        <v>#REF!</v>
      </c>
      <c r="AO37" s="133" t="str">
        <f t="shared" si="115"/>
        <v>#REF!</v>
      </c>
      <c r="AP37" s="134" t="str">
        <f t="shared" si="22"/>
        <v>#REF!</v>
      </c>
      <c r="AQ37" s="134" t="str">
        <f t="shared" si="23"/>
        <v>#REF!</v>
      </c>
      <c r="AR37" s="135" t="str">
        <f>IF(ISNA(VLOOKUP(A37,'Données projet (1)'!$A$61:$I$81,5,0)),0%,VLOOKUP(A37,'Données projet (1)'!$A$61:$I$81,5,0)*VLOOKUP('Données projet (1)'!$B$10,'Paramètres (1)'!$A$1:$I$88,7,0))</f>
        <v>#REF!</v>
      </c>
      <c r="AS37" s="135" t="str">
        <f>IF(ISNA(VLOOKUP(A37,'Données projet (1)'!$A$61:$I$81,6,0)),0%,VLOOKUP(A37,'Données projet (1)'!$A$61:$I$81,6,0)*VLOOKUP('Données projet (1)'!$B$10,'Paramètres (1)'!$A$1:$I$88,7,0))</f>
        <v>#REF!</v>
      </c>
      <c r="AT37" s="135" t="str">
        <f t="shared" si="24"/>
        <v>#REF!</v>
      </c>
      <c r="AU37" s="142" t="str">
        <f>EXP(-LN(2)/35)*AU36+(1-EXP(-LN(2)/35))/(LN(2)/35)*AQ37*AR37*VLOOKUP('Données projet (1)'!$B$10,'Paramètres (1)'!$A$1:$I$88,3,0)*0.475*44/12</f>
        <v>#REF!</v>
      </c>
      <c r="AV37" s="142" t="str">
        <f>EXP(-LN(2)/25)*AV36+(1-EXP(-LN(2)/25))/(LN(2)/25)*'Calculateur (1)'!AQ37*'Calculateur (1)'!AS37*VLOOKUP('Données projet (1)'!$B$10,'Paramètres (1)'!$A$1:$I$88,3,0)*0.475*44/12</f>
        <v>#REF!</v>
      </c>
      <c r="AW37" s="142" t="str">
        <f>EXP(-LN(2)/2)*AW36+(1-EXP(-LN(2)/2))/(LN(2)/2)*AQ37*AT37*VLOOKUP('Données projet (1)'!$B$10,'Paramètres (1)'!$A$1:$I$88,3,0)*0.475*44/12</f>
        <v>#REF!</v>
      </c>
      <c r="AX37" s="142" t="str">
        <f t="shared" si="25"/>
        <v>#REF!</v>
      </c>
      <c r="AY37" s="137" t="str">
        <f t="shared" si="26"/>
        <v>#REF!</v>
      </c>
      <c r="AZ37" s="131">
        <f t="shared" si="27"/>
        <v>10</v>
      </c>
      <c r="BA37" s="131" t="str">
        <f t="shared" si="116"/>
        <v>#REF!</v>
      </c>
      <c r="BB37" s="131" t="str">
        <f t="shared" si="28"/>
        <v>#REF!</v>
      </c>
      <c r="BC37" s="131" t="str">
        <f t="array" ref="BC37">INDEX(BB:BB,MIN(IF(ISNUMBER(BB37:BB233),ROW(BB37:BB233),"")))</f>
        <v/>
      </c>
      <c r="BD37" s="131" t="str">
        <f t="shared" si="117"/>
        <v>#REF!</v>
      </c>
      <c r="BE37" s="130" t="str">
        <f>BD37*VLOOKUP('Données projet (1)'!$B$11,'Paramètres (1)'!$A$1:$I$88,3,0)*VLOOKUP('Données projet (1)'!$B$11,'Paramètres (1)'!$A$1:$I$88,5,0)</f>
        <v>#REF!</v>
      </c>
      <c r="BF37" s="130" t="str">
        <f t="shared" si="118"/>
        <v>#REF!</v>
      </c>
      <c r="BG37" s="141" t="str">
        <f t="shared" si="29"/>
        <v>#REF!</v>
      </c>
      <c r="BH37" s="133" t="str">
        <f t="shared" si="30"/>
        <v>#REF!</v>
      </c>
      <c r="BI37" s="133" t="str">
        <f t="shared" si="31"/>
        <v>#REF!</v>
      </c>
      <c r="BJ37" s="133" t="str">
        <f t="shared" si="119"/>
        <v>#REF!</v>
      </c>
      <c r="BK37" s="134" t="str">
        <f t="shared" si="32"/>
        <v>#REF!</v>
      </c>
      <c r="BL37" s="134" t="str">
        <f t="shared" si="33"/>
        <v>#REF!</v>
      </c>
      <c r="BM37" s="135" t="str">
        <f>IF(ISNA(VLOOKUP(A37,'Données projet (1)'!$A$87:$I$107,5,0)),0%,VLOOKUP(A37,'Données projet (1)'!$A$87:$I$107,5,0)*VLOOKUP('Données projet (1)'!$B$11,'Paramètres (1)'!$A$1:$I$88,7,0))</f>
        <v>#REF!</v>
      </c>
      <c r="BN37" s="135" t="str">
        <f>IF(ISNA(VLOOKUP(A37,'Données projet (1)'!$A$87:$I$107,6,0)),0%,VLOOKUP(A37,'Données projet (1)'!$A$87:$I$107,6,0)*VLOOKUP('Données projet (1)'!$B$11,'Paramètres (1)'!$A$1:$I$88,7,0))</f>
        <v>#REF!</v>
      </c>
      <c r="BO37" s="135" t="str">
        <f t="shared" si="34"/>
        <v>#REF!</v>
      </c>
      <c r="BP37" s="142" t="str">
        <f>EXP(-LN(2)/35)*BP36+(1-EXP(-LN(2)/35))/(LN(2)/35)*BL37*BM37*VLOOKUP('Données projet (1)'!$B$11,'Paramètres (1)'!$A$1:$I$88,3,0)*0.475*44/12</f>
        <v>#REF!</v>
      </c>
      <c r="BQ37" s="142" t="str">
        <f>EXP(-LN(2)/25)*BQ36+(1-EXP(-LN(2)/25))/(LN(2)/25)*'Calculateur (1)'!BL37*'Calculateur (1)'!BN37*VLOOKUP('Données projet (1)'!$B$11,'Paramètres (1)'!$A$1:$I$88,3,0)*0.475*44/12</f>
        <v>#REF!</v>
      </c>
      <c r="BR37" s="142" t="str">
        <f>EXP(-LN(2)/2)*BR36+(1-EXP(-LN(2)/2))/(LN(2)/2)*BL37*BO37*VLOOKUP('Données projet (1)'!$B$11,'Paramètres (1)'!$A$1:$I$88,3,0)*0.475*44/12</f>
        <v>#REF!</v>
      </c>
      <c r="BS37" s="143" t="str">
        <f t="shared" si="35"/>
        <v>#REF!</v>
      </c>
      <c r="BT37" s="139" t="str">
        <f t="shared" si="36"/>
        <v>#REF!</v>
      </c>
      <c r="BU37" s="131">
        <f t="shared" si="37"/>
        <v>10</v>
      </c>
      <c r="BV37" s="131" t="str">
        <f t="shared" si="120"/>
        <v>#REF!</v>
      </c>
      <c r="BW37" s="131" t="str">
        <f t="shared" si="38"/>
        <v>#REF!</v>
      </c>
      <c r="BX37" s="131" t="str">
        <f t="array" ref="BX37">INDEX(BW:BW,MIN(IF(ISNUMBER(BW37:BW233),ROW(BW37:BW233),"")))</f>
        <v/>
      </c>
      <c r="BY37" s="131" t="str">
        <f t="shared" si="121"/>
        <v>#REF!</v>
      </c>
      <c r="BZ37" s="130" t="str">
        <f>BY37*VLOOKUP('Données projet (1)'!$B$12,'Paramètres (1)'!$A$1:$I$88,3,0)*VLOOKUP('Données projet (1)'!$B$12,'Paramètres (1)'!$A$1:$I$88,5,0)</f>
        <v>#REF!</v>
      </c>
      <c r="CA37" s="130" t="str">
        <f t="shared" si="122"/>
        <v>#REF!</v>
      </c>
      <c r="CB37" s="141" t="str">
        <f t="shared" si="39"/>
        <v>#REF!</v>
      </c>
      <c r="CC37" s="133" t="str">
        <f t="shared" si="40"/>
        <v>#REF!</v>
      </c>
      <c r="CD37" s="133" t="str">
        <f t="shared" si="41"/>
        <v>#REF!</v>
      </c>
      <c r="CE37" s="133" t="str">
        <f t="shared" si="123"/>
        <v>#REF!</v>
      </c>
      <c r="CF37" s="134" t="str">
        <f t="shared" si="42"/>
        <v>#REF!</v>
      </c>
      <c r="CG37" s="134" t="str">
        <f t="shared" si="43"/>
        <v>#REF!</v>
      </c>
      <c r="CH37" s="135" t="str">
        <f>IF(ISNA(VLOOKUP(A37,'Données projet (1)'!$A$113:$I$133,5,0)),0%,VLOOKUP(A37,'Données projet (1)'!$A$113:$I$133,5,0)*VLOOKUP('Données projet (1)'!$B$12,'Paramètres (1)'!$A$1:$I$88,7,0))</f>
        <v>#REF!</v>
      </c>
      <c r="CI37" s="135" t="str">
        <f>IF(ISNA(VLOOKUP(A37,'Données projet (1)'!$A$113:$I$133,6,0)),0%,VLOOKUP(A37,'Données projet (1)'!$A$113:$I$133,6,0)*VLOOKUP('Données projet (1)'!$B$12,'Paramètres (1)'!$A$1:$I$88,7,0))</f>
        <v>#REF!</v>
      </c>
      <c r="CJ37" s="135" t="str">
        <f t="shared" si="44"/>
        <v>#REF!</v>
      </c>
      <c r="CK37" s="142" t="str">
        <f>EXP(-LN(2)/35)*CK36+(1-EXP(-LN(2)/35))/(LN(2)/35)*CG37*CH37*VLOOKUP('Données projet (1)'!$B$12,'Paramètres (1)'!$A$1:$I$88,3,0)*0.475*44/12</f>
        <v>#REF!</v>
      </c>
      <c r="CL37" s="142" t="str">
        <f>EXP(-LN(2)/25)*CL36+(1-EXP(-LN(2)/25))/(LN(2)/25)*'Calculateur (1)'!CG37*'Calculateur (1)'!CI37*VLOOKUP('Données projet (1)'!$B$12,'Paramètres (1)'!$A$1:$I$88,3,0)*0.475*44/12</f>
        <v>#REF!</v>
      </c>
      <c r="CM37" s="142" t="str">
        <f>EXP(-LN(2)/2)*CM36+(1-EXP(-LN(2)/2))/(LN(2)/2)*CG37*CJ37*VLOOKUP('Données projet (1)'!$B$12,'Paramètres (1)'!$A$1:$I$88,3,0)*0.475*44/12</f>
        <v>#REF!</v>
      </c>
      <c r="CN37" s="143" t="str">
        <f t="shared" si="45"/>
        <v>#REF!</v>
      </c>
      <c r="CO37" s="139" t="str">
        <f t="shared" si="46"/>
        <v>#REF!</v>
      </c>
      <c r="CP37" s="131">
        <f t="shared" si="47"/>
        <v>10</v>
      </c>
      <c r="CQ37" s="131" t="str">
        <f t="shared" si="124"/>
        <v>#REF!</v>
      </c>
      <c r="CR37" s="131" t="str">
        <f t="shared" si="48"/>
        <v>#REF!</v>
      </c>
      <c r="CS37" s="131" t="str">
        <f t="array" ref="CS37">INDEX(CR:CR,MIN(IF(ISNUMBER(CR37:CR233),ROW(CR37:CR233),"")))</f>
        <v/>
      </c>
      <c r="CT37" s="131" t="str">
        <f t="shared" si="125"/>
        <v>#REF!</v>
      </c>
      <c r="CU37" s="138" t="str">
        <f>CT37*VLOOKUP('Données projet (1)'!$B$13,'Paramètres (1)'!$A$1:$I$88,3,0)*VLOOKUP('Données projet (1)'!$B$13,'Paramètres (1)'!$A$1:$I$88,5,0)</f>
        <v>#REF!</v>
      </c>
      <c r="CV37" s="130" t="str">
        <f t="shared" si="126"/>
        <v>#REF!</v>
      </c>
      <c r="CW37" s="141" t="str">
        <f t="shared" si="49"/>
        <v>#REF!</v>
      </c>
      <c r="CX37" s="133" t="str">
        <f t="shared" si="50"/>
        <v>#REF!</v>
      </c>
      <c r="CY37" s="133" t="str">
        <f t="shared" si="51"/>
        <v>#REF!</v>
      </c>
      <c r="CZ37" s="133" t="str">
        <f t="shared" si="127"/>
        <v>#REF!</v>
      </c>
      <c r="DA37" s="134" t="str">
        <f t="shared" si="52"/>
        <v>#REF!</v>
      </c>
      <c r="DB37" s="134" t="str">
        <f t="shared" si="53"/>
        <v>#REF!</v>
      </c>
      <c r="DC37" s="135" t="str">
        <f>IF(ISNA(VLOOKUP(A37,'Données projet (1)'!$A$139:$I$159,5,0)),0%,VLOOKUP(A37,'Données projet (1)'!$A$139:$I$159,5,0)*VLOOKUP('Données projet (1)'!$B$13,'Paramètres (1)'!$A$1:$I$88,7,0))</f>
        <v>#REF!</v>
      </c>
      <c r="DD37" s="135" t="str">
        <f>IF(ISNA(VLOOKUP(A37,'Données projet (1)'!$A$139:$I$159,6,0)),0%,VLOOKUP(A37,'Données projet (1)'!$A$139:$I$159,6,0)*VLOOKUP('Données projet (1)'!$B$13,'Paramètres (1)'!$A$1:$I$88,7,0))</f>
        <v>#REF!</v>
      </c>
      <c r="DE37" s="135" t="str">
        <f t="shared" si="54"/>
        <v>#REF!</v>
      </c>
      <c r="DF37" s="142" t="str">
        <f>EXP(-LN(2)/35)*DF36+(1-EXP(-LN(2)/35))/(LN(2)/35)*DB37*DC37*VLOOKUP('Données projet (1)'!$B$13,'Paramètres (1)'!$A$1:$I$88,3,0)*0.475*44/12</f>
        <v>#REF!</v>
      </c>
      <c r="DG37" s="142" t="str">
        <f>EXP(-LN(2)/25)*DG36+(1-EXP(-LN(2)/25))/(LN(2)/25)*'Calculateur (1)'!DB37*'Calculateur (1)'!DD37*VLOOKUP('Données projet (1)'!$B$13,'Paramètres (1)'!$A$1:$I$88,3,0)*0.475*44/12</f>
        <v>#REF!</v>
      </c>
      <c r="DH37" s="142" t="str">
        <f>EXP(-LN(2)/2)*DH36+(1-EXP(-LN(2)/2))/(LN(2)/2)*DB37*DE37*VLOOKUP('Données projet (1)'!$B$13,'Paramètres (1)'!$A$1:$I$88,3,0)*0.475*44/12</f>
        <v>#REF!</v>
      </c>
      <c r="DI37" s="143" t="str">
        <f t="shared" si="55"/>
        <v>#REF!</v>
      </c>
      <c r="DJ37" s="139" t="str">
        <f t="shared" si="56"/>
        <v>#REF!</v>
      </c>
      <c r="DK37" s="131">
        <f t="shared" si="57"/>
        <v>10</v>
      </c>
      <c r="DL37" s="131" t="str">
        <f t="shared" si="128"/>
        <v>#REF!</v>
      </c>
      <c r="DM37" s="131" t="str">
        <f t="shared" si="58"/>
        <v>#REF!</v>
      </c>
      <c r="DN37" s="131" t="str">
        <f t="array" ref="DN37">INDEX(DM:DM,MIN(IF(ISNUMBER(DM37:DM233),ROW(DM37:DM233),"")))</f>
        <v/>
      </c>
      <c r="DO37" s="131" t="str">
        <f t="shared" si="129"/>
        <v>#REF!</v>
      </c>
      <c r="DP37" s="138" t="str">
        <f>DO37*VLOOKUP('Données projet (1)'!$B$14,'Paramètres (1)'!$A$1:$I$88,3,0)*VLOOKUP('Données projet (1)'!$B$14,'Paramètres (1)'!$A$1:$I$88,5,0)</f>
        <v>#REF!</v>
      </c>
      <c r="DQ37" s="130" t="str">
        <f t="shared" si="130"/>
        <v>#REF!</v>
      </c>
      <c r="DR37" s="141" t="str">
        <f t="shared" si="59"/>
        <v>#REF!</v>
      </c>
      <c r="DS37" s="133" t="str">
        <f t="shared" si="60"/>
        <v>#REF!</v>
      </c>
      <c r="DT37" s="133" t="str">
        <f t="shared" si="61"/>
        <v>#REF!</v>
      </c>
      <c r="DU37" s="133" t="str">
        <f t="shared" si="131"/>
        <v>#REF!</v>
      </c>
      <c r="DV37" s="134" t="str">
        <f t="shared" si="62"/>
        <v>#REF!</v>
      </c>
      <c r="DW37" s="134" t="str">
        <f t="shared" si="63"/>
        <v>#REF!</v>
      </c>
      <c r="DX37" s="135" t="str">
        <f>IF(ISNA(VLOOKUP(A37,'Données projet (1)'!$A$165:$I$185,5,0)),0%,VLOOKUP(A37,'Données projet (1)'!$A$165:$I$185,5,0)*VLOOKUP('Données projet (1)'!$B$14,'Paramètres (1)'!$A$1:$I$88,7,0))</f>
        <v>#REF!</v>
      </c>
      <c r="DY37" s="135" t="str">
        <f>IF(ISNA(VLOOKUP(A37,'Données projet (1)'!$A$165:$I$185,6,0)),0%,VLOOKUP(A37,'Données projet (1)'!$A$165:$I$185,6,0)*VLOOKUP('Données projet (1)'!$B$14,'Paramètres (1)'!$A$1:$I$88,7,0))</f>
        <v>#REF!</v>
      </c>
      <c r="DZ37" s="135" t="str">
        <f t="shared" si="64"/>
        <v>#REF!</v>
      </c>
      <c r="EA37" s="142" t="str">
        <f>EXP(-LN(2)/35)*EA36+(1-EXP(-LN(2)/35))/(LN(2)/35)*DW37*DX37*VLOOKUP('Données projet (1)'!$B$14,'Paramètres (1)'!$A$1:$I$88,3,0)*0.475*44/12</f>
        <v>#REF!</v>
      </c>
      <c r="EB37" s="142" t="str">
        <f>EXP(-LN(2)/25)*EB36+(1-EXP(-LN(2)/25))/(LN(2)/25)*'Calculateur (1)'!DW37*'Calculateur (1)'!DY37*VLOOKUP('Données projet (1)'!$B$14,'Paramètres (1)'!$A$1:$I$88,3,0)*0.475*44/12</f>
        <v>#REF!</v>
      </c>
      <c r="EC37" s="142" t="str">
        <f>EXP(-LN(2)/2)*EC36+(1-EXP(-LN(2)/2))/(LN(2)/2)*DW37*DZ37*VLOOKUP('Données projet (1)'!$B$14,'Paramètres (1)'!$A$1:$I$88,3,0)*0.475*44/12</f>
        <v>#REF!</v>
      </c>
      <c r="ED37" s="143" t="str">
        <f t="shared" si="65"/>
        <v>#REF!</v>
      </c>
      <c r="EE37" s="139" t="str">
        <f t="shared" si="66"/>
        <v>#REF!</v>
      </c>
      <c r="EF37" s="131">
        <f t="shared" si="67"/>
        <v>10</v>
      </c>
      <c r="EG37" s="131" t="str">
        <f t="shared" si="132"/>
        <v>#REF!</v>
      </c>
      <c r="EH37" s="131" t="str">
        <f t="shared" si="68"/>
        <v>#REF!</v>
      </c>
      <c r="EI37" s="131" t="str">
        <f t="array" ref="EI37">INDEX(EH:EH,MIN(IF(ISNUMBER(EH37:EH233),ROW(EH37:EH233),"")))</f>
        <v/>
      </c>
      <c r="EJ37" s="131" t="str">
        <f t="shared" si="133"/>
        <v>#REF!</v>
      </c>
      <c r="EK37" s="138" t="str">
        <f>EJ37*VLOOKUP('Données projet (1)'!$B$15,'Paramètres (1)'!$A$1:$I$88,3,0)*VLOOKUP('Données projet (1)'!$B$15,'Paramètres (1)'!$A$1:$I$88,5,0)</f>
        <v>#REF!</v>
      </c>
      <c r="EL37" s="130" t="str">
        <f t="shared" si="134"/>
        <v>#REF!</v>
      </c>
      <c r="EM37" s="141" t="str">
        <f t="shared" si="69"/>
        <v>#REF!</v>
      </c>
      <c r="EN37" s="133" t="str">
        <f t="shared" si="70"/>
        <v>#REF!</v>
      </c>
      <c r="EO37" s="133" t="str">
        <f t="shared" si="71"/>
        <v>#REF!</v>
      </c>
      <c r="EP37" s="133" t="str">
        <f t="shared" si="135"/>
        <v>#REF!</v>
      </c>
      <c r="EQ37" s="134" t="str">
        <f t="shared" si="72"/>
        <v>#REF!</v>
      </c>
      <c r="ER37" s="134" t="str">
        <f t="shared" si="73"/>
        <v>#REF!</v>
      </c>
      <c r="ES37" s="135" t="str">
        <f>IF(ISNA(VLOOKUP(A37,'Données projet (1)'!$A$191:$I$211,5,0)),0%,VLOOKUP(A37,'Données projet (1)'!$A$191:$I$211,5,0)*VLOOKUP('Données projet (1)'!$B$15,'Paramètres (1)'!$A$1:$I$88,7,0))</f>
        <v>#REF!</v>
      </c>
      <c r="ET37" s="135" t="str">
        <f>IF(ISNA(VLOOKUP(A37,'Données projet (1)'!$A$191:$I$211,6,0)),0%,VLOOKUP(A37,'Données projet (1)'!$A$191:$I$211,6,0)*VLOOKUP('Données projet (1)'!$B$15,'Paramètres (1)'!$A$1:$I$88,7,0))</f>
        <v>#REF!</v>
      </c>
      <c r="EU37" s="135" t="str">
        <f t="shared" si="74"/>
        <v>#REF!</v>
      </c>
      <c r="EV37" s="142" t="str">
        <f>EXP(-LN(2)/35)*EV36+(1-EXP(-LN(2)/35))/(LN(2)/35)*ER37*ES37*VLOOKUP('Données projet (1)'!$B$15,'Paramètres (1)'!$A$1:$I$88,3,0)*0.475*44/12</f>
        <v>#REF!</v>
      </c>
      <c r="EW37" s="142" t="str">
        <f>EXP(-LN(2)/25)*EW36+(1-EXP(-LN(2)/25))/(LN(2)/25)*'Calculateur (1)'!ER37*'Calculateur (1)'!ET37*VLOOKUP('Données projet (1)'!$B$15,'Paramètres (1)'!$A$1:$I$88,3,0)*0.475*44/12</f>
        <v>#REF!</v>
      </c>
      <c r="EX37" s="142" t="str">
        <f>EXP(-LN(2)/2)*EX36+(1-EXP(-LN(2)/2))/(LN(2)/2)*ER37*EU37*VLOOKUP('Données projet (1)'!$B$15,'Paramètres (1)'!$A$1:$I$88,3,0)*0.475*44/12</f>
        <v>#REF!</v>
      </c>
      <c r="EY37" s="143" t="str">
        <f t="shared" si="75"/>
        <v>#REF!</v>
      </c>
      <c r="EZ37" s="139" t="str">
        <f t="shared" si="76"/>
        <v>#REF!</v>
      </c>
      <c r="FA37" s="131">
        <f t="shared" si="77"/>
        <v>10</v>
      </c>
      <c r="FB37" s="131" t="str">
        <f t="shared" si="136"/>
        <v>#REF!</v>
      </c>
      <c r="FC37" s="131" t="str">
        <f t="shared" si="78"/>
        <v>#REF!</v>
      </c>
      <c r="FD37" s="131" t="str">
        <f t="array" ref="FD37">INDEX(FC:FC,MIN(IF(ISNUMBER(FC37:FC233),ROW(FC37:FC233),"")))</f>
        <v/>
      </c>
      <c r="FE37" s="131" t="str">
        <f t="shared" si="137"/>
        <v>#REF!</v>
      </c>
      <c r="FF37" s="138" t="str">
        <f>FE37*VLOOKUP('Données projet (1)'!$B$16,'Paramètres (1)'!$A$1:$I$88,3,0)*VLOOKUP('Données projet (1)'!$B$16,'Paramètres (1)'!$A$1:$I$88,5,0)</f>
        <v>#REF!</v>
      </c>
      <c r="FG37" s="130" t="str">
        <f t="shared" si="138"/>
        <v>#REF!</v>
      </c>
      <c r="FH37" s="141" t="str">
        <f t="shared" si="79"/>
        <v>#REF!</v>
      </c>
      <c r="FI37" s="133" t="str">
        <f t="shared" si="80"/>
        <v>#REF!</v>
      </c>
      <c r="FJ37" s="133" t="str">
        <f t="shared" si="81"/>
        <v>#REF!</v>
      </c>
      <c r="FK37" s="133" t="str">
        <f t="shared" si="139"/>
        <v>#REF!</v>
      </c>
      <c r="FL37" s="134" t="str">
        <f t="shared" si="82"/>
        <v>#REF!</v>
      </c>
      <c r="FM37" s="134" t="str">
        <f t="shared" si="83"/>
        <v>#REF!</v>
      </c>
      <c r="FN37" s="135" t="str">
        <f>IF(ISNA(VLOOKUP(A37,'Données projet (1)'!$A$217:$I$237,5,0)),0%,VLOOKUP(A37,'Données projet (1)'!$A$217:$I$237,5,0)*VLOOKUP('Données projet (1)'!$B$16,'Paramètres (1)'!$A$1:$I$88,7,0))</f>
        <v>#REF!</v>
      </c>
      <c r="FO37" s="135" t="str">
        <f>IF(ISNA(VLOOKUP(A37,'Données projet (1)'!$A$217:$I$237,6,0)),0%,VLOOKUP(A37,'Données projet (1)'!$A$217:$I$237,6,0)*VLOOKUP('Données projet (1)'!$B$16,'Paramètres (1)'!$A$1:$I$88,7,0))</f>
        <v>#REF!</v>
      </c>
      <c r="FP37" s="135" t="str">
        <f t="shared" si="84"/>
        <v>#REF!</v>
      </c>
      <c r="FQ37" s="142" t="str">
        <f>EXP(-LN(2)/35)*FQ36+(1-EXP(-LN(2)/35))/(LN(2)/35)*FM37*FN37*VLOOKUP('Données projet (1)'!$B$16,'Paramètres (1)'!$A$1:$I$88,3,0)*0.475*44/12</f>
        <v>#REF!</v>
      </c>
      <c r="FR37" s="142" t="str">
        <f>EXP(-LN(2)/25)*FR36+(1-EXP(-LN(2)/25))/(LN(2)/25)*'Calculateur (1)'!FM37*'Calculateur (1)'!FO37*VLOOKUP('Données projet (1)'!$B$16,'Paramètres (1)'!$A$1:$I$88,3,0)*0.475*44/12</f>
        <v>#REF!</v>
      </c>
      <c r="FS37" s="142" t="str">
        <f>EXP(-LN(2)/2)*FS36+(1-EXP(-LN(2)/2))/(LN(2)/2)*FM37*FP37*VLOOKUP('Données projet (1)'!$B$16,'Paramètres (1)'!$A$1:$I$88,3,0)*0.475*44/12</f>
        <v>#REF!</v>
      </c>
      <c r="FT37" s="143" t="str">
        <f t="shared" si="85"/>
        <v>#REF!</v>
      </c>
      <c r="FU37" s="139" t="str">
        <f t="shared" si="86"/>
        <v>#REF!</v>
      </c>
      <c r="FV37" s="131">
        <f t="shared" si="87"/>
        <v>10</v>
      </c>
      <c r="FW37" s="131" t="str">
        <f t="shared" si="140"/>
        <v>#REF!</v>
      </c>
      <c r="FX37" s="131" t="str">
        <f t="shared" si="88"/>
        <v>#REF!</v>
      </c>
      <c r="FY37" s="131" t="str">
        <f t="array" ref="FY37">INDEX(FX:FX,MIN(IF(ISNUMBER(FX37:FX233),ROW(FX37:FX233),"")))</f>
        <v/>
      </c>
      <c r="FZ37" s="131" t="str">
        <f t="shared" si="141"/>
        <v>#REF!</v>
      </c>
      <c r="GA37" s="138" t="str">
        <f>FZ37*VLOOKUP('Données projet (1)'!$B$17,'Paramètres (1)'!$A$1:$I$88,3,0)*VLOOKUP('Données projet (1)'!$B$17,'Paramètres (1)'!$A$1:$I$88,5,0)</f>
        <v>#REF!</v>
      </c>
      <c r="GB37" s="130" t="str">
        <f t="shared" si="142"/>
        <v>#REF!</v>
      </c>
      <c r="GC37" s="141" t="str">
        <f t="shared" si="89"/>
        <v>#REF!</v>
      </c>
      <c r="GD37" s="133" t="str">
        <f t="shared" si="90"/>
        <v>#REF!</v>
      </c>
      <c r="GE37" s="133" t="str">
        <f t="shared" si="91"/>
        <v>#REF!</v>
      </c>
      <c r="GF37" s="133" t="str">
        <f t="shared" si="143"/>
        <v>#REF!</v>
      </c>
      <c r="GG37" s="134" t="str">
        <f t="shared" si="92"/>
        <v>#REF!</v>
      </c>
      <c r="GH37" s="134" t="str">
        <f t="shared" si="93"/>
        <v>#REF!</v>
      </c>
      <c r="GI37" s="135" t="str">
        <f>IF(ISNA(VLOOKUP(A37,'Données projet (1)'!$A$243:$I$263,5,0)),0%,VLOOKUP(A37,'Données projet (1)'!$A$243:$I$263,5,0)*VLOOKUP('Données projet (1)'!$B$17,'Paramètres (1)'!$A$1:$I$88,7,0))</f>
        <v>#REF!</v>
      </c>
      <c r="GJ37" s="135" t="str">
        <f>IF(ISNA(VLOOKUP(A37,'Données projet (1)'!$A$243:$I$263,6,0)),0%,VLOOKUP(A37,'Données projet (1)'!$A$243:$I$263,6,0)*VLOOKUP('Données projet (1)'!$B$17,'Paramètres (1)'!$A$1:$I$88,7,0))</f>
        <v>#REF!</v>
      </c>
      <c r="GK37" s="135" t="str">
        <f t="shared" si="94"/>
        <v>#REF!</v>
      </c>
      <c r="GL37" s="142" t="str">
        <f>EXP(-LN(2)/35)*GL36+(1-EXP(-LN(2)/35))/(LN(2)/35)*GH37*GI37*VLOOKUP('Données projet (1)'!$B$17,'Paramètres (1)'!$A$1:$I$88,3,0)*0.475*44/12</f>
        <v>#REF!</v>
      </c>
      <c r="GM37" s="142" t="str">
        <f>EXP(-LN(2)/25)*GM36+(1-EXP(-LN(2)/25))/(LN(2)/25)*'Calculateur (1)'!GH37*'Calculateur (1)'!GJ37*VLOOKUP('Données projet (1)'!$B$17,'Paramètres (1)'!$A$1:$I$88,3,0)*0.475*44/12</f>
        <v>#REF!</v>
      </c>
      <c r="GN37" s="142" t="str">
        <f>EXP(-LN(2)/2)*GN36+(1-EXP(-LN(2)/2))/(LN(2)/2)*GH37*GK37*VLOOKUP('Données projet (1)'!$B$17,'Paramètres (1)'!$A$1:$I$88,3,0)*0.475*44/12</f>
        <v>#REF!</v>
      </c>
      <c r="GO37" s="142" t="str">
        <f t="shared" si="95"/>
        <v>#REF!</v>
      </c>
      <c r="GP37" s="139" t="str">
        <f t="shared" si="96"/>
        <v>#REF!</v>
      </c>
      <c r="GQ37" s="131">
        <f t="shared" si="97"/>
        <v>10</v>
      </c>
      <c r="GR37" s="131" t="str">
        <f t="shared" si="144"/>
        <v>#REF!</v>
      </c>
      <c r="GS37" s="131" t="str">
        <f t="shared" si="98"/>
        <v>#REF!</v>
      </c>
      <c r="GT37" s="131" t="str">
        <f t="array" ref="GT37">INDEX(GS:GS,MIN(IF(ISNUMBER(GS37:GS233),ROW(GS37:GS233),"")))</f>
        <v/>
      </c>
      <c r="GU37" s="131" t="str">
        <f t="shared" si="145"/>
        <v>#REF!</v>
      </c>
      <c r="GV37" s="138" t="str">
        <f>GU37*VLOOKUP('Données projet (1)'!$B$18,'Paramètres (1)'!$A$1:$I$88,3,0)*VLOOKUP('Données projet (1)'!$B$18,'Paramètres (1)'!$A$1:$I$88,5,0)</f>
        <v>#REF!</v>
      </c>
      <c r="GW37" s="130" t="str">
        <f t="shared" si="146"/>
        <v>#REF!</v>
      </c>
      <c r="GX37" s="141" t="str">
        <f t="shared" si="99"/>
        <v>#REF!</v>
      </c>
      <c r="GY37" s="133" t="str">
        <f t="shared" si="100"/>
        <v>#REF!</v>
      </c>
      <c r="GZ37" s="133" t="str">
        <f t="shared" si="101"/>
        <v>#REF!</v>
      </c>
      <c r="HA37" s="133" t="str">
        <f t="shared" si="147"/>
        <v>#REF!</v>
      </c>
      <c r="HB37" s="134" t="str">
        <f t="shared" si="102"/>
        <v>#REF!</v>
      </c>
      <c r="HC37" s="134" t="str">
        <f t="shared" si="103"/>
        <v>#REF!</v>
      </c>
      <c r="HD37" s="135" t="str">
        <f>IF(ISNA(VLOOKUP(A37,'Données projet (1)'!$A$269:$I$289,5,0)),0%,VLOOKUP(A37,'Données projet (1)'!$A$269:$I$289,5,0)*VLOOKUP('Données projet (1)'!$B$18,'Paramètres (1)'!$A$1:$I$88,7,0))</f>
        <v>#REF!</v>
      </c>
      <c r="HE37" s="135" t="str">
        <f>IF(ISNA(VLOOKUP(A37,'Données projet (1)'!$A$269:$I$289,6,0)),0%,VLOOKUP(A37,'Données projet (1)'!$A$269:$I$289,6,0)*VLOOKUP('Données projet (1)'!$B$18,'Paramètres (1)'!$A$1:$I$88,7,0))</f>
        <v>#REF!</v>
      </c>
      <c r="HF37" s="135" t="str">
        <f t="shared" si="104"/>
        <v>#REF!</v>
      </c>
      <c r="HG37" s="142" t="str">
        <f>EXP(-LN(2)/35)*HG36+(1-EXP(-LN(2)/35))/(LN(2)/35)*HC37*HD37*VLOOKUP('Données projet (1)'!$B$18,'Paramètres (1)'!$A$1:$I$88,3,0)*0.475*44/12</f>
        <v>#REF!</v>
      </c>
      <c r="HH37" s="142" t="str">
        <f>EXP(-LN(2)/25)*HH36+(1-EXP(-LN(2)/25))/(LN(2)/25)*'Calculateur (1)'!HC37*'Calculateur (1)'!HE37*VLOOKUP('Données projet (1)'!$B$18,'Paramètres (1)'!$A$1:$I$88,3,0)*0.475*44/12</f>
        <v>#REF!</v>
      </c>
      <c r="HI37" s="142" t="str">
        <f>EXP(-LN(2)/2)*HI36+(1-EXP(-LN(2)/2))/(LN(2)/2)*HC37*HF37*VLOOKUP('Données projet (1)'!$B$18,'Paramètres (1)'!$A$1:$I$88,3,0)*0.475*44/12</f>
        <v>#REF!</v>
      </c>
      <c r="HJ37" s="143" t="str">
        <f t="shared" si="105"/>
        <v>#REF!</v>
      </c>
    </row>
    <row r="38" ht="14.25" customHeight="1">
      <c r="A38" s="125">
        <f t="shared" si="106"/>
        <v>35</v>
      </c>
      <c r="B38" s="126" t="str">
        <f t="shared" si="1"/>
        <v>#REF!</v>
      </c>
      <c r="C38" s="140" t="str">
        <f>'Calculateur (1)'!C37+'Scénario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8" s="127">
        <f t="shared" si="107"/>
        <v>0</v>
      </c>
      <c r="E38" s="127" t="str">
        <f t="shared" si="2"/>
        <v>#REF!</v>
      </c>
      <c r="F38" s="127" t="str">
        <f t="shared" si="3"/>
        <v>#REF!</v>
      </c>
      <c r="G38" s="127" t="str">
        <f t="shared" si="4"/>
        <v>#REF!</v>
      </c>
      <c r="H38" s="128" t="str">
        <f t="shared" si="5"/>
        <v>#REF!</v>
      </c>
      <c r="I38" s="129" t="str">
        <f t="shared" si="6"/>
        <v>#REF!</v>
      </c>
      <c r="J38" s="130">
        <f t="shared" si="7"/>
        <v>10</v>
      </c>
      <c r="K38" s="131" t="str">
        <f t="shared" si="108"/>
        <v>#REF!</v>
      </c>
      <c r="L38" s="131" t="str">
        <f t="shared" si="8"/>
        <v>#REF!</v>
      </c>
      <c r="M38" s="131" t="str">
        <f t="array" ref="M38">INDEX(L:L,MIN(IF(ISNUMBER(L38:L234),ROW(L38:L234),"")))</f>
        <v/>
      </c>
      <c r="N38" s="130" t="str">
        <f t="shared" si="109"/>
        <v>#REF!</v>
      </c>
      <c r="O38" s="130" t="str">
        <f>N38*VLOOKUP('Données projet (1)'!$B$9,'Paramètres (1)'!$A$1:$I$88,3,0)*VLOOKUP('Données projet (1)'!$B$9,'Paramètres (1)'!$A$1:$I$88,5,0)</f>
        <v>#REF!</v>
      </c>
      <c r="P38" s="130" t="str">
        <f t="shared" si="110"/>
        <v>#REF!</v>
      </c>
      <c r="Q38" s="141" t="str">
        <f t="shared" si="9"/>
        <v>#REF!</v>
      </c>
      <c r="R38" s="133" t="str">
        <f t="shared" si="10"/>
        <v>#REF!</v>
      </c>
      <c r="S38" s="133" t="str">
        <f t="shared" si="11"/>
        <v>#REF!</v>
      </c>
      <c r="T38" s="133" t="str">
        <f t="shared" si="111"/>
        <v>#REF!</v>
      </c>
      <c r="U38" s="134" t="str">
        <f t="shared" si="12"/>
        <v>#REF!</v>
      </c>
      <c r="V38" s="134" t="str">
        <f t="shared" si="13"/>
        <v>#REF!</v>
      </c>
      <c r="W38" s="135" t="str">
        <f>IF(ISNA(VLOOKUP(A38,'Données projet (1)'!$A$35:$I$55,5,0)),0%,VLOOKUP(A38,'Données projet (1)'!$A$35:$I$55,5,0)*VLOOKUP('Données projet (1)'!$B$9,'Paramètres (1)'!$A$1:$I$88,7,0))</f>
        <v>#REF!</v>
      </c>
      <c r="X38" s="135" t="str">
        <f>IF(ISNA(VLOOKUP(A38,'Données projet (1)'!$A$35:$I$55,6,0)),0%,VLOOKUP(A38,'Données projet (1)'!$A$35:$I$55,6,0)*VLOOKUP('Données projet (1)'!$B$9,'Paramètres (1)'!$A$1:$I$88,7,0))</f>
        <v>#REF!</v>
      </c>
      <c r="Y38" s="135" t="str">
        <f t="shared" si="14"/>
        <v>#REF!</v>
      </c>
      <c r="Z38" s="142" t="str">
        <f>EXP(-LN(2)/35)*Z37+(1-EXP(-LN(2)/35))/(LN(2)/35)*V38*W38*VLOOKUP('Données projet (1)'!$B$9,'Paramètres (1)'!$A$1:$I$88,3,0)*0.475*44/12</f>
        <v>#REF!</v>
      </c>
      <c r="AA38" s="142" t="str">
        <f>EXP(-LN(2)/25)*AA37+(1-EXP(-LN(2)/25))/(LN(2)/25)*'Calculateur (1)'!V38*'Calculateur (1)'!X38*VLOOKUP('Données projet (1)'!$B$9,'Paramètres (1)'!$A$1:$I$88,3,0)*0.475*44/12</f>
        <v>#REF!</v>
      </c>
      <c r="AB38" s="142" t="str">
        <f>EXP(-LN(2)/2)*AB37+(1-EXP(-LN(2)/2))/(LN(2)/2)*V38*Y38*VLOOKUP('Données projet (1)'!$B$9,'Paramètres (1)'!$A$1:$I$88,3,0)*0.475*44/12</f>
        <v>#REF!</v>
      </c>
      <c r="AC38" s="143" t="str">
        <f t="shared" si="15"/>
        <v>#REF!</v>
      </c>
      <c r="AD38" s="130" t="str">
        <f t="shared" si="16"/>
        <v>#REF!</v>
      </c>
      <c r="AE38" s="130">
        <f t="shared" si="17"/>
        <v>10</v>
      </c>
      <c r="AF38" s="131" t="str">
        <f t="shared" si="112"/>
        <v>#REF!</v>
      </c>
      <c r="AG38" s="131" t="str">
        <f t="shared" si="18"/>
        <v>#REF!</v>
      </c>
      <c r="AH38" s="131" t="str">
        <f t="array" ref="AH38">INDEX(AG:AG,MIN(IF(ISNUMBER(AG38:AG234),ROW(AG38:AG234),"")))</f>
        <v/>
      </c>
      <c r="AI38" s="130" t="str">
        <f t="shared" si="113"/>
        <v>#REF!</v>
      </c>
      <c r="AJ38" s="130" t="str">
        <f>AI38*VLOOKUP('Données projet (1)'!$B$10,'Paramètres (1)'!$A$1:$I$88,3,0)*VLOOKUP('Données projet (1)'!$B$10,'Paramètres (1)'!$A$1:$I$88,5,0)</f>
        <v>#REF!</v>
      </c>
      <c r="AK38" s="130" t="str">
        <f t="shared" si="114"/>
        <v>#REF!</v>
      </c>
      <c r="AL38" s="141" t="str">
        <f t="shared" si="19"/>
        <v>#REF!</v>
      </c>
      <c r="AM38" s="133" t="str">
        <f t="shared" si="20"/>
        <v>#REF!</v>
      </c>
      <c r="AN38" s="133" t="str">
        <f t="shared" si="21"/>
        <v>#REF!</v>
      </c>
      <c r="AO38" s="133" t="str">
        <f t="shared" si="115"/>
        <v>#REF!</v>
      </c>
      <c r="AP38" s="134" t="str">
        <f t="shared" si="22"/>
        <v>#REF!</v>
      </c>
      <c r="AQ38" s="134" t="str">
        <f t="shared" si="23"/>
        <v>#REF!</v>
      </c>
      <c r="AR38" s="135" t="str">
        <f>IF(ISNA(VLOOKUP(A38,'Données projet (1)'!$A$61:$I$81,5,0)),0%,VLOOKUP(A38,'Données projet (1)'!$A$61:$I$81,5,0)*VLOOKUP('Données projet (1)'!$B$10,'Paramètres (1)'!$A$1:$I$88,7,0))</f>
        <v>#REF!</v>
      </c>
      <c r="AS38" s="135" t="str">
        <f>IF(ISNA(VLOOKUP(A38,'Données projet (1)'!$A$61:$I$81,6,0)),0%,VLOOKUP(A38,'Données projet (1)'!$A$61:$I$81,6,0)*VLOOKUP('Données projet (1)'!$B$10,'Paramètres (1)'!$A$1:$I$88,7,0))</f>
        <v>#REF!</v>
      </c>
      <c r="AT38" s="135" t="str">
        <f t="shared" si="24"/>
        <v>#REF!</v>
      </c>
      <c r="AU38" s="142" t="str">
        <f>EXP(-LN(2)/35)*AU37+(1-EXP(-LN(2)/35))/(LN(2)/35)*AQ38*AR38*VLOOKUP('Données projet (1)'!$B$10,'Paramètres (1)'!$A$1:$I$88,3,0)*0.475*44/12</f>
        <v>#REF!</v>
      </c>
      <c r="AV38" s="142" t="str">
        <f>EXP(-LN(2)/25)*AV37+(1-EXP(-LN(2)/25))/(LN(2)/25)*'Calculateur (1)'!AQ38*'Calculateur (1)'!AS38*VLOOKUP('Données projet (1)'!$B$10,'Paramètres (1)'!$A$1:$I$88,3,0)*0.475*44/12</f>
        <v>#REF!</v>
      </c>
      <c r="AW38" s="142" t="str">
        <f>EXP(-LN(2)/2)*AW37+(1-EXP(-LN(2)/2))/(LN(2)/2)*AQ38*AT38*VLOOKUP('Données projet (1)'!$B$10,'Paramètres (1)'!$A$1:$I$88,3,0)*0.475*44/12</f>
        <v>#REF!</v>
      </c>
      <c r="AX38" s="142" t="str">
        <f t="shared" si="25"/>
        <v>#REF!</v>
      </c>
      <c r="AY38" s="137" t="str">
        <f t="shared" si="26"/>
        <v>#REF!</v>
      </c>
      <c r="AZ38" s="131">
        <f t="shared" si="27"/>
        <v>10</v>
      </c>
      <c r="BA38" s="131" t="str">
        <f t="shared" si="116"/>
        <v>#REF!</v>
      </c>
      <c r="BB38" s="131" t="str">
        <f t="shared" si="28"/>
        <v>#REF!</v>
      </c>
      <c r="BC38" s="131" t="str">
        <f t="array" ref="BC38">INDEX(BB:BB,MIN(IF(ISNUMBER(BB38:BB234),ROW(BB38:BB234),"")))</f>
        <v/>
      </c>
      <c r="BD38" s="131" t="str">
        <f t="shared" si="117"/>
        <v>#REF!</v>
      </c>
      <c r="BE38" s="130" t="str">
        <f>BD38*VLOOKUP('Données projet (1)'!$B$11,'Paramètres (1)'!$A$1:$I$88,3,0)*VLOOKUP('Données projet (1)'!$B$11,'Paramètres (1)'!$A$1:$I$88,5,0)</f>
        <v>#REF!</v>
      </c>
      <c r="BF38" s="130" t="str">
        <f t="shared" si="118"/>
        <v>#REF!</v>
      </c>
      <c r="BG38" s="141" t="str">
        <f t="shared" si="29"/>
        <v>#REF!</v>
      </c>
      <c r="BH38" s="133" t="str">
        <f t="shared" si="30"/>
        <v>#REF!</v>
      </c>
      <c r="BI38" s="133" t="str">
        <f t="shared" si="31"/>
        <v>#REF!</v>
      </c>
      <c r="BJ38" s="133" t="str">
        <f t="shared" si="119"/>
        <v>#REF!</v>
      </c>
      <c r="BK38" s="134" t="str">
        <f t="shared" si="32"/>
        <v>#REF!</v>
      </c>
      <c r="BL38" s="134" t="str">
        <f t="shared" si="33"/>
        <v>#REF!</v>
      </c>
      <c r="BM38" s="135" t="str">
        <f>IF(ISNA(VLOOKUP(A38,'Données projet (1)'!$A$87:$I$107,5,0)),0%,VLOOKUP(A38,'Données projet (1)'!$A$87:$I$107,5,0)*VLOOKUP('Données projet (1)'!$B$11,'Paramètres (1)'!$A$1:$I$88,7,0))</f>
        <v>#REF!</v>
      </c>
      <c r="BN38" s="135" t="str">
        <f>IF(ISNA(VLOOKUP(A38,'Données projet (1)'!$A$87:$I$107,6,0)),0%,VLOOKUP(A38,'Données projet (1)'!$A$87:$I$107,6,0)*VLOOKUP('Données projet (1)'!$B$11,'Paramètres (1)'!$A$1:$I$88,7,0))</f>
        <v>#REF!</v>
      </c>
      <c r="BO38" s="135" t="str">
        <f t="shared" si="34"/>
        <v>#REF!</v>
      </c>
      <c r="BP38" s="142" t="str">
        <f>EXP(-LN(2)/35)*BP37+(1-EXP(-LN(2)/35))/(LN(2)/35)*BL38*BM38*VLOOKUP('Données projet (1)'!$B$11,'Paramètres (1)'!$A$1:$I$88,3,0)*0.475*44/12</f>
        <v>#REF!</v>
      </c>
      <c r="BQ38" s="142" t="str">
        <f>EXP(-LN(2)/25)*BQ37+(1-EXP(-LN(2)/25))/(LN(2)/25)*'Calculateur (1)'!BL38*'Calculateur (1)'!BN38*VLOOKUP('Données projet (1)'!$B$11,'Paramètres (1)'!$A$1:$I$88,3,0)*0.475*44/12</f>
        <v>#REF!</v>
      </c>
      <c r="BR38" s="142" t="str">
        <f>EXP(-LN(2)/2)*BR37+(1-EXP(-LN(2)/2))/(LN(2)/2)*BL38*BO38*VLOOKUP('Données projet (1)'!$B$11,'Paramètres (1)'!$A$1:$I$88,3,0)*0.475*44/12</f>
        <v>#REF!</v>
      </c>
      <c r="BS38" s="143" t="str">
        <f t="shared" si="35"/>
        <v>#REF!</v>
      </c>
      <c r="BT38" s="139" t="str">
        <f t="shared" si="36"/>
        <v>#REF!</v>
      </c>
      <c r="BU38" s="131">
        <f t="shared" si="37"/>
        <v>10</v>
      </c>
      <c r="BV38" s="131" t="str">
        <f t="shared" si="120"/>
        <v>#REF!</v>
      </c>
      <c r="BW38" s="131" t="str">
        <f t="shared" si="38"/>
        <v>#REF!</v>
      </c>
      <c r="BX38" s="131" t="str">
        <f t="array" ref="BX38">INDEX(BW:BW,MIN(IF(ISNUMBER(BW38:BW234),ROW(BW38:BW234),"")))</f>
        <v/>
      </c>
      <c r="BY38" s="131" t="str">
        <f t="shared" si="121"/>
        <v>#REF!</v>
      </c>
      <c r="BZ38" s="130" t="str">
        <f>BY38*VLOOKUP('Données projet (1)'!$B$12,'Paramètres (1)'!$A$1:$I$88,3,0)*VLOOKUP('Données projet (1)'!$B$12,'Paramètres (1)'!$A$1:$I$88,5,0)</f>
        <v>#REF!</v>
      </c>
      <c r="CA38" s="130" t="str">
        <f t="shared" si="122"/>
        <v>#REF!</v>
      </c>
      <c r="CB38" s="141" t="str">
        <f t="shared" si="39"/>
        <v>#REF!</v>
      </c>
      <c r="CC38" s="133" t="str">
        <f t="shared" si="40"/>
        <v>#REF!</v>
      </c>
      <c r="CD38" s="133" t="str">
        <f t="shared" si="41"/>
        <v>#REF!</v>
      </c>
      <c r="CE38" s="133" t="str">
        <f t="shared" si="123"/>
        <v>#REF!</v>
      </c>
      <c r="CF38" s="134" t="str">
        <f t="shared" si="42"/>
        <v>#REF!</v>
      </c>
      <c r="CG38" s="134" t="str">
        <f t="shared" si="43"/>
        <v>#REF!</v>
      </c>
      <c r="CH38" s="135" t="str">
        <f>IF(ISNA(VLOOKUP(A38,'Données projet (1)'!$A$113:$I$133,5,0)),0%,VLOOKUP(A38,'Données projet (1)'!$A$113:$I$133,5,0)*VLOOKUP('Données projet (1)'!$B$12,'Paramètres (1)'!$A$1:$I$88,7,0))</f>
        <v>#REF!</v>
      </c>
      <c r="CI38" s="135" t="str">
        <f>IF(ISNA(VLOOKUP(A38,'Données projet (1)'!$A$113:$I$133,6,0)),0%,VLOOKUP(A38,'Données projet (1)'!$A$113:$I$133,6,0)*VLOOKUP('Données projet (1)'!$B$12,'Paramètres (1)'!$A$1:$I$88,7,0))</f>
        <v>#REF!</v>
      </c>
      <c r="CJ38" s="135" t="str">
        <f t="shared" si="44"/>
        <v>#REF!</v>
      </c>
      <c r="CK38" s="142" t="str">
        <f>EXP(-LN(2)/35)*CK37+(1-EXP(-LN(2)/35))/(LN(2)/35)*CG38*CH38*VLOOKUP('Données projet (1)'!$B$12,'Paramètres (1)'!$A$1:$I$88,3,0)*0.475*44/12</f>
        <v>#REF!</v>
      </c>
      <c r="CL38" s="142" t="str">
        <f>EXP(-LN(2)/25)*CL37+(1-EXP(-LN(2)/25))/(LN(2)/25)*'Calculateur (1)'!CG38*'Calculateur (1)'!CI38*VLOOKUP('Données projet (1)'!$B$12,'Paramètres (1)'!$A$1:$I$88,3,0)*0.475*44/12</f>
        <v>#REF!</v>
      </c>
      <c r="CM38" s="142" t="str">
        <f>EXP(-LN(2)/2)*CM37+(1-EXP(-LN(2)/2))/(LN(2)/2)*CG38*CJ38*VLOOKUP('Données projet (1)'!$B$12,'Paramètres (1)'!$A$1:$I$88,3,0)*0.475*44/12</f>
        <v>#REF!</v>
      </c>
      <c r="CN38" s="143" t="str">
        <f t="shared" si="45"/>
        <v>#REF!</v>
      </c>
      <c r="CO38" s="139" t="str">
        <f t="shared" si="46"/>
        <v>#REF!</v>
      </c>
      <c r="CP38" s="131">
        <f t="shared" si="47"/>
        <v>10</v>
      </c>
      <c r="CQ38" s="131" t="str">
        <f t="shared" si="124"/>
        <v>#REF!</v>
      </c>
      <c r="CR38" s="131" t="str">
        <f t="shared" si="48"/>
        <v>#REF!</v>
      </c>
      <c r="CS38" s="131" t="str">
        <f t="array" ref="CS38">INDEX(CR:CR,MIN(IF(ISNUMBER(CR38:CR234),ROW(CR38:CR234),"")))</f>
        <v/>
      </c>
      <c r="CT38" s="131" t="str">
        <f t="shared" si="125"/>
        <v>#REF!</v>
      </c>
      <c r="CU38" s="138" t="str">
        <f>CT38*VLOOKUP('Données projet (1)'!$B$13,'Paramètres (1)'!$A$1:$I$88,3,0)*VLOOKUP('Données projet (1)'!$B$13,'Paramètres (1)'!$A$1:$I$88,5,0)</f>
        <v>#REF!</v>
      </c>
      <c r="CV38" s="130" t="str">
        <f t="shared" si="126"/>
        <v>#REF!</v>
      </c>
      <c r="CW38" s="141" t="str">
        <f t="shared" si="49"/>
        <v>#REF!</v>
      </c>
      <c r="CX38" s="133" t="str">
        <f t="shared" si="50"/>
        <v>#REF!</v>
      </c>
      <c r="CY38" s="133" t="str">
        <f t="shared" si="51"/>
        <v>#REF!</v>
      </c>
      <c r="CZ38" s="133" t="str">
        <f t="shared" si="127"/>
        <v>#REF!</v>
      </c>
      <c r="DA38" s="134" t="str">
        <f t="shared" si="52"/>
        <v>#REF!</v>
      </c>
      <c r="DB38" s="134" t="str">
        <f t="shared" si="53"/>
        <v>#REF!</v>
      </c>
      <c r="DC38" s="135" t="str">
        <f>IF(ISNA(VLOOKUP(A38,'Données projet (1)'!$A$139:$I$159,5,0)),0%,VLOOKUP(A38,'Données projet (1)'!$A$139:$I$159,5,0)*VLOOKUP('Données projet (1)'!$B$13,'Paramètres (1)'!$A$1:$I$88,7,0))</f>
        <v>#REF!</v>
      </c>
      <c r="DD38" s="135" t="str">
        <f>IF(ISNA(VLOOKUP(A38,'Données projet (1)'!$A$139:$I$159,6,0)),0%,VLOOKUP(A38,'Données projet (1)'!$A$139:$I$159,6,0)*VLOOKUP('Données projet (1)'!$B$13,'Paramètres (1)'!$A$1:$I$88,7,0))</f>
        <v>#REF!</v>
      </c>
      <c r="DE38" s="135" t="str">
        <f t="shared" si="54"/>
        <v>#REF!</v>
      </c>
      <c r="DF38" s="142" t="str">
        <f>EXP(-LN(2)/35)*DF37+(1-EXP(-LN(2)/35))/(LN(2)/35)*DB38*DC38*VLOOKUP('Données projet (1)'!$B$13,'Paramètres (1)'!$A$1:$I$88,3,0)*0.475*44/12</f>
        <v>#REF!</v>
      </c>
      <c r="DG38" s="142" t="str">
        <f>EXP(-LN(2)/25)*DG37+(1-EXP(-LN(2)/25))/(LN(2)/25)*'Calculateur (1)'!DB38*'Calculateur (1)'!DD38*VLOOKUP('Données projet (1)'!$B$13,'Paramètres (1)'!$A$1:$I$88,3,0)*0.475*44/12</f>
        <v>#REF!</v>
      </c>
      <c r="DH38" s="142" t="str">
        <f>EXP(-LN(2)/2)*DH37+(1-EXP(-LN(2)/2))/(LN(2)/2)*DB38*DE38*VLOOKUP('Données projet (1)'!$B$13,'Paramètres (1)'!$A$1:$I$88,3,0)*0.475*44/12</f>
        <v>#REF!</v>
      </c>
      <c r="DI38" s="143" t="str">
        <f t="shared" si="55"/>
        <v>#REF!</v>
      </c>
      <c r="DJ38" s="139" t="str">
        <f t="shared" si="56"/>
        <v>#REF!</v>
      </c>
      <c r="DK38" s="131">
        <f t="shared" si="57"/>
        <v>10</v>
      </c>
      <c r="DL38" s="131" t="str">
        <f t="shared" si="128"/>
        <v>#REF!</v>
      </c>
      <c r="DM38" s="131" t="str">
        <f t="shared" si="58"/>
        <v>#REF!</v>
      </c>
      <c r="DN38" s="131" t="str">
        <f t="array" ref="DN38">INDEX(DM:DM,MIN(IF(ISNUMBER(DM38:DM234),ROW(DM38:DM234),"")))</f>
        <v/>
      </c>
      <c r="DO38" s="131" t="str">
        <f t="shared" si="129"/>
        <v>#REF!</v>
      </c>
      <c r="DP38" s="138" t="str">
        <f>DO38*VLOOKUP('Données projet (1)'!$B$14,'Paramètres (1)'!$A$1:$I$88,3,0)*VLOOKUP('Données projet (1)'!$B$14,'Paramètres (1)'!$A$1:$I$88,5,0)</f>
        <v>#REF!</v>
      </c>
      <c r="DQ38" s="130" t="str">
        <f t="shared" si="130"/>
        <v>#REF!</v>
      </c>
      <c r="DR38" s="141" t="str">
        <f t="shared" si="59"/>
        <v>#REF!</v>
      </c>
      <c r="DS38" s="133" t="str">
        <f t="shared" si="60"/>
        <v>#REF!</v>
      </c>
      <c r="DT38" s="133" t="str">
        <f t="shared" si="61"/>
        <v>#REF!</v>
      </c>
      <c r="DU38" s="133" t="str">
        <f t="shared" si="131"/>
        <v>#REF!</v>
      </c>
      <c r="DV38" s="134" t="str">
        <f t="shared" si="62"/>
        <v>#REF!</v>
      </c>
      <c r="DW38" s="134" t="str">
        <f t="shared" si="63"/>
        <v>#REF!</v>
      </c>
      <c r="DX38" s="135" t="str">
        <f>IF(ISNA(VLOOKUP(A38,'Données projet (1)'!$A$165:$I$185,5,0)),0%,VLOOKUP(A38,'Données projet (1)'!$A$165:$I$185,5,0)*VLOOKUP('Données projet (1)'!$B$14,'Paramètres (1)'!$A$1:$I$88,7,0))</f>
        <v>#REF!</v>
      </c>
      <c r="DY38" s="135" t="str">
        <f>IF(ISNA(VLOOKUP(A38,'Données projet (1)'!$A$165:$I$185,6,0)),0%,VLOOKUP(A38,'Données projet (1)'!$A$165:$I$185,6,0)*VLOOKUP('Données projet (1)'!$B$14,'Paramètres (1)'!$A$1:$I$88,7,0))</f>
        <v>#REF!</v>
      </c>
      <c r="DZ38" s="135" t="str">
        <f t="shared" si="64"/>
        <v>#REF!</v>
      </c>
      <c r="EA38" s="142" t="str">
        <f>EXP(-LN(2)/35)*EA37+(1-EXP(-LN(2)/35))/(LN(2)/35)*DW38*DX38*VLOOKUP('Données projet (1)'!$B$14,'Paramètres (1)'!$A$1:$I$88,3,0)*0.475*44/12</f>
        <v>#REF!</v>
      </c>
      <c r="EB38" s="142" t="str">
        <f>EXP(-LN(2)/25)*EB37+(1-EXP(-LN(2)/25))/(LN(2)/25)*'Calculateur (1)'!DW38*'Calculateur (1)'!DY38*VLOOKUP('Données projet (1)'!$B$14,'Paramètres (1)'!$A$1:$I$88,3,0)*0.475*44/12</f>
        <v>#REF!</v>
      </c>
      <c r="EC38" s="142" t="str">
        <f>EXP(-LN(2)/2)*EC37+(1-EXP(-LN(2)/2))/(LN(2)/2)*DW38*DZ38*VLOOKUP('Données projet (1)'!$B$14,'Paramètres (1)'!$A$1:$I$88,3,0)*0.475*44/12</f>
        <v>#REF!</v>
      </c>
      <c r="ED38" s="143" t="str">
        <f t="shared" si="65"/>
        <v>#REF!</v>
      </c>
      <c r="EE38" s="139" t="str">
        <f t="shared" si="66"/>
        <v>#REF!</v>
      </c>
      <c r="EF38" s="131">
        <f t="shared" si="67"/>
        <v>10</v>
      </c>
      <c r="EG38" s="131" t="str">
        <f t="shared" si="132"/>
        <v>#REF!</v>
      </c>
      <c r="EH38" s="131" t="str">
        <f t="shared" si="68"/>
        <v>#REF!</v>
      </c>
      <c r="EI38" s="131" t="str">
        <f t="array" ref="EI38">INDEX(EH:EH,MIN(IF(ISNUMBER(EH38:EH234),ROW(EH38:EH234),"")))</f>
        <v/>
      </c>
      <c r="EJ38" s="131" t="str">
        <f t="shared" si="133"/>
        <v>#REF!</v>
      </c>
      <c r="EK38" s="138" t="str">
        <f>EJ38*VLOOKUP('Données projet (1)'!$B$15,'Paramètres (1)'!$A$1:$I$88,3,0)*VLOOKUP('Données projet (1)'!$B$15,'Paramètres (1)'!$A$1:$I$88,5,0)</f>
        <v>#REF!</v>
      </c>
      <c r="EL38" s="130" t="str">
        <f t="shared" si="134"/>
        <v>#REF!</v>
      </c>
      <c r="EM38" s="141" t="str">
        <f t="shared" si="69"/>
        <v>#REF!</v>
      </c>
      <c r="EN38" s="133" t="str">
        <f t="shared" si="70"/>
        <v>#REF!</v>
      </c>
      <c r="EO38" s="133" t="str">
        <f t="shared" si="71"/>
        <v>#REF!</v>
      </c>
      <c r="EP38" s="133" t="str">
        <f t="shared" si="135"/>
        <v>#REF!</v>
      </c>
      <c r="EQ38" s="134" t="str">
        <f t="shared" si="72"/>
        <v>#REF!</v>
      </c>
      <c r="ER38" s="134" t="str">
        <f t="shared" si="73"/>
        <v>#REF!</v>
      </c>
      <c r="ES38" s="135" t="str">
        <f>IF(ISNA(VLOOKUP(A38,'Données projet (1)'!$A$191:$I$211,5,0)),0%,VLOOKUP(A38,'Données projet (1)'!$A$191:$I$211,5,0)*VLOOKUP('Données projet (1)'!$B$15,'Paramètres (1)'!$A$1:$I$88,7,0))</f>
        <v>#REF!</v>
      </c>
      <c r="ET38" s="135" t="str">
        <f>IF(ISNA(VLOOKUP(A38,'Données projet (1)'!$A$191:$I$211,6,0)),0%,VLOOKUP(A38,'Données projet (1)'!$A$191:$I$211,6,0)*VLOOKUP('Données projet (1)'!$B$15,'Paramètres (1)'!$A$1:$I$88,7,0))</f>
        <v>#REF!</v>
      </c>
      <c r="EU38" s="135" t="str">
        <f t="shared" si="74"/>
        <v>#REF!</v>
      </c>
      <c r="EV38" s="142" t="str">
        <f>EXP(-LN(2)/35)*EV37+(1-EXP(-LN(2)/35))/(LN(2)/35)*ER38*ES38*VLOOKUP('Données projet (1)'!$B$15,'Paramètres (1)'!$A$1:$I$88,3,0)*0.475*44/12</f>
        <v>#REF!</v>
      </c>
      <c r="EW38" s="142" t="str">
        <f>EXP(-LN(2)/25)*EW37+(1-EXP(-LN(2)/25))/(LN(2)/25)*'Calculateur (1)'!ER38*'Calculateur (1)'!ET38*VLOOKUP('Données projet (1)'!$B$15,'Paramètres (1)'!$A$1:$I$88,3,0)*0.475*44/12</f>
        <v>#REF!</v>
      </c>
      <c r="EX38" s="142" t="str">
        <f>EXP(-LN(2)/2)*EX37+(1-EXP(-LN(2)/2))/(LN(2)/2)*ER38*EU38*VLOOKUP('Données projet (1)'!$B$15,'Paramètres (1)'!$A$1:$I$88,3,0)*0.475*44/12</f>
        <v>#REF!</v>
      </c>
      <c r="EY38" s="143" t="str">
        <f t="shared" si="75"/>
        <v>#REF!</v>
      </c>
      <c r="EZ38" s="139" t="str">
        <f t="shared" si="76"/>
        <v>#REF!</v>
      </c>
      <c r="FA38" s="131">
        <f t="shared" si="77"/>
        <v>10</v>
      </c>
      <c r="FB38" s="131" t="str">
        <f t="shared" si="136"/>
        <v>#REF!</v>
      </c>
      <c r="FC38" s="131" t="str">
        <f t="shared" si="78"/>
        <v>#REF!</v>
      </c>
      <c r="FD38" s="131" t="str">
        <f t="array" ref="FD38">INDEX(FC:FC,MIN(IF(ISNUMBER(FC38:FC234),ROW(FC38:FC234),"")))</f>
        <v/>
      </c>
      <c r="FE38" s="131" t="str">
        <f t="shared" si="137"/>
        <v>#REF!</v>
      </c>
      <c r="FF38" s="138" t="str">
        <f>FE38*VLOOKUP('Données projet (1)'!$B$16,'Paramètres (1)'!$A$1:$I$88,3,0)*VLOOKUP('Données projet (1)'!$B$16,'Paramètres (1)'!$A$1:$I$88,5,0)</f>
        <v>#REF!</v>
      </c>
      <c r="FG38" s="130" t="str">
        <f t="shared" si="138"/>
        <v>#REF!</v>
      </c>
      <c r="FH38" s="141" t="str">
        <f t="shared" si="79"/>
        <v>#REF!</v>
      </c>
      <c r="FI38" s="133" t="str">
        <f t="shared" si="80"/>
        <v>#REF!</v>
      </c>
      <c r="FJ38" s="133" t="str">
        <f t="shared" si="81"/>
        <v>#REF!</v>
      </c>
      <c r="FK38" s="133" t="str">
        <f t="shared" si="139"/>
        <v>#REF!</v>
      </c>
      <c r="FL38" s="134" t="str">
        <f t="shared" si="82"/>
        <v>#REF!</v>
      </c>
      <c r="FM38" s="134" t="str">
        <f t="shared" si="83"/>
        <v>#REF!</v>
      </c>
      <c r="FN38" s="135" t="str">
        <f>IF(ISNA(VLOOKUP(A38,'Données projet (1)'!$A$217:$I$237,5,0)),0%,VLOOKUP(A38,'Données projet (1)'!$A$217:$I$237,5,0)*VLOOKUP('Données projet (1)'!$B$16,'Paramètres (1)'!$A$1:$I$88,7,0))</f>
        <v>#REF!</v>
      </c>
      <c r="FO38" s="135" t="str">
        <f>IF(ISNA(VLOOKUP(A38,'Données projet (1)'!$A$217:$I$237,6,0)),0%,VLOOKUP(A38,'Données projet (1)'!$A$217:$I$237,6,0)*VLOOKUP('Données projet (1)'!$B$16,'Paramètres (1)'!$A$1:$I$88,7,0))</f>
        <v>#REF!</v>
      </c>
      <c r="FP38" s="135" t="str">
        <f t="shared" si="84"/>
        <v>#REF!</v>
      </c>
      <c r="FQ38" s="142" t="str">
        <f>EXP(-LN(2)/35)*FQ37+(1-EXP(-LN(2)/35))/(LN(2)/35)*FM38*FN38*VLOOKUP('Données projet (1)'!$B$16,'Paramètres (1)'!$A$1:$I$88,3,0)*0.475*44/12</f>
        <v>#REF!</v>
      </c>
      <c r="FR38" s="142" t="str">
        <f>EXP(-LN(2)/25)*FR37+(1-EXP(-LN(2)/25))/(LN(2)/25)*'Calculateur (1)'!FM38*'Calculateur (1)'!FO38*VLOOKUP('Données projet (1)'!$B$16,'Paramètres (1)'!$A$1:$I$88,3,0)*0.475*44/12</f>
        <v>#REF!</v>
      </c>
      <c r="FS38" s="142" t="str">
        <f>EXP(-LN(2)/2)*FS37+(1-EXP(-LN(2)/2))/(LN(2)/2)*FM38*FP38*VLOOKUP('Données projet (1)'!$B$16,'Paramètres (1)'!$A$1:$I$88,3,0)*0.475*44/12</f>
        <v>#REF!</v>
      </c>
      <c r="FT38" s="143" t="str">
        <f t="shared" si="85"/>
        <v>#REF!</v>
      </c>
      <c r="FU38" s="139" t="str">
        <f t="shared" si="86"/>
        <v>#REF!</v>
      </c>
      <c r="FV38" s="131">
        <f t="shared" si="87"/>
        <v>10</v>
      </c>
      <c r="FW38" s="131" t="str">
        <f t="shared" si="140"/>
        <v>#REF!</v>
      </c>
      <c r="FX38" s="131" t="str">
        <f t="shared" si="88"/>
        <v>#REF!</v>
      </c>
      <c r="FY38" s="131" t="str">
        <f t="array" ref="FY38">INDEX(FX:FX,MIN(IF(ISNUMBER(FX38:FX234),ROW(FX38:FX234),"")))</f>
        <v/>
      </c>
      <c r="FZ38" s="131" t="str">
        <f t="shared" si="141"/>
        <v>#REF!</v>
      </c>
      <c r="GA38" s="138" t="str">
        <f>FZ38*VLOOKUP('Données projet (1)'!$B$17,'Paramètres (1)'!$A$1:$I$88,3,0)*VLOOKUP('Données projet (1)'!$B$17,'Paramètres (1)'!$A$1:$I$88,5,0)</f>
        <v>#REF!</v>
      </c>
      <c r="GB38" s="130" t="str">
        <f t="shared" si="142"/>
        <v>#REF!</v>
      </c>
      <c r="GC38" s="141" t="str">
        <f t="shared" si="89"/>
        <v>#REF!</v>
      </c>
      <c r="GD38" s="133" t="str">
        <f t="shared" si="90"/>
        <v>#REF!</v>
      </c>
      <c r="GE38" s="133" t="str">
        <f t="shared" si="91"/>
        <v>#REF!</v>
      </c>
      <c r="GF38" s="133" t="str">
        <f t="shared" si="143"/>
        <v>#REF!</v>
      </c>
      <c r="GG38" s="134" t="str">
        <f t="shared" si="92"/>
        <v>#REF!</v>
      </c>
      <c r="GH38" s="134" t="str">
        <f t="shared" si="93"/>
        <v>#REF!</v>
      </c>
      <c r="GI38" s="135" t="str">
        <f>IF(ISNA(VLOOKUP(A38,'Données projet (1)'!$A$243:$I$263,5,0)),0%,VLOOKUP(A38,'Données projet (1)'!$A$243:$I$263,5,0)*VLOOKUP('Données projet (1)'!$B$17,'Paramètres (1)'!$A$1:$I$88,7,0))</f>
        <v>#REF!</v>
      </c>
      <c r="GJ38" s="135" t="str">
        <f>IF(ISNA(VLOOKUP(A38,'Données projet (1)'!$A$243:$I$263,6,0)),0%,VLOOKUP(A38,'Données projet (1)'!$A$243:$I$263,6,0)*VLOOKUP('Données projet (1)'!$B$17,'Paramètres (1)'!$A$1:$I$88,7,0))</f>
        <v>#REF!</v>
      </c>
      <c r="GK38" s="135" t="str">
        <f t="shared" si="94"/>
        <v>#REF!</v>
      </c>
      <c r="GL38" s="142" t="str">
        <f>EXP(-LN(2)/35)*GL37+(1-EXP(-LN(2)/35))/(LN(2)/35)*GH38*GI38*VLOOKUP('Données projet (1)'!$B$17,'Paramètres (1)'!$A$1:$I$88,3,0)*0.475*44/12</f>
        <v>#REF!</v>
      </c>
      <c r="GM38" s="142" t="str">
        <f>EXP(-LN(2)/25)*GM37+(1-EXP(-LN(2)/25))/(LN(2)/25)*'Calculateur (1)'!GH38*'Calculateur (1)'!GJ38*VLOOKUP('Données projet (1)'!$B$17,'Paramètres (1)'!$A$1:$I$88,3,0)*0.475*44/12</f>
        <v>#REF!</v>
      </c>
      <c r="GN38" s="142" t="str">
        <f>EXP(-LN(2)/2)*GN37+(1-EXP(-LN(2)/2))/(LN(2)/2)*GH38*GK38*VLOOKUP('Données projet (1)'!$B$17,'Paramètres (1)'!$A$1:$I$88,3,0)*0.475*44/12</f>
        <v>#REF!</v>
      </c>
      <c r="GO38" s="142" t="str">
        <f t="shared" si="95"/>
        <v>#REF!</v>
      </c>
      <c r="GP38" s="139" t="str">
        <f t="shared" si="96"/>
        <v>#REF!</v>
      </c>
      <c r="GQ38" s="131">
        <f t="shared" si="97"/>
        <v>10</v>
      </c>
      <c r="GR38" s="131" t="str">
        <f t="shared" si="144"/>
        <v>#REF!</v>
      </c>
      <c r="GS38" s="131" t="str">
        <f t="shared" si="98"/>
        <v>#REF!</v>
      </c>
      <c r="GT38" s="131" t="str">
        <f t="array" ref="GT38">INDEX(GS:GS,MIN(IF(ISNUMBER(GS38:GS234),ROW(GS38:GS234),"")))</f>
        <v/>
      </c>
      <c r="GU38" s="131" t="str">
        <f t="shared" si="145"/>
        <v>#REF!</v>
      </c>
      <c r="GV38" s="138" t="str">
        <f>GU38*VLOOKUP('Données projet (1)'!$B$18,'Paramètres (1)'!$A$1:$I$88,3,0)*VLOOKUP('Données projet (1)'!$B$18,'Paramètres (1)'!$A$1:$I$88,5,0)</f>
        <v>#REF!</v>
      </c>
      <c r="GW38" s="130" t="str">
        <f t="shared" si="146"/>
        <v>#REF!</v>
      </c>
      <c r="GX38" s="141" t="str">
        <f t="shared" si="99"/>
        <v>#REF!</v>
      </c>
      <c r="GY38" s="133" t="str">
        <f t="shared" si="100"/>
        <v>#REF!</v>
      </c>
      <c r="GZ38" s="133" t="str">
        <f t="shared" si="101"/>
        <v>#REF!</v>
      </c>
      <c r="HA38" s="133" t="str">
        <f t="shared" si="147"/>
        <v>#REF!</v>
      </c>
      <c r="HB38" s="134" t="str">
        <f t="shared" si="102"/>
        <v>#REF!</v>
      </c>
      <c r="HC38" s="134" t="str">
        <f t="shared" si="103"/>
        <v>#REF!</v>
      </c>
      <c r="HD38" s="135" t="str">
        <f>IF(ISNA(VLOOKUP(A38,'Données projet (1)'!$A$269:$I$289,5,0)),0%,VLOOKUP(A38,'Données projet (1)'!$A$269:$I$289,5,0)*VLOOKUP('Données projet (1)'!$B$18,'Paramètres (1)'!$A$1:$I$88,7,0))</f>
        <v>#REF!</v>
      </c>
      <c r="HE38" s="135" t="str">
        <f>IF(ISNA(VLOOKUP(A38,'Données projet (1)'!$A$269:$I$289,6,0)),0%,VLOOKUP(A38,'Données projet (1)'!$A$269:$I$289,6,0)*VLOOKUP('Données projet (1)'!$B$18,'Paramètres (1)'!$A$1:$I$88,7,0))</f>
        <v>#REF!</v>
      </c>
      <c r="HF38" s="135" t="str">
        <f t="shared" si="104"/>
        <v>#REF!</v>
      </c>
      <c r="HG38" s="142" t="str">
        <f>EXP(-LN(2)/35)*HG37+(1-EXP(-LN(2)/35))/(LN(2)/35)*HC38*HD38*VLOOKUP('Données projet (1)'!$B$18,'Paramètres (1)'!$A$1:$I$88,3,0)*0.475*44/12</f>
        <v>#REF!</v>
      </c>
      <c r="HH38" s="142" t="str">
        <f>EXP(-LN(2)/25)*HH37+(1-EXP(-LN(2)/25))/(LN(2)/25)*'Calculateur (1)'!HC38*'Calculateur (1)'!HE38*VLOOKUP('Données projet (1)'!$B$18,'Paramètres (1)'!$A$1:$I$88,3,0)*0.475*44/12</f>
        <v>#REF!</v>
      </c>
      <c r="HI38" s="142" t="str">
        <f>EXP(-LN(2)/2)*HI37+(1-EXP(-LN(2)/2))/(LN(2)/2)*HC38*HF38*VLOOKUP('Données projet (1)'!$B$18,'Paramètres (1)'!$A$1:$I$88,3,0)*0.475*44/12</f>
        <v>#REF!</v>
      </c>
      <c r="HJ38" s="143" t="str">
        <f t="shared" si="105"/>
        <v>#REF!</v>
      </c>
    </row>
    <row r="39" ht="14.25" customHeight="1">
      <c r="A39" s="125">
        <f t="shared" si="106"/>
        <v>36</v>
      </c>
      <c r="B39" s="126" t="str">
        <f t="shared" si="1"/>
        <v>#REF!</v>
      </c>
      <c r="C39" s="140" t="str">
        <f>'Calculateur (1)'!C38+'Scénario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9" s="127">
        <f t="shared" si="107"/>
        <v>0</v>
      </c>
      <c r="E39" s="127" t="str">
        <f t="shared" si="2"/>
        <v>#REF!</v>
      </c>
      <c r="F39" s="127" t="str">
        <f t="shared" si="3"/>
        <v>#REF!</v>
      </c>
      <c r="G39" s="127" t="str">
        <f t="shared" si="4"/>
        <v>#REF!</v>
      </c>
      <c r="H39" s="128" t="str">
        <f t="shared" si="5"/>
        <v>#REF!</v>
      </c>
      <c r="I39" s="129" t="str">
        <f t="shared" si="6"/>
        <v>#REF!</v>
      </c>
      <c r="J39" s="130">
        <f t="shared" si="7"/>
        <v>10</v>
      </c>
      <c r="K39" s="131" t="str">
        <f t="shared" si="108"/>
        <v>#REF!</v>
      </c>
      <c r="L39" s="131" t="str">
        <f t="shared" si="8"/>
        <v>#REF!</v>
      </c>
      <c r="M39" s="131" t="str">
        <f t="array" ref="M39">INDEX(L:L,MIN(IF(ISNUMBER(L39:L235),ROW(L39:L235),"")))</f>
        <v/>
      </c>
      <c r="N39" s="130" t="str">
        <f t="shared" si="109"/>
        <v>#REF!</v>
      </c>
      <c r="O39" s="130" t="str">
        <f>N39*VLOOKUP('Données projet (1)'!$B$9,'Paramètres (1)'!$A$1:$I$88,3,0)*VLOOKUP('Données projet (1)'!$B$9,'Paramètres (1)'!$A$1:$I$88,5,0)</f>
        <v>#REF!</v>
      </c>
      <c r="P39" s="130" t="str">
        <f t="shared" si="110"/>
        <v>#REF!</v>
      </c>
      <c r="Q39" s="141" t="str">
        <f t="shared" si="9"/>
        <v>#REF!</v>
      </c>
      <c r="R39" s="133" t="str">
        <f t="shared" si="10"/>
        <v>#REF!</v>
      </c>
      <c r="S39" s="133" t="str">
        <f t="shared" si="11"/>
        <v>#REF!</v>
      </c>
      <c r="T39" s="133" t="str">
        <f t="shared" si="111"/>
        <v>#REF!</v>
      </c>
      <c r="U39" s="134" t="str">
        <f t="shared" si="12"/>
        <v>#REF!</v>
      </c>
      <c r="V39" s="134" t="str">
        <f t="shared" si="13"/>
        <v>#REF!</v>
      </c>
      <c r="W39" s="135" t="str">
        <f>IF(ISNA(VLOOKUP(A39,'Données projet (1)'!$A$35:$I$55,5,0)),0%,VLOOKUP(A39,'Données projet (1)'!$A$35:$I$55,5,0)*VLOOKUP('Données projet (1)'!$B$9,'Paramètres (1)'!$A$1:$I$88,7,0))</f>
        <v>#REF!</v>
      </c>
      <c r="X39" s="135" t="str">
        <f>IF(ISNA(VLOOKUP(A39,'Données projet (1)'!$A$35:$I$55,6,0)),0%,VLOOKUP(A39,'Données projet (1)'!$A$35:$I$55,6,0)*VLOOKUP('Données projet (1)'!$B$9,'Paramètres (1)'!$A$1:$I$88,7,0))</f>
        <v>#REF!</v>
      </c>
      <c r="Y39" s="135" t="str">
        <f t="shared" si="14"/>
        <v>#REF!</v>
      </c>
      <c r="Z39" s="142" t="str">
        <f>EXP(-LN(2)/35)*Z38+(1-EXP(-LN(2)/35))/(LN(2)/35)*V39*W39*VLOOKUP('Données projet (1)'!$B$9,'Paramètres (1)'!$A$1:$I$88,3,0)*0.475*44/12</f>
        <v>#REF!</v>
      </c>
      <c r="AA39" s="142" t="str">
        <f>EXP(-LN(2)/25)*AA38+(1-EXP(-LN(2)/25))/(LN(2)/25)*'Calculateur (1)'!V39*'Calculateur (1)'!X39*VLOOKUP('Données projet (1)'!$B$9,'Paramètres (1)'!$A$1:$I$88,3,0)*0.475*44/12</f>
        <v>#REF!</v>
      </c>
      <c r="AB39" s="142" t="str">
        <f>EXP(-LN(2)/2)*AB38+(1-EXP(-LN(2)/2))/(LN(2)/2)*V39*Y39*VLOOKUP('Données projet (1)'!$B$9,'Paramètres (1)'!$A$1:$I$88,3,0)*0.475*44/12</f>
        <v>#REF!</v>
      </c>
      <c r="AC39" s="143" t="str">
        <f t="shared" si="15"/>
        <v>#REF!</v>
      </c>
      <c r="AD39" s="130" t="str">
        <f t="shared" si="16"/>
        <v>#REF!</v>
      </c>
      <c r="AE39" s="130">
        <f t="shared" si="17"/>
        <v>10</v>
      </c>
      <c r="AF39" s="131" t="str">
        <f t="shared" si="112"/>
        <v>#REF!</v>
      </c>
      <c r="AG39" s="131" t="str">
        <f t="shared" si="18"/>
        <v>#REF!</v>
      </c>
      <c r="AH39" s="131" t="str">
        <f t="array" ref="AH39">INDEX(AG:AG,MIN(IF(ISNUMBER(AG39:AG235),ROW(AG39:AG235),"")))</f>
        <v/>
      </c>
      <c r="AI39" s="130" t="str">
        <f t="shared" si="113"/>
        <v>#REF!</v>
      </c>
      <c r="AJ39" s="130" t="str">
        <f>AI39*VLOOKUP('Données projet (1)'!$B$10,'Paramètres (1)'!$A$1:$I$88,3,0)*VLOOKUP('Données projet (1)'!$B$10,'Paramètres (1)'!$A$1:$I$88,5,0)</f>
        <v>#REF!</v>
      </c>
      <c r="AK39" s="130" t="str">
        <f t="shared" si="114"/>
        <v>#REF!</v>
      </c>
      <c r="AL39" s="141" t="str">
        <f t="shared" si="19"/>
        <v>#REF!</v>
      </c>
      <c r="AM39" s="133" t="str">
        <f t="shared" si="20"/>
        <v>#REF!</v>
      </c>
      <c r="AN39" s="133" t="str">
        <f t="shared" si="21"/>
        <v>#REF!</v>
      </c>
      <c r="AO39" s="133" t="str">
        <f t="shared" si="115"/>
        <v>#REF!</v>
      </c>
      <c r="AP39" s="134" t="str">
        <f t="shared" si="22"/>
        <v>#REF!</v>
      </c>
      <c r="AQ39" s="134" t="str">
        <f t="shared" si="23"/>
        <v>#REF!</v>
      </c>
      <c r="AR39" s="135" t="str">
        <f>IF(ISNA(VLOOKUP(A39,'Données projet (1)'!$A$61:$I$81,5,0)),0%,VLOOKUP(A39,'Données projet (1)'!$A$61:$I$81,5,0)*VLOOKUP('Données projet (1)'!$B$10,'Paramètres (1)'!$A$1:$I$88,7,0))</f>
        <v>#REF!</v>
      </c>
      <c r="AS39" s="135" t="str">
        <f>IF(ISNA(VLOOKUP(A39,'Données projet (1)'!$A$61:$I$81,6,0)),0%,VLOOKUP(A39,'Données projet (1)'!$A$61:$I$81,6,0)*VLOOKUP('Données projet (1)'!$B$10,'Paramètres (1)'!$A$1:$I$88,7,0))</f>
        <v>#REF!</v>
      </c>
      <c r="AT39" s="135" t="str">
        <f t="shared" si="24"/>
        <v>#REF!</v>
      </c>
      <c r="AU39" s="142" t="str">
        <f>EXP(-LN(2)/35)*AU38+(1-EXP(-LN(2)/35))/(LN(2)/35)*AQ39*AR39*VLOOKUP('Données projet (1)'!$B$10,'Paramètres (1)'!$A$1:$I$88,3,0)*0.475*44/12</f>
        <v>#REF!</v>
      </c>
      <c r="AV39" s="142" t="str">
        <f>EXP(-LN(2)/25)*AV38+(1-EXP(-LN(2)/25))/(LN(2)/25)*'Calculateur (1)'!AQ39*'Calculateur (1)'!AS39*VLOOKUP('Données projet (1)'!$B$10,'Paramètres (1)'!$A$1:$I$88,3,0)*0.475*44/12</f>
        <v>#REF!</v>
      </c>
      <c r="AW39" s="142" t="str">
        <f>EXP(-LN(2)/2)*AW38+(1-EXP(-LN(2)/2))/(LN(2)/2)*AQ39*AT39*VLOOKUP('Données projet (1)'!$B$10,'Paramètres (1)'!$A$1:$I$88,3,0)*0.475*44/12</f>
        <v>#REF!</v>
      </c>
      <c r="AX39" s="142" t="str">
        <f t="shared" si="25"/>
        <v>#REF!</v>
      </c>
      <c r="AY39" s="137" t="str">
        <f t="shared" si="26"/>
        <v>#REF!</v>
      </c>
      <c r="AZ39" s="131">
        <f t="shared" si="27"/>
        <v>10</v>
      </c>
      <c r="BA39" s="131" t="str">
        <f t="shared" si="116"/>
        <v>#REF!</v>
      </c>
      <c r="BB39" s="131" t="str">
        <f t="shared" si="28"/>
        <v>#REF!</v>
      </c>
      <c r="BC39" s="131" t="str">
        <f t="array" ref="BC39">INDEX(BB:BB,MIN(IF(ISNUMBER(BB39:BB235),ROW(BB39:BB235),"")))</f>
        <v/>
      </c>
      <c r="BD39" s="131" t="str">
        <f t="shared" si="117"/>
        <v>#REF!</v>
      </c>
      <c r="BE39" s="130" t="str">
        <f>BD39*VLOOKUP('Données projet (1)'!$B$11,'Paramètres (1)'!$A$1:$I$88,3,0)*VLOOKUP('Données projet (1)'!$B$11,'Paramètres (1)'!$A$1:$I$88,5,0)</f>
        <v>#REF!</v>
      </c>
      <c r="BF39" s="130" t="str">
        <f t="shared" si="118"/>
        <v>#REF!</v>
      </c>
      <c r="BG39" s="141" t="str">
        <f t="shared" si="29"/>
        <v>#REF!</v>
      </c>
      <c r="BH39" s="133" t="str">
        <f t="shared" si="30"/>
        <v>#REF!</v>
      </c>
      <c r="BI39" s="133" t="str">
        <f t="shared" si="31"/>
        <v>#REF!</v>
      </c>
      <c r="BJ39" s="133" t="str">
        <f t="shared" si="119"/>
        <v>#REF!</v>
      </c>
      <c r="BK39" s="134" t="str">
        <f t="shared" si="32"/>
        <v>#REF!</v>
      </c>
      <c r="BL39" s="134" t="str">
        <f t="shared" si="33"/>
        <v>#REF!</v>
      </c>
      <c r="BM39" s="135" t="str">
        <f>IF(ISNA(VLOOKUP(A39,'Données projet (1)'!$A$87:$I$107,5,0)),0%,VLOOKUP(A39,'Données projet (1)'!$A$87:$I$107,5,0)*VLOOKUP('Données projet (1)'!$B$11,'Paramètres (1)'!$A$1:$I$88,7,0))</f>
        <v>#REF!</v>
      </c>
      <c r="BN39" s="135" t="str">
        <f>IF(ISNA(VLOOKUP(A39,'Données projet (1)'!$A$87:$I$107,6,0)),0%,VLOOKUP(A39,'Données projet (1)'!$A$87:$I$107,6,0)*VLOOKUP('Données projet (1)'!$B$11,'Paramètres (1)'!$A$1:$I$88,7,0))</f>
        <v>#REF!</v>
      </c>
      <c r="BO39" s="135" t="str">
        <f t="shared" si="34"/>
        <v>#REF!</v>
      </c>
      <c r="BP39" s="142" t="str">
        <f>EXP(-LN(2)/35)*BP38+(1-EXP(-LN(2)/35))/(LN(2)/35)*BL39*BM39*VLOOKUP('Données projet (1)'!$B$11,'Paramètres (1)'!$A$1:$I$88,3,0)*0.475*44/12</f>
        <v>#REF!</v>
      </c>
      <c r="BQ39" s="142" t="str">
        <f>EXP(-LN(2)/25)*BQ38+(1-EXP(-LN(2)/25))/(LN(2)/25)*'Calculateur (1)'!BL39*'Calculateur (1)'!BN39*VLOOKUP('Données projet (1)'!$B$11,'Paramètres (1)'!$A$1:$I$88,3,0)*0.475*44/12</f>
        <v>#REF!</v>
      </c>
      <c r="BR39" s="142" t="str">
        <f>EXP(-LN(2)/2)*BR38+(1-EXP(-LN(2)/2))/(LN(2)/2)*BL39*BO39*VLOOKUP('Données projet (1)'!$B$11,'Paramètres (1)'!$A$1:$I$88,3,0)*0.475*44/12</f>
        <v>#REF!</v>
      </c>
      <c r="BS39" s="143" t="str">
        <f t="shared" si="35"/>
        <v>#REF!</v>
      </c>
      <c r="BT39" s="139" t="str">
        <f t="shared" si="36"/>
        <v>#REF!</v>
      </c>
      <c r="BU39" s="131">
        <f t="shared" si="37"/>
        <v>10</v>
      </c>
      <c r="BV39" s="131" t="str">
        <f t="shared" si="120"/>
        <v>#REF!</v>
      </c>
      <c r="BW39" s="131" t="str">
        <f t="shared" si="38"/>
        <v>#REF!</v>
      </c>
      <c r="BX39" s="131" t="str">
        <f t="array" ref="BX39">INDEX(BW:BW,MIN(IF(ISNUMBER(BW39:BW235),ROW(BW39:BW235),"")))</f>
        <v/>
      </c>
      <c r="BY39" s="131" t="str">
        <f t="shared" si="121"/>
        <v>#REF!</v>
      </c>
      <c r="BZ39" s="130" t="str">
        <f>BY39*VLOOKUP('Données projet (1)'!$B$12,'Paramètres (1)'!$A$1:$I$88,3,0)*VLOOKUP('Données projet (1)'!$B$12,'Paramètres (1)'!$A$1:$I$88,5,0)</f>
        <v>#REF!</v>
      </c>
      <c r="CA39" s="130" t="str">
        <f t="shared" si="122"/>
        <v>#REF!</v>
      </c>
      <c r="CB39" s="141" t="str">
        <f t="shared" si="39"/>
        <v>#REF!</v>
      </c>
      <c r="CC39" s="133" t="str">
        <f t="shared" si="40"/>
        <v>#REF!</v>
      </c>
      <c r="CD39" s="133" t="str">
        <f t="shared" si="41"/>
        <v>#REF!</v>
      </c>
      <c r="CE39" s="133" t="str">
        <f t="shared" si="123"/>
        <v>#REF!</v>
      </c>
      <c r="CF39" s="134" t="str">
        <f t="shared" si="42"/>
        <v>#REF!</v>
      </c>
      <c r="CG39" s="134" t="str">
        <f t="shared" si="43"/>
        <v>#REF!</v>
      </c>
      <c r="CH39" s="135" t="str">
        <f>IF(ISNA(VLOOKUP(A39,'Données projet (1)'!$A$113:$I$133,5,0)),0%,VLOOKUP(A39,'Données projet (1)'!$A$113:$I$133,5,0)*VLOOKUP('Données projet (1)'!$B$12,'Paramètres (1)'!$A$1:$I$88,7,0))</f>
        <v>#REF!</v>
      </c>
      <c r="CI39" s="135" t="str">
        <f>IF(ISNA(VLOOKUP(A39,'Données projet (1)'!$A$113:$I$133,6,0)),0%,VLOOKUP(A39,'Données projet (1)'!$A$113:$I$133,6,0)*VLOOKUP('Données projet (1)'!$B$12,'Paramètres (1)'!$A$1:$I$88,7,0))</f>
        <v>#REF!</v>
      </c>
      <c r="CJ39" s="135" t="str">
        <f t="shared" si="44"/>
        <v>#REF!</v>
      </c>
      <c r="CK39" s="142" t="str">
        <f>EXP(-LN(2)/35)*CK38+(1-EXP(-LN(2)/35))/(LN(2)/35)*CG39*CH39*VLOOKUP('Données projet (1)'!$B$12,'Paramètres (1)'!$A$1:$I$88,3,0)*0.475*44/12</f>
        <v>#REF!</v>
      </c>
      <c r="CL39" s="142" t="str">
        <f>EXP(-LN(2)/25)*CL38+(1-EXP(-LN(2)/25))/(LN(2)/25)*'Calculateur (1)'!CG39*'Calculateur (1)'!CI39*VLOOKUP('Données projet (1)'!$B$12,'Paramètres (1)'!$A$1:$I$88,3,0)*0.475*44/12</f>
        <v>#REF!</v>
      </c>
      <c r="CM39" s="142" t="str">
        <f>EXP(-LN(2)/2)*CM38+(1-EXP(-LN(2)/2))/(LN(2)/2)*CG39*CJ39*VLOOKUP('Données projet (1)'!$B$12,'Paramètres (1)'!$A$1:$I$88,3,0)*0.475*44/12</f>
        <v>#REF!</v>
      </c>
      <c r="CN39" s="143" t="str">
        <f t="shared" si="45"/>
        <v>#REF!</v>
      </c>
      <c r="CO39" s="139" t="str">
        <f t="shared" si="46"/>
        <v>#REF!</v>
      </c>
      <c r="CP39" s="131">
        <f t="shared" si="47"/>
        <v>10</v>
      </c>
      <c r="CQ39" s="131" t="str">
        <f t="shared" si="124"/>
        <v>#REF!</v>
      </c>
      <c r="CR39" s="131" t="str">
        <f t="shared" si="48"/>
        <v>#REF!</v>
      </c>
      <c r="CS39" s="131" t="str">
        <f t="array" ref="CS39">INDEX(CR:CR,MIN(IF(ISNUMBER(CR39:CR235),ROW(CR39:CR235),"")))</f>
        <v/>
      </c>
      <c r="CT39" s="131" t="str">
        <f t="shared" si="125"/>
        <v>#REF!</v>
      </c>
      <c r="CU39" s="138" t="str">
        <f>CT39*VLOOKUP('Données projet (1)'!$B$13,'Paramètres (1)'!$A$1:$I$88,3,0)*VLOOKUP('Données projet (1)'!$B$13,'Paramètres (1)'!$A$1:$I$88,5,0)</f>
        <v>#REF!</v>
      </c>
      <c r="CV39" s="130" t="str">
        <f t="shared" si="126"/>
        <v>#REF!</v>
      </c>
      <c r="CW39" s="141" t="str">
        <f t="shared" si="49"/>
        <v>#REF!</v>
      </c>
      <c r="CX39" s="133" t="str">
        <f t="shared" si="50"/>
        <v>#REF!</v>
      </c>
      <c r="CY39" s="133" t="str">
        <f t="shared" si="51"/>
        <v>#REF!</v>
      </c>
      <c r="CZ39" s="133" t="str">
        <f t="shared" si="127"/>
        <v>#REF!</v>
      </c>
      <c r="DA39" s="134" t="str">
        <f t="shared" si="52"/>
        <v>#REF!</v>
      </c>
      <c r="DB39" s="134" t="str">
        <f t="shared" si="53"/>
        <v>#REF!</v>
      </c>
      <c r="DC39" s="135" t="str">
        <f>IF(ISNA(VLOOKUP(A39,'Données projet (1)'!$A$139:$I$159,5,0)),0%,VLOOKUP(A39,'Données projet (1)'!$A$139:$I$159,5,0)*VLOOKUP('Données projet (1)'!$B$13,'Paramètres (1)'!$A$1:$I$88,7,0))</f>
        <v>#REF!</v>
      </c>
      <c r="DD39" s="135" t="str">
        <f>IF(ISNA(VLOOKUP(A39,'Données projet (1)'!$A$139:$I$159,6,0)),0%,VLOOKUP(A39,'Données projet (1)'!$A$139:$I$159,6,0)*VLOOKUP('Données projet (1)'!$B$13,'Paramètres (1)'!$A$1:$I$88,7,0))</f>
        <v>#REF!</v>
      </c>
      <c r="DE39" s="135" t="str">
        <f t="shared" si="54"/>
        <v>#REF!</v>
      </c>
      <c r="DF39" s="142" t="str">
        <f>EXP(-LN(2)/35)*DF38+(1-EXP(-LN(2)/35))/(LN(2)/35)*DB39*DC39*VLOOKUP('Données projet (1)'!$B$13,'Paramètres (1)'!$A$1:$I$88,3,0)*0.475*44/12</f>
        <v>#REF!</v>
      </c>
      <c r="DG39" s="142" t="str">
        <f>EXP(-LN(2)/25)*DG38+(1-EXP(-LN(2)/25))/(LN(2)/25)*'Calculateur (1)'!DB39*'Calculateur (1)'!DD39*VLOOKUP('Données projet (1)'!$B$13,'Paramètres (1)'!$A$1:$I$88,3,0)*0.475*44/12</f>
        <v>#REF!</v>
      </c>
      <c r="DH39" s="142" t="str">
        <f>EXP(-LN(2)/2)*DH38+(1-EXP(-LN(2)/2))/(LN(2)/2)*DB39*DE39*VLOOKUP('Données projet (1)'!$B$13,'Paramètres (1)'!$A$1:$I$88,3,0)*0.475*44/12</f>
        <v>#REF!</v>
      </c>
      <c r="DI39" s="143" t="str">
        <f t="shared" si="55"/>
        <v>#REF!</v>
      </c>
      <c r="DJ39" s="139" t="str">
        <f t="shared" si="56"/>
        <v>#REF!</v>
      </c>
      <c r="DK39" s="131">
        <f t="shared" si="57"/>
        <v>10</v>
      </c>
      <c r="DL39" s="131" t="str">
        <f t="shared" si="128"/>
        <v>#REF!</v>
      </c>
      <c r="DM39" s="131" t="str">
        <f t="shared" si="58"/>
        <v>#REF!</v>
      </c>
      <c r="DN39" s="131" t="str">
        <f t="array" ref="DN39">INDEX(DM:DM,MIN(IF(ISNUMBER(DM39:DM235),ROW(DM39:DM235),"")))</f>
        <v/>
      </c>
      <c r="DO39" s="131" t="str">
        <f t="shared" si="129"/>
        <v>#REF!</v>
      </c>
      <c r="DP39" s="138" t="str">
        <f>DO39*VLOOKUP('Données projet (1)'!$B$14,'Paramètres (1)'!$A$1:$I$88,3,0)*VLOOKUP('Données projet (1)'!$B$14,'Paramètres (1)'!$A$1:$I$88,5,0)</f>
        <v>#REF!</v>
      </c>
      <c r="DQ39" s="130" t="str">
        <f t="shared" si="130"/>
        <v>#REF!</v>
      </c>
      <c r="DR39" s="141" t="str">
        <f t="shared" si="59"/>
        <v>#REF!</v>
      </c>
      <c r="DS39" s="133" t="str">
        <f t="shared" si="60"/>
        <v>#REF!</v>
      </c>
      <c r="DT39" s="133" t="str">
        <f t="shared" si="61"/>
        <v>#REF!</v>
      </c>
      <c r="DU39" s="133" t="str">
        <f t="shared" si="131"/>
        <v>#REF!</v>
      </c>
      <c r="DV39" s="134" t="str">
        <f t="shared" si="62"/>
        <v>#REF!</v>
      </c>
      <c r="DW39" s="134" t="str">
        <f t="shared" si="63"/>
        <v>#REF!</v>
      </c>
      <c r="DX39" s="135" t="str">
        <f>IF(ISNA(VLOOKUP(A39,'Données projet (1)'!$A$165:$I$185,5,0)),0%,VLOOKUP(A39,'Données projet (1)'!$A$165:$I$185,5,0)*VLOOKUP('Données projet (1)'!$B$14,'Paramètres (1)'!$A$1:$I$88,7,0))</f>
        <v>#REF!</v>
      </c>
      <c r="DY39" s="135" t="str">
        <f>IF(ISNA(VLOOKUP(A39,'Données projet (1)'!$A$165:$I$185,6,0)),0%,VLOOKUP(A39,'Données projet (1)'!$A$165:$I$185,6,0)*VLOOKUP('Données projet (1)'!$B$14,'Paramètres (1)'!$A$1:$I$88,7,0))</f>
        <v>#REF!</v>
      </c>
      <c r="DZ39" s="135" t="str">
        <f t="shared" si="64"/>
        <v>#REF!</v>
      </c>
      <c r="EA39" s="142" t="str">
        <f>EXP(-LN(2)/35)*EA38+(1-EXP(-LN(2)/35))/(LN(2)/35)*DW39*DX39*VLOOKUP('Données projet (1)'!$B$14,'Paramètres (1)'!$A$1:$I$88,3,0)*0.475*44/12</f>
        <v>#REF!</v>
      </c>
      <c r="EB39" s="142" t="str">
        <f>EXP(-LN(2)/25)*EB38+(1-EXP(-LN(2)/25))/(LN(2)/25)*'Calculateur (1)'!DW39*'Calculateur (1)'!DY39*VLOOKUP('Données projet (1)'!$B$14,'Paramètres (1)'!$A$1:$I$88,3,0)*0.475*44/12</f>
        <v>#REF!</v>
      </c>
      <c r="EC39" s="142" t="str">
        <f>EXP(-LN(2)/2)*EC38+(1-EXP(-LN(2)/2))/(LN(2)/2)*DW39*DZ39*VLOOKUP('Données projet (1)'!$B$14,'Paramètres (1)'!$A$1:$I$88,3,0)*0.475*44/12</f>
        <v>#REF!</v>
      </c>
      <c r="ED39" s="143" t="str">
        <f t="shared" si="65"/>
        <v>#REF!</v>
      </c>
      <c r="EE39" s="139" t="str">
        <f t="shared" si="66"/>
        <v>#REF!</v>
      </c>
      <c r="EF39" s="131">
        <f t="shared" si="67"/>
        <v>10</v>
      </c>
      <c r="EG39" s="131" t="str">
        <f t="shared" si="132"/>
        <v>#REF!</v>
      </c>
      <c r="EH39" s="131" t="str">
        <f t="shared" si="68"/>
        <v>#REF!</v>
      </c>
      <c r="EI39" s="131" t="str">
        <f t="array" ref="EI39">INDEX(EH:EH,MIN(IF(ISNUMBER(EH39:EH235),ROW(EH39:EH235),"")))</f>
        <v/>
      </c>
      <c r="EJ39" s="131" t="str">
        <f t="shared" si="133"/>
        <v>#REF!</v>
      </c>
      <c r="EK39" s="138" t="str">
        <f>EJ39*VLOOKUP('Données projet (1)'!$B$15,'Paramètres (1)'!$A$1:$I$88,3,0)*VLOOKUP('Données projet (1)'!$B$15,'Paramètres (1)'!$A$1:$I$88,5,0)</f>
        <v>#REF!</v>
      </c>
      <c r="EL39" s="130" t="str">
        <f t="shared" si="134"/>
        <v>#REF!</v>
      </c>
      <c r="EM39" s="141" t="str">
        <f t="shared" si="69"/>
        <v>#REF!</v>
      </c>
      <c r="EN39" s="133" t="str">
        <f t="shared" si="70"/>
        <v>#REF!</v>
      </c>
      <c r="EO39" s="133" t="str">
        <f t="shared" si="71"/>
        <v>#REF!</v>
      </c>
      <c r="EP39" s="133" t="str">
        <f t="shared" si="135"/>
        <v>#REF!</v>
      </c>
      <c r="EQ39" s="134" t="str">
        <f t="shared" si="72"/>
        <v>#REF!</v>
      </c>
      <c r="ER39" s="134" t="str">
        <f t="shared" si="73"/>
        <v>#REF!</v>
      </c>
      <c r="ES39" s="135" t="str">
        <f>IF(ISNA(VLOOKUP(A39,'Données projet (1)'!$A$191:$I$211,5,0)),0%,VLOOKUP(A39,'Données projet (1)'!$A$191:$I$211,5,0)*VLOOKUP('Données projet (1)'!$B$15,'Paramètres (1)'!$A$1:$I$88,7,0))</f>
        <v>#REF!</v>
      </c>
      <c r="ET39" s="135" t="str">
        <f>IF(ISNA(VLOOKUP(A39,'Données projet (1)'!$A$191:$I$211,6,0)),0%,VLOOKUP(A39,'Données projet (1)'!$A$191:$I$211,6,0)*VLOOKUP('Données projet (1)'!$B$15,'Paramètres (1)'!$A$1:$I$88,7,0))</f>
        <v>#REF!</v>
      </c>
      <c r="EU39" s="135" t="str">
        <f t="shared" si="74"/>
        <v>#REF!</v>
      </c>
      <c r="EV39" s="142" t="str">
        <f>EXP(-LN(2)/35)*EV38+(1-EXP(-LN(2)/35))/(LN(2)/35)*ER39*ES39*VLOOKUP('Données projet (1)'!$B$15,'Paramètres (1)'!$A$1:$I$88,3,0)*0.475*44/12</f>
        <v>#REF!</v>
      </c>
      <c r="EW39" s="142" t="str">
        <f>EXP(-LN(2)/25)*EW38+(1-EXP(-LN(2)/25))/(LN(2)/25)*'Calculateur (1)'!ER39*'Calculateur (1)'!ET39*VLOOKUP('Données projet (1)'!$B$15,'Paramètres (1)'!$A$1:$I$88,3,0)*0.475*44/12</f>
        <v>#REF!</v>
      </c>
      <c r="EX39" s="142" t="str">
        <f>EXP(-LN(2)/2)*EX38+(1-EXP(-LN(2)/2))/(LN(2)/2)*ER39*EU39*VLOOKUP('Données projet (1)'!$B$15,'Paramètres (1)'!$A$1:$I$88,3,0)*0.475*44/12</f>
        <v>#REF!</v>
      </c>
      <c r="EY39" s="143" t="str">
        <f t="shared" si="75"/>
        <v>#REF!</v>
      </c>
      <c r="EZ39" s="139" t="str">
        <f t="shared" si="76"/>
        <v>#REF!</v>
      </c>
      <c r="FA39" s="131">
        <f t="shared" si="77"/>
        <v>10</v>
      </c>
      <c r="FB39" s="131" t="str">
        <f t="shared" si="136"/>
        <v>#REF!</v>
      </c>
      <c r="FC39" s="131" t="str">
        <f t="shared" si="78"/>
        <v>#REF!</v>
      </c>
      <c r="FD39" s="131" t="str">
        <f t="array" ref="FD39">INDEX(FC:FC,MIN(IF(ISNUMBER(FC39:FC235),ROW(FC39:FC235),"")))</f>
        <v/>
      </c>
      <c r="FE39" s="131" t="str">
        <f t="shared" si="137"/>
        <v>#REF!</v>
      </c>
      <c r="FF39" s="138" t="str">
        <f>FE39*VLOOKUP('Données projet (1)'!$B$16,'Paramètres (1)'!$A$1:$I$88,3,0)*VLOOKUP('Données projet (1)'!$B$16,'Paramètres (1)'!$A$1:$I$88,5,0)</f>
        <v>#REF!</v>
      </c>
      <c r="FG39" s="130" t="str">
        <f t="shared" si="138"/>
        <v>#REF!</v>
      </c>
      <c r="FH39" s="141" t="str">
        <f t="shared" si="79"/>
        <v>#REF!</v>
      </c>
      <c r="FI39" s="133" t="str">
        <f t="shared" si="80"/>
        <v>#REF!</v>
      </c>
      <c r="FJ39" s="133" t="str">
        <f t="shared" si="81"/>
        <v>#REF!</v>
      </c>
      <c r="FK39" s="133" t="str">
        <f t="shared" si="139"/>
        <v>#REF!</v>
      </c>
      <c r="FL39" s="134" t="str">
        <f t="shared" si="82"/>
        <v>#REF!</v>
      </c>
      <c r="FM39" s="134" t="str">
        <f t="shared" si="83"/>
        <v>#REF!</v>
      </c>
      <c r="FN39" s="135" t="str">
        <f>IF(ISNA(VLOOKUP(A39,'Données projet (1)'!$A$217:$I$237,5,0)),0%,VLOOKUP(A39,'Données projet (1)'!$A$217:$I$237,5,0)*VLOOKUP('Données projet (1)'!$B$16,'Paramètres (1)'!$A$1:$I$88,7,0))</f>
        <v>#REF!</v>
      </c>
      <c r="FO39" s="135" t="str">
        <f>IF(ISNA(VLOOKUP(A39,'Données projet (1)'!$A$217:$I$237,6,0)),0%,VLOOKUP(A39,'Données projet (1)'!$A$217:$I$237,6,0)*VLOOKUP('Données projet (1)'!$B$16,'Paramètres (1)'!$A$1:$I$88,7,0))</f>
        <v>#REF!</v>
      </c>
      <c r="FP39" s="135" t="str">
        <f t="shared" si="84"/>
        <v>#REF!</v>
      </c>
      <c r="FQ39" s="142" t="str">
        <f>EXP(-LN(2)/35)*FQ38+(1-EXP(-LN(2)/35))/(LN(2)/35)*FM39*FN39*VLOOKUP('Données projet (1)'!$B$16,'Paramètres (1)'!$A$1:$I$88,3,0)*0.475*44/12</f>
        <v>#REF!</v>
      </c>
      <c r="FR39" s="142" t="str">
        <f>EXP(-LN(2)/25)*FR38+(1-EXP(-LN(2)/25))/(LN(2)/25)*'Calculateur (1)'!FM39*'Calculateur (1)'!FO39*VLOOKUP('Données projet (1)'!$B$16,'Paramètres (1)'!$A$1:$I$88,3,0)*0.475*44/12</f>
        <v>#REF!</v>
      </c>
      <c r="FS39" s="142" t="str">
        <f>EXP(-LN(2)/2)*FS38+(1-EXP(-LN(2)/2))/(LN(2)/2)*FM39*FP39*VLOOKUP('Données projet (1)'!$B$16,'Paramètres (1)'!$A$1:$I$88,3,0)*0.475*44/12</f>
        <v>#REF!</v>
      </c>
      <c r="FT39" s="143" t="str">
        <f t="shared" si="85"/>
        <v>#REF!</v>
      </c>
      <c r="FU39" s="139" t="str">
        <f t="shared" si="86"/>
        <v>#REF!</v>
      </c>
      <c r="FV39" s="131">
        <f t="shared" si="87"/>
        <v>10</v>
      </c>
      <c r="FW39" s="131" t="str">
        <f t="shared" si="140"/>
        <v>#REF!</v>
      </c>
      <c r="FX39" s="131" t="str">
        <f t="shared" si="88"/>
        <v>#REF!</v>
      </c>
      <c r="FY39" s="131" t="str">
        <f t="array" ref="FY39">INDEX(FX:FX,MIN(IF(ISNUMBER(FX39:FX235),ROW(FX39:FX235),"")))</f>
        <v/>
      </c>
      <c r="FZ39" s="131" t="str">
        <f t="shared" si="141"/>
        <v>#REF!</v>
      </c>
      <c r="GA39" s="138" t="str">
        <f>FZ39*VLOOKUP('Données projet (1)'!$B$17,'Paramètres (1)'!$A$1:$I$88,3,0)*VLOOKUP('Données projet (1)'!$B$17,'Paramètres (1)'!$A$1:$I$88,5,0)</f>
        <v>#REF!</v>
      </c>
      <c r="GB39" s="130" t="str">
        <f t="shared" si="142"/>
        <v>#REF!</v>
      </c>
      <c r="GC39" s="141" t="str">
        <f t="shared" si="89"/>
        <v>#REF!</v>
      </c>
      <c r="GD39" s="133" t="str">
        <f t="shared" si="90"/>
        <v>#REF!</v>
      </c>
      <c r="GE39" s="133" t="str">
        <f t="shared" si="91"/>
        <v>#REF!</v>
      </c>
      <c r="GF39" s="133" t="str">
        <f t="shared" si="143"/>
        <v>#REF!</v>
      </c>
      <c r="GG39" s="134" t="str">
        <f t="shared" si="92"/>
        <v>#REF!</v>
      </c>
      <c r="GH39" s="134" t="str">
        <f t="shared" si="93"/>
        <v>#REF!</v>
      </c>
      <c r="GI39" s="135" t="str">
        <f>IF(ISNA(VLOOKUP(A39,'Données projet (1)'!$A$243:$I$263,5,0)),0%,VLOOKUP(A39,'Données projet (1)'!$A$243:$I$263,5,0)*VLOOKUP('Données projet (1)'!$B$17,'Paramètres (1)'!$A$1:$I$88,7,0))</f>
        <v>#REF!</v>
      </c>
      <c r="GJ39" s="135" t="str">
        <f>IF(ISNA(VLOOKUP(A39,'Données projet (1)'!$A$243:$I$263,6,0)),0%,VLOOKUP(A39,'Données projet (1)'!$A$243:$I$263,6,0)*VLOOKUP('Données projet (1)'!$B$17,'Paramètres (1)'!$A$1:$I$88,7,0))</f>
        <v>#REF!</v>
      </c>
      <c r="GK39" s="135" t="str">
        <f t="shared" si="94"/>
        <v>#REF!</v>
      </c>
      <c r="GL39" s="142" t="str">
        <f>EXP(-LN(2)/35)*GL38+(1-EXP(-LN(2)/35))/(LN(2)/35)*GH39*GI39*VLOOKUP('Données projet (1)'!$B$17,'Paramètres (1)'!$A$1:$I$88,3,0)*0.475*44/12</f>
        <v>#REF!</v>
      </c>
      <c r="GM39" s="142" t="str">
        <f>EXP(-LN(2)/25)*GM38+(1-EXP(-LN(2)/25))/(LN(2)/25)*'Calculateur (1)'!GH39*'Calculateur (1)'!GJ39*VLOOKUP('Données projet (1)'!$B$17,'Paramètres (1)'!$A$1:$I$88,3,0)*0.475*44/12</f>
        <v>#REF!</v>
      </c>
      <c r="GN39" s="142" t="str">
        <f>EXP(-LN(2)/2)*GN38+(1-EXP(-LN(2)/2))/(LN(2)/2)*GH39*GK39*VLOOKUP('Données projet (1)'!$B$17,'Paramètres (1)'!$A$1:$I$88,3,0)*0.475*44/12</f>
        <v>#REF!</v>
      </c>
      <c r="GO39" s="142" t="str">
        <f t="shared" si="95"/>
        <v>#REF!</v>
      </c>
      <c r="GP39" s="139" t="str">
        <f t="shared" si="96"/>
        <v>#REF!</v>
      </c>
      <c r="GQ39" s="131">
        <f t="shared" si="97"/>
        <v>10</v>
      </c>
      <c r="GR39" s="131" t="str">
        <f t="shared" si="144"/>
        <v>#REF!</v>
      </c>
      <c r="GS39" s="131" t="str">
        <f t="shared" si="98"/>
        <v>#REF!</v>
      </c>
      <c r="GT39" s="131" t="str">
        <f t="array" ref="GT39">INDEX(GS:GS,MIN(IF(ISNUMBER(GS39:GS235),ROW(GS39:GS235),"")))</f>
        <v/>
      </c>
      <c r="GU39" s="131" t="str">
        <f t="shared" si="145"/>
        <v>#REF!</v>
      </c>
      <c r="GV39" s="138" t="str">
        <f>GU39*VLOOKUP('Données projet (1)'!$B$18,'Paramètres (1)'!$A$1:$I$88,3,0)*VLOOKUP('Données projet (1)'!$B$18,'Paramètres (1)'!$A$1:$I$88,5,0)</f>
        <v>#REF!</v>
      </c>
      <c r="GW39" s="130" t="str">
        <f t="shared" si="146"/>
        <v>#REF!</v>
      </c>
      <c r="GX39" s="141" t="str">
        <f t="shared" si="99"/>
        <v>#REF!</v>
      </c>
      <c r="GY39" s="133" t="str">
        <f t="shared" si="100"/>
        <v>#REF!</v>
      </c>
      <c r="GZ39" s="133" t="str">
        <f t="shared" si="101"/>
        <v>#REF!</v>
      </c>
      <c r="HA39" s="133" t="str">
        <f t="shared" si="147"/>
        <v>#REF!</v>
      </c>
      <c r="HB39" s="134" t="str">
        <f t="shared" si="102"/>
        <v>#REF!</v>
      </c>
      <c r="HC39" s="134" t="str">
        <f t="shared" si="103"/>
        <v>#REF!</v>
      </c>
      <c r="HD39" s="135" t="str">
        <f>IF(ISNA(VLOOKUP(A39,'Données projet (1)'!$A$269:$I$289,5,0)),0%,VLOOKUP(A39,'Données projet (1)'!$A$269:$I$289,5,0)*VLOOKUP('Données projet (1)'!$B$18,'Paramètres (1)'!$A$1:$I$88,7,0))</f>
        <v>#REF!</v>
      </c>
      <c r="HE39" s="135" t="str">
        <f>IF(ISNA(VLOOKUP(A39,'Données projet (1)'!$A$269:$I$289,6,0)),0%,VLOOKUP(A39,'Données projet (1)'!$A$269:$I$289,6,0)*VLOOKUP('Données projet (1)'!$B$18,'Paramètres (1)'!$A$1:$I$88,7,0))</f>
        <v>#REF!</v>
      </c>
      <c r="HF39" s="135" t="str">
        <f t="shared" si="104"/>
        <v>#REF!</v>
      </c>
      <c r="HG39" s="142" t="str">
        <f>EXP(-LN(2)/35)*HG38+(1-EXP(-LN(2)/35))/(LN(2)/35)*HC39*HD39*VLOOKUP('Données projet (1)'!$B$18,'Paramètres (1)'!$A$1:$I$88,3,0)*0.475*44/12</f>
        <v>#REF!</v>
      </c>
      <c r="HH39" s="142" t="str">
        <f>EXP(-LN(2)/25)*HH38+(1-EXP(-LN(2)/25))/(LN(2)/25)*'Calculateur (1)'!HC39*'Calculateur (1)'!HE39*VLOOKUP('Données projet (1)'!$B$18,'Paramètres (1)'!$A$1:$I$88,3,0)*0.475*44/12</f>
        <v>#REF!</v>
      </c>
      <c r="HI39" s="142" t="str">
        <f>EXP(-LN(2)/2)*HI38+(1-EXP(-LN(2)/2))/(LN(2)/2)*HC39*HF39*VLOOKUP('Données projet (1)'!$B$18,'Paramètres (1)'!$A$1:$I$88,3,0)*0.475*44/12</f>
        <v>#REF!</v>
      </c>
      <c r="HJ39" s="143" t="str">
        <f t="shared" si="105"/>
        <v>#REF!</v>
      </c>
    </row>
    <row r="40" ht="14.25" customHeight="1">
      <c r="A40" s="125">
        <f t="shared" si="106"/>
        <v>37</v>
      </c>
      <c r="B40" s="126" t="str">
        <f t="shared" si="1"/>
        <v>#REF!</v>
      </c>
      <c r="C40" s="140" t="str">
        <f>'Calculateur (1)'!C39+'Scénario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0" s="127">
        <f t="shared" si="107"/>
        <v>0</v>
      </c>
      <c r="E40" s="127" t="str">
        <f t="shared" si="2"/>
        <v>#REF!</v>
      </c>
      <c r="F40" s="127" t="str">
        <f t="shared" si="3"/>
        <v>#REF!</v>
      </c>
      <c r="G40" s="127" t="str">
        <f t="shared" si="4"/>
        <v>#REF!</v>
      </c>
      <c r="H40" s="128" t="str">
        <f t="shared" si="5"/>
        <v>#REF!</v>
      </c>
      <c r="I40" s="129" t="str">
        <f t="shared" si="6"/>
        <v>#REF!</v>
      </c>
      <c r="J40" s="130">
        <f t="shared" si="7"/>
        <v>10</v>
      </c>
      <c r="K40" s="131" t="str">
        <f t="shared" si="108"/>
        <v>#REF!</v>
      </c>
      <c r="L40" s="131" t="str">
        <f t="shared" si="8"/>
        <v>#REF!</v>
      </c>
      <c r="M40" s="131" t="str">
        <f t="array" ref="M40">INDEX(L:L,MIN(IF(ISNUMBER(L40:L236),ROW(L40:L236),"")))</f>
        <v/>
      </c>
      <c r="N40" s="130" t="str">
        <f t="shared" si="109"/>
        <v>#REF!</v>
      </c>
      <c r="O40" s="130" t="str">
        <f>N40*VLOOKUP('Données projet (1)'!$B$9,'Paramètres (1)'!$A$1:$I$88,3,0)*VLOOKUP('Données projet (1)'!$B$9,'Paramètres (1)'!$A$1:$I$88,5,0)</f>
        <v>#REF!</v>
      </c>
      <c r="P40" s="130" t="str">
        <f t="shared" si="110"/>
        <v>#REF!</v>
      </c>
      <c r="Q40" s="141" t="str">
        <f t="shared" si="9"/>
        <v>#REF!</v>
      </c>
      <c r="R40" s="133" t="str">
        <f t="shared" si="10"/>
        <v>#REF!</v>
      </c>
      <c r="S40" s="133" t="str">
        <f t="shared" si="11"/>
        <v>#REF!</v>
      </c>
      <c r="T40" s="133" t="str">
        <f t="shared" si="111"/>
        <v>#REF!</v>
      </c>
      <c r="U40" s="134" t="str">
        <f t="shared" si="12"/>
        <v>#REF!</v>
      </c>
      <c r="V40" s="134" t="str">
        <f t="shared" si="13"/>
        <v>#REF!</v>
      </c>
      <c r="W40" s="135" t="str">
        <f>IF(ISNA(VLOOKUP(A40,'Données projet (1)'!$A$35:$I$55,5,0)),0%,VLOOKUP(A40,'Données projet (1)'!$A$35:$I$55,5,0)*VLOOKUP('Données projet (1)'!$B$9,'Paramètres (1)'!$A$1:$I$88,7,0))</f>
        <v>#REF!</v>
      </c>
      <c r="X40" s="135" t="str">
        <f>IF(ISNA(VLOOKUP(A40,'Données projet (1)'!$A$35:$I$55,6,0)),0%,VLOOKUP(A40,'Données projet (1)'!$A$35:$I$55,6,0)*VLOOKUP('Données projet (1)'!$B$9,'Paramètres (1)'!$A$1:$I$88,7,0))</f>
        <v>#REF!</v>
      </c>
      <c r="Y40" s="135" t="str">
        <f t="shared" si="14"/>
        <v>#REF!</v>
      </c>
      <c r="Z40" s="142" t="str">
        <f>EXP(-LN(2)/35)*Z39+(1-EXP(-LN(2)/35))/(LN(2)/35)*V40*W40*VLOOKUP('Données projet (1)'!$B$9,'Paramètres (1)'!$A$1:$I$88,3,0)*0.475*44/12</f>
        <v>#REF!</v>
      </c>
      <c r="AA40" s="142" t="str">
        <f>EXP(-LN(2)/25)*AA39+(1-EXP(-LN(2)/25))/(LN(2)/25)*'Calculateur (1)'!V40*'Calculateur (1)'!X40*VLOOKUP('Données projet (1)'!$B$9,'Paramètres (1)'!$A$1:$I$88,3,0)*0.475*44/12</f>
        <v>#REF!</v>
      </c>
      <c r="AB40" s="142" t="str">
        <f>EXP(-LN(2)/2)*AB39+(1-EXP(-LN(2)/2))/(LN(2)/2)*V40*Y40*VLOOKUP('Données projet (1)'!$B$9,'Paramètres (1)'!$A$1:$I$88,3,0)*0.475*44/12</f>
        <v>#REF!</v>
      </c>
      <c r="AC40" s="143" t="str">
        <f t="shared" si="15"/>
        <v>#REF!</v>
      </c>
      <c r="AD40" s="130" t="str">
        <f t="shared" si="16"/>
        <v>#REF!</v>
      </c>
      <c r="AE40" s="130">
        <f t="shared" si="17"/>
        <v>10</v>
      </c>
      <c r="AF40" s="131" t="str">
        <f t="shared" si="112"/>
        <v>#REF!</v>
      </c>
      <c r="AG40" s="131" t="str">
        <f t="shared" si="18"/>
        <v>#REF!</v>
      </c>
      <c r="AH40" s="131" t="str">
        <f t="array" ref="AH40">INDEX(AG:AG,MIN(IF(ISNUMBER(AG40:AG236),ROW(AG40:AG236),"")))</f>
        <v/>
      </c>
      <c r="AI40" s="130" t="str">
        <f t="shared" si="113"/>
        <v>#REF!</v>
      </c>
      <c r="AJ40" s="130" t="str">
        <f>AI40*VLOOKUP('Données projet (1)'!$B$10,'Paramètres (1)'!$A$1:$I$88,3,0)*VLOOKUP('Données projet (1)'!$B$10,'Paramètres (1)'!$A$1:$I$88,5,0)</f>
        <v>#REF!</v>
      </c>
      <c r="AK40" s="130" t="str">
        <f t="shared" si="114"/>
        <v>#REF!</v>
      </c>
      <c r="AL40" s="141" t="str">
        <f t="shared" si="19"/>
        <v>#REF!</v>
      </c>
      <c r="AM40" s="133" t="str">
        <f t="shared" si="20"/>
        <v>#REF!</v>
      </c>
      <c r="AN40" s="133" t="str">
        <f t="shared" si="21"/>
        <v>#REF!</v>
      </c>
      <c r="AO40" s="133" t="str">
        <f t="shared" si="115"/>
        <v>#REF!</v>
      </c>
      <c r="AP40" s="134" t="str">
        <f t="shared" si="22"/>
        <v>#REF!</v>
      </c>
      <c r="AQ40" s="134" t="str">
        <f t="shared" si="23"/>
        <v>#REF!</v>
      </c>
      <c r="AR40" s="135" t="str">
        <f>IF(ISNA(VLOOKUP(A40,'Données projet (1)'!$A$61:$I$81,5,0)),0%,VLOOKUP(A40,'Données projet (1)'!$A$61:$I$81,5,0)*VLOOKUP('Données projet (1)'!$B$10,'Paramètres (1)'!$A$1:$I$88,7,0))</f>
        <v>#REF!</v>
      </c>
      <c r="AS40" s="135" t="str">
        <f>IF(ISNA(VLOOKUP(A40,'Données projet (1)'!$A$61:$I$81,6,0)),0%,VLOOKUP(A40,'Données projet (1)'!$A$61:$I$81,6,0)*VLOOKUP('Données projet (1)'!$B$10,'Paramètres (1)'!$A$1:$I$88,7,0))</f>
        <v>#REF!</v>
      </c>
      <c r="AT40" s="135" t="str">
        <f t="shared" si="24"/>
        <v>#REF!</v>
      </c>
      <c r="AU40" s="142" t="str">
        <f>EXP(-LN(2)/35)*AU39+(1-EXP(-LN(2)/35))/(LN(2)/35)*AQ40*AR40*VLOOKUP('Données projet (1)'!$B$10,'Paramètres (1)'!$A$1:$I$88,3,0)*0.475*44/12</f>
        <v>#REF!</v>
      </c>
      <c r="AV40" s="142" t="str">
        <f>EXP(-LN(2)/25)*AV39+(1-EXP(-LN(2)/25))/(LN(2)/25)*'Calculateur (1)'!AQ40*'Calculateur (1)'!AS40*VLOOKUP('Données projet (1)'!$B$10,'Paramètres (1)'!$A$1:$I$88,3,0)*0.475*44/12</f>
        <v>#REF!</v>
      </c>
      <c r="AW40" s="142" t="str">
        <f>EXP(-LN(2)/2)*AW39+(1-EXP(-LN(2)/2))/(LN(2)/2)*AQ40*AT40*VLOOKUP('Données projet (1)'!$B$10,'Paramètres (1)'!$A$1:$I$88,3,0)*0.475*44/12</f>
        <v>#REF!</v>
      </c>
      <c r="AX40" s="142" t="str">
        <f t="shared" si="25"/>
        <v>#REF!</v>
      </c>
      <c r="AY40" s="137" t="str">
        <f t="shared" si="26"/>
        <v>#REF!</v>
      </c>
      <c r="AZ40" s="131">
        <f t="shared" si="27"/>
        <v>10</v>
      </c>
      <c r="BA40" s="131" t="str">
        <f t="shared" si="116"/>
        <v>#REF!</v>
      </c>
      <c r="BB40" s="131" t="str">
        <f t="shared" si="28"/>
        <v>#REF!</v>
      </c>
      <c r="BC40" s="131" t="str">
        <f t="array" ref="BC40">INDEX(BB:BB,MIN(IF(ISNUMBER(BB40:BB236),ROW(BB40:BB236),"")))</f>
        <v/>
      </c>
      <c r="BD40" s="131" t="str">
        <f t="shared" si="117"/>
        <v>#REF!</v>
      </c>
      <c r="BE40" s="130" t="str">
        <f>BD40*VLOOKUP('Données projet (1)'!$B$11,'Paramètres (1)'!$A$1:$I$88,3,0)*VLOOKUP('Données projet (1)'!$B$11,'Paramètres (1)'!$A$1:$I$88,5,0)</f>
        <v>#REF!</v>
      </c>
      <c r="BF40" s="130" t="str">
        <f t="shared" si="118"/>
        <v>#REF!</v>
      </c>
      <c r="BG40" s="141" t="str">
        <f t="shared" si="29"/>
        <v>#REF!</v>
      </c>
      <c r="BH40" s="133" t="str">
        <f t="shared" si="30"/>
        <v>#REF!</v>
      </c>
      <c r="BI40" s="133" t="str">
        <f t="shared" si="31"/>
        <v>#REF!</v>
      </c>
      <c r="BJ40" s="133" t="str">
        <f t="shared" si="119"/>
        <v>#REF!</v>
      </c>
      <c r="BK40" s="134" t="str">
        <f t="shared" si="32"/>
        <v>#REF!</v>
      </c>
      <c r="BL40" s="134" t="str">
        <f t="shared" si="33"/>
        <v>#REF!</v>
      </c>
      <c r="BM40" s="135" t="str">
        <f>IF(ISNA(VLOOKUP(A40,'Données projet (1)'!$A$87:$I$107,5,0)),0%,VLOOKUP(A40,'Données projet (1)'!$A$87:$I$107,5,0)*VLOOKUP('Données projet (1)'!$B$11,'Paramètres (1)'!$A$1:$I$88,7,0))</f>
        <v>#REF!</v>
      </c>
      <c r="BN40" s="135" t="str">
        <f>IF(ISNA(VLOOKUP(A40,'Données projet (1)'!$A$87:$I$107,6,0)),0%,VLOOKUP(A40,'Données projet (1)'!$A$87:$I$107,6,0)*VLOOKUP('Données projet (1)'!$B$11,'Paramètres (1)'!$A$1:$I$88,7,0))</f>
        <v>#REF!</v>
      </c>
      <c r="BO40" s="135" t="str">
        <f t="shared" si="34"/>
        <v>#REF!</v>
      </c>
      <c r="BP40" s="142" t="str">
        <f>EXP(-LN(2)/35)*BP39+(1-EXP(-LN(2)/35))/(LN(2)/35)*BL40*BM40*VLOOKUP('Données projet (1)'!$B$11,'Paramètres (1)'!$A$1:$I$88,3,0)*0.475*44/12</f>
        <v>#REF!</v>
      </c>
      <c r="BQ40" s="142" t="str">
        <f>EXP(-LN(2)/25)*BQ39+(1-EXP(-LN(2)/25))/(LN(2)/25)*'Calculateur (1)'!BL40*'Calculateur (1)'!BN40*VLOOKUP('Données projet (1)'!$B$11,'Paramètres (1)'!$A$1:$I$88,3,0)*0.475*44/12</f>
        <v>#REF!</v>
      </c>
      <c r="BR40" s="142" t="str">
        <f>EXP(-LN(2)/2)*BR39+(1-EXP(-LN(2)/2))/(LN(2)/2)*BL40*BO40*VLOOKUP('Données projet (1)'!$B$11,'Paramètres (1)'!$A$1:$I$88,3,0)*0.475*44/12</f>
        <v>#REF!</v>
      </c>
      <c r="BS40" s="143" t="str">
        <f t="shared" si="35"/>
        <v>#REF!</v>
      </c>
      <c r="BT40" s="139" t="str">
        <f t="shared" si="36"/>
        <v>#REF!</v>
      </c>
      <c r="BU40" s="131">
        <f t="shared" si="37"/>
        <v>10</v>
      </c>
      <c r="BV40" s="131" t="str">
        <f t="shared" si="120"/>
        <v>#REF!</v>
      </c>
      <c r="BW40" s="131" t="str">
        <f t="shared" si="38"/>
        <v>#REF!</v>
      </c>
      <c r="BX40" s="131" t="str">
        <f t="array" ref="BX40">INDEX(BW:BW,MIN(IF(ISNUMBER(BW40:BW236),ROW(BW40:BW236),"")))</f>
        <v/>
      </c>
      <c r="BY40" s="131" t="str">
        <f t="shared" si="121"/>
        <v>#REF!</v>
      </c>
      <c r="BZ40" s="130" t="str">
        <f>BY40*VLOOKUP('Données projet (1)'!$B$12,'Paramètres (1)'!$A$1:$I$88,3,0)*VLOOKUP('Données projet (1)'!$B$12,'Paramètres (1)'!$A$1:$I$88,5,0)</f>
        <v>#REF!</v>
      </c>
      <c r="CA40" s="130" t="str">
        <f t="shared" si="122"/>
        <v>#REF!</v>
      </c>
      <c r="CB40" s="141" t="str">
        <f t="shared" si="39"/>
        <v>#REF!</v>
      </c>
      <c r="CC40" s="133" t="str">
        <f t="shared" si="40"/>
        <v>#REF!</v>
      </c>
      <c r="CD40" s="133" t="str">
        <f t="shared" si="41"/>
        <v>#REF!</v>
      </c>
      <c r="CE40" s="133" t="str">
        <f t="shared" si="123"/>
        <v>#REF!</v>
      </c>
      <c r="CF40" s="134" t="str">
        <f t="shared" si="42"/>
        <v>#REF!</v>
      </c>
      <c r="CG40" s="134" t="str">
        <f t="shared" si="43"/>
        <v>#REF!</v>
      </c>
      <c r="CH40" s="135" t="str">
        <f>IF(ISNA(VLOOKUP(A40,'Données projet (1)'!$A$113:$I$133,5,0)),0%,VLOOKUP(A40,'Données projet (1)'!$A$113:$I$133,5,0)*VLOOKUP('Données projet (1)'!$B$12,'Paramètres (1)'!$A$1:$I$88,7,0))</f>
        <v>#REF!</v>
      </c>
      <c r="CI40" s="135" t="str">
        <f>IF(ISNA(VLOOKUP(A40,'Données projet (1)'!$A$113:$I$133,6,0)),0%,VLOOKUP(A40,'Données projet (1)'!$A$113:$I$133,6,0)*VLOOKUP('Données projet (1)'!$B$12,'Paramètres (1)'!$A$1:$I$88,7,0))</f>
        <v>#REF!</v>
      </c>
      <c r="CJ40" s="135" t="str">
        <f t="shared" si="44"/>
        <v>#REF!</v>
      </c>
      <c r="CK40" s="142" t="str">
        <f>EXP(-LN(2)/35)*CK39+(1-EXP(-LN(2)/35))/(LN(2)/35)*CG40*CH40*VLOOKUP('Données projet (1)'!$B$12,'Paramètres (1)'!$A$1:$I$88,3,0)*0.475*44/12</f>
        <v>#REF!</v>
      </c>
      <c r="CL40" s="142" t="str">
        <f>EXP(-LN(2)/25)*CL39+(1-EXP(-LN(2)/25))/(LN(2)/25)*'Calculateur (1)'!CG40*'Calculateur (1)'!CI40*VLOOKUP('Données projet (1)'!$B$12,'Paramètres (1)'!$A$1:$I$88,3,0)*0.475*44/12</f>
        <v>#REF!</v>
      </c>
      <c r="CM40" s="142" t="str">
        <f>EXP(-LN(2)/2)*CM39+(1-EXP(-LN(2)/2))/(LN(2)/2)*CG40*CJ40*VLOOKUP('Données projet (1)'!$B$12,'Paramètres (1)'!$A$1:$I$88,3,0)*0.475*44/12</f>
        <v>#REF!</v>
      </c>
      <c r="CN40" s="143" t="str">
        <f t="shared" si="45"/>
        <v>#REF!</v>
      </c>
      <c r="CO40" s="139" t="str">
        <f t="shared" si="46"/>
        <v>#REF!</v>
      </c>
      <c r="CP40" s="131">
        <f t="shared" si="47"/>
        <v>10</v>
      </c>
      <c r="CQ40" s="131" t="str">
        <f t="shared" si="124"/>
        <v>#REF!</v>
      </c>
      <c r="CR40" s="131" t="str">
        <f t="shared" si="48"/>
        <v>#REF!</v>
      </c>
      <c r="CS40" s="131" t="str">
        <f t="array" ref="CS40">INDEX(CR:CR,MIN(IF(ISNUMBER(CR40:CR236),ROW(CR40:CR236),"")))</f>
        <v/>
      </c>
      <c r="CT40" s="131" t="str">
        <f t="shared" si="125"/>
        <v>#REF!</v>
      </c>
      <c r="CU40" s="138" t="str">
        <f>CT40*VLOOKUP('Données projet (1)'!$B$13,'Paramètres (1)'!$A$1:$I$88,3,0)*VLOOKUP('Données projet (1)'!$B$13,'Paramètres (1)'!$A$1:$I$88,5,0)</f>
        <v>#REF!</v>
      </c>
      <c r="CV40" s="130" t="str">
        <f t="shared" si="126"/>
        <v>#REF!</v>
      </c>
      <c r="CW40" s="141" t="str">
        <f t="shared" si="49"/>
        <v>#REF!</v>
      </c>
      <c r="CX40" s="133" t="str">
        <f t="shared" si="50"/>
        <v>#REF!</v>
      </c>
      <c r="CY40" s="133" t="str">
        <f t="shared" si="51"/>
        <v>#REF!</v>
      </c>
      <c r="CZ40" s="133" t="str">
        <f t="shared" si="127"/>
        <v>#REF!</v>
      </c>
      <c r="DA40" s="134" t="str">
        <f t="shared" si="52"/>
        <v>#REF!</v>
      </c>
      <c r="DB40" s="134" t="str">
        <f t="shared" si="53"/>
        <v>#REF!</v>
      </c>
      <c r="DC40" s="135" t="str">
        <f>IF(ISNA(VLOOKUP(A40,'Données projet (1)'!$A$139:$I$159,5,0)),0%,VLOOKUP(A40,'Données projet (1)'!$A$139:$I$159,5,0)*VLOOKUP('Données projet (1)'!$B$13,'Paramètres (1)'!$A$1:$I$88,7,0))</f>
        <v>#REF!</v>
      </c>
      <c r="DD40" s="135" t="str">
        <f>IF(ISNA(VLOOKUP(A40,'Données projet (1)'!$A$139:$I$159,6,0)),0%,VLOOKUP(A40,'Données projet (1)'!$A$139:$I$159,6,0)*VLOOKUP('Données projet (1)'!$B$13,'Paramètres (1)'!$A$1:$I$88,7,0))</f>
        <v>#REF!</v>
      </c>
      <c r="DE40" s="135" t="str">
        <f t="shared" si="54"/>
        <v>#REF!</v>
      </c>
      <c r="DF40" s="142" t="str">
        <f>EXP(-LN(2)/35)*DF39+(1-EXP(-LN(2)/35))/(LN(2)/35)*DB40*DC40*VLOOKUP('Données projet (1)'!$B$13,'Paramètres (1)'!$A$1:$I$88,3,0)*0.475*44/12</f>
        <v>#REF!</v>
      </c>
      <c r="DG40" s="142" t="str">
        <f>EXP(-LN(2)/25)*DG39+(1-EXP(-LN(2)/25))/(LN(2)/25)*'Calculateur (1)'!DB40*'Calculateur (1)'!DD40*VLOOKUP('Données projet (1)'!$B$13,'Paramètres (1)'!$A$1:$I$88,3,0)*0.475*44/12</f>
        <v>#REF!</v>
      </c>
      <c r="DH40" s="142" t="str">
        <f>EXP(-LN(2)/2)*DH39+(1-EXP(-LN(2)/2))/(LN(2)/2)*DB40*DE40*VLOOKUP('Données projet (1)'!$B$13,'Paramètres (1)'!$A$1:$I$88,3,0)*0.475*44/12</f>
        <v>#REF!</v>
      </c>
      <c r="DI40" s="143" t="str">
        <f t="shared" si="55"/>
        <v>#REF!</v>
      </c>
      <c r="DJ40" s="139" t="str">
        <f t="shared" si="56"/>
        <v>#REF!</v>
      </c>
      <c r="DK40" s="131">
        <f t="shared" si="57"/>
        <v>10</v>
      </c>
      <c r="DL40" s="131" t="str">
        <f t="shared" si="128"/>
        <v>#REF!</v>
      </c>
      <c r="DM40" s="131" t="str">
        <f t="shared" si="58"/>
        <v>#REF!</v>
      </c>
      <c r="DN40" s="131" t="str">
        <f t="array" ref="DN40">INDEX(DM:DM,MIN(IF(ISNUMBER(DM40:DM236),ROW(DM40:DM236),"")))</f>
        <v/>
      </c>
      <c r="DO40" s="131" t="str">
        <f t="shared" si="129"/>
        <v>#REF!</v>
      </c>
      <c r="DP40" s="138" t="str">
        <f>DO40*VLOOKUP('Données projet (1)'!$B$14,'Paramètres (1)'!$A$1:$I$88,3,0)*VLOOKUP('Données projet (1)'!$B$14,'Paramètres (1)'!$A$1:$I$88,5,0)</f>
        <v>#REF!</v>
      </c>
      <c r="DQ40" s="130" t="str">
        <f t="shared" si="130"/>
        <v>#REF!</v>
      </c>
      <c r="DR40" s="141" t="str">
        <f t="shared" si="59"/>
        <v>#REF!</v>
      </c>
      <c r="DS40" s="133" t="str">
        <f t="shared" si="60"/>
        <v>#REF!</v>
      </c>
      <c r="DT40" s="133" t="str">
        <f t="shared" si="61"/>
        <v>#REF!</v>
      </c>
      <c r="DU40" s="133" t="str">
        <f t="shared" si="131"/>
        <v>#REF!</v>
      </c>
      <c r="DV40" s="134" t="str">
        <f t="shared" si="62"/>
        <v>#REF!</v>
      </c>
      <c r="DW40" s="134" t="str">
        <f t="shared" si="63"/>
        <v>#REF!</v>
      </c>
      <c r="DX40" s="135" t="str">
        <f>IF(ISNA(VLOOKUP(A40,'Données projet (1)'!$A$165:$I$185,5,0)),0%,VLOOKUP(A40,'Données projet (1)'!$A$165:$I$185,5,0)*VLOOKUP('Données projet (1)'!$B$14,'Paramètres (1)'!$A$1:$I$88,7,0))</f>
        <v>#REF!</v>
      </c>
      <c r="DY40" s="135" t="str">
        <f>IF(ISNA(VLOOKUP(A40,'Données projet (1)'!$A$165:$I$185,6,0)),0%,VLOOKUP(A40,'Données projet (1)'!$A$165:$I$185,6,0)*VLOOKUP('Données projet (1)'!$B$14,'Paramètres (1)'!$A$1:$I$88,7,0))</f>
        <v>#REF!</v>
      </c>
      <c r="DZ40" s="135" t="str">
        <f t="shared" si="64"/>
        <v>#REF!</v>
      </c>
      <c r="EA40" s="142" t="str">
        <f>EXP(-LN(2)/35)*EA39+(1-EXP(-LN(2)/35))/(LN(2)/35)*DW40*DX40*VLOOKUP('Données projet (1)'!$B$14,'Paramètres (1)'!$A$1:$I$88,3,0)*0.475*44/12</f>
        <v>#REF!</v>
      </c>
      <c r="EB40" s="142" t="str">
        <f>EXP(-LN(2)/25)*EB39+(1-EXP(-LN(2)/25))/(LN(2)/25)*'Calculateur (1)'!DW40*'Calculateur (1)'!DY40*VLOOKUP('Données projet (1)'!$B$14,'Paramètres (1)'!$A$1:$I$88,3,0)*0.475*44/12</f>
        <v>#REF!</v>
      </c>
      <c r="EC40" s="142" t="str">
        <f>EXP(-LN(2)/2)*EC39+(1-EXP(-LN(2)/2))/(LN(2)/2)*DW40*DZ40*VLOOKUP('Données projet (1)'!$B$14,'Paramètres (1)'!$A$1:$I$88,3,0)*0.475*44/12</f>
        <v>#REF!</v>
      </c>
      <c r="ED40" s="143" t="str">
        <f t="shared" si="65"/>
        <v>#REF!</v>
      </c>
      <c r="EE40" s="139" t="str">
        <f t="shared" si="66"/>
        <v>#REF!</v>
      </c>
      <c r="EF40" s="131">
        <f t="shared" si="67"/>
        <v>10</v>
      </c>
      <c r="EG40" s="131" t="str">
        <f t="shared" si="132"/>
        <v>#REF!</v>
      </c>
      <c r="EH40" s="131" t="str">
        <f t="shared" si="68"/>
        <v>#REF!</v>
      </c>
      <c r="EI40" s="131" t="str">
        <f t="array" ref="EI40">INDEX(EH:EH,MIN(IF(ISNUMBER(EH40:EH236),ROW(EH40:EH236),"")))</f>
        <v/>
      </c>
      <c r="EJ40" s="131" t="str">
        <f t="shared" si="133"/>
        <v>#REF!</v>
      </c>
      <c r="EK40" s="138" t="str">
        <f>EJ40*VLOOKUP('Données projet (1)'!$B$15,'Paramètres (1)'!$A$1:$I$88,3,0)*VLOOKUP('Données projet (1)'!$B$15,'Paramètres (1)'!$A$1:$I$88,5,0)</f>
        <v>#REF!</v>
      </c>
      <c r="EL40" s="130" t="str">
        <f t="shared" si="134"/>
        <v>#REF!</v>
      </c>
      <c r="EM40" s="141" t="str">
        <f t="shared" si="69"/>
        <v>#REF!</v>
      </c>
      <c r="EN40" s="133" t="str">
        <f t="shared" si="70"/>
        <v>#REF!</v>
      </c>
      <c r="EO40" s="133" t="str">
        <f t="shared" si="71"/>
        <v>#REF!</v>
      </c>
      <c r="EP40" s="133" t="str">
        <f t="shared" si="135"/>
        <v>#REF!</v>
      </c>
      <c r="EQ40" s="134" t="str">
        <f t="shared" si="72"/>
        <v>#REF!</v>
      </c>
      <c r="ER40" s="134" t="str">
        <f t="shared" si="73"/>
        <v>#REF!</v>
      </c>
      <c r="ES40" s="135" t="str">
        <f>IF(ISNA(VLOOKUP(A40,'Données projet (1)'!$A$191:$I$211,5,0)),0%,VLOOKUP(A40,'Données projet (1)'!$A$191:$I$211,5,0)*VLOOKUP('Données projet (1)'!$B$15,'Paramètres (1)'!$A$1:$I$88,7,0))</f>
        <v>#REF!</v>
      </c>
      <c r="ET40" s="135" t="str">
        <f>IF(ISNA(VLOOKUP(A40,'Données projet (1)'!$A$191:$I$211,6,0)),0%,VLOOKUP(A40,'Données projet (1)'!$A$191:$I$211,6,0)*VLOOKUP('Données projet (1)'!$B$15,'Paramètres (1)'!$A$1:$I$88,7,0))</f>
        <v>#REF!</v>
      </c>
      <c r="EU40" s="135" t="str">
        <f t="shared" si="74"/>
        <v>#REF!</v>
      </c>
      <c r="EV40" s="142" t="str">
        <f>EXP(-LN(2)/35)*EV39+(1-EXP(-LN(2)/35))/(LN(2)/35)*ER40*ES40*VLOOKUP('Données projet (1)'!$B$15,'Paramètres (1)'!$A$1:$I$88,3,0)*0.475*44/12</f>
        <v>#REF!</v>
      </c>
      <c r="EW40" s="142" t="str">
        <f>EXP(-LN(2)/25)*EW39+(1-EXP(-LN(2)/25))/(LN(2)/25)*'Calculateur (1)'!ER40*'Calculateur (1)'!ET40*VLOOKUP('Données projet (1)'!$B$15,'Paramètres (1)'!$A$1:$I$88,3,0)*0.475*44/12</f>
        <v>#REF!</v>
      </c>
      <c r="EX40" s="142" t="str">
        <f>EXP(-LN(2)/2)*EX39+(1-EXP(-LN(2)/2))/(LN(2)/2)*ER40*EU40*VLOOKUP('Données projet (1)'!$B$15,'Paramètres (1)'!$A$1:$I$88,3,0)*0.475*44/12</f>
        <v>#REF!</v>
      </c>
      <c r="EY40" s="143" t="str">
        <f t="shared" si="75"/>
        <v>#REF!</v>
      </c>
      <c r="EZ40" s="139" t="str">
        <f t="shared" si="76"/>
        <v>#REF!</v>
      </c>
      <c r="FA40" s="131">
        <f t="shared" si="77"/>
        <v>10</v>
      </c>
      <c r="FB40" s="131" t="str">
        <f t="shared" si="136"/>
        <v>#REF!</v>
      </c>
      <c r="FC40" s="131" t="str">
        <f t="shared" si="78"/>
        <v>#REF!</v>
      </c>
      <c r="FD40" s="131" t="str">
        <f t="array" ref="FD40">INDEX(FC:FC,MIN(IF(ISNUMBER(FC40:FC236),ROW(FC40:FC236),"")))</f>
        <v/>
      </c>
      <c r="FE40" s="131" t="str">
        <f t="shared" si="137"/>
        <v>#REF!</v>
      </c>
      <c r="FF40" s="138" t="str">
        <f>FE40*VLOOKUP('Données projet (1)'!$B$16,'Paramètres (1)'!$A$1:$I$88,3,0)*VLOOKUP('Données projet (1)'!$B$16,'Paramètres (1)'!$A$1:$I$88,5,0)</f>
        <v>#REF!</v>
      </c>
      <c r="FG40" s="130" t="str">
        <f t="shared" si="138"/>
        <v>#REF!</v>
      </c>
      <c r="FH40" s="141" t="str">
        <f t="shared" si="79"/>
        <v>#REF!</v>
      </c>
      <c r="FI40" s="133" t="str">
        <f t="shared" si="80"/>
        <v>#REF!</v>
      </c>
      <c r="FJ40" s="133" t="str">
        <f t="shared" si="81"/>
        <v>#REF!</v>
      </c>
      <c r="FK40" s="133" t="str">
        <f t="shared" si="139"/>
        <v>#REF!</v>
      </c>
      <c r="FL40" s="134" t="str">
        <f t="shared" si="82"/>
        <v>#REF!</v>
      </c>
      <c r="FM40" s="134" t="str">
        <f t="shared" si="83"/>
        <v>#REF!</v>
      </c>
      <c r="FN40" s="135" t="str">
        <f>IF(ISNA(VLOOKUP(A40,'Données projet (1)'!$A$217:$I$237,5,0)),0%,VLOOKUP(A40,'Données projet (1)'!$A$217:$I$237,5,0)*VLOOKUP('Données projet (1)'!$B$16,'Paramètres (1)'!$A$1:$I$88,7,0))</f>
        <v>#REF!</v>
      </c>
      <c r="FO40" s="135" t="str">
        <f>IF(ISNA(VLOOKUP(A40,'Données projet (1)'!$A$217:$I$237,6,0)),0%,VLOOKUP(A40,'Données projet (1)'!$A$217:$I$237,6,0)*VLOOKUP('Données projet (1)'!$B$16,'Paramètres (1)'!$A$1:$I$88,7,0))</f>
        <v>#REF!</v>
      </c>
      <c r="FP40" s="135" t="str">
        <f t="shared" si="84"/>
        <v>#REF!</v>
      </c>
      <c r="FQ40" s="142" t="str">
        <f>EXP(-LN(2)/35)*FQ39+(1-EXP(-LN(2)/35))/(LN(2)/35)*FM40*FN40*VLOOKUP('Données projet (1)'!$B$16,'Paramètres (1)'!$A$1:$I$88,3,0)*0.475*44/12</f>
        <v>#REF!</v>
      </c>
      <c r="FR40" s="142" t="str">
        <f>EXP(-LN(2)/25)*FR39+(1-EXP(-LN(2)/25))/(LN(2)/25)*'Calculateur (1)'!FM40*'Calculateur (1)'!FO40*VLOOKUP('Données projet (1)'!$B$16,'Paramètres (1)'!$A$1:$I$88,3,0)*0.475*44/12</f>
        <v>#REF!</v>
      </c>
      <c r="FS40" s="142" t="str">
        <f>EXP(-LN(2)/2)*FS39+(1-EXP(-LN(2)/2))/(LN(2)/2)*FM40*FP40*VLOOKUP('Données projet (1)'!$B$16,'Paramètres (1)'!$A$1:$I$88,3,0)*0.475*44/12</f>
        <v>#REF!</v>
      </c>
      <c r="FT40" s="143" t="str">
        <f t="shared" si="85"/>
        <v>#REF!</v>
      </c>
      <c r="FU40" s="139" t="str">
        <f t="shared" si="86"/>
        <v>#REF!</v>
      </c>
      <c r="FV40" s="131">
        <f t="shared" si="87"/>
        <v>10</v>
      </c>
      <c r="FW40" s="131" t="str">
        <f t="shared" si="140"/>
        <v>#REF!</v>
      </c>
      <c r="FX40" s="131" t="str">
        <f t="shared" si="88"/>
        <v>#REF!</v>
      </c>
      <c r="FY40" s="131" t="str">
        <f t="array" ref="FY40">INDEX(FX:FX,MIN(IF(ISNUMBER(FX40:FX236),ROW(FX40:FX236),"")))</f>
        <v/>
      </c>
      <c r="FZ40" s="131" t="str">
        <f t="shared" si="141"/>
        <v>#REF!</v>
      </c>
      <c r="GA40" s="138" t="str">
        <f>FZ40*VLOOKUP('Données projet (1)'!$B$17,'Paramètres (1)'!$A$1:$I$88,3,0)*VLOOKUP('Données projet (1)'!$B$17,'Paramètres (1)'!$A$1:$I$88,5,0)</f>
        <v>#REF!</v>
      </c>
      <c r="GB40" s="130" t="str">
        <f t="shared" si="142"/>
        <v>#REF!</v>
      </c>
      <c r="GC40" s="141" t="str">
        <f t="shared" si="89"/>
        <v>#REF!</v>
      </c>
      <c r="GD40" s="133" t="str">
        <f t="shared" si="90"/>
        <v>#REF!</v>
      </c>
      <c r="GE40" s="133" t="str">
        <f t="shared" si="91"/>
        <v>#REF!</v>
      </c>
      <c r="GF40" s="133" t="str">
        <f t="shared" si="143"/>
        <v>#REF!</v>
      </c>
      <c r="GG40" s="134" t="str">
        <f t="shared" si="92"/>
        <v>#REF!</v>
      </c>
      <c r="GH40" s="134" t="str">
        <f t="shared" si="93"/>
        <v>#REF!</v>
      </c>
      <c r="GI40" s="135" t="str">
        <f>IF(ISNA(VLOOKUP(A40,'Données projet (1)'!$A$243:$I$263,5,0)),0%,VLOOKUP(A40,'Données projet (1)'!$A$243:$I$263,5,0)*VLOOKUP('Données projet (1)'!$B$17,'Paramètres (1)'!$A$1:$I$88,7,0))</f>
        <v>#REF!</v>
      </c>
      <c r="GJ40" s="135" t="str">
        <f>IF(ISNA(VLOOKUP(A40,'Données projet (1)'!$A$243:$I$263,6,0)),0%,VLOOKUP(A40,'Données projet (1)'!$A$243:$I$263,6,0)*VLOOKUP('Données projet (1)'!$B$17,'Paramètres (1)'!$A$1:$I$88,7,0))</f>
        <v>#REF!</v>
      </c>
      <c r="GK40" s="135" t="str">
        <f t="shared" si="94"/>
        <v>#REF!</v>
      </c>
      <c r="GL40" s="142" t="str">
        <f>EXP(-LN(2)/35)*GL39+(1-EXP(-LN(2)/35))/(LN(2)/35)*GH40*GI40*VLOOKUP('Données projet (1)'!$B$17,'Paramètres (1)'!$A$1:$I$88,3,0)*0.475*44/12</f>
        <v>#REF!</v>
      </c>
      <c r="GM40" s="142" t="str">
        <f>EXP(-LN(2)/25)*GM39+(1-EXP(-LN(2)/25))/(LN(2)/25)*'Calculateur (1)'!GH40*'Calculateur (1)'!GJ40*VLOOKUP('Données projet (1)'!$B$17,'Paramètres (1)'!$A$1:$I$88,3,0)*0.475*44/12</f>
        <v>#REF!</v>
      </c>
      <c r="GN40" s="142" t="str">
        <f>EXP(-LN(2)/2)*GN39+(1-EXP(-LN(2)/2))/(LN(2)/2)*GH40*GK40*VLOOKUP('Données projet (1)'!$B$17,'Paramètres (1)'!$A$1:$I$88,3,0)*0.475*44/12</f>
        <v>#REF!</v>
      </c>
      <c r="GO40" s="142" t="str">
        <f t="shared" si="95"/>
        <v>#REF!</v>
      </c>
      <c r="GP40" s="139" t="str">
        <f t="shared" si="96"/>
        <v>#REF!</v>
      </c>
      <c r="GQ40" s="131">
        <f t="shared" si="97"/>
        <v>10</v>
      </c>
      <c r="GR40" s="131" t="str">
        <f t="shared" si="144"/>
        <v>#REF!</v>
      </c>
      <c r="GS40" s="131" t="str">
        <f t="shared" si="98"/>
        <v>#REF!</v>
      </c>
      <c r="GT40" s="131" t="str">
        <f t="array" ref="GT40">INDEX(GS:GS,MIN(IF(ISNUMBER(GS40:GS236),ROW(GS40:GS236),"")))</f>
        <v/>
      </c>
      <c r="GU40" s="131" t="str">
        <f t="shared" si="145"/>
        <v>#REF!</v>
      </c>
      <c r="GV40" s="138" t="str">
        <f>GU40*VLOOKUP('Données projet (1)'!$B$18,'Paramètres (1)'!$A$1:$I$88,3,0)*VLOOKUP('Données projet (1)'!$B$18,'Paramètres (1)'!$A$1:$I$88,5,0)</f>
        <v>#REF!</v>
      </c>
      <c r="GW40" s="130" t="str">
        <f t="shared" si="146"/>
        <v>#REF!</v>
      </c>
      <c r="GX40" s="141" t="str">
        <f t="shared" si="99"/>
        <v>#REF!</v>
      </c>
      <c r="GY40" s="133" t="str">
        <f t="shared" si="100"/>
        <v>#REF!</v>
      </c>
      <c r="GZ40" s="133" t="str">
        <f t="shared" si="101"/>
        <v>#REF!</v>
      </c>
      <c r="HA40" s="133" t="str">
        <f t="shared" si="147"/>
        <v>#REF!</v>
      </c>
      <c r="HB40" s="134" t="str">
        <f t="shared" si="102"/>
        <v>#REF!</v>
      </c>
      <c r="HC40" s="134" t="str">
        <f t="shared" si="103"/>
        <v>#REF!</v>
      </c>
      <c r="HD40" s="135" t="str">
        <f>IF(ISNA(VLOOKUP(A40,'Données projet (1)'!$A$269:$I$289,5,0)),0%,VLOOKUP(A40,'Données projet (1)'!$A$269:$I$289,5,0)*VLOOKUP('Données projet (1)'!$B$18,'Paramètres (1)'!$A$1:$I$88,7,0))</f>
        <v>#REF!</v>
      </c>
      <c r="HE40" s="135" t="str">
        <f>IF(ISNA(VLOOKUP(A40,'Données projet (1)'!$A$269:$I$289,6,0)),0%,VLOOKUP(A40,'Données projet (1)'!$A$269:$I$289,6,0)*VLOOKUP('Données projet (1)'!$B$18,'Paramètres (1)'!$A$1:$I$88,7,0))</f>
        <v>#REF!</v>
      </c>
      <c r="HF40" s="135" t="str">
        <f t="shared" si="104"/>
        <v>#REF!</v>
      </c>
      <c r="HG40" s="142" t="str">
        <f>EXP(-LN(2)/35)*HG39+(1-EXP(-LN(2)/35))/(LN(2)/35)*HC40*HD40*VLOOKUP('Données projet (1)'!$B$18,'Paramètres (1)'!$A$1:$I$88,3,0)*0.475*44/12</f>
        <v>#REF!</v>
      </c>
      <c r="HH40" s="142" t="str">
        <f>EXP(-LN(2)/25)*HH39+(1-EXP(-LN(2)/25))/(LN(2)/25)*'Calculateur (1)'!HC40*'Calculateur (1)'!HE40*VLOOKUP('Données projet (1)'!$B$18,'Paramètres (1)'!$A$1:$I$88,3,0)*0.475*44/12</f>
        <v>#REF!</v>
      </c>
      <c r="HI40" s="142" t="str">
        <f>EXP(-LN(2)/2)*HI39+(1-EXP(-LN(2)/2))/(LN(2)/2)*HC40*HF40*VLOOKUP('Données projet (1)'!$B$18,'Paramètres (1)'!$A$1:$I$88,3,0)*0.475*44/12</f>
        <v>#REF!</v>
      </c>
      <c r="HJ40" s="143" t="str">
        <f t="shared" si="105"/>
        <v>#REF!</v>
      </c>
    </row>
    <row r="41" ht="14.25" customHeight="1">
      <c r="A41" s="125">
        <f t="shared" si="106"/>
        <v>38</v>
      </c>
      <c r="B41" s="126" t="str">
        <f t="shared" si="1"/>
        <v>#REF!</v>
      </c>
      <c r="C41" s="140" t="str">
        <f>'Calculateur (1)'!C40+'Scénario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1" s="127">
        <f t="shared" si="107"/>
        <v>0</v>
      </c>
      <c r="E41" s="127" t="str">
        <f t="shared" si="2"/>
        <v>#REF!</v>
      </c>
      <c r="F41" s="127" t="str">
        <f t="shared" si="3"/>
        <v>#REF!</v>
      </c>
      <c r="G41" s="127" t="str">
        <f t="shared" si="4"/>
        <v>#REF!</v>
      </c>
      <c r="H41" s="128" t="str">
        <f t="shared" si="5"/>
        <v>#REF!</v>
      </c>
      <c r="I41" s="129" t="str">
        <f t="shared" si="6"/>
        <v>#REF!</v>
      </c>
      <c r="J41" s="130">
        <f t="shared" si="7"/>
        <v>10</v>
      </c>
      <c r="K41" s="131" t="str">
        <f t="shared" si="108"/>
        <v>#REF!</v>
      </c>
      <c r="L41" s="131" t="str">
        <f t="shared" si="8"/>
        <v>#REF!</v>
      </c>
      <c r="M41" s="131" t="str">
        <f t="array" ref="M41">INDEX(L:L,MIN(IF(ISNUMBER(L41:L237),ROW(L41:L237),"")))</f>
        <v/>
      </c>
      <c r="N41" s="130" t="str">
        <f t="shared" si="109"/>
        <v>#REF!</v>
      </c>
      <c r="O41" s="130" t="str">
        <f>N41*VLOOKUP('Données projet (1)'!$B$9,'Paramètres (1)'!$A$1:$I$88,3,0)*VLOOKUP('Données projet (1)'!$B$9,'Paramètres (1)'!$A$1:$I$88,5,0)</f>
        <v>#REF!</v>
      </c>
      <c r="P41" s="130" t="str">
        <f t="shared" si="110"/>
        <v>#REF!</v>
      </c>
      <c r="Q41" s="141" t="str">
        <f t="shared" si="9"/>
        <v>#REF!</v>
      </c>
      <c r="R41" s="133" t="str">
        <f t="shared" si="10"/>
        <v>#REF!</v>
      </c>
      <c r="S41" s="133" t="str">
        <f t="shared" si="11"/>
        <v>#REF!</v>
      </c>
      <c r="T41" s="133" t="str">
        <f t="shared" si="111"/>
        <v>#REF!</v>
      </c>
      <c r="U41" s="134" t="str">
        <f t="shared" si="12"/>
        <v>#REF!</v>
      </c>
      <c r="V41" s="134" t="str">
        <f t="shared" si="13"/>
        <v>#REF!</v>
      </c>
      <c r="W41" s="135" t="str">
        <f>IF(ISNA(VLOOKUP(A41,'Données projet (1)'!$A$35:$I$55,5,0)),0%,VLOOKUP(A41,'Données projet (1)'!$A$35:$I$55,5,0)*VLOOKUP('Données projet (1)'!$B$9,'Paramètres (1)'!$A$1:$I$88,7,0))</f>
        <v>#REF!</v>
      </c>
      <c r="X41" s="135" t="str">
        <f>IF(ISNA(VLOOKUP(A41,'Données projet (1)'!$A$35:$I$55,6,0)),0%,VLOOKUP(A41,'Données projet (1)'!$A$35:$I$55,6,0)*VLOOKUP('Données projet (1)'!$B$9,'Paramètres (1)'!$A$1:$I$88,7,0))</f>
        <v>#REF!</v>
      </c>
      <c r="Y41" s="135" t="str">
        <f t="shared" si="14"/>
        <v>#REF!</v>
      </c>
      <c r="Z41" s="142" t="str">
        <f>EXP(-LN(2)/35)*Z40+(1-EXP(-LN(2)/35))/(LN(2)/35)*V41*W41*VLOOKUP('Données projet (1)'!$B$9,'Paramètres (1)'!$A$1:$I$88,3,0)*0.475*44/12</f>
        <v>#REF!</v>
      </c>
      <c r="AA41" s="142" t="str">
        <f>EXP(-LN(2)/25)*AA40+(1-EXP(-LN(2)/25))/(LN(2)/25)*'Calculateur (1)'!V41*'Calculateur (1)'!X41*VLOOKUP('Données projet (1)'!$B$9,'Paramètres (1)'!$A$1:$I$88,3,0)*0.475*44/12</f>
        <v>#REF!</v>
      </c>
      <c r="AB41" s="142" t="str">
        <f>EXP(-LN(2)/2)*AB40+(1-EXP(-LN(2)/2))/(LN(2)/2)*V41*Y41*VLOOKUP('Données projet (1)'!$B$9,'Paramètres (1)'!$A$1:$I$88,3,0)*0.475*44/12</f>
        <v>#REF!</v>
      </c>
      <c r="AC41" s="143" t="str">
        <f t="shared" si="15"/>
        <v>#REF!</v>
      </c>
      <c r="AD41" s="130" t="str">
        <f t="shared" si="16"/>
        <v>#REF!</v>
      </c>
      <c r="AE41" s="130">
        <f t="shared" si="17"/>
        <v>10</v>
      </c>
      <c r="AF41" s="131" t="str">
        <f t="shared" si="112"/>
        <v>#REF!</v>
      </c>
      <c r="AG41" s="131" t="str">
        <f t="shared" si="18"/>
        <v>#REF!</v>
      </c>
      <c r="AH41" s="131" t="str">
        <f t="array" ref="AH41">INDEX(AG:AG,MIN(IF(ISNUMBER(AG41:AG237),ROW(AG41:AG237),"")))</f>
        <v/>
      </c>
      <c r="AI41" s="130" t="str">
        <f t="shared" si="113"/>
        <v>#REF!</v>
      </c>
      <c r="AJ41" s="130" t="str">
        <f>AI41*VLOOKUP('Données projet (1)'!$B$10,'Paramètres (1)'!$A$1:$I$88,3,0)*VLOOKUP('Données projet (1)'!$B$10,'Paramètres (1)'!$A$1:$I$88,5,0)</f>
        <v>#REF!</v>
      </c>
      <c r="AK41" s="130" t="str">
        <f t="shared" si="114"/>
        <v>#REF!</v>
      </c>
      <c r="AL41" s="141" t="str">
        <f t="shared" si="19"/>
        <v>#REF!</v>
      </c>
      <c r="AM41" s="133" t="str">
        <f t="shared" si="20"/>
        <v>#REF!</v>
      </c>
      <c r="AN41" s="133" t="str">
        <f t="shared" si="21"/>
        <v>#REF!</v>
      </c>
      <c r="AO41" s="133" t="str">
        <f t="shared" si="115"/>
        <v>#REF!</v>
      </c>
      <c r="AP41" s="134" t="str">
        <f t="shared" si="22"/>
        <v>#REF!</v>
      </c>
      <c r="AQ41" s="134" t="str">
        <f t="shared" si="23"/>
        <v>#REF!</v>
      </c>
      <c r="AR41" s="135" t="str">
        <f>IF(ISNA(VLOOKUP(A41,'Données projet (1)'!$A$61:$I$81,5,0)),0%,VLOOKUP(A41,'Données projet (1)'!$A$61:$I$81,5,0)*VLOOKUP('Données projet (1)'!$B$10,'Paramètres (1)'!$A$1:$I$88,7,0))</f>
        <v>#REF!</v>
      </c>
      <c r="AS41" s="135" t="str">
        <f>IF(ISNA(VLOOKUP(A41,'Données projet (1)'!$A$61:$I$81,6,0)),0%,VLOOKUP(A41,'Données projet (1)'!$A$61:$I$81,6,0)*VLOOKUP('Données projet (1)'!$B$10,'Paramètres (1)'!$A$1:$I$88,7,0))</f>
        <v>#REF!</v>
      </c>
      <c r="AT41" s="135" t="str">
        <f t="shared" si="24"/>
        <v>#REF!</v>
      </c>
      <c r="AU41" s="142" t="str">
        <f>EXP(-LN(2)/35)*AU40+(1-EXP(-LN(2)/35))/(LN(2)/35)*AQ41*AR41*VLOOKUP('Données projet (1)'!$B$10,'Paramètres (1)'!$A$1:$I$88,3,0)*0.475*44/12</f>
        <v>#REF!</v>
      </c>
      <c r="AV41" s="142" t="str">
        <f>EXP(-LN(2)/25)*AV40+(1-EXP(-LN(2)/25))/(LN(2)/25)*'Calculateur (1)'!AQ41*'Calculateur (1)'!AS41*VLOOKUP('Données projet (1)'!$B$10,'Paramètres (1)'!$A$1:$I$88,3,0)*0.475*44/12</f>
        <v>#REF!</v>
      </c>
      <c r="AW41" s="142" t="str">
        <f>EXP(-LN(2)/2)*AW40+(1-EXP(-LN(2)/2))/(LN(2)/2)*AQ41*AT41*VLOOKUP('Données projet (1)'!$B$10,'Paramètres (1)'!$A$1:$I$88,3,0)*0.475*44/12</f>
        <v>#REF!</v>
      </c>
      <c r="AX41" s="142" t="str">
        <f t="shared" si="25"/>
        <v>#REF!</v>
      </c>
      <c r="AY41" s="137" t="str">
        <f t="shared" si="26"/>
        <v>#REF!</v>
      </c>
      <c r="AZ41" s="131">
        <f t="shared" si="27"/>
        <v>10</v>
      </c>
      <c r="BA41" s="131" t="str">
        <f t="shared" si="116"/>
        <v>#REF!</v>
      </c>
      <c r="BB41" s="131" t="str">
        <f t="shared" si="28"/>
        <v>#REF!</v>
      </c>
      <c r="BC41" s="131" t="str">
        <f t="array" ref="BC41">INDEX(BB:BB,MIN(IF(ISNUMBER(BB41:BB237),ROW(BB41:BB237),"")))</f>
        <v/>
      </c>
      <c r="BD41" s="131" t="str">
        <f t="shared" si="117"/>
        <v>#REF!</v>
      </c>
      <c r="BE41" s="130" t="str">
        <f>BD41*VLOOKUP('Données projet (1)'!$B$11,'Paramètres (1)'!$A$1:$I$88,3,0)*VLOOKUP('Données projet (1)'!$B$11,'Paramètres (1)'!$A$1:$I$88,5,0)</f>
        <v>#REF!</v>
      </c>
      <c r="BF41" s="130" t="str">
        <f t="shared" si="118"/>
        <v>#REF!</v>
      </c>
      <c r="BG41" s="141" t="str">
        <f t="shared" si="29"/>
        <v>#REF!</v>
      </c>
      <c r="BH41" s="133" t="str">
        <f t="shared" si="30"/>
        <v>#REF!</v>
      </c>
      <c r="BI41" s="133" t="str">
        <f t="shared" si="31"/>
        <v>#REF!</v>
      </c>
      <c r="BJ41" s="133" t="str">
        <f t="shared" si="119"/>
        <v>#REF!</v>
      </c>
      <c r="BK41" s="134" t="str">
        <f t="shared" si="32"/>
        <v>#REF!</v>
      </c>
      <c r="BL41" s="134" t="str">
        <f t="shared" si="33"/>
        <v>#REF!</v>
      </c>
      <c r="BM41" s="135" t="str">
        <f>IF(ISNA(VLOOKUP(A41,'Données projet (1)'!$A$87:$I$107,5,0)),0%,VLOOKUP(A41,'Données projet (1)'!$A$87:$I$107,5,0)*VLOOKUP('Données projet (1)'!$B$11,'Paramètres (1)'!$A$1:$I$88,7,0))</f>
        <v>#REF!</v>
      </c>
      <c r="BN41" s="135" t="str">
        <f>IF(ISNA(VLOOKUP(A41,'Données projet (1)'!$A$87:$I$107,6,0)),0%,VLOOKUP(A41,'Données projet (1)'!$A$87:$I$107,6,0)*VLOOKUP('Données projet (1)'!$B$11,'Paramètres (1)'!$A$1:$I$88,7,0))</f>
        <v>#REF!</v>
      </c>
      <c r="BO41" s="135" t="str">
        <f t="shared" si="34"/>
        <v>#REF!</v>
      </c>
      <c r="BP41" s="142" t="str">
        <f>EXP(-LN(2)/35)*BP40+(1-EXP(-LN(2)/35))/(LN(2)/35)*BL41*BM41*VLOOKUP('Données projet (1)'!$B$11,'Paramètres (1)'!$A$1:$I$88,3,0)*0.475*44/12</f>
        <v>#REF!</v>
      </c>
      <c r="BQ41" s="142" t="str">
        <f>EXP(-LN(2)/25)*BQ40+(1-EXP(-LN(2)/25))/(LN(2)/25)*'Calculateur (1)'!BL41*'Calculateur (1)'!BN41*VLOOKUP('Données projet (1)'!$B$11,'Paramètres (1)'!$A$1:$I$88,3,0)*0.475*44/12</f>
        <v>#REF!</v>
      </c>
      <c r="BR41" s="142" t="str">
        <f>EXP(-LN(2)/2)*BR40+(1-EXP(-LN(2)/2))/(LN(2)/2)*BL41*BO41*VLOOKUP('Données projet (1)'!$B$11,'Paramètres (1)'!$A$1:$I$88,3,0)*0.475*44/12</f>
        <v>#REF!</v>
      </c>
      <c r="BS41" s="143" t="str">
        <f t="shared" si="35"/>
        <v>#REF!</v>
      </c>
      <c r="BT41" s="139" t="str">
        <f t="shared" si="36"/>
        <v>#REF!</v>
      </c>
      <c r="BU41" s="131">
        <f t="shared" si="37"/>
        <v>10</v>
      </c>
      <c r="BV41" s="131" t="str">
        <f t="shared" si="120"/>
        <v>#REF!</v>
      </c>
      <c r="BW41" s="131" t="str">
        <f t="shared" si="38"/>
        <v>#REF!</v>
      </c>
      <c r="BX41" s="131" t="str">
        <f t="array" ref="BX41">INDEX(BW:BW,MIN(IF(ISNUMBER(BW41:BW237),ROW(BW41:BW237),"")))</f>
        <v/>
      </c>
      <c r="BY41" s="131" t="str">
        <f t="shared" si="121"/>
        <v>#REF!</v>
      </c>
      <c r="BZ41" s="130" t="str">
        <f>BY41*VLOOKUP('Données projet (1)'!$B$12,'Paramètres (1)'!$A$1:$I$88,3,0)*VLOOKUP('Données projet (1)'!$B$12,'Paramètres (1)'!$A$1:$I$88,5,0)</f>
        <v>#REF!</v>
      </c>
      <c r="CA41" s="130" t="str">
        <f t="shared" si="122"/>
        <v>#REF!</v>
      </c>
      <c r="CB41" s="141" t="str">
        <f t="shared" si="39"/>
        <v>#REF!</v>
      </c>
      <c r="CC41" s="133" t="str">
        <f t="shared" si="40"/>
        <v>#REF!</v>
      </c>
      <c r="CD41" s="133" t="str">
        <f t="shared" si="41"/>
        <v>#REF!</v>
      </c>
      <c r="CE41" s="133" t="str">
        <f t="shared" si="123"/>
        <v>#REF!</v>
      </c>
      <c r="CF41" s="134" t="str">
        <f t="shared" si="42"/>
        <v>#REF!</v>
      </c>
      <c r="CG41" s="134" t="str">
        <f t="shared" si="43"/>
        <v>#REF!</v>
      </c>
      <c r="CH41" s="135" t="str">
        <f>IF(ISNA(VLOOKUP(A41,'Données projet (1)'!$A$113:$I$133,5,0)),0%,VLOOKUP(A41,'Données projet (1)'!$A$113:$I$133,5,0)*VLOOKUP('Données projet (1)'!$B$12,'Paramètres (1)'!$A$1:$I$88,7,0))</f>
        <v>#REF!</v>
      </c>
      <c r="CI41" s="135" t="str">
        <f>IF(ISNA(VLOOKUP(A41,'Données projet (1)'!$A$113:$I$133,6,0)),0%,VLOOKUP(A41,'Données projet (1)'!$A$113:$I$133,6,0)*VLOOKUP('Données projet (1)'!$B$12,'Paramètres (1)'!$A$1:$I$88,7,0))</f>
        <v>#REF!</v>
      </c>
      <c r="CJ41" s="135" t="str">
        <f t="shared" si="44"/>
        <v>#REF!</v>
      </c>
      <c r="CK41" s="142" t="str">
        <f>EXP(-LN(2)/35)*CK40+(1-EXP(-LN(2)/35))/(LN(2)/35)*CG41*CH41*VLOOKUP('Données projet (1)'!$B$12,'Paramètres (1)'!$A$1:$I$88,3,0)*0.475*44/12</f>
        <v>#REF!</v>
      </c>
      <c r="CL41" s="142" t="str">
        <f>EXP(-LN(2)/25)*CL40+(1-EXP(-LN(2)/25))/(LN(2)/25)*'Calculateur (1)'!CG41*'Calculateur (1)'!CI41*VLOOKUP('Données projet (1)'!$B$12,'Paramètres (1)'!$A$1:$I$88,3,0)*0.475*44/12</f>
        <v>#REF!</v>
      </c>
      <c r="CM41" s="142" t="str">
        <f>EXP(-LN(2)/2)*CM40+(1-EXP(-LN(2)/2))/(LN(2)/2)*CG41*CJ41*VLOOKUP('Données projet (1)'!$B$12,'Paramètres (1)'!$A$1:$I$88,3,0)*0.475*44/12</f>
        <v>#REF!</v>
      </c>
      <c r="CN41" s="143" t="str">
        <f t="shared" si="45"/>
        <v>#REF!</v>
      </c>
      <c r="CO41" s="139" t="str">
        <f t="shared" si="46"/>
        <v>#REF!</v>
      </c>
      <c r="CP41" s="131">
        <f t="shared" si="47"/>
        <v>10</v>
      </c>
      <c r="CQ41" s="131" t="str">
        <f t="shared" si="124"/>
        <v>#REF!</v>
      </c>
      <c r="CR41" s="131" t="str">
        <f t="shared" si="48"/>
        <v>#REF!</v>
      </c>
      <c r="CS41" s="131" t="str">
        <f t="array" ref="CS41">INDEX(CR:CR,MIN(IF(ISNUMBER(CR41:CR237),ROW(CR41:CR237),"")))</f>
        <v/>
      </c>
      <c r="CT41" s="131" t="str">
        <f t="shared" si="125"/>
        <v>#REF!</v>
      </c>
      <c r="CU41" s="138" t="str">
        <f>CT41*VLOOKUP('Données projet (1)'!$B$13,'Paramètres (1)'!$A$1:$I$88,3,0)*VLOOKUP('Données projet (1)'!$B$13,'Paramètres (1)'!$A$1:$I$88,5,0)</f>
        <v>#REF!</v>
      </c>
      <c r="CV41" s="130" t="str">
        <f t="shared" si="126"/>
        <v>#REF!</v>
      </c>
      <c r="CW41" s="141" t="str">
        <f t="shared" si="49"/>
        <v>#REF!</v>
      </c>
      <c r="CX41" s="133" t="str">
        <f t="shared" si="50"/>
        <v>#REF!</v>
      </c>
      <c r="CY41" s="133" t="str">
        <f t="shared" si="51"/>
        <v>#REF!</v>
      </c>
      <c r="CZ41" s="133" t="str">
        <f t="shared" si="127"/>
        <v>#REF!</v>
      </c>
      <c r="DA41" s="134" t="str">
        <f t="shared" si="52"/>
        <v>#REF!</v>
      </c>
      <c r="DB41" s="134" t="str">
        <f t="shared" si="53"/>
        <v>#REF!</v>
      </c>
      <c r="DC41" s="135" t="str">
        <f>IF(ISNA(VLOOKUP(A41,'Données projet (1)'!$A$139:$I$159,5,0)),0%,VLOOKUP(A41,'Données projet (1)'!$A$139:$I$159,5,0)*VLOOKUP('Données projet (1)'!$B$13,'Paramètres (1)'!$A$1:$I$88,7,0))</f>
        <v>#REF!</v>
      </c>
      <c r="DD41" s="135" t="str">
        <f>IF(ISNA(VLOOKUP(A41,'Données projet (1)'!$A$139:$I$159,6,0)),0%,VLOOKUP(A41,'Données projet (1)'!$A$139:$I$159,6,0)*VLOOKUP('Données projet (1)'!$B$13,'Paramètres (1)'!$A$1:$I$88,7,0))</f>
        <v>#REF!</v>
      </c>
      <c r="DE41" s="135" t="str">
        <f t="shared" si="54"/>
        <v>#REF!</v>
      </c>
      <c r="DF41" s="142" t="str">
        <f>EXP(-LN(2)/35)*DF40+(1-EXP(-LN(2)/35))/(LN(2)/35)*DB41*DC41*VLOOKUP('Données projet (1)'!$B$13,'Paramètres (1)'!$A$1:$I$88,3,0)*0.475*44/12</f>
        <v>#REF!</v>
      </c>
      <c r="DG41" s="142" t="str">
        <f>EXP(-LN(2)/25)*DG40+(1-EXP(-LN(2)/25))/(LN(2)/25)*'Calculateur (1)'!DB41*'Calculateur (1)'!DD41*VLOOKUP('Données projet (1)'!$B$13,'Paramètres (1)'!$A$1:$I$88,3,0)*0.475*44/12</f>
        <v>#REF!</v>
      </c>
      <c r="DH41" s="142" t="str">
        <f>EXP(-LN(2)/2)*DH40+(1-EXP(-LN(2)/2))/(LN(2)/2)*DB41*DE41*VLOOKUP('Données projet (1)'!$B$13,'Paramètres (1)'!$A$1:$I$88,3,0)*0.475*44/12</f>
        <v>#REF!</v>
      </c>
      <c r="DI41" s="143" t="str">
        <f t="shared" si="55"/>
        <v>#REF!</v>
      </c>
      <c r="DJ41" s="139" t="str">
        <f t="shared" si="56"/>
        <v>#REF!</v>
      </c>
      <c r="DK41" s="131">
        <f t="shared" si="57"/>
        <v>10</v>
      </c>
      <c r="DL41" s="131" t="str">
        <f t="shared" si="128"/>
        <v>#REF!</v>
      </c>
      <c r="DM41" s="131" t="str">
        <f t="shared" si="58"/>
        <v>#REF!</v>
      </c>
      <c r="DN41" s="131" t="str">
        <f t="array" ref="DN41">INDEX(DM:DM,MIN(IF(ISNUMBER(DM41:DM237),ROW(DM41:DM237),"")))</f>
        <v/>
      </c>
      <c r="DO41" s="131" t="str">
        <f t="shared" si="129"/>
        <v>#REF!</v>
      </c>
      <c r="DP41" s="138" t="str">
        <f>DO41*VLOOKUP('Données projet (1)'!$B$14,'Paramètres (1)'!$A$1:$I$88,3,0)*VLOOKUP('Données projet (1)'!$B$14,'Paramètres (1)'!$A$1:$I$88,5,0)</f>
        <v>#REF!</v>
      </c>
      <c r="DQ41" s="130" t="str">
        <f t="shared" si="130"/>
        <v>#REF!</v>
      </c>
      <c r="DR41" s="141" t="str">
        <f t="shared" si="59"/>
        <v>#REF!</v>
      </c>
      <c r="DS41" s="133" t="str">
        <f t="shared" si="60"/>
        <v>#REF!</v>
      </c>
      <c r="DT41" s="133" t="str">
        <f t="shared" si="61"/>
        <v>#REF!</v>
      </c>
      <c r="DU41" s="133" t="str">
        <f t="shared" si="131"/>
        <v>#REF!</v>
      </c>
      <c r="DV41" s="134" t="str">
        <f t="shared" si="62"/>
        <v>#REF!</v>
      </c>
      <c r="DW41" s="134" t="str">
        <f t="shared" si="63"/>
        <v>#REF!</v>
      </c>
      <c r="DX41" s="135" t="str">
        <f>IF(ISNA(VLOOKUP(A41,'Données projet (1)'!$A$165:$I$185,5,0)),0%,VLOOKUP(A41,'Données projet (1)'!$A$165:$I$185,5,0)*VLOOKUP('Données projet (1)'!$B$14,'Paramètres (1)'!$A$1:$I$88,7,0))</f>
        <v>#REF!</v>
      </c>
      <c r="DY41" s="135" t="str">
        <f>IF(ISNA(VLOOKUP(A41,'Données projet (1)'!$A$165:$I$185,6,0)),0%,VLOOKUP(A41,'Données projet (1)'!$A$165:$I$185,6,0)*VLOOKUP('Données projet (1)'!$B$14,'Paramètres (1)'!$A$1:$I$88,7,0))</f>
        <v>#REF!</v>
      </c>
      <c r="DZ41" s="135" t="str">
        <f t="shared" si="64"/>
        <v>#REF!</v>
      </c>
      <c r="EA41" s="142" t="str">
        <f>EXP(-LN(2)/35)*EA40+(1-EXP(-LN(2)/35))/(LN(2)/35)*DW41*DX41*VLOOKUP('Données projet (1)'!$B$14,'Paramètres (1)'!$A$1:$I$88,3,0)*0.475*44/12</f>
        <v>#REF!</v>
      </c>
      <c r="EB41" s="142" t="str">
        <f>EXP(-LN(2)/25)*EB40+(1-EXP(-LN(2)/25))/(LN(2)/25)*'Calculateur (1)'!DW41*'Calculateur (1)'!DY41*VLOOKUP('Données projet (1)'!$B$14,'Paramètres (1)'!$A$1:$I$88,3,0)*0.475*44/12</f>
        <v>#REF!</v>
      </c>
      <c r="EC41" s="142" t="str">
        <f>EXP(-LN(2)/2)*EC40+(1-EXP(-LN(2)/2))/(LN(2)/2)*DW41*DZ41*VLOOKUP('Données projet (1)'!$B$14,'Paramètres (1)'!$A$1:$I$88,3,0)*0.475*44/12</f>
        <v>#REF!</v>
      </c>
      <c r="ED41" s="143" t="str">
        <f t="shared" si="65"/>
        <v>#REF!</v>
      </c>
      <c r="EE41" s="139" t="str">
        <f t="shared" si="66"/>
        <v>#REF!</v>
      </c>
      <c r="EF41" s="131">
        <f t="shared" si="67"/>
        <v>10</v>
      </c>
      <c r="EG41" s="131" t="str">
        <f t="shared" si="132"/>
        <v>#REF!</v>
      </c>
      <c r="EH41" s="131" t="str">
        <f t="shared" si="68"/>
        <v>#REF!</v>
      </c>
      <c r="EI41" s="131" t="str">
        <f t="array" ref="EI41">INDEX(EH:EH,MIN(IF(ISNUMBER(EH41:EH237),ROW(EH41:EH237),"")))</f>
        <v/>
      </c>
      <c r="EJ41" s="131" t="str">
        <f t="shared" si="133"/>
        <v>#REF!</v>
      </c>
      <c r="EK41" s="138" t="str">
        <f>EJ41*VLOOKUP('Données projet (1)'!$B$15,'Paramètres (1)'!$A$1:$I$88,3,0)*VLOOKUP('Données projet (1)'!$B$15,'Paramètres (1)'!$A$1:$I$88,5,0)</f>
        <v>#REF!</v>
      </c>
      <c r="EL41" s="130" t="str">
        <f t="shared" si="134"/>
        <v>#REF!</v>
      </c>
      <c r="EM41" s="141" t="str">
        <f t="shared" si="69"/>
        <v>#REF!</v>
      </c>
      <c r="EN41" s="133" t="str">
        <f t="shared" si="70"/>
        <v>#REF!</v>
      </c>
      <c r="EO41" s="133" t="str">
        <f t="shared" si="71"/>
        <v>#REF!</v>
      </c>
      <c r="EP41" s="133" t="str">
        <f t="shared" si="135"/>
        <v>#REF!</v>
      </c>
      <c r="EQ41" s="134" t="str">
        <f t="shared" si="72"/>
        <v>#REF!</v>
      </c>
      <c r="ER41" s="134" t="str">
        <f t="shared" si="73"/>
        <v>#REF!</v>
      </c>
      <c r="ES41" s="135" t="str">
        <f>IF(ISNA(VLOOKUP(A41,'Données projet (1)'!$A$191:$I$211,5,0)),0%,VLOOKUP(A41,'Données projet (1)'!$A$191:$I$211,5,0)*VLOOKUP('Données projet (1)'!$B$15,'Paramètres (1)'!$A$1:$I$88,7,0))</f>
        <v>#REF!</v>
      </c>
      <c r="ET41" s="135" t="str">
        <f>IF(ISNA(VLOOKUP(A41,'Données projet (1)'!$A$191:$I$211,6,0)),0%,VLOOKUP(A41,'Données projet (1)'!$A$191:$I$211,6,0)*VLOOKUP('Données projet (1)'!$B$15,'Paramètres (1)'!$A$1:$I$88,7,0))</f>
        <v>#REF!</v>
      </c>
      <c r="EU41" s="135" t="str">
        <f t="shared" si="74"/>
        <v>#REF!</v>
      </c>
      <c r="EV41" s="142" t="str">
        <f>EXP(-LN(2)/35)*EV40+(1-EXP(-LN(2)/35))/(LN(2)/35)*ER41*ES41*VLOOKUP('Données projet (1)'!$B$15,'Paramètres (1)'!$A$1:$I$88,3,0)*0.475*44/12</f>
        <v>#REF!</v>
      </c>
      <c r="EW41" s="142" t="str">
        <f>EXP(-LN(2)/25)*EW40+(1-EXP(-LN(2)/25))/(LN(2)/25)*'Calculateur (1)'!ER41*'Calculateur (1)'!ET41*VLOOKUP('Données projet (1)'!$B$15,'Paramètres (1)'!$A$1:$I$88,3,0)*0.475*44/12</f>
        <v>#REF!</v>
      </c>
      <c r="EX41" s="142" t="str">
        <f>EXP(-LN(2)/2)*EX40+(1-EXP(-LN(2)/2))/(LN(2)/2)*ER41*EU41*VLOOKUP('Données projet (1)'!$B$15,'Paramètres (1)'!$A$1:$I$88,3,0)*0.475*44/12</f>
        <v>#REF!</v>
      </c>
      <c r="EY41" s="143" t="str">
        <f t="shared" si="75"/>
        <v>#REF!</v>
      </c>
      <c r="EZ41" s="139" t="str">
        <f t="shared" si="76"/>
        <v>#REF!</v>
      </c>
      <c r="FA41" s="131">
        <f t="shared" si="77"/>
        <v>10</v>
      </c>
      <c r="FB41" s="131" t="str">
        <f t="shared" si="136"/>
        <v>#REF!</v>
      </c>
      <c r="FC41" s="131" t="str">
        <f t="shared" si="78"/>
        <v>#REF!</v>
      </c>
      <c r="FD41" s="131" t="str">
        <f t="array" ref="FD41">INDEX(FC:FC,MIN(IF(ISNUMBER(FC41:FC237),ROW(FC41:FC237),"")))</f>
        <v/>
      </c>
      <c r="FE41" s="131" t="str">
        <f t="shared" si="137"/>
        <v>#REF!</v>
      </c>
      <c r="FF41" s="138" t="str">
        <f>FE41*VLOOKUP('Données projet (1)'!$B$16,'Paramètres (1)'!$A$1:$I$88,3,0)*VLOOKUP('Données projet (1)'!$B$16,'Paramètres (1)'!$A$1:$I$88,5,0)</f>
        <v>#REF!</v>
      </c>
      <c r="FG41" s="130" t="str">
        <f t="shared" si="138"/>
        <v>#REF!</v>
      </c>
      <c r="FH41" s="141" t="str">
        <f t="shared" si="79"/>
        <v>#REF!</v>
      </c>
      <c r="FI41" s="133" t="str">
        <f t="shared" si="80"/>
        <v>#REF!</v>
      </c>
      <c r="FJ41" s="133" t="str">
        <f t="shared" si="81"/>
        <v>#REF!</v>
      </c>
      <c r="FK41" s="133" t="str">
        <f t="shared" si="139"/>
        <v>#REF!</v>
      </c>
      <c r="FL41" s="134" t="str">
        <f t="shared" si="82"/>
        <v>#REF!</v>
      </c>
      <c r="FM41" s="134" t="str">
        <f t="shared" si="83"/>
        <v>#REF!</v>
      </c>
      <c r="FN41" s="135" t="str">
        <f>IF(ISNA(VLOOKUP(A41,'Données projet (1)'!$A$217:$I$237,5,0)),0%,VLOOKUP(A41,'Données projet (1)'!$A$217:$I$237,5,0)*VLOOKUP('Données projet (1)'!$B$16,'Paramètres (1)'!$A$1:$I$88,7,0))</f>
        <v>#REF!</v>
      </c>
      <c r="FO41" s="135" t="str">
        <f>IF(ISNA(VLOOKUP(A41,'Données projet (1)'!$A$217:$I$237,6,0)),0%,VLOOKUP(A41,'Données projet (1)'!$A$217:$I$237,6,0)*VLOOKUP('Données projet (1)'!$B$16,'Paramètres (1)'!$A$1:$I$88,7,0))</f>
        <v>#REF!</v>
      </c>
      <c r="FP41" s="135" t="str">
        <f t="shared" si="84"/>
        <v>#REF!</v>
      </c>
      <c r="FQ41" s="142" t="str">
        <f>EXP(-LN(2)/35)*FQ40+(1-EXP(-LN(2)/35))/(LN(2)/35)*FM41*FN41*VLOOKUP('Données projet (1)'!$B$16,'Paramètres (1)'!$A$1:$I$88,3,0)*0.475*44/12</f>
        <v>#REF!</v>
      </c>
      <c r="FR41" s="142" t="str">
        <f>EXP(-LN(2)/25)*FR40+(1-EXP(-LN(2)/25))/(LN(2)/25)*'Calculateur (1)'!FM41*'Calculateur (1)'!FO41*VLOOKUP('Données projet (1)'!$B$16,'Paramètres (1)'!$A$1:$I$88,3,0)*0.475*44/12</f>
        <v>#REF!</v>
      </c>
      <c r="FS41" s="142" t="str">
        <f>EXP(-LN(2)/2)*FS40+(1-EXP(-LN(2)/2))/(LN(2)/2)*FM41*FP41*VLOOKUP('Données projet (1)'!$B$16,'Paramètres (1)'!$A$1:$I$88,3,0)*0.475*44/12</f>
        <v>#REF!</v>
      </c>
      <c r="FT41" s="143" t="str">
        <f t="shared" si="85"/>
        <v>#REF!</v>
      </c>
      <c r="FU41" s="139" t="str">
        <f t="shared" si="86"/>
        <v>#REF!</v>
      </c>
      <c r="FV41" s="131">
        <f t="shared" si="87"/>
        <v>10</v>
      </c>
      <c r="FW41" s="131" t="str">
        <f t="shared" si="140"/>
        <v>#REF!</v>
      </c>
      <c r="FX41" s="131" t="str">
        <f t="shared" si="88"/>
        <v>#REF!</v>
      </c>
      <c r="FY41" s="131" t="str">
        <f t="array" ref="FY41">INDEX(FX:FX,MIN(IF(ISNUMBER(FX41:FX237),ROW(FX41:FX237),"")))</f>
        <v/>
      </c>
      <c r="FZ41" s="131" t="str">
        <f t="shared" si="141"/>
        <v>#REF!</v>
      </c>
      <c r="GA41" s="138" t="str">
        <f>FZ41*VLOOKUP('Données projet (1)'!$B$17,'Paramètres (1)'!$A$1:$I$88,3,0)*VLOOKUP('Données projet (1)'!$B$17,'Paramètres (1)'!$A$1:$I$88,5,0)</f>
        <v>#REF!</v>
      </c>
      <c r="GB41" s="130" t="str">
        <f t="shared" si="142"/>
        <v>#REF!</v>
      </c>
      <c r="GC41" s="141" t="str">
        <f t="shared" si="89"/>
        <v>#REF!</v>
      </c>
      <c r="GD41" s="133" t="str">
        <f t="shared" si="90"/>
        <v>#REF!</v>
      </c>
      <c r="GE41" s="133" t="str">
        <f t="shared" si="91"/>
        <v>#REF!</v>
      </c>
      <c r="GF41" s="133" t="str">
        <f t="shared" si="143"/>
        <v>#REF!</v>
      </c>
      <c r="GG41" s="134" t="str">
        <f t="shared" si="92"/>
        <v>#REF!</v>
      </c>
      <c r="GH41" s="134" t="str">
        <f t="shared" si="93"/>
        <v>#REF!</v>
      </c>
      <c r="GI41" s="135" t="str">
        <f>IF(ISNA(VLOOKUP(A41,'Données projet (1)'!$A$243:$I$263,5,0)),0%,VLOOKUP(A41,'Données projet (1)'!$A$243:$I$263,5,0)*VLOOKUP('Données projet (1)'!$B$17,'Paramètres (1)'!$A$1:$I$88,7,0))</f>
        <v>#REF!</v>
      </c>
      <c r="GJ41" s="135" t="str">
        <f>IF(ISNA(VLOOKUP(A41,'Données projet (1)'!$A$243:$I$263,6,0)),0%,VLOOKUP(A41,'Données projet (1)'!$A$243:$I$263,6,0)*VLOOKUP('Données projet (1)'!$B$17,'Paramètres (1)'!$A$1:$I$88,7,0))</f>
        <v>#REF!</v>
      </c>
      <c r="GK41" s="135" t="str">
        <f t="shared" si="94"/>
        <v>#REF!</v>
      </c>
      <c r="GL41" s="142" t="str">
        <f>EXP(-LN(2)/35)*GL40+(1-EXP(-LN(2)/35))/(LN(2)/35)*GH41*GI41*VLOOKUP('Données projet (1)'!$B$17,'Paramètres (1)'!$A$1:$I$88,3,0)*0.475*44/12</f>
        <v>#REF!</v>
      </c>
      <c r="GM41" s="142" t="str">
        <f>EXP(-LN(2)/25)*GM40+(1-EXP(-LN(2)/25))/(LN(2)/25)*'Calculateur (1)'!GH41*'Calculateur (1)'!GJ41*VLOOKUP('Données projet (1)'!$B$17,'Paramètres (1)'!$A$1:$I$88,3,0)*0.475*44/12</f>
        <v>#REF!</v>
      </c>
      <c r="GN41" s="142" t="str">
        <f>EXP(-LN(2)/2)*GN40+(1-EXP(-LN(2)/2))/(LN(2)/2)*GH41*GK41*VLOOKUP('Données projet (1)'!$B$17,'Paramètres (1)'!$A$1:$I$88,3,0)*0.475*44/12</f>
        <v>#REF!</v>
      </c>
      <c r="GO41" s="142" t="str">
        <f t="shared" si="95"/>
        <v>#REF!</v>
      </c>
      <c r="GP41" s="139" t="str">
        <f t="shared" si="96"/>
        <v>#REF!</v>
      </c>
      <c r="GQ41" s="131">
        <f t="shared" si="97"/>
        <v>10</v>
      </c>
      <c r="GR41" s="131" t="str">
        <f t="shared" si="144"/>
        <v>#REF!</v>
      </c>
      <c r="GS41" s="131" t="str">
        <f t="shared" si="98"/>
        <v>#REF!</v>
      </c>
      <c r="GT41" s="131" t="str">
        <f t="array" ref="GT41">INDEX(GS:GS,MIN(IF(ISNUMBER(GS41:GS237),ROW(GS41:GS237),"")))</f>
        <v/>
      </c>
      <c r="GU41" s="131" t="str">
        <f t="shared" si="145"/>
        <v>#REF!</v>
      </c>
      <c r="GV41" s="138" t="str">
        <f>GU41*VLOOKUP('Données projet (1)'!$B$18,'Paramètres (1)'!$A$1:$I$88,3,0)*VLOOKUP('Données projet (1)'!$B$18,'Paramètres (1)'!$A$1:$I$88,5,0)</f>
        <v>#REF!</v>
      </c>
      <c r="GW41" s="130" t="str">
        <f t="shared" si="146"/>
        <v>#REF!</v>
      </c>
      <c r="GX41" s="141" t="str">
        <f t="shared" si="99"/>
        <v>#REF!</v>
      </c>
      <c r="GY41" s="133" t="str">
        <f t="shared" si="100"/>
        <v>#REF!</v>
      </c>
      <c r="GZ41" s="133" t="str">
        <f t="shared" si="101"/>
        <v>#REF!</v>
      </c>
      <c r="HA41" s="133" t="str">
        <f t="shared" si="147"/>
        <v>#REF!</v>
      </c>
      <c r="HB41" s="134" t="str">
        <f t="shared" si="102"/>
        <v>#REF!</v>
      </c>
      <c r="HC41" s="134" t="str">
        <f t="shared" si="103"/>
        <v>#REF!</v>
      </c>
      <c r="HD41" s="135" t="str">
        <f>IF(ISNA(VLOOKUP(A41,'Données projet (1)'!$A$269:$I$289,5,0)),0%,VLOOKUP(A41,'Données projet (1)'!$A$269:$I$289,5,0)*VLOOKUP('Données projet (1)'!$B$18,'Paramètres (1)'!$A$1:$I$88,7,0))</f>
        <v>#REF!</v>
      </c>
      <c r="HE41" s="135" t="str">
        <f>IF(ISNA(VLOOKUP(A41,'Données projet (1)'!$A$269:$I$289,6,0)),0%,VLOOKUP(A41,'Données projet (1)'!$A$269:$I$289,6,0)*VLOOKUP('Données projet (1)'!$B$18,'Paramètres (1)'!$A$1:$I$88,7,0))</f>
        <v>#REF!</v>
      </c>
      <c r="HF41" s="135" t="str">
        <f t="shared" si="104"/>
        <v>#REF!</v>
      </c>
      <c r="HG41" s="142" t="str">
        <f>EXP(-LN(2)/35)*HG40+(1-EXP(-LN(2)/35))/(LN(2)/35)*HC41*HD41*VLOOKUP('Données projet (1)'!$B$18,'Paramètres (1)'!$A$1:$I$88,3,0)*0.475*44/12</f>
        <v>#REF!</v>
      </c>
      <c r="HH41" s="142" t="str">
        <f>EXP(-LN(2)/25)*HH40+(1-EXP(-LN(2)/25))/(LN(2)/25)*'Calculateur (1)'!HC41*'Calculateur (1)'!HE41*VLOOKUP('Données projet (1)'!$B$18,'Paramètres (1)'!$A$1:$I$88,3,0)*0.475*44/12</f>
        <v>#REF!</v>
      </c>
      <c r="HI41" s="142" t="str">
        <f>EXP(-LN(2)/2)*HI40+(1-EXP(-LN(2)/2))/(LN(2)/2)*HC41*HF41*VLOOKUP('Données projet (1)'!$B$18,'Paramètres (1)'!$A$1:$I$88,3,0)*0.475*44/12</f>
        <v>#REF!</v>
      </c>
      <c r="HJ41" s="143" t="str">
        <f t="shared" si="105"/>
        <v>#REF!</v>
      </c>
    </row>
    <row r="42" ht="14.25" customHeight="1">
      <c r="A42" s="125">
        <f t="shared" si="106"/>
        <v>39</v>
      </c>
      <c r="B42" s="126" t="str">
        <f t="shared" si="1"/>
        <v>#REF!</v>
      </c>
      <c r="C42" s="140" t="str">
        <f>'Calculateur (1)'!C41+'Scénario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2" s="127">
        <f t="shared" si="107"/>
        <v>0</v>
      </c>
      <c r="E42" s="127" t="str">
        <f t="shared" si="2"/>
        <v>#REF!</v>
      </c>
      <c r="F42" s="127" t="str">
        <f t="shared" si="3"/>
        <v>#REF!</v>
      </c>
      <c r="G42" s="127" t="str">
        <f t="shared" si="4"/>
        <v>#REF!</v>
      </c>
      <c r="H42" s="128" t="str">
        <f t="shared" si="5"/>
        <v>#REF!</v>
      </c>
      <c r="I42" s="129" t="str">
        <f t="shared" si="6"/>
        <v>#REF!</v>
      </c>
      <c r="J42" s="130">
        <f t="shared" si="7"/>
        <v>10</v>
      </c>
      <c r="K42" s="131" t="str">
        <f t="shared" si="108"/>
        <v>#REF!</v>
      </c>
      <c r="L42" s="131" t="str">
        <f t="shared" si="8"/>
        <v>#REF!</v>
      </c>
      <c r="M42" s="131" t="str">
        <f t="array" ref="M42">INDEX(L:L,MIN(IF(ISNUMBER(L42:L238),ROW(L42:L238),"")))</f>
        <v/>
      </c>
      <c r="N42" s="130" t="str">
        <f t="shared" si="109"/>
        <v>#REF!</v>
      </c>
      <c r="O42" s="130" t="str">
        <f>N42*VLOOKUP('Données projet (1)'!$B$9,'Paramètres (1)'!$A$1:$I$88,3,0)*VLOOKUP('Données projet (1)'!$B$9,'Paramètres (1)'!$A$1:$I$88,5,0)</f>
        <v>#REF!</v>
      </c>
      <c r="P42" s="130" t="str">
        <f t="shared" si="110"/>
        <v>#REF!</v>
      </c>
      <c r="Q42" s="141" t="str">
        <f t="shared" si="9"/>
        <v>#REF!</v>
      </c>
      <c r="R42" s="133" t="str">
        <f t="shared" si="10"/>
        <v>#REF!</v>
      </c>
      <c r="S42" s="133" t="str">
        <f t="shared" si="11"/>
        <v>#REF!</v>
      </c>
      <c r="T42" s="133" t="str">
        <f t="shared" si="111"/>
        <v>#REF!</v>
      </c>
      <c r="U42" s="134" t="str">
        <f t="shared" si="12"/>
        <v>#REF!</v>
      </c>
      <c r="V42" s="134" t="str">
        <f t="shared" si="13"/>
        <v>#REF!</v>
      </c>
      <c r="W42" s="135" t="str">
        <f>IF(ISNA(VLOOKUP(A42,'Données projet (1)'!$A$35:$I$55,5,0)),0%,VLOOKUP(A42,'Données projet (1)'!$A$35:$I$55,5,0)*VLOOKUP('Données projet (1)'!$B$9,'Paramètres (1)'!$A$1:$I$88,7,0))</f>
        <v>#REF!</v>
      </c>
      <c r="X42" s="135" t="str">
        <f>IF(ISNA(VLOOKUP(A42,'Données projet (1)'!$A$35:$I$55,6,0)),0%,VLOOKUP(A42,'Données projet (1)'!$A$35:$I$55,6,0)*VLOOKUP('Données projet (1)'!$B$9,'Paramètres (1)'!$A$1:$I$88,7,0))</f>
        <v>#REF!</v>
      </c>
      <c r="Y42" s="135" t="str">
        <f t="shared" si="14"/>
        <v>#REF!</v>
      </c>
      <c r="Z42" s="142" t="str">
        <f>EXP(-LN(2)/35)*Z41+(1-EXP(-LN(2)/35))/(LN(2)/35)*V42*W42*VLOOKUP('Données projet (1)'!$B$9,'Paramètres (1)'!$A$1:$I$88,3,0)*0.475*44/12</f>
        <v>#REF!</v>
      </c>
      <c r="AA42" s="142" t="str">
        <f>EXP(-LN(2)/25)*AA41+(1-EXP(-LN(2)/25))/(LN(2)/25)*'Calculateur (1)'!V42*'Calculateur (1)'!X42*VLOOKUP('Données projet (1)'!$B$9,'Paramètres (1)'!$A$1:$I$88,3,0)*0.475*44/12</f>
        <v>#REF!</v>
      </c>
      <c r="AB42" s="142" t="str">
        <f>EXP(-LN(2)/2)*AB41+(1-EXP(-LN(2)/2))/(LN(2)/2)*V42*Y42*VLOOKUP('Données projet (1)'!$B$9,'Paramètres (1)'!$A$1:$I$88,3,0)*0.475*44/12</f>
        <v>#REF!</v>
      </c>
      <c r="AC42" s="143" t="str">
        <f t="shared" si="15"/>
        <v>#REF!</v>
      </c>
      <c r="AD42" s="130" t="str">
        <f t="shared" si="16"/>
        <v>#REF!</v>
      </c>
      <c r="AE42" s="130">
        <f t="shared" si="17"/>
        <v>10</v>
      </c>
      <c r="AF42" s="131" t="str">
        <f t="shared" si="112"/>
        <v>#REF!</v>
      </c>
      <c r="AG42" s="131" t="str">
        <f t="shared" si="18"/>
        <v>#REF!</v>
      </c>
      <c r="AH42" s="131" t="str">
        <f t="array" ref="AH42">INDEX(AG:AG,MIN(IF(ISNUMBER(AG42:AG238),ROW(AG42:AG238),"")))</f>
        <v/>
      </c>
      <c r="AI42" s="130" t="str">
        <f t="shared" si="113"/>
        <v>#REF!</v>
      </c>
      <c r="AJ42" s="130" t="str">
        <f>AI42*VLOOKUP('Données projet (1)'!$B$10,'Paramètres (1)'!$A$1:$I$88,3,0)*VLOOKUP('Données projet (1)'!$B$10,'Paramètres (1)'!$A$1:$I$88,5,0)</f>
        <v>#REF!</v>
      </c>
      <c r="AK42" s="130" t="str">
        <f t="shared" si="114"/>
        <v>#REF!</v>
      </c>
      <c r="AL42" s="141" t="str">
        <f t="shared" si="19"/>
        <v>#REF!</v>
      </c>
      <c r="AM42" s="133" t="str">
        <f t="shared" si="20"/>
        <v>#REF!</v>
      </c>
      <c r="AN42" s="133" t="str">
        <f t="shared" si="21"/>
        <v>#REF!</v>
      </c>
      <c r="AO42" s="133" t="str">
        <f t="shared" si="115"/>
        <v>#REF!</v>
      </c>
      <c r="AP42" s="134" t="str">
        <f t="shared" si="22"/>
        <v>#REF!</v>
      </c>
      <c r="AQ42" s="134" t="str">
        <f t="shared" si="23"/>
        <v>#REF!</v>
      </c>
      <c r="AR42" s="135" t="str">
        <f>IF(ISNA(VLOOKUP(A42,'Données projet (1)'!$A$61:$I$81,5,0)),0%,VLOOKUP(A42,'Données projet (1)'!$A$61:$I$81,5,0)*VLOOKUP('Données projet (1)'!$B$10,'Paramètres (1)'!$A$1:$I$88,7,0))</f>
        <v>#REF!</v>
      </c>
      <c r="AS42" s="135" t="str">
        <f>IF(ISNA(VLOOKUP(A42,'Données projet (1)'!$A$61:$I$81,6,0)),0%,VLOOKUP(A42,'Données projet (1)'!$A$61:$I$81,6,0)*VLOOKUP('Données projet (1)'!$B$10,'Paramètres (1)'!$A$1:$I$88,7,0))</f>
        <v>#REF!</v>
      </c>
      <c r="AT42" s="135" t="str">
        <f t="shared" si="24"/>
        <v>#REF!</v>
      </c>
      <c r="AU42" s="142" t="str">
        <f>EXP(-LN(2)/35)*AU41+(1-EXP(-LN(2)/35))/(LN(2)/35)*AQ42*AR42*VLOOKUP('Données projet (1)'!$B$10,'Paramètres (1)'!$A$1:$I$88,3,0)*0.475*44/12</f>
        <v>#REF!</v>
      </c>
      <c r="AV42" s="142" t="str">
        <f>EXP(-LN(2)/25)*AV41+(1-EXP(-LN(2)/25))/(LN(2)/25)*'Calculateur (1)'!AQ42*'Calculateur (1)'!AS42*VLOOKUP('Données projet (1)'!$B$10,'Paramètres (1)'!$A$1:$I$88,3,0)*0.475*44/12</f>
        <v>#REF!</v>
      </c>
      <c r="AW42" s="142" t="str">
        <f>EXP(-LN(2)/2)*AW41+(1-EXP(-LN(2)/2))/(LN(2)/2)*AQ42*AT42*VLOOKUP('Données projet (1)'!$B$10,'Paramètres (1)'!$A$1:$I$88,3,0)*0.475*44/12</f>
        <v>#REF!</v>
      </c>
      <c r="AX42" s="142" t="str">
        <f t="shared" si="25"/>
        <v>#REF!</v>
      </c>
      <c r="AY42" s="137" t="str">
        <f t="shared" si="26"/>
        <v>#REF!</v>
      </c>
      <c r="AZ42" s="131">
        <f t="shared" si="27"/>
        <v>10</v>
      </c>
      <c r="BA42" s="131" t="str">
        <f t="shared" si="116"/>
        <v>#REF!</v>
      </c>
      <c r="BB42" s="131" t="str">
        <f t="shared" si="28"/>
        <v>#REF!</v>
      </c>
      <c r="BC42" s="131" t="str">
        <f t="array" ref="BC42">INDEX(BB:BB,MIN(IF(ISNUMBER(BB42:BB238),ROW(BB42:BB238),"")))</f>
        <v/>
      </c>
      <c r="BD42" s="131" t="str">
        <f t="shared" si="117"/>
        <v>#REF!</v>
      </c>
      <c r="BE42" s="130" t="str">
        <f>BD42*VLOOKUP('Données projet (1)'!$B$11,'Paramètres (1)'!$A$1:$I$88,3,0)*VLOOKUP('Données projet (1)'!$B$11,'Paramètres (1)'!$A$1:$I$88,5,0)</f>
        <v>#REF!</v>
      </c>
      <c r="BF42" s="130" t="str">
        <f t="shared" si="118"/>
        <v>#REF!</v>
      </c>
      <c r="BG42" s="141" t="str">
        <f t="shared" si="29"/>
        <v>#REF!</v>
      </c>
      <c r="BH42" s="133" t="str">
        <f t="shared" si="30"/>
        <v>#REF!</v>
      </c>
      <c r="BI42" s="133" t="str">
        <f t="shared" si="31"/>
        <v>#REF!</v>
      </c>
      <c r="BJ42" s="133" t="str">
        <f t="shared" si="119"/>
        <v>#REF!</v>
      </c>
      <c r="BK42" s="134" t="str">
        <f t="shared" si="32"/>
        <v>#REF!</v>
      </c>
      <c r="BL42" s="134" t="str">
        <f t="shared" si="33"/>
        <v>#REF!</v>
      </c>
      <c r="BM42" s="135" t="str">
        <f>IF(ISNA(VLOOKUP(A42,'Données projet (1)'!$A$87:$I$107,5,0)),0%,VLOOKUP(A42,'Données projet (1)'!$A$87:$I$107,5,0)*VLOOKUP('Données projet (1)'!$B$11,'Paramètres (1)'!$A$1:$I$88,7,0))</f>
        <v>#REF!</v>
      </c>
      <c r="BN42" s="135" t="str">
        <f>IF(ISNA(VLOOKUP(A42,'Données projet (1)'!$A$87:$I$107,6,0)),0%,VLOOKUP(A42,'Données projet (1)'!$A$87:$I$107,6,0)*VLOOKUP('Données projet (1)'!$B$11,'Paramètres (1)'!$A$1:$I$88,7,0))</f>
        <v>#REF!</v>
      </c>
      <c r="BO42" s="135" t="str">
        <f t="shared" si="34"/>
        <v>#REF!</v>
      </c>
      <c r="BP42" s="142" t="str">
        <f>EXP(-LN(2)/35)*BP41+(1-EXP(-LN(2)/35))/(LN(2)/35)*BL42*BM42*VLOOKUP('Données projet (1)'!$B$11,'Paramètres (1)'!$A$1:$I$88,3,0)*0.475*44/12</f>
        <v>#REF!</v>
      </c>
      <c r="BQ42" s="142" t="str">
        <f>EXP(-LN(2)/25)*BQ41+(1-EXP(-LN(2)/25))/(LN(2)/25)*'Calculateur (1)'!BL42*'Calculateur (1)'!BN42*VLOOKUP('Données projet (1)'!$B$11,'Paramètres (1)'!$A$1:$I$88,3,0)*0.475*44/12</f>
        <v>#REF!</v>
      </c>
      <c r="BR42" s="142" t="str">
        <f>EXP(-LN(2)/2)*BR41+(1-EXP(-LN(2)/2))/(LN(2)/2)*BL42*BO42*VLOOKUP('Données projet (1)'!$B$11,'Paramètres (1)'!$A$1:$I$88,3,0)*0.475*44/12</f>
        <v>#REF!</v>
      </c>
      <c r="BS42" s="143" t="str">
        <f t="shared" si="35"/>
        <v>#REF!</v>
      </c>
      <c r="BT42" s="139" t="str">
        <f t="shared" si="36"/>
        <v>#REF!</v>
      </c>
      <c r="BU42" s="131">
        <f t="shared" si="37"/>
        <v>10</v>
      </c>
      <c r="BV42" s="131" t="str">
        <f t="shared" si="120"/>
        <v>#REF!</v>
      </c>
      <c r="BW42" s="131" t="str">
        <f t="shared" si="38"/>
        <v>#REF!</v>
      </c>
      <c r="BX42" s="131" t="str">
        <f t="array" ref="BX42">INDEX(BW:BW,MIN(IF(ISNUMBER(BW42:BW238),ROW(BW42:BW238),"")))</f>
        <v/>
      </c>
      <c r="BY42" s="131" t="str">
        <f t="shared" si="121"/>
        <v>#REF!</v>
      </c>
      <c r="BZ42" s="130" t="str">
        <f>BY42*VLOOKUP('Données projet (1)'!$B$12,'Paramètres (1)'!$A$1:$I$88,3,0)*VLOOKUP('Données projet (1)'!$B$12,'Paramètres (1)'!$A$1:$I$88,5,0)</f>
        <v>#REF!</v>
      </c>
      <c r="CA42" s="130" t="str">
        <f t="shared" si="122"/>
        <v>#REF!</v>
      </c>
      <c r="CB42" s="141" t="str">
        <f t="shared" si="39"/>
        <v>#REF!</v>
      </c>
      <c r="CC42" s="133" t="str">
        <f t="shared" si="40"/>
        <v>#REF!</v>
      </c>
      <c r="CD42" s="133" t="str">
        <f t="shared" si="41"/>
        <v>#REF!</v>
      </c>
      <c r="CE42" s="133" t="str">
        <f t="shared" si="123"/>
        <v>#REF!</v>
      </c>
      <c r="CF42" s="134" t="str">
        <f t="shared" si="42"/>
        <v>#REF!</v>
      </c>
      <c r="CG42" s="134" t="str">
        <f t="shared" si="43"/>
        <v>#REF!</v>
      </c>
      <c r="CH42" s="135" t="str">
        <f>IF(ISNA(VLOOKUP(A42,'Données projet (1)'!$A$113:$I$133,5,0)),0%,VLOOKUP(A42,'Données projet (1)'!$A$113:$I$133,5,0)*VLOOKUP('Données projet (1)'!$B$12,'Paramètres (1)'!$A$1:$I$88,7,0))</f>
        <v>#REF!</v>
      </c>
      <c r="CI42" s="135" t="str">
        <f>IF(ISNA(VLOOKUP(A42,'Données projet (1)'!$A$113:$I$133,6,0)),0%,VLOOKUP(A42,'Données projet (1)'!$A$113:$I$133,6,0)*VLOOKUP('Données projet (1)'!$B$12,'Paramètres (1)'!$A$1:$I$88,7,0))</f>
        <v>#REF!</v>
      </c>
      <c r="CJ42" s="135" t="str">
        <f t="shared" si="44"/>
        <v>#REF!</v>
      </c>
      <c r="CK42" s="142" t="str">
        <f>EXP(-LN(2)/35)*CK41+(1-EXP(-LN(2)/35))/(LN(2)/35)*CG42*CH42*VLOOKUP('Données projet (1)'!$B$12,'Paramètres (1)'!$A$1:$I$88,3,0)*0.475*44/12</f>
        <v>#REF!</v>
      </c>
      <c r="CL42" s="142" t="str">
        <f>EXP(-LN(2)/25)*CL41+(1-EXP(-LN(2)/25))/(LN(2)/25)*'Calculateur (1)'!CG42*'Calculateur (1)'!CI42*VLOOKUP('Données projet (1)'!$B$12,'Paramètres (1)'!$A$1:$I$88,3,0)*0.475*44/12</f>
        <v>#REF!</v>
      </c>
      <c r="CM42" s="142" t="str">
        <f>EXP(-LN(2)/2)*CM41+(1-EXP(-LN(2)/2))/(LN(2)/2)*CG42*CJ42*VLOOKUP('Données projet (1)'!$B$12,'Paramètres (1)'!$A$1:$I$88,3,0)*0.475*44/12</f>
        <v>#REF!</v>
      </c>
      <c r="CN42" s="143" t="str">
        <f t="shared" si="45"/>
        <v>#REF!</v>
      </c>
      <c r="CO42" s="139" t="str">
        <f t="shared" si="46"/>
        <v>#REF!</v>
      </c>
      <c r="CP42" s="131">
        <f t="shared" si="47"/>
        <v>10</v>
      </c>
      <c r="CQ42" s="131" t="str">
        <f t="shared" si="124"/>
        <v>#REF!</v>
      </c>
      <c r="CR42" s="131" t="str">
        <f t="shared" si="48"/>
        <v>#REF!</v>
      </c>
      <c r="CS42" s="131" t="str">
        <f t="array" ref="CS42">INDEX(CR:CR,MIN(IF(ISNUMBER(CR42:CR238),ROW(CR42:CR238),"")))</f>
        <v/>
      </c>
      <c r="CT42" s="131" t="str">
        <f t="shared" si="125"/>
        <v>#REF!</v>
      </c>
      <c r="CU42" s="138" t="str">
        <f>CT42*VLOOKUP('Données projet (1)'!$B$13,'Paramètres (1)'!$A$1:$I$88,3,0)*VLOOKUP('Données projet (1)'!$B$13,'Paramètres (1)'!$A$1:$I$88,5,0)</f>
        <v>#REF!</v>
      </c>
      <c r="CV42" s="130" t="str">
        <f t="shared" si="126"/>
        <v>#REF!</v>
      </c>
      <c r="CW42" s="141" t="str">
        <f t="shared" si="49"/>
        <v>#REF!</v>
      </c>
      <c r="CX42" s="133" t="str">
        <f t="shared" si="50"/>
        <v>#REF!</v>
      </c>
      <c r="CY42" s="133" t="str">
        <f t="shared" si="51"/>
        <v>#REF!</v>
      </c>
      <c r="CZ42" s="133" t="str">
        <f t="shared" si="127"/>
        <v>#REF!</v>
      </c>
      <c r="DA42" s="134" t="str">
        <f t="shared" si="52"/>
        <v>#REF!</v>
      </c>
      <c r="DB42" s="134" t="str">
        <f t="shared" si="53"/>
        <v>#REF!</v>
      </c>
      <c r="DC42" s="135" t="str">
        <f>IF(ISNA(VLOOKUP(A42,'Données projet (1)'!$A$139:$I$159,5,0)),0%,VLOOKUP(A42,'Données projet (1)'!$A$139:$I$159,5,0)*VLOOKUP('Données projet (1)'!$B$13,'Paramètres (1)'!$A$1:$I$88,7,0))</f>
        <v>#REF!</v>
      </c>
      <c r="DD42" s="135" t="str">
        <f>IF(ISNA(VLOOKUP(A42,'Données projet (1)'!$A$139:$I$159,6,0)),0%,VLOOKUP(A42,'Données projet (1)'!$A$139:$I$159,6,0)*VLOOKUP('Données projet (1)'!$B$13,'Paramètres (1)'!$A$1:$I$88,7,0))</f>
        <v>#REF!</v>
      </c>
      <c r="DE42" s="135" t="str">
        <f t="shared" si="54"/>
        <v>#REF!</v>
      </c>
      <c r="DF42" s="142" t="str">
        <f>EXP(-LN(2)/35)*DF41+(1-EXP(-LN(2)/35))/(LN(2)/35)*DB42*DC42*VLOOKUP('Données projet (1)'!$B$13,'Paramètres (1)'!$A$1:$I$88,3,0)*0.475*44/12</f>
        <v>#REF!</v>
      </c>
      <c r="DG42" s="142" t="str">
        <f>EXP(-LN(2)/25)*DG41+(1-EXP(-LN(2)/25))/(LN(2)/25)*'Calculateur (1)'!DB42*'Calculateur (1)'!DD42*VLOOKUP('Données projet (1)'!$B$13,'Paramètres (1)'!$A$1:$I$88,3,0)*0.475*44/12</f>
        <v>#REF!</v>
      </c>
      <c r="DH42" s="142" t="str">
        <f>EXP(-LN(2)/2)*DH41+(1-EXP(-LN(2)/2))/(LN(2)/2)*DB42*DE42*VLOOKUP('Données projet (1)'!$B$13,'Paramètres (1)'!$A$1:$I$88,3,0)*0.475*44/12</f>
        <v>#REF!</v>
      </c>
      <c r="DI42" s="143" t="str">
        <f t="shared" si="55"/>
        <v>#REF!</v>
      </c>
      <c r="DJ42" s="139" t="str">
        <f t="shared" si="56"/>
        <v>#REF!</v>
      </c>
      <c r="DK42" s="131">
        <f t="shared" si="57"/>
        <v>10</v>
      </c>
      <c r="DL42" s="131" t="str">
        <f t="shared" si="128"/>
        <v>#REF!</v>
      </c>
      <c r="DM42" s="131" t="str">
        <f t="shared" si="58"/>
        <v>#REF!</v>
      </c>
      <c r="DN42" s="131" t="str">
        <f t="array" ref="DN42">INDEX(DM:DM,MIN(IF(ISNUMBER(DM42:DM238),ROW(DM42:DM238),"")))</f>
        <v/>
      </c>
      <c r="DO42" s="131" t="str">
        <f t="shared" si="129"/>
        <v>#REF!</v>
      </c>
      <c r="DP42" s="138" t="str">
        <f>DO42*VLOOKUP('Données projet (1)'!$B$14,'Paramètres (1)'!$A$1:$I$88,3,0)*VLOOKUP('Données projet (1)'!$B$14,'Paramètres (1)'!$A$1:$I$88,5,0)</f>
        <v>#REF!</v>
      </c>
      <c r="DQ42" s="130" t="str">
        <f t="shared" si="130"/>
        <v>#REF!</v>
      </c>
      <c r="DR42" s="141" t="str">
        <f t="shared" si="59"/>
        <v>#REF!</v>
      </c>
      <c r="DS42" s="133" t="str">
        <f t="shared" si="60"/>
        <v>#REF!</v>
      </c>
      <c r="DT42" s="133" t="str">
        <f t="shared" si="61"/>
        <v>#REF!</v>
      </c>
      <c r="DU42" s="133" t="str">
        <f t="shared" si="131"/>
        <v>#REF!</v>
      </c>
      <c r="DV42" s="134" t="str">
        <f t="shared" si="62"/>
        <v>#REF!</v>
      </c>
      <c r="DW42" s="134" t="str">
        <f t="shared" si="63"/>
        <v>#REF!</v>
      </c>
      <c r="DX42" s="135" t="str">
        <f>IF(ISNA(VLOOKUP(A42,'Données projet (1)'!$A$165:$I$185,5,0)),0%,VLOOKUP(A42,'Données projet (1)'!$A$165:$I$185,5,0)*VLOOKUP('Données projet (1)'!$B$14,'Paramètres (1)'!$A$1:$I$88,7,0))</f>
        <v>#REF!</v>
      </c>
      <c r="DY42" s="135" t="str">
        <f>IF(ISNA(VLOOKUP(A42,'Données projet (1)'!$A$165:$I$185,6,0)),0%,VLOOKUP(A42,'Données projet (1)'!$A$165:$I$185,6,0)*VLOOKUP('Données projet (1)'!$B$14,'Paramètres (1)'!$A$1:$I$88,7,0))</f>
        <v>#REF!</v>
      </c>
      <c r="DZ42" s="135" t="str">
        <f t="shared" si="64"/>
        <v>#REF!</v>
      </c>
      <c r="EA42" s="142" t="str">
        <f>EXP(-LN(2)/35)*EA41+(1-EXP(-LN(2)/35))/(LN(2)/35)*DW42*DX42*VLOOKUP('Données projet (1)'!$B$14,'Paramètres (1)'!$A$1:$I$88,3,0)*0.475*44/12</f>
        <v>#REF!</v>
      </c>
      <c r="EB42" s="142" t="str">
        <f>EXP(-LN(2)/25)*EB41+(1-EXP(-LN(2)/25))/(LN(2)/25)*'Calculateur (1)'!DW42*'Calculateur (1)'!DY42*VLOOKUP('Données projet (1)'!$B$14,'Paramètres (1)'!$A$1:$I$88,3,0)*0.475*44/12</f>
        <v>#REF!</v>
      </c>
      <c r="EC42" s="142" t="str">
        <f>EXP(-LN(2)/2)*EC41+(1-EXP(-LN(2)/2))/(LN(2)/2)*DW42*DZ42*VLOOKUP('Données projet (1)'!$B$14,'Paramètres (1)'!$A$1:$I$88,3,0)*0.475*44/12</f>
        <v>#REF!</v>
      </c>
      <c r="ED42" s="143" t="str">
        <f t="shared" si="65"/>
        <v>#REF!</v>
      </c>
      <c r="EE42" s="139" t="str">
        <f t="shared" si="66"/>
        <v>#REF!</v>
      </c>
      <c r="EF42" s="131">
        <f t="shared" si="67"/>
        <v>10</v>
      </c>
      <c r="EG42" s="131" t="str">
        <f t="shared" si="132"/>
        <v>#REF!</v>
      </c>
      <c r="EH42" s="131" t="str">
        <f t="shared" si="68"/>
        <v>#REF!</v>
      </c>
      <c r="EI42" s="131" t="str">
        <f t="array" ref="EI42">INDEX(EH:EH,MIN(IF(ISNUMBER(EH42:EH238),ROW(EH42:EH238),"")))</f>
        <v/>
      </c>
      <c r="EJ42" s="131" t="str">
        <f t="shared" si="133"/>
        <v>#REF!</v>
      </c>
      <c r="EK42" s="138" t="str">
        <f>EJ42*VLOOKUP('Données projet (1)'!$B$15,'Paramètres (1)'!$A$1:$I$88,3,0)*VLOOKUP('Données projet (1)'!$B$15,'Paramètres (1)'!$A$1:$I$88,5,0)</f>
        <v>#REF!</v>
      </c>
      <c r="EL42" s="130" t="str">
        <f t="shared" si="134"/>
        <v>#REF!</v>
      </c>
      <c r="EM42" s="141" t="str">
        <f t="shared" si="69"/>
        <v>#REF!</v>
      </c>
      <c r="EN42" s="133" t="str">
        <f t="shared" si="70"/>
        <v>#REF!</v>
      </c>
      <c r="EO42" s="133" t="str">
        <f t="shared" si="71"/>
        <v>#REF!</v>
      </c>
      <c r="EP42" s="133" t="str">
        <f t="shared" si="135"/>
        <v>#REF!</v>
      </c>
      <c r="EQ42" s="134" t="str">
        <f t="shared" si="72"/>
        <v>#REF!</v>
      </c>
      <c r="ER42" s="134" t="str">
        <f t="shared" si="73"/>
        <v>#REF!</v>
      </c>
      <c r="ES42" s="135" t="str">
        <f>IF(ISNA(VLOOKUP(A42,'Données projet (1)'!$A$191:$I$211,5,0)),0%,VLOOKUP(A42,'Données projet (1)'!$A$191:$I$211,5,0)*VLOOKUP('Données projet (1)'!$B$15,'Paramètres (1)'!$A$1:$I$88,7,0))</f>
        <v>#REF!</v>
      </c>
      <c r="ET42" s="135" t="str">
        <f>IF(ISNA(VLOOKUP(A42,'Données projet (1)'!$A$191:$I$211,6,0)),0%,VLOOKUP(A42,'Données projet (1)'!$A$191:$I$211,6,0)*VLOOKUP('Données projet (1)'!$B$15,'Paramètres (1)'!$A$1:$I$88,7,0))</f>
        <v>#REF!</v>
      </c>
      <c r="EU42" s="135" t="str">
        <f t="shared" si="74"/>
        <v>#REF!</v>
      </c>
      <c r="EV42" s="142" t="str">
        <f>EXP(-LN(2)/35)*EV41+(1-EXP(-LN(2)/35))/(LN(2)/35)*ER42*ES42*VLOOKUP('Données projet (1)'!$B$15,'Paramètres (1)'!$A$1:$I$88,3,0)*0.475*44/12</f>
        <v>#REF!</v>
      </c>
      <c r="EW42" s="142" t="str">
        <f>EXP(-LN(2)/25)*EW41+(1-EXP(-LN(2)/25))/(LN(2)/25)*'Calculateur (1)'!ER42*'Calculateur (1)'!ET42*VLOOKUP('Données projet (1)'!$B$15,'Paramètres (1)'!$A$1:$I$88,3,0)*0.475*44/12</f>
        <v>#REF!</v>
      </c>
      <c r="EX42" s="142" t="str">
        <f>EXP(-LN(2)/2)*EX41+(1-EXP(-LN(2)/2))/(LN(2)/2)*ER42*EU42*VLOOKUP('Données projet (1)'!$B$15,'Paramètres (1)'!$A$1:$I$88,3,0)*0.475*44/12</f>
        <v>#REF!</v>
      </c>
      <c r="EY42" s="143" t="str">
        <f t="shared" si="75"/>
        <v>#REF!</v>
      </c>
      <c r="EZ42" s="139" t="str">
        <f t="shared" si="76"/>
        <v>#REF!</v>
      </c>
      <c r="FA42" s="131">
        <f t="shared" si="77"/>
        <v>10</v>
      </c>
      <c r="FB42" s="131" t="str">
        <f t="shared" si="136"/>
        <v>#REF!</v>
      </c>
      <c r="FC42" s="131" t="str">
        <f t="shared" si="78"/>
        <v>#REF!</v>
      </c>
      <c r="FD42" s="131" t="str">
        <f t="array" ref="FD42">INDEX(FC:FC,MIN(IF(ISNUMBER(FC42:FC238),ROW(FC42:FC238),"")))</f>
        <v/>
      </c>
      <c r="FE42" s="131" t="str">
        <f t="shared" si="137"/>
        <v>#REF!</v>
      </c>
      <c r="FF42" s="138" t="str">
        <f>FE42*VLOOKUP('Données projet (1)'!$B$16,'Paramètres (1)'!$A$1:$I$88,3,0)*VLOOKUP('Données projet (1)'!$B$16,'Paramètres (1)'!$A$1:$I$88,5,0)</f>
        <v>#REF!</v>
      </c>
      <c r="FG42" s="130" t="str">
        <f t="shared" si="138"/>
        <v>#REF!</v>
      </c>
      <c r="FH42" s="141" t="str">
        <f t="shared" si="79"/>
        <v>#REF!</v>
      </c>
      <c r="FI42" s="133" t="str">
        <f t="shared" si="80"/>
        <v>#REF!</v>
      </c>
      <c r="FJ42" s="133" t="str">
        <f t="shared" si="81"/>
        <v>#REF!</v>
      </c>
      <c r="FK42" s="133" t="str">
        <f t="shared" si="139"/>
        <v>#REF!</v>
      </c>
      <c r="FL42" s="134" t="str">
        <f t="shared" si="82"/>
        <v>#REF!</v>
      </c>
      <c r="FM42" s="134" t="str">
        <f t="shared" si="83"/>
        <v>#REF!</v>
      </c>
      <c r="FN42" s="135" t="str">
        <f>IF(ISNA(VLOOKUP(A42,'Données projet (1)'!$A$217:$I$237,5,0)),0%,VLOOKUP(A42,'Données projet (1)'!$A$217:$I$237,5,0)*VLOOKUP('Données projet (1)'!$B$16,'Paramètres (1)'!$A$1:$I$88,7,0))</f>
        <v>#REF!</v>
      </c>
      <c r="FO42" s="135" t="str">
        <f>IF(ISNA(VLOOKUP(A42,'Données projet (1)'!$A$217:$I$237,6,0)),0%,VLOOKUP(A42,'Données projet (1)'!$A$217:$I$237,6,0)*VLOOKUP('Données projet (1)'!$B$16,'Paramètres (1)'!$A$1:$I$88,7,0))</f>
        <v>#REF!</v>
      </c>
      <c r="FP42" s="135" t="str">
        <f t="shared" si="84"/>
        <v>#REF!</v>
      </c>
      <c r="FQ42" s="142" t="str">
        <f>EXP(-LN(2)/35)*FQ41+(1-EXP(-LN(2)/35))/(LN(2)/35)*FM42*FN42*VLOOKUP('Données projet (1)'!$B$16,'Paramètres (1)'!$A$1:$I$88,3,0)*0.475*44/12</f>
        <v>#REF!</v>
      </c>
      <c r="FR42" s="142" t="str">
        <f>EXP(-LN(2)/25)*FR41+(1-EXP(-LN(2)/25))/(LN(2)/25)*'Calculateur (1)'!FM42*'Calculateur (1)'!FO42*VLOOKUP('Données projet (1)'!$B$16,'Paramètres (1)'!$A$1:$I$88,3,0)*0.475*44/12</f>
        <v>#REF!</v>
      </c>
      <c r="FS42" s="142" t="str">
        <f>EXP(-LN(2)/2)*FS41+(1-EXP(-LN(2)/2))/(LN(2)/2)*FM42*FP42*VLOOKUP('Données projet (1)'!$B$16,'Paramètres (1)'!$A$1:$I$88,3,0)*0.475*44/12</f>
        <v>#REF!</v>
      </c>
      <c r="FT42" s="143" t="str">
        <f t="shared" si="85"/>
        <v>#REF!</v>
      </c>
      <c r="FU42" s="139" t="str">
        <f t="shared" si="86"/>
        <v>#REF!</v>
      </c>
      <c r="FV42" s="131">
        <f t="shared" si="87"/>
        <v>10</v>
      </c>
      <c r="FW42" s="131" t="str">
        <f t="shared" si="140"/>
        <v>#REF!</v>
      </c>
      <c r="FX42" s="131" t="str">
        <f t="shared" si="88"/>
        <v>#REF!</v>
      </c>
      <c r="FY42" s="131" t="str">
        <f t="array" ref="FY42">INDEX(FX:FX,MIN(IF(ISNUMBER(FX42:FX238),ROW(FX42:FX238),"")))</f>
        <v/>
      </c>
      <c r="FZ42" s="131" t="str">
        <f t="shared" si="141"/>
        <v>#REF!</v>
      </c>
      <c r="GA42" s="138" t="str">
        <f>FZ42*VLOOKUP('Données projet (1)'!$B$17,'Paramètres (1)'!$A$1:$I$88,3,0)*VLOOKUP('Données projet (1)'!$B$17,'Paramètres (1)'!$A$1:$I$88,5,0)</f>
        <v>#REF!</v>
      </c>
      <c r="GB42" s="130" t="str">
        <f t="shared" si="142"/>
        <v>#REF!</v>
      </c>
      <c r="GC42" s="141" t="str">
        <f t="shared" si="89"/>
        <v>#REF!</v>
      </c>
      <c r="GD42" s="133" t="str">
        <f t="shared" si="90"/>
        <v>#REF!</v>
      </c>
      <c r="GE42" s="133" t="str">
        <f t="shared" si="91"/>
        <v>#REF!</v>
      </c>
      <c r="GF42" s="133" t="str">
        <f t="shared" si="143"/>
        <v>#REF!</v>
      </c>
      <c r="GG42" s="134" t="str">
        <f t="shared" si="92"/>
        <v>#REF!</v>
      </c>
      <c r="GH42" s="134" t="str">
        <f t="shared" si="93"/>
        <v>#REF!</v>
      </c>
      <c r="GI42" s="135" t="str">
        <f>IF(ISNA(VLOOKUP(A42,'Données projet (1)'!$A$243:$I$263,5,0)),0%,VLOOKUP(A42,'Données projet (1)'!$A$243:$I$263,5,0)*VLOOKUP('Données projet (1)'!$B$17,'Paramètres (1)'!$A$1:$I$88,7,0))</f>
        <v>#REF!</v>
      </c>
      <c r="GJ42" s="135" t="str">
        <f>IF(ISNA(VLOOKUP(A42,'Données projet (1)'!$A$243:$I$263,6,0)),0%,VLOOKUP(A42,'Données projet (1)'!$A$243:$I$263,6,0)*VLOOKUP('Données projet (1)'!$B$17,'Paramètres (1)'!$A$1:$I$88,7,0))</f>
        <v>#REF!</v>
      </c>
      <c r="GK42" s="135" t="str">
        <f t="shared" si="94"/>
        <v>#REF!</v>
      </c>
      <c r="GL42" s="142" t="str">
        <f>EXP(-LN(2)/35)*GL41+(1-EXP(-LN(2)/35))/(LN(2)/35)*GH42*GI42*VLOOKUP('Données projet (1)'!$B$17,'Paramètres (1)'!$A$1:$I$88,3,0)*0.475*44/12</f>
        <v>#REF!</v>
      </c>
      <c r="GM42" s="142" t="str">
        <f>EXP(-LN(2)/25)*GM41+(1-EXP(-LN(2)/25))/(LN(2)/25)*'Calculateur (1)'!GH42*'Calculateur (1)'!GJ42*VLOOKUP('Données projet (1)'!$B$17,'Paramètres (1)'!$A$1:$I$88,3,0)*0.475*44/12</f>
        <v>#REF!</v>
      </c>
      <c r="GN42" s="142" t="str">
        <f>EXP(-LN(2)/2)*GN41+(1-EXP(-LN(2)/2))/(LN(2)/2)*GH42*GK42*VLOOKUP('Données projet (1)'!$B$17,'Paramètres (1)'!$A$1:$I$88,3,0)*0.475*44/12</f>
        <v>#REF!</v>
      </c>
      <c r="GO42" s="142" t="str">
        <f t="shared" si="95"/>
        <v>#REF!</v>
      </c>
      <c r="GP42" s="139" t="str">
        <f t="shared" si="96"/>
        <v>#REF!</v>
      </c>
      <c r="GQ42" s="131">
        <f t="shared" si="97"/>
        <v>10</v>
      </c>
      <c r="GR42" s="131" t="str">
        <f t="shared" si="144"/>
        <v>#REF!</v>
      </c>
      <c r="GS42" s="131" t="str">
        <f t="shared" si="98"/>
        <v>#REF!</v>
      </c>
      <c r="GT42" s="131" t="str">
        <f t="array" ref="GT42">INDEX(GS:GS,MIN(IF(ISNUMBER(GS42:GS238),ROW(GS42:GS238),"")))</f>
        <v/>
      </c>
      <c r="GU42" s="131" t="str">
        <f t="shared" si="145"/>
        <v>#REF!</v>
      </c>
      <c r="GV42" s="138" t="str">
        <f>GU42*VLOOKUP('Données projet (1)'!$B$18,'Paramètres (1)'!$A$1:$I$88,3,0)*VLOOKUP('Données projet (1)'!$B$18,'Paramètres (1)'!$A$1:$I$88,5,0)</f>
        <v>#REF!</v>
      </c>
      <c r="GW42" s="130" t="str">
        <f t="shared" si="146"/>
        <v>#REF!</v>
      </c>
      <c r="GX42" s="141" t="str">
        <f t="shared" si="99"/>
        <v>#REF!</v>
      </c>
      <c r="GY42" s="133" t="str">
        <f t="shared" si="100"/>
        <v>#REF!</v>
      </c>
      <c r="GZ42" s="133" t="str">
        <f t="shared" si="101"/>
        <v>#REF!</v>
      </c>
      <c r="HA42" s="133" t="str">
        <f t="shared" si="147"/>
        <v>#REF!</v>
      </c>
      <c r="HB42" s="134" t="str">
        <f t="shared" si="102"/>
        <v>#REF!</v>
      </c>
      <c r="HC42" s="134" t="str">
        <f t="shared" si="103"/>
        <v>#REF!</v>
      </c>
      <c r="HD42" s="135" t="str">
        <f>IF(ISNA(VLOOKUP(A42,'Données projet (1)'!$A$269:$I$289,5,0)),0%,VLOOKUP(A42,'Données projet (1)'!$A$269:$I$289,5,0)*VLOOKUP('Données projet (1)'!$B$18,'Paramètres (1)'!$A$1:$I$88,7,0))</f>
        <v>#REF!</v>
      </c>
      <c r="HE42" s="135" t="str">
        <f>IF(ISNA(VLOOKUP(A42,'Données projet (1)'!$A$269:$I$289,6,0)),0%,VLOOKUP(A42,'Données projet (1)'!$A$269:$I$289,6,0)*VLOOKUP('Données projet (1)'!$B$18,'Paramètres (1)'!$A$1:$I$88,7,0))</f>
        <v>#REF!</v>
      </c>
      <c r="HF42" s="135" t="str">
        <f t="shared" si="104"/>
        <v>#REF!</v>
      </c>
      <c r="HG42" s="142" t="str">
        <f>EXP(-LN(2)/35)*HG41+(1-EXP(-LN(2)/35))/(LN(2)/35)*HC42*HD42*VLOOKUP('Données projet (1)'!$B$18,'Paramètres (1)'!$A$1:$I$88,3,0)*0.475*44/12</f>
        <v>#REF!</v>
      </c>
      <c r="HH42" s="142" t="str">
        <f>EXP(-LN(2)/25)*HH41+(1-EXP(-LN(2)/25))/(LN(2)/25)*'Calculateur (1)'!HC42*'Calculateur (1)'!HE42*VLOOKUP('Données projet (1)'!$B$18,'Paramètres (1)'!$A$1:$I$88,3,0)*0.475*44/12</f>
        <v>#REF!</v>
      </c>
      <c r="HI42" s="142" t="str">
        <f>EXP(-LN(2)/2)*HI41+(1-EXP(-LN(2)/2))/(LN(2)/2)*HC42*HF42*VLOOKUP('Données projet (1)'!$B$18,'Paramètres (1)'!$A$1:$I$88,3,0)*0.475*44/12</f>
        <v>#REF!</v>
      </c>
      <c r="HJ42" s="143" t="str">
        <f t="shared" si="105"/>
        <v>#REF!</v>
      </c>
    </row>
    <row r="43" ht="14.25" customHeight="1">
      <c r="A43" s="125">
        <f t="shared" si="106"/>
        <v>40</v>
      </c>
      <c r="B43" s="126" t="str">
        <f t="shared" si="1"/>
        <v>#REF!</v>
      </c>
      <c r="C43" s="140" t="str">
        <f>'Calculateur (1)'!C42+'Scénario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3" s="127">
        <f t="shared" si="107"/>
        <v>0</v>
      </c>
      <c r="E43" s="127" t="str">
        <f t="shared" si="2"/>
        <v>#REF!</v>
      </c>
      <c r="F43" s="127" t="str">
        <f t="shared" si="3"/>
        <v>#REF!</v>
      </c>
      <c r="G43" s="127" t="str">
        <f t="shared" si="4"/>
        <v>#REF!</v>
      </c>
      <c r="H43" s="128" t="str">
        <f t="shared" si="5"/>
        <v>#REF!</v>
      </c>
      <c r="I43" s="129" t="str">
        <f t="shared" si="6"/>
        <v>#REF!</v>
      </c>
      <c r="J43" s="130">
        <f t="shared" si="7"/>
        <v>10</v>
      </c>
      <c r="K43" s="131" t="str">
        <f t="shared" si="108"/>
        <v>#REF!</v>
      </c>
      <c r="L43" s="131" t="str">
        <f t="shared" si="8"/>
        <v>#REF!</v>
      </c>
      <c r="M43" s="131" t="str">
        <f t="array" ref="M43">INDEX(L:L,MIN(IF(ISNUMBER(L43:L239),ROW(L43:L239),"")))</f>
        <v/>
      </c>
      <c r="N43" s="130" t="str">
        <f t="shared" si="109"/>
        <v>#REF!</v>
      </c>
      <c r="O43" s="130" t="str">
        <f>N43*VLOOKUP('Données projet (1)'!$B$9,'Paramètres (1)'!$A$1:$I$88,3,0)*VLOOKUP('Données projet (1)'!$B$9,'Paramètres (1)'!$A$1:$I$88,5,0)</f>
        <v>#REF!</v>
      </c>
      <c r="P43" s="130" t="str">
        <f t="shared" si="110"/>
        <v>#REF!</v>
      </c>
      <c r="Q43" s="141" t="str">
        <f t="shared" si="9"/>
        <v>#REF!</v>
      </c>
      <c r="R43" s="133" t="str">
        <f t="shared" si="10"/>
        <v>#REF!</v>
      </c>
      <c r="S43" s="133" t="str">
        <f t="shared" si="11"/>
        <v>#REF!</v>
      </c>
      <c r="T43" s="133" t="str">
        <f t="shared" si="111"/>
        <v>#REF!</v>
      </c>
      <c r="U43" s="134" t="str">
        <f t="shared" si="12"/>
        <v>#REF!</v>
      </c>
      <c r="V43" s="134" t="str">
        <f t="shared" si="13"/>
        <v>#REF!</v>
      </c>
      <c r="W43" s="135" t="str">
        <f>IF(ISNA(VLOOKUP(A43,'Données projet (1)'!$A$35:$I$55,5,0)),0%,VLOOKUP(A43,'Données projet (1)'!$A$35:$I$55,5,0)*VLOOKUP('Données projet (1)'!$B$9,'Paramètres (1)'!$A$1:$I$88,7,0))</f>
        <v>#REF!</v>
      </c>
      <c r="X43" s="135" t="str">
        <f>IF(ISNA(VLOOKUP(A43,'Données projet (1)'!$A$35:$I$55,6,0)),0%,VLOOKUP(A43,'Données projet (1)'!$A$35:$I$55,6,0)*VLOOKUP('Données projet (1)'!$B$9,'Paramètres (1)'!$A$1:$I$88,7,0))</f>
        <v>#REF!</v>
      </c>
      <c r="Y43" s="135" t="str">
        <f t="shared" si="14"/>
        <v>#REF!</v>
      </c>
      <c r="Z43" s="142" t="str">
        <f>EXP(-LN(2)/35)*Z42+(1-EXP(-LN(2)/35))/(LN(2)/35)*V43*W43*VLOOKUP('Données projet (1)'!$B$9,'Paramètres (1)'!$A$1:$I$88,3,0)*0.475*44/12</f>
        <v>#REF!</v>
      </c>
      <c r="AA43" s="142" t="str">
        <f>EXP(-LN(2)/25)*AA42+(1-EXP(-LN(2)/25))/(LN(2)/25)*'Calculateur (1)'!V43*'Calculateur (1)'!X43*VLOOKUP('Données projet (1)'!$B$9,'Paramètres (1)'!$A$1:$I$88,3,0)*0.475*44/12</f>
        <v>#REF!</v>
      </c>
      <c r="AB43" s="142" t="str">
        <f>EXP(-LN(2)/2)*AB42+(1-EXP(-LN(2)/2))/(LN(2)/2)*V43*Y43*VLOOKUP('Données projet (1)'!$B$9,'Paramètres (1)'!$A$1:$I$88,3,0)*0.475*44/12</f>
        <v>#REF!</v>
      </c>
      <c r="AC43" s="143" t="str">
        <f t="shared" si="15"/>
        <v>#REF!</v>
      </c>
      <c r="AD43" s="130" t="str">
        <f t="shared" si="16"/>
        <v>#REF!</v>
      </c>
      <c r="AE43" s="130">
        <f t="shared" si="17"/>
        <v>10</v>
      </c>
      <c r="AF43" s="131" t="str">
        <f t="shared" si="112"/>
        <v>#REF!</v>
      </c>
      <c r="AG43" s="131" t="str">
        <f t="shared" si="18"/>
        <v>#REF!</v>
      </c>
      <c r="AH43" s="131" t="str">
        <f t="array" ref="AH43">INDEX(AG:AG,MIN(IF(ISNUMBER(AG43:AG239),ROW(AG43:AG239),"")))</f>
        <v/>
      </c>
      <c r="AI43" s="130" t="str">
        <f t="shared" si="113"/>
        <v>#REF!</v>
      </c>
      <c r="AJ43" s="130" t="str">
        <f>AI43*VLOOKUP('Données projet (1)'!$B$10,'Paramètres (1)'!$A$1:$I$88,3,0)*VLOOKUP('Données projet (1)'!$B$10,'Paramètres (1)'!$A$1:$I$88,5,0)</f>
        <v>#REF!</v>
      </c>
      <c r="AK43" s="130" t="str">
        <f t="shared" si="114"/>
        <v>#REF!</v>
      </c>
      <c r="AL43" s="141" t="str">
        <f t="shared" si="19"/>
        <v>#REF!</v>
      </c>
      <c r="AM43" s="133" t="str">
        <f t="shared" si="20"/>
        <v>#REF!</v>
      </c>
      <c r="AN43" s="133" t="str">
        <f t="shared" si="21"/>
        <v>#REF!</v>
      </c>
      <c r="AO43" s="133" t="str">
        <f t="shared" si="115"/>
        <v>#REF!</v>
      </c>
      <c r="AP43" s="134" t="str">
        <f t="shared" si="22"/>
        <v>#REF!</v>
      </c>
      <c r="AQ43" s="134" t="str">
        <f t="shared" si="23"/>
        <v>#REF!</v>
      </c>
      <c r="AR43" s="135" t="str">
        <f>IF(ISNA(VLOOKUP(A43,'Données projet (1)'!$A$61:$I$81,5,0)),0%,VLOOKUP(A43,'Données projet (1)'!$A$61:$I$81,5,0)*VLOOKUP('Données projet (1)'!$B$10,'Paramètres (1)'!$A$1:$I$88,7,0))</f>
        <v>#REF!</v>
      </c>
      <c r="AS43" s="135" t="str">
        <f>IF(ISNA(VLOOKUP(A43,'Données projet (1)'!$A$61:$I$81,6,0)),0%,VLOOKUP(A43,'Données projet (1)'!$A$61:$I$81,6,0)*VLOOKUP('Données projet (1)'!$B$10,'Paramètres (1)'!$A$1:$I$88,7,0))</f>
        <v>#REF!</v>
      </c>
      <c r="AT43" s="135" t="str">
        <f t="shared" si="24"/>
        <v>#REF!</v>
      </c>
      <c r="AU43" s="142" t="str">
        <f>EXP(-LN(2)/35)*AU42+(1-EXP(-LN(2)/35))/(LN(2)/35)*AQ43*AR43*VLOOKUP('Données projet (1)'!$B$10,'Paramètres (1)'!$A$1:$I$88,3,0)*0.475*44/12</f>
        <v>#REF!</v>
      </c>
      <c r="AV43" s="142" t="str">
        <f>EXP(-LN(2)/25)*AV42+(1-EXP(-LN(2)/25))/(LN(2)/25)*'Calculateur (1)'!AQ43*'Calculateur (1)'!AS43*VLOOKUP('Données projet (1)'!$B$10,'Paramètres (1)'!$A$1:$I$88,3,0)*0.475*44/12</f>
        <v>#REF!</v>
      </c>
      <c r="AW43" s="142" t="str">
        <f>EXP(-LN(2)/2)*AW42+(1-EXP(-LN(2)/2))/(LN(2)/2)*AQ43*AT43*VLOOKUP('Données projet (1)'!$B$10,'Paramètres (1)'!$A$1:$I$88,3,0)*0.475*44/12</f>
        <v>#REF!</v>
      </c>
      <c r="AX43" s="142" t="str">
        <f t="shared" si="25"/>
        <v>#REF!</v>
      </c>
      <c r="AY43" s="137" t="str">
        <f t="shared" si="26"/>
        <v>#REF!</v>
      </c>
      <c r="AZ43" s="131">
        <f t="shared" si="27"/>
        <v>10</v>
      </c>
      <c r="BA43" s="131" t="str">
        <f t="shared" si="116"/>
        <v>#REF!</v>
      </c>
      <c r="BB43" s="131" t="str">
        <f t="shared" si="28"/>
        <v>#REF!</v>
      </c>
      <c r="BC43" s="131" t="str">
        <f t="array" ref="BC43">INDEX(BB:BB,MIN(IF(ISNUMBER(BB43:BB239),ROW(BB43:BB239),"")))</f>
        <v/>
      </c>
      <c r="BD43" s="131" t="str">
        <f t="shared" si="117"/>
        <v>#REF!</v>
      </c>
      <c r="BE43" s="130" t="str">
        <f>BD43*VLOOKUP('Données projet (1)'!$B$11,'Paramètres (1)'!$A$1:$I$88,3,0)*VLOOKUP('Données projet (1)'!$B$11,'Paramètres (1)'!$A$1:$I$88,5,0)</f>
        <v>#REF!</v>
      </c>
      <c r="BF43" s="130" t="str">
        <f t="shared" si="118"/>
        <v>#REF!</v>
      </c>
      <c r="BG43" s="141" t="str">
        <f t="shared" si="29"/>
        <v>#REF!</v>
      </c>
      <c r="BH43" s="133" t="str">
        <f t="shared" si="30"/>
        <v>#REF!</v>
      </c>
      <c r="BI43" s="133" t="str">
        <f t="shared" si="31"/>
        <v>#REF!</v>
      </c>
      <c r="BJ43" s="133" t="str">
        <f t="shared" si="119"/>
        <v>#REF!</v>
      </c>
      <c r="BK43" s="134" t="str">
        <f t="shared" si="32"/>
        <v>#REF!</v>
      </c>
      <c r="BL43" s="134" t="str">
        <f t="shared" si="33"/>
        <v>#REF!</v>
      </c>
      <c r="BM43" s="135" t="str">
        <f>IF(ISNA(VLOOKUP(A43,'Données projet (1)'!$A$87:$I$107,5,0)),0%,VLOOKUP(A43,'Données projet (1)'!$A$87:$I$107,5,0)*VLOOKUP('Données projet (1)'!$B$11,'Paramètres (1)'!$A$1:$I$88,7,0))</f>
        <v>#REF!</v>
      </c>
      <c r="BN43" s="135" t="str">
        <f>IF(ISNA(VLOOKUP(A43,'Données projet (1)'!$A$87:$I$107,6,0)),0%,VLOOKUP(A43,'Données projet (1)'!$A$87:$I$107,6,0)*VLOOKUP('Données projet (1)'!$B$11,'Paramètres (1)'!$A$1:$I$88,7,0))</f>
        <v>#REF!</v>
      </c>
      <c r="BO43" s="135" t="str">
        <f t="shared" si="34"/>
        <v>#REF!</v>
      </c>
      <c r="BP43" s="142" t="str">
        <f>EXP(-LN(2)/35)*BP42+(1-EXP(-LN(2)/35))/(LN(2)/35)*BL43*BM43*VLOOKUP('Données projet (1)'!$B$11,'Paramètres (1)'!$A$1:$I$88,3,0)*0.475*44/12</f>
        <v>#REF!</v>
      </c>
      <c r="BQ43" s="142" t="str">
        <f>EXP(-LN(2)/25)*BQ42+(1-EXP(-LN(2)/25))/(LN(2)/25)*'Calculateur (1)'!BL43*'Calculateur (1)'!BN43*VLOOKUP('Données projet (1)'!$B$11,'Paramètres (1)'!$A$1:$I$88,3,0)*0.475*44/12</f>
        <v>#REF!</v>
      </c>
      <c r="BR43" s="142" t="str">
        <f>EXP(-LN(2)/2)*BR42+(1-EXP(-LN(2)/2))/(LN(2)/2)*BL43*BO43*VLOOKUP('Données projet (1)'!$B$11,'Paramètres (1)'!$A$1:$I$88,3,0)*0.475*44/12</f>
        <v>#REF!</v>
      </c>
      <c r="BS43" s="143" t="str">
        <f t="shared" si="35"/>
        <v>#REF!</v>
      </c>
      <c r="BT43" s="139" t="str">
        <f t="shared" si="36"/>
        <v>#REF!</v>
      </c>
      <c r="BU43" s="131">
        <f t="shared" si="37"/>
        <v>10</v>
      </c>
      <c r="BV43" s="131" t="str">
        <f t="shared" si="120"/>
        <v>#REF!</v>
      </c>
      <c r="BW43" s="131" t="str">
        <f t="shared" si="38"/>
        <v>#REF!</v>
      </c>
      <c r="BX43" s="131" t="str">
        <f t="array" ref="BX43">INDEX(BW:BW,MIN(IF(ISNUMBER(BW43:BW239),ROW(BW43:BW239),"")))</f>
        <v/>
      </c>
      <c r="BY43" s="131" t="str">
        <f t="shared" si="121"/>
        <v>#REF!</v>
      </c>
      <c r="BZ43" s="130" t="str">
        <f>BY43*VLOOKUP('Données projet (1)'!$B$12,'Paramètres (1)'!$A$1:$I$88,3,0)*VLOOKUP('Données projet (1)'!$B$12,'Paramètres (1)'!$A$1:$I$88,5,0)</f>
        <v>#REF!</v>
      </c>
      <c r="CA43" s="130" t="str">
        <f t="shared" si="122"/>
        <v>#REF!</v>
      </c>
      <c r="CB43" s="141" t="str">
        <f t="shared" si="39"/>
        <v>#REF!</v>
      </c>
      <c r="CC43" s="133" t="str">
        <f t="shared" si="40"/>
        <v>#REF!</v>
      </c>
      <c r="CD43" s="133" t="str">
        <f t="shared" si="41"/>
        <v>#REF!</v>
      </c>
      <c r="CE43" s="133" t="str">
        <f t="shared" si="123"/>
        <v>#REF!</v>
      </c>
      <c r="CF43" s="134" t="str">
        <f t="shared" si="42"/>
        <v>#REF!</v>
      </c>
      <c r="CG43" s="134" t="str">
        <f t="shared" si="43"/>
        <v>#REF!</v>
      </c>
      <c r="CH43" s="135" t="str">
        <f>IF(ISNA(VLOOKUP(A43,'Données projet (1)'!$A$113:$I$133,5,0)),0%,VLOOKUP(A43,'Données projet (1)'!$A$113:$I$133,5,0)*VLOOKUP('Données projet (1)'!$B$12,'Paramètres (1)'!$A$1:$I$88,7,0))</f>
        <v>#REF!</v>
      </c>
      <c r="CI43" s="135" t="str">
        <f>IF(ISNA(VLOOKUP(A43,'Données projet (1)'!$A$113:$I$133,6,0)),0%,VLOOKUP(A43,'Données projet (1)'!$A$113:$I$133,6,0)*VLOOKUP('Données projet (1)'!$B$12,'Paramètres (1)'!$A$1:$I$88,7,0))</f>
        <v>#REF!</v>
      </c>
      <c r="CJ43" s="135" t="str">
        <f t="shared" si="44"/>
        <v>#REF!</v>
      </c>
      <c r="CK43" s="142" t="str">
        <f>EXP(-LN(2)/35)*CK42+(1-EXP(-LN(2)/35))/(LN(2)/35)*CG43*CH43*VLOOKUP('Données projet (1)'!$B$12,'Paramètres (1)'!$A$1:$I$88,3,0)*0.475*44/12</f>
        <v>#REF!</v>
      </c>
      <c r="CL43" s="142" t="str">
        <f>EXP(-LN(2)/25)*CL42+(1-EXP(-LN(2)/25))/(LN(2)/25)*'Calculateur (1)'!CG43*'Calculateur (1)'!CI43*VLOOKUP('Données projet (1)'!$B$12,'Paramètres (1)'!$A$1:$I$88,3,0)*0.475*44/12</f>
        <v>#REF!</v>
      </c>
      <c r="CM43" s="142" t="str">
        <f>EXP(-LN(2)/2)*CM42+(1-EXP(-LN(2)/2))/(LN(2)/2)*CG43*CJ43*VLOOKUP('Données projet (1)'!$B$12,'Paramètres (1)'!$A$1:$I$88,3,0)*0.475*44/12</f>
        <v>#REF!</v>
      </c>
      <c r="CN43" s="143" t="str">
        <f t="shared" si="45"/>
        <v>#REF!</v>
      </c>
      <c r="CO43" s="139" t="str">
        <f t="shared" si="46"/>
        <v>#REF!</v>
      </c>
      <c r="CP43" s="131">
        <f t="shared" si="47"/>
        <v>10</v>
      </c>
      <c r="CQ43" s="131" t="str">
        <f t="shared" si="124"/>
        <v>#REF!</v>
      </c>
      <c r="CR43" s="131" t="str">
        <f t="shared" si="48"/>
        <v>#REF!</v>
      </c>
      <c r="CS43" s="131" t="str">
        <f t="array" ref="CS43">INDEX(CR:CR,MIN(IF(ISNUMBER(CR43:CR239),ROW(CR43:CR239),"")))</f>
        <v/>
      </c>
      <c r="CT43" s="131" t="str">
        <f t="shared" si="125"/>
        <v>#REF!</v>
      </c>
      <c r="CU43" s="138" t="str">
        <f>CT43*VLOOKUP('Données projet (1)'!$B$13,'Paramètres (1)'!$A$1:$I$88,3,0)*VLOOKUP('Données projet (1)'!$B$13,'Paramètres (1)'!$A$1:$I$88,5,0)</f>
        <v>#REF!</v>
      </c>
      <c r="CV43" s="130" t="str">
        <f t="shared" si="126"/>
        <v>#REF!</v>
      </c>
      <c r="CW43" s="141" t="str">
        <f t="shared" si="49"/>
        <v>#REF!</v>
      </c>
      <c r="CX43" s="133" t="str">
        <f t="shared" si="50"/>
        <v>#REF!</v>
      </c>
      <c r="CY43" s="133" t="str">
        <f t="shared" si="51"/>
        <v>#REF!</v>
      </c>
      <c r="CZ43" s="133" t="str">
        <f t="shared" si="127"/>
        <v>#REF!</v>
      </c>
      <c r="DA43" s="134" t="str">
        <f t="shared" si="52"/>
        <v>#REF!</v>
      </c>
      <c r="DB43" s="134" t="str">
        <f t="shared" si="53"/>
        <v>#REF!</v>
      </c>
      <c r="DC43" s="135" t="str">
        <f>IF(ISNA(VLOOKUP(A43,'Données projet (1)'!$A$139:$I$159,5,0)),0%,VLOOKUP(A43,'Données projet (1)'!$A$139:$I$159,5,0)*VLOOKUP('Données projet (1)'!$B$13,'Paramètres (1)'!$A$1:$I$88,7,0))</f>
        <v>#REF!</v>
      </c>
      <c r="DD43" s="135" t="str">
        <f>IF(ISNA(VLOOKUP(A43,'Données projet (1)'!$A$139:$I$159,6,0)),0%,VLOOKUP(A43,'Données projet (1)'!$A$139:$I$159,6,0)*VLOOKUP('Données projet (1)'!$B$13,'Paramètres (1)'!$A$1:$I$88,7,0))</f>
        <v>#REF!</v>
      </c>
      <c r="DE43" s="135" t="str">
        <f t="shared" si="54"/>
        <v>#REF!</v>
      </c>
      <c r="DF43" s="142" t="str">
        <f>EXP(-LN(2)/35)*DF42+(1-EXP(-LN(2)/35))/(LN(2)/35)*DB43*DC43*VLOOKUP('Données projet (1)'!$B$13,'Paramètres (1)'!$A$1:$I$88,3,0)*0.475*44/12</f>
        <v>#REF!</v>
      </c>
      <c r="DG43" s="142" t="str">
        <f>EXP(-LN(2)/25)*DG42+(1-EXP(-LN(2)/25))/(LN(2)/25)*'Calculateur (1)'!DB43*'Calculateur (1)'!DD43*VLOOKUP('Données projet (1)'!$B$13,'Paramètres (1)'!$A$1:$I$88,3,0)*0.475*44/12</f>
        <v>#REF!</v>
      </c>
      <c r="DH43" s="142" t="str">
        <f>EXP(-LN(2)/2)*DH42+(1-EXP(-LN(2)/2))/(LN(2)/2)*DB43*DE43*VLOOKUP('Données projet (1)'!$B$13,'Paramètres (1)'!$A$1:$I$88,3,0)*0.475*44/12</f>
        <v>#REF!</v>
      </c>
      <c r="DI43" s="143" t="str">
        <f t="shared" si="55"/>
        <v>#REF!</v>
      </c>
      <c r="DJ43" s="139" t="str">
        <f t="shared" si="56"/>
        <v>#REF!</v>
      </c>
      <c r="DK43" s="131">
        <f t="shared" si="57"/>
        <v>10</v>
      </c>
      <c r="DL43" s="131" t="str">
        <f t="shared" si="128"/>
        <v>#REF!</v>
      </c>
      <c r="DM43" s="131" t="str">
        <f t="shared" si="58"/>
        <v>#REF!</v>
      </c>
      <c r="DN43" s="131" t="str">
        <f t="array" ref="DN43">INDEX(DM:DM,MIN(IF(ISNUMBER(DM43:DM239),ROW(DM43:DM239),"")))</f>
        <v/>
      </c>
      <c r="DO43" s="131" t="str">
        <f t="shared" si="129"/>
        <v>#REF!</v>
      </c>
      <c r="DP43" s="138" t="str">
        <f>DO43*VLOOKUP('Données projet (1)'!$B$14,'Paramètres (1)'!$A$1:$I$88,3,0)*VLOOKUP('Données projet (1)'!$B$14,'Paramètres (1)'!$A$1:$I$88,5,0)</f>
        <v>#REF!</v>
      </c>
      <c r="DQ43" s="130" t="str">
        <f t="shared" si="130"/>
        <v>#REF!</v>
      </c>
      <c r="DR43" s="141" t="str">
        <f t="shared" si="59"/>
        <v>#REF!</v>
      </c>
      <c r="DS43" s="133" t="str">
        <f t="shared" si="60"/>
        <v>#REF!</v>
      </c>
      <c r="DT43" s="133" t="str">
        <f t="shared" si="61"/>
        <v>#REF!</v>
      </c>
      <c r="DU43" s="133" t="str">
        <f t="shared" si="131"/>
        <v>#REF!</v>
      </c>
      <c r="DV43" s="134" t="str">
        <f t="shared" si="62"/>
        <v>#REF!</v>
      </c>
      <c r="DW43" s="134" t="str">
        <f t="shared" si="63"/>
        <v>#REF!</v>
      </c>
      <c r="DX43" s="135" t="str">
        <f>IF(ISNA(VLOOKUP(A43,'Données projet (1)'!$A$165:$I$185,5,0)),0%,VLOOKUP(A43,'Données projet (1)'!$A$165:$I$185,5,0)*VLOOKUP('Données projet (1)'!$B$14,'Paramètres (1)'!$A$1:$I$88,7,0))</f>
        <v>#REF!</v>
      </c>
      <c r="DY43" s="135" t="str">
        <f>IF(ISNA(VLOOKUP(A43,'Données projet (1)'!$A$165:$I$185,6,0)),0%,VLOOKUP(A43,'Données projet (1)'!$A$165:$I$185,6,0)*VLOOKUP('Données projet (1)'!$B$14,'Paramètres (1)'!$A$1:$I$88,7,0))</f>
        <v>#REF!</v>
      </c>
      <c r="DZ43" s="135" t="str">
        <f t="shared" si="64"/>
        <v>#REF!</v>
      </c>
      <c r="EA43" s="142" t="str">
        <f>EXP(-LN(2)/35)*EA42+(1-EXP(-LN(2)/35))/(LN(2)/35)*DW43*DX43*VLOOKUP('Données projet (1)'!$B$14,'Paramètres (1)'!$A$1:$I$88,3,0)*0.475*44/12</f>
        <v>#REF!</v>
      </c>
      <c r="EB43" s="142" t="str">
        <f>EXP(-LN(2)/25)*EB42+(1-EXP(-LN(2)/25))/(LN(2)/25)*'Calculateur (1)'!DW43*'Calculateur (1)'!DY43*VLOOKUP('Données projet (1)'!$B$14,'Paramètres (1)'!$A$1:$I$88,3,0)*0.475*44/12</f>
        <v>#REF!</v>
      </c>
      <c r="EC43" s="142" t="str">
        <f>EXP(-LN(2)/2)*EC42+(1-EXP(-LN(2)/2))/(LN(2)/2)*DW43*DZ43*VLOOKUP('Données projet (1)'!$B$14,'Paramètres (1)'!$A$1:$I$88,3,0)*0.475*44/12</f>
        <v>#REF!</v>
      </c>
      <c r="ED43" s="143" t="str">
        <f t="shared" si="65"/>
        <v>#REF!</v>
      </c>
      <c r="EE43" s="139" t="str">
        <f t="shared" si="66"/>
        <v>#REF!</v>
      </c>
      <c r="EF43" s="131">
        <f t="shared" si="67"/>
        <v>10</v>
      </c>
      <c r="EG43" s="131" t="str">
        <f t="shared" si="132"/>
        <v>#REF!</v>
      </c>
      <c r="EH43" s="131" t="str">
        <f t="shared" si="68"/>
        <v>#REF!</v>
      </c>
      <c r="EI43" s="131" t="str">
        <f t="array" ref="EI43">INDEX(EH:EH,MIN(IF(ISNUMBER(EH43:EH239),ROW(EH43:EH239),"")))</f>
        <v/>
      </c>
      <c r="EJ43" s="131" t="str">
        <f t="shared" si="133"/>
        <v>#REF!</v>
      </c>
      <c r="EK43" s="138" t="str">
        <f>EJ43*VLOOKUP('Données projet (1)'!$B$15,'Paramètres (1)'!$A$1:$I$88,3,0)*VLOOKUP('Données projet (1)'!$B$15,'Paramètres (1)'!$A$1:$I$88,5,0)</f>
        <v>#REF!</v>
      </c>
      <c r="EL43" s="130" t="str">
        <f t="shared" si="134"/>
        <v>#REF!</v>
      </c>
      <c r="EM43" s="141" t="str">
        <f t="shared" si="69"/>
        <v>#REF!</v>
      </c>
      <c r="EN43" s="133" t="str">
        <f t="shared" si="70"/>
        <v>#REF!</v>
      </c>
      <c r="EO43" s="133" t="str">
        <f t="shared" si="71"/>
        <v>#REF!</v>
      </c>
      <c r="EP43" s="133" t="str">
        <f t="shared" si="135"/>
        <v>#REF!</v>
      </c>
      <c r="EQ43" s="134" t="str">
        <f t="shared" si="72"/>
        <v>#REF!</v>
      </c>
      <c r="ER43" s="134" t="str">
        <f t="shared" si="73"/>
        <v>#REF!</v>
      </c>
      <c r="ES43" s="135" t="str">
        <f>IF(ISNA(VLOOKUP(A43,'Données projet (1)'!$A$191:$I$211,5,0)),0%,VLOOKUP(A43,'Données projet (1)'!$A$191:$I$211,5,0)*VLOOKUP('Données projet (1)'!$B$15,'Paramètres (1)'!$A$1:$I$88,7,0))</f>
        <v>#REF!</v>
      </c>
      <c r="ET43" s="135" t="str">
        <f>IF(ISNA(VLOOKUP(A43,'Données projet (1)'!$A$191:$I$211,6,0)),0%,VLOOKUP(A43,'Données projet (1)'!$A$191:$I$211,6,0)*VLOOKUP('Données projet (1)'!$B$15,'Paramètres (1)'!$A$1:$I$88,7,0))</f>
        <v>#REF!</v>
      </c>
      <c r="EU43" s="135" t="str">
        <f t="shared" si="74"/>
        <v>#REF!</v>
      </c>
      <c r="EV43" s="142" t="str">
        <f>EXP(-LN(2)/35)*EV42+(1-EXP(-LN(2)/35))/(LN(2)/35)*ER43*ES43*VLOOKUP('Données projet (1)'!$B$15,'Paramètres (1)'!$A$1:$I$88,3,0)*0.475*44/12</f>
        <v>#REF!</v>
      </c>
      <c r="EW43" s="142" t="str">
        <f>EXP(-LN(2)/25)*EW42+(1-EXP(-LN(2)/25))/(LN(2)/25)*'Calculateur (1)'!ER43*'Calculateur (1)'!ET43*VLOOKUP('Données projet (1)'!$B$15,'Paramètres (1)'!$A$1:$I$88,3,0)*0.475*44/12</f>
        <v>#REF!</v>
      </c>
      <c r="EX43" s="142" t="str">
        <f>EXP(-LN(2)/2)*EX42+(1-EXP(-LN(2)/2))/(LN(2)/2)*ER43*EU43*VLOOKUP('Données projet (1)'!$B$15,'Paramètres (1)'!$A$1:$I$88,3,0)*0.475*44/12</f>
        <v>#REF!</v>
      </c>
      <c r="EY43" s="143" t="str">
        <f t="shared" si="75"/>
        <v>#REF!</v>
      </c>
      <c r="EZ43" s="139" t="str">
        <f t="shared" si="76"/>
        <v>#REF!</v>
      </c>
      <c r="FA43" s="131">
        <f t="shared" si="77"/>
        <v>10</v>
      </c>
      <c r="FB43" s="131" t="str">
        <f t="shared" si="136"/>
        <v>#REF!</v>
      </c>
      <c r="FC43" s="131" t="str">
        <f t="shared" si="78"/>
        <v>#REF!</v>
      </c>
      <c r="FD43" s="131" t="str">
        <f t="array" ref="FD43">INDEX(FC:FC,MIN(IF(ISNUMBER(FC43:FC239),ROW(FC43:FC239),"")))</f>
        <v/>
      </c>
      <c r="FE43" s="131" t="str">
        <f t="shared" si="137"/>
        <v>#REF!</v>
      </c>
      <c r="FF43" s="138" t="str">
        <f>FE43*VLOOKUP('Données projet (1)'!$B$16,'Paramètres (1)'!$A$1:$I$88,3,0)*VLOOKUP('Données projet (1)'!$B$16,'Paramètres (1)'!$A$1:$I$88,5,0)</f>
        <v>#REF!</v>
      </c>
      <c r="FG43" s="130" t="str">
        <f t="shared" si="138"/>
        <v>#REF!</v>
      </c>
      <c r="FH43" s="141" t="str">
        <f t="shared" si="79"/>
        <v>#REF!</v>
      </c>
      <c r="FI43" s="133" t="str">
        <f t="shared" si="80"/>
        <v>#REF!</v>
      </c>
      <c r="FJ43" s="133" t="str">
        <f t="shared" si="81"/>
        <v>#REF!</v>
      </c>
      <c r="FK43" s="133" t="str">
        <f t="shared" si="139"/>
        <v>#REF!</v>
      </c>
      <c r="FL43" s="134" t="str">
        <f t="shared" si="82"/>
        <v>#REF!</v>
      </c>
      <c r="FM43" s="134" t="str">
        <f t="shared" si="83"/>
        <v>#REF!</v>
      </c>
      <c r="FN43" s="135" t="str">
        <f>IF(ISNA(VLOOKUP(A43,'Données projet (1)'!$A$217:$I$237,5,0)),0%,VLOOKUP(A43,'Données projet (1)'!$A$217:$I$237,5,0)*VLOOKUP('Données projet (1)'!$B$16,'Paramètres (1)'!$A$1:$I$88,7,0))</f>
        <v>#REF!</v>
      </c>
      <c r="FO43" s="135" t="str">
        <f>IF(ISNA(VLOOKUP(A43,'Données projet (1)'!$A$217:$I$237,6,0)),0%,VLOOKUP(A43,'Données projet (1)'!$A$217:$I$237,6,0)*VLOOKUP('Données projet (1)'!$B$16,'Paramètres (1)'!$A$1:$I$88,7,0))</f>
        <v>#REF!</v>
      </c>
      <c r="FP43" s="135" t="str">
        <f t="shared" si="84"/>
        <v>#REF!</v>
      </c>
      <c r="FQ43" s="142" t="str">
        <f>EXP(-LN(2)/35)*FQ42+(1-EXP(-LN(2)/35))/(LN(2)/35)*FM43*FN43*VLOOKUP('Données projet (1)'!$B$16,'Paramètres (1)'!$A$1:$I$88,3,0)*0.475*44/12</f>
        <v>#REF!</v>
      </c>
      <c r="FR43" s="142" t="str">
        <f>EXP(-LN(2)/25)*FR42+(1-EXP(-LN(2)/25))/(LN(2)/25)*'Calculateur (1)'!FM43*'Calculateur (1)'!FO43*VLOOKUP('Données projet (1)'!$B$16,'Paramètres (1)'!$A$1:$I$88,3,0)*0.475*44/12</f>
        <v>#REF!</v>
      </c>
      <c r="FS43" s="142" t="str">
        <f>EXP(-LN(2)/2)*FS42+(1-EXP(-LN(2)/2))/(LN(2)/2)*FM43*FP43*VLOOKUP('Données projet (1)'!$B$16,'Paramètres (1)'!$A$1:$I$88,3,0)*0.475*44/12</f>
        <v>#REF!</v>
      </c>
      <c r="FT43" s="143" t="str">
        <f t="shared" si="85"/>
        <v>#REF!</v>
      </c>
      <c r="FU43" s="139" t="str">
        <f t="shared" si="86"/>
        <v>#REF!</v>
      </c>
      <c r="FV43" s="131">
        <f t="shared" si="87"/>
        <v>10</v>
      </c>
      <c r="FW43" s="131" t="str">
        <f t="shared" si="140"/>
        <v>#REF!</v>
      </c>
      <c r="FX43" s="131" t="str">
        <f t="shared" si="88"/>
        <v>#REF!</v>
      </c>
      <c r="FY43" s="131" t="str">
        <f t="array" ref="FY43">INDEX(FX:FX,MIN(IF(ISNUMBER(FX43:FX239),ROW(FX43:FX239),"")))</f>
        <v/>
      </c>
      <c r="FZ43" s="131" t="str">
        <f t="shared" si="141"/>
        <v>#REF!</v>
      </c>
      <c r="GA43" s="138" t="str">
        <f>FZ43*VLOOKUP('Données projet (1)'!$B$17,'Paramètres (1)'!$A$1:$I$88,3,0)*VLOOKUP('Données projet (1)'!$B$17,'Paramètres (1)'!$A$1:$I$88,5,0)</f>
        <v>#REF!</v>
      </c>
      <c r="GB43" s="130" t="str">
        <f t="shared" si="142"/>
        <v>#REF!</v>
      </c>
      <c r="GC43" s="141" t="str">
        <f t="shared" si="89"/>
        <v>#REF!</v>
      </c>
      <c r="GD43" s="133" t="str">
        <f t="shared" si="90"/>
        <v>#REF!</v>
      </c>
      <c r="GE43" s="133" t="str">
        <f t="shared" si="91"/>
        <v>#REF!</v>
      </c>
      <c r="GF43" s="133" t="str">
        <f t="shared" si="143"/>
        <v>#REF!</v>
      </c>
      <c r="GG43" s="134" t="str">
        <f t="shared" si="92"/>
        <v>#REF!</v>
      </c>
      <c r="GH43" s="134" t="str">
        <f t="shared" si="93"/>
        <v>#REF!</v>
      </c>
      <c r="GI43" s="135" t="str">
        <f>IF(ISNA(VLOOKUP(A43,'Données projet (1)'!$A$243:$I$263,5,0)),0%,VLOOKUP(A43,'Données projet (1)'!$A$243:$I$263,5,0)*VLOOKUP('Données projet (1)'!$B$17,'Paramètres (1)'!$A$1:$I$88,7,0))</f>
        <v>#REF!</v>
      </c>
      <c r="GJ43" s="135" t="str">
        <f>IF(ISNA(VLOOKUP(A43,'Données projet (1)'!$A$243:$I$263,6,0)),0%,VLOOKUP(A43,'Données projet (1)'!$A$243:$I$263,6,0)*VLOOKUP('Données projet (1)'!$B$17,'Paramètres (1)'!$A$1:$I$88,7,0))</f>
        <v>#REF!</v>
      </c>
      <c r="GK43" s="135" t="str">
        <f t="shared" si="94"/>
        <v>#REF!</v>
      </c>
      <c r="GL43" s="142" t="str">
        <f>EXP(-LN(2)/35)*GL42+(1-EXP(-LN(2)/35))/(LN(2)/35)*GH43*GI43*VLOOKUP('Données projet (1)'!$B$17,'Paramètres (1)'!$A$1:$I$88,3,0)*0.475*44/12</f>
        <v>#REF!</v>
      </c>
      <c r="GM43" s="142" t="str">
        <f>EXP(-LN(2)/25)*GM42+(1-EXP(-LN(2)/25))/(LN(2)/25)*'Calculateur (1)'!GH43*'Calculateur (1)'!GJ43*VLOOKUP('Données projet (1)'!$B$17,'Paramètres (1)'!$A$1:$I$88,3,0)*0.475*44/12</f>
        <v>#REF!</v>
      </c>
      <c r="GN43" s="142" t="str">
        <f>EXP(-LN(2)/2)*GN42+(1-EXP(-LN(2)/2))/(LN(2)/2)*GH43*GK43*VLOOKUP('Données projet (1)'!$B$17,'Paramètres (1)'!$A$1:$I$88,3,0)*0.475*44/12</f>
        <v>#REF!</v>
      </c>
      <c r="GO43" s="142" t="str">
        <f t="shared" si="95"/>
        <v>#REF!</v>
      </c>
      <c r="GP43" s="139" t="str">
        <f t="shared" si="96"/>
        <v>#REF!</v>
      </c>
      <c r="GQ43" s="131">
        <f t="shared" si="97"/>
        <v>10</v>
      </c>
      <c r="GR43" s="131" t="str">
        <f t="shared" si="144"/>
        <v>#REF!</v>
      </c>
      <c r="GS43" s="131" t="str">
        <f t="shared" si="98"/>
        <v>#REF!</v>
      </c>
      <c r="GT43" s="131" t="str">
        <f t="array" ref="GT43">INDEX(GS:GS,MIN(IF(ISNUMBER(GS43:GS239),ROW(GS43:GS239),"")))</f>
        <v/>
      </c>
      <c r="GU43" s="131" t="str">
        <f t="shared" si="145"/>
        <v>#REF!</v>
      </c>
      <c r="GV43" s="138" t="str">
        <f>GU43*VLOOKUP('Données projet (1)'!$B$18,'Paramètres (1)'!$A$1:$I$88,3,0)*VLOOKUP('Données projet (1)'!$B$18,'Paramètres (1)'!$A$1:$I$88,5,0)</f>
        <v>#REF!</v>
      </c>
      <c r="GW43" s="130" t="str">
        <f t="shared" si="146"/>
        <v>#REF!</v>
      </c>
      <c r="GX43" s="141" t="str">
        <f t="shared" si="99"/>
        <v>#REF!</v>
      </c>
      <c r="GY43" s="133" t="str">
        <f t="shared" si="100"/>
        <v>#REF!</v>
      </c>
      <c r="GZ43" s="133" t="str">
        <f t="shared" si="101"/>
        <v>#REF!</v>
      </c>
      <c r="HA43" s="133" t="str">
        <f t="shared" si="147"/>
        <v>#REF!</v>
      </c>
      <c r="HB43" s="134" t="str">
        <f t="shared" si="102"/>
        <v>#REF!</v>
      </c>
      <c r="HC43" s="134" t="str">
        <f t="shared" si="103"/>
        <v>#REF!</v>
      </c>
      <c r="HD43" s="135" t="str">
        <f>IF(ISNA(VLOOKUP(A43,'Données projet (1)'!$A$269:$I$289,5,0)),0%,VLOOKUP(A43,'Données projet (1)'!$A$269:$I$289,5,0)*VLOOKUP('Données projet (1)'!$B$18,'Paramètres (1)'!$A$1:$I$88,7,0))</f>
        <v>#REF!</v>
      </c>
      <c r="HE43" s="135" t="str">
        <f>IF(ISNA(VLOOKUP(A43,'Données projet (1)'!$A$269:$I$289,6,0)),0%,VLOOKUP(A43,'Données projet (1)'!$A$269:$I$289,6,0)*VLOOKUP('Données projet (1)'!$B$18,'Paramètres (1)'!$A$1:$I$88,7,0))</f>
        <v>#REF!</v>
      </c>
      <c r="HF43" s="135" t="str">
        <f t="shared" si="104"/>
        <v>#REF!</v>
      </c>
      <c r="HG43" s="142" t="str">
        <f>EXP(-LN(2)/35)*HG42+(1-EXP(-LN(2)/35))/(LN(2)/35)*HC43*HD43*VLOOKUP('Données projet (1)'!$B$18,'Paramètres (1)'!$A$1:$I$88,3,0)*0.475*44/12</f>
        <v>#REF!</v>
      </c>
      <c r="HH43" s="142" t="str">
        <f>EXP(-LN(2)/25)*HH42+(1-EXP(-LN(2)/25))/(LN(2)/25)*'Calculateur (1)'!HC43*'Calculateur (1)'!HE43*VLOOKUP('Données projet (1)'!$B$18,'Paramètres (1)'!$A$1:$I$88,3,0)*0.475*44/12</f>
        <v>#REF!</v>
      </c>
      <c r="HI43" s="142" t="str">
        <f>EXP(-LN(2)/2)*HI42+(1-EXP(-LN(2)/2))/(LN(2)/2)*HC43*HF43*VLOOKUP('Données projet (1)'!$B$18,'Paramètres (1)'!$A$1:$I$88,3,0)*0.475*44/12</f>
        <v>#REF!</v>
      </c>
      <c r="HJ43" s="143" t="str">
        <f t="shared" si="105"/>
        <v>#REF!</v>
      </c>
    </row>
    <row r="44" ht="14.25" customHeight="1">
      <c r="A44" s="125">
        <f t="shared" si="106"/>
        <v>41</v>
      </c>
      <c r="B44" s="126" t="str">
        <f t="shared" si="1"/>
        <v>#REF!</v>
      </c>
      <c r="C44" s="140" t="str">
        <f>'Calculateur (1)'!C43+'Scénario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4" s="127">
        <f t="shared" si="107"/>
        <v>0</v>
      </c>
      <c r="E44" s="127" t="str">
        <f t="shared" si="2"/>
        <v>#REF!</v>
      </c>
      <c r="F44" s="127" t="str">
        <f t="shared" si="3"/>
        <v>#REF!</v>
      </c>
      <c r="G44" s="127" t="str">
        <f t="shared" si="4"/>
        <v>#REF!</v>
      </c>
      <c r="H44" s="128" t="str">
        <f t="shared" si="5"/>
        <v>#REF!</v>
      </c>
      <c r="I44" s="129" t="str">
        <f t="shared" si="6"/>
        <v>#REF!</v>
      </c>
      <c r="J44" s="130">
        <f t="shared" si="7"/>
        <v>10</v>
      </c>
      <c r="K44" s="131" t="str">
        <f t="shared" si="108"/>
        <v>#REF!</v>
      </c>
      <c r="L44" s="131" t="str">
        <f t="shared" si="8"/>
        <v>#REF!</v>
      </c>
      <c r="M44" s="131" t="str">
        <f t="array" ref="M44">INDEX(L:L,MIN(IF(ISNUMBER(L44:L240),ROW(L44:L240),"")))</f>
        <v/>
      </c>
      <c r="N44" s="130" t="str">
        <f t="shared" si="109"/>
        <v>#REF!</v>
      </c>
      <c r="O44" s="130" t="str">
        <f>N44*VLOOKUP('Données projet (1)'!$B$9,'Paramètres (1)'!$A$1:$I$88,3,0)*VLOOKUP('Données projet (1)'!$B$9,'Paramètres (1)'!$A$1:$I$88,5,0)</f>
        <v>#REF!</v>
      </c>
      <c r="P44" s="130" t="str">
        <f t="shared" si="110"/>
        <v>#REF!</v>
      </c>
      <c r="Q44" s="141" t="str">
        <f t="shared" si="9"/>
        <v>#REF!</v>
      </c>
      <c r="R44" s="133" t="str">
        <f t="shared" si="10"/>
        <v>#REF!</v>
      </c>
      <c r="S44" s="133" t="str">
        <f t="shared" si="11"/>
        <v>#REF!</v>
      </c>
      <c r="T44" s="133" t="str">
        <f t="shared" si="111"/>
        <v>#REF!</v>
      </c>
      <c r="U44" s="134" t="str">
        <f t="shared" si="12"/>
        <v>#REF!</v>
      </c>
      <c r="V44" s="134" t="str">
        <f t="shared" si="13"/>
        <v>#REF!</v>
      </c>
      <c r="W44" s="135" t="str">
        <f>IF(ISNA(VLOOKUP(A44,'Données projet (1)'!$A$35:$I$55,5,0)),0%,VLOOKUP(A44,'Données projet (1)'!$A$35:$I$55,5,0)*VLOOKUP('Données projet (1)'!$B$9,'Paramètres (1)'!$A$1:$I$88,7,0))</f>
        <v>#REF!</v>
      </c>
      <c r="X44" s="135" t="str">
        <f>IF(ISNA(VLOOKUP(A44,'Données projet (1)'!$A$35:$I$55,6,0)),0%,VLOOKUP(A44,'Données projet (1)'!$A$35:$I$55,6,0)*VLOOKUP('Données projet (1)'!$B$9,'Paramètres (1)'!$A$1:$I$88,7,0))</f>
        <v>#REF!</v>
      </c>
      <c r="Y44" s="135" t="str">
        <f t="shared" si="14"/>
        <v>#REF!</v>
      </c>
      <c r="Z44" s="142" t="str">
        <f>EXP(-LN(2)/35)*Z43+(1-EXP(-LN(2)/35))/(LN(2)/35)*V44*W44*VLOOKUP('Données projet (1)'!$B$9,'Paramètres (1)'!$A$1:$I$88,3,0)*0.475*44/12</f>
        <v>#REF!</v>
      </c>
      <c r="AA44" s="142" t="str">
        <f>EXP(-LN(2)/25)*AA43+(1-EXP(-LN(2)/25))/(LN(2)/25)*'Calculateur (1)'!V44*'Calculateur (1)'!X44*VLOOKUP('Données projet (1)'!$B$9,'Paramètres (1)'!$A$1:$I$88,3,0)*0.475*44/12</f>
        <v>#REF!</v>
      </c>
      <c r="AB44" s="142" t="str">
        <f>EXP(-LN(2)/2)*AB43+(1-EXP(-LN(2)/2))/(LN(2)/2)*V44*Y44*VLOOKUP('Données projet (1)'!$B$9,'Paramètres (1)'!$A$1:$I$88,3,0)*0.475*44/12</f>
        <v>#REF!</v>
      </c>
      <c r="AC44" s="143" t="str">
        <f t="shared" si="15"/>
        <v>#REF!</v>
      </c>
      <c r="AD44" s="130" t="str">
        <f t="shared" si="16"/>
        <v>#REF!</v>
      </c>
      <c r="AE44" s="130">
        <f t="shared" si="17"/>
        <v>10</v>
      </c>
      <c r="AF44" s="131" t="str">
        <f t="shared" si="112"/>
        <v>#REF!</v>
      </c>
      <c r="AG44" s="131" t="str">
        <f t="shared" si="18"/>
        <v>#REF!</v>
      </c>
      <c r="AH44" s="131" t="str">
        <f t="array" ref="AH44">INDEX(AG:AG,MIN(IF(ISNUMBER(AG44:AG240),ROW(AG44:AG240),"")))</f>
        <v/>
      </c>
      <c r="AI44" s="130" t="str">
        <f t="shared" si="113"/>
        <v>#REF!</v>
      </c>
      <c r="AJ44" s="130" t="str">
        <f>AI44*VLOOKUP('Données projet (1)'!$B$10,'Paramètres (1)'!$A$1:$I$88,3,0)*VLOOKUP('Données projet (1)'!$B$10,'Paramètres (1)'!$A$1:$I$88,5,0)</f>
        <v>#REF!</v>
      </c>
      <c r="AK44" s="130" t="str">
        <f t="shared" si="114"/>
        <v>#REF!</v>
      </c>
      <c r="AL44" s="141" t="str">
        <f t="shared" si="19"/>
        <v>#REF!</v>
      </c>
      <c r="AM44" s="133" t="str">
        <f t="shared" si="20"/>
        <v>#REF!</v>
      </c>
      <c r="AN44" s="133" t="str">
        <f t="shared" si="21"/>
        <v>#REF!</v>
      </c>
      <c r="AO44" s="133" t="str">
        <f t="shared" si="115"/>
        <v>#REF!</v>
      </c>
      <c r="AP44" s="134" t="str">
        <f t="shared" si="22"/>
        <v>#REF!</v>
      </c>
      <c r="AQ44" s="134" t="str">
        <f t="shared" si="23"/>
        <v>#REF!</v>
      </c>
      <c r="AR44" s="135" t="str">
        <f>IF(ISNA(VLOOKUP(A44,'Données projet (1)'!$A$61:$I$81,5,0)),0%,VLOOKUP(A44,'Données projet (1)'!$A$61:$I$81,5,0)*VLOOKUP('Données projet (1)'!$B$10,'Paramètres (1)'!$A$1:$I$88,7,0))</f>
        <v>#REF!</v>
      </c>
      <c r="AS44" s="135" t="str">
        <f>IF(ISNA(VLOOKUP(A44,'Données projet (1)'!$A$61:$I$81,6,0)),0%,VLOOKUP(A44,'Données projet (1)'!$A$61:$I$81,6,0)*VLOOKUP('Données projet (1)'!$B$10,'Paramètres (1)'!$A$1:$I$88,7,0))</f>
        <v>#REF!</v>
      </c>
      <c r="AT44" s="135" t="str">
        <f t="shared" si="24"/>
        <v>#REF!</v>
      </c>
      <c r="AU44" s="142" t="str">
        <f>EXP(-LN(2)/35)*AU43+(1-EXP(-LN(2)/35))/(LN(2)/35)*AQ44*AR44*VLOOKUP('Données projet (1)'!$B$10,'Paramètres (1)'!$A$1:$I$88,3,0)*0.475*44/12</f>
        <v>#REF!</v>
      </c>
      <c r="AV44" s="142" t="str">
        <f>EXP(-LN(2)/25)*AV43+(1-EXP(-LN(2)/25))/(LN(2)/25)*'Calculateur (1)'!AQ44*'Calculateur (1)'!AS44*VLOOKUP('Données projet (1)'!$B$10,'Paramètres (1)'!$A$1:$I$88,3,0)*0.475*44/12</f>
        <v>#REF!</v>
      </c>
      <c r="AW44" s="142" t="str">
        <f>EXP(-LN(2)/2)*AW43+(1-EXP(-LN(2)/2))/(LN(2)/2)*AQ44*AT44*VLOOKUP('Données projet (1)'!$B$10,'Paramètres (1)'!$A$1:$I$88,3,0)*0.475*44/12</f>
        <v>#REF!</v>
      </c>
      <c r="AX44" s="142" t="str">
        <f t="shared" si="25"/>
        <v>#REF!</v>
      </c>
      <c r="AY44" s="137" t="str">
        <f t="shared" si="26"/>
        <v>#REF!</v>
      </c>
      <c r="AZ44" s="131">
        <f t="shared" si="27"/>
        <v>10</v>
      </c>
      <c r="BA44" s="131" t="str">
        <f t="shared" si="116"/>
        <v>#REF!</v>
      </c>
      <c r="BB44" s="131" t="str">
        <f t="shared" si="28"/>
        <v>#REF!</v>
      </c>
      <c r="BC44" s="131" t="str">
        <f t="array" ref="BC44">INDEX(BB:BB,MIN(IF(ISNUMBER(BB44:BB240),ROW(BB44:BB240),"")))</f>
        <v/>
      </c>
      <c r="BD44" s="131" t="str">
        <f t="shared" si="117"/>
        <v>#REF!</v>
      </c>
      <c r="BE44" s="130" t="str">
        <f>BD44*VLOOKUP('Données projet (1)'!$B$11,'Paramètres (1)'!$A$1:$I$88,3,0)*VLOOKUP('Données projet (1)'!$B$11,'Paramètres (1)'!$A$1:$I$88,5,0)</f>
        <v>#REF!</v>
      </c>
      <c r="BF44" s="130" t="str">
        <f t="shared" si="118"/>
        <v>#REF!</v>
      </c>
      <c r="BG44" s="141" t="str">
        <f t="shared" si="29"/>
        <v>#REF!</v>
      </c>
      <c r="BH44" s="133" t="str">
        <f t="shared" si="30"/>
        <v>#REF!</v>
      </c>
      <c r="BI44" s="133" t="str">
        <f t="shared" si="31"/>
        <v>#REF!</v>
      </c>
      <c r="BJ44" s="133" t="str">
        <f t="shared" si="119"/>
        <v>#REF!</v>
      </c>
      <c r="BK44" s="134" t="str">
        <f t="shared" si="32"/>
        <v>#REF!</v>
      </c>
      <c r="BL44" s="134" t="str">
        <f t="shared" si="33"/>
        <v>#REF!</v>
      </c>
      <c r="BM44" s="135" t="str">
        <f>IF(ISNA(VLOOKUP(A44,'Données projet (1)'!$A$87:$I$107,5,0)),0%,VLOOKUP(A44,'Données projet (1)'!$A$87:$I$107,5,0)*VLOOKUP('Données projet (1)'!$B$11,'Paramètres (1)'!$A$1:$I$88,7,0))</f>
        <v>#REF!</v>
      </c>
      <c r="BN44" s="135" t="str">
        <f>IF(ISNA(VLOOKUP(A44,'Données projet (1)'!$A$87:$I$107,6,0)),0%,VLOOKUP(A44,'Données projet (1)'!$A$87:$I$107,6,0)*VLOOKUP('Données projet (1)'!$B$11,'Paramètres (1)'!$A$1:$I$88,7,0))</f>
        <v>#REF!</v>
      </c>
      <c r="BO44" s="135" t="str">
        <f t="shared" si="34"/>
        <v>#REF!</v>
      </c>
      <c r="BP44" s="142" t="str">
        <f>EXP(-LN(2)/35)*BP43+(1-EXP(-LN(2)/35))/(LN(2)/35)*BL44*BM44*VLOOKUP('Données projet (1)'!$B$11,'Paramètres (1)'!$A$1:$I$88,3,0)*0.475*44/12</f>
        <v>#REF!</v>
      </c>
      <c r="BQ44" s="142" t="str">
        <f>EXP(-LN(2)/25)*BQ43+(1-EXP(-LN(2)/25))/(LN(2)/25)*'Calculateur (1)'!BL44*'Calculateur (1)'!BN44*VLOOKUP('Données projet (1)'!$B$11,'Paramètres (1)'!$A$1:$I$88,3,0)*0.475*44/12</f>
        <v>#REF!</v>
      </c>
      <c r="BR44" s="142" t="str">
        <f>EXP(-LN(2)/2)*BR43+(1-EXP(-LN(2)/2))/(LN(2)/2)*BL44*BO44*VLOOKUP('Données projet (1)'!$B$11,'Paramètres (1)'!$A$1:$I$88,3,0)*0.475*44/12</f>
        <v>#REF!</v>
      </c>
      <c r="BS44" s="143" t="str">
        <f t="shared" si="35"/>
        <v>#REF!</v>
      </c>
      <c r="BT44" s="139" t="str">
        <f t="shared" si="36"/>
        <v>#REF!</v>
      </c>
      <c r="BU44" s="131">
        <f t="shared" si="37"/>
        <v>10</v>
      </c>
      <c r="BV44" s="131" t="str">
        <f t="shared" si="120"/>
        <v>#REF!</v>
      </c>
      <c r="BW44" s="131" t="str">
        <f t="shared" si="38"/>
        <v>#REF!</v>
      </c>
      <c r="BX44" s="131" t="str">
        <f t="array" ref="BX44">INDEX(BW:BW,MIN(IF(ISNUMBER(BW44:BW240),ROW(BW44:BW240),"")))</f>
        <v/>
      </c>
      <c r="BY44" s="131" t="str">
        <f t="shared" si="121"/>
        <v>#REF!</v>
      </c>
      <c r="BZ44" s="130" t="str">
        <f>BY44*VLOOKUP('Données projet (1)'!$B$12,'Paramètres (1)'!$A$1:$I$88,3,0)*VLOOKUP('Données projet (1)'!$B$12,'Paramètres (1)'!$A$1:$I$88,5,0)</f>
        <v>#REF!</v>
      </c>
      <c r="CA44" s="130" t="str">
        <f t="shared" si="122"/>
        <v>#REF!</v>
      </c>
      <c r="CB44" s="141" t="str">
        <f t="shared" si="39"/>
        <v>#REF!</v>
      </c>
      <c r="CC44" s="133" t="str">
        <f t="shared" si="40"/>
        <v>#REF!</v>
      </c>
      <c r="CD44" s="133" t="str">
        <f t="shared" si="41"/>
        <v>#REF!</v>
      </c>
      <c r="CE44" s="133" t="str">
        <f t="shared" si="123"/>
        <v>#REF!</v>
      </c>
      <c r="CF44" s="134" t="str">
        <f t="shared" si="42"/>
        <v>#REF!</v>
      </c>
      <c r="CG44" s="134" t="str">
        <f t="shared" si="43"/>
        <v>#REF!</v>
      </c>
      <c r="CH44" s="135" t="str">
        <f>IF(ISNA(VLOOKUP(A44,'Données projet (1)'!$A$113:$I$133,5,0)),0%,VLOOKUP(A44,'Données projet (1)'!$A$113:$I$133,5,0)*VLOOKUP('Données projet (1)'!$B$12,'Paramètres (1)'!$A$1:$I$88,7,0))</f>
        <v>#REF!</v>
      </c>
      <c r="CI44" s="135" t="str">
        <f>IF(ISNA(VLOOKUP(A44,'Données projet (1)'!$A$113:$I$133,6,0)),0%,VLOOKUP(A44,'Données projet (1)'!$A$113:$I$133,6,0)*VLOOKUP('Données projet (1)'!$B$12,'Paramètres (1)'!$A$1:$I$88,7,0))</f>
        <v>#REF!</v>
      </c>
      <c r="CJ44" s="135" t="str">
        <f t="shared" si="44"/>
        <v>#REF!</v>
      </c>
      <c r="CK44" s="142" t="str">
        <f>EXP(-LN(2)/35)*CK43+(1-EXP(-LN(2)/35))/(LN(2)/35)*CG44*CH44*VLOOKUP('Données projet (1)'!$B$12,'Paramètres (1)'!$A$1:$I$88,3,0)*0.475*44/12</f>
        <v>#REF!</v>
      </c>
      <c r="CL44" s="142" t="str">
        <f>EXP(-LN(2)/25)*CL43+(1-EXP(-LN(2)/25))/(LN(2)/25)*'Calculateur (1)'!CG44*'Calculateur (1)'!CI44*VLOOKUP('Données projet (1)'!$B$12,'Paramètres (1)'!$A$1:$I$88,3,0)*0.475*44/12</f>
        <v>#REF!</v>
      </c>
      <c r="CM44" s="142" t="str">
        <f>EXP(-LN(2)/2)*CM43+(1-EXP(-LN(2)/2))/(LN(2)/2)*CG44*CJ44*VLOOKUP('Données projet (1)'!$B$12,'Paramètres (1)'!$A$1:$I$88,3,0)*0.475*44/12</f>
        <v>#REF!</v>
      </c>
      <c r="CN44" s="143" t="str">
        <f t="shared" si="45"/>
        <v>#REF!</v>
      </c>
      <c r="CO44" s="139" t="str">
        <f t="shared" si="46"/>
        <v>#REF!</v>
      </c>
      <c r="CP44" s="131">
        <f t="shared" si="47"/>
        <v>10</v>
      </c>
      <c r="CQ44" s="131" t="str">
        <f t="shared" si="124"/>
        <v>#REF!</v>
      </c>
      <c r="CR44" s="131" t="str">
        <f t="shared" si="48"/>
        <v>#REF!</v>
      </c>
      <c r="CS44" s="131" t="str">
        <f t="array" ref="CS44">INDEX(CR:CR,MIN(IF(ISNUMBER(CR44:CR240),ROW(CR44:CR240),"")))</f>
        <v/>
      </c>
      <c r="CT44" s="131" t="str">
        <f t="shared" si="125"/>
        <v>#REF!</v>
      </c>
      <c r="CU44" s="138" t="str">
        <f>CT44*VLOOKUP('Données projet (1)'!$B$13,'Paramètres (1)'!$A$1:$I$88,3,0)*VLOOKUP('Données projet (1)'!$B$13,'Paramètres (1)'!$A$1:$I$88,5,0)</f>
        <v>#REF!</v>
      </c>
      <c r="CV44" s="130" t="str">
        <f t="shared" si="126"/>
        <v>#REF!</v>
      </c>
      <c r="CW44" s="141" t="str">
        <f t="shared" si="49"/>
        <v>#REF!</v>
      </c>
      <c r="CX44" s="133" t="str">
        <f t="shared" si="50"/>
        <v>#REF!</v>
      </c>
      <c r="CY44" s="133" t="str">
        <f t="shared" si="51"/>
        <v>#REF!</v>
      </c>
      <c r="CZ44" s="133" t="str">
        <f t="shared" si="127"/>
        <v>#REF!</v>
      </c>
      <c r="DA44" s="134" t="str">
        <f t="shared" si="52"/>
        <v>#REF!</v>
      </c>
      <c r="DB44" s="134" t="str">
        <f t="shared" si="53"/>
        <v>#REF!</v>
      </c>
      <c r="DC44" s="135" t="str">
        <f>IF(ISNA(VLOOKUP(A44,'Données projet (1)'!$A$139:$I$159,5,0)),0%,VLOOKUP(A44,'Données projet (1)'!$A$139:$I$159,5,0)*VLOOKUP('Données projet (1)'!$B$13,'Paramètres (1)'!$A$1:$I$88,7,0))</f>
        <v>#REF!</v>
      </c>
      <c r="DD44" s="135" t="str">
        <f>IF(ISNA(VLOOKUP(A44,'Données projet (1)'!$A$139:$I$159,6,0)),0%,VLOOKUP(A44,'Données projet (1)'!$A$139:$I$159,6,0)*VLOOKUP('Données projet (1)'!$B$13,'Paramètres (1)'!$A$1:$I$88,7,0))</f>
        <v>#REF!</v>
      </c>
      <c r="DE44" s="135" t="str">
        <f t="shared" si="54"/>
        <v>#REF!</v>
      </c>
      <c r="DF44" s="142" t="str">
        <f>EXP(-LN(2)/35)*DF43+(1-EXP(-LN(2)/35))/(LN(2)/35)*DB44*DC44*VLOOKUP('Données projet (1)'!$B$13,'Paramètres (1)'!$A$1:$I$88,3,0)*0.475*44/12</f>
        <v>#REF!</v>
      </c>
      <c r="DG44" s="142" t="str">
        <f>EXP(-LN(2)/25)*DG43+(1-EXP(-LN(2)/25))/(LN(2)/25)*'Calculateur (1)'!DB44*'Calculateur (1)'!DD44*VLOOKUP('Données projet (1)'!$B$13,'Paramètres (1)'!$A$1:$I$88,3,0)*0.475*44/12</f>
        <v>#REF!</v>
      </c>
      <c r="DH44" s="142" t="str">
        <f>EXP(-LN(2)/2)*DH43+(1-EXP(-LN(2)/2))/(LN(2)/2)*DB44*DE44*VLOOKUP('Données projet (1)'!$B$13,'Paramètres (1)'!$A$1:$I$88,3,0)*0.475*44/12</f>
        <v>#REF!</v>
      </c>
      <c r="DI44" s="143" t="str">
        <f t="shared" si="55"/>
        <v>#REF!</v>
      </c>
      <c r="DJ44" s="139" t="str">
        <f t="shared" si="56"/>
        <v>#REF!</v>
      </c>
      <c r="DK44" s="131">
        <f t="shared" si="57"/>
        <v>10</v>
      </c>
      <c r="DL44" s="131" t="str">
        <f t="shared" si="128"/>
        <v>#REF!</v>
      </c>
      <c r="DM44" s="131" t="str">
        <f t="shared" si="58"/>
        <v>#REF!</v>
      </c>
      <c r="DN44" s="131" t="str">
        <f t="array" ref="DN44">INDEX(DM:DM,MIN(IF(ISNUMBER(DM44:DM240),ROW(DM44:DM240),"")))</f>
        <v/>
      </c>
      <c r="DO44" s="131" t="str">
        <f t="shared" si="129"/>
        <v>#REF!</v>
      </c>
      <c r="DP44" s="138" t="str">
        <f>DO44*VLOOKUP('Données projet (1)'!$B$14,'Paramètres (1)'!$A$1:$I$88,3,0)*VLOOKUP('Données projet (1)'!$B$14,'Paramètres (1)'!$A$1:$I$88,5,0)</f>
        <v>#REF!</v>
      </c>
      <c r="DQ44" s="130" t="str">
        <f t="shared" si="130"/>
        <v>#REF!</v>
      </c>
      <c r="DR44" s="141" t="str">
        <f t="shared" si="59"/>
        <v>#REF!</v>
      </c>
      <c r="DS44" s="133" t="str">
        <f t="shared" si="60"/>
        <v>#REF!</v>
      </c>
      <c r="DT44" s="133" t="str">
        <f t="shared" si="61"/>
        <v>#REF!</v>
      </c>
      <c r="DU44" s="133" t="str">
        <f t="shared" si="131"/>
        <v>#REF!</v>
      </c>
      <c r="DV44" s="134" t="str">
        <f t="shared" si="62"/>
        <v>#REF!</v>
      </c>
      <c r="DW44" s="134" t="str">
        <f t="shared" si="63"/>
        <v>#REF!</v>
      </c>
      <c r="DX44" s="135" t="str">
        <f>IF(ISNA(VLOOKUP(A44,'Données projet (1)'!$A$165:$I$185,5,0)),0%,VLOOKUP(A44,'Données projet (1)'!$A$165:$I$185,5,0)*VLOOKUP('Données projet (1)'!$B$14,'Paramètres (1)'!$A$1:$I$88,7,0))</f>
        <v>#REF!</v>
      </c>
      <c r="DY44" s="135" t="str">
        <f>IF(ISNA(VLOOKUP(A44,'Données projet (1)'!$A$165:$I$185,6,0)),0%,VLOOKUP(A44,'Données projet (1)'!$A$165:$I$185,6,0)*VLOOKUP('Données projet (1)'!$B$14,'Paramètres (1)'!$A$1:$I$88,7,0))</f>
        <v>#REF!</v>
      </c>
      <c r="DZ44" s="135" t="str">
        <f t="shared" si="64"/>
        <v>#REF!</v>
      </c>
      <c r="EA44" s="142" t="str">
        <f>EXP(-LN(2)/35)*EA43+(1-EXP(-LN(2)/35))/(LN(2)/35)*DW44*DX44*VLOOKUP('Données projet (1)'!$B$14,'Paramètres (1)'!$A$1:$I$88,3,0)*0.475*44/12</f>
        <v>#REF!</v>
      </c>
      <c r="EB44" s="142" t="str">
        <f>EXP(-LN(2)/25)*EB43+(1-EXP(-LN(2)/25))/(LN(2)/25)*'Calculateur (1)'!DW44*'Calculateur (1)'!DY44*VLOOKUP('Données projet (1)'!$B$14,'Paramètres (1)'!$A$1:$I$88,3,0)*0.475*44/12</f>
        <v>#REF!</v>
      </c>
      <c r="EC44" s="142" t="str">
        <f>EXP(-LN(2)/2)*EC43+(1-EXP(-LN(2)/2))/(LN(2)/2)*DW44*DZ44*VLOOKUP('Données projet (1)'!$B$14,'Paramètres (1)'!$A$1:$I$88,3,0)*0.475*44/12</f>
        <v>#REF!</v>
      </c>
      <c r="ED44" s="143" t="str">
        <f t="shared" si="65"/>
        <v>#REF!</v>
      </c>
      <c r="EE44" s="139" t="str">
        <f t="shared" si="66"/>
        <v>#REF!</v>
      </c>
      <c r="EF44" s="131">
        <f t="shared" si="67"/>
        <v>10</v>
      </c>
      <c r="EG44" s="131" t="str">
        <f t="shared" si="132"/>
        <v>#REF!</v>
      </c>
      <c r="EH44" s="131" t="str">
        <f t="shared" si="68"/>
        <v>#REF!</v>
      </c>
      <c r="EI44" s="131" t="str">
        <f t="array" ref="EI44">INDEX(EH:EH,MIN(IF(ISNUMBER(EH44:EH240),ROW(EH44:EH240),"")))</f>
        <v/>
      </c>
      <c r="EJ44" s="131" t="str">
        <f t="shared" si="133"/>
        <v>#REF!</v>
      </c>
      <c r="EK44" s="138" t="str">
        <f>EJ44*VLOOKUP('Données projet (1)'!$B$15,'Paramètres (1)'!$A$1:$I$88,3,0)*VLOOKUP('Données projet (1)'!$B$15,'Paramètres (1)'!$A$1:$I$88,5,0)</f>
        <v>#REF!</v>
      </c>
      <c r="EL44" s="130" t="str">
        <f t="shared" si="134"/>
        <v>#REF!</v>
      </c>
      <c r="EM44" s="141" t="str">
        <f t="shared" si="69"/>
        <v>#REF!</v>
      </c>
      <c r="EN44" s="133" t="str">
        <f t="shared" si="70"/>
        <v>#REF!</v>
      </c>
      <c r="EO44" s="133" t="str">
        <f t="shared" si="71"/>
        <v>#REF!</v>
      </c>
      <c r="EP44" s="133" t="str">
        <f t="shared" si="135"/>
        <v>#REF!</v>
      </c>
      <c r="EQ44" s="134" t="str">
        <f t="shared" si="72"/>
        <v>#REF!</v>
      </c>
      <c r="ER44" s="134" t="str">
        <f t="shared" si="73"/>
        <v>#REF!</v>
      </c>
      <c r="ES44" s="135" t="str">
        <f>IF(ISNA(VLOOKUP(A44,'Données projet (1)'!$A$191:$I$211,5,0)),0%,VLOOKUP(A44,'Données projet (1)'!$A$191:$I$211,5,0)*VLOOKUP('Données projet (1)'!$B$15,'Paramètres (1)'!$A$1:$I$88,7,0))</f>
        <v>#REF!</v>
      </c>
      <c r="ET44" s="135" t="str">
        <f>IF(ISNA(VLOOKUP(A44,'Données projet (1)'!$A$191:$I$211,6,0)),0%,VLOOKUP(A44,'Données projet (1)'!$A$191:$I$211,6,0)*VLOOKUP('Données projet (1)'!$B$15,'Paramètres (1)'!$A$1:$I$88,7,0))</f>
        <v>#REF!</v>
      </c>
      <c r="EU44" s="135" t="str">
        <f t="shared" si="74"/>
        <v>#REF!</v>
      </c>
      <c r="EV44" s="142" t="str">
        <f>EXP(-LN(2)/35)*EV43+(1-EXP(-LN(2)/35))/(LN(2)/35)*ER44*ES44*VLOOKUP('Données projet (1)'!$B$15,'Paramètres (1)'!$A$1:$I$88,3,0)*0.475*44/12</f>
        <v>#REF!</v>
      </c>
      <c r="EW44" s="142" t="str">
        <f>EXP(-LN(2)/25)*EW43+(1-EXP(-LN(2)/25))/(LN(2)/25)*'Calculateur (1)'!ER44*'Calculateur (1)'!ET44*VLOOKUP('Données projet (1)'!$B$15,'Paramètres (1)'!$A$1:$I$88,3,0)*0.475*44/12</f>
        <v>#REF!</v>
      </c>
      <c r="EX44" s="142" t="str">
        <f>EXP(-LN(2)/2)*EX43+(1-EXP(-LN(2)/2))/(LN(2)/2)*ER44*EU44*VLOOKUP('Données projet (1)'!$B$15,'Paramètres (1)'!$A$1:$I$88,3,0)*0.475*44/12</f>
        <v>#REF!</v>
      </c>
      <c r="EY44" s="143" t="str">
        <f t="shared" si="75"/>
        <v>#REF!</v>
      </c>
      <c r="EZ44" s="139" t="str">
        <f t="shared" si="76"/>
        <v>#REF!</v>
      </c>
      <c r="FA44" s="131">
        <f t="shared" si="77"/>
        <v>10</v>
      </c>
      <c r="FB44" s="131" t="str">
        <f t="shared" si="136"/>
        <v>#REF!</v>
      </c>
      <c r="FC44" s="131" t="str">
        <f t="shared" si="78"/>
        <v>#REF!</v>
      </c>
      <c r="FD44" s="131" t="str">
        <f t="array" ref="FD44">INDEX(FC:FC,MIN(IF(ISNUMBER(FC44:FC240),ROW(FC44:FC240),"")))</f>
        <v/>
      </c>
      <c r="FE44" s="131" t="str">
        <f t="shared" si="137"/>
        <v>#REF!</v>
      </c>
      <c r="FF44" s="138" t="str">
        <f>FE44*VLOOKUP('Données projet (1)'!$B$16,'Paramètres (1)'!$A$1:$I$88,3,0)*VLOOKUP('Données projet (1)'!$B$16,'Paramètres (1)'!$A$1:$I$88,5,0)</f>
        <v>#REF!</v>
      </c>
      <c r="FG44" s="130" t="str">
        <f t="shared" si="138"/>
        <v>#REF!</v>
      </c>
      <c r="FH44" s="141" t="str">
        <f t="shared" si="79"/>
        <v>#REF!</v>
      </c>
      <c r="FI44" s="133" t="str">
        <f t="shared" si="80"/>
        <v>#REF!</v>
      </c>
      <c r="FJ44" s="133" t="str">
        <f t="shared" si="81"/>
        <v>#REF!</v>
      </c>
      <c r="FK44" s="133" t="str">
        <f t="shared" si="139"/>
        <v>#REF!</v>
      </c>
      <c r="FL44" s="134" t="str">
        <f t="shared" si="82"/>
        <v>#REF!</v>
      </c>
      <c r="FM44" s="134" t="str">
        <f t="shared" si="83"/>
        <v>#REF!</v>
      </c>
      <c r="FN44" s="135" t="str">
        <f>IF(ISNA(VLOOKUP(A44,'Données projet (1)'!$A$217:$I$237,5,0)),0%,VLOOKUP(A44,'Données projet (1)'!$A$217:$I$237,5,0)*VLOOKUP('Données projet (1)'!$B$16,'Paramètres (1)'!$A$1:$I$88,7,0))</f>
        <v>#REF!</v>
      </c>
      <c r="FO44" s="135" t="str">
        <f>IF(ISNA(VLOOKUP(A44,'Données projet (1)'!$A$217:$I$237,6,0)),0%,VLOOKUP(A44,'Données projet (1)'!$A$217:$I$237,6,0)*VLOOKUP('Données projet (1)'!$B$16,'Paramètres (1)'!$A$1:$I$88,7,0))</f>
        <v>#REF!</v>
      </c>
      <c r="FP44" s="135" t="str">
        <f t="shared" si="84"/>
        <v>#REF!</v>
      </c>
      <c r="FQ44" s="142" t="str">
        <f>EXP(-LN(2)/35)*FQ43+(1-EXP(-LN(2)/35))/(LN(2)/35)*FM44*FN44*VLOOKUP('Données projet (1)'!$B$16,'Paramètres (1)'!$A$1:$I$88,3,0)*0.475*44/12</f>
        <v>#REF!</v>
      </c>
      <c r="FR44" s="142" t="str">
        <f>EXP(-LN(2)/25)*FR43+(1-EXP(-LN(2)/25))/(LN(2)/25)*'Calculateur (1)'!FM44*'Calculateur (1)'!FO44*VLOOKUP('Données projet (1)'!$B$16,'Paramètres (1)'!$A$1:$I$88,3,0)*0.475*44/12</f>
        <v>#REF!</v>
      </c>
      <c r="FS44" s="142" t="str">
        <f>EXP(-LN(2)/2)*FS43+(1-EXP(-LN(2)/2))/(LN(2)/2)*FM44*FP44*VLOOKUP('Données projet (1)'!$B$16,'Paramètres (1)'!$A$1:$I$88,3,0)*0.475*44/12</f>
        <v>#REF!</v>
      </c>
      <c r="FT44" s="143" t="str">
        <f t="shared" si="85"/>
        <v>#REF!</v>
      </c>
      <c r="FU44" s="139" t="str">
        <f t="shared" si="86"/>
        <v>#REF!</v>
      </c>
      <c r="FV44" s="131">
        <f t="shared" si="87"/>
        <v>10</v>
      </c>
      <c r="FW44" s="131" t="str">
        <f t="shared" si="140"/>
        <v>#REF!</v>
      </c>
      <c r="FX44" s="131" t="str">
        <f t="shared" si="88"/>
        <v>#REF!</v>
      </c>
      <c r="FY44" s="131" t="str">
        <f t="array" ref="FY44">INDEX(FX:FX,MIN(IF(ISNUMBER(FX44:FX240),ROW(FX44:FX240),"")))</f>
        <v/>
      </c>
      <c r="FZ44" s="131" t="str">
        <f t="shared" si="141"/>
        <v>#REF!</v>
      </c>
      <c r="GA44" s="138" t="str">
        <f>FZ44*VLOOKUP('Données projet (1)'!$B$17,'Paramètres (1)'!$A$1:$I$88,3,0)*VLOOKUP('Données projet (1)'!$B$17,'Paramètres (1)'!$A$1:$I$88,5,0)</f>
        <v>#REF!</v>
      </c>
      <c r="GB44" s="130" t="str">
        <f t="shared" si="142"/>
        <v>#REF!</v>
      </c>
      <c r="GC44" s="141" t="str">
        <f t="shared" si="89"/>
        <v>#REF!</v>
      </c>
      <c r="GD44" s="133" t="str">
        <f t="shared" si="90"/>
        <v>#REF!</v>
      </c>
      <c r="GE44" s="133" t="str">
        <f t="shared" si="91"/>
        <v>#REF!</v>
      </c>
      <c r="GF44" s="133" t="str">
        <f t="shared" si="143"/>
        <v>#REF!</v>
      </c>
      <c r="GG44" s="134" t="str">
        <f t="shared" si="92"/>
        <v>#REF!</v>
      </c>
      <c r="GH44" s="134" t="str">
        <f t="shared" si="93"/>
        <v>#REF!</v>
      </c>
      <c r="GI44" s="135" t="str">
        <f>IF(ISNA(VLOOKUP(A44,'Données projet (1)'!$A$243:$I$263,5,0)),0%,VLOOKUP(A44,'Données projet (1)'!$A$243:$I$263,5,0)*VLOOKUP('Données projet (1)'!$B$17,'Paramètres (1)'!$A$1:$I$88,7,0))</f>
        <v>#REF!</v>
      </c>
      <c r="GJ44" s="135" t="str">
        <f>IF(ISNA(VLOOKUP(A44,'Données projet (1)'!$A$243:$I$263,6,0)),0%,VLOOKUP(A44,'Données projet (1)'!$A$243:$I$263,6,0)*VLOOKUP('Données projet (1)'!$B$17,'Paramètres (1)'!$A$1:$I$88,7,0))</f>
        <v>#REF!</v>
      </c>
      <c r="GK44" s="135" t="str">
        <f t="shared" si="94"/>
        <v>#REF!</v>
      </c>
      <c r="GL44" s="142" t="str">
        <f>EXP(-LN(2)/35)*GL43+(1-EXP(-LN(2)/35))/(LN(2)/35)*GH44*GI44*VLOOKUP('Données projet (1)'!$B$17,'Paramètres (1)'!$A$1:$I$88,3,0)*0.475*44/12</f>
        <v>#REF!</v>
      </c>
      <c r="GM44" s="142" t="str">
        <f>EXP(-LN(2)/25)*GM43+(1-EXP(-LN(2)/25))/(LN(2)/25)*'Calculateur (1)'!GH44*'Calculateur (1)'!GJ44*VLOOKUP('Données projet (1)'!$B$17,'Paramètres (1)'!$A$1:$I$88,3,0)*0.475*44/12</f>
        <v>#REF!</v>
      </c>
      <c r="GN44" s="142" t="str">
        <f>EXP(-LN(2)/2)*GN43+(1-EXP(-LN(2)/2))/(LN(2)/2)*GH44*GK44*VLOOKUP('Données projet (1)'!$B$17,'Paramètres (1)'!$A$1:$I$88,3,0)*0.475*44/12</f>
        <v>#REF!</v>
      </c>
      <c r="GO44" s="142" t="str">
        <f t="shared" si="95"/>
        <v>#REF!</v>
      </c>
      <c r="GP44" s="139" t="str">
        <f t="shared" si="96"/>
        <v>#REF!</v>
      </c>
      <c r="GQ44" s="131">
        <f t="shared" si="97"/>
        <v>10</v>
      </c>
      <c r="GR44" s="131" t="str">
        <f t="shared" si="144"/>
        <v>#REF!</v>
      </c>
      <c r="GS44" s="131" t="str">
        <f t="shared" si="98"/>
        <v>#REF!</v>
      </c>
      <c r="GT44" s="131" t="str">
        <f t="array" ref="GT44">INDEX(GS:GS,MIN(IF(ISNUMBER(GS44:GS240),ROW(GS44:GS240),"")))</f>
        <v/>
      </c>
      <c r="GU44" s="131" t="str">
        <f t="shared" si="145"/>
        <v>#REF!</v>
      </c>
      <c r="GV44" s="138" t="str">
        <f>GU44*VLOOKUP('Données projet (1)'!$B$18,'Paramètres (1)'!$A$1:$I$88,3,0)*VLOOKUP('Données projet (1)'!$B$18,'Paramètres (1)'!$A$1:$I$88,5,0)</f>
        <v>#REF!</v>
      </c>
      <c r="GW44" s="130" t="str">
        <f t="shared" si="146"/>
        <v>#REF!</v>
      </c>
      <c r="GX44" s="141" t="str">
        <f t="shared" si="99"/>
        <v>#REF!</v>
      </c>
      <c r="GY44" s="133" t="str">
        <f t="shared" si="100"/>
        <v>#REF!</v>
      </c>
      <c r="GZ44" s="133" t="str">
        <f t="shared" si="101"/>
        <v>#REF!</v>
      </c>
      <c r="HA44" s="133" t="str">
        <f t="shared" si="147"/>
        <v>#REF!</v>
      </c>
      <c r="HB44" s="134" t="str">
        <f t="shared" si="102"/>
        <v>#REF!</v>
      </c>
      <c r="HC44" s="134" t="str">
        <f t="shared" si="103"/>
        <v>#REF!</v>
      </c>
      <c r="HD44" s="135" t="str">
        <f>IF(ISNA(VLOOKUP(A44,'Données projet (1)'!$A$269:$I$289,5,0)),0%,VLOOKUP(A44,'Données projet (1)'!$A$269:$I$289,5,0)*VLOOKUP('Données projet (1)'!$B$18,'Paramètres (1)'!$A$1:$I$88,7,0))</f>
        <v>#REF!</v>
      </c>
      <c r="HE44" s="135" t="str">
        <f>IF(ISNA(VLOOKUP(A44,'Données projet (1)'!$A$269:$I$289,6,0)),0%,VLOOKUP(A44,'Données projet (1)'!$A$269:$I$289,6,0)*VLOOKUP('Données projet (1)'!$B$18,'Paramètres (1)'!$A$1:$I$88,7,0))</f>
        <v>#REF!</v>
      </c>
      <c r="HF44" s="135" t="str">
        <f t="shared" si="104"/>
        <v>#REF!</v>
      </c>
      <c r="HG44" s="142" t="str">
        <f>EXP(-LN(2)/35)*HG43+(1-EXP(-LN(2)/35))/(LN(2)/35)*HC44*HD44*VLOOKUP('Données projet (1)'!$B$18,'Paramètres (1)'!$A$1:$I$88,3,0)*0.475*44/12</f>
        <v>#REF!</v>
      </c>
      <c r="HH44" s="142" t="str">
        <f>EXP(-LN(2)/25)*HH43+(1-EXP(-LN(2)/25))/(LN(2)/25)*'Calculateur (1)'!HC44*'Calculateur (1)'!HE44*VLOOKUP('Données projet (1)'!$B$18,'Paramètres (1)'!$A$1:$I$88,3,0)*0.475*44/12</f>
        <v>#REF!</v>
      </c>
      <c r="HI44" s="142" t="str">
        <f>EXP(-LN(2)/2)*HI43+(1-EXP(-LN(2)/2))/(LN(2)/2)*HC44*HF44*VLOOKUP('Données projet (1)'!$B$18,'Paramètres (1)'!$A$1:$I$88,3,0)*0.475*44/12</f>
        <v>#REF!</v>
      </c>
      <c r="HJ44" s="143" t="str">
        <f t="shared" si="105"/>
        <v>#REF!</v>
      </c>
    </row>
    <row r="45" ht="14.25" customHeight="1">
      <c r="A45" s="125">
        <f t="shared" si="106"/>
        <v>42</v>
      </c>
      <c r="B45" s="126" t="str">
        <f t="shared" si="1"/>
        <v>#REF!</v>
      </c>
      <c r="C45" s="140" t="str">
        <f>'Calculateur (1)'!C44+'Scénario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5" s="127">
        <f t="shared" si="107"/>
        <v>0</v>
      </c>
      <c r="E45" s="127" t="str">
        <f t="shared" si="2"/>
        <v>#REF!</v>
      </c>
      <c r="F45" s="127" t="str">
        <f t="shared" si="3"/>
        <v>#REF!</v>
      </c>
      <c r="G45" s="127" t="str">
        <f t="shared" si="4"/>
        <v>#REF!</v>
      </c>
      <c r="H45" s="128" t="str">
        <f t="shared" si="5"/>
        <v>#REF!</v>
      </c>
      <c r="I45" s="129" t="str">
        <f t="shared" si="6"/>
        <v>#REF!</v>
      </c>
      <c r="J45" s="130">
        <f t="shared" si="7"/>
        <v>10</v>
      </c>
      <c r="K45" s="131" t="str">
        <f t="shared" si="108"/>
        <v>#REF!</v>
      </c>
      <c r="L45" s="131" t="str">
        <f t="shared" si="8"/>
        <v>#REF!</v>
      </c>
      <c r="M45" s="131" t="str">
        <f t="array" ref="M45">INDEX(L:L,MIN(IF(ISNUMBER(L45:L241),ROW(L45:L241),"")))</f>
        <v/>
      </c>
      <c r="N45" s="130" t="str">
        <f t="shared" si="109"/>
        <v>#REF!</v>
      </c>
      <c r="O45" s="130" t="str">
        <f>N45*VLOOKUP('Données projet (1)'!$B$9,'Paramètres (1)'!$A$1:$I$88,3,0)*VLOOKUP('Données projet (1)'!$B$9,'Paramètres (1)'!$A$1:$I$88,5,0)</f>
        <v>#REF!</v>
      </c>
      <c r="P45" s="130" t="str">
        <f t="shared" si="110"/>
        <v>#REF!</v>
      </c>
      <c r="Q45" s="141" t="str">
        <f t="shared" si="9"/>
        <v>#REF!</v>
      </c>
      <c r="R45" s="133" t="str">
        <f t="shared" si="10"/>
        <v>#REF!</v>
      </c>
      <c r="S45" s="133" t="str">
        <f t="shared" si="11"/>
        <v>#REF!</v>
      </c>
      <c r="T45" s="133" t="str">
        <f t="shared" si="111"/>
        <v>#REF!</v>
      </c>
      <c r="U45" s="134" t="str">
        <f t="shared" si="12"/>
        <v>#REF!</v>
      </c>
      <c r="V45" s="134" t="str">
        <f t="shared" si="13"/>
        <v>#REF!</v>
      </c>
      <c r="W45" s="135" t="str">
        <f>IF(ISNA(VLOOKUP(A45,'Données projet (1)'!$A$35:$I$55,5,0)),0%,VLOOKUP(A45,'Données projet (1)'!$A$35:$I$55,5,0)*VLOOKUP('Données projet (1)'!$B$9,'Paramètres (1)'!$A$1:$I$88,7,0))</f>
        <v>#REF!</v>
      </c>
      <c r="X45" s="135" t="str">
        <f>IF(ISNA(VLOOKUP(A45,'Données projet (1)'!$A$35:$I$55,6,0)),0%,VLOOKUP(A45,'Données projet (1)'!$A$35:$I$55,6,0)*VLOOKUP('Données projet (1)'!$B$9,'Paramètres (1)'!$A$1:$I$88,7,0))</f>
        <v>#REF!</v>
      </c>
      <c r="Y45" s="135" t="str">
        <f t="shared" si="14"/>
        <v>#REF!</v>
      </c>
      <c r="Z45" s="142" t="str">
        <f>EXP(-LN(2)/35)*Z44+(1-EXP(-LN(2)/35))/(LN(2)/35)*V45*W45*VLOOKUP('Données projet (1)'!$B$9,'Paramètres (1)'!$A$1:$I$88,3,0)*0.475*44/12</f>
        <v>#REF!</v>
      </c>
      <c r="AA45" s="142" t="str">
        <f>EXP(-LN(2)/25)*AA44+(1-EXP(-LN(2)/25))/(LN(2)/25)*'Calculateur (1)'!V45*'Calculateur (1)'!X45*VLOOKUP('Données projet (1)'!$B$9,'Paramètres (1)'!$A$1:$I$88,3,0)*0.475*44/12</f>
        <v>#REF!</v>
      </c>
      <c r="AB45" s="142" t="str">
        <f>EXP(-LN(2)/2)*AB44+(1-EXP(-LN(2)/2))/(LN(2)/2)*V45*Y45*VLOOKUP('Données projet (1)'!$B$9,'Paramètres (1)'!$A$1:$I$88,3,0)*0.475*44/12</f>
        <v>#REF!</v>
      </c>
      <c r="AC45" s="143" t="str">
        <f t="shared" si="15"/>
        <v>#REF!</v>
      </c>
      <c r="AD45" s="130" t="str">
        <f t="shared" si="16"/>
        <v>#REF!</v>
      </c>
      <c r="AE45" s="130">
        <f t="shared" si="17"/>
        <v>10</v>
      </c>
      <c r="AF45" s="131" t="str">
        <f t="shared" si="112"/>
        <v>#REF!</v>
      </c>
      <c r="AG45" s="131" t="str">
        <f t="shared" si="18"/>
        <v>#REF!</v>
      </c>
      <c r="AH45" s="131" t="str">
        <f t="array" ref="AH45">INDEX(AG:AG,MIN(IF(ISNUMBER(AG45:AG241),ROW(AG45:AG241),"")))</f>
        <v/>
      </c>
      <c r="AI45" s="130" t="str">
        <f t="shared" si="113"/>
        <v>#REF!</v>
      </c>
      <c r="AJ45" s="130" t="str">
        <f>AI45*VLOOKUP('Données projet (1)'!$B$10,'Paramètres (1)'!$A$1:$I$88,3,0)*VLOOKUP('Données projet (1)'!$B$10,'Paramètres (1)'!$A$1:$I$88,5,0)</f>
        <v>#REF!</v>
      </c>
      <c r="AK45" s="130" t="str">
        <f t="shared" si="114"/>
        <v>#REF!</v>
      </c>
      <c r="AL45" s="141" t="str">
        <f t="shared" si="19"/>
        <v>#REF!</v>
      </c>
      <c r="AM45" s="133" t="str">
        <f t="shared" si="20"/>
        <v>#REF!</v>
      </c>
      <c r="AN45" s="133" t="str">
        <f t="shared" si="21"/>
        <v>#REF!</v>
      </c>
      <c r="AO45" s="133" t="str">
        <f t="shared" si="115"/>
        <v>#REF!</v>
      </c>
      <c r="AP45" s="134" t="str">
        <f t="shared" si="22"/>
        <v>#REF!</v>
      </c>
      <c r="AQ45" s="134" t="str">
        <f t="shared" si="23"/>
        <v>#REF!</v>
      </c>
      <c r="AR45" s="135" t="str">
        <f>IF(ISNA(VLOOKUP(A45,'Données projet (1)'!$A$61:$I$81,5,0)),0%,VLOOKUP(A45,'Données projet (1)'!$A$61:$I$81,5,0)*VLOOKUP('Données projet (1)'!$B$10,'Paramètres (1)'!$A$1:$I$88,7,0))</f>
        <v>#REF!</v>
      </c>
      <c r="AS45" s="135" t="str">
        <f>IF(ISNA(VLOOKUP(A45,'Données projet (1)'!$A$61:$I$81,6,0)),0%,VLOOKUP(A45,'Données projet (1)'!$A$61:$I$81,6,0)*VLOOKUP('Données projet (1)'!$B$10,'Paramètres (1)'!$A$1:$I$88,7,0))</f>
        <v>#REF!</v>
      </c>
      <c r="AT45" s="135" t="str">
        <f t="shared" si="24"/>
        <v>#REF!</v>
      </c>
      <c r="AU45" s="142" t="str">
        <f>EXP(-LN(2)/35)*AU44+(1-EXP(-LN(2)/35))/(LN(2)/35)*AQ45*AR45*VLOOKUP('Données projet (1)'!$B$10,'Paramètres (1)'!$A$1:$I$88,3,0)*0.475*44/12</f>
        <v>#REF!</v>
      </c>
      <c r="AV45" s="142" t="str">
        <f>EXP(-LN(2)/25)*AV44+(1-EXP(-LN(2)/25))/(LN(2)/25)*'Calculateur (1)'!AQ45*'Calculateur (1)'!AS45*VLOOKUP('Données projet (1)'!$B$10,'Paramètres (1)'!$A$1:$I$88,3,0)*0.475*44/12</f>
        <v>#REF!</v>
      </c>
      <c r="AW45" s="142" t="str">
        <f>EXP(-LN(2)/2)*AW44+(1-EXP(-LN(2)/2))/(LN(2)/2)*AQ45*AT45*VLOOKUP('Données projet (1)'!$B$10,'Paramètres (1)'!$A$1:$I$88,3,0)*0.475*44/12</f>
        <v>#REF!</v>
      </c>
      <c r="AX45" s="142" t="str">
        <f t="shared" si="25"/>
        <v>#REF!</v>
      </c>
      <c r="AY45" s="137" t="str">
        <f t="shared" si="26"/>
        <v>#REF!</v>
      </c>
      <c r="AZ45" s="131">
        <f t="shared" si="27"/>
        <v>10</v>
      </c>
      <c r="BA45" s="131" t="str">
        <f t="shared" si="116"/>
        <v>#REF!</v>
      </c>
      <c r="BB45" s="131" t="str">
        <f t="shared" si="28"/>
        <v>#REF!</v>
      </c>
      <c r="BC45" s="131" t="str">
        <f t="array" ref="BC45">INDEX(BB:BB,MIN(IF(ISNUMBER(BB45:BB241),ROW(BB45:BB241),"")))</f>
        <v/>
      </c>
      <c r="BD45" s="131" t="str">
        <f t="shared" si="117"/>
        <v>#REF!</v>
      </c>
      <c r="BE45" s="130" t="str">
        <f>BD45*VLOOKUP('Données projet (1)'!$B$11,'Paramètres (1)'!$A$1:$I$88,3,0)*VLOOKUP('Données projet (1)'!$B$11,'Paramètres (1)'!$A$1:$I$88,5,0)</f>
        <v>#REF!</v>
      </c>
      <c r="BF45" s="130" t="str">
        <f t="shared" si="118"/>
        <v>#REF!</v>
      </c>
      <c r="BG45" s="141" t="str">
        <f t="shared" si="29"/>
        <v>#REF!</v>
      </c>
      <c r="BH45" s="133" t="str">
        <f t="shared" si="30"/>
        <v>#REF!</v>
      </c>
      <c r="BI45" s="133" t="str">
        <f t="shared" si="31"/>
        <v>#REF!</v>
      </c>
      <c r="BJ45" s="133" t="str">
        <f t="shared" si="119"/>
        <v>#REF!</v>
      </c>
      <c r="BK45" s="134" t="str">
        <f t="shared" si="32"/>
        <v>#REF!</v>
      </c>
      <c r="BL45" s="134" t="str">
        <f t="shared" si="33"/>
        <v>#REF!</v>
      </c>
      <c r="BM45" s="135" t="str">
        <f>IF(ISNA(VLOOKUP(A45,'Données projet (1)'!$A$87:$I$107,5,0)),0%,VLOOKUP(A45,'Données projet (1)'!$A$87:$I$107,5,0)*VLOOKUP('Données projet (1)'!$B$11,'Paramètres (1)'!$A$1:$I$88,7,0))</f>
        <v>#REF!</v>
      </c>
      <c r="BN45" s="135" t="str">
        <f>IF(ISNA(VLOOKUP(A45,'Données projet (1)'!$A$87:$I$107,6,0)),0%,VLOOKUP(A45,'Données projet (1)'!$A$87:$I$107,6,0)*VLOOKUP('Données projet (1)'!$B$11,'Paramètres (1)'!$A$1:$I$88,7,0))</f>
        <v>#REF!</v>
      </c>
      <c r="BO45" s="135" t="str">
        <f t="shared" si="34"/>
        <v>#REF!</v>
      </c>
      <c r="BP45" s="142" t="str">
        <f>EXP(-LN(2)/35)*BP44+(1-EXP(-LN(2)/35))/(LN(2)/35)*BL45*BM45*VLOOKUP('Données projet (1)'!$B$11,'Paramètres (1)'!$A$1:$I$88,3,0)*0.475*44/12</f>
        <v>#REF!</v>
      </c>
      <c r="BQ45" s="142" t="str">
        <f>EXP(-LN(2)/25)*BQ44+(1-EXP(-LN(2)/25))/(LN(2)/25)*'Calculateur (1)'!BL45*'Calculateur (1)'!BN45*VLOOKUP('Données projet (1)'!$B$11,'Paramètres (1)'!$A$1:$I$88,3,0)*0.475*44/12</f>
        <v>#REF!</v>
      </c>
      <c r="BR45" s="142" t="str">
        <f>EXP(-LN(2)/2)*BR44+(1-EXP(-LN(2)/2))/(LN(2)/2)*BL45*BO45*VLOOKUP('Données projet (1)'!$B$11,'Paramètres (1)'!$A$1:$I$88,3,0)*0.475*44/12</f>
        <v>#REF!</v>
      </c>
      <c r="BS45" s="143" t="str">
        <f t="shared" si="35"/>
        <v>#REF!</v>
      </c>
      <c r="BT45" s="139" t="str">
        <f t="shared" si="36"/>
        <v>#REF!</v>
      </c>
      <c r="BU45" s="131">
        <f t="shared" si="37"/>
        <v>10</v>
      </c>
      <c r="BV45" s="131" t="str">
        <f t="shared" si="120"/>
        <v>#REF!</v>
      </c>
      <c r="BW45" s="131" t="str">
        <f t="shared" si="38"/>
        <v>#REF!</v>
      </c>
      <c r="BX45" s="131" t="str">
        <f t="array" ref="BX45">INDEX(BW:BW,MIN(IF(ISNUMBER(BW45:BW241),ROW(BW45:BW241),"")))</f>
        <v/>
      </c>
      <c r="BY45" s="131" t="str">
        <f t="shared" si="121"/>
        <v>#REF!</v>
      </c>
      <c r="BZ45" s="130" t="str">
        <f>BY45*VLOOKUP('Données projet (1)'!$B$12,'Paramètres (1)'!$A$1:$I$88,3,0)*VLOOKUP('Données projet (1)'!$B$12,'Paramètres (1)'!$A$1:$I$88,5,0)</f>
        <v>#REF!</v>
      </c>
      <c r="CA45" s="130" t="str">
        <f t="shared" si="122"/>
        <v>#REF!</v>
      </c>
      <c r="CB45" s="141" t="str">
        <f t="shared" si="39"/>
        <v>#REF!</v>
      </c>
      <c r="CC45" s="133" t="str">
        <f t="shared" si="40"/>
        <v>#REF!</v>
      </c>
      <c r="CD45" s="133" t="str">
        <f t="shared" si="41"/>
        <v>#REF!</v>
      </c>
      <c r="CE45" s="133" t="str">
        <f t="shared" si="123"/>
        <v>#REF!</v>
      </c>
      <c r="CF45" s="134" t="str">
        <f t="shared" si="42"/>
        <v>#REF!</v>
      </c>
      <c r="CG45" s="134" t="str">
        <f t="shared" si="43"/>
        <v>#REF!</v>
      </c>
      <c r="CH45" s="135" t="str">
        <f>IF(ISNA(VLOOKUP(A45,'Données projet (1)'!$A$113:$I$133,5,0)),0%,VLOOKUP(A45,'Données projet (1)'!$A$113:$I$133,5,0)*VLOOKUP('Données projet (1)'!$B$12,'Paramètres (1)'!$A$1:$I$88,7,0))</f>
        <v>#REF!</v>
      </c>
      <c r="CI45" s="135" t="str">
        <f>IF(ISNA(VLOOKUP(A45,'Données projet (1)'!$A$113:$I$133,6,0)),0%,VLOOKUP(A45,'Données projet (1)'!$A$113:$I$133,6,0)*VLOOKUP('Données projet (1)'!$B$12,'Paramètres (1)'!$A$1:$I$88,7,0))</f>
        <v>#REF!</v>
      </c>
      <c r="CJ45" s="135" t="str">
        <f t="shared" si="44"/>
        <v>#REF!</v>
      </c>
      <c r="CK45" s="142" t="str">
        <f>EXP(-LN(2)/35)*CK44+(1-EXP(-LN(2)/35))/(LN(2)/35)*CG45*CH45*VLOOKUP('Données projet (1)'!$B$12,'Paramètres (1)'!$A$1:$I$88,3,0)*0.475*44/12</f>
        <v>#REF!</v>
      </c>
      <c r="CL45" s="142" t="str">
        <f>EXP(-LN(2)/25)*CL44+(1-EXP(-LN(2)/25))/(LN(2)/25)*'Calculateur (1)'!CG45*'Calculateur (1)'!CI45*VLOOKUP('Données projet (1)'!$B$12,'Paramètres (1)'!$A$1:$I$88,3,0)*0.475*44/12</f>
        <v>#REF!</v>
      </c>
      <c r="CM45" s="142" t="str">
        <f>EXP(-LN(2)/2)*CM44+(1-EXP(-LN(2)/2))/(LN(2)/2)*CG45*CJ45*VLOOKUP('Données projet (1)'!$B$12,'Paramètres (1)'!$A$1:$I$88,3,0)*0.475*44/12</f>
        <v>#REF!</v>
      </c>
      <c r="CN45" s="143" t="str">
        <f t="shared" si="45"/>
        <v>#REF!</v>
      </c>
      <c r="CO45" s="139" t="str">
        <f t="shared" si="46"/>
        <v>#REF!</v>
      </c>
      <c r="CP45" s="131">
        <f t="shared" si="47"/>
        <v>10</v>
      </c>
      <c r="CQ45" s="131" t="str">
        <f t="shared" si="124"/>
        <v>#REF!</v>
      </c>
      <c r="CR45" s="131" t="str">
        <f t="shared" si="48"/>
        <v>#REF!</v>
      </c>
      <c r="CS45" s="131" t="str">
        <f t="array" ref="CS45">INDEX(CR:CR,MIN(IF(ISNUMBER(CR45:CR241),ROW(CR45:CR241),"")))</f>
        <v/>
      </c>
      <c r="CT45" s="131" t="str">
        <f t="shared" si="125"/>
        <v>#REF!</v>
      </c>
      <c r="CU45" s="138" t="str">
        <f>CT45*VLOOKUP('Données projet (1)'!$B$13,'Paramètres (1)'!$A$1:$I$88,3,0)*VLOOKUP('Données projet (1)'!$B$13,'Paramètres (1)'!$A$1:$I$88,5,0)</f>
        <v>#REF!</v>
      </c>
      <c r="CV45" s="130" t="str">
        <f t="shared" si="126"/>
        <v>#REF!</v>
      </c>
      <c r="CW45" s="141" t="str">
        <f t="shared" si="49"/>
        <v>#REF!</v>
      </c>
      <c r="CX45" s="133" t="str">
        <f t="shared" si="50"/>
        <v>#REF!</v>
      </c>
      <c r="CY45" s="133" t="str">
        <f t="shared" si="51"/>
        <v>#REF!</v>
      </c>
      <c r="CZ45" s="133" t="str">
        <f t="shared" si="127"/>
        <v>#REF!</v>
      </c>
      <c r="DA45" s="134" t="str">
        <f t="shared" si="52"/>
        <v>#REF!</v>
      </c>
      <c r="DB45" s="134" t="str">
        <f t="shared" si="53"/>
        <v>#REF!</v>
      </c>
      <c r="DC45" s="135" t="str">
        <f>IF(ISNA(VLOOKUP(A45,'Données projet (1)'!$A$139:$I$159,5,0)),0%,VLOOKUP(A45,'Données projet (1)'!$A$139:$I$159,5,0)*VLOOKUP('Données projet (1)'!$B$13,'Paramètres (1)'!$A$1:$I$88,7,0))</f>
        <v>#REF!</v>
      </c>
      <c r="DD45" s="135" t="str">
        <f>IF(ISNA(VLOOKUP(A45,'Données projet (1)'!$A$139:$I$159,6,0)),0%,VLOOKUP(A45,'Données projet (1)'!$A$139:$I$159,6,0)*VLOOKUP('Données projet (1)'!$B$13,'Paramètres (1)'!$A$1:$I$88,7,0))</f>
        <v>#REF!</v>
      </c>
      <c r="DE45" s="135" t="str">
        <f t="shared" si="54"/>
        <v>#REF!</v>
      </c>
      <c r="DF45" s="142" t="str">
        <f>EXP(-LN(2)/35)*DF44+(1-EXP(-LN(2)/35))/(LN(2)/35)*DB45*DC45*VLOOKUP('Données projet (1)'!$B$13,'Paramètres (1)'!$A$1:$I$88,3,0)*0.475*44/12</f>
        <v>#REF!</v>
      </c>
      <c r="DG45" s="142" t="str">
        <f>EXP(-LN(2)/25)*DG44+(1-EXP(-LN(2)/25))/(LN(2)/25)*'Calculateur (1)'!DB45*'Calculateur (1)'!DD45*VLOOKUP('Données projet (1)'!$B$13,'Paramètres (1)'!$A$1:$I$88,3,0)*0.475*44/12</f>
        <v>#REF!</v>
      </c>
      <c r="DH45" s="142" t="str">
        <f>EXP(-LN(2)/2)*DH44+(1-EXP(-LN(2)/2))/(LN(2)/2)*DB45*DE45*VLOOKUP('Données projet (1)'!$B$13,'Paramètres (1)'!$A$1:$I$88,3,0)*0.475*44/12</f>
        <v>#REF!</v>
      </c>
      <c r="DI45" s="143" t="str">
        <f t="shared" si="55"/>
        <v>#REF!</v>
      </c>
      <c r="DJ45" s="139" t="str">
        <f t="shared" si="56"/>
        <v>#REF!</v>
      </c>
      <c r="DK45" s="131">
        <f t="shared" si="57"/>
        <v>10</v>
      </c>
      <c r="DL45" s="131" t="str">
        <f t="shared" si="128"/>
        <v>#REF!</v>
      </c>
      <c r="DM45" s="131" t="str">
        <f t="shared" si="58"/>
        <v>#REF!</v>
      </c>
      <c r="DN45" s="131" t="str">
        <f t="array" ref="DN45">INDEX(DM:DM,MIN(IF(ISNUMBER(DM45:DM241),ROW(DM45:DM241),"")))</f>
        <v/>
      </c>
      <c r="DO45" s="131" t="str">
        <f t="shared" si="129"/>
        <v>#REF!</v>
      </c>
      <c r="DP45" s="138" t="str">
        <f>DO45*VLOOKUP('Données projet (1)'!$B$14,'Paramètres (1)'!$A$1:$I$88,3,0)*VLOOKUP('Données projet (1)'!$B$14,'Paramètres (1)'!$A$1:$I$88,5,0)</f>
        <v>#REF!</v>
      </c>
      <c r="DQ45" s="130" t="str">
        <f t="shared" si="130"/>
        <v>#REF!</v>
      </c>
      <c r="DR45" s="141" t="str">
        <f t="shared" si="59"/>
        <v>#REF!</v>
      </c>
      <c r="DS45" s="133" t="str">
        <f t="shared" si="60"/>
        <v>#REF!</v>
      </c>
      <c r="DT45" s="133" t="str">
        <f t="shared" si="61"/>
        <v>#REF!</v>
      </c>
      <c r="DU45" s="133" t="str">
        <f t="shared" si="131"/>
        <v>#REF!</v>
      </c>
      <c r="DV45" s="134" t="str">
        <f t="shared" si="62"/>
        <v>#REF!</v>
      </c>
      <c r="DW45" s="134" t="str">
        <f t="shared" si="63"/>
        <v>#REF!</v>
      </c>
      <c r="DX45" s="135" t="str">
        <f>IF(ISNA(VLOOKUP(A45,'Données projet (1)'!$A$165:$I$185,5,0)),0%,VLOOKUP(A45,'Données projet (1)'!$A$165:$I$185,5,0)*VLOOKUP('Données projet (1)'!$B$14,'Paramètres (1)'!$A$1:$I$88,7,0))</f>
        <v>#REF!</v>
      </c>
      <c r="DY45" s="135" t="str">
        <f>IF(ISNA(VLOOKUP(A45,'Données projet (1)'!$A$165:$I$185,6,0)),0%,VLOOKUP(A45,'Données projet (1)'!$A$165:$I$185,6,0)*VLOOKUP('Données projet (1)'!$B$14,'Paramètres (1)'!$A$1:$I$88,7,0))</f>
        <v>#REF!</v>
      </c>
      <c r="DZ45" s="135" t="str">
        <f t="shared" si="64"/>
        <v>#REF!</v>
      </c>
      <c r="EA45" s="142" t="str">
        <f>EXP(-LN(2)/35)*EA44+(1-EXP(-LN(2)/35))/(LN(2)/35)*DW45*DX45*VLOOKUP('Données projet (1)'!$B$14,'Paramètres (1)'!$A$1:$I$88,3,0)*0.475*44/12</f>
        <v>#REF!</v>
      </c>
      <c r="EB45" s="142" t="str">
        <f>EXP(-LN(2)/25)*EB44+(1-EXP(-LN(2)/25))/(LN(2)/25)*'Calculateur (1)'!DW45*'Calculateur (1)'!DY45*VLOOKUP('Données projet (1)'!$B$14,'Paramètres (1)'!$A$1:$I$88,3,0)*0.475*44/12</f>
        <v>#REF!</v>
      </c>
      <c r="EC45" s="142" t="str">
        <f>EXP(-LN(2)/2)*EC44+(1-EXP(-LN(2)/2))/(LN(2)/2)*DW45*DZ45*VLOOKUP('Données projet (1)'!$B$14,'Paramètres (1)'!$A$1:$I$88,3,0)*0.475*44/12</f>
        <v>#REF!</v>
      </c>
      <c r="ED45" s="143" t="str">
        <f t="shared" si="65"/>
        <v>#REF!</v>
      </c>
      <c r="EE45" s="139" t="str">
        <f t="shared" si="66"/>
        <v>#REF!</v>
      </c>
      <c r="EF45" s="131">
        <f t="shared" si="67"/>
        <v>10</v>
      </c>
      <c r="EG45" s="131" t="str">
        <f t="shared" si="132"/>
        <v>#REF!</v>
      </c>
      <c r="EH45" s="131" t="str">
        <f t="shared" si="68"/>
        <v>#REF!</v>
      </c>
      <c r="EI45" s="131" t="str">
        <f t="array" ref="EI45">INDEX(EH:EH,MIN(IF(ISNUMBER(EH45:EH241),ROW(EH45:EH241),"")))</f>
        <v/>
      </c>
      <c r="EJ45" s="131" t="str">
        <f t="shared" si="133"/>
        <v>#REF!</v>
      </c>
      <c r="EK45" s="138" t="str">
        <f>EJ45*VLOOKUP('Données projet (1)'!$B$15,'Paramètres (1)'!$A$1:$I$88,3,0)*VLOOKUP('Données projet (1)'!$B$15,'Paramètres (1)'!$A$1:$I$88,5,0)</f>
        <v>#REF!</v>
      </c>
      <c r="EL45" s="130" t="str">
        <f t="shared" si="134"/>
        <v>#REF!</v>
      </c>
      <c r="EM45" s="141" t="str">
        <f t="shared" si="69"/>
        <v>#REF!</v>
      </c>
      <c r="EN45" s="133" t="str">
        <f t="shared" si="70"/>
        <v>#REF!</v>
      </c>
      <c r="EO45" s="133" t="str">
        <f t="shared" si="71"/>
        <v>#REF!</v>
      </c>
      <c r="EP45" s="133" t="str">
        <f t="shared" si="135"/>
        <v>#REF!</v>
      </c>
      <c r="EQ45" s="134" t="str">
        <f t="shared" si="72"/>
        <v>#REF!</v>
      </c>
      <c r="ER45" s="134" t="str">
        <f t="shared" si="73"/>
        <v>#REF!</v>
      </c>
      <c r="ES45" s="135" t="str">
        <f>IF(ISNA(VLOOKUP(A45,'Données projet (1)'!$A$191:$I$211,5,0)),0%,VLOOKUP(A45,'Données projet (1)'!$A$191:$I$211,5,0)*VLOOKUP('Données projet (1)'!$B$15,'Paramètres (1)'!$A$1:$I$88,7,0))</f>
        <v>#REF!</v>
      </c>
      <c r="ET45" s="135" t="str">
        <f>IF(ISNA(VLOOKUP(A45,'Données projet (1)'!$A$191:$I$211,6,0)),0%,VLOOKUP(A45,'Données projet (1)'!$A$191:$I$211,6,0)*VLOOKUP('Données projet (1)'!$B$15,'Paramètres (1)'!$A$1:$I$88,7,0))</f>
        <v>#REF!</v>
      </c>
      <c r="EU45" s="135" t="str">
        <f t="shared" si="74"/>
        <v>#REF!</v>
      </c>
      <c r="EV45" s="142" t="str">
        <f>EXP(-LN(2)/35)*EV44+(1-EXP(-LN(2)/35))/(LN(2)/35)*ER45*ES45*VLOOKUP('Données projet (1)'!$B$15,'Paramètres (1)'!$A$1:$I$88,3,0)*0.475*44/12</f>
        <v>#REF!</v>
      </c>
      <c r="EW45" s="142" t="str">
        <f>EXP(-LN(2)/25)*EW44+(1-EXP(-LN(2)/25))/(LN(2)/25)*'Calculateur (1)'!ER45*'Calculateur (1)'!ET45*VLOOKUP('Données projet (1)'!$B$15,'Paramètres (1)'!$A$1:$I$88,3,0)*0.475*44/12</f>
        <v>#REF!</v>
      </c>
      <c r="EX45" s="142" t="str">
        <f>EXP(-LN(2)/2)*EX44+(1-EXP(-LN(2)/2))/(LN(2)/2)*ER45*EU45*VLOOKUP('Données projet (1)'!$B$15,'Paramètres (1)'!$A$1:$I$88,3,0)*0.475*44/12</f>
        <v>#REF!</v>
      </c>
      <c r="EY45" s="143" t="str">
        <f t="shared" si="75"/>
        <v>#REF!</v>
      </c>
      <c r="EZ45" s="139" t="str">
        <f t="shared" si="76"/>
        <v>#REF!</v>
      </c>
      <c r="FA45" s="131">
        <f t="shared" si="77"/>
        <v>10</v>
      </c>
      <c r="FB45" s="131" t="str">
        <f t="shared" si="136"/>
        <v>#REF!</v>
      </c>
      <c r="FC45" s="131" t="str">
        <f t="shared" si="78"/>
        <v>#REF!</v>
      </c>
      <c r="FD45" s="131" t="str">
        <f t="array" ref="FD45">INDEX(FC:FC,MIN(IF(ISNUMBER(FC45:FC241),ROW(FC45:FC241),"")))</f>
        <v/>
      </c>
      <c r="FE45" s="131" t="str">
        <f t="shared" si="137"/>
        <v>#REF!</v>
      </c>
      <c r="FF45" s="138" t="str">
        <f>FE45*VLOOKUP('Données projet (1)'!$B$16,'Paramètres (1)'!$A$1:$I$88,3,0)*VLOOKUP('Données projet (1)'!$B$16,'Paramètres (1)'!$A$1:$I$88,5,0)</f>
        <v>#REF!</v>
      </c>
      <c r="FG45" s="130" t="str">
        <f t="shared" si="138"/>
        <v>#REF!</v>
      </c>
      <c r="FH45" s="141" t="str">
        <f t="shared" si="79"/>
        <v>#REF!</v>
      </c>
      <c r="FI45" s="133" t="str">
        <f t="shared" si="80"/>
        <v>#REF!</v>
      </c>
      <c r="FJ45" s="133" t="str">
        <f t="shared" si="81"/>
        <v>#REF!</v>
      </c>
      <c r="FK45" s="133" t="str">
        <f t="shared" si="139"/>
        <v>#REF!</v>
      </c>
      <c r="FL45" s="134" t="str">
        <f t="shared" si="82"/>
        <v>#REF!</v>
      </c>
      <c r="FM45" s="134" t="str">
        <f t="shared" si="83"/>
        <v>#REF!</v>
      </c>
      <c r="FN45" s="135" t="str">
        <f>IF(ISNA(VLOOKUP(A45,'Données projet (1)'!$A$217:$I$237,5,0)),0%,VLOOKUP(A45,'Données projet (1)'!$A$217:$I$237,5,0)*VLOOKUP('Données projet (1)'!$B$16,'Paramètres (1)'!$A$1:$I$88,7,0))</f>
        <v>#REF!</v>
      </c>
      <c r="FO45" s="135" t="str">
        <f>IF(ISNA(VLOOKUP(A45,'Données projet (1)'!$A$217:$I$237,6,0)),0%,VLOOKUP(A45,'Données projet (1)'!$A$217:$I$237,6,0)*VLOOKUP('Données projet (1)'!$B$16,'Paramètres (1)'!$A$1:$I$88,7,0))</f>
        <v>#REF!</v>
      </c>
      <c r="FP45" s="135" t="str">
        <f t="shared" si="84"/>
        <v>#REF!</v>
      </c>
      <c r="FQ45" s="142" t="str">
        <f>EXP(-LN(2)/35)*FQ44+(1-EXP(-LN(2)/35))/(LN(2)/35)*FM45*FN45*VLOOKUP('Données projet (1)'!$B$16,'Paramètres (1)'!$A$1:$I$88,3,0)*0.475*44/12</f>
        <v>#REF!</v>
      </c>
      <c r="FR45" s="142" t="str">
        <f>EXP(-LN(2)/25)*FR44+(1-EXP(-LN(2)/25))/(LN(2)/25)*'Calculateur (1)'!FM45*'Calculateur (1)'!FO45*VLOOKUP('Données projet (1)'!$B$16,'Paramètres (1)'!$A$1:$I$88,3,0)*0.475*44/12</f>
        <v>#REF!</v>
      </c>
      <c r="FS45" s="142" t="str">
        <f>EXP(-LN(2)/2)*FS44+(1-EXP(-LN(2)/2))/(LN(2)/2)*FM45*FP45*VLOOKUP('Données projet (1)'!$B$16,'Paramètres (1)'!$A$1:$I$88,3,0)*0.475*44/12</f>
        <v>#REF!</v>
      </c>
      <c r="FT45" s="143" t="str">
        <f t="shared" si="85"/>
        <v>#REF!</v>
      </c>
      <c r="FU45" s="139" t="str">
        <f t="shared" si="86"/>
        <v>#REF!</v>
      </c>
      <c r="FV45" s="131">
        <f t="shared" si="87"/>
        <v>10</v>
      </c>
      <c r="FW45" s="131" t="str">
        <f t="shared" si="140"/>
        <v>#REF!</v>
      </c>
      <c r="FX45" s="131" t="str">
        <f t="shared" si="88"/>
        <v>#REF!</v>
      </c>
      <c r="FY45" s="131" t="str">
        <f t="array" ref="FY45">INDEX(FX:FX,MIN(IF(ISNUMBER(FX45:FX241),ROW(FX45:FX241),"")))</f>
        <v/>
      </c>
      <c r="FZ45" s="131" t="str">
        <f t="shared" si="141"/>
        <v>#REF!</v>
      </c>
      <c r="GA45" s="138" t="str">
        <f>FZ45*VLOOKUP('Données projet (1)'!$B$17,'Paramètres (1)'!$A$1:$I$88,3,0)*VLOOKUP('Données projet (1)'!$B$17,'Paramètres (1)'!$A$1:$I$88,5,0)</f>
        <v>#REF!</v>
      </c>
      <c r="GB45" s="130" t="str">
        <f t="shared" si="142"/>
        <v>#REF!</v>
      </c>
      <c r="GC45" s="141" t="str">
        <f t="shared" si="89"/>
        <v>#REF!</v>
      </c>
      <c r="GD45" s="133" t="str">
        <f t="shared" si="90"/>
        <v>#REF!</v>
      </c>
      <c r="GE45" s="133" t="str">
        <f t="shared" si="91"/>
        <v>#REF!</v>
      </c>
      <c r="GF45" s="133" t="str">
        <f t="shared" si="143"/>
        <v>#REF!</v>
      </c>
      <c r="GG45" s="134" t="str">
        <f t="shared" si="92"/>
        <v>#REF!</v>
      </c>
      <c r="GH45" s="134" t="str">
        <f t="shared" si="93"/>
        <v>#REF!</v>
      </c>
      <c r="GI45" s="135" t="str">
        <f>IF(ISNA(VLOOKUP(A45,'Données projet (1)'!$A$243:$I$263,5,0)),0%,VLOOKUP(A45,'Données projet (1)'!$A$243:$I$263,5,0)*VLOOKUP('Données projet (1)'!$B$17,'Paramètres (1)'!$A$1:$I$88,7,0))</f>
        <v>#REF!</v>
      </c>
      <c r="GJ45" s="135" t="str">
        <f>IF(ISNA(VLOOKUP(A45,'Données projet (1)'!$A$243:$I$263,6,0)),0%,VLOOKUP(A45,'Données projet (1)'!$A$243:$I$263,6,0)*VLOOKUP('Données projet (1)'!$B$17,'Paramètres (1)'!$A$1:$I$88,7,0))</f>
        <v>#REF!</v>
      </c>
      <c r="GK45" s="135" t="str">
        <f t="shared" si="94"/>
        <v>#REF!</v>
      </c>
      <c r="GL45" s="142" t="str">
        <f>EXP(-LN(2)/35)*GL44+(1-EXP(-LN(2)/35))/(LN(2)/35)*GH45*GI45*VLOOKUP('Données projet (1)'!$B$17,'Paramètres (1)'!$A$1:$I$88,3,0)*0.475*44/12</f>
        <v>#REF!</v>
      </c>
      <c r="GM45" s="142" t="str">
        <f>EXP(-LN(2)/25)*GM44+(1-EXP(-LN(2)/25))/(LN(2)/25)*'Calculateur (1)'!GH45*'Calculateur (1)'!GJ45*VLOOKUP('Données projet (1)'!$B$17,'Paramètres (1)'!$A$1:$I$88,3,0)*0.475*44/12</f>
        <v>#REF!</v>
      </c>
      <c r="GN45" s="142" t="str">
        <f>EXP(-LN(2)/2)*GN44+(1-EXP(-LN(2)/2))/(LN(2)/2)*GH45*GK45*VLOOKUP('Données projet (1)'!$B$17,'Paramètres (1)'!$A$1:$I$88,3,0)*0.475*44/12</f>
        <v>#REF!</v>
      </c>
      <c r="GO45" s="142" t="str">
        <f t="shared" si="95"/>
        <v>#REF!</v>
      </c>
      <c r="GP45" s="139" t="str">
        <f t="shared" si="96"/>
        <v>#REF!</v>
      </c>
      <c r="GQ45" s="131">
        <f t="shared" si="97"/>
        <v>10</v>
      </c>
      <c r="GR45" s="131" t="str">
        <f t="shared" si="144"/>
        <v>#REF!</v>
      </c>
      <c r="GS45" s="131" t="str">
        <f t="shared" si="98"/>
        <v>#REF!</v>
      </c>
      <c r="GT45" s="131" t="str">
        <f t="array" ref="GT45">INDEX(GS:GS,MIN(IF(ISNUMBER(GS45:GS241),ROW(GS45:GS241),"")))</f>
        <v/>
      </c>
      <c r="GU45" s="131" t="str">
        <f t="shared" si="145"/>
        <v>#REF!</v>
      </c>
      <c r="GV45" s="138" t="str">
        <f>GU45*VLOOKUP('Données projet (1)'!$B$18,'Paramètres (1)'!$A$1:$I$88,3,0)*VLOOKUP('Données projet (1)'!$B$18,'Paramètres (1)'!$A$1:$I$88,5,0)</f>
        <v>#REF!</v>
      </c>
      <c r="GW45" s="130" t="str">
        <f t="shared" si="146"/>
        <v>#REF!</v>
      </c>
      <c r="GX45" s="141" t="str">
        <f t="shared" si="99"/>
        <v>#REF!</v>
      </c>
      <c r="GY45" s="133" t="str">
        <f t="shared" si="100"/>
        <v>#REF!</v>
      </c>
      <c r="GZ45" s="133" t="str">
        <f t="shared" si="101"/>
        <v>#REF!</v>
      </c>
      <c r="HA45" s="133" t="str">
        <f t="shared" si="147"/>
        <v>#REF!</v>
      </c>
      <c r="HB45" s="134" t="str">
        <f t="shared" si="102"/>
        <v>#REF!</v>
      </c>
      <c r="HC45" s="134" t="str">
        <f t="shared" si="103"/>
        <v>#REF!</v>
      </c>
      <c r="HD45" s="135" t="str">
        <f>IF(ISNA(VLOOKUP(A45,'Données projet (1)'!$A$269:$I$289,5,0)),0%,VLOOKUP(A45,'Données projet (1)'!$A$269:$I$289,5,0)*VLOOKUP('Données projet (1)'!$B$18,'Paramètres (1)'!$A$1:$I$88,7,0))</f>
        <v>#REF!</v>
      </c>
      <c r="HE45" s="135" t="str">
        <f>IF(ISNA(VLOOKUP(A45,'Données projet (1)'!$A$269:$I$289,6,0)),0%,VLOOKUP(A45,'Données projet (1)'!$A$269:$I$289,6,0)*VLOOKUP('Données projet (1)'!$B$18,'Paramètres (1)'!$A$1:$I$88,7,0))</f>
        <v>#REF!</v>
      </c>
      <c r="HF45" s="135" t="str">
        <f t="shared" si="104"/>
        <v>#REF!</v>
      </c>
      <c r="HG45" s="142" t="str">
        <f>EXP(-LN(2)/35)*HG44+(1-EXP(-LN(2)/35))/(LN(2)/35)*HC45*HD45*VLOOKUP('Données projet (1)'!$B$18,'Paramètres (1)'!$A$1:$I$88,3,0)*0.475*44/12</f>
        <v>#REF!</v>
      </c>
      <c r="HH45" s="142" t="str">
        <f>EXP(-LN(2)/25)*HH44+(1-EXP(-LN(2)/25))/(LN(2)/25)*'Calculateur (1)'!HC45*'Calculateur (1)'!HE45*VLOOKUP('Données projet (1)'!$B$18,'Paramètres (1)'!$A$1:$I$88,3,0)*0.475*44/12</f>
        <v>#REF!</v>
      </c>
      <c r="HI45" s="142" t="str">
        <f>EXP(-LN(2)/2)*HI44+(1-EXP(-LN(2)/2))/(LN(2)/2)*HC45*HF45*VLOOKUP('Données projet (1)'!$B$18,'Paramètres (1)'!$A$1:$I$88,3,0)*0.475*44/12</f>
        <v>#REF!</v>
      </c>
      <c r="HJ45" s="143" t="str">
        <f t="shared" si="105"/>
        <v>#REF!</v>
      </c>
    </row>
    <row r="46" ht="14.25" customHeight="1">
      <c r="A46" s="125">
        <f t="shared" si="106"/>
        <v>43</v>
      </c>
      <c r="B46" s="126" t="str">
        <f t="shared" si="1"/>
        <v>#REF!</v>
      </c>
      <c r="C46" s="140" t="str">
        <f>'Calculateur (1)'!C45+'Scénario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6" s="127">
        <f t="shared" si="107"/>
        <v>0</v>
      </c>
      <c r="E46" s="127" t="str">
        <f t="shared" si="2"/>
        <v>#REF!</v>
      </c>
      <c r="F46" s="127" t="str">
        <f t="shared" si="3"/>
        <v>#REF!</v>
      </c>
      <c r="G46" s="127" t="str">
        <f t="shared" si="4"/>
        <v>#REF!</v>
      </c>
      <c r="H46" s="128" t="str">
        <f t="shared" si="5"/>
        <v>#REF!</v>
      </c>
      <c r="I46" s="129" t="str">
        <f t="shared" si="6"/>
        <v>#REF!</v>
      </c>
      <c r="J46" s="130">
        <f t="shared" si="7"/>
        <v>10</v>
      </c>
      <c r="K46" s="131" t="str">
        <f t="shared" si="108"/>
        <v>#REF!</v>
      </c>
      <c r="L46" s="131" t="str">
        <f t="shared" si="8"/>
        <v>#REF!</v>
      </c>
      <c r="M46" s="131" t="str">
        <f t="array" ref="M46">INDEX(L:L,MIN(IF(ISNUMBER(L46:L242),ROW(L46:L242),"")))</f>
        <v/>
      </c>
      <c r="N46" s="130" t="str">
        <f t="shared" si="109"/>
        <v>#REF!</v>
      </c>
      <c r="O46" s="130" t="str">
        <f>N46*VLOOKUP('Données projet (1)'!$B$9,'Paramètres (1)'!$A$1:$I$88,3,0)*VLOOKUP('Données projet (1)'!$B$9,'Paramètres (1)'!$A$1:$I$88,5,0)</f>
        <v>#REF!</v>
      </c>
      <c r="P46" s="130" t="str">
        <f t="shared" si="110"/>
        <v>#REF!</v>
      </c>
      <c r="Q46" s="141" t="str">
        <f t="shared" si="9"/>
        <v>#REF!</v>
      </c>
      <c r="R46" s="133" t="str">
        <f t="shared" si="10"/>
        <v>#REF!</v>
      </c>
      <c r="S46" s="133" t="str">
        <f t="shared" si="11"/>
        <v>#REF!</v>
      </c>
      <c r="T46" s="133" t="str">
        <f t="shared" si="111"/>
        <v>#REF!</v>
      </c>
      <c r="U46" s="134" t="str">
        <f t="shared" si="12"/>
        <v>#REF!</v>
      </c>
      <c r="V46" s="134" t="str">
        <f t="shared" si="13"/>
        <v>#REF!</v>
      </c>
      <c r="W46" s="135" t="str">
        <f>IF(ISNA(VLOOKUP(A46,'Données projet (1)'!$A$35:$I$55,5,0)),0%,VLOOKUP(A46,'Données projet (1)'!$A$35:$I$55,5,0)*VLOOKUP('Données projet (1)'!$B$9,'Paramètres (1)'!$A$1:$I$88,7,0))</f>
        <v>#REF!</v>
      </c>
      <c r="X46" s="135" t="str">
        <f>IF(ISNA(VLOOKUP(A46,'Données projet (1)'!$A$35:$I$55,6,0)),0%,VLOOKUP(A46,'Données projet (1)'!$A$35:$I$55,6,0)*VLOOKUP('Données projet (1)'!$B$9,'Paramètres (1)'!$A$1:$I$88,7,0))</f>
        <v>#REF!</v>
      </c>
      <c r="Y46" s="135" t="str">
        <f t="shared" si="14"/>
        <v>#REF!</v>
      </c>
      <c r="Z46" s="142" t="str">
        <f>EXP(-LN(2)/35)*Z45+(1-EXP(-LN(2)/35))/(LN(2)/35)*V46*W46*VLOOKUP('Données projet (1)'!$B$9,'Paramètres (1)'!$A$1:$I$88,3,0)*0.475*44/12</f>
        <v>#REF!</v>
      </c>
      <c r="AA46" s="142" t="str">
        <f>EXP(-LN(2)/25)*AA45+(1-EXP(-LN(2)/25))/(LN(2)/25)*'Calculateur (1)'!V46*'Calculateur (1)'!X46*VLOOKUP('Données projet (1)'!$B$9,'Paramètres (1)'!$A$1:$I$88,3,0)*0.475*44/12</f>
        <v>#REF!</v>
      </c>
      <c r="AB46" s="142" t="str">
        <f>EXP(-LN(2)/2)*AB45+(1-EXP(-LN(2)/2))/(LN(2)/2)*V46*Y46*VLOOKUP('Données projet (1)'!$B$9,'Paramètres (1)'!$A$1:$I$88,3,0)*0.475*44/12</f>
        <v>#REF!</v>
      </c>
      <c r="AC46" s="143" t="str">
        <f t="shared" si="15"/>
        <v>#REF!</v>
      </c>
      <c r="AD46" s="130" t="str">
        <f t="shared" si="16"/>
        <v>#REF!</v>
      </c>
      <c r="AE46" s="130">
        <f t="shared" si="17"/>
        <v>10</v>
      </c>
      <c r="AF46" s="131" t="str">
        <f t="shared" si="112"/>
        <v>#REF!</v>
      </c>
      <c r="AG46" s="131" t="str">
        <f t="shared" si="18"/>
        <v>#REF!</v>
      </c>
      <c r="AH46" s="131" t="str">
        <f t="array" ref="AH46">INDEX(AG:AG,MIN(IF(ISNUMBER(AG46:AG242),ROW(AG46:AG242),"")))</f>
        <v/>
      </c>
      <c r="AI46" s="130" t="str">
        <f t="shared" si="113"/>
        <v>#REF!</v>
      </c>
      <c r="AJ46" s="130" t="str">
        <f>AI46*VLOOKUP('Données projet (1)'!$B$10,'Paramètres (1)'!$A$1:$I$88,3,0)*VLOOKUP('Données projet (1)'!$B$10,'Paramètres (1)'!$A$1:$I$88,5,0)</f>
        <v>#REF!</v>
      </c>
      <c r="AK46" s="130" t="str">
        <f t="shared" si="114"/>
        <v>#REF!</v>
      </c>
      <c r="AL46" s="141" t="str">
        <f t="shared" si="19"/>
        <v>#REF!</v>
      </c>
      <c r="AM46" s="133" t="str">
        <f t="shared" si="20"/>
        <v>#REF!</v>
      </c>
      <c r="AN46" s="133" t="str">
        <f t="shared" si="21"/>
        <v>#REF!</v>
      </c>
      <c r="AO46" s="133" t="str">
        <f t="shared" si="115"/>
        <v>#REF!</v>
      </c>
      <c r="AP46" s="134" t="str">
        <f t="shared" si="22"/>
        <v>#REF!</v>
      </c>
      <c r="AQ46" s="134" t="str">
        <f t="shared" si="23"/>
        <v>#REF!</v>
      </c>
      <c r="AR46" s="135" t="str">
        <f>IF(ISNA(VLOOKUP(A46,'Données projet (1)'!$A$61:$I$81,5,0)),0%,VLOOKUP(A46,'Données projet (1)'!$A$61:$I$81,5,0)*VLOOKUP('Données projet (1)'!$B$10,'Paramètres (1)'!$A$1:$I$88,7,0))</f>
        <v>#REF!</v>
      </c>
      <c r="AS46" s="135" t="str">
        <f>IF(ISNA(VLOOKUP(A46,'Données projet (1)'!$A$61:$I$81,6,0)),0%,VLOOKUP(A46,'Données projet (1)'!$A$61:$I$81,6,0)*VLOOKUP('Données projet (1)'!$B$10,'Paramètres (1)'!$A$1:$I$88,7,0))</f>
        <v>#REF!</v>
      </c>
      <c r="AT46" s="135" t="str">
        <f t="shared" si="24"/>
        <v>#REF!</v>
      </c>
      <c r="AU46" s="142" t="str">
        <f>EXP(-LN(2)/35)*AU45+(1-EXP(-LN(2)/35))/(LN(2)/35)*AQ46*AR46*VLOOKUP('Données projet (1)'!$B$10,'Paramètres (1)'!$A$1:$I$88,3,0)*0.475*44/12</f>
        <v>#REF!</v>
      </c>
      <c r="AV46" s="142" t="str">
        <f>EXP(-LN(2)/25)*AV45+(1-EXP(-LN(2)/25))/(LN(2)/25)*'Calculateur (1)'!AQ46*'Calculateur (1)'!AS46*VLOOKUP('Données projet (1)'!$B$10,'Paramètres (1)'!$A$1:$I$88,3,0)*0.475*44/12</f>
        <v>#REF!</v>
      </c>
      <c r="AW46" s="142" t="str">
        <f>EXP(-LN(2)/2)*AW45+(1-EXP(-LN(2)/2))/(LN(2)/2)*AQ46*AT46*VLOOKUP('Données projet (1)'!$B$10,'Paramètres (1)'!$A$1:$I$88,3,0)*0.475*44/12</f>
        <v>#REF!</v>
      </c>
      <c r="AX46" s="142" t="str">
        <f t="shared" si="25"/>
        <v>#REF!</v>
      </c>
      <c r="AY46" s="137" t="str">
        <f t="shared" si="26"/>
        <v>#REF!</v>
      </c>
      <c r="AZ46" s="131">
        <f t="shared" si="27"/>
        <v>10</v>
      </c>
      <c r="BA46" s="131" t="str">
        <f t="shared" si="116"/>
        <v>#REF!</v>
      </c>
      <c r="BB46" s="131" t="str">
        <f t="shared" si="28"/>
        <v>#REF!</v>
      </c>
      <c r="BC46" s="131" t="str">
        <f t="array" ref="BC46">INDEX(BB:BB,MIN(IF(ISNUMBER(BB46:BB242),ROW(BB46:BB242),"")))</f>
        <v/>
      </c>
      <c r="BD46" s="131" t="str">
        <f t="shared" si="117"/>
        <v>#REF!</v>
      </c>
      <c r="BE46" s="130" t="str">
        <f>BD46*VLOOKUP('Données projet (1)'!$B$11,'Paramètres (1)'!$A$1:$I$88,3,0)*VLOOKUP('Données projet (1)'!$B$11,'Paramètres (1)'!$A$1:$I$88,5,0)</f>
        <v>#REF!</v>
      </c>
      <c r="BF46" s="130" t="str">
        <f t="shared" si="118"/>
        <v>#REF!</v>
      </c>
      <c r="BG46" s="141" t="str">
        <f t="shared" si="29"/>
        <v>#REF!</v>
      </c>
      <c r="BH46" s="133" t="str">
        <f t="shared" si="30"/>
        <v>#REF!</v>
      </c>
      <c r="BI46" s="133" t="str">
        <f t="shared" si="31"/>
        <v>#REF!</v>
      </c>
      <c r="BJ46" s="133" t="str">
        <f t="shared" si="119"/>
        <v>#REF!</v>
      </c>
      <c r="BK46" s="134" t="str">
        <f t="shared" si="32"/>
        <v>#REF!</v>
      </c>
      <c r="BL46" s="134" t="str">
        <f t="shared" si="33"/>
        <v>#REF!</v>
      </c>
      <c r="BM46" s="135" t="str">
        <f>IF(ISNA(VLOOKUP(A46,'Données projet (1)'!$A$87:$I$107,5,0)),0%,VLOOKUP(A46,'Données projet (1)'!$A$87:$I$107,5,0)*VLOOKUP('Données projet (1)'!$B$11,'Paramètres (1)'!$A$1:$I$88,7,0))</f>
        <v>#REF!</v>
      </c>
      <c r="BN46" s="135" t="str">
        <f>IF(ISNA(VLOOKUP(A46,'Données projet (1)'!$A$87:$I$107,6,0)),0%,VLOOKUP(A46,'Données projet (1)'!$A$87:$I$107,6,0)*VLOOKUP('Données projet (1)'!$B$11,'Paramètres (1)'!$A$1:$I$88,7,0))</f>
        <v>#REF!</v>
      </c>
      <c r="BO46" s="135" t="str">
        <f t="shared" si="34"/>
        <v>#REF!</v>
      </c>
      <c r="BP46" s="142" t="str">
        <f>EXP(-LN(2)/35)*BP45+(1-EXP(-LN(2)/35))/(LN(2)/35)*BL46*BM46*VLOOKUP('Données projet (1)'!$B$11,'Paramètres (1)'!$A$1:$I$88,3,0)*0.475*44/12</f>
        <v>#REF!</v>
      </c>
      <c r="BQ46" s="142" t="str">
        <f>EXP(-LN(2)/25)*BQ45+(1-EXP(-LN(2)/25))/(LN(2)/25)*'Calculateur (1)'!BL46*'Calculateur (1)'!BN46*VLOOKUP('Données projet (1)'!$B$11,'Paramètres (1)'!$A$1:$I$88,3,0)*0.475*44/12</f>
        <v>#REF!</v>
      </c>
      <c r="BR46" s="142" t="str">
        <f>EXP(-LN(2)/2)*BR45+(1-EXP(-LN(2)/2))/(LN(2)/2)*BL46*BO46*VLOOKUP('Données projet (1)'!$B$11,'Paramètres (1)'!$A$1:$I$88,3,0)*0.475*44/12</f>
        <v>#REF!</v>
      </c>
      <c r="BS46" s="143" t="str">
        <f t="shared" si="35"/>
        <v>#REF!</v>
      </c>
      <c r="BT46" s="139" t="str">
        <f t="shared" si="36"/>
        <v>#REF!</v>
      </c>
      <c r="BU46" s="131">
        <f t="shared" si="37"/>
        <v>10</v>
      </c>
      <c r="BV46" s="131" t="str">
        <f t="shared" si="120"/>
        <v>#REF!</v>
      </c>
      <c r="BW46" s="131" t="str">
        <f t="shared" si="38"/>
        <v>#REF!</v>
      </c>
      <c r="BX46" s="131" t="str">
        <f t="array" ref="BX46">INDEX(BW:BW,MIN(IF(ISNUMBER(BW46:BW242),ROW(BW46:BW242),"")))</f>
        <v/>
      </c>
      <c r="BY46" s="131" t="str">
        <f t="shared" si="121"/>
        <v>#REF!</v>
      </c>
      <c r="BZ46" s="130" t="str">
        <f>BY46*VLOOKUP('Données projet (1)'!$B$12,'Paramètres (1)'!$A$1:$I$88,3,0)*VLOOKUP('Données projet (1)'!$B$12,'Paramètres (1)'!$A$1:$I$88,5,0)</f>
        <v>#REF!</v>
      </c>
      <c r="CA46" s="130" t="str">
        <f t="shared" si="122"/>
        <v>#REF!</v>
      </c>
      <c r="CB46" s="141" t="str">
        <f t="shared" si="39"/>
        <v>#REF!</v>
      </c>
      <c r="CC46" s="133" t="str">
        <f t="shared" si="40"/>
        <v>#REF!</v>
      </c>
      <c r="CD46" s="133" t="str">
        <f t="shared" si="41"/>
        <v>#REF!</v>
      </c>
      <c r="CE46" s="133" t="str">
        <f t="shared" si="123"/>
        <v>#REF!</v>
      </c>
      <c r="CF46" s="134" t="str">
        <f t="shared" si="42"/>
        <v>#REF!</v>
      </c>
      <c r="CG46" s="134" t="str">
        <f t="shared" si="43"/>
        <v>#REF!</v>
      </c>
      <c r="CH46" s="135" t="str">
        <f>IF(ISNA(VLOOKUP(A46,'Données projet (1)'!$A$113:$I$133,5,0)),0%,VLOOKUP(A46,'Données projet (1)'!$A$113:$I$133,5,0)*VLOOKUP('Données projet (1)'!$B$12,'Paramètres (1)'!$A$1:$I$88,7,0))</f>
        <v>#REF!</v>
      </c>
      <c r="CI46" s="135" t="str">
        <f>IF(ISNA(VLOOKUP(A46,'Données projet (1)'!$A$113:$I$133,6,0)),0%,VLOOKUP(A46,'Données projet (1)'!$A$113:$I$133,6,0)*VLOOKUP('Données projet (1)'!$B$12,'Paramètres (1)'!$A$1:$I$88,7,0))</f>
        <v>#REF!</v>
      </c>
      <c r="CJ46" s="135" t="str">
        <f t="shared" si="44"/>
        <v>#REF!</v>
      </c>
      <c r="CK46" s="142" t="str">
        <f>EXP(-LN(2)/35)*CK45+(1-EXP(-LN(2)/35))/(LN(2)/35)*CG46*CH46*VLOOKUP('Données projet (1)'!$B$12,'Paramètres (1)'!$A$1:$I$88,3,0)*0.475*44/12</f>
        <v>#REF!</v>
      </c>
      <c r="CL46" s="142" t="str">
        <f>EXP(-LN(2)/25)*CL45+(1-EXP(-LN(2)/25))/(LN(2)/25)*'Calculateur (1)'!CG46*'Calculateur (1)'!CI46*VLOOKUP('Données projet (1)'!$B$12,'Paramètres (1)'!$A$1:$I$88,3,0)*0.475*44/12</f>
        <v>#REF!</v>
      </c>
      <c r="CM46" s="142" t="str">
        <f>EXP(-LN(2)/2)*CM45+(1-EXP(-LN(2)/2))/(LN(2)/2)*CG46*CJ46*VLOOKUP('Données projet (1)'!$B$12,'Paramètres (1)'!$A$1:$I$88,3,0)*0.475*44/12</f>
        <v>#REF!</v>
      </c>
      <c r="CN46" s="143" t="str">
        <f t="shared" si="45"/>
        <v>#REF!</v>
      </c>
      <c r="CO46" s="139" t="str">
        <f t="shared" si="46"/>
        <v>#REF!</v>
      </c>
      <c r="CP46" s="131">
        <f t="shared" si="47"/>
        <v>10</v>
      </c>
      <c r="CQ46" s="131" t="str">
        <f t="shared" si="124"/>
        <v>#REF!</v>
      </c>
      <c r="CR46" s="131" t="str">
        <f t="shared" si="48"/>
        <v>#REF!</v>
      </c>
      <c r="CS46" s="131" t="str">
        <f t="array" ref="CS46">INDEX(CR:CR,MIN(IF(ISNUMBER(CR46:CR242),ROW(CR46:CR242),"")))</f>
        <v/>
      </c>
      <c r="CT46" s="131" t="str">
        <f t="shared" si="125"/>
        <v>#REF!</v>
      </c>
      <c r="CU46" s="138" t="str">
        <f>CT46*VLOOKUP('Données projet (1)'!$B$13,'Paramètres (1)'!$A$1:$I$88,3,0)*VLOOKUP('Données projet (1)'!$B$13,'Paramètres (1)'!$A$1:$I$88,5,0)</f>
        <v>#REF!</v>
      </c>
      <c r="CV46" s="130" t="str">
        <f t="shared" si="126"/>
        <v>#REF!</v>
      </c>
      <c r="CW46" s="141" t="str">
        <f t="shared" si="49"/>
        <v>#REF!</v>
      </c>
      <c r="CX46" s="133" t="str">
        <f t="shared" si="50"/>
        <v>#REF!</v>
      </c>
      <c r="CY46" s="133" t="str">
        <f t="shared" si="51"/>
        <v>#REF!</v>
      </c>
      <c r="CZ46" s="133" t="str">
        <f t="shared" si="127"/>
        <v>#REF!</v>
      </c>
      <c r="DA46" s="134" t="str">
        <f t="shared" si="52"/>
        <v>#REF!</v>
      </c>
      <c r="DB46" s="134" t="str">
        <f t="shared" si="53"/>
        <v>#REF!</v>
      </c>
      <c r="DC46" s="135" t="str">
        <f>IF(ISNA(VLOOKUP(A46,'Données projet (1)'!$A$139:$I$159,5,0)),0%,VLOOKUP(A46,'Données projet (1)'!$A$139:$I$159,5,0)*VLOOKUP('Données projet (1)'!$B$13,'Paramètres (1)'!$A$1:$I$88,7,0))</f>
        <v>#REF!</v>
      </c>
      <c r="DD46" s="135" t="str">
        <f>IF(ISNA(VLOOKUP(A46,'Données projet (1)'!$A$139:$I$159,6,0)),0%,VLOOKUP(A46,'Données projet (1)'!$A$139:$I$159,6,0)*VLOOKUP('Données projet (1)'!$B$13,'Paramètres (1)'!$A$1:$I$88,7,0))</f>
        <v>#REF!</v>
      </c>
      <c r="DE46" s="135" t="str">
        <f t="shared" si="54"/>
        <v>#REF!</v>
      </c>
      <c r="DF46" s="142" t="str">
        <f>EXP(-LN(2)/35)*DF45+(1-EXP(-LN(2)/35))/(LN(2)/35)*DB46*DC46*VLOOKUP('Données projet (1)'!$B$13,'Paramètres (1)'!$A$1:$I$88,3,0)*0.475*44/12</f>
        <v>#REF!</v>
      </c>
      <c r="DG46" s="142" t="str">
        <f>EXP(-LN(2)/25)*DG45+(1-EXP(-LN(2)/25))/(LN(2)/25)*'Calculateur (1)'!DB46*'Calculateur (1)'!DD46*VLOOKUP('Données projet (1)'!$B$13,'Paramètres (1)'!$A$1:$I$88,3,0)*0.475*44/12</f>
        <v>#REF!</v>
      </c>
      <c r="DH46" s="142" t="str">
        <f>EXP(-LN(2)/2)*DH45+(1-EXP(-LN(2)/2))/(LN(2)/2)*DB46*DE46*VLOOKUP('Données projet (1)'!$B$13,'Paramètres (1)'!$A$1:$I$88,3,0)*0.475*44/12</f>
        <v>#REF!</v>
      </c>
      <c r="DI46" s="143" t="str">
        <f t="shared" si="55"/>
        <v>#REF!</v>
      </c>
      <c r="DJ46" s="139" t="str">
        <f t="shared" si="56"/>
        <v>#REF!</v>
      </c>
      <c r="DK46" s="131">
        <f t="shared" si="57"/>
        <v>10</v>
      </c>
      <c r="DL46" s="131" t="str">
        <f t="shared" si="128"/>
        <v>#REF!</v>
      </c>
      <c r="DM46" s="131" t="str">
        <f t="shared" si="58"/>
        <v>#REF!</v>
      </c>
      <c r="DN46" s="131" t="str">
        <f t="array" ref="DN46">INDEX(DM:DM,MIN(IF(ISNUMBER(DM46:DM242),ROW(DM46:DM242),"")))</f>
        <v/>
      </c>
      <c r="DO46" s="131" t="str">
        <f t="shared" si="129"/>
        <v>#REF!</v>
      </c>
      <c r="DP46" s="138" t="str">
        <f>DO46*VLOOKUP('Données projet (1)'!$B$14,'Paramètres (1)'!$A$1:$I$88,3,0)*VLOOKUP('Données projet (1)'!$B$14,'Paramètres (1)'!$A$1:$I$88,5,0)</f>
        <v>#REF!</v>
      </c>
      <c r="DQ46" s="130" t="str">
        <f t="shared" si="130"/>
        <v>#REF!</v>
      </c>
      <c r="DR46" s="141" t="str">
        <f t="shared" si="59"/>
        <v>#REF!</v>
      </c>
      <c r="DS46" s="133" t="str">
        <f t="shared" si="60"/>
        <v>#REF!</v>
      </c>
      <c r="DT46" s="133" t="str">
        <f t="shared" si="61"/>
        <v>#REF!</v>
      </c>
      <c r="DU46" s="133" t="str">
        <f t="shared" si="131"/>
        <v>#REF!</v>
      </c>
      <c r="DV46" s="134" t="str">
        <f t="shared" si="62"/>
        <v>#REF!</v>
      </c>
      <c r="DW46" s="134" t="str">
        <f t="shared" si="63"/>
        <v>#REF!</v>
      </c>
      <c r="DX46" s="135" t="str">
        <f>IF(ISNA(VLOOKUP(A46,'Données projet (1)'!$A$165:$I$185,5,0)),0%,VLOOKUP(A46,'Données projet (1)'!$A$165:$I$185,5,0)*VLOOKUP('Données projet (1)'!$B$14,'Paramètres (1)'!$A$1:$I$88,7,0))</f>
        <v>#REF!</v>
      </c>
      <c r="DY46" s="135" t="str">
        <f>IF(ISNA(VLOOKUP(A46,'Données projet (1)'!$A$165:$I$185,6,0)),0%,VLOOKUP(A46,'Données projet (1)'!$A$165:$I$185,6,0)*VLOOKUP('Données projet (1)'!$B$14,'Paramètres (1)'!$A$1:$I$88,7,0))</f>
        <v>#REF!</v>
      </c>
      <c r="DZ46" s="135" t="str">
        <f t="shared" si="64"/>
        <v>#REF!</v>
      </c>
      <c r="EA46" s="142" t="str">
        <f>EXP(-LN(2)/35)*EA45+(1-EXP(-LN(2)/35))/(LN(2)/35)*DW46*DX46*VLOOKUP('Données projet (1)'!$B$14,'Paramètres (1)'!$A$1:$I$88,3,0)*0.475*44/12</f>
        <v>#REF!</v>
      </c>
      <c r="EB46" s="142" t="str">
        <f>EXP(-LN(2)/25)*EB45+(1-EXP(-LN(2)/25))/(LN(2)/25)*'Calculateur (1)'!DW46*'Calculateur (1)'!DY46*VLOOKUP('Données projet (1)'!$B$14,'Paramètres (1)'!$A$1:$I$88,3,0)*0.475*44/12</f>
        <v>#REF!</v>
      </c>
      <c r="EC46" s="142" t="str">
        <f>EXP(-LN(2)/2)*EC45+(1-EXP(-LN(2)/2))/(LN(2)/2)*DW46*DZ46*VLOOKUP('Données projet (1)'!$B$14,'Paramètres (1)'!$A$1:$I$88,3,0)*0.475*44/12</f>
        <v>#REF!</v>
      </c>
      <c r="ED46" s="143" t="str">
        <f t="shared" si="65"/>
        <v>#REF!</v>
      </c>
      <c r="EE46" s="139" t="str">
        <f t="shared" si="66"/>
        <v>#REF!</v>
      </c>
      <c r="EF46" s="131">
        <f t="shared" si="67"/>
        <v>10</v>
      </c>
      <c r="EG46" s="131" t="str">
        <f t="shared" si="132"/>
        <v>#REF!</v>
      </c>
      <c r="EH46" s="131" t="str">
        <f t="shared" si="68"/>
        <v>#REF!</v>
      </c>
      <c r="EI46" s="131" t="str">
        <f t="array" ref="EI46">INDEX(EH:EH,MIN(IF(ISNUMBER(EH46:EH242),ROW(EH46:EH242),"")))</f>
        <v/>
      </c>
      <c r="EJ46" s="131" t="str">
        <f t="shared" si="133"/>
        <v>#REF!</v>
      </c>
      <c r="EK46" s="138" t="str">
        <f>EJ46*VLOOKUP('Données projet (1)'!$B$15,'Paramètres (1)'!$A$1:$I$88,3,0)*VLOOKUP('Données projet (1)'!$B$15,'Paramètres (1)'!$A$1:$I$88,5,0)</f>
        <v>#REF!</v>
      </c>
      <c r="EL46" s="130" t="str">
        <f t="shared" si="134"/>
        <v>#REF!</v>
      </c>
      <c r="EM46" s="141" t="str">
        <f t="shared" si="69"/>
        <v>#REF!</v>
      </c>
      <c r="EN46" s="133" t="str">
        <f t="shared" si="70"/>
        <v>#REF!</v>
      </c>
      <c r="EO46" s="133" t="str">
        <f t="shared" si="71"/>
        <v>#REF!</v>
      </c>
      <c r="EP46" s="133" t="str">
        <f t="shared" si="135"/>
        <v>#REF!</v>
      </c>
      <c r="EQ46" s="134" t="str">
        <f t="shared" si="72"/>
        <v>#REF!</v>
      </c>
      <c r="ER46" s="134" t="str">
        <f t="shared" si="73"/>
        <v>#REF!</v>
      </c>
      <c r="ES46" s="135" t="str">
        <f>IF(ISNA(VLOOKUP(A46,'Données projet (1)'!$A$191:$I$211,5,0)),0%,VLOOKUP(A46,'Données projet (1)'!$A$191:$I$211,5,0)*VLOOKUP('Données projet (1)'!$B$15,'Paramètres (1)'!$A$1:$I$88,7,0))</f>
        <v>#REF!</v>
      </c>
      <c r="ET46" s="135" t="str">
        <f>IF(ISNA(VLOOKUP(A46,'Données projet (1)'!$A$191:$I$211,6,0)),0%,VLOOKUP(A46,'Données projet (1)'!$A$191:$I$211,6,0)*VLOOKUP('Données projet (1)'!$B$15,'Paramètres (1)'!$A$1:$I$88,7,0))</f>
        <v>#REF!</v>
      </c>
      <c r="EU46" s="135" t="str">
        <f t="shared" si="74"/>
        <v>#REF!</v>
      </c>
      <c r="EV46" s="142" t="str">
        <f>EXP(-LN(2)/35)*EV45+(1-EXP(-LN(2)/35))/(LN(2)/35)*ER46*ES46*VLOOKUP('Données projet (1)'!$B$15,'Paramètres (1)'!$A$1:$I$88,3,0)*0.475*44/12</f>
        <v>#REF!</v>
      </c>
      <c r="EW46" s="142" t="str">
        <f>EXP(-LN(2)/25)*EW45+(1-EXP(-LN(2)/25))/(LN(2)/25)*'Calculateur (1)'!ER46*'Calculateur (1)'!ET46*VLOOKUP('Données projet (1)'!$B$15,'Paramètres (1)'!$A$1:$I$88,3,0)*0.475*44/12</f>
        <v>#REF!</v>
      </c>
      <c r="EX46" s="142" t="str">
        <f>EXP(-LN(2)/2)*EX45+(1-EXP(-LN(2)/2))/(LN(2)/2)*ER46*EU46*VLOOKUP('Données projet (1)'!$B$15,'Paramètres (1)'!$A$1:$I$88,3,0)*0.475*44/12</f>
        <v>#REF!</v>
      </c>
      <c r="EY46" s="143" t="str">
        <f t="shared" si="75"/>
        <v>#REF!</v>
      </c>
      <c r="EZ46" s="139" t="str">
        <f t="shared" si="76"/>
        <v>#REF!</v>
      </c>
      <c r="FA46" s="131">
        <f t="shared" si="77"/>
        <v>10</v>
      </c>
      <c r="FB46" s="131" t="str">
        <f t="shared" si="136"/>
        <v>#REF!</v>
      </c>
      <c r="FC46" s="131" t="str">
        <f t="shared" si="78"/>
        <v>#REF!</v>
      </c>
      <c r="FD46" s="131" t="str">
        <f t="array" ref="FD46">INDEX(FC:FC,MIN(IF(ISNUMBER(FC46:FC242),ROW(FC46:FC242),"")))</f>
        <v/>
      </c>
      <c r="FE46" s="131" t="str">
        <f t="shared" si="137"/>
        <v>#REF!</v>
      </c>
      <c r="FF46" s="138" t="str">
        <f>FE46*VLOOKUP('Données projet (1)'!$B$16,'Paramètres (1)'!$A$1:$I$88,3,0)*VLOOKUP('Données projet (1)'!$B$16,'Paramètres (1)'!$A$1:$I$88,5,0)</f>
        <v>#REF!</v>
      </c>
      <c r="FG46" s="130" t="str">
        <f t="shared" si="138"/>
        <v>#REF!</v>
      </c>
      <c r="FH46" s="141" t="str">
        <f t="shared" si="79"/>
        <v>#REF!</v>
      </c>
      <c r="FI46" s="133" t="str">
        <f t="shared" si="80"/>
        <v>#REF!</v>
      </c>
      <c r="FJ46" s="133" t="str">
        <f t="shared" si="81"/>
        <v>#REF!</v>
      </c>
      <c r="FK46" s="133" t="str">
        <f t="shared" si="139"/>
        <v>#REF!</v>
      </c>
      <c r="FL46" s="134" t="str">
        <f t="shared" si="82"/>
        <v>#REF!</v>
      </c>
      <c r="FM46" s="134" t="str">
        <f t="shared" si="83"/>
        <v>#REF!</v>
      </c>
      <c r="FN46" s="135" t="str">
        <f>IF(ISNA(VLOOKUP(A46,'Données projet (1)'!$A$217:$I$237,5,0)),0%,VLOOKUP(A46,'Données projet (1)'!$A$217:$I$237,5,0)*VLOOKUP('Données projet (1)'!$B$16,'Paramètres (1)'!$A$1:$I$88,7,0))</f>
        <v>#REF!</v>
      </c>
      <c r="FO46" s="135" t="str">
        <f>IF(ISNA(VLOOKUP(A46,'Données projet (1)'!$A$217:$I$237,6,0)),0%,VLOOKUP(A46,'Données projet (1)'!$A$217:$I$237,6,0)*VLOOKUP('Données projet (1)'!$B$16,'Paramètres (1)'!$A$1:$I$88,7,0))</f>
        <v>#REF!</v>
      </c>
      <c r="FP46" s="135" t="str">
        <f t="shared" si="84"/>
        <v>#REF!</v>
      </c>
      <c r="FQ46" s="142" t="str">
        <f>EXP(-LN(2)/35)*FQ45+(1-EXP(-LN(2)/35))/(LN(2)/35)*FM46*FN46*VLOOKUP('Données projet (1)'!$B$16,'Paramètres (1)'!$A$1:$I$88,3,0)*0.475*44/12</f>
        <v>#REF!</v>
      </c>
      <c r="FR46" s="142" t="str">
        <f>EXP(-LN(2)/25)*FR45+(1-EXP(-LN(2)/25))/(LN(2)/25)*'Calculateur (1)'!FM46*'Calculateur (1)'!FO46*VLOOKUP('Données projet (1)'!$B$16,'Paramètres (1)'!$A$1:$I$88,3,0)*0.475*44/12</f>
        <v>#REF!</v>
      </c>
      <c r="FS46" s="142" t="str">
        <f>EXP(-LN(2)/2)*FS45+(1-EXP(-LN(2)/2))/(LN(2)/2)*FM46*FP46*VLOOKUP('Données projet (1)'!$B$16,'Paramètres (1)'!$A$1:$I$88,3,0)*0.475*44/12</f>
        <v>#REF!</v>
      </c>
      <c r="FT46" s="143" t="str">
        <f t="shared" si="85"/>
        <v>#REF!</v>
      </c>
      <c r="FU46" s="139" t="str">
        <f t="shared" si="86"/>
        <v>#REF!</v>
      </c>
      <c r="FV46" s="131">
        <f t="shared" si="87"/>
        <v>10</v>
      </c>
      <c r="FW46" s="131" t="str">
        <f t="shared" si="140"/>
        <v>#REF!</v>
      </c>
      <c r="FX46" s="131" t="str">
        <f t="shared" si="88"/>
        <v>#REF!</v>
      </c>
      <c r="FY46" s="131" t="str">
        <f t="array" ref="FY46">INDEX(FX:FX,MIN(IF(ISNUMBER(FX46:FX242),ROW(FX46:FX242),"")))</f>
        <v/>
      </c>
      <c r="FZ46" s="131" t="str">
        <f t="shared" si="141"/>
        <v>#REF!</v>
      </c>
      <c r="GA46" s="138" t="str">
        <f>FZ46*VLOOKUP('Données projet (1)'!$B$17,'Paramètres (1)'!$A$1:$I$88,3,0)*VLOOKUP('Données projet (1)'!$B$17,'Paramètres (1)'!$A$1:$I$88,5,0)</f>
        <v>#REF!</v>
      </c>
      <c r="GB46" s="130" t="str">
        <f t="shared" si="142"/>
        <v>#REF!</v>
      </c>
      <c r="GC46" s="141" t="str">
        <f t="shared" si="89"/>
        <v>#REF!</v>
      </c>
      <c r="GD46" s="133" t="str">
        <f t="shared" si="90"/>
        <v>#REF!</v>
      </c>
      <c r="GE46" s="133" t="str">
        <f t="shared" si="91"/>
        <v>#REF!</v>
      </c>
      <c r="GF46" s="133" t="str">
        <f t="shared" si="143"/>
        <v>#REF!</v>
      </c>
      <c r="GG46" s="134" t="str">
        <f t="shared" si="92"/>
        <v>#REF!</v>
      </c>
      <c r="GH46" s="134" t="str">
        <f t="shared" si="93"/>
        <v>#REF!</v>
      </c>
      <c r="GI46" s="135" t="str">
        <f>IF(ISNA(VLOOKUP(A46,'Données projet (1)'!$A$243:$I$263,5,0)),0%,VLOOKUP(A46,'Données projet (1)'!$A$243:$I$263,5,0)*VLOOKUP('Données projet (1)'!$B$17,'Paramètres (1)'!$A$1:$I$88,7,0))</f>
        <v>#REF!</v>
      </c>
      <c r="GJ46" s="135" t="str">
        <f>IF(ISNA(VLOOKUP(A46,'Données projet (1)'!$A$243:$I$263,6,0)),0%,VLOOKUP(A46,'Données projet (1)'!$A$243:$I$263,6,0)*VLOOKUP('Données projet (1)'!$B$17,'Paramètres (1)'!$A$1:$I$88,7,0))</f>
        <v>#REF!</v>
      </c>
      <c r="GK46" s="135" t="str">
        <f t="shared" si="94"/>
        <v>#REF!</v>
      </c>
      <c r="GL46" s="142" t="str">
        <f>EXP(-LN(2)/35)*GL45+(1-EXP(-LN(2)/35))/(LN(2)/35)*GH46*GI46*VLOOKUP('Données projet (1)'!$B$17,'Paramètres (1)'!$A$1:$I$88,3,0)*0.475*44/12</f>
        <v>#REF!</v>
      </c>
      <c r="GM46" s="142" t="str">
        <f>EXP(-LN(2)/25)*GM45+(1-EXP(-LN(2)/25))/(LN(2)/25)*'Calculateur (1)'!GH46*'Calculateur (1)'!GJ46*VLOOKUP('Données projet (1)'!$B$17,'Paramètres (1)'!$A$1:$I$88,3,0)*0.475*44/12</f>
        <v>#REF!</v>
      </c>
      <c r="GN46" s="142" t="str">
        <f>EXP(-LN(2)/2)*GN45+(1-EXP(-LN(2)/2))/(LN(2)/2)*GH46*GK46*VLOOKUP('Données projet (1)'!$B$17,'Paramètres (1)'!$A$1:$I$88,3,0)*0.475*44/12</f>
        <v>#REF!</v>
      </c>
      <c r="GO46" s="142" t="str">
        <f t="shared" si="95"/>
        <v>#REF!</v>
      </c>
      <c r="GP46" s="139" t="str">
        <f t="shared" si="96"/>
        <v>#REF!</v>
      </c>
      <c r="GQ46" s="131">
        <f t="shared" si="97"/>
        <v>10</v>
      </c>
      <c r="GR46" s="131" t="str">
        <f t="shared" si="144"/>
        <v>#REF!</v>
      </c>
      <c r="GS46" s="131" t="str">
        <f t="shared" si="98"/>
        <v>#REF!</v>
      </c>
      <c r="GT46" s="131" t="str">
        <f t="array" ref="GT46">INDEX(GS:GS,MIN(IF(ISNUMBER(GS46:GS242),ROW(GS46:GS242),"")))</f>
        <v/>
      </c>
      <c r="GU46" s="131" t="str">
        <f t="shared" si="145"/>
        <v>#REF!</v>
      </c>
      <c r="GV46" s="138" t="str">
        <f>GU46*VLOOKUP('Données projet (1)'!$B$18,'Paramètres (1)'!$A$1:$I$88,3,0)*VLOOKUP('Données projet (1)'!$B$18,'Paramètres (1)'!$A$1:$I$88,5,0)</f>
        <v>#REF!</v>
      </c>
      <c r="GW46" s="130" t="str">
        <f t="shared" si="146"/>
        <v>#REF!</v>
      </c>
      <c r="GX46" s="141" t="str">
        <f t="shared" si="99"/>
        <v>#REF!</v>
      </c>
      <c r="GY46" s="133" t="str">
        <f t="shared" si="100"/>
        <v>#REF!</v>
      </c>
      <c r="GZ46" s="133" t="str">
        <f t="shared" si="101"/>
        <v>#REF!</v>
      </c>
      <c r="HA46" s="133" t="str">
        <f t="shared" si="147"/>
        <v>#REF!</v>
      </c>
      <c r="HB46" s="134" t="str">
        <f t="shared" si="102"/>
        <v>#REF!</v>
      </c>
      <c r="HC46" s="134" t="str">
        <f t="shared" si="103"/>
        <v>#REF!</v>
      </c>
      <c r="HD46" s="135" t="str">
        <f>IF(ISNA(VLOOKUP(A46,'Données projet (1)'!$A$269:$I$289,5,0)),0%,VLOOKUP(A46,'Données projet (1)'!$A$269:$I$289,5,0)*VLOOKUP('Données projet (1)'!$B$18,'Paramètres (1)'!$A$1:$I$88,7,0))</f>
        <v>#REF!</v>
      </c>
      <c r="HE46" s="135" t="str">
        <f>IF(ISNA(VLOOKUP(A46,'Données projet (1)'!$A$269:$I$289,6,0)),0%,VLOOKUP(A46,'Données projet (1)'!$A$269:$I$289,6,0)*VLOOKUP('Données projet (1)'!$B$18,'Paramètres (1)'!$A$1:$I$88,7,0))</f>
        <v>#REF!</v>
      </c>
      <c r="HF46" s="135" t="str">
        <f t="shared" si="104"/>
        <v>#REF!</v>
      </c>
      <c r="HG46" s="142" t="str">
        <f>EXP(-LN(2)/35)*HG45+(1-EXP(-LN(2)/35))/(LN(2)/35)*HC46*HD46*VLOOKUP('Données projet (1)'!$B$18,'Paramètres (1)'!$A$1:$I$88,3,0)*0.475*44/12</f>
        <v>#REF!</v>
      </c>
      <c r="HH46" s="142" t="str">
        <f>EXP(-LN(2)/25)*HH45+(1-EXP(-LN(2)/25))/(LN(2)/25)*'Calculateur (1)'!HC46*'Calculateur (1)'!HE46*VLOOKUP('Données projet (1)'!$B$18,'Paramètres (1)'!$A$1:$I$88,3,0)*0.475*44/12</f>
        <v>#REF!</v>
      </c>
      <c r="HI46" s="142" t="str">
        <f>EXP(-LN(2)/2)*HI45+(1-EXP(-LN(2)/2))/(LN(2)/2)*HC46*HF46*VLOOKUP('Données projet (1)'!$B$18,'Paramètres (1)'!$A$1:$I$88,3,0)*0.475*44/12</f>
        <v>#REF!</v>
      </c>
      <c r="HJ46" s="143" t="str">
        <f t="shared" si="105"/>
        <v>#REF!</v>
      </c>
    </row>
    <row r="47" ht="14.25" customHeight="1">
      <c r="A47" s="125">
        <f t="shared" si="106"/>
        <v>44</v>
      </c>
      <c r="B47" s="126" t="str">
        <f t="shared" si="1"/>
        <v>#REF!</v>
      </c>
      <c r="C47" s="140" t="str">
        <f>'Calculateur (1)'!C46+'Scénario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7" s="127">
        <f t="shared" si="107"/>
        <v>0</v>
      </c>
      <c r="E47" s="127" t="str">
        <f t="shared" si="2"/>
        <v>#REF!</v>
      </c>
      <c r="F47" s="127" t="str">
        <f t="shared" si="3"/>
        <v>#REF!</v>
      </c>
      <c r="G47" s="127" t="str">
        <f t="shared" si="4"/>
        <v>#REF!</v>
      </c>
      <c r="H47" s="128" t="str">
        <f t="shared" si="5"/>
        <v>#REF!</v>
      </c>
      <c r="I47" s="129" t="str">
        <f t="shared" si="6"/>
        <v>#REF!</v>
      </c>
      <c r="J47" s="130">
        <f t="shared" si="7"/>
        <v>10</v>
      </c>
      <c r="K47" s="131" t="str">
        <f t="shared" si="108"/>
        <v>#REF!</v>
      </c>
      <c r="L47" s="131" t="str">
        <f t="shared" si="8"/>
        <v>#REF!</v>
      </c>
      <c r="M47" s="131" t="str">
        <f t="array" ref="M47">INDEX(L:L,MIN(IF(ISNUMBER(L47:L243),ROW(L47:L243),"")))</f>
        <v/>
      </c>
      <c r="N47" s="130" t="str">
        <f t="shared" si="109"/>
        <v>#REF!</v>
      </c>
      <c r="O47" s="130" t="str">
        <f>N47*VLOOKUP('Données projet (1)'!$B$9,'Paramètres (1)'!$A$1:$I$88,3,0)*VLOOKUP('Données projet (1)'!$B$9,'Paramètres (1)'!$A$1:$I$88,5,0)</f>
        <v>#REF!</v>
      </c>
      <c r="P47" s="130" t="str">
        <f t="shared" si="110"/>
        <v>#REF!</v>
      </c>
      <c r="Q47" s="141" t="str">
        <f t="shared" si="9"/>
        <v>#REF!</v>
      </c>
      <c r="R47" s="133" t="str">
        <f t="shared" si="10"/>
        <v>#REF!</v>
      </c>
      <c r="S47" s="133" t="str">
        <f t="shared" si="11"/>
        <v>#REF!</v>
      </c>
      <c r="T47" s="133" t="str">
        <f t="shared" si="111"/>
        <v>#REF!</v>
      </c>
      <c r="U47" s="134" t="str">
        <f t="shared" si="12"/>
        <v>#REF!</v>
      </c>
      <c r="V47" s="134" t="str">
        <f t="shared" si="13"/>
        <v>#REF!</v>
      </c>
      <c r="W47" s="135" t="str">
        <f>IF(ISNA(VLOOKUP(A47,'Données projet (1)'!$A$35:$I$55,5,0)),0%,VLOOKUP(A47,'Données projet (1)'!$A$35:$I$55,5,0)*VLOOKUP('Données projet (1)'!$B$9,'Paramètres (1)'!$A$1:$I$88,7,0))</f>
        <v>#REF!</v>
      </c>
      <c r="X47" s="135" t="str">
        <f>IF(ISNA(VLOOKUP(A47,'Données projet (1)'!$A$35:$I$55,6,0)),0%,VLOOKUP(A47,'Données projet (1)'!$A$35:$I$55,6,0)*VLOOKUP('Données projet (1)'!$B$9,'Paramètres (1)'!$A$1:$I$88,7,0))</f>
        <v>#REF!</v>
      </c>
      <c r="Y47" s="135" t="str">
        <f t="shared" si="14"/>
        <v>#REF!</v>
      </c>
      <c r="Z47" s="142" t="str">
        <f>EXP(-LN(2)/35)*Z46+(1-EXP(-LN(2)/35))/(LN(2)/35)*V47*W47*VLOOKUP('Données projet (1)'!$B$9,'Paramètres (1)'!$A$1:$I$88,3,0)*0.475*44/12</f>
        <v>#REF!</v>
      </c>
      <c r="AA47" s="142" t="str">
        <f>EXP(-LN(2)/25)*AA46+(1-EXP(-LN(2)/25))/(LN(2)/25)*'Calculateur (1)'!V47*'Calculateur (1)'!X47*VLOOKUP('Données projet (1)'!$B$9,'Paramètres (1)'!$A$1:$I$88,3,0)*0.475*44/12</f>
        <v>#REF!</v>
      </c>
      <c r="AB47" s="142" t="str">
        <f>EXP(-LN(2)/2)*AB46+(1-EXP(-LN(2)/2))/(LN(2)/2)*V47*Y47*VLOOKUP('Données projet (1)'!$B$9,'Paramètres (1)'!$A$1:$I$88,3,0)*0.475*44/12</f>
        <v>#REF!</v>
      </c>
      <c r="AC47" s="143" t="str">
        <f t="shared" si="15"/>
        <v>#REF!</v>
      </c>
      <c r="AD47" s="130" t="str">
        <f t="shared" si="16"/>
        <v>#REF!</v>
      </c>
      <c r="AE47" s="130">
        <f t="shared" si="17"/>
        <v>10</v>
      </c>
      <c r="AF47" s="131" t="str">
        <f t="shared" si="112"/>
        <v>#REF!</v>
      </c>
      <c r="AG47" s="131" t="str">
        <f t="shared" si="18"/>
        <v>#REF!</v>
      </c>
      <c r="AH47" s="131" t="str">
        <f t="array" ref="AH47">INDEX(AG:AG,MIN(IF(ISNUMBER(AG47:AG243),ROW(AG47:AG243),"")))</f>
        <v/>
      </c>
      <c r="AI47" s="130" t="str">
        <f t="shared" si="113"/>
        <v>#REF!</v>
      </c>
      <c r="AJ47" s="130" t="str">
        <f>AI47*VLOOKUP('Données projet (1)'!$B$10,'Paramètres (1)'!$A$1:$I$88,3,0)*VLOOKUP('Données projet (1)'!$B$10,'Paramètres (1)'!$A$1:$I$88,5,0)</f>
        <v>#REF!</v>
      </c>
      <c r="AK47" s="130" t="str">
        <f t="shared" si="114"/>
        <v>#REF!</v>
      </c>
      <c r="AL47" s="141" t="str">
        <f t="shared" si="19"/>
        <v>#REF!</v>
      </c>
      <c r="AM47" s="133" t="str">
        <f t="shared" si="20"/>
        <v>#REF!</v>
      </c>
      <c r="AN47" s="133" t="str">
        <f t="shared" si="21"/>
        <v>#REF!</v>
      </c>
      <c r="AO47" s="133" t="str">
        <f t="shared" si="115"/>
        <v>#REF!</v>
      </c>
      <c r="AP47" s="134" t="str">
        <f t="shared" si="22"/>
        <v>#REF!</v>
      </c>
      <c r="AQ47" s="134" t="str">
        <f t="shared" si="23"/>
        <v>#REF!</v>
      </c>
      <c r="AR47" s="135" t="str">
        <f>IF(ISNA(VLOOKUP(A47,'Données projet (1)'!$A$61:$I$81,5,0)),0%,VLOOKUP(A47,'Données projet (1)'!$A$61:$I$81,5,0)*VLOOKUP('Données projet (1)'!$B$10,'Paramètres (1)'!$A$1:$I$88,7,0))</f>
        <v>#REF!</v>
      </c>
      <c r="AS47" s="135" t="str">
        <f>IF(ISNA(VLOOKUP(A47,'Données projet (1)'!$A$61:$I$81,6,0)),0%,VLOOKUP(A47,'Données projet (1)'!$A$61:$I$81,6,0)*VLOOKUP('Données projet (1)'!$B$10,'Paramètres (1)'!$A$1:$I$88,7,0))</f>
        <v>#REF!</v>
      </c>
      <c r="AT47" s="135" t="str">
        <f t="shared" si="24"/>
        <v>#REF!</v>
      </c>
      <c r="AU47" s="142" t="str">
        <f>EXP(-LN(2)/35)*AU46+(1-EXP(-LN(2)/35))/(LN(2)/35)*AQ47*AR47*VLOOKUP('Données projet (1)'!$B$10,'Paramètres (1)'!$A$1:$I$88,3,0)*0.475*44/12</f>
        <v>#REF!</v>
      </c>
      <c r="AV47" s="142" t="str">
        <f>EXP(-LN(2)/25)*AV46+(1-EXP(-LN(2)/25))/(LN(2)/25)*'Calculateur (1)'!AQ47*'Calculateur (1)'!AS47*VLOOKUP('Données projet (1)'!$B$10,'Paramètres (1)'!$A$1:$I$88,3,0)*0.475*44/12</f>
        <v>#REF!</v>
      </c>
      <c r="AW47" s="142" t="str">
        <f>EXP(-LN(2)/2)*AW46+(1-EXP(-LN(2)/2))/(LN(2)/2)*AQ47*AT47*VLOOKUP('Données projet (1)'!$B$10,'Paramètres (1)'!$A$1:$I$88,3,0)*0.475*44/12</f>
        <v>#REF!</v>
      </c>
      <c r="AX47" s="142" t="str">
        <f t="shared" si="25"/>
        <v>#REF!</v>
      </c>
      <c r="AY47" s="137" t="str">
        <f t="shared" si="26"/>
        <v>#REF!</v>
      </c>
      <c r="AZ47" s="131">
        <f t="shared" si="27"/>
        <v>10</v>
      </c>
      <c r="BA47" s="131" t="str">
        <f t="shared" si="116"/>
        <v>#REF!</v>
      </c>
      <c r="BB47" s="131" t="str">
        <f t="shared" si="28"/>
        <v>#REF!</v>
      </c>
      <c r="BC47" s="131" t="str">
        <f t="array" ref="BC47">INDEX(BB:BB,MIN(IF(ISNUMBER(BB47:BB243),ROW(BB47:BB243),"")))</f>
        <v/>
      </c>
      <c r="BD47" s="131" t="str">
        <f t="shared" si="117"/>
        <v>#REF!</v>
      </c>
      <c r="BE47" s="130" t="str">
        <f>BD47*VLOOKUP('Données projet (1)'!$B$11,'Paramètres (1)'!$A$1:$I$88,3,0)*VLOOKUP('Données projet (1)'!$B$11,'Paramètres (1)'!$A$1:$I$88,5,0)</f>
        <v>#REF!</v>
      </c>
      <c r="BF47" s="130" t="str">
        <f t="shared" si="118"/>
        <v>#REF!</v>
      </c>
      <c r="BG47" s="141" t="str">
        <f t="shared" si="29"/>
        <v>#REF!</v>
      </c>
      <c r="BH47" s="133" t="str">
        <f t="shared" si="30"/>
        <v>#REF!</v>
      </c>
      <c r="BI47" s="133" t="str">
        <f t="shared" si="31"/>
        <v>#REF!</v>
      </c>
      <c r="BJ47" s="133" t="str">
        <f t="shared" si="119"/>
        <v>#REF!</v>
      </c>
      <c r="BK47" s="134" t="str">
        <f t="shared" si="32"/>
        <v>#REF!</v>
      </c>
      <c r="BL47" s="134" t="str">
        <f t="shared" si="33"/>
        <v>#REF!</v>
      </c>
      <c r="BM47" s="135" t="str">
        <f>IF(ISNA(VLOOKUP(A47,'Données projet (1)'!$A$87:$I$107,5,0)),0%,VLOOKUP(A47,'Données projet (1)'!$A$87:$I$107,5,0)*VLOOKUP('Données projet (1)'!$B$11,'Paramètres (1)'!$A$1:$I$88,7,0))</f>
        <v>#REF!</v>
      </c>
      <c r="BN47" s="135" t="str">
        <f>IF(ISNA(VLOOKUP(A47,'Données projet (1)'!$A$87:$I$107,6,0)),0%,VLOOKUP(A47,'Données projet (1)'!$A$87:$I$107,6,0)*VLOOKUP('Données projet (1)'!$B$11,'Paramètres (1)'!$A$1:$I$88,7,0))</f>
        <v>#REF!</v>
      </c>
      <c r="BO47" s="135" t="str">
        <f t="shared" si="34"/>
        <v>#REF!</v>
      </c>
      <c r="BP47" s="142" t="str">
        <f>EXP(-LN(2)/35)*BP46+(1-EXP(-LN(2)/35))/(LN(2)/35)*BL47*BM47*VLOOKUP('Données projet (1)'!$B$11,'Paramètres (1)'!$A$1:$I$88,3,0)*0.475*44/12</f>
        <v>#REF!</v>
      </c>
      <c r="BQ47" s="142" t="str">
        <f>EXP(-LN(2)/25)*BQ46+(1-EXP(-LN(2)/25))/(LN(2)/25)*'Calculateur (1)'!BL47*'Calculateur (1)'!BN47*VLOOKUP('Données projet (1)'!$B$11,'Paramètres (1)'!$A$1:$I$88,3,0)*0.475*44/12</f>
        <v>#REF!</v>
      </c>
      <c r="BR47" s="142" t="str">
        <f>EXP(-LN(2)/2)*BR46+(1-EXP(-LN(2)/2))/(LN(2)/2)*BL47*BO47*VLOOKUP('Données projet (1)'!$B$11,'Paramètres (1)'!$A$1:$I$88,3,0)*0.475*44/12</f>
        <v>#REF!</v>
      </c>
      <c r="BS47" s="143" t="str">
        <f t="shared" si="35"/>
        <v>#REF!</v>
      </c>
      <c r="BT47" s="139" t="str">
        <f t="shared" si="36"/>
        <v>#REF!</v>
      </c>
      <c r="BU47" s="131">
        <f t="shared" si="37"/>
        <v>10</v>
      </c>
      <c r="BV47" s="131" t="str">
        <f t="shared" si="120"/>
        <v>#REF!</v>
      </c>
      <c r="BW47" s="131" t="str">
        <f t="shared" si="38"/>
        <v>#REF!</v>
      </c>
      <c r="BX47" s="131" t="str">
        <f t="array" ref="BX47">INDEX(BW:BW,MIN(IF(ISNUMBER(BW47:BW243),ROW(BW47:BW243),"")))</f>
        <v/>
      </c>
      <c r="BY47" s="131" t="str">
        <f t="shared" si="121"/>
        <v>#REF!</v>
      </c>
      <c r="BZ47" s="130" t="str">
        <f>BY47*VLOOKUP('Données projet (1)'!$B$12,'Paramètres (1)'!$A$1:$I$88,3,0)*VLOOKUP('Données projet (1)'!$B$12,'Paramètres (1)'!$A$1:$I$88,5,0)</f>
        <v>#REF!</v>
      </c>
      <c r="CA47" s="130" t="str">
        <f t="shared" si="122"/>
        <v>#REF!</v>
      </c>
      <c r="CB47" s="141" t="str">
        <f t="shared" si="39"/>
        <v>#REF!</v>
      </c>
      <c r="CC47" s="133" t="str">
        <f t="shared" si="40"/>
        <v>#REF!</v>
      </c>
      <c r="CD47" s="133" t="str">
        <f t="shared" si="41"/>
        <v>#REF!</v>
      </c>
      <c r="CE47" s="133" t="str">
        <f t="shared" si="123"/>
        <v>#REF!</v>
      </c>
      <c r="CF47" s="134" t="str">
        <f t="shared" si="42"/>
        <v>#REF!</v>
      </c>
      <c r="CG47" s="134" t="str">
        <f t="shared" si="43"/>
        <v>#REF!</v>
      </c>
      <c r="CH47" s="135" t="str">
        <f>IF(ISNA(VLOOKUP(A47,'Données projet (1)'!$A$113:$I$133,5,0)),0%,VLOOKUP(A47,'Données projet (1)'!$A$113:$I$133,5,0)*VLOOKUP('Données projet (1)'!$B$12,'Paramètres (1)'!$A$1:$I$88,7,0))</f>
        <v>#REF!</v>
      </c>
      <c r="CI47" s="135" t="str">
        <f>IF(ISNA(VLOOKUP(A47,'Données projet (1)'!$A$113:$I$133,6,0)),0%,VLOOKUP(A47,'Données projet (1)'!$A$113:$I$133,6,0)*VLOOKUP('Données projet (1)'!$B$12,'Paramètres (1)'!$A$1:$I$88,7,0))</f>
        <v>#REF!</v>
      </c>
      <c r="CJ47" s="135" t="str">
        <f t="shared" si="44"/>
        <v>#REF!</v>
      </c>
      <c r="CK47" s="142" t="str">
        <f>EXP(-LN(2)/35)*CK46+(1-EXP(-LN(2)/35))/(LN(2)/35)*CG47*CH47*VLOOKUP('Données projet (1)'!$B$12,'Paramètres (1)'!$A$1:$I$88,3,0)*0.475*44/12</f>
        <v>#REF!</v>
      </c>
      <c r="CL47" s="142" t="str">
        <f>EXP(-LN(2)/25)*CL46+(1-EXP(-LN(2)/25))/(LN(2)/25)*'Calculateur (1)'!CG47*'Calculateur (1)'!CI47*VLOOKUP('Données projet (1)'!$B$12,'Paramètres (1)'!$A$1:$I$88,3,0)*0.475*44/12</f>
        <v>#REF!</v>
      </c>
      <c r="CM47" s="142" t="str">
        <f>EXP(-LN(2)/2)*CM46+(1-EXP(-LN(2)/2))/(LN(2)/2)*CG47*CJ47*VLOOKUP('Données projet (1)'!$B$12,'Paramètres (1)'!$A$1:$I$88,3,0)*0.475*44/12</f>
        <v>#REF!</v>
      </c>
      <c r="CN47" s="143" t="str">
        <f t="shared" si="45"/>
        <v>#REF!</v>
      </c>
      <c r="CO47" s="139" t="str">
        <f t="shared" si="46"/>
        <v>#REF!</v>
      </c>
      <c r="CP47" s="131">
        <f t="shared" si="47"/>
        <v>10</v>
      </c>
      <c r="CQ47" s="131" t="str">
        <f t="shared" si="124"/>
        <v>#REF!</v>
      </c>
      <c r="CR47" s="131" t="str">
        <f t="shared" si="48"/>
        <v>#REF!</v>
      </c>
      <c r="CS47" s="131" t="str">
        <f t="array" ref="CS47">INDEX(CR:CR,MIN(IF(ISNUMBER(CR47:CR243),ROW(CR47:CR243),"")))</f>
        <v/>
      </c>
      <c r="CT47" s="131" t="str">
        <f t="shared" si="125"/>
        <v>#REF!</v>
      </c>
      <c r="CU47" s="138" t="str">
        <f>CT47*VLOOKUP('Données projet (1)'!$B$13,'Paramètres (1)'!$A$1:$I$88,3,0)*VLOOKUP('Données projet (1)'!$B$13,'Paramètres (1)'!$A$1:$I$88,5,0)</f>
        <v>#REF!</v>
      </c>
      <c r="CV47" s="130" t="str">
        <f t="shared" si="126"/>
        <v>#REF!</v>
      </c>
      <c r="CW47" s="141" t="str">
        <f t="shared" si="49"/>
        <v>#REF!</v>
      </c>
      <c r="CX47" s="133" t="str">
        <f t="shared" si="50"/>
        <v>#REF!</v>
      </c>
      <c r="CY47" s="133" t="str">
        <f t="shared" si="51"/>
        <v>#REF!</v>
      </c>
      <c r="CZ47" s="133" t="str">
        <f t="shared" si="127"/>
        <v>#REF!</v>
      </c>
      <c r="DA47" s="134" t="str">
        <f t="shared" si="52"/>
        <v>#REF!</v>
      </c>
      <c r="DB47" s="134" t="str">
        <f t="shared" si="53"/>
        <v>#REF!</v>
      </c>
      <c r="DC47" s="135" t="str">
        <f>IF(ISNA(VLOOKUP(A47,'Données projet (1)'!$A$139:$I$159,5,0)),0%,VLOOKUP(A47,'Données projet (1)'!$A$139:$I$159,5,0)*VLOOKUP('Données projet (1)'!$B$13,'Paramètres (1)'!$A$1:$I$88,7,0))</f>
        <v>#REF!</v>
      </c>
      <c r="DD47" s="135" t="str">
        <f>IF(ISNA(VLOOKUP(A47,'Données projet (1)'!$A$139:$I$159,6,0)),0%,VLOOKUP(A47,'Données projet (1)'!$A$139:$I$159,6,0)*VLOOKUP('Données projet (1)'!$B$13,'Paramètres (1)'!$A$1:$I$88,7,0))</f>
        <v>#REF!</v>
      </c>
      <c r="DE47" s="135" t="str">
        <f t="shared" si="54"/>
        <v>#REF!</v>
      </c>
      <c r="DF47" s="142" t="str">
        <f>EXP(-LN(2)/35)*DF46+(1-EXP(-LN(2)/35))/(LN(2)/35)*DB47*DC47*VLOOKUP('Données projet (1)'!$B$13,'Paramètres (1)'!$A$1:$I$88,3,0)*0.475*44/12</f>
        <v>#REF!</v>
      </c>
      <c r="DG47" s="142" t="str">
        <f>EXP(-LN(2)/25)*DG46+(1-EXP(-LN(2)/25))/(LN(2)/25)*'Calculateur (1)'!DB47*'Calculateur (1)'!DD47*VLOOKUP('Données projet (1)'!$B$13,'Paramètres (1)'!$A$1:$I$88,3,0)*0.475*44/12</f>
        <v>#REF!</v>
      </c>
      <c r="DH47" s="142" t="str">
        <f>EXP(-LN(2)/2)*DH46+(1-EXP(-LN(2)/2))/(LN(2)/2)*DB47*DE47*VLOOKUP('Données projet (1)'!$B$13,'Paramètres (1)'!$A$1:$I$88,3,0)*0.475*44/12</f>
        <v>#REF!</v>
      </c>
      <c r="DI47" s="143" t="str">
        <f t="shared" si="55"/>
        <v>#REF!</v>
      </c>
      <c r="DJ47" s="139" t="str">
        <f t="shared" si="56"/>
        <v>#REF!</v>
      </c>
      <c r="DK47" s="131">
        <f t="shared" si="57"/>
        <v>10</v>
      </c>
      <c r="DL47" s="131" t="str">
        <f t="shared" si="128"/>
        <v>#REF!</v>
      </c>
      <c r="DM47" s="131" t="str">
        <f t="shared" si="58"/>
        <v>#REF!</v>
      </c>
      <c r="DN47" s="131" t="str">
        <f t="array" ref="DN47">INDEX(DM:DM,MIN(IF(ISNUMBER(DM47:DM243),ROW(DM47:DM243),"")))</f>
        <v/>
      </c>
      <c r="DO47" s="131" t="str">
        <f t="shared" si="129"/>
        <v>#REF!</v>
      </c>
      <c r="DP47" s="138" t="str">
        <f>DO47*VLOOKUP('Données projet (1)'!$B$14,'Paramètres (1)'!$A$1:$I$88,3,0)*VLOOKUP('Données projet (1)'!$B$14,'Paramètres (1)'!$A$1:$I$88,5,0)</f>
        <v>#REF!</v>
      </c>
      <c r="DQ47" s="130" t="str">
        <f t="shared" si="130"/>
        <v>#REF!</v>
      </c>
      <c r="DR47" s="141" t="str">
        <f t="shared" si="59"/>
        <v>#REF!</v>
      </c>
      <c r="DS47" s="133" t="str">
        <f t="shared" si="60"/>
        <v>#REF!</v>
      </c>
      <c r="DT47" s="133" t="str">
        <f t="shared" si="61"/>
        <v>#REF!</v>
      </c>
      <c r="DU47" s="133" t="str">
        <f t="shared" si="131"/>
        <v>#REF!</v>
      </c>
      <c r="DV47" s="134" t="str">
        <f t="shared" si="62"/>
        <v>#REF!</v>
      </c>
      <c r="DW47" s="134" t="str">
        <f t="shared" si="63"/>
        <v>#REF!</v>
      </c>
      <c r="DX47" s="135" t="str">
        <f>IF(ISNA(VLOOKUP(A47,'Données projet (1)'!$A$165:$I$185,5,0)),0%,VLOOKUP(A47,'Données projet (1)'!$A$165:$I$185,5,0)*VLOOKUP('Données projet (1)'!$B$14,'Paramètres (1)'!$A$1:$I$88,7,0))</f>
        <v>#REF!</v>
      </c>
      <c r="DY47" s="135" t="str">
        <f>IF(ISNA(VLOOKUP(A47,'Données projet (1)'!$A$165:$I$185,6,0)),0%,VLOOKUP(A47,'Données projet (1)'!$A$165:$I$185,6,0)*VLOOKUP('Données projet (1)'!$B$14,'Paramètres (1)'!$A$1:$I$88,7,0))</f>
        <v>#REF!</v>
      </c>
      <c r="DZ47" s="135" t="str">
        <f t="shared" si="64"/>
        <v>#REF!</v>
      </c>
      <c r="EA47" s="142" t="str">
        <f>EXP(-LN(2)/35)*EA46+(1-EXP(-LN(2)/35))/(LN(2)/35)*DW47*DX47*VLOOKUP('Données projet (1)'!$B$14,'Paramètres (1)'!$A$1:$I$88,3,0)*0.475*44/12</f>
        <v>#REF!</v>
      </c>
      <c r="EB47" s="142" t="str">
        <f>EXP(-LN(2)/25)*EB46+(1-EXP(-LN(2)/25))/(LN(2)/25)*'Calculateur (1)'!DW47*'Calculateur (1)'!DY47*VLOOKUP('Données projet (1)'!$B$14,'Paramètres (1)'!$A$1:$I$88,3,0)*0.475*44/12</f>
        <v>#REF!</v>
      </c>
      <c r="EC47" s="142" t="str">
        <f>EXP(-LN(2)/2)*EC46+(1-EXP(-LN(2)/2))/(LN(2)/2)*DW47*DZ47*VLOOKUP('Données projet (1)'!$B$14,'Paramètres (1)'!$A$1:$I$88,3,0)*0.475*44/12</f>
        <v>#REF!</v>
      </c>
      <c r="ED47" s="143" t="str">
        <f t="shared" si="65"/>
        <v>#REF!</v>
      </c>
      <c r="EE47" s="139" t="str">
        <f t="shared" si="66"/>
        <v>#REF!</v>
      </c>
      <c r="EF47" s="131">
        <f t="shared" si="67"/>
        <v>10</v>
      </c>
      <c r="EG47" s="131" t="str">
        <f t="shared" si="132"/>
        <v>#REF!</v>
      </c>
      <c r="EH47" s="131" t="str">
        <f t="shared" si="68"/>
        <v>#REF!</v>
      </c>
      <c r="EI47" s="131" t="str">
        <f t="array" ref="EI47">INDEX(EH:EH,MIN(IF(ISNUMBER(EH47:EH243),ROW(EH47:EH243),"")))</f>
        <v/>
      </c>
      <c r="EJ47" s="131" t="str">
        <f t="shared" si="133"/>
        <v>#REF!</v>
      </c>
      <c r="EK47" s="138" t="str">
        <f>EJ47*VLOOKUP('Données projet (1)'!$B$15,'Paramètres (1)'!$A$1:$I$88,3,0)*VLOOKUP('Données projet (1)'!$B$15,'Paramètres (1)'!$A$1:$I$88,5,0)</f>
        <v>#REF!</v>
      </c>
      <c r="EL47" s="130" t="str">
        <f t="shared" si="134"/>
        <v>#REF!</v>
      </c>
      <c r="EM47" s="141" t="str">
        <f t="shared" si="69"/>
        <v>#REF!</v>
      </c>
      <c r="EN47" s="133" t="str">
        <f t="shared" si="70"/>
        <v>#REF!</v>
      </c>
      <c r="EO47" s="133" t="str">
        <f t="shared" si="71"/>
        <v>#REF!</v>
      </c>
      <c r="EP47" s="133" t="str">
        <f t="shared" si="135"/>
        <v>#REF!</v>
      </c>
      <c r="EQ47" s="134" t="str">
        <f t="shared" si="72"/>
        <v>#REF!</v>
      </c>
      <c r="ER47" s="134" t="str">
        <f t="shared" si="73"/>
        <v>#REF!</v>
      </c>
      <c r="ES47" s="135" t="str">
        <f>IF(ISNA(VLOOKUP(A47,'Données projet (1)'!$A$191:$I$211,5,0)),0%,VLOOKUP(A47,'Données projet (1)'!$A$191:$I$211,5,0)*VLOOKUP('Données projet (1)'!$B$15,'Paramètres (1)'!$A$1:$I$88,7,0))</f>
        <v>#REF!</v>
      </c>
      <c r="ET47" s="135" t="str">
        <f>IF(ISNA(VLOOKUP(A47,'Données projet (1)'!$A$191:$I$211,6,0)),0%,VLOOKUP(A47,'Données projet (1)'!$A$191:$I$211,6,0)*VLOOKUP('Données projet (1)'!$B$15,'Paramètres (1)'!$A$1:$I$88,7,0))</f>
        <v>#REF!</v>
      </c>
      <c r="EU47" s="135" t="str">
        <f t="shared" si="74"/>
        <v>#REF!</v>
      </c>
      <c r="EV47" s="142" t="str">
        <f>EXP(-LN(2)/35)*EV46+(1-EXP(-LN(2)/35))/(LN(2)/35)*ER47*ES47*VLOOKUP('Données projet (1)'!$B$15,'Paramètres (1)'!$A$1:$I$88,3,0)*0.475*44/12</f>
        <v>#REF!</v>
      </c>
      <c r="EW47" s="142" t="str">
        <f>EXP(-LN(2)/25)*EW46+(1-EXP(-LN(2)/25))/(LN(2)/25)*'Calculateur (1)'!ER47*'Calculateur (1)'!ET47*VLOOKUP('Données projet (1)'!$B$15,'Paramètres (1)'!$A$1:$I$88,3,0)*0.475*44/12</f>
        <v>#REF!</v>
      </c>
      <c r="EX47" s="142" t="str">
        <f>EXP(-LN(2)/2)*EX46+(1-EXP(-LN(2)/2))/(LN(2)/2)*ER47*EU47*VLOOKUP('Données projet (1)'!$B$15,'Paramètres (1)'!$A$1:$I$88,3,0)*0.475*44/12</f>
        <v>#REF!</v>
      </c>
      <c r="EY47" s="143" t="str">
        <f t="shared" si="75"/>
        <v>#REF!</v>
      </c>
      <c r="EZ47" s="139" t="str">
        <f t="shared" si="76"/>
        <v>#REF!</v>
      </c>
      <c r="FA47" s="131">
        <f t="shared" si="77"/>
        <v>10</v>
      </c>
      <c r="FB47" s="131" t="str">
        <f t="shared" si="136"/>
        <v>#REF!</v>
      </c>
      <c r="FC47" s="131" t="str">
        <f t="shared" si="78"/>
        <v>#REF!</v>
      </c>
      <c r="FD47" s="131" t="str">
        <f t="array" ref="FD47">INDEX(FC:FC,MIN(IF(ISNUMBER(FC47:FC243),ROW(FC47:FC243),"")))</f>
        <v/>
      </c>
      <c r="FE47" s="131" t="str">
        <f t="shared" si="137"/>
        <v>#REF!</v>
      </c>
      <c r="FF47" s="138" t="str">
        <f>FE47*VLOOKUP('Données projet (1)'!$B$16,'Paramètres (1)'!$A$1:$I$88,3,0)*VLOOKUP('Données projet (1)'!$B$16,'Paramètres (1)'!$A$1:$I$88,5,0)</f>
        <v>#REF!</v>
      </c>
      <c r="FG47" s="130" t="str">
        <f t="shared" si="138"/>
        <v>#REF!</v>
      </c>
      <c r="FH47" s="141" t="str">
        <f t="shared" si="79"/>
        <v>#REF!</v>
      </c>
      <c r="FI47" s="133" t="str">
        <f t="shared" si="80"/>
        <v>#REF!</v>
      </c>
      <c r="FJ47" s="133" t="str">
        <f t="shared" si="81"/>
        <v>#REF!</v>
      </c>
      <c r="FK47" s="133" t="str">
        <f t="shared" si="139"/>
        <v>#REF!</v>
      </c>
      <c r="FL47" s="134" t="str">
        <f t="shared" si="82"/>
        <v>#REF!</v>
      </c>
      <c r="FM47" s="134" t="str">
        <f t="shared" si="83"/>
        <v>#REF!</v>
      </c>
      <c r="FN47" s="135" t="str">
        <f>IF(ISNA(VLOOKUP(A47,'Données projet (1)'!$A$217:$I$237,5,0)),0%,VLOOKUP(A47,'Données projet (1)'!$A$217:$I$237,5,0)*VLOOKUP('Données projet (1)'!$B$16,'Paramètres (1)'!$A$1:$I$88,7,0))</f>
        <v>#REF!</v>
      </c>
      <c r="FO47" s="135" t="str">
        <f>IF(ISNA(VLOOKUP(A47,'Données projet (1)'!$A$217:$I$237,6,0)),0%,VLOOKUP(A47,'Données projet (1)'!$A$217:$I$237,6,0)*VLOOKUP('Données projet (1)'!$B$16,'Paramètres (1)'!$A$1:$I$88,7,0))</f>
        <v>#REF!</v>
      </c>
      <c r="FP47" s="135" t="str">
        <f t="shared" si="84"/>
        <v>#REF!</v>
      </c>
      <c r="FQ47" s="142" t="str">
        <f>EXP(-LN(2)/35)*FQ46+(1-EXP(-LN(2)/35))/(LN(2)/35)*FM47*FN47*VLOOKUP('Données projet (1)'!$B$16,'Paramètres (1)'!$A$1:$I$88,3,0)*0.475*44/12</f>
        <v>#REF!</v>
      </c>
      <c r="FR47" s="142" t="str">
        <f>EXP(-LN(2)/25)*FR46+(1-EXP(-LN(2)/25))/(LN(2)/25)*'Calculateur (1)'!FM47*'Calculateur (1)'!FO47*VLOOKUP('Données projet (1)'!$B$16,'Paramètres (1)'!$A$1:$I$88,3,0)*0.475*44/12</f>
        <v>#REF!</v>
      </c>
      <c r="FS47" s="142" t="str">
        <f>EXP(-LN(2)/2)*FS46+(1-EXP(-LN(2)/2))/(LN(2)/2)*FM47*FP47*VLOOKUP('Données projet (1)'!$B$16,'Paramètres (1)'!$A$1:$I$88,3,0)*0.475*44/12</f>
        <v>#REF!</v>
      </c>
      <c r="FT47" s="143" t="str">
        <f t="shared" si="85"/>
        <v>#REF!</v>
      </c>
      <c r="FU47" s="139" t="str">
        <f t="shared" si="86"/>
        <v>#REF!</v>
      </c>
      <c r="FV47" s="131">
        <f t="shared" si="87"/>
        <v>10</v>
      </c>
      <c r="FW47" s="131" t="str">
        <f t="shared" si="140"/>
        <v>#REF!</v>
      </c>
      <c r="FX47" s="131" t="str">
        <f t="shared" si="88"/>
        <v>#REF!</v>
      </c>
      <c r="FY47" s="131" t="str">
        <f t="array" ref="FY47">INDEX(FX:FX,MIN(IF(ISNUMBER(FX47:FX243),ROW(FX47:FX243),"")))</f>
        <v/>
      </c>
      <c r="FZ47" s="131" t="str">
        <f t="shared" si="141"/>
        <v>#REF!</v>
      </c>
      <c r="GA47" s="138" t="str">
        <f>FZ47*VLOOKUP('Données projet (1)'!$B$17,'Paramètres (1)'!$A$1:$I$88,3,0)*VLOOKUP('Données projet (1)'!$B$17,'Paramètres (1)'!$A$1:$I$88,5,0)</f>
        <v>#REF!</v>
      </c>
      <c r="GB47" s="130" t="str">
        <f t="shared" si="142"/>
        <v>#REF!</v>
      </c>
      <c r="GC47" s="141" t="str">
        <f t="shared" si="89"/>
        <v>#REF!</v>
      </c>
      <c r="GD47" s="133" t="str">
        <f t="shared" si="90"/>
        <v>#REF!</v>
      </c>
      <c r="GE47" s="133" t="str">
        <f t="shared" si="91"/>
        <v>#REF!</v>
      </c>
      <c r="GF47" s="133" t="str">
        <f t="shared" si="143"/>
        <v>#REF!</v>
      </c>
      <c r="GG47" s="134" t="str">
        <f t="shared" si="92"/>
        <v>#REF!</v>
      </c>
      <c r="GH47" s="134" t="str">
        <f t="shared" si="93"/>
        <v>#REF!</v>
      </c>
      <c r="GI47" s="135" t="str">
        <f>IF(ISNA(VLOOKUP(A47,'Données projet (1)'!$A$243:$I$263,5,0)),0%,VLOOKUP(A47,'Données projet (1)'!$A$243:$I$263,5,0)*VLOOKUP('Données projet (1)'!$B$17,'Paramètres (1)'!$A$1:$I$88,7,0))</f>
        <v>#REF!</v>
      </c>
      <c r="GJ47" s="135" t="str">
        <f>IF(ISNA(VLOOKUP(A47,'Données projet (1)'!$A$243:$I$263,6,0)),0%,VLOOKUP(A47,'Données projet (1)'!$A$243:$I$263,6,0)*VLOOKUP('Données projet (1)'!$B$17,'Paramètres (1)'!$A$1:$I$88,7,0))</f>
        <v>#REF!</v>
      </c>
      <c r="GK47" s="135" t="str">
        <f t="shared" si="94"/>
        <v>#REF!</v>
      </c>
      <c r="GL47" s="142" t="str">
        <f>EXP(-LN(2)/35)*GL46+(1-EXP(-LN(2)/35))/(LN(2)/35)*GH47*GI47*VLOOKUP('Données projet (1)'!$B$17,'Paramètres (1)'!$A$1:$I$88,3,0)*0.475*44/12</f>
        <v>#REF!</v>
      </c>
      <c r="GM47" s="142" t="str">
        <f>EXP(-LN(2)/25)*GM46+(1-EXP(-LN(2)/25))/(LN(2)/25)*'Calculateur (1)'!GH47*'Calculateur (1)'!GJ47*VLOOKUP('Données projet (1)'!$B$17,'Paramètres (1)'!$A$1:$I$88,3,0)*0.475*44/12</f>
        <v>#REF!</v>
      </c>
      <c r="GN47" s="142" t="str">
        <f>EXP(-LN(2)/2)*GN46+(1-EXP(-LN(2)/2))/(LN(2)/2)*GH47*GK47*VLOOKUP('Données projet (1)'!$B$17,'Paramètres (1)'!$A$1:$I$88,3,0)*0.475*44/12</f>
        <v>#REF!</v>
      </c>
      <c r="GO47" s="142" t="str">
        <f t="shared" si="95"/>
        <v>#REF!</v>
      </c>
      <c r="GP47" s="139" t="str">
        <f t="shared" si="96"/>
        <v>#REF!</v>
      </c>
      <c r="GQ47" s="131">
        <f t="shared" si="97"/>
        <v>10</v>
      </c>
      <c r="GR47" s="131" t="str">
        <f t="shared" si="144"/>
        <v>#REF!</v>
      </c>
      <c r="GS47" s="131" t="str">
        <f t="shared" si="98"/>
        <v>#REF!</v>
      </c>
      <c r="GT47" s="131" t="str">
        <f t="array" ref="GT47">INDEX(GS:GS,MIN(IF(ISNUMBER(GS47:GS243),ROW(GS47:GS243),"")))</f>
        <v/>
      </c>
      <c r="GU47" s="131" t="str">
        <f t="shared" si="145"/>
        <v>#REF!</v>
      </c>
      <c r="GV47" s="138" t="str">
        <f>GU47*VLOOKUP('Données projet (1)'!$B$18,'Paramètres (1)'!$A$1:$I$88,3,0)*VLOOKUP('Données projet (1)'!$B$18,'Paramètres (1)'!$A$1:$I$88,5,0)</f>
        <v>#REF!</v>
      </c>
      <c r="GW47" s="130" t="str">
        <f t="shared" si="146"/>
        <v>#REF!</v>
      </c>
      <c r="GX47" s="141" t="str">
        <f t="shared" si="99"/>
        <v>#REF!</v>
      </c>
      <c r="GY47" s="133" t="str">
        <f t="shared" si="100"/>
        <v>#REF!</v>
      </c>
      <c r="GZ47" s="133" t="str">
        <f t="shared" si="101"/>
        <v>#REF!</v>
      </c>
      <c r="HA47" s="133" t="str">
        <f t="shared" si="147"/>
        <v>#REF!</v>
      </c>
      <c r="HB47" s="134" t="str">
        <f t="shared" si="102"/>
        <v>#REF!</v>
      </c>
      <c r="HC47" s="134" t="str">
        <f t="shared" si="103"/>
        <v>#REF!</v>
      </c>
      <c r="HD47" s="135" t="str">
        <f>IF(ISNA(VLOOKUP(A47,'Données projet (1)'!$A$269:$I$289,5,0)),0%,VLOOKUP(A47,'Données projet (1)'!$A$269:$I$289,5,0)*VLOOKUP('Données projet (1)'!$B$18,'Paramètres (1)'!$A$1:$I$88,7,0))</f>
        <v>#REF!</v>
      </c>
      <c r="HE47" s="135" t="str">
        <f>IF(ISNA(VLOOKUP(A47,'Données projet (1)'!$A$269:$I$289,6,0)),0%,VLOOKUP(A47,'Données projet (1)'!$A$269:$I$289,6,0)*VLOOKUP('Données projet (1)'!$B$18,'Paramètres (1)'!$A$1:$I$88,7,0))</f>
        <v>#REF!</v>
      </c>
      <c r="HF47" s="135" t="str">
        <f t="shared" si="104"/>
        <v>#REF!</v>
      </c>
      <c r="HG47" s="142" t="str">
        <f>EXP(-LN(2)/35)*HG46+(1-EXP(-LN(2)/35))/(LN(2)/35)*HC47*HD47*VLOOKUP('Données projet (1)'!$B$18,'Paramètres (1)'!$A$1:$I$88,3,0)*0.475*44/12</f>
        <v>#REF!</v>
      </c>
      <c r="HH47" s="142" t="str">
        <f>EXP(-LN(2)/25)*HH46+(1-EXP(-LN(2)/25))/(LN(2)/25)*'Calculateur (1)'!HC47*'Calculateur (1)'!HE47*VLOOKUP('Données projet (1)'!$B$18,'Paramètres (1)'!$A$1:$I$88,3,0)*0.475*44/12</f>
        <v>#REF!</v>
      </c>
      <c r="HI47" s="142" t="str">
        <f>EXP(-LN(2)/2)*HI46+(1-EXP(-LN(2)/2))/(LN(2)/2)*HC47*HF47*VLOOKUP('Données projet (1)'!$B$18,'Paramètres (1)'!$A$1:$I$88,3,0)*0.475*44/12</f>
        <v>#REF!</v>
      </c>
      <c r="HJ47" s="143" t="str">
        <f t="shared" si="105"/>
        <v>#REF!</v>
      </c>
    </row>
    <row r="48" ht="14.25" customHeight="1">
      <c r="A48" s="125">
        <f t="shared" si="106"/>
        <v>45</v>
      </c>
      <c r="B48" s="126" t="str">
        <f t="shared" si="1"/>
        <v>#REF!</v>
      </c>
      <c r="C48" s="140" t="str">
        <f>'Calculateur (1)'!C47+'Scénario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8" s="127">
        <f t="shared" si="107"/>
        <v>0</v>
      </c>
      <c r="E48" s="127" t="str">
        <f t="shared" si="2"/>
        <v>#REF!</v>
      </c>
      <c r="F48" s="127" t="str">
        <f t="shared" si="3"/>
        <v>#REF!</v>
      </c>
      <c r="G48" s="127" t="str">
        <f t="shared" si="4"/>
        <v>#REF!</v>
      </c>
      <c r="H48" s="128" t="str">
        <f t="shared" si="5"/>
        <v>#REF!</v>
      </c>
      <c r="I48" s="129" t="str">
        <f t="shared" si="6"/>
        <v>#REF!</v>
      </c>
      <c r="J48" s="130">
        <f t="shared" si="7"/>
        <v>10</v>
      </c>
      <c r="K48" s="131" t="str">
        <f t="shared" si="108"/>
        <v>#REF!</v>
      </c>
      <c r="L48" s="131" t="str">
        <f t="shared" si="8"/>
        <v>#REF!</v>
      </c>
      <c r="M48" s="131" t="str">
        <f t="array" ref="M48">INDEX(L:L,MIN(IF(ISNUMBER(L48:L244),ROW(L48:L244),"")))</f>
        <v/>
      </c>
      <c r="N48" s="130" t="str">
        <f t="shared" si="109"/>
        <v>#REF!</v>
      </c>
      <c r="O48" s="130" t="str">
        <f>N48*VLOOKUP('Données projet (1)'!$B$9,'Paramètres (1)'!$A$1:$I$88,3,0)*VLOOKUP('Données projet (1)'!$B$9,'Paramètres (1)'!$A$1:$I$88,5,0)</f>
        <v>#REF!</v>
      </c>
      <c r="P48" s="130" t="str">
        <f t="shared" si="110"/>
        <v>#REF!</v>
      </c>
      <c r="Q48" s="141" t="str">
        <f t="shared" si="9"/>
        <v>#REF!</v>
      </c>
      <c r="R48" s="133" t="str">
        <f t="shared" si="10"/>
        <v>#REF!</v>
      </c>
      <c r="S48" s="133" t="str">
        <f t="shared" si="11"/>
        <v>#REF!</v>
      </c>
      <c r="T48" s="133" t="str">
        <f t="shared" si="111"/>
        <v>#REF!</v>
      </c>
      <c r="U48" s="134" t="str">
        <f t="shared" si="12"/>
        <v>#REF!</v>
      </c>
      <c r="V48" s="134" t="str">
        <f t="shared" si="13"/>
        <v>#REF!</v>
      </c>
      <c r="W48" s="135" t="str">
        <f>IF(ISNA(VLOOKUP(A48,'Données projet (1)'!$A$35:$I$55,5,0)),0%,VLOOKUP(A48,'Données projet (1)'!$A$35:$I$55,5,0)*VLOOKUP('Données projet (1)'!$B$9,'Paramètres (1)'!$A$1:$I$88,7,0))</f>
        <v>#REF!</v>
      </c>
      <c r="X48" s="135" t="str">
        <f>IF(ISNA(VLOOKUP(A48,'Données projet (1)'!$A$35:$I$55,6,0)),0%,VLOOKUP(A48,'Données projet (1)'!$A$35:$I$55,6,0)*VLOOKUP('Données projet (1)'!$B$9,'Paramètres (1)'!$A$1:$I$88,7,0))</f>
        <v>#REF!</v>
      </c>
      <c r="Y48" s="135" t="str">
        <f t="shared" si="14"/>
        <v>#REF!</v>
      </c>
      <c r="Z48" s="142" t="str">
        <f>EXP(-LN(2)/35)*Z47+(1-EXP(-LN(2)/35))/(LN(2)/35)*V48*W48*VLOOKUP('Données projet (1)'!$B$9,'Paramètres (1)'!$A$1:$I$88,3,0)*0.475*44/12</f>
        <v>#REF!</v>
      </c>
      <c r="AA48" s="142" t="str">
        <f>EXP(-LN(2)/25)*AA47+(1-EXP(-LN(2)/25))/(LN(2)/25)*'Calculateur (1)'!V48*'Calculateur (1)'!X48*VLOOKUP('Données projet (1)'!$B$9,'Paramètres (1)'!$A$1:$I$88,3,0)*0.475*44/12</f>
        <v>#REF!</v>
      </c>
      <c r="AB48" s="142" t="str">
        <f>EXP(-LN(2)/2)*AB47+(1-EXP(-LN(2)/2))/(LN(2)/2)*V48*Y48*VLOOKUP('Données projet (1)'!$B$9,'Paramètres (1)'!$A$1:$I$88,3,0)*0.475*44/12</f>
        <v>#REF!</v>
      </c>
      <c r="AC48" s="143" t="str">
        <f t="shared" si="15"/>
        <v>#REF!</v>
      </c>
      <c r="AD48" s="130" t="str">
        <f t="shared" si="16"/>
        <v>#REF!</v>
      </c>
      <c r="AE48" s="130">
        <f t="shared" si="17"/>
        <v>10</v>
      </c>
      <c r="AF48" s="131" t="str">
        <f t="shared" si="112"/>
        <v>#REF!</v>
      </c>
      <c r="AG48" s="131" t="str">
        <f t="shared" si="18"/>
        <v>#REF!</v>
      </c>
      <c r="AH48" s="131" t="str">
        <f t="array" ref="AH48">INDEX(AG:AG,MIN(IF(ISNUMBER(AG48:AG244),ROW(AG48:AG244),"")))</f>
        <v/>
      </c>
      <c r="AI48" s="130" t="str">
        <f t="shared" si="113"/>
        <v>#REF!</v>
      </c>
      <c r="AJ48" s="130" t="str">
        <f>AI48*VLOOKUP('Données projet (1)'!$B$10,'Paramètres (1)'!$A$1:$I$88,3,0)*VLOOKUP('Données projet (1)'!$B$10,'Paramètres (1)'!$A$1:$I$88,5,0)</f>
        <v>#REF!</v>
      </c>
      <c r="AK48" s="130" t="str">
        <f t="shared" si="114"/>
        <v>#REF!</v>
      </c>
      <c r="AL48" s="141" t="str">
        <f t="shared" si="19"/>
        <v>#REF!</v>
      </c>
      <c r="AM48" s="133" t="str">
        <f t="shared" si="20"/>
        <v>#REF!</v>
      </c>
      <c r="AN48" s="133" t="str">
        <f t="shared" si="21"/>
        <v>#REF!</v>
      </c>
      <c r="AO48" s="133" t="str">
        <f t="shared" si="115"/>
        <v>#REF!</v>
      </c>
      <c r="AP48" s="134" t="str">
        <f t="shared" si="22"/>
        <v>#REF!</v>
      </c>
      <c r="AQ48" s="134" t="str">
        <f t="shared" si="23"/>
        <v>#REF!</v>
      </c>
      <c r="AR48" s="135" t="str">
        <f>IF(ISNA(VLOOKUP(A48,'Données projet (1)'!$A$61:$I$81,5,0)),0%,VLOOKUP(A48,'Données projet (1)'!$A$61:$I$81,5,0)*VLOOKUP('Données projet (1)'!$B$10,'Paramètres (1)'!$A$1:$I$88,7,0))</f>
        <v>#REF!</v>
      </c>
      <c r="AS48" s="135" t="str">
        <f>IF(ISNA(VLOOKUP(A48,'Données projet (1)'!$A$61:$I$81,6,0)),0%,VLOOKUP(A48,'Données projet (1)'!$A$61:$I$81,6,0)*VLOOKUP('Données projet (1)'!$B$10,'Paramètres (1)'!$A$1:$I$88,7,0))</f>
        <v>#REF!</v>
      </c>
      <c r="AT48" s="135" t="str">
        <f t="shared" si="24"/>
        <v>#REF!</v>
      </c>
      <c r="AU48" s="142" t="str">
        <f>EXP(-LN(2)/35)*AU47+(1-EXP(-LN(2)/35))/(LN(2)/35)*AQ48*AR48*VLOOKUP('Données projet (1)'!$B$10,'Paramètres (1)'!$A$1:$I$88,3,0)*0.475*44/12</f>
        <v>#REF!</v>
      </c>
      <c r="AV48" s="142" t="str">
        <f>EXP(-LN(2)/25)*AV47+(1-EXP(-LN(2)/25))/(LN(2)/25)*'Calculateur (1)'!AQ48*'Calculateur (1)'!AS48*VLOOKUP('Données projet (1)'!$B$10,'Paramètres (1)'!$A$1:$I$88,3,0)*0.475*44/12</f>
        <v>#REF!</v>
      </c>
      <c r="AW48" s="142" t="str">
        <f>EXP(-LN(2)/2)*AW47+(1-EXP(-LN(2)/2))/(LN(2)/2)*AQ48*AT48*VLOOKUP('Données projet (1)'!$B$10,'Paramètres (1)'!$A$1:$I$88,3,0)*0.475*44/12</f>
        <v>#REF!</v>
      </c>
      <c r="AX48" s="142" t="str">
        <f t="shared" si="25"/>
        <v>#REF!</v>
      </c>
      <c r="AY48" s="137" t="str">
        <f t="shared" si="26"/>
        <v>#REF!</v>
      </c>
      <c r="AZ48" s="131">
        <f t="shared" si="27"/>
        <v>10</v>
      </c>
      <c r="BA48" s="131" t="str">
        <f t="shared" si="116"/>
        <v>#REF!</v>
      </c>
      <c r="BB48" s="131" t="str">
        <f t="shared" si="28"/>
        <v>#REF!</v>
      </c>
      <c r="BC48" s="131" t="str">
        <f t="array" ref="BC48">INDEX(BB:BB,MIN(IF(ISNUMBER(BB48:BB244),ROW(BB48:BB244),"")))</f>
        <v/>
      </c>
      <c r="BD48" s="131" t="str">
        <f t="shared" si="117"/>
        <v>#REF!</v>
      </c>
      <c r="BE48" s="130" t="str">
        <f>BD48*VLOOKUP('Données projet (1)'!$B$11,'Paramètres (1)'!$A$1:$I$88,3,0)*VLOOKUP('Données projet (1)'!$B$11,'Paramètres (1)'!$A$1:$I$88,5,0)</f>
        <v>#REF!</v>
      </c>
      <c r="BF48" s="130" t="str">
        <f t="shared" si="118"/>
        <v>#REF!</v>
      </c>
      <c r="BG48" s="141" t="str">
        <f t="shared" si="29"/>
        <v>#REF!</v>
      </c>
      <c r="BH48" s="133" t="str">
        <f t="shared" si="30"/>
        <v>#REF!</v>
      </c>
      <c r="BI48" s="133" t="str">
        <f t="shared" si="31"/>
        <v>#REF!</v>
      </c>
      <c r="BJ48" s="133" t="str">
        <f t="shared" si="119"/>
        <v>#REF!</v>
      </c>
      <c r="BK48" s="134" t="str">
        <f t="shared" si="32"/>
        <v>#REF!</v>
      </c>
      <c r="BL48" s="134" t="str">
        <f t="shared" si="33"/>
        <v>#REF!</v>
      </c>
      <c r="BM48" s="135" t="str">
        <f>IF(ISNA(VLOOKUP(A48,'Données projet (1)'!$A$87:$I$107,5,0)),0%,VLOOKUP(A48,'Données projet (1)'!$A$87:$I$107,5,0)*VLOOKUP('Données projet (1)'!$B$11,'Paramètres (1)'!$A$1:$I$88,7,0))</f>
        <v>#REF!</v>
      </c>
      <c r="BN48" s="135" t="str">
        <f>IF(ISNA(VLOOKUP(A48,'Données projet (1)'!$A$87:$I$107,6,0)),0%,VLOOKUP(A48,'Données projet (1)'!$A$87:$I$107,6,0)*VLOOKUP('Données projet (1)'!$B$11,'Paramètres (1)'!$A$1:$I$88,7,0))</f>
        <v>#REF!</v>
      </c>
      <c r="BO48" s="135" t="str">
        <f t="shared" si="34"/>
        <v>#REF!</v>
      </c>
      <c r="BP48" s="142" t="str">
        <f>EXP(-LN(2)/35)*BP47+(1-EXP(-LN(2)/35))/(LN(2)/35)*BL48*BM48*VLOOKUP('Données projet (1)'!$B$11,'Paramètres (1)'!$A$1:$I$88,3,0)*0.475*44/12</f>
        <v>#REF!</v>
      </c>
      <c r="BQ48" s="142" t="str">
        <f>EXP(-LN(2)/25)*BQ47+(1-EXP(-LN(2)/25))/(LN(2)/25)*'Calculateur (1)'!BL48*'Calculateur (1)'!BN48*VLOOKUP('Données projet (1)'!$B$11,'Paramètres (1)'!$A$1:$I$88,3,0)*0.475*44/12</f>
        <v>#REF!</v>
      </c>
      <c r="BR48" s="142" t="str">
        <f>EXP(-LN(2)/2)*BR47+(1-EXP(-LN(2)/2))/(LN(2)/2)*BL48*BO48*VLOOKUP('Données projet (1)'!$B$11,'Paramètres (1)'!$A$1:$I$88,3,0)*0.475*44/12</f>
        <v>#REF!</v>
      </c>
      <c r="BS48" s="143" t="str">
        <f t="shared" si="35"/>
        <v>#REF!</v>
      </c>
      <c r="BT48" s="139" t="str">
        <f t="shared" si="36"/>
        <v>#REF!</v>
      </c>
      <c r="BU48" s="131">
        <f t="shared" si="37"/>
        <v>10</v>
      </c>
      <c r="BV48" s="131" t="str">
        <f t="shared" si="120"/>
        <v>#REF!</v>
      </c>
      <c r="BW48" s="131" t="str">
        <f t="shared" si="38"/>
        <v>#REF!</v>
      </c>
      <c r="BX48" s="131" t="str">
        <f t="array" ref="BX48">INDEX(BW:BW,MIN(IF(ISNUMBER(BW48:BW244),ROW(BW48:BW244),"")))</f>
        <v/>
      </c>
      <c r="BY48" s="131" t="str">
        <f t="shared" si="121"/>
        <v>#REF!</v>
      </c>
      <c r="BZ48" s="130" t="str">
        <f>BY48*VLOOKUP('Données projet (1)'!$B$12,'Paramètres (1)'!$A$1:$I$88,3,0)*VLOOKUP('Données projet (1)'!$B$12,'Paramètres (1)'!$A$1:$I$88,5,0)</f>
        <v>#REF!</v>
      </c>
      <c r="CA48" s="130" t="str">
        <f t="shared" si="122"/>
        <v>#REF!</v>
      </c>
      <c r="CB48" s="141" t="str">
        <f t="shared" si="39"/>
        <v>#REF!</v>
      </c>
      <c r="CC48" s="133" t="str">
        <f t="shared" si="40"/>
        <v>#REF!</v>
      </c>
      <c r="CD48" s="133" t="str">
        <f t="shared" si="41"/>
        <v>#REF!</v>
      </c>
      <c r="CE48" s="133" t="str">
        <f t="shared" si="123"/>
        <v>#REF!</v>
      </c>
      <c r="CF48" s="134" t="str">
        <f t="shared" si="42"/>
        <v>#REF!</v>
      </c>
      <c r="CG48" s="134" t="str">
        <f t="shared" si="43"/>
        <v>#REF!</v>
      </c>
      <c r="CH48" s="135" t="str">
        <f>IF(ISNA(VLOOKUP(A48,'Données projet (1)'!$A$113:$I$133,5,0)),0%,VLOOKUP(A48,'Données projet (1)'!$A$113:$I$133,5,0)*VLOOKUP('Données projet (1)'!$B$12,'Paramètres (1)'!$A$1:$I$88,7,0))</f>
        <v>#REF!</v>
      </c>
      <c r="CI48" s="135" t="str">
        <f>IF(ISNA(VLOOKUP(A48,'Données projet (1)'!$A$113:$I$133,6,0)),0%,VLOOKUP(A48,'Données projet (1)'!$A$113:$I$133,6,0)*VLOOKUP('Données projet (1)'!$B$12,'Paramètres (1)'!$A$1:$I$88,7,0))</f>
        <v>#REF!</v>
      </c>
      <c r="CJ48" s="135" t="str">
        <f t="shared" si="44"/>
        <v>#REF!</v>
      </c>
      <c r="CK48" s="142" t="str">
        <f>EXP(-LN(2)/35)*CK47+(1-EXP(-LN(2)/35))/(LN(2)/35)*CG48*CH48*VLOOKUP('Données projet (1)'!$B$12,'Paramètres (1)'!$A$1:$I$88,3,0)*0.475*44/12</f>
        <v>#REF!</v>
      </c>
      <c r="CL48" s="142" t="str">
        <f>EXP(-LN(2)/25)*CL47+(1-EXP(-LN(2)/25))/(LN(2)/25)*'Calculateur (1)'!CG48*'Calculateur (1)'!CI48*VLOOKUP('Données projet (1)'!$B$12,'Paramètres (1)'!$A$1:$I$88,3,0)*0.475*44/12</f>
        <v>#REF!</v>
      </c>
      <c r="CM48" s="142" t="str">
        <f>EXP(-LN(2)/2)*CM47+(1-EXP(-LN(2)/2))/(LN(2)/2)*CG48*CJ48*VLOOKUP('Données projet (1)'!$B$12,'Paramètres (1)'!$A$1:$I$88,3,0)*0.475*44/12</f>
        <v>#REF!</v>
      </c>
      <c r="CN48" s="143" t="str">
        <f t="shared" si="45"/>
        <v>#REF!</v>
      </c>
      <c r="CO48" s="139" t="str">
        <f t="shared" si="46"/>
        <v>#REF!</v>
      </c>
      <c r="CP48" s="131">
        <f t="shared" si="47"/>
        <v>10</v>
      </c>
      <c r="CQ48" s="131" t="str">
        <f t="shared" si="124"/>
        <v>#REF!</v>
      </c>
      <c r="CR48" s="131" t="str">
        <f t="shared" si="48"/>
        <v>#REF!</v>
      </c>
      <c r="CS48" s="131" t="str">
        <f t="array" ref="CS48">INDEX(CR:CR,MIN(IF(ISNUMBER(CR48:CR244),ROW(CR48:CR244),"")))</f>
        <v/>
      </c>
      <c r="CT48" s="131" t="str">
        <f t="shared" si="125"/>
        <v>#REF!</v>
      </c>
      <c r="CU48" s="138" t="str">
        <f>CT48*VLOOKUP('Données projet (1)'!$B$13,'Paramètres (1)'!$A$1:$I$88,3,0)*VLOOKUP('Données projet (1)'!$B$13,'Paramètres (1)'!$A$1:$I$88,5,0)</f>
        <v>#REF!</v>
      </c>
      <c r="CV48" s="130" t="str">
        <f t="shared" si="126"/>
        <v>#REF!</v>
      </c>
      <c r="CW48" s="141" t="str">
        <f t="shared" si="49"/>
        <v>#REF!</v>
      </c>
      <c r="CX48" s="133" t="str">
        <f t="shared" si="50"/>
        <v>#REF!</v>
      </c>
      <c r="CY48" s="133" t="str">
        <f t="shared" si="51"/>
        <v>#REF!</v>
      </c>
      <c r="CZ48" s="133" t="str">
        <f t="shared" si="127"/>
        <v>#REF!</v>
      </c>
      <c r="DA48" s="134" t="str">
        <f t="shared" si="52"/>
        <v>#REF!</v>
      </c>
      <c r="DB48" s="134" t="str">
        <f t="shared" si="53"/>
        <v>#REF!</v>
      </c>
      <c r="DC48" s="135" t="str">
        <f>IF(ISNA(VLOOKUP(A48,'Données projet (1)'!$A$139:$I$159,5,0)),0%,VLOOKUP(A48,'Données projet (1)'!$A$139:$I$159,5,0)*VLOOKUP('Données projet (1)'!$B$13,'Paramètres (1)'!$A$1:$I$88,7,0))</f>
        <v>#REF!</v>
      </c>
      <c r="DD48" s="135" t="str">
        <f>IF(ISNA(VLOOKUP(A48,'Données projet (1)'!$A$139:$I$159,6,0)),0%,VLOOKUP(A48,'Données projet (1)'!$A$139:$I$159,6,0)*VLOOKUP('Données projet (1)'!$B$13,'Paramètres (1)'!$A$1:$I$88,7,0))</f>
        <v>#REF!</v>
      </c>
      <c r="DE48" s="135" t="str">
        <f t="shared" si="54"/>
        <v>#REF!</v>
      </c>
      <c r="DF48" s="142" t="str">
        <f>EXP(-LN(2)/35)*DF47+(1-EXP(-LN(2)/35))/(LN(2)/35)*DB48*DC48*VLOOKUP('Données projet (1)'!$B$13,'Paramètres (1)'!$A$1:$I$88,3,0)*0.475*44/12</f>
        <v>#REF!</v>
      </c>
      <c r="DG48" s="142" t="str">
        <f>EXP(-LN(2)/25)*DG47+(1-EXP(-LN(2)/25))/(LN(2)/25)*'Calculateur (1)'!DB48*'Calculateur (1)'!DD48*VLOOKUP('Données projet (1)'!$B$13,'Paramètres (1)'!$A$1:$I$88,3,0)*0.475*44/12</f>
        <v>#REF!</v>
      </c>
      <c r="DH48" s="142" t="str">
        <f>EXP(-LN(2)/2)*DH47+(1-EXP(-LN(2)/2))/(LN(2)/2)*DB48*DE48*VLOOKUP('Données projet (1)'!$B$13,'Paramètres (1)'!$A$1:$I$88,3,0)*0.475*44/12</f>
        <v>#REF!</v>
      </c>
      <c r="DI48" s="143" t="str">
        <f t="shared" si="55"/>
        <v>#REF!</v>
      </c>
      <c r="DJ48" s="139" t="str">
        <f t="shared" si="56"/>
        <v>#REF!</v>
      </c>
      <c r="DK48" s="131">
        <f t="shared" si="57"/>
        <v>10</v>
      </c>
      <c r="DL48" s="131" t="str">
        <f t="shared" si="128"/>
        <v>#REF!</v>
      </c>
      <c r="DM48" s="131" t="str">
        <f t="shared" si="58"/>
        <v>#REF!</v>
      </c>
      <c r="DN48" s="131" t="str">
        <f t="array" ref="DN48">INDEX(DM:DM,MIN(IF(ISNUMBER(DM48:DM244),ROW(DM48:DM244),"")))</f>
        <v/>
      </c>
      <c r="DO48" s="131" t="str">
        <f t="shared" si="129"/>
        <v>#REF!</v>
      </c>
      <c r="DP48" s="138" t="str">
        <f>DO48*VLOOKUP('Données projet (1)'!$B$14,'Paramètres (1)'!$A$1:$I$88,3,0)*VLOOKUP('Données projet (1)'!$B$14,'Paramètres (1)'!$A$1:$I$88,5,0)</f>
        <v>#REF!</v>
      </c>
      <c r="DQ48" s="130" t="str">
        <f t="shared" si="130"/>
        <v>#REF!</v>
      </c>
      <c r="DR48" s="141" t="str">
        <f t="shared" si="59"/>
        <v>#REF!</v>
      </c>
      <c r="DS48" s="133" t="str">
        <f t="shared" si="60"/>
        <v>#REF!</v>
      </c>
      <c r="DT48" s="133" t="str">
        <f t="shared" si="61"/>
        <v>#REF!</v>
      </c>
      <c r="DU48" s="133" t="str">
        <f t="shared" si="131"/>
        <v>#REF!</v>
      </c>
      <c r="DV48" s="134" t="str">
        <f t="shared" si="62"/>
        <v>#REF!</v>
      </c>
      <c r="DW48" s="134" t="str">
        <f t="shared" si="63"/>
        <v>#REF!</v>
      </c>
      <c r="DX48" s="135" t="str">
        <f>IF(ISNA(VLOOKUP(A48,'Données projet (1)'!$A$165:$I$185,5,0)),0%,VLOOKUP(A48,'Données projet (1)'!$A$165:$I$185,5,0)*VLOOKUP('Données projet (1)'!$B$14,'Paramètres (1)'!$A$1:$I$88,7,0))</f>
        <v>#REF!</v>
      </c>
      <c r="DY48" s="135" t="str">
        <f>IF(ISNA(VLOOKUP(A48,'Données projet (1)'!$A$165:$I$185,6,0)),0%,VLOOKUP(A48,'Données projet (1)'!$A$165:$I$185,6,0)*VLOOKUP('Données projet (1)'!$B$14,'Paramètres (1)'!$A$1:$I$88,7,0))</f>
        <v>#REF!</v>
      </c>
      <c r="DZ48" s="135" t="str">
        <f t="shared" si="64"/>
        <v>#REF!</v>
      </c>
      <c r="EA48" s="142" t="str">
        <f>EXP(-LN(2)/35)*EA47+(1-EXP(-LN(2)/35))/(LN(2)/35)*DW48*DX48*VLOOKUP('Données projet (1)'!$B$14,'Paramètres (1)'!$A$1:$I$88,3,0)*0.475*44/12</f>
        <v>#REF!</v>
      </c>
      <c r="EB48" s="142" t="str">
        <f>EXP(-LN(2)/25)*EB47+(1-EXP(-LN(2)/25))/(LN(2)/25)*'Calculateur (1)'!DW48*'Calculateur (1)'!DY48*VLOOKUP('Données projet (1)'!$B$14,'Paramètres (1)'!$A$1:$I$88,3,0)*0.475*44/12</f>
        <v>#REF!</v>
      </c>
      <c r="EC48" s="142" t="str">
        <f>EXP(-LN(2)/2)*EC47+(1-EXP(-LN(2)/2))/(LN(2)/2)*DW48*DZ48*VLOOKUP('Données projet (1)'!$B$14,'Paramètres (1)'!$A$1:$I$88,3,0)*0.475*44/12</f>
        <v>#REF!</v>
      </c>
      <c r="ED48" s="143" t="str">
        <f t="shared" si="65"/>
        <v>#REF!</v>
      </c>
      <c r="EE48" s="139" t="str">
        <f t="shared" si="66"/>
        <v>#REF!</v>
      </c>
      <c r="EF48" s="131">
        <f t="shared" si="67"/>
        <v>10</v>
      </c>
      <c r="EG48" s="131" t="str">
        <f t="shared" si="132"/>
        <v>#REF!</v>
      </c>
      <c r="EH48" s="131" t="str">
        <f t="shared" si="68"/>
        <v>#REF!</v>
      </c>
      <c r="EI48" s="131" t="str">
        <f t="array" ref="EI48">INDEX(EH:EH,MIN(IF(ISNUMBER(EH48:EH244),ROW(EH48:EH244),"")))</f>
        <v/>
      </c>
      <c r="EJ48" s="131" t="str">
        <f t="shared" si="133"/>
        <v>#REF!</v>
      </c>
      <c r="EK48" s="138" t="str">
        <f>EJ48*VLOOKUP('Données projet (1)'!$B$15,'Paramètres (1)'!$A$1:$I$88,3,0)*VLOOKUP('Données projet (1)'!$B$15,'Paramètres (1)'!$A$1:$I$88,5,0)</f>
        <v>#REF!</v>
      </c>
      <c r="EL48" s="130" t="str">
        <f t="shared" si="134"/>
        <v>#REF!</v>
      </c>
      <c r="EM48" s="141" t="str">
        <f t="shared" si="69"/>
        <v>#REF!</v>
      </c>
      <c r="EN48" s="133" t="str">
        <f t="shared" si="70"/>
        <v>#REF!</v>
      </c>
      <c r="EO48" s="133" t="str">
        <f t="shared" si="71"/>
        <v>#REF!</v>
      </c>
      <c r="EP48" s="133" t="str">
        <f t="shared" si="135"/>
        <v>#REF!</v>
      </c>
      <c r="EQ48" s="134" t="str">
        <f t="shared" si="72"/>
        <v>#REF!</v>
      </c>
      <c r="ER48" s="134" t="str">
        <f t="shared" si="73"/>
        <v>#REF!</v>
      </c>
      <c r="ES48" s="135" t="str">
        <f>IF(ISNA(VLOOKUP(A48,'Données projet (1)'!$A$191:$I$211,5,0)),0%,VLOOKUP(A48,'Données projet (1)'!$A$191:$I$211,5,0)*VLOOKUP('Données projet (1)'!$B$15,'Paramètres (1)'!$A$1:$I$88,7,0))</f>
        <v>#REF!</v>
      </c>
      <c r="ET48" s="135" t="str">
        <f>IF(ISNA(VLOOKUP(A48,'Données projet (1)'!$A$191:$I$211,6,0)),0%,VLOOKUP(A48,'Données projet (1)'!$A$191:$I$211,6,0)*VLOOKUP('Données projet (1)'!$B$15,'Paramètres (1)'!$A$1:$I$88,7,0))</f>
        <v>#REF!</v>
      </c>
      <c r="EU48" s="135" t="str">
        <f t="shared" si="74"/>
        <v>#REF!</v>
      </c>
      <c r="EV48" s="142" t="str">
        <f>EXP(-LN(2)/35)*EV47+(1-EXP(-LN(2)/35))/(LN(2)/35)*ER48*ES48*VLOOKUP('Données projet (1)'!$B$15,'Paramètres (1)'!$A$1:$I$88,3,0)*0.475*44/12</f>
        <v>#REF!</v>
      </c>
      <c r="EW48" s="142" t="str">
        <f>EXP(-LN(2)/25)*EW47+(1-EXP(-LN(2)/25))/(LN(2)/25)*'Calculateur (1)'!ER48*'Calculateur (1)'!ET48*VLOOKUP('Données projet (1)'!$B$15,'Paramètres (1)'!$A$1:$I$88,3,0)*0.475*44/12</f>
        <v>#REF!</v>
      </c>
      <c r="EX48" s="142" t="str">
        <f>EXP(-LN(2)/2)*EX47+(1-EXP(-LN(2)/2))/(LN(2)/2)*ER48*EU48*VLOOKUP('Données projet (1)'!$B$15,'Paramètres (1)'!$A$1:$I$88,3,0)*0.475*44/12</f>
        <v>#REF!</v>
      </c>
      <c r="EY48" s="143" t="str">
        <f t="shared" si="75"/>
        <v>#REF!</v>
      </c>
      <c r="EZ48" s="139" t="str">
        <f t="shared" si="76"/>
        <v>#REF!</v>
      </c>
      <c r="FA48" s="131">
        <f t="shared" si="77"/>
        <v>10</v>
      </c>
      <c r="FB48" s="131" t="str">
        <f t="shared" si="136"/>
        <v>#REF!</v>
      </c>
      <c r="FC48" s="131" t="str">
        <f t="shared" si="78"/>
        <v>#REF!</v>
      </c>
      <c r="FD48" s="131" t="str">
        <f t="array" ref="FD48">INDEX(FC:FC,MIN(IF(ISNUMBER(FC48:FC244),ROW(FC48:FC244),"")))</f>
        <v/>
      </c>
      <c r="FE48" s="131" t="str">
        <f t="shared" si="137"/>
        <v>#REF!</v>
      </c>
      <c r="FF48" s="138" t="str">
        <f>FE48*VLOOKUP('Données projet (1)'!$B$16,'Paramètres (1)'!$A$1:$I$88,3,0)*VLOOKUP('Données projet (1)'!$B$16,'Paramètres (1)'!$A$1:$I$88,5,0)</f>
        <v>#REF!</v>
      </c>
      <c r="FG48" s="130" t="str">
        <f t="shared" si="138"/>
        <v>#REF!</v>
      </c>
      <c r="FH48" s="141" t="str">
        <f t="shared" si="79"/>
        <v>#REF!</v>
      </c>
      <c r="FI48" s="133" t="str">
        <f t="shared" si="80"/>
        <v>#REF!</v>
      </c>
      <c r="FJ48" s="133" t="str">
        <f t="shared" si="81"/>
        <v>#REF!</v>
      </c>
      <c r="FK48" s="133" t="str">
        <f t="shared" si="139"/>
        <v>#REF!</v>
      </c>
      <c r="FL48" s="134" t="str">
        <f t="shared" si="82"/>
        <v>#REF!</v>
      </c>
      <c r="FM48" s="134" t="str">
        <f t="shared" si="83"/>
        <v>#REF!</v>
      </c>
      <c r="FN48" s="135" t="str">
        <f>IF(ISNA(VLOOKUP(A48,'Données projet (1)'!$A$217:$I$237,5,0)),0%,VLOOKUP(A48,'Données projet (1)'!$A$217:$I$237,5,0)*VLOOKUP('Données projet (1)'!$B$16,'Paramètres (1)'!$A$1:$I$88,7,0))</f>
        <v>#REF!</v>
      </c>
      <c r="FO48" s="135" t="str">
        <f>IF(ISNA(VLOOKUP(A48,'Données projet (1)'!$A$217:$I$237,6,0)),0%,VLOOKUP(A48,'Données projet (1)'!$A$217:$I$237,6,0)*VLOOKUP('Données projet (1)'!$B$16,'Paramètres (1)'!$A$1:$I$88,7,0))</f>
        <v>#REF!</v>
      </c>
      <c r="FP48" s="135" t="str">
        <f t="shared" si="84"/>
        <v>#REF!</v>
      </c>
      <c r="FQ48" s="142" t="str">
        <f>EXP(-LN(2)/35)*FQ47+(1-EXP(-LN(2)/35))/(LN(2)/35)*FM48*FN48*VLOOKUP('Données projet (1)'!$B$16,'Paramètres (1)'!$A$1:$I$88,3,0)*0.475*44/12</f>
        <v>#REF!</v>
      </c>
      <c r="FR48" s="142" t="str">
        <f>EXP(-LN(2)/25)*FR47+(1-EXP(-LN(2)/25))/(LN(2)/25)*'Calculateur (1)'!FM48*'Calculateur (1)'!FO48*VLOOKUP('Données projet (1)'!$B$16,'Paramètres (1)'!$A$1:$I$88,3,0)*0.475*44/12</f>
        <v>#REF!</v>
      </c>
      <c r="FS48" s="142" t="str">
        <f>EXP(-LN(2)/2)*FS47+(1-EXP(-LN(2)/2))/(LN(2)/2)*FM48*FP48*VLOOKUP('Données projet (1)'!$B$16,'Paramètres (1)'!$A$1:$I$88,3,0)*0.475*44/12</f>
        <v>#REF!</v>
      </c>
      <c r="FT48" s="143" t="str">
        <f t="shared" si="85"/>
        <v>#REF!</v>
      </c>
      <c r="FU48" s="139" t="str">
        <f t="shared" si="86"/>
        <v>#REF!</v>
      </c>
      <c r="FV48" s="131">
        <f t="shared" si="87"/>
        <v>10</v>
      </c>
      <c r="FW48" s="131" t="str">
        <f t="shared" si="140"/>
        <v>#REF!</v>
      </c>
      <c r="FX48" s="131" t="str">
        <f t="shared" si="88"/>
        <v>#REF!</v>
      </c>
      <c r="FY48" s="131" t="str">
        <f t="array" ref="FY48">INDEX(FX:FX,MIN(IF(ISNUMBER(FX48:FX244),ROW(FX48:FX244),"")))</f>
        <v/>
      </c>
      <c r="FZ48" s="131" t="str">
        <f t="shared" si="141"/>
        <v>#REF!</v>
      </c>
      <c r="GA48" s="138" t="str">
        <f>FZ48*VLOOKUP('Données projet (1)'!$B$17,'Paramètres (1)'!$A$1:$I$88,3,0)*VLOOKUP('Données projet (1)'!$B$17,'Paramètres (1)'!$A$1:$I$88,5,0)</f>
        <v>#REF!</v>
      </c>
      <c r="GB48" s="130" t="str">
        <f t="shared" si="142"/>
        <v>#REF!</v>
      </c>
      <c r="GC48" s="141" t="str">
        <f t="shared" si="89"/>
        <v>#REF!</v>
      </c>
      <c r="GD48" s="133" t="str">
        <f t="shared" si="90"/>
        <v>#REF!</v>
      </c>
      <c r="GE48" s="133" t="str">
        <f t="shared" si="91"/>
        <v>#REF!</v>
      </c>
      <c r="GF48" s="133" t="str">
        <f t="shared" si="143"/>
        <v>#REF!</v>
      </c>
      <c r="GG48" s="134" t="str">
        <f t="shared" si="92"/>
        <v>#REF!</v>
      </c>
      <c r="GH48" s="134" t="str">
        <f t="shared" si="93"/>
        <v>#REF!</v>
      </c>
      <c r="GI48" s="135" t="str">
        <f>IF(ISNA(VLOOKUP(A48,'Données projet (1)'!$A$243:$I$263,5,0)),0%,VLOOKUP(A48,'Données projet (1)'!$A$243:$I$263,5,0)*VLOOKUP('Données projet (1)'!$B$17,'Paramètres (1)'!$A$1:$I$88,7,0))</f>
        <v>#REF!</v>
      </c>
      <c r="GJ48" s="135" t="str">
        <f>IF(ISNA(VLOOKUP(A48,'Données projet (1)'!$A$243:$I$263,6,0)),0%,VLOOKUP(A48,'Données projet (1)'!$A$243:$I$263,6,0)*VLOOKUP('Données projet (1)'!$B$17,'Paramètres (1)'!$A$1:$I$88,7,0))</f>
        <v>#REF!</v>
      </c>
      <c r="GK48" s="135" t="str">
        <f t="shared" si="94"/>
        <v>#REF!</v>
      </c>
      <c r="GL48" s="142" t="str">
        <f>EXP(-LN(2)/35)*GL47+(1-EXP(-LN(2)/35))/(LN(2)/35)*GH48*GI48*VLOOKUP('Données projet (1)'!$B$17,'Paramètres (1)'!$A$1:$I$88,3,0)*0.475*44/12</f>
        <v>#REF!</v>
      </c>
      <c r="GM48" s="142" t="str">
        <f>EXP(-LN(2)/25)*GM47+(1-EXP(-LN(2)/25))/(LN(2)/25)*'Calculateur (1)'!GH48*'Calculateur (1)'!GJ48*VLOOKUP('Données projet (1)'!$B$17,'Paramètres (1)'!$A$1:$I$88,3,0)*0.475*44/12</f>
        <v>#REF!</v>
      </c>
      <c r="GN48" s="142" t="str">
        <f>EXP(-LN(2)/2)*GN47+(1-EXP(-LN(2)/2))/(LN(2)/2)*GH48*GK48*VLOOKUP('Données projet (1)'!$B$17,'Paramètres (1)'!$A$1:$I$88,3,0)*0.475*44/12</f>
        <v>#REF!</v>
      </c>
      <c r="GO48" s="142" t="str">
        <f t="shared" si="95"/>
        <v>#REF!</v>
      </c>
      <c r="GP48" s="139" t="str">
        <f t="shared" si="96"/>
        <v>#REF!</v>
      </c>
      <c r="GQ48" s="131">
        <f t="shared" si="97"/>
        <v>10</v>
      </c>
      <c r="GR48" s="131" t="str">
        <f t="shared" si="144"/>
        <v>#REF!</v>
      </c>
      <c r="GS48" s="131" t="str">
        <f t="shared" si="98"/>
        <v>#REF!</v>
      </c>
      <c r="GT48" s="131" t="str">
        <f t="array" ref="GT48">INDEX(GS:GS,MIN(IF(ISNUMBER(GS48:GS244),ROW(GS48:GS244),"")))</f>
        <v/>
      </c>
      <c r="GU48" s="131" t="str">
        <f t="shared" si="145"/>
        <v>#REF!</v>
      </c>
      <c r="GV48" s="138" t="str">
        <f>GU48*VLOOKUP('Données projet (1)'!$B$18,'Paramètres (1)'!$A$1:$I$88,3,0)*VLOOKUP('Données projet (1)'!$B$18,'Paramètres (1)'!$A$1:$I$88,5,0)</f>
        <v>#REF!</v>
      </c>
      <c r="GW48" s="130" t="str">
        <f t="shared" si="146"/>
        <v>#REF!</v>
      </c>
      <c r="GX48" s="141" t="str">
        <f t="shared" si="99"/>
        <v>#REF!</v>
      </c>
      <c r="GY48" s="133" t="str">
        <f t="shared" si="100"/>
        <v>#REF!</v>
      </c>
      <c r="GZ48" s="133" t="str">
        <f t="shared" si="101"/>
        <v>#REF!</v>
      </c>
      <c r="HA48" s="133" t="str">
        <f t="shared" si="147"/>
        <v>#REF!</v>
      </c>
      <c r="HB48" s="134" t="str">
        <f t="shared" si="102"/>
        <v>#REF!</v>
      </c>
      <c r="HC48" s="134" t="str">
        <f t="shared" si="103"/>
        <v>#REF!</v>
      </c>
      <c r="HD48" s="135" t="str">
        <f>IF(ISNA(VLOOKUP(A48,'Données projet (1)'!$A$269:$I$289,5,0)),0%,VLOOKUP(A48,'Données projet (1)'!$A$269:$I$289,5,0)*VLOOKUP('Données projet (1)'!$B$18,'Paramètres (1)'!$A$1:$I$88,7,0))</f>
        <v>#REF!</v>
      </c>
      <c r="HE48" s="135" t="str">
        <f>IF(ISNA(VLOOKUP(A48,'Données projet (1)'!$A$269:$I$289,6,0)),0%,VLOOKUP(A48,'Données projet (1)'!$A$269:$I$289,6,0)*VLOOKUP('Données projet (1)'!$B$18,'Paramètres (1)'!$A$1:$I$88,7,0))</f>
        <v>#REF!</v>
      </c>
      <c r="HF48" s="135" t="str">
        <f t="shared" si="104"/>
        <v>#REF!</v>
      </c>
      <c r="HG48" s="142" t="str">
        <f>EXP(-LN(2)/35)*HG47+(1-EXP(-LN(2)/35))/(LN(2)/35)*HC48*HD48*VLOOKUP('Données projet (1)'!$B$18,'Paramètres (1)'!$A$1:$I$88,3,0)*0.475*44/12</f>
        <v>#REF!</v>
      </c>
      <c r="HH48" s="142" t="str">
        <f>EXP(-LN(2)/25)*HH47+(1-EXP(-LN(2)/25))/(LN(2)/25)*'Calculateur (1)'!HC48*'Calculateur (1)'!HE48*VLOOKUP('Données projet (1)'!$B$18,'Paramètres (1)'!$A$1:$I$88,3,0)*0.475*44/12</f>
        <v>#REF!</v>
      </c>
      <c r="HI48" s="142" t="str">
        <f>EXP(-LN(2)/2)*HI47+(1-EXP(-LN(2)/2))/(LN(2)/2)*HC48*HF48*VLOOKUP('Données projet (1)'!$B$18,'Paramètres (1)'!$A$1:$I$88,3,0)*0.475*44/12</f>
        <v>#REF!</v>
      </c>
      <c r="HJ48" s="143" t="str">
        <f t="shared" si="105"/>
        <v>#REF!</v>
      </c>
    </row>
    <row r="49" ht="14.25" customHeight="1">
      <c r="A49" s="125">
        <f t="shared" si="106"/>
        <v>46</v>
      </c>
      <c r="B49" s="126" t="str">
        <f t="shared" si="1"/>
        <v>#REF!</v>
      </c>
      <c r="C49" s="140" t="str">
        <f>'Calculateur (1)'!C48+'Scénario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9" s="127">
        <f t="shared" si="107"/>
        <v>0</v>
      </c>
      <c r="E49" s="127" t="str">
        <f t="shared" si="2"/>
        <v>#REF!</v>
      </c>
      <c r="F49" s="127" t="str">
        <f t="shared" si="3"/>
        <v>#REF!</v>
      </c>
      <c r="G49" s="127" t="str">
        <f t="shared" si="4"/>
        <v>#REF!</v>
      </c>
      <c r="H49" s="128" t="str">
        <f t="shared" si="5"/>
        <v>#REF!</v>
      </c>
      <c r="I49" s="129" t="str">
        <f t="shared" si="6"/>
        <v>#REF!</v>
      </c>
      <c r="J49" s="130">
        <f t="shared" si="7"/>
        <v>10</v>
      </c>
      <c r="K49" s="131" t="str">
        <f t="shared" si="108"/>
        <v>#REF!</v>
      </c>
      <c r="L49" s="131" t="str">
        <f t="shared" si="8"/>
        <v>#REF!</v>
      </c>
      <c r="M49" s="131" t="str">
        <f t="array" ref="M49">INDEX(L:L,MIN(IF(ISNUMBER(L49:L245),ROW(L49:L245),"")))</f>
        <v/>
      </c>
      <c r="N49" s="130" t="str">
        <f t="shared" si="109"/>
        <v>#REF!</v>
      </c>
      <c r="O49" s="130" t="str">
        <f>N49*VLOOKUP('Données projet (1)'!$B$9,'Paramètres (1)'!$A$1:$I$88,3,0)*VLOOKUP('Données projet (1)'!$B$9,'Paramètres (1)'!$A$1:$I$88,5,0)</f>
        <v>#REF!</v>
      </c>
      <c r="P49" s="130" t="str">
        <f t="shared" si="110"/>
        <v>#REF!</v>
      </c>
      <c r="Q49" s="141" t="str">
        <f t="shared" si="9"/>
        <v>#REF!</v>
      </c>
      <c r="R49" s="133" t="str">
        <f t="shared" si="10"/>
        <v>#REF!</v>
      </c>
      <c r="S49" s="133" t="str">
        <f t="shared" si="11"/>
        <v>#REF!</v>
      </c>
      <c r="T49" s="133" t="str">
        <f t="shared" si="111"/>
        <v>#REF!</v>
      </c>
      <c r="U49" s="134" t="str">
        <f t="shared" si="12"/>
        <v>#REF!</v>
      </c>
      <c r="V49" s="134" t="str">
        <f t="shared" si="13"/>
        <v>#REF!</v>
      </c>
      <c r="W49" s="135" t="str">
        <f>IF(ISNA(VLOOKUP(A49,'Données projet (1)'!$A$35:$I$55,5,0)),0%,VLOOKUP(A49,'Données projet (1)'!$A$35:$I$55,5,0)*VLOOKUP('Données projet (1)'!$B$9,'Paramètres (1)'!$A$1:$I$88,7,0))</f>
        <v>#REF!</v>
      </c>
      <c r="X49" s="135" t="str">
        <f>IF(ISNA(VLOOKUP(A49,'Données projet (1)'!$A$35:$I$55,6,0)),0%,VLOOKUP(A49,'Données projet (1)'!$A$35:$I$55,6,0)*VLOOKUP('Données projet (1)'!$B$9,'Paramètres (1)'!$A$1:$I$88,7,0))</f>
        <v>#REF!</v>
      </c>
      <c r="Y49" s="135" t="str">
        <f t="shared" si="14"/>
        <v>#REF!</v>
      </c>
      <c r="Z49" s="142" t="str">
        <f>EXP(-LN(2)/35)*Z48+(1-EXP(-LN(2)/35))/(LN(2)/35)*V49*W49*VLOOKUP('Données projet (1)'!$B$9,'Paramètres (1)'!$A$1:$I$88,3,0)*0.475*44/12</f>
        <v>#REF!</v>
      </c>
      <c r="AA49" s="142" t="str">
        <f>EXP(-LN(2)/25)*AA48+(1-EXP(-LN(2)/25))/(LN(2)/25)*'Calculateur (1)'!V49*'Calculateur (1)'!X49*VLOOKUP('Données projet (1)'!$B$9,'Paramètres (1)'!$A$1:$I$88,3,0)*0.475*44/12</f>
        <v>#REF!</v>
      </c>
      <c r="AB49" s="142" t="str">
        <f>EXP(-LN(2)/2)*AB48+(1-EXP(-LN(2)/2))/(LN(2)/2)*V49*Y49*VLOOKUP('Données projet (1)'!$B$9,'Paramètres (1)'!$A$1:$I$88,3,0)*0.475*44/12</f>
        <v>#REF!</v>
      </c>
      <c r="AC49" s="143" t="str">
        <f t="shared" si="15"/>
        <v>#REF!</v>
      </c>
      <c r="AD49" s="130" t="str">
        <f t="shared" si="16"/>
        <v>#REF!</v>
      </c>
      <c r="AE49" s="130">
        <f t="shared" si="17"/>
        <v>10</v>
      </c>
      <c r="AF49" s="131" t="str">
        <f t="shared" si="112"/>
        <v>#REF!</v>
      </c>
      <c r="AG49" s="131" t="str">
        <f t="shared" si="18"/>
        <v>#REF!</v>
      </c>
      <c r="AH49" s="131" t="str">
        <f t="array" ref="AH49">INDEX(AG:AG,MIN(IF(ISNUMBER(AG49:AG245),ROW(AG49:AG245),"")))</f>
        <v/>
      </c>
      <c r="AI49" s="130" t="str">
        <f t="shared" si="113"/>
        <v>#REF!</v>
      </c>
      <c r="AJ49" s="130" t="str">
        <f>AI49*VLOOKUP('Données projet (1)'!$B$10,'Paramètres (1)'!$A$1:$I$88,3,0)*VLOOKUP('Données projet (1)'!$B$10,'Paramètres (1)'!$A$1:$I$88,5,0)</f>
        <v>#REF!</v>
      </c>
      <c r="AK49" s="130" t="str">
        <f t="shared" si="114"/>
        <v>#REF!</v>
      </c>
      <c r="AL49" s="141" t="str">
        <f t="shared" si="19"/>
        <v>#REF!</v>
      </c>
      <c r="AM49" s="133" t="str">
        <f t="shared" si="20"/>
        <v>#REF!</v>
      </c>
      <c r="AN49" s="133" t="str">
        <f t="shared" si="21"/>
        <v>#REF!</v>
      </c>
      <c r="AO49" s="133" t="str">
        <f t="shared" si="115"/>
        <v>#REF!</v>
      </c>
      <c r="AP49" s="134" t="str">
        <f t="shared" si="22"/>
        <v>#REF!</v>
      </c>
      <c r="AQ49" s="134" t="str">
        <f t="shared" si="23"/>
        <v>#REF!</v>
      </c>
      <c r="AR49" s="135" t="str">
        <f>IF(ISNA(VLOOKUP(A49,'Données projet (1)'!$A$61:$I$81,5,0)),0%,VLOOKUP(A49,'Données projet (1)'!$A$61:$I$81,5,0)*VLOOKUP('Données projet (1)'!$B$10,'Paramètres (1)'!$A$1:$I$88,7,0))</f>
        <v>#REF!</v>
      </c>
      <c r="AS49" s="135" t="str">
        <f>IF(ISNA(VLOOKUP(A49,'Données projet (1)'!$A$61:$I$81,6,0)),0%,VLOOKUP(A49,'Données projet (1)'!$A$61:$I$81,6,0)*VLOOKUP('Données projet (1)'!$B$10,'Paramètres (1)'!$A$1:$I$88,7,0))</f>
        <v>#REF!</v>
      </c>
      <c r="AT49" s="135" t="str">
        <f t="shared" si="24"/>
        <v>#REF!</v>
      </c>
      <c r="AU49" s="142" t="str">
        <f>EXP(-LN(2)/35)*AU48+(1-EXP(-LN(2)/35))/(LN(2)/35)*AQ49*AR49*VLOOKUP('Données projet (1)'!$B$10,'Paramètres (1)'!$A$1:$I$88,3,0)*0.475*44/12</f>
        <v>#REF!</v>
      </c>
      <c r="AV49" s="142" t="str">
        <f>EXP(-LN(2)/25)*AV48+(1-EXP(-LN(2)/25))/(LN(2)/25)*'Calculateur (1)'!AQ49*'Calculateur (1)'!AS49*VLOOKUP('Données projet (1)'!$B$10,'Paramètres (1)'!$A$1:$I$88,3,0)*0.475*44/12</f>
        <v>#REF!</v>
      </c>
      <c r="AW49" s="142" t="str">
        <f>EXP(-LN(2)/2)*AW48+(1-EXP(-LN(2)/2))/(LN(2)/2)*AQ49*AT49*VLOOKUP('Données projet (1)'!$B$10,'Paramètres (1)'!$A$1:$I$88,3,0)*0.475*44/12</f>
        <v>#REF!</v>
      </c>
      <c r="AX49" s="142" t="str">
        <f t="shared" si="25"/>
        <v>#REF!</v>
      </c>
      <c r="AY49" s="137" t="str">
        <f t="shared" si="26"/>
        <v>#REF!</v>
      </c>
      <c r="AZ49" s="131">
        <f t="shared" si="27"/>
        <v>10</v>
      </c>
      <c r="BA49" s="131" t="str">
        <f t="shared" si="116"/>
        <v>#REF!</v>
      </c>
      <c r="BB49" s="131" t="str">
        <f t="shared" si="28"/>
        <v>#REF!</v>
      </c>
      <c r="BC49" s="131" t="str">
        <f t="array" ref="BC49">INDEX(BB:BB,MIN(IF(ISNUMBER(BB49:BB245),ROW(BB49:BB245),"")))</f>
        <v/>
      </c>
      <c r="BD49" s="131" t="str">
        <f t="shared" si="117"/>
        <v>#REF!</v>
      </c>
      <c r="BE49" s="130" t="str">
        <f>BD49*VLOOKUP('Données projet (1)'!$B$11,'Paramètres (1)'!$A$1:$I$88,3,0)*VLOOKUP('Données projet (1)'!$B$11,'Paramètres (1)'!$A$1:$I$88,5,0)</f>
        <v>#REF!</v>
      </c>
      <c r="BF49" s="130" t="str">
        <f t="shared" si="118"/>
        <v>#REF!</v>
      </c>
      <c r="BG49" s="141" t="str">
        <f t="shared" si="29"/>
        <v>#REF!</v>
      </c>
      <c r="BH49" s="133" t="str">
        <f t="shared" si="30"/>
        <v>#REF!</v>
      </c>
      <c r="BI49" s="133" t="str">
        <f t="shared" si="31"/>
        <v>#REF!</v>
      </c>
      <c r="BJ49" s="133" t="str">
        <f t="shared" si="119"/>
        <v>#REF!</v>
      </c>
      <c r="BK49" s="134" t="str">
        <f t="shared" si="32"/>
        <v>#REF!</v>
      </c>
      <c r="BL49" s="134" t="str">
        <f t="shared" si="33"/>
        <v>#REF!</v>
      </c>
      <c r="BM49" s="135" t="str">
        <f>IF(ISNA(VLOOKUP(A49,'Données projet (1)'!$A$87:$I$107,5,0)),0%,VLOOKUP(A49,'Données projet (1)'!$A$87:$I$107,5,0)*VLOOKUP('Données projet (1)'!$B$11,'Paramètres (1)'!$A$1:$I$88,7,0))</f>
        <v>#REF!</v>
      </c>
      <c r="BN49" s="135" t="str">
        <f>IF(ISNA(VLOOKUP(A49,'Données projet (1)'!$A$87:$I$107,6,0)),0%,VLOOKUP(A49,'Données projet (1)'!$A$87:$I$107,6,0)*VLOOKUP('Données projet (1)'!$B$11,'Paramètres (1)'!$A$1:$I$88,7,0))</f>
        <v>#REF!</v>
      </c>
      <c r="BO49" s="135" t="str">
        <f t="shared" si="34"/>
        <v>#REF!</v>
      </c>
      <c r="BP49" s="142" t="str">
        <f>EXP(-LN(2)/35)*BP48+(1-EXP(-LN(2)/35))/(LN(2)/35)*BL49*BM49*VLOOKUP('Données projet (1)'!$B$11,'Paramètres (1)'!$A$1:$I$88,3,0)*0.475*44/12</f>
        <v>#REF!</v>
      </c>
      <c r="BQ49" s="142" t="str">
        <f>EXP(-LN(2)/25)*BQ48+(1-EXP(-LN(2)/25))/(LN(2)/25)*'Calculateur (1)'!BL49*'Calculateur (1)'!BN49*VLOOKUP('Données projet (1)'!$B$11,'Paramètres (1)'!$A$1:$I$88,3,0)*0.475*44/12</f>
        <v>#REF!</v>
      </c>
      <c r="BR49" s="142" t="str">
        <f>EXP(-LN(2)/2)*BR48+(1-EXP(-LN(2)/2))/(LN(2)/2)*BL49*BO49*VLOOKUP('Données projet (1)'!$B$11,'Paramètres (1)'!$A$1:$I$88,3,0)*0.475*44/12</f>
        <v>#REF!</v>
      </c>
      <c r="BS49" s="143" t="str">
        <f t="shared" si="35"/>
        <v>#REF!</v>
      </c>
      <c r="BT49" s="139" t="str">
        <f t="shared" si="36"/>
        <v>#REF!</v>
      </c>
      <c r="BU49" s="131">
        <f t="shared" si="37"/>
        <v>10</v>
      </c>
      <c r="BV49" s="131" t="str">
        <f t="shared" si="120"/>
        <v>#REF!</v>
      </c>
      <c r="BW49" s="131" t="str">
        <f t="shared" si="38"/>
        <v>#REF!</v>
      </c>
      <c r="BX49" s="131" t="str">
        <f t="array" ref="BX49">INDEX(BW:BW,MIN(IF(ISNUMBER(BW49:BW245),ROW(BW49:BW245),"")))</f>
        <v/>
      </c>
      <c r="BY49" s="131" t="str">
        <f t="shared" si="121"/>
        <v>#REF!</v>
      </c>
      <c r="BZ49" s="130" t="str">
        <f>BY49*VLOOKUP('Données projet (1)'!$B$12,'Paramètres (1)'!$A$1:$I$88,3,0)*VLOOKUP('Données projet (1)'!$B$12,'Paramètres (1)'!$A$1:$I$88,5,0)</f>
        <v>#REF!</v>
      </c>
      <c r="CA49" s="130" t="str">
        <f t="shared" si="122"/>
        <v>#REF!</v>
      </c>
      <c r="CB49" s="141" t="str">
        <f t="shared" si="39"/>
        <v>#REF!</v>
      </c>
      <c r="CC49" s="133" t="str">
        <f t="shared" si="40"/>
        <v>#REF!</v>
      </c>
      <c r="CD49" s="133" t="str">
        <f t="shared" si="41"/>
        <v>#REF!</v>
      </c>
      <c r="CE49" s="133" t="str">
        <f t="shared" si="123"/>
        <v>#REF!</v>
      </c>
      <c r="CF49" s="134" t="str">
        <f t="shared" si="42"/>
        <v>#REF!</v>
      </c>
      <c r="CG49" s="134" t="str">
        <f t="shared" si="43"/>
        <v>#REF!</v>
      </c>
      <c r="CH49" s="135" t="str">
        <f>IF(ISNA(VLOOKUP(A49,'Données projet (1)'!$A$113:$I$133,5,0)),0%,VLOOKUP(A49,'Données projet (1)'!$A$113:$I$133,5,0)*VLOOKUP('Données projet (1)'!$B$12,'Paramètres (1)'!$A$1:$I$88,7,0))</f>
        <v>#REF!</v>
      </c>
      <c r="CI49" s="135" t="str">
        <f>IF(ISNA(VLOOKUP(A49,'Données projet (1)'!$A$113:$I$133,6,0)),0%,VLOOKUP(A49,'Données projet (1)'!$A$113:$I$133,6,0)*VLOOKUP('Données projet (1)'!$B$12,'Paramètres (1)'!$A$1:$I$88,7,0))</f>
        <v>#REF!</v>
      </c>
      <c r="CJ49" s="135" t="str">
        <f t="shared" si="44"/>
        <v>#REF!</v>
      </c>
      <c r="CK49" s="142" t="str">
        <f>EXP(-LN(2)/35)*CK48+(1-EXP(-LN(2)/35))/(LN(2)/35)*CG49*CH49*VLOOKUP('Données projet (1)'!$B$12,'Paramètres (1)'!$A$1:$I$88,3,0)*0.475*44/12</f>
        <v>#REF!</v>
      </c>
      <c r="CL49" s="142" t="str">
        <f>EXP(-LN(2)/25)*CL48+(1-EXP(-LN(2)/25))/(LN(2)/25)*'Calculateur (1)'!CG49*'Calculateur (1)'!CI49*VLOOKUP('Données projet (1)'!$B$12,'Paramètres (1)'!$A$1:$I$88,3,0)*0.475*44/12</f>
        <v>#REF!</v>
      </c>
      <c r="CM49" s="142" t="str">
        <f>EXP(-LN(2)/2)*CM48+(1-EXP(-LN(2)/2))/(LN(2)/2)*CG49*CJ49*VLOOKUP('Données projet (1)'!$B$12,'Paramètres (1)'!$A$1:$I$88,3,0)*0.475*44/12</f>
        <v>#REF!</v>
      </c>
      <c r="CN49" s="143" t="str">
        <f t="shared" si="45"/>
        <v>#REF!</v>
      </c>
      <c r="CO49" s="139" t="str">
        <f t="shared" si="46"/>
        <v>#REF!</v>
      </c>
      <c r="CP49" s="131">
        <f t="shared" si="47"/>
        <v>10</v>
      </c>
      <c r="CQ49" s="131" t="str">
        <f t="shared" si="124"/>
        <v>#REF!</v>
      </c>
      <c r="CR49" s="131" t="str">
        <f t="shared" si="48"/>
        <v>#REF!</v>
      </c>
      <c r="CS49" s="131" t="str">
        <f t="array" ref="CS49">INDEX(CR:CR,MIN(IF(ISNUMBER(CR49:CR245),ROW(CR49:CR245),"")))</f>
        <v/>
      </c>
      <c r="CT49" s="131" t="str">
        <f t="shared" si="125"/>
        <v>#REF!</v>
      </c>
      <c r="CU49" s="138" t="str">
        <f>CT49*VLOOKUP('Données projet (1)'!$B$13,'Paramètres (1)'!$A$1:$I$88,3,0)*VLOOKUP('Données projet (1)'!$B$13,'Paramètres (1)'!$A$1:$I$88,5,0)</f>
        <v>#REF!</v>
      </c>
      <c r="CV49" s="130" t="str">
        <f t="shared" si="126"/>
        <v>#REF!</v>
      </c>
      <c r="CW49" s="141" t="str">
        <f t="shared" si="49"/>
        <v>#REF!</v>
      </c>
      <c r="CX49" s="133" t="str">
        <f t="shared" si="50"/>
        <v>#REF!</v>
      </c>
      <c r="CY49" s="133" t="str">
        <f t="shared" si="51"/>
        <v>#REF!</v>
      </c>
      <c r="CZ49" s="133" t="str">
        <f t="shared" si="127"/>
        <v>#REF!</v>
      </c>
      <c r="DA49" s="134" t="str">
        <f t="shared" si="52"/>
        <v>#REF!</v>
      </c>
      <c r="DB49" s="134" t="str">
        <f t="shared" si="53"/>
        <v>#REF!</v>
      </c>
      <c r="DC49" s="135" t="str">
        <f>IF(ISNA(VLOOKUP(A49,'Données projet (1)'!$A$139:$I$159,5,0)),0%,VLOOKUP(A49,'Données projet (1)'!$A$139:$I$159,5,0)*VLOOKUP('Données projet (1)'!$B$13,'Paramètres (1)'!$A$1:$I$88,7,0))</f>
        <v>#REF!</v>
      </c>
      <c r="DD49" s="135" t="str">
        <f>IF(ISNA(VLOOKUP(A49,'Données projet (1)'!$A$139:$I$159,6,0)),0%,VLOOKUP(A49,'Données projet (1)'!$A$139:$I$159,6,0)*VLOOKUP('Données projet (1)'!$B$13,'Paramètres (1)'!$A$1:$I$88,7,0))</f>
        <v>#REF!</v>
      </c>
      <c r="DE49" s="135" t="str">
        <f t="shared" si="54"/>
        <v>#REF!</v>
      </c>
      <c r="DF49" s="142" t="str">
        <f>EXP(-LN(2)/35)*DF48+(1-EXP(-LN(2)/35))/(LN(2)/35)*DB49*DC49*VLOOKUP('Données projet (1)'!$B$13,'Paramètres (1)'!$A$1:$I$88,3,0)*0.475*44/12</f>
        <v>#REF!</v>
      </c>
      <c r="DG49" s="142" t="str">
        <f>EXP(-LN(2)/25)*DG48+(1-EXP(-LN(2)/25))/(LN(2)/25)*'Calculateur (1)'!DB49*'Calculateur (1)'!DD49*VLOOKUP('Données projet (1)'!$B$13,'Paramètres (1)'!$A$1:$I$88,3,0)*0.475*44/12</f>
        <v>#REF!</v>
      </c>
      <c r="DH49" s="142" t="str">
        <f>EXP(-LN(2)/2)*DH48+(1-EXP(-LN(2)/2))/(LN(2)/2)*DB49*DE49*VLOOKUP('Données projet (1)'!$B$13,'Paramètres (1)'!$A$1:$I$88,3,0)*0.475*44/12</f>
        <v>#REF!</v>
      </c>
      <c r="DI49" s="143" t="str">
        <f t="shared" si="55"/>
        <v>#REF!</v>
      </c>
      <c r="DJ49" s="139" t="str">
        <f t="shared" si="56"/>
        <v>#REF!</v>
      </c>
      <c r="DK49" s="131">
        <f t="shared" si="57"/>
        <v>10</v>
      </c>
      <c r="DL49" s="131" t="str">
        <f t="shared" si="128"/>
        <v>#REF!</v>
      </c>
      <c r="DM49" s="131" t="str">
        <f t="shared" si="58"/>
        <v>#REF!</v>
      </c>
      <c r="DN49" s="131" t="str">
        <f t="array" ref="DN49">INDEX(DM:DM,MIN(IF(ISNUMBER(DM49:DM245),ROW(DM49:DM245),"")))</f>
        <v/>
      </c>
      <c r="DO49" s="131" t="str">
        <f t="shared" si="129"/>
        <v>#REF!</v>
      </c>
      <c r="DP49" s="138" t="str">
        <f>DO49*VLOOKUP('Données projet (1)'!$B$14,'Paramètres (1)'!$A$1:$I$88,3,0)*VLOOKUP('Données projet (1)'!$B$14,'Paramètres (1)'!$A$1:$I$88,5,0)</f>
        <v>#REF!</v>
      </c>
      <c r="DQ49" s="130" t="str">
        <f t="shared" si="130"/>
        <v>#REF!</v>
      </c>
      <c r="DR49" s="141" t="str">
        <f t="shared" si="59"/>
        <v>#REF!</v>
      </c>
      <c r="DS49" s="133" t="str">
        <f t="shared" si="60"/>
        <v>#REF!</v>
      </c>
      <c r="DT49" s="133" t="str">
        <f t="shared" si="61"/>
        <v>#REF!</v>
      </c>
      <c r="DU49" s="133" t="str">
        <f t="shared" si="131"/>
        <v>#REF!</v>
      </c>
      <c r="DV49" s="134" t="str">
        <f t="shared" si="62"/>
        <v>#REF!</v>
      </c>
      <c r="DW49" s="134" t="str">
        <f t="shared" si="63"/>
        <v>#REF!</v>
      </c>
      <c r="DX49" s="135" t="str">
        <f>IF(ISNA(VLOOKUP(A49,'Données projet (1)'!$A$165:$I$185,5,0)),0%,VLOOKUP(A49,'Données projet (1)'!$A$165:$I$185,5,0)*VLOOKUP('Données projet (1)'!$B$14,'Paramètres (1)'!$A$1:$I$88,7,0))</f>
        <v>#REF!</v>
      </c>
      <c r="DY49" s="135" t="str">
        <f>IF(ISNA(VLOOKUP(A49,'Données projet (1)'!$A$165:$I$185,6,0)),0%,VLOOKUP(A49,'Données projet (1)'!$A$165:$I$185,6,0)*VLOOKUP('Données projet (1)'!$B$14,'Paramètres (1)'!$A$1:$I$88,7,0))</f>
        <v>#REF!</v>
      </c>
      <c r="DZ49" s="135" t="str">
        <f t="shared" si="64"/>
        <v>#REF!</v>
      </c>
      <c r="EA49" s="142" t="str">
        <f>EXP(-LN(2)/35)*EA48+(1-EXP(-LN(2)/35))/(LN(2)/35)*DW49*DX49*VLOOKUP('Données projet (1)'!$B$14,'Paramètres (1)'!$A$1:$I$88,3,0)*0.475*44/12</f>
        <v>#REF!</v>
      </c>
      <c r="EB49" s="142" t="str">
        <f>EXP(-LN(2)/25)*EB48+(1-EXP(-LN(2)/25))/(LN(2)/25)*'Calculateur (1)'!DW49*'Calculateur (1)'!DY49*VLOOKUP('Données projet (1)'!$B$14,'Paramètres (1)'!$A$1:$I$88,3,0)*0.475*44/12</f>
        <v>#REF!</v>
      </c>
      <c r="EC49" s="142" t="str">
        <f>EXP(-LN(2)/2)*EC48+(1-EXP(-LN(2)/2))/(LN(2)/2)*DW49*DZ49*VLOOKUP('Données projet (1)'!$B$14,'Paramètres (1)'!$A$1:$I$88,3,0)*0.475*44/12</f>
        <v>#REF!</v>
      </c>
      <c r="ED49" s="143" t="str">
        <f t="shared" si="65"/>
        <v>#REF!</v>
      </c>
      <c r="EE49" s="139" t="str">
        <f t="shared" si="66"/>
        <v>#REF!</v>
      </c>
      <c r="EF49" s="131">
        <f t="shared" si="67"/>
        <v>10</v>
      </c>
      <c r="EG49" s="131" t="str">
        <f t="shared" si="132"/>
        <v>#REF!</v>
      </c>
      <c r="EH49" s="131" t="str">
        <f t="shared" si="68"/>
        <v>#REF!</v>
      </c>
      <c r="EI49" s="131" t="str">
        <f t="array" ref="EI49">INDEX(EH:EH,MIN(IF(ISNUMBER(EH49:EH245),ROW(EH49:EH245),"")))</f>
        <v/>
      </c>
      <c r="EJ49" s="131" t="str">
        <f t="shared" si="133"/>
        <v>#REF!</v>
      </c>
      <c r="EK49" s="138" t="str">
        <f>EJ49*VLOOKUP('Données projet (1)'!$B$15,'Paramètres (1)'!$A$1:$I$88,3,0)*VLOOKUP('Données projet (1)'!$B$15,'Paramètres (1)'!$A$1:$I$88,5,0)</f>
        <v>#REF!</v>
      </c>
      <c r="EL49" s="130" t="str">
        <f t="shared" si="134"/>
        <v>#REF!</v>
      </c>
      <c r="EM49" s="141" t="str">
        <f t="shared" si="69"/>
        <v>#REF!</v>
      </c>
      <c r="EN49" s="133" t="str">
        <f t="shared" si="70"/>
        <v>#REF!</v>
      </c>
      <c r="EO49" s="133" t="str">
        <f t="shared" si="71"/>
        <v>#REF!</v>
      </c>
      <c r="EP49" s="133" t="str">
        <f t="shared" si="135"/>
        <v>#REF!</v>
      </c>
      <c r="EQ49" s="134" t="str">
        <f t="shared" si="72"/>
        <v>#REF!</v>
      </c>
      <c r="ER49" s="134" t="str">
        <f t="shared" si="73"/>
        <v>#REF!</v>
      </c>
      <c r="ES49" s="135" t="str">
        <f>IF(ISNA(VLOOKUP(A49,'Données projet (1)'!$A$191:$I$211,5,0)),0%,VLOOKUP(A49,'Données projet (1)'!$A$191:$I$211,5,0)*VLOOKUP('Données projet (1)'!$B$15,'Paramètres (1)'!$A$1:$I$88,7,0))</f>
        <v>#REF!</v>
      </c>
      <c r="ET49" s="135" t="str">
        <f>IF(ISNA(VLOOKUP(A49,'Données projet (1)'!$A$191:$I$211,6,0)),0%,VLOOKUP(A49,'Données projet (1)'!$A$191:$I$211,6,0)*VLOOKUP('Données projet (1)'!$B$15,'Paramètres (1)'!$A$1:$I$88,7,0))</f>
        <v>#REF!</v>
      </c>
      <c r="EU49" s="135" t="str">
        <f t="shared" si="74"/>
        <v>#REF!</v>
      </c>
      <c r="EV49" s="142" t="str">
        <f>EXP(-LN(2)/35)*EV48+(1-EXP(-LN(2)/35))/(LN(2)/35)*ER49*ES49*VLOOKUP('Données projet (1)'!$B$15,'Paramètres (1)'!$A$1:$I$88,3,0)*0.475*44/12</f>
        <v>#REF!</v>
      </c>
      <c r="EW49" s="142" t="str">
        <f>EXP(-LN(2)/25)*EW48+(1-EXP(-LN(2)/25))/(LN(2)/25)*'Calculateur (1)'!ER49*'Calculateur (1)'!ET49*VLOOKUP('Données projet (1)'!$B$15,'Paramètres (1)'!$A$1:$I$88,3,0)*0.475*44/12</f>
        <v>#REF!</v>
      </c>
      <c r="EX49" s="142" t="str">
        <f>EXP(-LN(2)/2)*EX48+(1-EXP(-LN(2)/2))/(LN(2)/2)*ER49*EU49*VLOOKUP('Données projet (1)'!$B$15,'Paramètres (1)'!$A$1:$I$88,3,0)*0.475*44/12</f>
        <v>#REF!</v>
      </c>
      <c r="EY49" s="143" t="str">
        <f t="shared" si="75"/>
        <v>#REF!</v>
      </c>
      <c r="EZ49" s="139" t="str">
        <f t="shared" si="76"/>
        <v>#REF!</v>
      </c>
      <c r="FA49" s="131">
        <f t="shared" si="77"/>
        <v>10</v>
      </c>
      <c r="FB49" s="131" t="str">
        <f t="shared" si="136"/>
        <v>#REF!</v>
      </c>
      <c r="FC49" s="131" t="str">
        <f t="shared" si="78"/>
        <v>#REF!</v>
      </c>
      <c r="FD49" s="131" t="str">
        <f t="array" ref="FD49">INDEX(FC:FC,MIN(IF(ISNUMBER(FC49:FC245),ROW(FC49:FC245),"")))</f>
        <v/>
      </c>
      <c r="FE49" s="131" t="str">
        <f t="shared" si="137"/>
        <v>#REF!</v>
      </c>
      <c r="FF49" s="138" t="str">
        <f>FE49*VLOOKUP('Données projet (1)'!$B$16,'Paramètres (1)'!$A$1:$I$88,3,0)*VLOOKUP('Données projet (1)'!$B$16,'Paramètres (1)'!$A$1:$I$88,5,0)</f>
        <v>#REF!</v>
      </c>
      <c r="FG49" s="130" t="str">
        <f t="shared" si="138"/>
        <v>#REF!</v>
      </c>
      <c r="FH49" s="141" t="str">
        <f t="shared" si="79"/>
        <v>#REF!</v>
      </c>
      <c r="FI49" s="133" t="str">
        <f t="shared" si="80"/>
        <v>#REF!</v>
      </c>
      <c r="FJ49" s="133" t="str">
        <f t="shared" si="81"/>
        <v>#REF!</v>
      </c>
      <c r="FK49" s="133" t="str">
        <f t="shared" si="139"/>
        <v>#REF!</v>
      </c>
      <c r="FL49" s="134" t="str">
        <f t="shared" si="82"/>
        <v>#REF!</v>
      </c>
      <c r="FM49" s="134" t="str">
        <f t="shared" si="83"/>
        <v>#REF!</v>
      </c>
      <c r="FN49" s="135" t="str">
        <f>IF(ISNA(VLOOKUP(A49,'Données projet (1)'!$A$217:$I$237,5,0)),0%,VLOOKUP(A49,'Données projet (1)'!$A$217:$I$237,5,0)*VLOOKUP('Données projet (1)'!$B$16,'Paramètres (1)'!$A$1:$I$88,7,0))</f>
        <v>#REF!</v>
      </c>
      <c r="FO49" s="135" t="str">
        <f>IF(ISNA(VLOOKUP(A49,'Données projet (1)'!$A$217:$I$237,6,0)),0%,VLOOKUP(A49,'Données projet (1)'!$A$217:$I$237,6,0)*VLOOKUP('Données projet (1)'!$B$16,'Paramètres (1)'!$A$1:$I$88,7,0))</f>
        <v>#REF!</v>
      </c>
      <c r="FP49" s="135" t="str">
        <f t="shared" si="84"/>
        <v>#REF!</v>
      </c>
      <c r="FQ49" s="142" t="str">
        <f>EXP(-LN(2)/35)*FQ48+(1-EXP(-LN(2)/35))/(LN(2)/35)*FM49*FN49*VLOOKUP('Données projet (1)'!$B$16,'Paramètres (1)'!$A$1:$I$88,3,0)*0.475*44/12</f>
        <v>#REF!</v>
      </c>
      <c r="FR49" s="142" t="str">
        <f>EXP(-LN(2)/25)*FR48+(1-EXP(-LN(2)/25))/(LN(2)/25)*'Calculateur (1)'!FM49*'Calculateur (1)'!FO49*VLOOKUP('Données projet (1)'!$B$16,'Paramètres (1)'!$A$1:$I$88,3,0)*0.475*44/12</f>
        <v>#REF!</v>
      </c>
      <c r="FS49" s="142" t="str">
        <f>EXP(-LN(2)/2)*FS48+(1-EXP(-LN(2)/2))/(LN(2)/2)*FM49*FP49*VLOOKUP('Données projet (1)'!$B$16,'Paramètres (1)'!$A$1:$I$88,3,0)*0.475*44/12</f>
        <v>#REF!</v>
      </c>
      <c r="FT49" s="143" t="str">
        <f t="shared" si="85"/>
        <v>#REF!</v>
      </c>
      <c r="FU49" s="139" t="str">
        <f t="shared" si="86"/>
        <v>#REF!</v>
      </c>
      <c r="FV49" s="131">
        <f t="shared" si="87"/>
        <v>10</v>
      </c>
      <c r="FW49" s="131" t="str">
        <f t="shared" si="140"/>
        <v>#REF!</v>
      </c>
      <c r="FX49" s="131" t="str">
        <f t="shared" si="88"/>
        <v>#REF!</v>
      </c>
      <c r="FY49" s="131" t="str">
        <f t="array" ref="FY49">INDEX(FX:FX,MIN(IF(ISNUMBER(FX49:FX245),ROW(FX49:FX245),"")))</f>
        <v/>
      </c>
      <c r="FZ49" s="131" t="str">
        <f t="shared" si="141"/>
        <v>#REF!</v>
      </c>
      <c r="GA49" s="138" t="str">
        <f>FZ49*VLOOKUP('Données projet (1)'!$B$17,'Paramètres (1)'!$A$1:$I$88,3,0)*VLOOKUP('Données projet (1)'!$B$17,'Paramètres (1)'!$A$1:$I$88,5,0)</f>
        <v>#REF!</v>
      </c>
      <c r="GB49" s="130" t="str">
        <f t="shared" si="142"/>
        <v>#REF!</v>
      </c>
      <c r="GC49" s="141" t="str">
        <f t="shared" si="89"/>
        <v>#REF!</v>
      </c>
      <c r="GD49" s="133" t="str">
        <f t="shared" si="90"/>
        <v>#REF!</v>
      </c>
      <c r="GE49" s="133" t="str">
        <f t="shared" si="91"/>
        <v>#REF!</v>
      </c>
      <c r="GF49" s="133" t="str">
        <f t="shared" si="143"/>
        <v>#REF!</v>
      </c>
      <c r="GG49" s="134" t="str">
        <f t="shared" si="92"/>
        <v>#REF!</v>
      </c>
      <c r="GH49" s="134" t="str">
        <f t="shared" si="93"/>
        <v>#REF!</v>
      </c>
      <c r="GI49" s="135" t="str">
        <f>IF(ISNA(VLOOKUP(A49,'Données projet (1)'!$A$243:$I$263,5,0)),0%,VLOOKUP(A49,'Données projet (1)'!$A$243:$I$263,5,0)*VLOOKUP('Données projet (1)'!$B$17,'Paramètres (1)'!$A$1:$I$88,7,0))</f>
        <v>#REF!</v>
      </c>
      <c r="GJ49" s="135" t="str">
        <f>IF(ISNA(VLOOKUP(A49,'Données projet (1)'!$A$243:$I$263,6,0)),0%,VLOOKUP(A49,'Données projet (1)'!$A$243:$I$263,6,0)*VLOOKUP('Données projet (1)'!$B$17,'Paramètres (1)'!$A$1:$I$88,7,0))</f>
        <v>#REF!</v>
      </c>
      <c r="GK49" s="135" t="str">
        <f t="shared" si="94"/>
        <v>#REF!</v>
      </c>
      <c r="GL49" s="142" t="str">
        <f>EXP(-LN(2)/35)*GL48+(1-EXP(-LN(2)/35))/(LN(2)/35)*GH49*GI49*VLOOKUP('Données projet (1)'!$B$17,'Paramètres (1)'!$A$1:$I$88,3,0)*0.475*44/12</f>
        <v>#REF!</v>
      </c>
      <c r="GM49" s="142" t="str">
        <f>EXP(-LN(2)/25)*GM48+(1-EXP(-LN(2)/25))/(LN(2)/25)*'Calculateur (1)'!GH49*'Calculateur (1)'!GJ49*VLOOKUP('Données projet (1)'!$B$17,'Paramètres (1)'!$A$1:$I$88,3,0)*0.475*44/12</f>
        <v>#REF!</v>
      </c>
      <c r="GN49" s="142" t="str">
        <f>EXP(-LN(2)/2)*GN48+(1-EXP(-LN(2)/2))/(LN(2)/2)*GH49*GK49*VLOOKUP('Données projet (1)'!$B$17,'Paramètres (1)'!$A$1:$I$88,3,0)*0.475*44/12</f>
        <v>#REF!</v>
      </c>
      <c r="GO49" s="142" t="str">
        <f t="shared" si="95"/>
        <v>#REF!</v>
      </c>
      <c r="GP49" s="139" t="str">
        <f t="shared" si="96"/>
        <v>#REF!</v>
      </c>
      <c r="GQ49" s="131">
        <f t="shared" si="97"/>
        <v>10</v>
      </c>
      <c r="GR49" s="131" t="str">
        <f t="shared" si="144"/>
        <v>#REF!</v>
      </c>
      <c r="GS49" s="131" t="str">
        <f t="shared" si="98"/>
        <v>#REF!</v>
      </c>
      <c r="GT49" s="131" t="str">
        <f t="array" ref="GT49">INDEX(GS:GS,MIN(IF(ISNUMBER(GS49:GS245),ROW(GS49:GS245),"")))</f>
        <v/>
      </c>
      <c r="GU49" s="131" t="str">
        <f t="shared" si="145"/>
        <v>#REF!</v>
      </c>
      <c r="GV49" s="138" t="str">
        <f>GU49*VLOOKUP('Données projet (1)'!$B$18,'Paramètres (1)'!$A$1:$I$88,3,0)*VLOOKUP('Données projet (1)'!$B$18,'Paramètres (1)'!$A$1:$I$88,5,0)</f>
        <v>#REF!</v>
      </c>
      <c r="GW49" s="130" t="str">
        <f t="shared" si="146"/>
        <v>#REF!</v>
      </c>
      <c r="GX49" s="141" t="str">
        <f t="shared" si="99"/>
        <v>#REF!</v>
      </c>
      <c r="GY49" s="133" t="str">
        <f t="shared" si="100"/>
        <v>#REF!</v>
      </c>
      <c r="GZ49" s="133" t="str">
        <f t="shared" si="101"/>
        <v>#REF!</v>
      </c>
      <c r="HA49" s="133" t="str">
        <f t="shared" si="147"/>
        <v>#REF!</v>
      </c>
      <c r="HB49" s="134" t="str">
        <f t="shared" si="102"/>
        <v>#REF!</v>
      </c>
      <c r="HC49" s="134" t="str">
        <f t="shared" si="103"/>
        <v>#REF!</v>
      </c>
      <c r="HD49" s="135" t="str">
        <f>IF(ISNA(VLOOKUP(A49,'Données projet (1)'!$A$269:$I$289,5,0)),0%,VLOOKUP(A49,'Données projet (1)'!$A$269:$I$289,5,0)*VLOOKUP('Données projet (1)'!$B$18,'Paramètres (1)'!$A$1:$I$88,7,0))</f>
        <v>#REF!</v>
      </c>
      <c r="HE49" s="135" t="str">
        <f>IF(ISNA(VLOOKUP(A49,'Données projet (1)'!$A$269:$I$289,6,0)),0%,VLOOKUP(A49,'Données projet (1)'!$A$269:$I$289,6,0)*VLOOKUP('Données projet (1)'!$B$18,'Paramètres (1)'!$A$1:$I$88,7,0))</f>
        <v>#REF!</v>
      </c>
      <c r="HF49" s="135" t="str">
        <f t="shared" si="104"/>
        <v>#REF!</v>
      </c>
      <c r="HG49" s="142" t="str">
        <f>EXP(-LN(2)/35)*HG48+(1-EXP(-LN(2)/35))/(LN(2)/35)*HC49*HD49*VLOOKUP('Données projet (1)'!$B$18,'Paramètres (1)'!$A$1:$I$88,3,0)*0.475*44/12</f>
        <v>#REF!</v>
      </c>
      <c r="HH49" s="142" t="str">
        <f>EXP(-LN(2)/25)*HH48+(1-EXP(-LN(2)/25))/(LN(2)/25)*'Calculateur (1)'!HC49*'Calculateur (1)'!HE49*VLOOKUP('Données projet (1)'!$B$18,'Paramètres (1)'!$A$1:$I$88,3,0)*0.475*44/12</f>
        <v>#REF!</v>
      </c>
      <c r="HI49" s="142" t="str">
        <f>EXP(-LN(2)/2)*HI48+(1-EXP(-LN(2)/2))/(LN(2)/2)*HC49*HF49*VLOOKUP('Données projet (1)'!$B$18,'Paramètres (1)'!$A$1:$I$88,3,0)*0.475*44/12</f>
        <v>#REF!</v>
      </c>
      <c r="HJ49" s="143" t="str">
        <f t="shared" si="105"/>
        <v>#REF!</v>
      </c>
    </row>
    <row r="50" ht="14.25" customHeight="1">
      <c r="A50" s="125">
        <f t="shared" si="106"/>
        <v>47</v>
      </c>
      <c r="B50" s="126" t="str">
        <f t="shared" si="1"/>
        <v>#REF!</v>
      </c>
      <c r="C50" s="140" t="str">
        <f>'Calculateur (1)'!C49+'Scénario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0" s="127">
        <f t="shared" si="107"/>
        <v>0</v>
      </c>
      <c r="E50" s="127" t="str">
        <f t="shared" si="2"/>
        <v>#REF!</v>
      </c>
      <c r="F50" s="127" t="str">
        <f t="shared" si="3"/>
        <v>#REF!</v>
      </c>
      <c r="G50" s="127" t="str">
        <f t="shared" si="4"/>
        <v>#REF!</v>
      </c>
      <c r="H50" s="128" t="str">
        <f t="shared" si="5"/>
        <v>#REF!</v>
      </c>
      <c r="I50" s="129" t="str">
        <f t="shared" si="6"/>
        <v>#REF!</v>
      </c>
      <c r="J50" s="130">
        <f t="shared" si="7"/>
        <v>10</v>
      </c>
      <c r="K50" s="131" t="str">
        <f t="shared" si="108"/>
        <v>#REF!</v>
      </c>
      <c r="L50" s="131" t="str">
        <f t="shared" si="8"/>
        <v>#REF!</v>
      </c>
      <c r="M50" s="131" t="str">
        <f t="array" ref="M50">INDEX(L:L,MIN(IF(ISNUMBER(L50:L246),ROW(L50:L246),"")))</f>
        <v/>
      </c>
      <c r="N50" s="130" t="str">
        <f t="shared" si="109"/>
        <v>#REF!</v>
      </c>
      <c r="O50" s="130" t="str">
        <f>N50*VLOOKUP('Données projet (1)'!$B$9,'Paramètres (1)'!$A$1:$I$88,3,0)*VLOOKUP('Données projet (1)'!$B$9,'Paramètres (1)'!$A$1:$I$88,5,0)</f>
        <v>#REF!</v>
      </c>
      <c r="P50" s="130" t="str">
        <f t="shared" si="110"/>
        <v>#REF!</v>
      </c>
      <c r="Q50" s="141" t="str">
        <f t="shared" si="9"/>
        <v>#REF!</v>
      </c>
      <c r="R50" s="133" t="str">
        <f t="shared" si="10"/>
        <v>#REF!</v>
      </c>
      <c r="S50" s="133" t="str">
        <f t="shared" si="11"/>
        <v>#REF!</v>
      </c>
      <c r="T50" s="133" t="str">
        <f t="shared" si="111"/>
        <v>#REF!</v>
      </c>
      <c r="U50" s="134" t="str">
        <f t="shared" si="12"/>
        <v>#REF!</v>
      </c>
      <c r="V50" s="134" t="str">
        <f t="shared" si="13"/>
        <v>#REF!</v>
      </c>
      <c r="W50" s="135" t="str">
        <f>IF(ISNA(VLOOKUP(A50,'Données projet (1)'!$A$35:$I$55,5,0)),0%,VLOOKUP(A50,'Données projet (1)'!$A$35:$I$55,5,0)*VLOOKUP('Données projet (1)'!$B$9,'Paramètres (1)'!$A$1:$I$88,7,0))</f>
        <v>#REF!</v>
      </c>
      <c r="X50" s="135" t="str">
        <f>IF(ISNA(VLOOKUP(A50,'Données projet (1)'!$A$35:$I$55,6,0)),0%,VLOOKUP(A50,'Données projet (1)'!$A$35:$I$55,6,0)*VLOOKUP('Données projet (1)'!$B$9,'Paramètres (1)'!$A$1:$I$88,7,0))</f>
        <v>#REF!</v>
      </c>
      <c r="Y50" s="135" t="str">
        <f t="shared" si="14"/>
        <v>#REF!</v>
      </c>
      <c r="Z50" s="142" t="str">
        <f>EXP(-LN(2)/35)*Z49+(1-EXP(-LN(2)/35))/(LN(2)/35)*V50*W50*VLOOKUP('Données projet (1)'!$B$9,'Paramètres (1)'!$A$1:$I$88,3,0)*0.475*44/12</f>
        <v>#REF!</v>
      </c>
      <c r="AA50" s="142" t="str">
        <f>EXP(-LN(2)/25)*AA49+(1-EXP(-LN(2)/25))/(LN(2)/25)*'Calculateur (1)'!V50*'Calculateur (1)'!X50*VLOOKUP('Données projet (1)'!$B$9,'Paramètres (1)'!$A$1:$I$88,3,0)*0.475*44/12</f>
        <v>#REF!</v>
      </c>
      <c r="AB50" s="142" t="str">
        <f>EXP(-LN(2)/2)*AB49+(1-EXP(-LN(2)/2))/(LN(2)/2)*V50*Y50*VLOOKUP('Données projet (1)'!$B$9,'Paramètres (1)'!$A$1:$I$88,3,0)*0.475*44/12</f>
        <v>#REF!</v>
      </c>
      <c r="AC50" s="143" t="str">
        <f t="shared" si="15"/>
        <v>#REF!</v>
      </c>
      <c r="AD50" s="130" t="str">
        <f t="shared" si="16"/>
        <v>#REF!</v>
      </c>
      <c r="AE50" s="130">
        <f t="shared" si="17"/>
        <v>10</v>
      </c>
      <c r="AF50" s="131" t="str">
        <f t="shared" si="112"/>
        <v>#REF!</v>
      </c>
      <c r="AG50" s="131" t="str">
        <f t="shared" si="18"/>
        <v>#REF!</v>
      </c>
      <c r="AH50" s="131" t="str">
        <f t="array" ref="AH50">INDEX(AG:AG,MIN(IF(ISNUMBER(AG50:AG246),ROW(AG50:AG246),"")))</f>
        <v/>
      </c>
      <c r="AI50" s="130" t="str">
        <f t="shared" si="113"/>
        <v>#REF!</v>
      </c>
      <c r="AJ50" s="130" t="str">
        <f>AI50*VLOOKUP('Données projet (1)'!$B$10,'Paramètres (1)'!$A$1:$I$88,3,0)*VLOOKUP('Données projet (1)'!$B$10,'Paramètres (1)'!$A$1:$I$88,5,0)</f>
        <v>#REF!</v>
      </c>
      <c r="AK50" s="130" t="str">
        <f t="shared" si="114"/>
        <v>#REF!</v>
      </c>
      <c r="AL50" s="141" t="str">
        <f t="shared" si="19"/>
        <v>#REF!</v>
      </c>
      <c r="AM50" s="133" t="str">
        <f t="shared" si="20"/>
        <v>#REF!</v>
      </c>
      <c r="AN50" s="133" t="str">
        <f t="shared" si="21"/>
        <v>#REF!</v>
      </c>
      <c r="AO50" s="133" t="str">
        <f t="shared" si="115"/>
        <v>#REF!</v>
      </c>
      <c r="AP50" s="134" t="str">
        <f t="shared" si="22"/>
        <v>#REF!</v>
      </c>
      <c r="AQ50" s="134" t="str">
        <f t="shared" si="23"/>
        <v>#REF!</v>
      </c>
      <c r="AR50" s="135" t="str">
        <f>IF(ISNA(VLOOKUP(A50,'Données projet (1)'!$A$61:$I$81,5,0)),0%,VLOOKUP(A50,'Données projet (1)'!$A$61:$I$81,5,0)*VLOOKUP('Données projet (1)'!$B$10,'Paramètres (1)'!$A$1:$I$88,7,0))</f>
        <v>#REF!</v>
      </c>
      <c r="AS50" s="135" t="str">
        <f>IF(ISNA(VLOOKUP(A50,'Données projet (1)'!$A$61:$I$81,6,0)),0%,VLOOKUP(A50,'Données projet (1)'!$A$61:$I$81,6,0)*VLOOKUP('Données projet (1)'!$B$10,'Paramètres (1)'!$A$1:$I$88,7,0))</f>
        <v>#REF!</v>
      </c>
      <c r="AT50" s="135" t="str">
        <f t="shared" si="24"/>
        <v>#REF!</v>
      </c>
      <c r="AU50" s="142" t="str">
        <f>EXP(-LN(2)/35)*AU49+(1-EXP(-LN(2)/35))/(LN(2)/35)*AQ50*AR50*VLOOKUP('Données projet (1)'!$B$10,'Paramètres (1)'!$A$1:$I$88,3,0)*0.475*44/12</f>
        <v>#REF!</v>
      </c>
      <c r="AV50" s="142" t="str">
        <f>EXP(-LN(2)/25)*AV49+(1-EXP(-LN(2)/25))/(LN(2)/25)*'Calculateur (1)'!AQ50*'Calculateur (1)'!AS50*VLOOKUP('Données projet (1)'!$B$10,'Paramètres (1)'!$A$1:$I$88,3,0)*0.475*44/12</f>
        <v>#REF!</v>
      </c>
      <c r="AW50" s="142" t="str">
        <f>EXP(-LN(2)/2)*AW49+(1-EXP(-LN(2)/2))/(LN(2)/2)*AQ50*AT50*VLOOKUP('Données projet (1)'!$B$10,'Paramètres (1)'!$A$1:$I$88,3,0)*0.475*44/12</f>
        <v>#REF!</v>
      </c>
      <c r="AX50" s="142" t="str">
        <f t="shared" si="25"/>
        <v>#REF!</v>
      </c>
      <c r="AY50" s="137" t="str">
        <f t="shared" si="26"/>
        <v>#REF!</v>
      </c>
      <c r="AZ50" s="131">
        <f t="shared" si="27"/>
        <v>10</v>
      </c>
      <c r="BA50" s="131" t="str">
        <f t="shared" si="116"/>
        <v>#REF!</v>
      </c>
      <c r="BB50" s="131" t="str">
        <f t="shared" si="28"/>
        <v>#REF!</v>
      </c>
      <c r="BC50" s="131" t="str">
        <f t="array" ref="BC50">INDEX(BB:BB,MIN(IF(ISNUMBER(BB50:BB246),ROW(BB50:BB246),"")))</f>
        <v/>
      </c>
      <c r="BD50" s="131" t="str">
        <f t="shared" si="117"/>
        <v>#REF!</v>
      </c>
      <c r="BE50" s="130" t="str">
        <f>BD50*VLOOKUP('Données projet (1)'!$B$11,'Paramètres (1)'!$A$1:$I$88,3,0)*VLOOKUP('Données projet (1)'!$B$11,'Paramètres (1)'!$A$1:$I$88,5,0)</f>
        <v>#REF!</v>
      </c>
      <c r="BF50" s="130" t="str">
        <f t="shared" si="118"/>
        <v>#REF!</v>
      </c>
      <c r="BG50" s="141" t="str">
        <f t="shared" si="29"/>
        <v>#REF!</v>
      </c>
      <c r="BH50" s="133" t="str">
        <f t="shared" si="30"/>
        <v>#REF!</v>
      </c>
      <c r="BI50" s="133" t="str">
        <f t="shared" si="31"/>
        <v>#REF!</v>
      </c>
      <c r="BJ50" s="133" t="str">
        <f t="shared" si="119"/>
        <v>#REF!</v>
      </c>
      <c r="BK50" s="134" t="str">
        <f t="shared" si="32"/>
        <v>#REF!</v>
      </c>
      <c r="BL50" s="134" t="str">
        <f t="shared" si="33"/>
        <v>#REF!</v>
      </c>
      <c r="BM50" s="135" t="str">
        <f>IF(ISNA(VLOOKUP(A50,'Données projet (1)'!$A$87:$I$107,5,0)),0%,VLOOKUP(A50,'Données projet (1)'!$A$87:$I$107,5,0)*VLOOKUP('Données projet (1)'!$B$11,'Paramètres (1)'!$A$1:$I$88,7,0))</f>
        <v>#REF!</v>
      </c>
      <c r="BN50" s="135" t="str">
        <f>IF(ISNA(VLOOKUP(A50,'Données projet (1)'!$A$87:$I$107,6,0)),0%,VLOOKUP(A50,'Données projet (1)'!$A$87:$I$107,6,0)*VLOOKUP('Données projet (1)'!$B$11,'Paramètres (1)'!$A$1:$I$88,7,0))</f>
        <v>#REF!</v>
      </c>
      <c r="BO50" s="135" t="str">
        <f t="shared" si="34"/>
        <v>#REF!</v>
      </c>
      <c r="BP50" s="142" t="str">
        <f>EXP(-LN(2)/35)*BP49+(1-EXP(-LN(2)/35))/(LN(2)/35)*BL50*BM50*VLOOKUP('Données projet (1)'!$B$11,'Paramètres (1)'!$A$1:$I$88,3,0)*0.475*44/12</f>
        <v>#REF!</v>
      </c>
      <c r="BQ50" s="142" t="str">
        <f>EXP(-LN(2)/25)*BQ49+(1-EXP(-LN(2)/25))/(LN(2)/25)*'Calculateur (1)'!BL50*'Calculateur (1)'!BN50*VLOOKUP('Données projet (1)'!$B$11,'Paramètres (1)'!$A$1:$I$88,3,0)*0.475*44/12</f>
        <v>#REF!</v>
      </c>
      <c r="BR50" s="142" t="str">
        <f>EXP(-LN(2)/2)*BR49+(1-EXP(-LN(2)/2))/(LN(2)/2)*BL50*BO50*VLOOKUP('Données projet (1)'!$B$11,'Paramètres (1)'!$A$1:$I$88,3,0)*0.475*44/12</f>
        <v>#REF!</v>
      </c>
      <c r="BS50" s="143" t="str">
        <f t="shared" si="35"/>
        <v>#REF!</v>
      </c>
      <c r="BT50" s="139" t="str">
        <f t="shared" si="36"/>
        <v>#REF!</v>
      </c>
      <c r="BU50" s="131">
        <f t="shared" si="37"/>
        <v>10</v>
      </c>
      <c r="BV50" s="131" t="str">
        <f t="shared" si="120"/>
        <v>#REF!</v>
      </c>
      <c r="BW50" s="131" t="str">
        <f t="shared" si="38"/>
        <v>#REF!</v>
      </c>
      <c r="BX50" s="131" t="str">
        <f t="array" ref="BX50">INDEX(BW:BW,MIN(IF(ISNUMBER(BW50:BW246),ROW(BW50:BW246),"")))</f>
        <v/>
      </c>
      <c r="BY50" s="131" t="str">
        <f t="shared" si="121"/>
        <v>#REF!</v>
      </c>
      <c r="BZ50" s="130" t="str">
        <f>BY50*VLOOKUP('Données projet (1)'!$B$12,'Paramètres (1)'!$A$1:$I$88,3,0)*VLOOKUP('Données projet (1)'!$B$12,'Paramètres (1)'!$A$1:$I$88,5,0)</f>
        <v>#REF!</v>
      </c>
      <c r="CA50" s="130" t="str">
        <f t="shared" si="122"/>
        <v>#REF!</v>
      </c>
      <c r="CB50" s="141" t="str">
        <f t="shared" si="39"/>
        <v>#REF!</v>
      </c>
      <c r="CC50" s="133" t="str">
        <f t="shared" si="40"/>
        <v>#REF!</v>
      </c>
      <c r="CD50" s="133" t="str">
        <f t="shared" si="41"/>
        <v>#REF!</v>
      </c>
      <c r="CE50" s="133" t="str">
        <f t="shared" si="123"/>
        <v>#REF!</v>
      </c>
      <c r="CF50" s="134" t="str">
        <f t="shared" si="42"/>
        <v>#REF!</v>
      </c>
      <c r="CG50" s="134" t="str">
        <f t="shared" si="43"/>
        <v>#REF!</v>
      </c>
      <c r="CH50" s="135" t="str">
        <f>IF(ISNA(VLOOKUP(A50,'Données projet (1)'!$A$113:$I$133,5,0)),0%,VLOOKUP(A50,'Données projet (1)'!$A$113:$I$133,5,0)*VLOOKUP('Données projet (1)'!$B$12,'Paramètres (1)'!$A$1:$I$88,7,0))</f>
        <v>#REF!</v>
      </c>
      <c r="CI50" s="135" t="str">
        <f>IF(ISNA(VLOOKUP(A50,'Données projet (1)'!$A$113:$I$133,6,0)),0%,VLOOKUP(A50,'Données projet (1)'!$A$113:$I$133,6,0)*VLOOKUP('Données projet (1)'!$B$12,'Paramètres (1)'!$A$1:$I$88,7,0))</f>
        <v>#REF!</v>
      </c>
      <c r="CJ50" s="135" t="str">
        <f t="shared" si="44"/>
        <v>#REF!</v>
      </c>
      <c r="CK50" s="142" t="str">
        <f>EXP(-LN(2)/35)*CK49+(1-EXP(-LN(2)/35))/(LN(2)/35)*CG50*CH50*VLOOKUP('Données projet (1)'!$B$12,'Paramètres (1)'!$A$1:$I$88,3,0)*0.475*44/12</f>
        <v>#REF!</v>
      </c>
      <c r="CL50" s="142" t="str">
        <f>EXP(-LN(2)/25)*CL49+(1-EXP(-LN(2)/25))/(LN(2)/25)*'Calculateur (1)'!CG50*'Calculateur (1)'!CI50*VLOOKUP('Données projet (1)'!$B$12,'Paramètres (1)'!$A$1:$I$88,3,0)*0.475*44/12</f>
        <v>#REF!</v>
      </c>
      <c r="CM50" s="142" t="str">
        <f>EXP(-LN(2)/2)*CM49+(1-EXP(-LN(2)/2))/(LN(2)/2)*CG50*CJ50*VLOOKUP('Données projet (1)'!$B$12,'Paramètres (1)'!$A$1:$I$88,3,0)*0.475*44/12</f>
        <v>#REF!</v>
      </c>
      <c r="CN50" s="143" t="str">
        <f t="shared" si="45"/>
        <v>#REF!</v>
      </c>
      <c r="CO50" s="139" t="str">
        <f t="shared" si="46"/>
        <v>#REF!</v>
      </c>
      <c r="CP50" s="131">
        <f t="shared" si="47"/>
        <v>10</v>
      </c>
      <c r="CQ50" s="131" t="str">
        <f t="shared" si="124"/>
        <v>#REF!</v>
      </c>
      <c r="CR50" s="131" t="str">
        <f t="shared" si="48"/>
        <v>#REF!</v>
      </c>
      <c r="CS50" s="131" t="str">
        <f t="array" ref="CS50">INDEX(CR:CR,MIN(IF(ISNUMBER(CR50:CR246),ROW(CR50:CR246),"")))</f>
        <v/>
      </c>
      <c r="CT50" s="131" t="str">
        <f t="shared" si="125"/>
        <v>#REF!</v>
      </c>
      <c r="CU50" s="138" t="str">
        <f>CT50*VLOOKUP('Données projet (1)'!$B$13,'Paramètres (1)'!$A$1:$I$88,3,0)*VLOOKUP('Données projet (1)'!$B$13,'Paramètres (1)'!$A$1:$I$88,5,0)</f>
        <v>#REF!</v>
      </c>
      <c r="CV50" s="130" t="str">
        <f t="shared" si="126"/>
        <v>#REF!</v>
      </c>
      <c r="CW50" s="141" t="str">
        <f t="shared" si="49"/>
        <v>#REF!</v>
      </c>
      <c r="CX50" s="133" t="str">
        <f t="shared" si="50"/>
        <v>#REF!</v>
      </c>
      <c r="CY50" s="133" t="str">
        <f t="shared" si="51"/>
        <v>#REF!</v>
      </c>
      <c r="CZ50" s="133" t="str">
        <f t="shared" si="127"/>
        <v>#REF!</v>
      </c>
      <c r="DA50" s="134" t="str">
        <f t="shared" si="52"/>
        <v>#REF!</v>
      </c>
      <c r="DB50" s="134" t="str">
        <f t="shared" si="53"/>
        <v>#REF!</v>
      </c>
      <c r="DC50" s="135" t="str">
        <f>IF(ISNA(VLOOKUP(A50,'Données projet (1)'!$A$139:$I$159,5,0)),0%,VLOOKUP(A50,'Données projet (1)'!$A$139:$I$159,5,0)*VLOOKUP('Données projet (1)'!$B$13,'Paramètres (1)'!$A$1:$I$88,7,0))</f>
        <v>#REF!</v>
      </c>
      <c r="DD50" s="135" t="str">
        <f>IF(ISNA(VLOOKUP(A50,'Données projet (1)'!$A$139:$I$159,6,0)),0%,VLOOKUP(A50,'Données projet (1)'!$A$139:$I$159,6,0)*VLOOKUP('Données projet (1)'!$B$13,'Paramètres (1)'!$A$1:$I$88,7,0))</f>
        <v>#REF!</v>
      </c>
      <c r="DE50" s="135" t="str">
        <f t="shared" si="54"/>
        <v>#REF!</v>
      </c>
      <c r="DF50" s="142" t="str">
        <f>EXP(-LN(2)/35)*DF49+(1-EXP(-LN(2)/35))/(LN(2)/35)*DB50*DC50*VLOOKUP('Données projet (1)'!$B$13,'Paramètres (1)'!$A$1:$I$88,3,0)*0.475*44/12</f>
        <v>#REF!</v>
      </c>
      <c r="DG50" s="142" t="str">
        <f>EXP(-LN(2)/25)*DG49+(1-EXP(-LN(2)/25))/(LN(2)/25)*'Calculateur (1)'!DB50*'Calculateur (1)'!DD50*VLOOKUP('Données projet (1)'!$B$13,'Paramètres (1)'!$A$1:$I$88,3,0)*0.475*44/12</f>
        <v>#REF!</v>
      </c>
      <c r="DH50" s="142" t="str">
        <f>EXP(-LN(2)/2)*DH49+(1-EXP(-LN(2)/2))/(LN(2)/2)*DB50*DE50*VLOOKUP('Données projet (1)'!$B$13,'Paramètres (1)'!$A$1:$I$88,3,0)*0.475*44/12</f>
        <v>#REF!</v>
      </c>
      <c r="DI50" s="143" t="str">
        <f t="shared" si="55"/>
        <v>#REF!</v>
      </c>
      <c r="DJ50" s="139" t="str">
        <f t="shared" si="56"/>
        <v>#REF!</v>
      </c>
      <c r="DK50" s="131">
        <f t="shared" si="57"/>
        <v>10</v>
      </c>
      <c r="DL50" s="131" t="str">
        <f t="shared" si="128"/>
        <v>#REF!</v>
      </c>
      <c r="DM50" s="131" t="str">
        <f t="shared" si="58"/>
        <v>#REF!</v>
      </c>
      <c r="DN50" s="131" t="str">
        <f t="array" ref="DN50">INDEX(DM:DM,MIN(IF(ISNUMBER(DM50:DM246),ROW(DM50:DM246),"")))</f>
        <v/>
      </c>
      <c r="DO50" s="131" t="str">
        <f t="shared" si="129"/>
        <v>#REF!</v>
      </c>
      <c r="DP50" s="138" t="str">
        <f>DO50*VLOOKUP('Données projet (1)'!$B$14,'Paramètres (1)'!$A$1:$I$88,3,0)*VLOOKUP('Données projet (1)'!$B$14,'Paramètres (1)'!$A$1:$I$88,5,0)</f>
        <v>#REF!</v>
      </c>
      <c r="DQ50" s="130" t="str">
        <f t="shared" si="130"/>
        <v>#REF!</v>
      </c>
      <c r="DR50" s="141" t="str">
        <f t="shared" si="59"/>
        <v>#REF!</v>
      </c>
      <c r="DS50" s="133" t="str">
        <f t="shared" si="60"/>
        <v>#REF!</v>
      </c>
      <c r="DT50" s="133" t="str">
        <f t="shared" si="61"/>
        <v>#REF!</v>
      </c>
      <c r="DU50" s="133" t="str">
        <f t="shared" si="131"/>
        <v>#REF!</v>
      </c>
      <c r="DV50" s="134" t="str">
        <f t="shared" si="62"/>
        <v>#REF!</v>
      </c>
      <c r="DW50" s="134" t="str">
        <f t="shared" si="63"/>
        <v>#REF!</v>
      </c>
      <c r="DX50" s="135" t="str">
        <f>IF(ISNA(VLOOKUP(A50,'Données projet (1)'!$A$165:$I$185,5,0)),0%,VLOOKUP(A50,'Données projet (1)'!$A$165:$I$185,5,0)*VLOOKUP('Données projet (1)'!$B$14,'Paramètres (1)'!$A$1:$I$88,7,0))</f>
        <v>#REF!</v>
      </c>
      <c r="DY50" s="135" t="str">
        <f>IF(ISNA(VLOOKUP(A50,'Données projet (1)'!$A$165:$I$185,6,0)),0%,VLOOKUP(A50,'Données projet (1)'!$A$165:$I$185,6,0)*VLOOKUP('Données projet (1)'!$B$14,'Paramètres (1)'!$A$1:$I$88,7,0))</f>
        <v>#REF!</v>
      </c>
      <c r="DZ50" s="135" t="str">
        <f t="shared" si="64"/>
        <v>#REF!</v>
      </c>
      <c r="EA50" s="142" t="str">
        <f>EXP(-LN(2)/35)*EA49+(1-EXP(-LN(2)/35))/(LN(2)/35)*DW50*DX50*VLOOKUP('Données projet (1)'!$B$14,'Paramètres (1)'!$A$1:$I$88,3,0)*0.475*44/12</f>
        <v>#REF!</v>
      </c>
      <c r="EB50" s="142" t="str">
        <f>EXP(-LN(2)/25)*EB49+(1-EXP(-LN(2)/25))/(LN(2)/25)*'Calculateur (1)'!DW50*'Calculateur (1)'!DY50*VLOOKUP('Données projet (1)'!$B$14,'Paramètres (1)'!$A$1:$I$88,3,0)*0.475*44/12</f>
        <v>#REF!</v>
      </c>
      <c r="EC50" s="142" t="str">
        <f>EXP(-LN(2)/2)*EC49+(1-EXP(-LN(2)/2))/(LN(2)/2)*DW50*DZ50*VLOOKUP('Données projet (1)'!$B$14,'Paramètres (1)'!$A$1:$I$88,3,0)*0.475*44/12</f>
        <v>#REF!</v>
      </c>
      <c r="ED50" s="143" t="str">
        <f t="shared" si="65"/>
        <v>#REF!</v>
      </c>
      <c r="EE50" s="139" t="str">
        <f t="shared" si="66"/>
        <v>#REF!</v>
      </c>
      <c r="EF50" s="131">
        <f t="shared" si="67"/>
        <v>10</v>
      </c>
      <c r="EG50" s="131" t="str">
        <f t="shared" si="132"/>
        <v>#REF!</v>
      </c>
      <c r="EH50" s="131" t="str">
        <f t="shared" si="68"/>
        <v>#REF!</v>
      </c>
      <c r="EI50" s="131" t="str">
        <f t="array" ref="EI50">INDEX(EH:EH,MIN(IF(ISNUMBER(EH50:EH246),ROW(EH50:EH246),"")))</f>
        <v/>
      </c>
      <c r="EJ50" s="131" t="str">
        <f t="shared" si="133"/>
        <v>#REF!</v>
      </c>
      <c r="EK50" s="138" t="str">
        <f>EJ50*VLOOKUP('Données projet (1)'!$B$15,'Paramètres (1)'!$A$1:$I$88,3,0)*VLOOKUP('Données projet (1)'!$B$15,'Paramètres (1)'!$A$1:$I$88,5,0)</f>
        <v>#REF!</v>
      </c>
      <c r="EL50" s="130" t="str">
        <f t="shared" si="134"/>
        <v>#REF!</v>
      </c>
      <c r="EM50" s="141" t="str">
        <f t="shared" si="69"/>
        <v>#REF!</v>
      </c>
      <c r="EN50" s="133" t="str">
        <f t="shared" si="70"/>
        <v>#REF!</v>
      </c>
      <c r="EO50" s="133" t="str">
        <f t="shared" si="71"/>
        <v>#REF!</v>
      </c>
      <c r="EP50" s="133" t="str">
        <f t="shared" si="135"/>
        <v>#REF!</v>
      </c>
      <c r="EQ50" s="134" t="str">
        <f t="shared" si="72"/>
        <v>#REF!</v>
      </c>
      <c r="ER50" s="134" t="str">
        <f t="shared" si="73"/>
        <v>#REF!</v>
      </c>
      <c r="ES50" s="135" t="str">
        <f>IF(ISNA(VLOOKUP(A50,'Données projet (1)'!$A$191:$I$211,5,0)),0%,VLOOKUP(A50,'Données projet (1)'!$A$191:$I$211,5,0)*VLOOKUP('Données projet (1)'!$B$15,'Paramètres (1)'!$A$1:$I$88,7,0))</f>
        <v>#REF!</v>
      </c>
      <c r="ET50" s="135" t="str">
        <f>IF(ISNA(VLOOKUP(A50,'Données projet (1)'!$A$191:$I$211,6,0)),0%,VLOOKUP(A50,'Données projet (1)'!$A$191:$I$211,6,0)*VLOOKUP('Données projet (1)'!$B$15,'Paramètres (1)'!$A$1:$I$88,7,0))</f>
        <v>#REF!</v>
      </c>
      <c r="EU50" s="135" t="str">
        <f t="shared" si="74"/>
        <v>#REF!</v>
      </c>
      <c r="EV50" s="142" t="str">
        <f>EXP(-LN(2)/35)*EV49+(1-EXP(-LN(2)/35))/(LN(2)/35)*ER50*ES50*VLOOKUP('Données projet (1)'!$B$15,'Paramètres (1)'!$A$1:$I$88,3,0)*0.475*44/12</f>
        <v>#REF!</v>
      </c>
      <c r="EW50" s="142" t="str">
        <f>EXP(-LN(2)/25)*EW49+(1-EXP(-LN(2)/25))/(LN(2)/25)*'Calculateur (1)'!ER50*'Calculateur (1)'!ET50*VLOOKUP('Données projet (1)'!$B$15,'Paramètres (1)'!$A$1:$I$88,3,0)*0.475*44/12</f>
        <v>#REF!</v>
      </c>
      <c r="EX50" s="142" t="str">
        <f>EXP(-LN(2)/2)*EX49+(1-EXP(-LN(2)/2))/(LN(2)/2)*ER50*EU50*VLOOKUP('Données projet (1)'!$B$15,'Paramètres (1)'!$A$1:$I$88,3,0)*0.475*44/12</f>
        <v>#REF!</v>
      </c>
      <c r="EY50" s="143" t="str">
        <f t="shared" si="75"/>
        <v>#REF!</v>
      </c>
      <c r="EZ50" s="139" t="str">
        <f t="shared" si="76"/>
        <v>#REF!</v>
      </c>
      <c r="FA50" s="131">
        <f t="shared" si="77"/>
        <v>10</v>
      </c>
      <c r="FB50" s="131" t="str">
        <f t="shared" si="136"/>
        <v>#REF!</v>
      </c>
      <c r="FC50" s="131" t="str">
        <f t="shared" si="78"/>
        <v>#REF!</v>
      </c>
      <c r="FD50" s="131" t="str">
        <f t="array" ref="FD50">INDEX(FC:FC,MIN(IF(ISNUMBER(FC50:FC246),ROW(FC50:FC246),"")))</f>
        <v/>
      </c>
      <c r="FE50" s="131" t="str">
        <f t="shared" si="137"/>
        <v>#REF!</v>
      </c>
      <c r="FF50" s="138" t="str">
        <f>FE50*VLOOKUP('Données projet (1)'!$B$16,'Paramètres (1)'!$A$1:$I$88,3,0)*VLOOKUP('Données projet (1)'!$B$16,'Paramètres (1)'!$A$1:$I$88,5,0)</f>
        <v>#REF!</v>
      </c>
      <c r="FG50" s="130" t="str">
        <f t="shared" si="138"/>
        <v>#REF!</v>
      </c>
      <c r="FH50" s="141" t="str">
        <f t="shared" si="79"/>
        <v>#REF!</v>
      </c>
      <c r="FI50" s="133" t="str">
        <f t="shared" si="80"/>
        <v>#REF!</v>
      </c>
      <c r="FJ50" s="133" t="str">
        <f t="shared" si="81"/>
        <v>#REF!</v>
      </c>
      <c r="FK50" s="133" t="str">
        <f t="shared" si="139"/>
        <v>#REF!</v>
      </c>
      <c r="FL50" s="134" t="str">
        <f t="shared" si="82"/>
        <v>#REF!</v>
      </c>
      <c r="FM50" s="134" t="str">
        <f t="shared" si="83"/>
        <v>#REF!</v>
      </c>
      <c r="FN50" s="135" t="str">
        <f>IF(ISNA(VLOOKUP(A50,'Données projet (1)'!$A$217:$I$237,5,0)),0%,VLOOKUP(A50,'Données projet (1)'!$A$217:$I$237,5,0)*VLOOKUP('Données projet (1)'!$B$16,'Paramètres (1)'!$A$1:$I$88,7,0))</f>
        <v>#REF!</v>
      </c>
      <c r="FO50" s="135" t="str">
        <f>IF(ISNA(VLOOKUP(A50,'Données projet (1)'!$A$217:$I$237,6,0)),0%,VLOOKUP(A50,'Données projet (1)'!$A$217:$I$237,6,0)*VLOOKUP('Données projet (1)'!$B$16,'Paramètres (1)'!$A$1:$I$88,7,0))</f>
        <v>#REF!</v>
      </c>
      <c r="FP50" s="135" t="str">
        <f t="shared" si="84"/>
        <v>#REF!</v>
      </c>
      <c r="FQ50" s="142" t="str">
        <f>EXP(-LN(2)/35)*FQ49+(1-EXP(-LN(2)/35))/(LN(2)/35)*FM50*FN50*VLOOKUP('Données projet (1)'!$B$16,'Paramètres (1)'!$A$1:$I$88,3,0)*0.475*44/12</f>
        <v>#REF!</v>
      </c>
      <c r="FR50" s="142" t="str">
        <f>EXP(-LN(2)/25)*FR49+(1-EXP(-LN(2)/25))/(LN(2)/25)*'Calculateur (1)'!FM50*'Calculateur (1)'!FO50*VLOOKUP('Données projet (1)'!$B$16,'Paramètres (1)'!$A$1:$I$88,3,0)*0.475*44/12</f>
        <v>#REF!</v>
      </c>
      <c r="FS50" s="142" t="str">
        <f>EXP(-LN(2)/2)*FS49+(1-EXP(-LN(2)/2))/(LN(2)/2)*FM50*FP50*VLOOKUP('Données projet (1)'!$B$16,'Paramètres (1)'!$A$1:$I$88,3,0)*0.475*44/12</f>
        <v>#REF!</v>
      </c>
      <c r="FT50" s="143" t="str">
        <f t="shared" si="85"/>
        <v>#REF!</v>
      </c>
      <c r="FU50" s="139" t="str">
        <f t="shared" si="86"/>
        <v>#REF!</v>
      </c>
      <c r="FV50" s="131">
        <f t="shared" si="87"/>
        <v>10</v>
      </c>
      <c r="FW50" s="131" t="str">
        <f t="shared" si="140"/>
        <v>#REF!</v>
      </c>
      <c r="FX50" s="131" t="str">
        <f t="shared" si="88"/>
        <v>#REF!</v>
      </c>
      <c r="FY50" s="131" t="str">
        <f t="array" ref="FY50">INDEX(FX:FX,MIN(IF(ISNUMBER(FX50:FX246),ROW(FX50:FX246),"")))</f>
        <v/>
      </c>
      <c r="FZ50" s="131" t="str">
        <f t="shared" si="141"/>
        <v>#REF!</v>
      </c>
      <c r="GA50" s="138" t="str">
        <f>FZ50*VLOOKUP('Données projet (1)'!$B$17,'Paramètres (1)'!$A$1:$I$88,3,0)*VLOOKUP('Données projet (1)'!$B$17,'Paramètres (1)'!$A$1:$I$88,5,0)</f>
        <v>#REF!</v>
      </c>
      <c r="GB50" s="130" t="str">
        <f t="shared" si="142"/>
        <v>#REF!</v>
      </c>
      <c r="GC50" s="141" t="str">
        <f t="shared" si="89"/>
        <v>#REF!</v>
      </c>
      <c r="GD50" s="133" t="str">
        <f t="shared" si="90"/>
        <v>#REF!</v>
      </c>
      <c r="GE50" s="133" t="str">
        <f t="shared" si="91"/>
        <v>#REF!</v>
      </c>
      <c r="GF50" s="133" t="str">
        <f t="shared" si="143"/>
        <v>#REF!</v>
      </c>
      <c r="GG50" s="134" t="str">
        <f t="shared" si="92"/>
        <v>#REF!</v>
      </c>
      <c r="GH50" s="134" t="str">
        <f t="shared" si="93"/>
        <v>#REF!</v>
      </c>
      <c r="GI50" s="135" t="str">
        <f>IF(ISNA(VLOOKUP(A50,'Données projet (1)'!$A$243:$I$263,5,0)),0%,VLOOKUP(A50,'Données projet (1)'!$A$243:$I$263,5,0)*VLOOKUP('Données projet (1)'!$B$17,'Paramètres (1)'!$A$1:$I$88,7,0))</f>
        <v>#REF!</v>
      </c>
      <c r="GJ50" s="135" t="str">
        <f>IF(ISNA(VLOOKUP(A50,'Données projet (1)'!$A$243:$I$263,6,0)),0%,VLOOKUP(A50,'Données projet (1)'!$A$243:$I$263,6,0)*VLOOKUP('Données projet (1)'!$B$17,'Paramètres (1)'!$A$1:$I$88,7,0))</f>
        <v>#REF!</v>
      </c>
      <c r="GK50" s="135" t="str">
        <f t="shared" si="94"/>
        <v>#REF!</v>
      </c>
      <c r="GL50" s="142" t="str">
        <f>EXP(-LN(2)/35)*GL49+(1-EXP(-LN(2)/35))/(LN(2)/35)*GH50*GI50*VLOOKUP('Données projet (1)'!$B$17,'Paramètres (1)'!$A$1:$I$88,3,0)*0.475*44/12</f>
        <v>#REF!</v>
      </c>
      <c r="GM50" s="142" t="str">
        <f>EXP(-LN(2)/25)*GM49+(1-EXP(-LN(2)/25))/(LN(2)/25)*'Calculateur (1)'!GH50*'Calculateur (1)'!GJ50*VLOOKUP('Données projet (1)'!$B$17,'Paramètres (1)'!$A$1:$I$88,3,0)*0.475*44/12</f>
        <v>#REF!</v>
      </c>
      <c r="GN50" s="142" t="str">
        <f>EXP(-LN(2)/2)*GN49+(1-EXP(-LN(2)/2))/(LN(2)/2)*GH50*GK50*VLOOKUP('Données projet (1)'!$B$17,'Paramètres (1)'!$A$1:$I$88,3,0)*0.475*44/12</f>
        <v>#REF!</v>
      </c>
      <c r="GO50" s="142" t="str">
        <f t="shared" si="95"/>
        <v>#REF!</v>
      </c>
      <c r="GP50" s="139" t="str">
        <f t="shared" si="96"/>
        <v>#REF!</v>
      </c>
      <c r="GQ50" s="131">
        <f t="shared" si="97"/>
        <v>10</v>
      </c>
      <c r="GR50" s="131" t="str">
        <f t="shared" si="144"/>
        <v>#REF!</v>
      </c>
      <c r="GS50" s="131" t="str">
        <f t="shared" si="98"/>
        <v>#REF!</v>
      </c>
      <c r="GT50" s="131" t="str">
        <f t="array" ref="GT50">INDEX(GS:GS,MIN(IF(ISNUMBER(GS50:GS246),ROW(GS50:GS246),"")))</f>
        <v/>
      </c>
      <c r="GU50" s="131" t="str">
        <f t="shared" si="145"/>
        <v>#REF!</v>
      </c>
      <c r="GV50" s="138" t="str">
        <f>GU50*VLOOKUP('Données projet (1)'!$B$18,'Paramètres (1)'!$A$1:$I$88,3,0)*VLOOKUP('Données projet (1)'!$B$18,'Paramètres (1)'!$A$1:$I$88,5,0)</f>
        <v>#REF!</v>
      </c>
      <c r="GW50" s="130" t="str">
        <f t="shared" si="146"/>
        <v>#REF!</v>
      </c>
      <c r="GX50" s="141" t="str">
        <f t="shared" si="99"/>
        <v>#REF!</v>
      </c>
      <c r="GY50" s="133" t="str">
        <f t="shared" si="100"/>
        <v>#REF!</v>
      </c>
      <c r="GZ50" s="133" t="str">
        <f t="shared" si="101"/>
        <v>#REF!</v>
      </c>
      <c r="HA50" s="133" t="str">
        <f t="shared" si="147"/>
        <v>#REF!</v>
      </c>
      <c r="HB50" s="134" t="str">
        <f t="shared" si="102"/>
        <v>#REF!</v>
      </c>
      <c r="HC50" s="134" t="str">
        <f t="shared" si="103"/>
        <v>#REF!</v>
      </c>
      <c r="HD50" s="135" t="str">
        <f>IF(ISNA(VLOOKUP(A50,'Données projet (1)'!$A$269:$I$289,5,0)),0%,VLOOKUP(A50,'Données projet (1)'!$A$269:$I$289,5,0)*VLOOKUP('Données projet (1)'!$B$18,'Paramètres (1)'!$A$1:$I$88,7,0))</f>
        <v>#REF!</v>
      </c>
      <c r="HE50" s="135" t="str">
        <f>IF(ISNA(VLOOKUP(A50,'Données projet (1)'!$A$269:$I$289,6,0)),0%,VLOOKUP(A50,'Données projet (1)'!$A$269:$I$289,6,0)*VLOOKUP('Données projet (1)'!$B$18,'Paramètres (1)'!$A$1:$I$88,7,0))</f>
        <v>#REF!</v>
      </c>
      <c r="HF50" s="135" t="str">
        <f t="shared" si="104"/>
        <v>#REF!</v>
      </c>
      <c r="HG50" s="142" t="str">
        <f>EXP(-LN(2)/35)*HG49+(1-EXP(-LN(2)/35))/(LN(2)/35)*HC50*HD50*VLOOKUP('Données projet (1)'!$B$18,'Paramètres (1)'!$A$1:$I$88,3,0)*0.475*44/12</f>
        <v>#REF!</v>
      </c>
      <c r="HH50" s="142" t="str">
        <f>EXP(-LN(2)/25)*HH49+(1-EXP(-LN(2)/25))/(LN(2)/25)*'Calculateur (1)'!HC50*'Calculateur (1)'!HE50*VLOOKUP('Données projet (1)'!$B$18,'Paramètres (1)'!$A$1:$I$88,3,0)*0.475*44/12</f>
        <v>#REF!</v>
      </c>
      <c r="HI50" s="142" t="str">
        <f>EXP(-LN(2)/2)*HI49+(1-EXP(-LN(2)/2))/(LN(2)/2)*HC50*HF50*VLOOKUP('Données projet (1)'!$B$18,'Paramètres (1)'!$A$1:$I$88,3,0)*0.475*44/12</f>
        <v>#REF!</v>
      </c>
      <c r="HJ50" s="143" t="str">
        <f t="shared" si="105"/>
        <v>#REF!</v>
      </c>
    </row>
    <row r="51" ht="14.25" customHeight="1">
      <c r="A51" s="125">
        <f t="shared" si="106"/>
        <v>48</v>
      </c>
      <c r="B51" s="126" t="str">
        <f t="shared" si="1"/>
        <v>#REF!</v>
      </c>
      <c r="C51" s="140" t="str">
        <f>'Calculateur (1)'!C50+'Scénario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1" s="127">
        <f t="shared" si="107"/>
        <v>0</v>
      </c>
      <c r="E51" s="127" t="str">
        <f t="shared" si="2"/>
        <v>#REF!</v>
      </c>
      <c r="F51" s="127" t="str">
        <f t="shared" si="3"/>
        <v>#REF!</v>
      </c>
      <c r="G51" s="127" t="str">
        <f t="shared" si="4"/>
        <v>#REF!</v>
      </c>
      <c r="H51" s="128" t="str">
        <f t="shared" si="5"/>
        <v>#REF!</v>
      </c>
      <c r="I51" s="129" t="str">
        <f t="shared" si="6"/>
        <v>#REF!</v>
      </c>
      <c r="J51" s="130">
        <f t="shared" si="7"/>
        <v>10</v>
      </c>
      <c r="K51" s="131" t="str">
        <f t="shared" si="108"/>
        <v>#REF!</v>
      </c>
      <c r="L51" s="131" t="str">
        <f t="shared" si="8"/>
        <v>#REF!</v>
      </c>
      <c r="M51" s="131" t="str">
        <f t="array" ref="M51">INDEX(L:L,MIN(IF(ISNUMBER(L51:L247),ROW(L51:L247),"")))</f>
        <v/>
      </c>
      <c r="N51" s="130" t="str">
        <f t="shared" si="109"/>
        <v>#REF!</v>
      </c>
      <c r="O51" s="130" t="str">
        <f>N51*VLOOKUP('Données projet (1)'!$B$9,'Paramètres (1)'!$A$1:$I$88,3,0)*VLOOKUP('Données projet (1)'!$B$9,'Paramètres (1)'!$A$1:$I$88,5,0)</f>
        <v>#REF!</v>
      </c>
      <c r="P51" s="130" t="str">
        <f t="shared" si="110"/>
        <v>#REF!</v>
      </c>
      <c r="Q51" s="141" t="str">
        <f t="shared" si="9"/>
        <v>#REF!</v>
      </c>
      <c r="R51" s="133" t="str">
        <f t="shared" si="10"/>
        <v>#REF!</v>
      </c>
      <c r="S51" s="133" t="str">
        <f t="shared" si="11"/>
        <v>#REF!</v>
      </c>
      <c r="T51" s="133" t="str">
        <f t="shared" si="111"/>
        <v>#REF!</v>
      </c>
      <c r="U51" s="134" t="str">
        <f t="shared" si="12"/>
        <v>#REF!</v>
      </c>
      <c r="V51" s="134" t="str">
        <f t="shared" si="13"/>
        <v>#REF!</v>
      </c>
      <c r="W51" s="135" t="str">
        <f>IF(ISNA(VLOOKUP(A51,'Données projet (1)'!$A$35:$I$55,5,0)),0%,VLOOKUP(A51,'Données projet (1)'!$A$35:$I$55,5,0)*VLOOKUP('Données projet (1)'!$B$9,'Paramètres (1)'!$A$1:$I$88,7,0))</f>
        <v>#REF!</v>
      </c>
      <c r="X51" s="135" t="str">
        <f>IF(ISNA(VLOOKUP(A51,'Données projet (1)'!$A$35:$I$55,6,0)),0%,VLOOKUP(A51,'Données projet (1)'!$A$35:$I$55,6,0)*VLOOKUP('Données projet (1)'!$B$9,'Paramètres (1)'!$A$1:$I$88,7,0))</f>
        <v>#REF!</v>
      </c>
      <c r="Y51" s="135" t="str">
        <f t="shared" si="14"/>
        <v>#REF!</v>
      </c>
      <c r="Z51" s="142" t="str">
        <f>EXP(-LN(2)/35)*Z50+(1-EXP(-LN(2)/35))/(LN(2)/35)*V51*W51*VLOOKUP('Données projet (1)'!$B$9,'Paramètres (1)'!$A$1:$I$88,3,0)*0.475*44/12</f>
        <v>#REF!</v>
      </c>
      <c r="AA51" s="142" t="str">
        <f>EXP(-LN(2)/25)*AA50+(1-EXP(-LN(2)/25))/(LN(2)/25)*'Calculateur (1)'!V51*'Calculateur (1)'!X51*VLOOKUP('Données projet (1)'!$B$9,'Paramètres (1)'!$A$1:$I$88,3,0)*0.475*44/12</f>
        <v>#REF!</v>
      </c>
      <c r="AB51" s="142" t="str">
        <f>EXP(-LN(2)/2)*AB50+(1-EXP(-LN(2)/2))/(LN(2)/2)*V51*Y51*VLOOKUP('Données projet (1)'!$B$9,'Paramètres (1)'!$A$1:$I$88,3,0)*0.475*44/12</f>
        <v>#REF!</v>
      </c>
      <c r="AC51" s="143" t="str">
        <f t="shared" si="15"/>
        <v>#REF!</v>
      </c>
      <c r="AD51" s="130" t="str">
        <f t="shared" si="16"/>
        <v>#REF!</v>
      </c>
      <c r="AE51" s="130">
        <f t="shared" si="17"/>
        <v>10</v>
      </c>
      <c r="AF51" s="131" t="str">
        <f t="shared" si="112"/>
        <v>#REF!</v>
      </c>
      <c r="AG51" s="131" t="str">
        <f t="shared" si="18"/>
        <v>#REF!</v>
      </c>
      <c r="AH51" s="131" t="str">
        <f t="array" ref="AH51">INDEX(AG:AG,MIN(IF(ISNUMBER(AG51:AG247),ROW(AG51:AG247),"")))</f>
        <v/>
      </c>
      <c r="AI51" s="130" t="str">
        <f t="shared" si="113"/>
        <v>#REF!</v>
      </c>
      <c r="AJ51" s="130" t="str">
        <f>AI51*VLOOKUP('Données projet (1)'!$B$10,'Paramètres (1)'!$A$1:$I$88,3,0)*VLOOKUP('Données projet (1)'!$B$10,'Paramètres (1)'!$A$1:$I$88,5,0)</f>
        <v>#REF!</v>
      </c>
      <c r="AK51" s="130" t="str">
        <f t="shared" si="114"/>
        <v>#REF!</v>
      </c>
      <c r="AL51" s="141" t="str">
        <f t="shared" si="19"/>
        <v>#REF!</v>
      </c>
      <c r="AM51" s="133" t="str">
        <f t="shared" si="20"/>
        <v>#REF!</v>
      </c>
      <c r="AN51" s="133" t="str">
        <f t="shared" si="21"/>
        <v>#REF!</v>
      </c>
      <c r="AO51" s="133" t="str">
        <f t="shared" si="115"/>
        <v>#REF!</v>
      </c>
      <c r="AP51" s="134" t="str">
        <f t="shared" si="22"/>
        <v>#REF!</v>
      </c>
      <c r="AQ51" s="134" t="str">
        <f t="shared" si="23"/>
        <v>#REF!</v>
      </c>
      <c r="AR51" s="135" t="str">
        <f>IF(ISNA(VLOOKUP(A51,'Données projet (1)'!$A$61:$I$81,5,0)),0%,VLOOKUP(A51,'Données projet (1)'!$A$61:$I$81,5,0)*VLOOKUP('Données projet (1)'!$B$10,'Paramètres (1)'!$A$1:$I$88,7,0))</f>
        <v>#REF!</v>
      </c>
      <c r="AS51" s="135" t="str">
        <f>IF(ISNA(VLOOKUP(A51,'Données projet (1)'!$A$61:$I$81,6,0)),0%,VLOOKUP(A51,'Données projet (1)'!$A$61:$I$81,6,0)*VLOOKUP('Données projet (1)'!$B$10,'Paramètres (1)'!$A$1:$I$88,7,0))</f>
        <v>#REF!</v>
      </c>
      <c r="AT51" s="135" t="str">
        <f t="shared" si="24"/>
        <v>#REF!</v>
      </c>
      <c r="AU51" s="142" t="str">
        <f>EXP(-LN(2)/35)*AU50+(1-EXP(-LN(2)/35))/(LN(2)/35)*AQ51*AR51*VLOOKUP('Données projet (1)'!$B$10,'Paramètres (1)'!$A$1:$I$88,3,0)*0.475*44/12</f>
        <v>#REF!</v>
      </c>
      <c r="AV51" s="142" t="str">
        <f>EXP(-LN(2)/25)*AV50+(1-EXP(-LN(2)/25))/(LN(2)/25)*'Calculateur (1)'!AQ51*'Calculateur (1)'!AS51*VLOOKUP('Données projet (1)'!$B$10,'Paramètres (1)'!$A$1:$I$88,3,0)*0.475*44/12</f>
        <v>#REF!</v>
      </c>
      <c r="AW51" s="142" t="str">
        <f>EXP(-LN(2)/2)*AW50+(1-EXP(-LN(2)/2))/(LN(2)/2)*AQ51*AT51*VLOOKUP('Données projet (1)'!$B$10,'Paramètres (1)'!$A$1:$I$88,3,0)*0.475*44/12</f>
        <v>#REF!</v>
      </c>
      <c r="AX51" s="142" t="str">
        <f t="shared" si="25"/>
        <v>#REF!</v>
      </c>
      <c r="AY51" s="137" t="str">
        <f t="shared" si="26"/>
        <v>#REF!</v>
      </c>
      <c r="AZ51" s="131">
        <f t="shared" si="27"/>
        <v>10</v>
      </c>
      <c r="BA51" s="131" t="str">
        <f t="shared" si="116"/>
        <v>#REF!</v>
      </c>
      <c r="BB51" s="131" t="str">
        <f t="shared" si="28"/>
        <v>#REF!</v>
      </c>
      <c r="BC51" s="131" t="str">
        <f t="array" ref="BC51">INDEX(BB:BB,MIN(IF(ISNUMBER(BB51:BB247),ROW(BB51:BB247),"")))</f>
        <v/>
      </c>
      <c r="BD51" s="131" t="str">
        <f t="shared" si="117"/>
        <v>#REF!</v>
      </c>
      <c r="BE51" s="130" t="str">
        <f>BD51*VLOOKUP('Données projet (1)'!$B$11,'Paramètres (1)'!$A$1:$I$88,3,0)*VLOOKUP('Données projet (1)'!$B$11,'Paramètres (1)'!$A$1:$I$88,5,0)</f>
        <v>#REF!</v>
      </c>
      <c r="BF51" s="130" t="str">
        <f t="shared" si="118"/>
        <v>#REF!</v>
      </c>
      <c r="BG51" s="141" t="str">
        <f t="shared" si="29"/>
        <v>#REF!</v>
      </c>
      <c r="BH51" s="133" t="str">
        <f t="shared" si="30"/>
        <v>#REF!</v>
      </c>
      <c r="BI51" s="133" t="str">
        <f t="shared" si="31"/>
        <v>#REF!</v>
      </c>
      <c r="BJ51" s="133" t="str">
        <f t="shared" si="119"/>
        <v>#REF!</v>
      </c>
      <c r="BK51" s="134" t="str">
        <f t="shared" si="32"/>
        <v>#REF!</v>
      </c>
      <c r="BL51" s="134" t="str">
        <f t="shared" si="33"/>
        <v>#REF!</v>
      </c>
      <c r="BM51" s="135" t="str">
        <f>IF(ISNA(VLOOKUP(A51,'Données projet (1)'!$A$87:$I$107,5,0)),0%,VLOOKUP(A51,'Données projet (1)'!$A$87:$I$107,5,0)*VLOOKUP('Données projet (1)'!$B$11,'Paramètres (1)'!$A$1:$I$88,7,0))</f>
        <v>#REF!</v>
      </c>
      <c r="BN51" s="135" t="str">
        <f>IF(ISNA(VLOOKUP(A51,'Données projet (1)'!$A$87:$I$107,6,0)),0%,VLOOKUP(A51,'Données projet (1)'!$A$87:$I$107,6,0)*VLOOKUP('Données projet (1)'!$B$11,'Paramètres (1)'!$A$1:$I$88,7,0))</f>
        <v>#REF!</v>
      </c>
      <c r="BO51" s="135" t="str">
        <f t="shared" si="34"/>
        <v>#REF!</v>
      </c>
      <c r="BP51" s="142" t="str">
        <f>EXP(-LN(2)/35)*BP50+(1-EXP(-LN(2)/35))/(LN(2)/35)*BL51*BM51*VLOOKUP('Données projet (1)'!$B$11,'Paramètres (1)'!$A$1:$I$88,3,0)*0.475*44/12</f>
        <v>#REF!</v>
      </c>
      <c r="BQ51" s="142" t="str">
        <f>EXP(-LN(2)/25)*BQ50+(1-EXP(-LN(2)/25))/(LN(2)/25)*'Calculateur (1)'!BL51*'Calculateur (1)'!BN51*VLOOKUP('Données projet (1)'!$B$11,'Paramètres (1)'!$A$1:$I$88,3,0)*0.475*44/12</f>
        <v>#REF!</v>
      </c>
      <c r="BR51" s="142" t="str">
        <f>EXP(-LN(2)/2)*BR50+(1-EXP(-LN(2)/2))/(LN(2)/2)*BL51*BO51*VLOOKUP('Données projet (1)'!$B$11,'Paramètres (1)'!$A$1:$I$88,3,0)*0.475*44/12</f>
        <v>#REF!</v>
      </c>
      <c r="BS51" s="143" t="str">
        <f t="shared" si="35"/>
        <v>#REF!</v>
      </c>
      <c r="BT51" s="139" t="str">
        <f t="shared" si="36"/>
        <v>#REF!</v>
      </c>
      <c r="BU51" s="131">
        <f t="shared" si="37"/>
        <v>10</v>
      </c>
      <c r="BV51" s="131" t="str">
        <f t="shared" si="120"/>
        <v>#REF!</v>
      </c>
      <c r="BW51" s="131" t="str">
        <f t="shared" si="38"/>
        <v>#REF!</v>
      </c>
      <c r="BX51" s="131" t="str">
        <f t="array" ref="BX51">INDEX(BW:BW,MIN(IF(ISNUMBER(BW51:BW247),ROW(BW51:BW247),"")))</f>
        <v/>
      </c>
      <c r="BY51" s="131" t="str">
        <f t="shared" si="121"/>
        <v>#REF!</v>
      </c>
      <c r="BZ51" s="130" t="str">
        <f>BY51*VLOOKUP('Données projet (1)'!$B$12,'Paramètres (1)'!$A$1:$I$88,3,0)*VLOOKUP('Données projet (1)'!$B$12,'Paramètres (1)'!$A$1:$I$88,5,0)</f>
        <v>#REF!</v>
      </c>
      <c r="CA51" s="130" t="str">
        <f t="shared" si="122"/>
        <v>#REF!</v>
      </c>
      <c r="CB51" s="141" t="str">
        <f t="shared" si="39"/>
        <v>#REF!</v>
      </c>
      <c r="CC51" s="133" t="str">
        <f t="shared" si="40"/>
        <v>#REF!</v>
      </c>
      <c r="CD51" s="133" t="str">
        <f t="shared" si="41"/>
        <v>#REF!</v>
      </c>
      <c r="CE51" s="133" t="str">
        <f t="shared" si="123"/>
        <v>#REF!</v>
      </c>
      <c r="CF51" s="134" t="str">
        <f t="shared" si="42"/>
        <v>#REF!</v>
      </c>
      <c r="CG51" s="134" t="str">
        <f t="shared" si="43"/>
        <v>#REF!</v>
      </c>
      <c r="CH51" s="135" t="str">
        <f>IF(ISNA(VLOOKUP(A51,'Données projet (1)'!$A$113:$I$133,5,0)),0%,VLOOKUP(A51,'Données projet (1)'!$A$113:$I$133,5,0)*VLOOKUP('Données projet (1)'!$B$12,'Paramètres (1)'!$A$1:$I$88,7,0))</f>
        <v>#REF!</v>
      </c>
      <c r="CI51" s="135" t="str">
        <f>IF(ISNA(VLOOKUP(A51,'Données projet (1)'!$A$113:$I$133,6,0)),0%,VLOOKUP(A51,'Données projet (1)'!$A$113:$I$133,6,0)*VLOOKUP('Données projet (1)'!$B$12,'Paramètres (1)'!$A$1:$I$88,7,0))</f>
        <v>#REF!</v>
      </c>
      <c r="CJ51" s="135" t="str">
        <f t="shared" si="44"/>
        <v>#REF!</v>
      </c>
      <c r="CK51" s="142" t="str">
        <f>EXP(-LN(2)/35)*CK50+(1-EXP(-LN(2)/35))/(LN(2)/35)*CG51*CH51*VLOOKUP('Données projet (1)'!$B$12,'Paramètres (1)'!$A$1:$I$88,3,0)*0.475*44/12</f>
        <v>#REF!</v>
      </c>
      <c r="CL51" s="142" t="str">
        <f>EXP(-LN(2)/25)*CL50+(1-EXP(-LN(2)/25))/(LN(2)/25)*'Calculateur (1)'!CG51*'Calculateur (1)'!CI51*VLOOKUP('Données projet (1)'!$B$12,'Paramètres (1)'!$A$1:$I$88,3,0)*0.475*44/12</f>
        <v>#REF!</v>
      </c>
      <c r="CM51" s="142" t="str">
        <f>EXP(-LN(2)/2)*CM50+(1-EXP(-LN(2)/2))/(LN(2)/2)*CG51*CJ51*VLOOKUP('Données projet (1)'!$B$12,'Paramètres (1)'!$A$1:$I$88,3,0)*0.475*44/12</f>
        <v>#REF!</v>
      </c>
      <c r="CN51" s="143" t="str">
        <f t="shared" si="45"/>
        <v>#REF!</v>
      </c>
      <c r="CO51" s="139" t="str">
        <f t="shared" si="46"/>
        <v>#REF!</v>
      </c>
      <c r="CP51" s="131">
        <f t="shared" si="47"/>
        <v>10</v>
      </c>
      <c r="CQ51" s="131" t="str">
        <f t="shared" si="124"/>
        <v>#REF!</v>
      </c>
      <c r="CR51" s="131" t="str">
        <f t="shared" si="48"/>
        <v>#REF!</v>
      </c>
      <c r="CS51" s="131" t="str">
        <f t="array" ref="CS51">INDEX(CR:CR,MIN(IF(ISNUMBER(CR51:CR247),ROW(CR51:CR247),"")))</f>
        <v/>
      </c>
      <c r="CT51" s="131" t="str">
        <f t="shared" si="125"/>
        <v>#REF!</v>
      </c>
      <c r="CU51" s="138" t="str">
        <f>CT51*VLOOKUP('Données projet (1)'!$B$13,'Paramètres (1)'!$A$1:$I$88,3,0)*VLOOKUP('Données projet (1)'!$B$13,'Paramètres (1)'!$A$1:$I$88,5,0)</f>
        <v>#REF!</v>
      </c>
      <c r="CV51" s="130" t="str">
        <f t="shared" si="126"/>
        <v>#REF!</v>
      </c>
      <c r="CW51" s="141" t="str">
        <f t="shared" si="49"/>
        <v>#REF!</v>
      </c>
      <c r="CX51" s="133" t="str">
        <f t="shared" si="50"/>
        <v>#REF!</v>
      </c>
      <c r="CY51" s="133" t="str">
        <f t="shared" si="51"/>
        <v>#REF!</v>
      </c>
      <c r="CZ51" s="133" t="str">
        <f t="shared" si="127"/>
        <v>#REF!</v>
      </c>
      <c r="DA51" s="134" t="str">
        <f t="shared" si="52"/>
        <v>#REF!</v>
      </c>
      <c r="DB51" s="134" t="str">
        <f t="shared" si="53"/>
        <v>#REF!</v>
      </c>
      <c r="DC51" s="135" t="str">
        <f>IF(ISNA(VLOOKUP(A51,'Données projet (1)'!$A$139:$I$159,5,0)),0%,VLOOKUP(A51,'Données projet (1)'!$A$139:$I$159,5,0)*VLOOKUP('Données projet (1)'!$B$13,'Paramètres (1)'!$A$1:$I$88,7,0))</f>
        <v>#REF!</v>
      </c>
      <c r="DD51" s="135" t="str">
        <f>IF(ISNA(VLOOKUP(A51,'Données projet (1)'!$A$139:$I$159,6,0)),0%,VLOOKUP(A51,'Données projet (1)'!$A$139:$I$159,6,0)*VLOOKUP('Données projet (1)'!$B$13,'Paramètres (1)'!$A$1:$I$88,7,0))</f>
        <v>#REF!</v>
      </c>
      <c r="DE51" s="135" t="str">
        <f t="shared" si="54"/>
        <v>#REF!</v>
      </c>
      <c r="DF51" s="142" t="str">
        <f>EXP(-LN(2)/35)*DF50+(1-EXP(-LN(2)/35))/(LN(2)/35)*DB51*DC51*VLOOKUP('Données projet (1)'!$B$13,'Paramètres (1)'!$A$1:$I$88,3,0)*0.475*44/12</f>
        <v>#REF!</v>
      </c>
      <c r="DG51" s="142" t="str">
        <f>EXP(-LN(2)/25)*DG50+(1-EXP(-LN(2)/25))/(LN(2)/25)*'Calculateur (1)'!DB51*'Calculateur (1)'!DD51*VLOOKUP('Données projet (1)'!$B$13,'Paramètres (1)'!$A$1:$I$88,3,0)*0.475*44/12</f>
        <v>#REF!</v>
      </c>
      <c r="DH51" s="142" t="str">
        <f>EXP(-LN(2)/2)*DH50+(1-EXP(-LN(2)/2))/(LN(2)/2)*DB51*DE51*VLOOKUP('Données projet (1)'!$B$13,'Paramètres (1)'!$A$1:$I$88,3,0)*0.475*44/12</f>
        <v>#REF!</v>
      </c>
      <c r="DI51" s="143" t="str">
        <f t="shared" si="55"/>
        <v>#REF!</v>
      </c>
      <c r="DJ51" s="139" t="str">
        <f t="shared" si="56"/>
        <v>#REF!</v>
      </c>
      <c r="DK51" s="131">
        <f t="shared" si="57"/>
        <v>10</v>
      </c>
      <c r="DL51" s="131" t="str">
        <f t="shared" si="128"/>
        <v>#REF!</v>
      </c>
      <c r="DM51" s="131" t="str">
        <f t="shared" si="58"/>
        <v>#REF!</v>
      </c>
      <c r="DN51" s="131" t="str">
        <f t="array" ref="DN51">INDEX(DM:DM,MIN(IF(ISNUMBER(DM51:DM247),ROW(DM51:DM247),"")))</f>
        <v/>
      </c>
      <c r="DO51" s="131" t="str">
        <f t="shared" si="129"/>
        <v>#REF!</v>
      </c>
      <c r="DP51" s="138" t="str">
        <f>DO51*VLOOKUP('Données projet (1)'!$B$14,'Paramètres (1)'!$A$1:$I$88,3,0)*VLOOKUP('Données projet (1)'!$B$14,'Paramètres (1)'!$A$1:$I$88,5,0)</f>
        <v>#REF!</v>
      </c>
      <c r="DQ51" s="130" t="str">
        <f t="shared" si="130"/>
        <v>#REF!</v>
      </c>
      <c r="DR51" s="141" t="str">
        <f t="shared" si="59"/>
        <v>#REF!</v>
      </c>
      <c r="DS51" s="133" t="str">
        <f t="shared" si="60"/>
        <v>#REF!</v>
      </c>
      <c r="DT51" s="133" t="str">
        <f t="shared" si="61"/>
        <v>#REF!</v>
      </c>
      <c r="DU51" s="133" t="str">
        <f t="shared" si="131"/>
        <v>#REF!</v>
      </c>
      <c r="DV51" s="134" t="str">
        <f t="shared" si="62"/>
        <v>#REF!</v>
      </c>
      <c r="DW51" s="134" t="str">
        <f t="shared" si="63"/>
        <v>#REF!</v>
      </c>
      <c r="DX51" s="135" t="str">
        <f>IF(ISNA(VLOOKUP(A51,'Données projet (1)'!$A$165:$I$185,5,0)),0%,VLOOKUP(A51,'Données projet (1)'!$A$165:$I$185,5,0)*VLOOKUP('Données projet (1)'!$B$14,'Paramètres (1)'!$A$1:$I$88,7,0))</f>
        <v>#REF!</v>
      </c>
      <c r="DY51" s="135" t="str">
        <f>IF(ISNA(VLOOKUP(A51,'Données projet (1)'!$A$165:$I$185,6,0)),0%,VLOOKUP(A51,'Données projet (1)'!$A$165:$I$185,6,0)*VLOOKUP('Données projet (1)'!$B$14,'Paramètres (1)'!$A$1:$I$88,7,0))</f>
        <v>#REF!</v>
      </c>
      <c r="DZ51" s="135" t="str">
        <f t="shared" si="64"/>
        <v>#REF!</v>
      </c>
      <c r="EA51" s="142" t="str">
        <f>EXP(-LN(2)/35)*EA50+(1-EXP(-LN(2)/35))/(LN(2)/35)*DW51*DX51*VLOOKUP('Données projet (1)'!$B$14,'Paramètres (1)'!$A$1:$I$88,3,0)*0.475*44/12</f>
        <v>#REF!</v>
      </c>
      <c r="EB51" s="142" t="str">
        <f>EXP(-LN(2)/25)*EB50+(1-EXP(-LN(2)/25))/(LN(2)/25)*'Calculateur (1)'!DW51*'Calculateur (1)'!DY51*VLOOKUP('Données projet (1)'!$B$14,'Paramètres (1)'!$A$1:$I$88,3,0)*0.475*44/12</f>
        <v>#REF!</v>
      </c>
      <c r="EC51" s="142" t="str">
        <f>EXP(-LN(2)/2)*EC50+(1-EXP(-LN(2)/2))/(LN(2)/2)*DW51*DZ51*VLOOKUP('Données projet (1)'!$B$14,'Paramètres (1)'!$A$1:$I$88,3,0)*0.475*44/12</f>
        <v>#REF!</v>
      </c>
      <c r="ED51" s="143" t="str">
        <f t="shared" si="65"/>
        <v>#REF!</v>
      </c>
      <c r="EE51" s="139" t="str">
        <f t="shared" si="66"/>
        <v>#REF!</v>
      </c>
      <c r="EF51" s="131">
        <f t="shared" si="67"/>
        <v>10</v>
      </c>
      <c r="EG51" s="131" t="str">
        <f t="shared" si="132"/>
        <v>#REF!</v>
      </c>
      <c r="EH51" s="131" t="str">
        <f t="shared" si="68"/>
        <v>#REF!</v>
      </c>
      <c r="EI51" s="131" t="str">
        <f t="array" ref="EI51">INDEX(EH:EH,MIN(IF(ISNUMBER(EH51:EH247),ROW(EH51:EH247),"")))</f>
        <v/>
      </c>
      <c r="EJ51" s="131" t="str">
        <f t="shared" si="133"/>
        <v>#REF!</v>
      </c>
      <c r="EK51" s="138" t="str">
        <f>EJ51*VLOOKUP('Données projet (1)'!$B$15,'Paramètres (1)'!$A$1:$I$88,3,0)*VLOOKUP('Données projet (1)'!$B$15,'Paramètres (1)'!$A$1:$I$88,5,0)</f>
        <v>#REF!</v>
      </c>
      <c r="EL51" s="130" t="str">
        <f t="shared" si="134"/>
        <v>#REF!</v>
      </c>
      <c r="EM51" s="141" t="str">
        <f t="shared" si="69"/>
        <v>#REF!</v>
      </c>
      <c r="EN51" s="133" t="str">
        <f t="shared" si="70"/>
        <v>#REF!</v>
      </c>
      <c r="EO51" s="133" t="str">
        <f t="shared" si="71"/>
        <v>#REF!</v>
      </c>
      <c r="EP51" s="133" t="str">
        <f t="shared" si="135"/>
        <v>#REF!</v>
      </c>
      <c r="EQ51" s="134" t="str">
        <f t="shared" si="72"/>
        <v>#REF!</v>
      </c>
      <c r="ER51" s="134" t="str">
        <f t="shared" si="73"/>
        <v>#REF!</v>
      </c>
      <c r="ES51" s="135" t="str">
        <f>IF(ISNA(VLOOKUP(A51,'Données projet (1)'!$A$191:$I$211,5,0)),0%,VLOOKUP(A51,'Données projet (1)'!$A$191:$I$211,5,0)*VLOOKUP('Données projet (1)'!$B$15,'Paramètres (1)'!$A$1:$I$88,7,0))</f>
        <v>#REF!</v>
      </c>
      <c r="ET51" s="135" t="str">
        <f>IF(ISNA(VLOOKUP(A51,'Données projet (1)'!$A$191:$I$211,6,0)),0%,VLOOKUP(A51,'Données projet (1)'!$A$191:$I$211,6,0)*VLOOKUP('Données projet (1)'!$B$15,'Paramètres (1)'!$A$1:$I$88,7,0))</f>
        <v>#REF!</v>
      </c>
      <c r="EU51" s="135" t="str">
        <f t="shared" si="74"/>
        <v>#REF!</v>
      </c>
      <c r="EV51" s="142" t="str">
        <f>EXP(-LN(2)/35)*EV50+(1-EXP(-LN(2)/35))/(LN(2)/35)*ER51*ES51*VLOOKUP('Données projet (1)'!$B$15,'Paramètres (1)'!$A$1:$I$88,3,0)*0.475*44/12</f>
        <v>#REF!</v>
      </c>
      <c r="EW51" s="142" t="str">
        <f>EXP(-LN(2)/25)*EW50+(1-EXP(-LN(2)/25))/(LN(2)/25)*'Calculateur (1)'!ER51*'Calculateur (1)'!ET51*VLOOKUP('Données projet (1)'!$B$15,'Paramètres (1)'!$A$1:$I$88,3,0)*0.475*44/12</f>
        <v>#REF!</v>
      </c>
      <c r="EX51" s="142" t="str">
        <f>EXP(-LN(2)/2)*EX50+(1-EXP(-LN(2)/2))/(LN(2)/2)*ER51*EU51*VLOOKUP('Données projet (1)'!$B$15,'Paramètres (1)'!$A$1:$I$88,3,0)*0.475*44/12</f>
        <v>#REF!</v>
      </c>
      <c r="EY51" s="143" t="str">
        <f t="shared" si="75"/>
        <v>#REF!</v>
      </c>
      <c r="EZ51" s="139" t="str">
        <f t="shared" si="76"/>
        <v>#REF!</v>
      </c>
      <c r="FA51" s="131">
        <f t="shared" si="77"/>
        <v>10</v>
      </c>
      <c r="FB51" s="131" t="str">
        <f t="shared" si="136"/>
        <v>#REF!</v>
      </c>
      <c r="FC51" s="131" t="str">
        <f t="shared" si="78"/>
        <v>#REF!</v>
      </c>
      <c r="FD51" s="131" t="str">
        <f t="array" ref="FD51">INDEX(FC:FC,MIN(IF(ISNUMBER(FC51:FC247),ROW(FC51:FC247),"")))</f>
        <v/>
      </c>
      <c r="FE51" s="131" t="str">
        <f t="shared" si="137"/>
        <v>#REF!</v>
      </c>
      <c r="FF51" s="138" t="str">
        <f>FE51*VLOOKUP('Données projet (1)'!$B$16,'Paramètres (1)'!$A$1:$I$88,3,0)*VLOOKUP('Données projet (1)'!$B$16,'Paramètres (1)'!$A$1:$I$88,5,0)</f>
        <v>#REF!</v>
      </c>
      <c r="FG51" s="130" t="str">
        <f t="shared" si="138"/>
        <v>#REF!</v>
      </c>
      <c r="FH51" s="141" t="str">
        <f t="shared" si="79"/>
        <v>#REF!</v>
      </c>
      <c r="FI51" s="133" t="str">
        <f t="shared" si="80"/>
        <v>#REF!</v>
      </c>
      <c r="FJ51" s="133" t="str">
        <f t="shared" si="81"/>
        <v>#REF!</v>
      </c>
      <c r="FK51" s="133" t="str">
        <f t="shared" si="139"/>
        <v>#REF!</v>
      </c>
      <c r="FL51" s="134" t="str">
        <f t="shared" si="82"/>
        <v>#REF!</v>
      </c>
      <c r="FM51" s="134" t="str">
        <f t="shared" si="83"/>
        <v>#REF!</v>
      </c>
      <c r="FN51" s="135" t="str">
        <f>IF(ISNA(VLOOKUP(A51,'Données projet (1)'!$A$217:$I$237,5,0)),0%,VLOOKUP(A51,'Données projet (1)'!$A$217:$I$237,5,0)*VLOOKUP('Données projet (1)'!$B$16,'Paramètres (1)'!$A$1:$I$88,7,0))</f>
        <v>#REF!</v>
      </c>
      <c r="FO51" s="135" t="str">
        <f>IF(ISNA(VLOOKUP(A51,'Données projet (1)'!$A$217:$I$237,6,0)),0%,VLOOKUP(A51,'Données projet (1)'!$A$217:$I$237,6,0)*VLOOKUP('Données projet (1)'!$B$16,'Paramètres (1)'!$A$1:$I$88,7,0))</f>
        <v>#REF!</v>
      </c>
      <c r="FP51" s="135" t="str">
        <f t="shared" si="84"/>
        <v>#REF!</v>
      </c>
      <c r="FQ51" s="142" t="str">
        <f>EXP(-LN(2)/35)*FQ50+(1-EXP(-LN(2)/35))/(LN(2)/35)*FM51*FN51*VLOOKUP('Données projet (1)'!$B$16,'Paramètres (1)'!$A$1:$I$88,3,0)*0.475*44/12</f>
        <v>#REF!</v>
      </c>
      <c r="FR51" s="142" t="str">
        <f>EXP(-LN(2)/25)*FR50+(1-EXP(-LN(2)/25))/(LN(2)/25)*'Calculateur (1)'!FM51*'Calculateur (1)'!FO51*VLOOKUP('Données projet (1)'!$B$16,'Paramètres (1)'!$A$1:$I$88,3,0)*0.475*44/12</f>
        <v>#REF!</v>
      </c>
      <c r="FS51" s="142" t="str">
        <f>EXP(-LN(2)/2)*FS50+(1-EXP(-LN(2)/2))/(LN(2)/2)*FM51*FP51*VLOOKUP('Données projet (1)'!$B$16,'Paramètres (1)'!$A$1:$I$88,3,0)*0.475*44/12</f>
        <v>#REF!</v>
      </c>
      <c r="FT51" s="143" t="str">
        <f t="shared" si="85"/>
        <v>#REF!</v>
      </c>
      <c r="FU51" s="139" t="str">
        <f t="shared" si="86"/>
        <v>#REF!</v>
      </c>
      <c r="FV51" s="131">
        <f t="shared" si="87"/>
        <v>10</v>
      </c>
      <c r="FW51" s="131" t="str">
        <f t="shared" si="140"/>
        <v>#REF!</v>
      </c>
      <c r="FX51" s="131" t="str">
        <f t="shared" si="88"/>
        <v>#REF!</v>
      </c>
      <c r="FY51" s="131" t="str">
        <f t="array" ref="FY51">INDEX(FX:FX,MIN(IF(ISNUMBER(FX51:FX247),ROW(FX51:FX247),"")))</f>
        <v/>
      </c>
      <c r="FZ51" s="131" t="str">
        <f t="shared" si="141"/>
        <v>#REF!</v>
      </c>
      <c r="GA51" s="138" t="str">
        <f>FZ51*VLOOKUP('Données projet (1)'!$B$17,'Paramètres (1)'!$A$1:$I$88,3,0)*VLOOKUP('Données projet (1)'!$B$17,'Paramètres (1)'!$A$1:$I$88,5,0)</f>
        <v>#REF!</v>
      </c>
      <c r="GB51" s="130" t="str">
        <f t="shared" si="142"/>
        <v>#REF!</v>
      </c>
      <c r="GC51" s="141" t="str">
        <f t="shared" si="89"/>
        <v>#REF!</v>
      </c>
      <c r="GD51" s="133" t="str">
        <f t="shared" si="90"/>
        <v>#REF!</v>
      </c>
      <c r="GE51" s="133" t="str">
        <f t="shared" si="91"/>
        <v>#REF!</v>
      </c>
      <c r="GF51" s="133" t="str">
        <f t="shared" si="143"/>
        <v>#REF!</v>
      </c>
      <c r="GG51" s="134" t="str">
        <f t="shared" si="92"/>
        <v>#REF!</v>
      </c>
      <c r="GH51" s="134" t="str">
        <f t="shared" si="93"/>
        <v>#REF!</v>
      </c>
      <c r="GI51" s="135" t="str">
        <f>IF(ISNA(VLOOKUP(A51,'Données projet (1)'!$A$243:$I$263,5,0)),0%,VLOOKUP(A51,'Données projet (1)'!$A$243:$I$263,5,0)*VLOOKUP('Données projet (1)'!$B$17,'Paramètres (1)'!$A$1:$I$88,7,0))</f>
        <v>#REF!</v>
      </c>
      <c r="GJ51" s="135" t="str">
        <f>IF(ISNA(VLOOKUP(A51,'Données projet (1)'!$A$243:$I$263,6,0)),0%,VLOOKUP(A51,'Données projet (1)'!$A$243:$I$263,6,0)*VLOOKUP('Données projet (1)'!$B$17,'Paramètres (1)'!$A$1:$I$88,7,0))</f>
        <v>#REF!</v>
      </c>
      <c r="GK51" s="135" t="str">
        <f t="shared" si="94"/>
        <v>#REF!</v>
      </c>
      <c r="GL51" s="142" t="str">
        <f>EXP(-LN(2)/35)*GL50+(1-EXP(-LN(2)/35))/(LN(2)/35)*GH51*GI51*VLOOKUP('Données projet (1)'!$B$17,'Paramètres (1)'!$A$1:$I$88,3,0)*0.475*44/12</f>
        <v>#REF!</v>
      </c>
      <c r="GM51" s="142" t="str">
        <f>EXP(-LN(2)/25)*GM50+(1-EXP(-LN(2)/25))/(LN(2)/25)*'Calculateur (1)'!GH51*'Calculateur (1)'!GJ51*VLOOKUP('Données projet (1)'!$B$17,'Paramètres (1)'!$A$1:$I$88,3,0)*0.475*44/12</f>
        <v>#REF!</v>
      </c>
      <c r="GN51" s="142" t="str">
        <f>EXP(-LN(2)/2)*GN50+(1-EXP(-LN(2)/2))/(LN(2)/2)*GH51*GK51*VLOOKUP('Données projet (1)'!$B$17,'Paramètres (1)'!$A$1:$I$88,3,0)*0.475*44/12</f>
        <v>#REF!</v>
      </c>
      <c r="GO51" s="142" t="str">
        <f t="shared" si="95"/>
        <v>#REF!</v>
      </c>
      <c r="GP51" s="139" t="str">
        <f t="shared" si="96"/>
        <v>#REF!</v>
      </c>
      <c r="GQ51" s="131">
        <f t="shared" si="97"/>
        <v>10</v>
      </c>
      <c r="GR51" s="131" t="str">
        <f t="shared" si="144"/>
        <v>#REF!</v>
      </c>
      <c r="GS51" s="131" t="str">
        <f t="shared" si="98"/>
        <v>#REF!</v>
      </c>
      <c r="GT51" s="131" t="str">
        <f t="array" ref="GT51">INDEX(GS:GS,MIN(IF(ISNUMBER(GS51:GS247),ROW(GS51:GS247),"")))</f>
        <v/>
      </c>
      <c r="GU51" s="131" t="str">
        <f t="shared" si="145"/>
        <v>#REF!</v>
      </c>
      <c r="GV51" s="138" t="str">
        <f>GU51*VLOOKUP('Données projet (1)'!$B$18,'Paramètres (1)'!$A$1:$I$88,3,0)*VLOOKUP('Données projet (1)'!$B$18,'Paramètres (1)'!$A$1:$I$88,5,0)</f>
        <v>#REF!</v>
      </c>
      <c r="GW51" s="130" t="str">
        <f t="shared" si="146"/>
        <v>#REF!</v>
      </c>
      <c r="GX51" s="141" t="str">
        <f t="shared" si="99"/>
        <v>#REF!</v>
      </c>
      <c r="GY51" s="133" t="str">
        <f t="shared" si="100"/>
        <v>#REF!</v>
      </c>
      <c r="GZ51" s="133" t="str">
        <f t="shared" si="101"/>
        <v>#REF!</v>
      </c>
      <c r="HA51" s="133" t="str">
        <f t="shared" si="147"/>
        <v>#REF!</v>
      </c>
      <c r="HB51" s="134" t="str">
        <f t="shared" si="102"/>
        <v>#REF!</v>
      </c>
      <c r="HC51" s="134" t="str">
        <f t="shared" si="103"/>
        <v>#REF!</v>
      </c>
      <c r="HD51" s="135" t="str">
        <f>IF(ISNA(VLOOKUP(A51,'Données projet (1)'!$A$269:$I$289,5,0)),0%,VLOOKUP(A51,'Données projet (1)'!$A$269:$I$289,5,0)*VLOOKUP('Données projet (1)'!$B$18,'Paramètres (1)'!$A$1:$I$88,7,0))</f>
        <v>#REF!</v>
      </c>
      <c r="HE51" s="135" t="str">
        <f>IF(ISNA(VLOOKUP(A51,'Données projet (1)'!$A$269:$I$289,6,0)),0%,VLOOKUP(A51,'Données projet (1)'!$A$269:$I$289,6,0)*VLOOKUP('Données projet (1)'!$B$18,'Paramètres (1)'!$A$1:$I$88,7,0))</f>
        <v>#REF!</v>
      </c>
      <c r="HF51" s="135" t="str">
        <f t="shared" si="104"/>
        <v>#REF!</v>
      </c>
      <c r="HG51" s="142" t="str">
        <f>EXP(-LN(2)/35)*HG50+(1-EXP(-LN(2)/35))/(LN(2)/35)*HC51*HD51*VLOOKUP('Données projet (1)'!$B$18,'Paramètres (1)'!$A$1:$I$88,3,0)*0.475*44/12</f>
        <v>#REF!</v>
      </c>
      <c r="HH51" s="142" t="str">
        <f>EXP(-LN(2)/25)*HH50+(1-EXP(-LN(2)/25))/(LN(2)/25)*'Calculateur (1)'!HC51*'Calculateur (1)'!HE51*VLOOKUP('Données projet (1)'!$B$18,'Paramètres (1)'!$A$1:$I$88,3,0)*0.475*44/12</f>
        <v>#REF!</v>
      </c>
      <c r="HI51" s="142" t="str">
        <f>EXP(-LN(2)/2)*HI50+(1-EXP(-LN(2)/2))/(LN(2)/2)*HC51*HF51*VLOOKUP('Données projet (1)'!$B$18,'Paramètres (1)'!$A$1:$I$88,3,0)*0.475*44/12</f>
        <v>#REF!</v>
      </c>
      <c r="HJ51" s="143" t="str">
        <f t="shared" si="105"/>
        <v>#REF!</v>
      </c>
    </row>
    <row r="52" ht="14.25" customHeight="1">
      <c r="A52" s="125">
        <f t="shared" si="106"/>
        <v>49</v>
      </c>
      <c r="B52" s="126" t="str">
        <f t="shared" si="1"/>
        <v>#REF!</v>
      </c>
      <c r="C52" s="140" t="str">
        <f>'Calculateur (1)'!C51+'Scénario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2" s="127">
        <f t="shared" si="107"/>
        <v>0</v>
      </c>
      <c r="E52" s="127" t="str">
        <f t="shared" si="2"/>
        <v>#REF!</v>
      </c>
      <c r="F52" s="127" t="str">
        <f t="shared" si="3"/>
        <v>#REF!</v>
      </c>
      <c r="G52" s="127" t="str">
        <f t="shared" si="4"/>
        <v>#REF!</v>
      </c>
      <c r="H52" s="128" t="str">
        <f t="shared" si="5"/>
        <v>#REF!</v>
      </c>
      <c r="I52" s="129" t="str">
        <f t="shared" si="6"/>
        <v>#REF!</v>
      </c>
      <c r="J52" s="130">
        <f t="shared" si="7"/>
        <v>10</v>
      </c>
      <c r="K52" s="131" t="str">
        <f t="shared" si="108"/>
        <v>#REF!</v>
      </c>
      <c r="L52" s="131" t="str">
        <f t="shared" si="8"/>
        <v>#REF!</v>
      </c>
      <c r="M52" s="131" t="str">
        <f t="array" ref="M52">INDEX(L:L,MIN(IF(ISNUMBER(L52:L248),ROW(L52:L248),"")))</f>
        <v/>
      </c>
      <c r="N52" s="130" t="str">
        <f t="shared" si="109"/>
        <v>#REF!</v>
      </c>
      <c r="O52" s="130" t="str">
        <f>N52*VLOOKUP('Données projet (1)'!$B$9,'Paramètres (1)'!$A$1:$I$88,3,0)*VLOOKUP('Données projet (1)'!$B$9,'Paramètres (1)'!$A$1:$I$88,5,0)</f>
        <v>#REF!</v>
      </c>
      <c r="P52" s="130" t="str">
        <f t="shared" si="110"/>
        <v>#REF!</v>
      </c>
      <c r="Q52" s="141" t="str">
        <f t="shared" si="9"/>
        <v>#REF!</v>
      </c>
      <c r="R52" s="133" t="str">
        <f t="shared" si="10"/>
        <v>#REF!</v>
      </c>
      <c r="S52" s="133" t="str">
        <f t="shared" si="11"/>
        <v>#REF!</v>
      </c>
      <c r="T52" s="133" t="str">
        <f t="shared" si="111"/>
        <v>#REF!</v>
      </c>
      <c r="U52" s="134" t="str">
        <f t="shared" si="12"/>
        <v>#REF!</v>
      </c>
      <c r="V52" s="134" t="str">
        <f t="shared" si="13"/>
        <v>#REF!</v>
      </c>
      <c r="W52" s="135" t="str">
        <f>IF(ISNA(VLOOKUP(A52,'Données projet (1)'!$A$35:$I$55,5,0)),0%,VLOOKUP(A52,'Données projet (1)'!$A$35:$I$55,5,0)*VLOOKUP('Données projet (1)'!$B$9,'Paramètres (1)'!$A$1:$I$88,7,0))</f>
        <v>#REF!</v>
      </c>
      <c r="X52" s="135" t="str">
        <f>IF(ISNA(VLOOKUP(A52,'Données projet (1)'!$A$35:$I$55,6,0)),0%,VLOOKUP(A52,'Données projet (1)'!$A$35:$I$55,6,0)*VLOOKUP('Données projet (1)'!$B$9,'Paramètres (1)'!$A$1:$I$88,7,0))</f>
        <v>#REF!</v>
      </c>
      <c r="Y52" s="135" t="str">
        <f t="shared" si="14"/>
        <v>#REF!</v>
      </c>
      <c r="Z52" s="142" t="str">
        <f>EXP(-LN(2)/35)*Z51+(1-EXP(-LN(2)/35))/(LN(2)/35)*V52*W52*VLOOKUP('Données projet (1)'!$B$9,'Paramètres (1)'!$A$1:$I$88,3,0)*0.475*44/12</f>
        <v>#REF!</v>
      </c>
      <c r="AA52" s="142" t="str">
        <f>EXP(-LN(2)/25)*AA51+(1-EXP(-LN(2)/25))/(LN(2)/25)*'Calculateur (1)'!V52*'Calculateur (1)'!X52*VLOOKUP('Données projet (1)'!$B$9,'Paramètres (1)'!$A$1:$I$88,3,0)*0.475*44/12</f>
        <v>#REF!</v>
      </c>
      <c r="AB52" s="142" t="str">
        <f>EXP(-LN(2)/2)*AB51+(1-EXP(-LN(2)/2))/(LN(2)/2)*V52*Y52*VLOOKUP('Données projet (1)'!$B$9,'Paramètres (1)'!$A$1:$I$88,3,0)*0.475*44/12</f>
        <v>#REF!</v>
      </c>
      <c r="AC52" s="143" t="str">
        <f t="shared" si="15"/>
        <v>#REF!</v>
      </c>
      <c r="AD52" s="130" t="str">
        <f t="shared" si="16"/>
        <v>#REF!</v>
      </c>
      <c r="AE52" s="130">
        <f t="shared" si="17"/>
        <v>10</v>
      </c>
      <c r="AF52" s="131" t="str">
        <f t="shared" si="112"/>
        <v>#REF!</v>
      </c>
      <c r="AG52" s="131" t="str">
        <f t="shared" si="18"/>
        <v>#REF!</v>
      </c>
      <c r="AH52" s="131" t="str">
        <f t="array" ref="AH52">INDEX(AG:AG,MIN(IF(ISNUMBER(AG52:AG248),ROW(AG52:AG248),"")))</f>
        <v/>
      </c>
      <c r="AI52" s="130" t="str">
        <f t="shared" si="113"/>
        <v>#REF!</v>
      </c>
      <c r="AJ52" s="130" t="str">
        <f>AI52*VLOOKUP('Données projet (1)'!$B$10,'Paramètres (1)'!$A$1:$I$88,3,0)*VLOOKUP('Données projet (1)'!$B$10,'Paramètres (1)'!$A$1:$I$88,5,0)</f>
        <v>#REF!</v>
      </c>
      <c r="AK52" s="130" t="str">
        <f t="shared" si="114"/>
        <v>#REF!</v>
      </c>
      <c r="AL52" s="141" t="str">
        <f t="shared" si="19"/>
        <v>#REF!</v>
      </c>
      <c r="AM52" s="133" t="str">
        <f t="shared" si="20"/>
        <v>#REF!</v>
      </c>
      <c r="AN52" s="133" t="str">
        <f t="shared" si="21"/>
        <v>#REF!</v>
      </c>
      <c r="AO52" s="133" t="str">
        <f t="shared" si="115"/>
        <v>#REF!</v>
      </c>
      <c r="AP52" s="134" t="str">
        <f t="shared" si="22"/>
        <v>#REF!</v>
      </c>
      <c r="AQ52" s="134" t="str">
        <f t="shared" si="23"/>
        <v>#REF!</v>
      </c>
      <c r="AR52" s="135" t="str">
        <f>IF(ISNA(VLOOKUP(A52,'Données projet (1)'!$A$61:$I$81,5,0)),0%,VLOOKUP(A52,'Données projet (1)'!$A$61:$I$81,5,0)*VLOOKUP('Données projet (1)'!$B$10,'Paramètres (1)'!$A$1:$I$88,7,0))</f>
        <v>#REF!</v>
      </c>
      <c r="AS52" s="135" t="str">
        <f>IF(ISNA(VLOOKUP(A52,'Données projet (1)'!$A$61:$I$81,6,0)),0%,VLOOKUP(A52,'Données projet (1)'!$A$61:$I$81,6,0)*VLOOKUP('Données projet (1)'!$B$10,'Paramètres (1)'!$A$1:$I$88,7,0))</f>
        <v>#REF!</v>
      </c>
      <c r="AT52" s="135" t="str">
        <f t="shared" si="24"/>
        <v>#REF!</v>
      </c>
      <c r="AU52" s="142" t="str">
        <f>EXP(-LN(2)/35)*AU51+(1-EXP(-LN(2)/35))/(LN(2)/35)*AQ52*AR52*VLOOKUP('Données projet (1)'!$B$10,'Paramètres (1)'!$A$1:$I$88,3,0)*0.475*44/12</f>
        <v>#REF!</v>
      </c>
      <c r="AV52" s="142" t="str">
        <f>EXP(-LN(2)/25)*AV51+(1-EXP(-LN(2)/25))/(LN(2)/25)*'Calculateur (1)'!AQ52*'Calculateur (1)'!AS52*VLOOKUP('Données projet (1)'!$B$10,'Paramètres (1)'!$A$1:$I$88,3,0)*0.475*44/12</f>
        <v>#REF!</v>
      </c>
      <c r="AW52" s="142" t="str">
        <f>EXP(-LN(2)/2)*AW51+(1-EXP(-LN(2)/2))/(LN(2)/2)*AQ52*AT52*VLOOKUP('Données projet (1)'!$B$10,'Paramètres (1)'!$A$1:$I$88,3,0)*0.475*44/12</f>
        <v>#REF!</v>
      </c>
      <c r="AX52" s="142" t="str">
        <f t="shared" si="25"/>
        <v>#REF!</v>
      </c>
      <c r="AY52" s="137" t="str">
        <f t="shared" si="26"/>
        <v>#REF!</v>
      </c>
      <c r="AZ52" s="131">
        <f t="shared" si="27"/>
        <v>10</v>
      </c>
      <c r="BA52" s="131" t="str">
        <f t="shared" si="116"/>
        <v>#REF!</v>
      </c>
      <c r="BB52" s="131" t="str">
        <f t="shared" si="28"/>
        <v>#REF!</v>
      </c>
      <c r="BC52" s="131" t="str">
        <f t="array" ref="BC52">INDEX(BB:BB,MIN(IF(ISNUMBER(BB52:BB248),ROW(BB52:BB248),"")))</f>
        <v/>
      </c>
      <c r="BD52" s="131" t="str">
        <f t="shared" si="117"/>
        <v>#REF!</v>
      </c>
      <c r="BE52" s="130" t="str">
        <f>BD52*VLOOKUP('Données projet (1)'!$B$11,'Paramètres (1)'!$A$1:$I$88,3,0)*VLOOKUP('Données projet (1)'!$B$11,'Paramètres (1)'!$A$1:$I$88,5,0)</f>
        <v>#REF!</v>
      </c>
      <c r="BF52" s="130" t="str">
        <f t="shared" si="118"/>
        <v>#REF!</v>
      </c>
      <c r="BG52" s="141" t="str">
        <f t="shared" si="29"/>
        <v>#REF!</v>
      </c>
      <c r="BH52" s="133" t="str">
        <f t="shared" si="30"/>
        <v>#REF!</v>
      </c>
      <c r="BI52" s="133" t="str">
        <f t="shared" si="31"/>
        <v>#REF!</v>
      </c>
      <c r="BJ52" s="133" t="str">
        <f t="shared" si="119"/>
        <v>#REF!</v>
      </c>
      <c r="BK52" s="134" t="str">
        <f t="shared" si="32"/>
        <v>#REF!</v>
      </c>
      <c r="BL52" s="134" t="str">
        <f t="shared" si="33"/>
        <v>#REF!</v>
      </c>
      <c r="BM52" s="135" t="str">
        <f>IF(ISNA(VLOOKUP(A52,'Données projet (1)'!$A$87:$I$107,5,0)),0%,VLOOKUP(A52,'Données projet (1)'!$A$87:$I$107,5,0)*VLOOKUP('Données projet (1)'!$B$11,'Paramètres (1)'!$A$1:$I$88,7,0))</f>
        <v>#REF!</v>
      </c>
      <c r="BN52" s="135" t="str">
        <f>IF(ISNA(VLOOKUP(A52,'Données projet (1)'!$A$87:$I$107,6,0)),0%,VLOOKUP(A52,'Données projet (1)'!$A$87:$I$107,6,0)*VLOOKUP('Données projet (1)'!$B$11,'Paramètres (1)'!$A$1:$I$88,7,0))</f>
        <v>#REF!</v>
      </c>
      <c r="BO52" s="135" t="str">
        <f t="shared" si="34"/>
        <v>#REF!</v>
      </c>
      <c r="BP52" s="142" t="str">
        <f>EXP(-LN(2)/35)*BP51+(1-EXP(-LN(2)/35))/(LN(2)/35)*BL52*BM52*VLOOKUP('Données projet (1)'!$B$11,'Paramètres (1)'!$A$1:$I$88,3,0)*0.475*44/12</f>
        <v>#REF!</v>
      </c>
      <c r="BQ52" s="142" t="str">
        <f>EXP(-LN(2)/25)*BQ51+(1-EXP(-LN(2)/25))/(LN(2)/25)*'Calculateur (1)'!BL52*'Calculateur (1)'!BN52*VLOOKUP('Données projet (1)'!$B$11,'Paramètres (1)'!$A$1:$I$88,3,0)*0.475*44/12</f>
        <v>#REF!</v>
      </c>
      <c r="BR52" s="142" t="str">
        <f>EXP(-LN(2)/2)*BR51+(1-EXP(-LN(2)/2))/(LN(2)/2)*BL52*BO52*VLOOKUP('Données projet (1)'!$B$11,'Paramètres (1)'!$A$1:$I$88,3,0)*0.475*44/12</f>
        <v>#REF!</v>
      </c>
      <c r="BS52" s="143" t="str">
        <f t="shared" si="35"/>
        <v>#REF!</v>
      </c>
      <c r="BT52" s="139" t="str">
        <f t="shared" si="36"/>
        <v>#REF!</v>
      </c>
      <c r="BU52" s="131">
        <f t="shared" si="37"/>
        <v>10</v>
      </c>
      <c r="BV52" s="131" t="str">
        <f t="shared" si="120"/>
        <v>#REF!</v>
      </c>
      <c r="BW52" s="131" t="str">
        <f t="shared" si="38"/>
        <v>#REF!</v>
      </c>
      <c r="BX52" s="131" t="str">
        <f t="array" ref="BX52">INDEX(BW:BW,MIN(IF(ISNUMBER(BW52:BW248),ROW(BW52:BW248),"")))</f>
        <v/>
      </c>
      <c r="BY52" s="131" t="str">
        <f t="shared" si="121"/>
        <v>#REF!</v>
      </c>
      <c r="BZ52" s="130" t="str">
        <f>BY52*VLOOKUP('Données projet (1)'!$B$12,'Paramètres (1)'!$A$1:$I$88,3,0)*VLOOKUP('Données projet (1)'!$B$12,'Paramètres (1)'!$A$1:$I$88,5,0)</f>
        <v>#REF!</v>
      </c>
      <c r="CA52" s="130" t="str">
        <f t="shared" si="122"/>
        <v>#REF!</v>
      </c>
      <c r="CB52" s="141" t="str">
        <f t="shared" si="39"/>
        <v>#REF!</v>
      </c>
      <c r="CC52" s="133" t="str">
        <f t="shared" si="40"/>
        <v>#REF!</v>
      </c>
      <c r="CD52" s="133" t="str">
        <f t="shared" si="41"/>
        <v>#REF!</v>
      </c>
      <c r="CE52" s="133" t="str">
        <f t="shared" si="123"/>
        <v>#REF!</v>
      </c>
      <c r="CF52" s="134" t="str">
        <f t="shared" si="42"/>
        <v>#REF!</v>
      </c>
      <c r="CG52" s="134" t="str">
        <f t="shared" si="43"/>
        <v>#REF!</v>
      </c>
      <c r="CH52" s="135" t="str">
        <f>IF(ISNA(VLOOKUP(A52,'Données projet (1)'!$A$113:$I$133,5,0)),0%,VLOOKUP(A52,'Données projet (1)'!$A$113:$I$133,5,0)*VLOOKUP('Données projet (1)'!$B$12,'Paramètres (1)'!$A$1:$I$88,7,0))</f>
        <v>#REF!</v>
      </c>
      <c r="CI52" s="135" t="str">
        <f>IF(ISNA(VLOOKUP(A52,'Données projet (1)'!$A$113:$I$133,6,0)),0%,VLOOKUP(A52,'Données projet (1)'!$A$113:$I$133,6,0)*VLOOKUP('Données projet (1)'!$B$12,'Paramètres (1)'!$A$1:$I$88,7,0))</f>
        <v>#REF!</v>
      </c>
      <c r="CJ52" s="135" t="str">
        <f t="shared" si="44"/>
        <v>#REF!</v>
      </c>
      <c r="CK52" s="142" t="str">
        <f>EXP(-LN(2)/35)*CK51+(1-EXP(-LN(2)/35))/(LN(2)/35)*CG52*CH52*VLOOKUP('Données projet (1)'!$B$12,'Paramètres (1)'!$A$1:$I$88,3,0)*0.475*44/12</f>
        <v>#REF!</v>
      </c>
      <c r="CL52" s="142" t="str">
        <f>EXP(-LN(2)/25)*CL51+(1-EXP(-LN(2)/25))/(LN(2)/25)*'Calculateur (1)'!CG52*'Calculateur (1)'!CI52*VLOOKUP('Données projet (1)'!$B$12,'Paramètres (1)'!$A$1:$I$88,3,0)*0.475*44/12</f>
        <v>#REF!</v>
      </c>
      <c r="CM52" s="142" t="str">
        <f>EXP(-LN(2)/2)*CM51+(1-EXP(-LN(2)/2))/(LN(2)/2)*CG52*CJ52*VLOOKUP('Données projet (1)'!$B$12,'Paramètres (1)'!$A$1:$I$88,3,0)*0.475*44/12</f>
        <v>#REF!</v>
      </c>
      <c r="CN52" s="143" t="str">
        <f t="shared" si="45"/>
        <v>#REF!</v>
      </c>
      <c r="CO52" s="139" t="str">
        <f t="shared" si="46"/>
        <v>#REF!</v>
      </c>
      <c r="CP52" s="131">
        <f t="shared" si="47"/>
        <v>10</v>
      </c>
      <c r="CQ52" s="131" t="str">
        <f t="shared" si="124"/>
        <v>#REF!</v>
      </c>
      <c r="CR52" s="131" t="str">
        <f t="shared" si="48"/>
        <v>#REF!</v>
      </c>
      <c r="CS52" s="131" t="str">
        <f t="array" ref="CS52">INDEX(CR:CR,MIN(IF(ISNUMBER(CR52:CR248),ROW(CR52:CR248),"")))</f>
        <v/>
      </c>
      <c r="CT52" s="131" t="str">
        <f t="shared" si="125"/>
        <v>#REF!</v>
      </c>
      <c r="CU52" s="138" t="str">
        <f>CT52*VLOOKUP('Données projet (1)'!$B$13,'Paramètres (1)'!$A$1:$I$88,3,0)*VLOOKUP('Données projet (1)'!$B$13,'Paramètres (1)'!$A$1:$I$88,5,0)</f>
        <v>#REF!</v>
      </c>
      <c r="CV52" s="130" t="str">
        <f t="shared" si="126"/>
        <v>#REF!</v>
      </c>
      <c r="CW52" s="141" t="str">
        <f t="shared" si="49"/>
        <v>#REF!</v>
      </c>
      <c r="CX52" s="133" t="str">
        <f t="shared" si="50"/>
        <v>#REF!</v>
      </c>
      <c r="CY52" s="133" t="str">
        <f t="shared" si="51"/>
        <v>#REF!</v>
      </c>
      <c r="CZ52" s="133" t="str">
        <f t="shared" si="127"/>
        <v>#REF!</v>
      </c>
      <c r="DA52" s="134" t="str">
        <f t="shared" si="52"/>
        <v>#REF!</v>
      </c>
      <c r="DB52" s="134" t="str">
        <f t="shared" si="53"/>
        <v>#REF!</v>
      </c>
      <c r="DC52" s="135" t="str">
        <f>IF(ISNA(VLOOKUP(A52,'Données projet (1)'!$A$139:$I$159,5,0)),0%,VLOOKUP(A52,'Données projet (1)'!$A$139:$I$159,5,0)*VLOOKUP('Données projet (1)'!$B$13,'Paramètres (1)'!$A$1:$I$88,7,0))</f>
        <v>#REF!</v>
      </c>
      <c r="DD52" s="135" t="str">
        <f>IF(ISNA(VLOOKUP(A52,'Données projet (1)'!$A$139:$I$159,6,0)),0%,VLOOKUP(A52,'Données projet (1)'!$A$139:$I$159,6,0)*VLOOKUP('Données projet (1)'!$B$13,'Paramètres (1)'!$A$1:$I$88,7,0))</f>
        <v>#REF!</v>
      </c>
      <c r="DE52" s="135" t="str">
        <f t="shared" si="54"/>
        <v>#REF!</v>
      </c>
      <c r="DF52" s="142" t="str">
        <f>EXP(-LN(2)/35)*DF51+(1-EXP(-LN(2)/35))/(LN(2)/35)*DB52*DC52*VLOOKUP('Données projet (1)'!$B$13,'Paramètres (1)'!$A$1:$I$88,3,0)*0.475*44/12</f>
        <v>#REF!</v>
      </c>
      <c r="DG52" s="142" t="str">
        <f>EXP(-LN(2)/25)*DG51+(1-EXP(-LN(2)/25))/(LN(2)/25)*'Calculateur (1)'!DB52*'Calculateur (1)'!DD52*VLOOKUP('Données projet (1)'!$B$13,'Paramètres (1)'!$A$1:$I$88,3,0)*0.475*44/12</f>
        <v>#REF!</v>
      </c>
      <c r="DH52" s="142" t="str">
        <f>EXP(-LN(2)/2)*DH51+(1-EXP(-LN(2)/2))/(LN(2)/2)*DB52*DE52*VLOOKUP('Données projet (1)'!$B$13,'Paramètres (1)'!$A$1:$I$88,3,0)*0.475*44/12</f>
        <v>#REF!</v>
      </c>
      <c r="DI52" s="143" t="str">
        <f t="shared" si="55"/>
        <v>#REF!</v>
      </c>
      <c r="DJ52" s="139" t="str">
        <f t="shared" si="56"/>
        <v>#REF!</v>
      </c>
      <c r="DK52" s="131">
        <f t="shared" si="57"/>
        <v>10</v>
      </c>
      <c r="DL52" s="131" t="str">
        <f t="shared" si="128"/>
        <v>#REF!</v>
      </c>
      <c r="DM52" s="131" t="str">
        <f t="shared" si="58"/>
        <v>#REF!</v>
      </c>
      <c r="DN52" s="131" t="str">
        <f t="array" ref="DN52">INDEX(DM:DM,MIN(IF(ISNUMBER(DM52:DM248),ROW(DM52:DM248),"")))</f>
        <v/>
      </c>
      <c r="DO52" s="131" t="str">
        <f t="shared" si="129"/>
        <v>#REF!</v>
      </c>
      <c r="DP52" s="138" t="str">
        <f>DO52*VLOOKUP('Données projet (1)'!$B$14,'Paramètres (1)'!$A$1:$I$88,3,0)*VLOOKUP('Données projet (1)'!$B$14,'Paramètres (1)'!$A$1:$I$88,5,0)</f>
        <v>#REF!</v>
      </c>
      <c r="DQ52" s="130" t="str">
        <f t="shared" si="130"/>
        <v>#REF!</v>
      </c>
      <c r="DR52" s="141" t="str">
        <f t="shared" si="59"/>
        <v>#REF!</v>
      </c>
      <c r="DS52" s="133" t="str">
        <f t="shared" si="60"/>
        <v>#REF!</v>
      </c>
      <c r="DT52" s="133" t="str">
        <f t="shared" si="61"/>
        <v>#REF!</v>
      </c>
      <c r="DU52" s="133" t="str">
        <f t="shared" si="131"/>
        <v>#REF!</v>
      </c>
      <c r="DV52" s="134" t="str">
        <f t="shared" si="62"/>
        <v>#REF!</v>
      </c>
      <c r="DW52" s="134" t="str">
        <f t="shared" si="63"/>
        <v>#REF!</v>
      </c>
      <c r="DX52" s="135" t="str">
        <f>IF(ISNA(VLOOKUP(A52,'Données projet (1)'!$A$165:$I$185,5,0)),0%,VLOOKUP(A52,'Données projet (1)'!$A$165:$I$185,5,0)*VLOOKUP('Données projet (1)'!$B$14,'Paramètres (1)'!$A$1:$I$88,7,0))</f>
        <v>#REF!</v>
      </c>
      <c r="DY52" s="135" t="str">
        <f>IF(ISNA(VLOOKUP(A52,'Données projet (1)'!$A$165:$I$185,6,0)),0%,VLOOKUP(A52,'Données projet (1)'!$A$165:$I$185,6,0)*VLOOKUP('Données projet (1)'!$B$14,'Paramètres (1)'!$A$1:$I$88,7,0))</f>
        <v>#REF!</v>
      </c>
      <c r="DZ52" s="135" t="str">
        <f t="shared" si="64"/>
        <v>#REF!</v>
      </c>
      <c r="EA52" s="142" t="str">
        <f>EXP(-LN(2)/35)*EA51+(1-EXP(-LN(2)/35))/(LN(2)/35)*DW52*DX52*VLOOKUP('Données projet (1)'!$B$14,'Paramètres (1)'!$A$1:$I$88,3,0)*0.475*44/12</f>
        <v>#REF!</v>
      </c>
      <c r="EB52" s="142" t="str">
        <f>EXP(-LN(2)/25)*EB51+(1-EXP(-LN(2)/25))/(LN(2)/25)*'Calculateur (1)'!DW52*'Calculateur (1)'!DY52*VLOOKUP('Données projet (1)'!$B$14,'Paramètres (1)'!$A$1:$I$88,3,0)*0.475*44/12</f>
        <v>#REF!</v>
      </c>
      <c r="EC52" s="142" t="str">
        <f>EXP(-LN(2)/2)*EC51+(1-EXP(-LN(2)/2))/(LN(2)/2)*DW52*DZ52*VLOOKUP('Données projet (1)'!$B$14,'Paramètres (1)'!$A$1:$I$88,3,0)*0.475*44/12</f>
        <v>#REF!</v>
      </c>
      <c r="ED52" s="143" t="str">
        <f t="shared" si="65"/>
        <v>#REF!</v>
      </c>
      <c r="EE52" s="139" t="str">
        <f t="shared" si="66"/>
        <v>#REF!</v>
      </c>
      <c r="EF52" s="131">
        <f t="shared" si="67"/>
        <v>10</v>
      </c>
      <c r="EG52" s="131" t="str">
        <f t="shared" si="132"/>
        <v>#REF!</v>
      </c>
      <c r="EH52" s="131" t="str">
        <f t="shared" si="68"/>
        <v>#REF!</v>
      </c>
      <c r="EI52" s="131" t="str">
        <f t="array" ref="EI52">INDEX(EH:EH,MIN(IF(ISNUMBER(EH52:EH248),ROW(EH52:EH248),"")))</f>
        <v/>
      </c>
      <c r="EJ52" s="131" t="str">
        <f t="shared" si="133"/>
        <v>#REF!</v>
      </c>
      <c r="EK52" s="138" t="str">
        <f>EJ52*VLOOKUP('Données projet (1)'!$B$15,'Paramètres (1)'!$A$1:$I$88,3,0)*VLOOKUP('Données projet (1)'!$B$15,'Paramètres (1)'!$A$1:$I$88,5,0)</f>
        <v>#REF!</v>
      </c>
      <c r="EL52" s="130" t="str">
        <f t="shared" si="134"/>
        <v>#REF!</v>
      </c>
      <c r="EM52" s="141" t="str">
        <f t="shared" si="69"/>
        <v>#REF!</v>
      </c>
      <c r="EN52" s="133" t="str">
        <f t="shared" si="70"/>
        <v>#REF!</v>
      </c>
      <c r="EO52" s="133" t="str">
        <f t="shared" si="71"/>
        <v>#REF!</v>
      </c>
      <c r="EP52" s="133" t="str">
        <f t="shared" si="135"/>
        <v>#REF!</v>
      </c>
      <c r="EQ52" s="134" t="str">
        <f t="shared" si="72"/>
        <v>#REF!</v>
      </c>
      <c r="ER52" s="134" t="str">
        <f t="shared" si="73"/>
        <v>#REF!</v>
      </c>
      <c r="ES52" s="135" t="str">
        <f>IF(ISNA(VLOOKUP(A52,'Données projet (1)'!$A$191:$I$211,5,0)),0%,VLOOKUP(A52,'Données projet (1)'!$A$191:$I$211,5,0)*VLOOKUP('Données projet (1)'!$B$15,'Paramètres (1)'!$A$1:$I$88,7,0))</f>
        <v>#REF!</v>
      </c>
      <c r="ET52" s="135" t="str">
        <f>IF(ISNA(VLOOKUP(A52,'Données projet (1)'!$A$191:$I$211,6,0)),0%,VLOOKUP(A52,'Données projet (1)'!$A$191:$I$211,6,0)*VLOOKUP('Données projet (1)'!$B$15,'Paramètres (1)'!$A$1:$I$88,7,0))</f>
        <v>#REF!</v>
      </c>
      <c r="EU52" s="135" t="str">
        <f t="shared" si="74"/>
        <v>#REF!</v>
      </c>
      <c r="EV52" s="142" t="str">
        <f>EXP(-LN(2)/35)*EV51+(1-EXP(-LN(2)/35))/(LN(2)/35)*ER52*ES52*VLOOKUP('Données projet (1)'!$B$15,'Paramètres (1)'!$A$1:$I$88,3,0)*0.475*44/12</f>
        <v>#REF!</v>
      </c>
      <c r="EW52" s="142" t="str">
        <f>EXP(-LN(2)/25)*EW51+(1-EXP(-LN(2)/25))/(LN(2)/25)*'Calculateur (1)'!ER52*'Calculateur (1)'!ET52*VLOOKUP('Données projet (1)'!$B$15,'Paramètres (1)'!$A$1:$I$88,3,0)*0.475*44/12</f>
        <v>#REF!</v>
      </c>
      <c r="EX52" s="142" t="str">
        <f>EXP(-LN(2)/2)*EX51+(1-EXP(-LN(2)/2))/(LN(2)/2)*ER52*EU52*VLOOKUP('Données projet (1)'!$B$15,'Paramètres (1)'!$A$1:$I$88,3,0)*0.475*44/12</f>
        <v>#REF!</v>
      </c>
      <c r="EY52" s="143" t="str">
        <f t="shared" si="75"/>
        <v>#REF!</v>
      </c>
      <c r="EZ52" s="139" t="str">
        <f t="shared" si="76"/>
        <v>#REF!</v>
      </c>
      <c r="FA52" s="131">
        <f t="shared" si="77"/>
        <v>10</v>
      </c>
      <c r="FB52" s="131" t="str">
        <f t="shared" si="136"/>
        <v>#REF!</v>
      </c>
      <c r="FC52" s="131" t="str">
        <f t="shared" si="78"/>
        <v>#REF!</v>
      </c>
      <c r="FD52" s="131" t="str">
        <f t="array" ref="FD52">INDEX(FC:FC,MIN(IF(ISNUMBER(FC52:FC248),ROW(FC52:FC248),"")))</f>
        <v/>
      </c>
      <c r="FE52" s="131" t="str">
        <f t="shared" si="137"/>
        <v>#REF!</v>
      </c>
      <c r="FF52" s="138" t="str">
        <f>FE52*VLOOKUP('Données projet (1)'!$B$16,'Paramètres (1)'!$A$1:$I$88,3,0)*VLOOKUP('Données projet (1)'!$B$16,'Paramètres (1)'!$A$1:$I$88,5,0)</f>
        <v>#REF!</v>
      </c>
      <c r="FG52" s="130" t="str">
        <f t="shared" si="138"/>
        <v>#REF!</v>
      </c>
      <c r="FH52" s="141" t="str">
        <f t="shared" si="79"/>
        <v>#REF!</v>
      </c>
      <c r="FI52" s="133" t="str">
        <f t="shared" si="80"/>
        <v>#REF!</v>
      </c>
      <c r="FJ52" s="133" t="str">
        <f t="shared" si="81"/>
        <v>#REF!</v>
      </c>
      <c r="FK52" s="133" t="str">
        <f t="shared" si="139"/>
        <v>#REF!</v>
      </c>
      <c r="FL52" s="134" t="str">
        <f t="shared" si="82"/>
        <v>#REF!</v>
      </c>
      <c r="FM52" s="134" t="str">
        <f t="shared" si="83"/>
        <v>#REF!</v>
      </c>
      <c r="FN52" s="135" t="str">
        <f>IF(ISNA(VLOOKUP(A52,'Données projet (1)'!$A$217:$I$237,5,0)),0%,VLOOKUP(A52,'Données projet (1)'!$A$217:$I$237,5,0)*VLOOKUP('Données projet (1)'!$B$16,'Paramètres (1)'!$A$1:$I$88,7,0))</f>
        <v>#REF!</v>
      </c>
      <c r="FO52" s="135" t="str">
        <f>IF(ISNA(VLOOKUP(A52,'Données projet (1)'!$A$217:$I$237,6,0)),0%,VLOOKUP(A52,'Données projet (1)'!$A$217:$I$237,6,0)*VLOOKUP('Données projet (1)'!$B$16,'Paramètres (1)'!$A$1:$I$88,7,0))</f>
        <v>#REF!</v>
      </c>
      <c r="FP52" s="135" t="str">
        <f t="shared" si="84"/>
        <v>#REF!</v>
      </c>
      <c r="FQ52" s="142" t="str">
        <f>EXP(-LN(2)/35)*FQ51+(1-EXP(-LN(2)/35))/(LN(2)/35)*FM52*FN52*VLOOKUP('Données projet (1)'!$B$16,'Paramètres (1)'!$A$1:$I$88,3,0)*0.475*44/12</f>
        <v>#REF!</v>
      </c>
      <c r="FR52" s="142" t="str">
        <f>EXP(-LN(2)/25)*FR51+(1-EXP(-LN(2)/25))/(LN(2)/25)*'Calculateur (1)'!FM52*'Calculateur (1)'!FO52*VLOOKUP('Données projet (1)'!$B$16,'Paramètres (1)'!$A$1:$I$88,3,0)*0.475*44/12</f>
        <v>#REF!</v>
      </c>
      <c r="FS52" s="142" t="str">
        <f>EXP(-LN(2)/2)*FS51+(1-EXP(-LN(2)/2))/(LN(2)/2)*FM52*FP52*VLOOKUP('Données projet (1)'!$B$16,'Paramètres (1)'!$A$1:$I$88,3,0)*0.475*44/12</f>
        <v>#REF!</v>
      </c>
      <c r="FT52" s="143" t="str">
        <f t="shared" si="85"/>
        <v>#REF!</v>
      </c>
      <c r="FU52" s="139" t="str">
        <f t="shared" si="86"/>
        <v>#REF!</v>
      </c>
      <c r="FV52" s="131">
        <f t="shared" si="87"/>
        <v>10</v>
      </c>
      <c r="FW52" s="131" t="str">
        <f t="shared" si="140"/>
        <v>#REF!</v>
      </c>
      <c r="FX52" s="131" t="str">
        <f t="shared" si="88"/>
        <v>#REF!</v>
      </c>
      <c r="FY52" s="131" t="str">
        <f t="array" ref="FY52">INDEX(FX:FX,MIN(IF(ISNUMBER(FX52:FX248),ROW(FX52:FX248),"")))</f>
        <v/>
      </c>
      <c r="FZ52" s="131" t="str">
        <f t="shared" si="141"/>
        <v>#REF!</v>
      </c>
      <c r="GA52" s="138" t="str">
        <f>FZ52*VLOOKUP('Données projet (1)'!$B$17,'Paramètres (1)'!$A$1:$I$88,3,0)*VLOOKUP('Données projet (1)'!$B$17,'Paramètres (1)'!$A$1:$I$88,5,0)</f>
        <v>#REF!</v>
      </c>
      <c r="GB52" s="130" t="str">
        <f t="shared" si="142"/>
        <v>#REF!</v>
      </c>
      <c r="GC52" s="141" t="str">
        <f t="shared" si="89"/>
        <v>#REF!</v>
      </c>
      <c r="GD52" s="133" t="str">
        <f t="shared" si="90"/>
        <v>#REF!</v>
      </c>
      <c r="GE52" s="133" t="str">
        <f t="shared" si="91"/>
        <v>#REF!</v>
      </c>
      <c r="GF52" s="133" t="str">
        <f t="shared" si="143"/>
        <v>#REF!</v>
      </c>
      <c r="GG52" s="134" t="str">
        <f t="shared" si="92"/>
        <v>#REF!</v>
      </c>
      <c r="GH52" s="134" t="str">
        <f t="shared" si="93"/>
        <v>#REF!</v>
      </c>
      <c r="GI52" s="135" t="str">
        <f>IF(ISNA(VLOOKUP(A52,'Données projet (1)'!$A$243:$I$263,5,0)),0%,VLOOKUP(A52,'Données projet (1)'!$A$243:$I$263,5,0)*VLOOKUP('Données projet (1)'!$B$17,'Paramètres (1)'!$A$1:$I$88,7,0))</f>
        <v>#REF!</v>
      </c>
      <c r="GJ52" s="135" t="str">
        <f>IF(ISNA(VLOOKUP(A52,'Données projet (1)'!$A$243:$I$263,6,0)),0%,VLOOKUP(A52,'Données projet (1)'!$A$243:$I$263,6,0)*VLOOKUP('Données projet (1)'!$B$17,'Paramètres (1)'!$A$1:$I$88,7,0))</f>
        <v>#REF!</v>
      </c>
      <c r="GK52" s="135" t="str">
        <f t="shared" si="94"/>
        <v>#REF!</v>
      </c>
      <c r="GL52" s="142" t="str">
        <f>EXP(-LN(2)/35)*GL51+(1-EXP(-LN(2)/35))/(LN(2)/35)*GH52*GI52*VLOOKUP('Données projet (1)'!$B$17,'Paramètres (1)'!$A$1:$I$88,3,0)*0.475*44/12</f>
        <v>#REF!</v>
      </c>
      <c r="GM52" s="142" t="str">
        <f>EXP(-LN(2)/25)*GM51+(1-EXP(-LN(2)/25))/(LN(2)/25)*'Calculateur (1)'!GH52*'Calculateur (1)'!GJ52*VLOOKUP('Données projet (1)'!$B$17,'Paramètres (1)'!$A$1:$I$88,3,0)*0.475*44/12</f>
        <v>#REF!</v>
      </c>
      <c r="GN52" s="142" t="str">
        <f>EXP(-LN(2)/2)*GN51+(1-EXP(-LN(2)/2))/(LN(2)/2)*GH52*GK52*VLOOKUP('Données projet (1)'!$B$17,'Paramètres (1)'!$A$1:$I$88,3,0)*0.475*44/12</f>
        <v>#REF!</v>
      </c>
      <c r="GO52" s="142" t="str">
        <f t="shared" si="95"/>
        <v>#REF!</v>
      </c>
      <c r="GP52" s="139" t="str">
        <f t="shared" si="96"/>
        <v>#REF!</v>
      </c>
      <c r="GQ52" s="131">
        <f t="shared" si="97"/>
        <v>10</v>
      </c>
      <c r="GR52" s="131" t="str">
        <f t="shared" si="144"/>
        <v>#REF!</v>
      </c>
      <c r="GS52" s="131" t="str">
        <f t="shared" si="98"/>
        <v>#REF!</v>
      </c>
      <c r="GT52" s="131" t="str">
        <f t="array" ref="GT52">INDEX(GS:GS,MIN(IF(ISNUMBER(GS52:GS248),ROW(GS52:GS248),"")))</f>
        <v/>
      </c>
      <c r="GU52" s="131" t="str">
        <f t="shared" si="145"/>
        <v>#REF!</v>
      </c>
      <c r="GV52" s="138" t="str">
        <f>GU52*VLOOKUP('Données projet (1)'!$B$18,'Paramètres (1)'!$A$1:$I$88,3,0)*VLOOKUP('Données projet (1)'!$B$18,'Paramètres (1)'!$A$1:$I$88,5,0)</f>
        <v>#REF!</v>
      </c>
      <c r="GW52" s="130" t="str">
        <f t="shared" si="146"/>
        <v>#REF!</v>
      </c>
      <c r="GX52" s="141" t="str">
        <f t="shared" si="99"/>
        <v>#REF!</v>
      </c>
      <c r="GY52" s="133" t="str">
        <f t="shared" si="100"/>
        <v>#REF!</v>
      </c>
      <c r="GZ52" s="133" t="str">
        <f t="shared" si="101"/>
        <v>#REF!</v>
      </c>
      <c r="HA52" s="133" t="str">
        <f t="shared" si="147"/>
        <v>#REF!</v>
      </c>
      <c r="HB52" s="134" t="str">
        <f t="shared" si="102"/>
        <v>#REF!</v>
      </c>
      <c r="HC52" s="134" t="str">
        <f t="shared" si="103"/>
        <v>#REF!</v>
      </c>
      <c r="HD52" s="135" t="str">
        <f>IF(ISNA(VLOOKUP(A52,'Données projet (1)'!$A$269:$I$289,5,0)),0%,VLOOKUP(A52,'Données projet (1)'!$A$269:$I$289,5,0)*VLOOKUP('Données projet (1)'!$B$18,'Paramètres (1)'!$A$1:$I$88,7,0))</f>
        <v>#REF!</v>
      </c>
      <c r="HE52" s="135" t="str">
        <f>IF(ISNA(VLOOKUP(A52,'Données projet (1)'!$A$269:$I$289,6,0)),0%,VLOOKUP(A52,'Données projet (1)'!$A$269:$I$289,6,0)*VLOOKUP('Données projet (1)'!$B$18,'Paramètres (1)'!$A$1:$I$88,7,0))</f>
        <v>#REF!</v>
      </c>
      <c r="HF52" s="135" t="str">
        <f t="shared" si="104"/>
        <v>#REF!</v>
      </c>
      <c r="HG52" s="142" t="str">
        <f>EXP(-LN(2)/35)*HG51+(1-EXP(-LN(2)/35))/(LN(2)/35)*HC52*HD52*VLOOKUP('Données projet (1)'!$B$18,'Paramètres (1)'!$A$1:$I$88,3,0)*0.475*44/12</f>
        <v>#REF!</v>
      </c>
      <c r="HH52" s="142" t="str">
        <f>EXP(-LN(2)/25)*HH51+(1-EXP(-LN(2)/25))/(LN(2)/25)*'Calculateur (1)'!HC52*'Calculateur (1)'!HE52*VLOOKUP('Données projet (1)'!$B$18,'Paramètres (1)'!$A$1:$I$88,3,0)*0.475*44/12</f>
        <v>#REF!</v>
      </c>
      <c r="HI52" s="142" t="str">
        <f>EXP(-LN(2)/2)*HI51+(1-EXP(-LN(2)/2))/(LN(2)/2)*HC52*HF52*VLOOKUP('Données projet (1)'!$B$18,'Paramètres (1)'!$A$1:$I$88,3,0)*0.475*44/12</f>
        <v>#REF!</v>
      </c>
      <c r="HJ52" s="143" t="str">
        <f t="shared" si="105"/>
        <v>#REF!</v>
      </c>
    </row>
    <row r="53" ht="14.25" customHeight="1">
      <c r="A53" s="125">
        <f t="shared" si="106"/>
        <v>50</v>
      </c>
      <c r="B53" s="126" t="str">
        <f t="shared" si="1"/>
        <v>#REF!</v>
      </c>
      <c r="C53" s="140" t="str">
        <f>'Calculateur (1)'!C52+'Scénario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3" s="127">
        <f t="shared" si="107"/>
        <v>0</v>
      </c>
      <c r="E53" s="127" t="str">
        <f t="shared" si="2"/>
        <v>#REF!</v>
      </c>
      <c r="F53" s="127" t="str">
        <f t="shared" si="3"/>
        <v>#REF!</v>
      </c>
      <c r="G53" s="127" t="str">
        <f t="shared" si="4"/>
        <v>#REF!</v>
      </c>
      <c r="H53" s="128" t="str">
        <f t="shared" si="5"/>
        <v>#REF!</v>
      </c>
      <c r="I53" s="129" t="str">
        <f t="shared" si="6"/>
        <v>#REF!</v>
      </c>
      <c r="J53" s="130">
        <f t="shared" si="7"/>
        <v>10</v>
      </c>
      <c r="K53" s="131" t="str">
        <f t="shared" si="108"/>
        <v>#REF!</v>
      </c>
      <c r="L53" s="131" t="str">
        <f t="shared" si="8"/>
        <v>#REF!</v>
      </c>
      <c r="M53" s="131" t="str">
        <f t="array" ref="M53">INDEX(L:L,MIN(IF(ISNUMBER(L53:L249),ROW(L53:L249),"")))</f>
        <v/>
      </c>
      <c r="N53" s="130" t="str">
        <f t="shared" si="109"/>
        <v>#REF!</v>
      </c>
      <c r="O53" s="130" t="str">
        <f>N53*VLOOKUP('Données projet (1)'!$B$9,'Paramètres (1)'!$A$1:$I$88,3,0)*VLOOKUP('Données projet (1)'!$B$9,'Paramètres (1)'!$A$1:$I$88,5,0)</f>
        <v>#REF!</v>
      </c>
      <c r="P53" s="130" t="str">
        <f t="shared" si="110"/>
        <v>#REF!</v>
      </c>
      <c r="Q53" s="141" t="str">
        <f t="shared" si="9"/>
        <v>#REF!</v>
      </c>
      <c r="R53" s="133" t="str">
        <f t="shared" si="10"/>
        <v>#REF!</v>
      </c>
      <c r="S53" s="133" t="str">
        <f t="shared" si="11"/>
        <v>#REF!</v>
      </c>
      <c r="T53" s="133" t="str">
        <f t="shared" si="111"/>
        <v>#REF!</v>
      </c>
      <c r="U53" s="134" t="str">
        <f t="shared" si="12"/>
        <v>#REF!</v>
      </c>
      <c r="V53" s="134" t="str">
        <f t="shared" si="13"/>
        <v>#REF!</v>
      </c>
      <c r="W53" s="135" t="str">
        <f>IF(ISNA(VLOOKUP(A53,'Données projet (1)'!$A$35:$I$55,5,0)),0%,VLOOKUP(A53,'Données projet (1)'!$A$35:$I$55,5,0)*VLOOKUP('Données projet (1)'!$B$9,'Paramètres (1)'!$A$1:$I$88,7,0))</f>
        <v>#REF!</v>
      </c>
      <c r="X53" s="135" t="str">
        <f>IF(ISNA(VLOOKUP(A53,'Données projet (1)'!$A$35:$I$55,6,0)),0%,VLOOKUP(A53,'Données projet (1)'!$A$35:$I$55,6,0)*VLOOKUP('Données projet (1)'!$B$9,'Paramètres (1)'!$A$1:$I$88,7,0))</f>
        <v>#REF!</v>
      </c>
      <c r="Y53" s="135" t="str">
        <f t="shared" si="14"/>
        <v>#REF!</v>
      </c>
      <c r="Z53" s="142" t="str">
        <f>EXP(-LN(2)/35)*Z52+(1-EXP(-LN(2)/35))/(LN(2)/35)*V53*W53*VLOOKUP('Données projet (1)'!$B$9,'Paramètres (1)'!$A$1:$I$88,3,0)*0.475*44/12</f>
        <v>#REF!</v>
      </c>
      <c r="AA53" s="142" t="str">
        <f>EXP(-LN(2)/25)*AA52+(1-EXP(-LN(2)/25))/(LN(2)/25)*'Calculateur (1)'!V53*'Calculateur (1)'!X53*VLOOKUP('Données projet (1)'!$B$9,'Paramètres (1)'!$A$1:$I$88,3,0)*0.475*44/12</f>
        <v>#REF!</v>
      </c>
      <c r="AB53" s="142" t="str">
        <f>EXP(-LN(2)/2)*AB52+(1-EXP(-LN(2)/2))/(LN(2)/2)*V53*Y53*VLOOKUP('Données projet (1)'!$B$9,'Paramètres (1)'!$A$1:$I$88,3,0)*0.475*44/12</f>
        <v>#REF!</v>
      </c>
      <c r="AC53" s="143" t="str">
        <f t="shared" si="15"/>
        <v>#REF!</v>
      </c>
      <c r="AD53" s="130" t="str">
        <f t="shared" si="16"/>
        <v>#REF!</v>
      </c>
      <c r="AE53" s="130">
        <f t="shared" si="17"/>
        <v>10</v>
      </c>
      <c r="AF53" s="131" t="str">
        <f t="shared" si="112"/>
        <v>#REF!</v>
      </c>
      <c r="AG53" s="131" t="str">
        <f t="shared" si="18"/>
        <v>#REF!</v>
      </c>
      <c r="AH53" s="131" t="str">
        <f t="array" ref="AH53">INDEX(AG:AG,MIN(IF(ISNUMBER(AG53:AG249),ROW(AG53:AG249),"")))</f>
        <v/>
      </c>
      <c r="AI53" s="130" t="str">
        <f t="shared" si="113"/>
        <v>#REF!</v>
      </c>
      <c r="AJ53" s="130" t="str">
        <f>AI53*VLOOKUP('Données projet (1)'!$B$10,'Paramètres (1)'!$A$1:$I$88,3,0)*VLOOKUP('Données projet (1)'!$B$10,'Paramètres (1)'!$A$1:$I$88,5,0)</f>
        <v>#REF!</v>
      </c>
      <c r="AK53" s="130" t="str">
        <f t="shared" si="114"/>
        <v>#REF!</v>
      </c>
      <c r="AL53" s="141" t="str">
        <f t="shared" si="19"/>
        <v>#REF!</v>
      </c>
      <c r="AM53" s="133" t="str">
        <f t="shared" si="20"/>
        <v>#REF!</v>
      </c>
      <c r="AN53" s="133" t="str">
        <f t="shared" si="21"/>
        <v>#REF!</v>
      </c>
      <c r="AO53" s="133" t="str">
        <f t="shared" si="115"/>
        <v>#REF!</v>
      </c>
      <c r="AP53" s="134" t="str">
        <f t="shared" si="22"/>
        <v>#REF!</v>
      </c>
      <c r="AQ53" s="134" t="str">
        <f t="shared" si="23"/>
        <v>#REF!</v>
      </c>
      <c r="AR53" s="135" t="str">
        <f>IF(ISNA(VLOOKUP(A53,'Données projet (1)'!$A$61:$I$81,5,0)),0%,VLOOKUP(A53,'Données projet (1)'!$A$61:$I$81,5,0)*VLOOKUP('Données projet (1)'!$B$10,'Paramètres (1)'!$A$1:$I$88,7,0))</f>
        <v>#REF!</v>
      </c>
      <c r="AS53" s="135" t="str">
        <f>IF(ISNA(VLOOKUP(A53,'Données projet (1)'!$A$61:$I$81,6,0)),0%,VLOOKUP(A53,'Données projet (1)'!$A$61:$I$81,6,0)*VLOOKUP('Données projet (1)'!$B$10,'Paramètres (1)'!$A$1:$I$88,7,0))</f>
        <v>#REF!</v>
      </c>
      <c r="AT53" s="135" t="str">
        <f t="shared" si="24"/>
        <v>#REF!</v>
      </c>
      <c r="AU53" s="142" t="str">
        <f>EXP(-LN(2)/35)*AU52+(1-EXP(-LN(2)/35))/(LN(2)/35)*AQ53*AR53*VLOOKUP('Données projet (1)'!$B$10,'Paramètres (1)'!$A$1:$I$88,3,0)*0.475*44/12</f>
        <v>#REF!</v>
      </c>
      <c r="AV53" s="142" t="str">
        <f>EXP(-LN(2)/25)*AV52+(1-EXP(-LN(2)/25))/(LN(2)/25)*'Calculateur (1)'!AQ53*'Calculateur (1)'!AS53*VLOOKUP('Données projet (1)'!$B$10,'Paramètres (1)'!$A$1:$I$88,3,0)*0.475*44/12</f>
        <v>#REF!</v>
      </c>
      <c r="AW53" s="142" t="str">
        <f>EXP(-LN(2)/2)*AW52+(1-EXP(-LN(2)/2))/(LN(2)/2)*AQ53*AT53*VLOOKUP('Données projet (1)'!$B$10,'Paramètres (1)'!$A$1:$I$88,3,0)*0.475*44/12</f>
        <v>#REF!</v>
      </c>
      <c r="AX53" s="142" t="str">
        <f t="shared" si="25"/>
        <v>#REF!</v>
      </c>
      <c r="AY53" s="137" t="str">
        <f t="shared" si="26"/>
        <v>#REF!</v>
      </c>
      <c r="AZ53" s="131">
        <f t="shared" si="27"/>
        <v>10</v>
      </c>
      <c r="BA53" s="131" t="str">
        <f t="shared" si="116"/>
        <v>#REF!</v>
      </c>
      <c r="BB53" s="131" t="str">
        <f t="shared" si="28"/>
        <v>#REF!</v>
      </c>
      <c r="BC53" s="131" t="str">
        <f t="array" ref="BC53">INDEX(BB:BB,MIN(IF(ISNUMBER(BB53:BB249),ROW(BB53:BB249),"")))</f>
        <v/>
      </c>
      <c r="BD53" s="131" t="str">
        <f t="shared" si="117"/>
        <v>#REF!</v>
      </c>
      <c r="BE53" s="130" t="str">
        <f>BD53*VLOOKUP('Données projet (1)'!$B$11,'Paramètres (1)'!$A$1:$I$88,3,0)*VLOOKUP('Données projet (1)'!$B$11,'Paramètres (1)'!$A$1:$I$88,5,0)</f>
        <v>#REF!</v>
      </c>
      <c r="BF53" s="130" t="str">
        <f t="shared" si="118"/>
        <v>#REF!</v>
      </c>
      <c r="BG53" s="141" t="str">
        <f t="shared" si="29"/>
        <v>#REF!</v>
      </c>
      <c r="BH53" s="133" t="str">
        <f t="shared" si="30"/>
        <v>#REF!</v>
      </c>
      <c r="BI53" s="133" t="str">
        <f t="shared" si="31"/>
        <v>#REF!</v>
      </c>
      <c r="BJ53" s="133" t="str">
        <f t="shared" si="119"/>
        <v>#REF!</v>
      </c>
      <c r="BK53" s="134" t="str">
        <f t="shared" si="32"/>
        <v>#REF!</v>
      </c>
      <c r="BL53" s="134" t="str">
        <f t="shared" si="33"/>
        <v>#REF!</v>
      </c>
      <c r="BM53" s="135" t="str">
        <f>IF(ISNA(VLOOKUP(A53,'Données projet (1)'!$A$87:$I$107,5,0)),0%,VLOOKUP(A53,'Données projet (1)'!$A$87:$I$107,5,0)*VLOOKUP('Données projet (1)'!$B$11,'Paramètres (1)'!$A$1:$I$88,7,0))</f>
        <v>#REF!</v>
      </c>
      <c r="BN53" s="135" t="str">
        <f>IF(ISNA(VLOOKUP(A53,'Données projet (1)'!$A$87:$I$107,6,0)),0%,VLOOKUP(A53,'Données projet (1)'!$A$87:$I$107,6,0)*VLOOKUP('Données projet (1)'!$B$11,'Paramètres (1)'!$A$1:$I$88,7,0))</f>
        <v>#REF!</v>
      </c>
      <c r="BO53" s="135" t="str">
        <f t="shared" si="34"/>
        <v>#REF!</v>
      </c>
      <c r="BP53" s="142" t="str">
        <f>EXP(-LN(2)/35)*BP52+(1-EXP(-LN(2)/35))/(LN(2)/35)*BL53*BM53*VLOOKUP('Données projet (1)'!$B$11,'Paramètres (1)'!$A$1:$I$88,3,0)*0.475*44/12</f>
        <v>#REF!</v>
      </c>
      <c r="BQ53" s="142" t="str">
        <f>EXP(-LN(2)/25)*BQ52+(1-EXP(-LN(2)/25))/(LN(2)/25)*'Calculateur (1)'!BL53*'Calculateur (1)'!BN53*VLOOKUP('Données projet (1)'!$B$11,'Paramètres (1)'!$A$1:$I$88,3,0)*0.475*44/12</f>
        <v>#REF!</v>
      </c>
      <c r="BR53" s="142" t="str">
        <f>EXP(-LN(2)/2)*BR52+(1-EXP(-LN(2)/2))/(LN(2)/2)*BL53*BO53*VLOOKUP('Données projet (1)'!$B$11,'Paramètres (1)'!$A$1:$I$88,3,0)*0.475*44/12</f>
        <v>#REF!</v>
      </c>
      <c r="BS53" s="143" t="str">
        <f t="shared" si="35"/>
        <v>#REF!</v>
      </c>
      <c r="BT53" s="139" t="str">
        <f t="shared" si="36"/>
        <v>#REF!</v>
      </c>
      <c r="BU53" s="131">
        <f t="shared" si="37"/>
        <v>10</v>
      </c>
      <c r="BV53" s="131" t="str">
        <f t="shared" si="120"/>
        <v>#REF!</v>
      </c>
      <c r="BW53" s="131" t="str">
        <f t="shared" si="38"/>
        <v>#REF!</v>
      </c>
      <c r="BX53" s="131" t="str">
        <f t="array" ref="BX53">INDEX(BW:BW,MIN(IF(ISNUMBER(BW53:BW249),ROW(BW53:BW249),"")))</f>
        <v/>
      </c>
      <c r="BY53" s="131" t="str">
        <f t="shared" si="121"/>
        <v>#REF!</v>
      </c>
      <c r="BZ53" s="130" t="str">
        <f>BY53*VLOOKUP('Données projet (1)'!$B$12,'Paramètres (1)'!$A$1:$I$88,3,0)*VLOOKUP('Données projet (1)'!$B$12,'Paramètres (1)'!$A$1:$I$88,5,0)</f>
        <v>#REF!</v>
      </c>
      <c r="CA53" s="130" t="str">
        <f t="shared" si="122"/>
        <v>#REF!</v>
      </c>
      <c r="CB53" s="141" t="str">
        <f t="shared" si="39"/>
        <v>#REF!</v>
      </c>
      <c r="CC53" s="133" t="str">
        <f t="shared" si="40"/>
        <v>#REF!</v>
      </c>
      <c r="CD53" s="133" t="str">
        <f t="shared" si="41"/>
        <v>#REF!</v>
      </c>
      <c r="CE53" s="133" t="str">
        <f t="shared" si="123"/>
        <v>#REF!</v>
      </c>
      <c r="CF53" s="134" t="str">
        <f t="shared" si="42"/>
        <v>#REF!</v>
      </c>
      <c r="CG53" s="134" t="str">
        <f t="shared" si="43"/>
        <v>#REF!</v>
      </c>
      <c r="CH53" s="135" t="str">
        <f>IF(ISNA(VLOOKUP(A53,'Données projet (1)'!$A$113:$I$133,5,0)),0%,VLOOKUP(A53,'Données projet (1)'!$A$113:$I$133,5,0)*VLOOKUP('Données projet (1)'!$B$12,'Paramètres (1)'!$A$1:$I$88,7,0))</f>
        <v>#REF!</v>
      </c>
      <c r="CI53" s="135" t="str">
        <f>IF(ISNA(VLOOKUP(A53,'Données projet (1)'!$A$113:$I$133,6,0)),0%,VLOOKUP(A53,'Données projet (1)'!$A$113:$I$133,6,0)*VLOOKUP('Données projet (1)'!$B$12,'Paramètres (1)'!$A$1:$I$88,7,0))</f>
        <v>#REF!</v>
      </c>
      <c r="CJ53" s="135" t="str">
        <f t="shared" si="44"/>
        <v>#REF!</v>
      </c>
      <c r="CK53" s="142" t="str">
        <f>EXP(-LN(2)/35)*CK52+(1-EXP(-LN(2)/35))/(LN(2)/35)*CG53*CH53*VLOOKUP('Données projet (1)'!$B$12,'Paramètres (1)'!$A$1:$I$88,3,0)*0.475*44/12</f>
        <v>#REF!</v>
      </c>
      <c r="CL53" s="142" t="str">
        <f>EXP(-LN(2)/25)*CL52+(1-EXP(-LN(2)/25))/(LN(2)/25)*'Calculateur (1)'!CG53*'Calculateur (1)'!CI53*VLOOKUP('Données projet (1)'!$B$12,'Paramètres (1)'!$A$1:$I$88,3,0)*0.475*44/12</f>
        <v>#REF!</v>
      </c>
      <c r="CM53" s="142" t="str">
        <f>EXP(-LN(2)/2)*CM52+(1-EXP(-LN(2)/2))/(LN(2)/2)*CG53*CJ53*VLOOKUP('Données projet (1)'!$B$12,'Paramètres (1)'!$A$1:$I$88,3,0)*0.475*44/12</f>
        <v>#REF!</v>
      </c>
      <c r="CN53" s="143" t="str">
        <f t="shared" si="45"/>
        <v>#REF!</v>
      </c>
      <c r="CO53" s="139" t="str">
        <f t="shared" si="46"/>
        <v>#REF!</v>
      </c>
      <c r="CP53" s="131">
        <f t="shared" si="47"/>
        <v>10</v>
      </c>
      <c r="CQ53" s="131" t="str">
        <f t="shared" si="124"/>
        <v>#REF!</v>
      </c>
      <c r="CR53" s="131" t="str">
        <f t="shared" si="48"/>
        <v>#REF!</v>
      </c>
      <c r="CS53" s="131" t="str">
        <f t="array" ref="CS53">INDEX(CR:CR,MIN(IF(ISNUMBER(CR53:CR249),ROW(CR53:CR249),"")))</f>
        <v/>
      </c>
      <c r="CT53" s="131" t="str">
        <f t="shared" si="125"/>
        <v>#REF!</v>
      </c>
      <c r="CU53" s="138" t="str">
        <f>CT53*VLOOKUP('Données projet (1)'!$B$13,'Paramètres (1)'!$A$1:$I$88,3,0)*VLOOKUP('Données projet (1)'!$B$13,'Paramètres (1)'!$A$1:$I$88,5,0)</f>
        <v>#REF!</v>
      </c>
      <c r="CV53" s="130" t="str">
        <f t="shared" si="126"/>
        <v>#REF!</v>
      </c>
      <c r="CW53" s="141" t="str">
        <f t="shared" si="49"/>
        <v>#REF!</v>
      </c>
      <c r="CX53" s="133" t="str">
        <f t="shared" si="50"/>
        <v>#REF!</v>
      </c>
      <c r="CY53" s="133" t="str">
        <f t="shared" si="51"/>
        <v>#REF!</v>
      </c>
      <c r="CZ53" s="133" t="str">
        <f t="shared" si="127"/>
        <v>#REF!</v>
      </c>
      <c r="DA53" s="134" t="str">
        <f t="shared" si="52"/>
        <v>#REF!</v>
      </c>
      <c r="DB53" s="134" t="str">
        <f t="shared" si="53"/>
        <v>#REF!</v>
      </c>
      <c r="DC53" s="135" t="str">
        <f>IF(ISNA(VLOOKUP(A53,'Données projet (1)'!$A$139:$I$159,5,0)),0%,VLOOKUP(A53,'Données projet (1)'!$A$139:$I$159,5,0)*VLOOKUP('Données projet (1)'!$B$13,'Paramètres (1)'!$A$1:$I$88,7,0))</f>
        <v>#REF!</v>
      </c>
      <c r="DD53" s="135" t="str">
        <f>IF(ISNA(VLOOKUP(A53,'Données projet (1)'!$A$139:$I$159,6,0)),0%,VLOOKUP(A53,'Données projet (1)'!$A$139:$I$159,6,0)*VLOOKUP('Données projet (1)'!$B$13,'Paramètres (1)'!$A$1:$I$88,7,0))</f>
        <v>#REF!</v>
      </c>
      <c r="DE53" s="135" t="str">
        <f t="shared" si="54"/>
        <v>#REF!</v>
      </c>
      <c r="DF53" s="142" t="str">
        <f>EXP(-LN(2)/35)*DF52+(1-EXP(-LN(2)/35))/(LN(2)/35)*DB53*DC53*VLOOKUP('Données projet (1)'!$B$13,'Paramètres (1)'!$A$1:$I$88,3,0)*0.475*44/12</f>
        <v>#REF!</v>
      </c>
      <c r="DG53" s="142" t="str">
        <f>EXP(-LN(2)/25)*DG52+(1-EXP(-LN(2)/25))/(LN(2)/25)*'Calculateur (1)'!DB53*'Calculateur (1)'!DD53*VLOOKUP('Données projet (1)'!$B$13,'Paramètres (1)'!$A$1:$I$88,3,0)*0.475*44/12</f>
        <v>#REF!</v>
      </c>
      <c r="DH53" s="142" t="str">
        <f>EXP(-LN(2)/2)*DH52+(1-EXP(-LN(2)/2))/(LN(2)/2)*DB53*DE53*VLOOKUP('Données projet (1)'!$B$13,'Paramètres (1)'!$A$1:$I$88,3,0)*0.475*44/12</f>
        <v>#REF!</v>
      </c>
      <c r="DI53" s="143" t="str">
        <f t="shared" si="55"/>
        <v>#REF!</v>
      </c>
      <c r="DJ53" s="139" t="str">
        <f t="shared" si="56"/>
        <v>#REF!</v>
      </c>
      <c r="DK53" s="131">
        <f t="shared" si="57"/>
        <v>10</v>
      </c>
      <c r="DL53" s="131" t="str">
        <f t="shared" si="128"/>
        <v>#REF!</v>
      </c>
      <c r="DM53" s="131" t="str">
        <f t="shared" si="58"/>
        <v>#REF!</v>
      </c>
      <c r="DN53" s="131" t="str">
        <f t="array" ref="DN53">INDEX(DM:DM,MIN(IF(ISNUMBER(DM53:DM249),ROW(DM53:DM249),"")))</f>
        <v/>
      </c>
      <c r="DO53" s="131" t="str">
        <f t="shared" si="129"/>
        <v>#REF!</v>
      </c>
      <c r="DP53" s="138" t="str">
        <f>DO53*VLOOKUP('Données projet (1)'!$B$14,'Paramètres (1)'!$A$1:$I$88,3,0)*VLOOKUP('Données projet (1)'!$B$14,'Paramètres (1)'!$A$1:$I$88,5,0)</f>
        <v>#REF!</v>
      </c>
      <c r="DQ53" s="130" t="str">
        <f t="shared" si="130"/>
        <v>#REF!</v>
      </c>
      <c r="DR53" s="141" t="str">
        <f t="shared" si="59"/>
        <v>#REF!</v>
      </c>
      <c r="DS53" s="133" t="str">
        <f t="shared" si="60"/>
        <v>#REF!</v>
      </c>
      <c r="DT53" s="133" t="str">
        <f t="shared" si="61"/>
        <v>#REF!</v>
      </c>
      <c r="DU53" s="133" t="str">
        <f t="shared" si="131"/>
        <v>#REF!</v>
      </c>
      <c r="DV53" s="134" t="str">
        <f t="shared" si="62"/>
        <v>#REF!</v>
      </c>
      <c r="DW53" s="134" t="str">
        <f t="shared" si="63"/>
        <v>#REF!</v>
      </c>
      <c r="DX53" s="135" t="str">
        <f>IF(ISNA(VLOOKUP(A53,'Données projet (1)'!$A$165:$I$185,5,0)),0%,VLOOKUP(A53,'Données projet (1)'!$A$165:$I$185,5,0)*VLOOKUP('Données projet (1)'!$B$14,'Paramètres (1)'!$A$1:$I$88,7,0))</f>
        <v>#REF!</v>
      </c>
      <c r="DY53" s="135" t="str">
        <f>IF(ISNA(VLOOKUP(A53,'Données projet (1)'!$A$165:$I$185,6,0)),0%,VLOOKUP(A53,'Données projet (1)'!$A$165:$I$185,6,0)*VLOOKUP('Données projet (1)'!$B$14,'Paramètres (1)'!$A$1:$I$88,7,0))</f>
        <v>#REF!</v>
      </c>
      <c r="DZ53" s="135" t="str">
        <f t="shared" si="64"/>
        <v>#REF!</v>
      </c>
      <c r="EA53" s="142" t="str">
        <f>EXP(-LN(2)/35)*EA52+(1-EXP(-LN(2)/35))/(LN(2)/35)*DW53*DX53*VLOOKUP('Données projet (1)'!$B$14,'Paramètres (1)'!$A$1:$I$88,3,0)*0.475*44/12</f>
        <v>#REF!</v>
      </c>
      <c r="EB53" s="142" t="str">
        <f>EXP(-LN(2)/25)*EB52+(1-EXP(-LN(2)/25))/(LN(2)/25)*'Calculateur (1)'!DW53*'Calculateur (1)'!DY53*VLOOKUP('Données projet (1)'!$B$14,'Paramètres (1)'!$A$1:$I$88,3,0)*0.475*44/12</f>
        <v>#REF!</v>
      </c>
      <c r="EC53" s="142" t="str">
        <f>EXP(-LN(2)/2)*EC52+(1-EXP(-LN(2)/2))/(LN(2)/2)*DW53*DZ53*VLOOKUP('Données projet (1)'!$B$14,'Paramètres (1)'!$A$1:$I$88,3,0)*0.475*44/12</f>
        <v>#REF!</v>
      </c>
      <c r="ED53" s="143" t="str">
        <f t="shared" si="65"/>
        <v>#REF!</v>
      </c>
      <c r="EE53" s="139" t="str">
        <f t="shared" si="66"/>
        <v>#REF!</v>
      </c>
      <c r="EF53" s="131">
        <f t="shared" si="67"/>
        <v>10</v>
      </c>
      <c r="EG53" s="131" t="str">
        <f t="shared" si="132"/>
        <v>#REF!</v>
      </c>
      <c r="EH53" s="131" t="str">
        <f t="shared" si="68"/>
        <v>#REF!</v>
      </c>
      <c r="EI53" s="131" t="str">
        <f t="array" ref="EI53">INDEX(EH:EH,MIN(IF(ISNUMBER(EH53:EH249),ROW(EH53:EH249),"")))</f>
        <v/>
      </c>
      <c r="EJ53" s="131" t="str">
        <f t="shared" si="133"/>
        <v>#REF!</v>
      </c>
      <c r="EK53" s="138" t="str">
        <f>EJ53*VLOOKUP('Données projet (1)'!$B$15,'Paramètres (1)'!$A$1:$I$88,3,0)*VLOOKUP('Données projet (1)'!$B$15,'Paramètres (1)'!$A$1:$I$88,5,0)</f>
        <v>#REF!</v>
      </c>
      <c r="EL53" s="130" t="str">
        <f t="shared" si="134"/>
        <v>#REF!</v>
      </c>
      <c r="EM53" s="141" t="str">
        <f t="shared" si="69"/>
        <v>#REF!</v>
      </c>
      <c r="EN53" s="133" t="str">
        <f t="shared" si="70"/>
        <v>#REF!</v>
      </c>
      <c r="EO53" s="133" t="str">
        <f t="shared" si="71"/>
        <v>#REF!</v>
      </c>
      <c r="EP53" s="133" t="str">
        <f t="shared" si="135"/>
        <v>#REF!</v>
      </c>
      <c r="EQ53" s="134" t="str">
        <f t="shared" si="72"/>
        <v>#REF!</v>
      </c>
      <c r="ER53" s="134" t="str">
        <f t="shared" si="73"/>
        <v>#REF!</v>
      </c>
      <c r="ES53" s="135" t="str">
        <f>IF(ISNA(VLOOKUP(A53,'Données projet (1)'!$A$191:$I$211,5,0)),0%,VLOOKUP(A53,'Données projet (1)'!$A$191:$I$211,5,0)*VLOOKUP('Données projet (1)'!$B$15,'Paramètres (1)'!$A$1:$I$88,7,0))</f>
        <v>#REF!</v>
      </c>
      <c r="ET53" s="135" t="str">
        <f>IF(ISNA(VLOOKUP(A53,'Données projet (1)'!$A$191:$I$211,6,0)),0%,VLOOKUP(A53,'Données projet (1)'!$A$191:$I$211,6,0)*VLOOKUP('Données projet (1)'!$B$15,'Paramètres (1)'!$A$1:$I$88,7,0))</f>
        <v>#REF!</v>
      </c>
      <c r="EU53" s="135" t="str">
        <f t="shared" si="74"/>
        <v>#REF!</v>
      </c>
      <c r="EV53" s="142" t="str">
        <f>EXP(-LN(2)/35)*EV52+(1-EXP(-LN(2)/35))/(LN(2)/35)*ER53*ES53*VLOOKUP('Données projet (1)'!$B$15,'Paramètres (1)'!$A$1:$I$88,3,0)*0.475*44/12</f>
        <v>#REF!</v>
      </c>
      <c r="EW53" s="142" t="str">
        <f>EXP(-LN(2)/25)*EW52+(1-EXP(-LN(2)/25))/(LN(2)/25)*'Calculateur (1)'!ER53*'Calculateur (1)'!ET53*VLOOKUP('Données projet (1)'!$B$15,'Paramètres (1)'!$A$1:$I$88,3,0)*0.475*44/12</f>
        <v>#REF!</v>
      </c>
      <c r="EX53" s="142" t="str">
        <f>EXP(-LN(2)/2)*EX52+(1-EXP(-LN(2)/2))/(LN(2)/2)*ER53*EU53*VLOOKUP('Données projet (1)'!$B$15,'Paramètres (1)'!$A$1:$I$88,3,0)*0.475*44/12</f>
        <v>#REF!</v>
      </c>
      <c r="EY53" s="143" t="str">
        <f t="shared" si="75"/>
        <v>#REF!</v>
      </c>
      <c r="EZ53" s="139" t="str">
        <f t="shared" si="76"/>
        <v>#REF!</v>
      </c>
      <c r="FA53" s="131">
        <f t="shared" si="77"/>
        <v>10</v>
      </c>
      <c r="FB53" s="131" t="str">
        <f t="shared" si="136"/>
        <v>#REF!</v>
      </c>
      <c r="FC53" s="131" t="str">
        <f t="shared" si="78"/>
        <v>#REF!</v>
      </c>
      <c r="FD53" s="131" t="str">
        <f t="array" ref="FD53">INDEX(FC:FC,MIN(IF(ISNUMBER(FC53:FC249),ROW(FC53:FC249),"")))</f>
        <v/>
      </c>
      <c r="FE53" s="131" t="str">
        <f t="shared" si="137"/>
        <v>#REF!</v>
      </c>
      <c r="FF53" s="138" t="str">
        <f>FE53*VLOOKUP('Données projet (1)'!$B$16,'Paramètres (1)'!$A$1:$I$88,3,0)*VLOOKUP('Données projet (1)'!$B$16,'Paramètres (1)'!$A$1:$I$88,5,0)</f>
        <v>#REF!</v>
      </c>
      <c r="FG53" s="130" t="str">
        <f t="shared" si="138"/>
        <v>#REF!</v>
      </c>
      <c r="FH53" s="141" t="str">
        <f t="shared" si="79"/>
        <v>#REF!</v>
      </c>
      <c r="FI53" s="133" t="str">
        <f t="shared" si="80"/>
        <v>#REF!</v>
      </c>
      <c r="FJ53" s="133" t="str">
        <f t="shared" si="81"/>
        <v>#REF!</v>
      </c>
      <c r="FK53" s="133" t="str">
        <f t="shared" si="139"/>
        <v>#REF!</v>
      </c>
      <c r="FL53" s="134" t="str">
        <f t="shared" si="82"/>
        <v>#REF!</v>
      </c>
      <c r="FM53" s="134" t="str">
        <f t="shared" si="83"/>
        <v>#REF!</v>
      </c>
      <c r="FN53" s="135" t="str">
        <f>IF(ISNA(VLOOKUP(A53,'Données projet (1)'!$A$217:$I$237,5,0)),0%,VLOOKUP(A53,'Données projet (1)'!$A$217:$I$237,5,0)*VLOOKUP('Données projet (1)'!$B$16,'Paramètres (1)'!$A$1:$I$88,7,0))</f>
        <v>#REF!</v>
      </c>
      <c r="FO53" s="135" t="str">
        <f>IF(ISNA(VLOOKUP(A53,'Données projet (1)'!$A$217:$I$237,6,0)),0%,VLOOKUP(A53,'Données projet (1)'!$A$217:$I$237,6,0)*VLOOKUP('Données projet (1)'!$B$16,'Paramètres (1)'!$A$1:$I$88,7,0))</f>
        <v>#REF!</v>
      </c>
      <c r="FP53" s="135" t="str">
        <f t="shared" si="84"/>
        <v>#REF!</v>
      </c>
      <c r="FQ53" s="142" t="str">
        <f>EXP(-LN(2)/35)*FQ52+(1-EXP(-LN(2)/35))/(LN(2)/35)*FM53*FN53*VLOOKUP('Données projet (1)'!$B$16,'Paramètres (1)'!$A$1:$I$88,3,0)*0.475*44/12</f>
        <v>#REF!</v>
      </c>
      <c r="FR53" s="142" t="str">
        <f>EXP(-LN(2)/25)*FR52+(1-EXP(-LN(2)/25))/(LN(2)/25)*'Calculateur (1)'!FM53*'Calculateur (1)'!FO53*VLOOKUP('Données projet (1)'!$B$16,'Paramètres (1)'!$A$1:$I$88,3,0)*0.475*44/12</f>
        <v>#REF!</v>
      </c>
      <c r="FS53" s="142" t="str">
        <f>EXP(-LN(2)/2)*FS52+(1-EXP(-LN(2)/2))/(LN(2)/2)*FM53*FP53*VLOOKUP('Données projet (1)'!$B$16,'Paramètres (1)'!$A$1:$I$88,3,0)*0.475*44/12</f>
        <v>#REF!</v>
      </c>
      <c r="FT53" s="143" t="str">
        <f t="shared" si="85"/>
        <v>#REF!</v>
      </c>
      <c r="FU53" s="139" t="str">
        <f t="shared" si="86"/>
        <v>#REF!</v>
      </c>
      <c r="FV53" s="131">
        <f t="shared" si="87"/>
        <v>10</v>
      </c>
      <c r="FW53" s="131" t="str">
        <f t="shared" si="140"/>
        <v>#REF!</v>
      </c>
      <c r="FX53" s="131" t="str">
        <f t="shared" si="88"/>
        <v>#REF!</v>
      </c>
      <c r="FY53" s="131" t="str">
        <f t="array" ref="FY53">INDEX(FX:FX,MIN(IF(ISNUMBER(FX53:FX249),ROW(FX53:FX249),"")))</f>
        <v/>
      </c>
      <c r="FZ53" s="131" t="str">
        <f t="shared" si="141"/>
        <v>#REF!</v>
      </c>
      <c r="GA53" s="138" t="str">
        <f>FZ53*VLOOKUP('Données projet (1)'!$B$17,'Paramètres (1)'!$A$1:$I$88,3,0)*VLOOKUP('Données projet (1)'!$B$17,'Paramètres (1)'!$A$1:$I$88,5,0)</f>
        <v>#REF!</v>
      </c>
      <c r="GB53" s="130" t="str">
        <f t="shared" si="142"/>
        <v>#REF!</v>
      </c>
      <c r="GC53" s="141" t="str">
        <f t="shared" si="89"/>
        <v>#REF!</v>
      </c>
      <c r="GD53" s="133" t="str">
        <f t="shared" si="90"/>
        <v>#REF!</v>
      </c>
      <c r="GE53" s="133" t="str">
        <f t="shared" si="91"/>
        <v>#REF!</v>
      </c>
      <c r="GF53" s="133" t="str">
        <f t="shared" si="143"/>
        <v>#REF!</v>
      </c>
      <c r="GG53" s="134" t="str">
        <f t="shared" si="92"/>
        <v>#REF!</v>
      </c>
      <c r="GH53" s="134" t="str">
        <f t="shared" si="93"/>
        <v>#REF!</v>
      </c>
      <c r="GI53" s="135" t="str">
        <f>IF(ISNA(VLOOKUP(A53,'Données projet (1)'!$A$243:$I$263,5,0)),0%,VLOOKUP(A53,'Données projet (1)'!$A$243:$I$263,5,0)*VLOOKUP('Données projet (1)'!$B$17,'Paramètres (1)'!$A$1:$I$88,7,0))</f>
        <v>#REF!</v>
      </c>
      <c r="GJ53" s="135" t="str">
        <f>IF(ISNA(VLOOKUP(A53,'Données projet (1)'!$A$243:$I$263,6,0)),0%,VLOOKUP(A53,'Données projet (1)'!$A$243:$I$263,6,0)*VLOOKUP('Données projet (1)'!$B$17,'Paramètres (1)'!$A$1:$I$88,7,0))</f>
        <v>#REF!</v>
      </c>
      <c r="GK53" s="135" t="str">
        <f t="shared" si="94"/>
        <v>#REF!</v>
      </c>
      <c r="GL53" s="142" t="str">
        <f>EXP(-LN(2)/35)*GL52+(1-EXP(-LN(2)/35))/(LN(2)/35)*GH53*GI53*VLOOKUP('Données projet (1)'!$B$17,'Paramètres (1)'!$A$1:$I$88,3,0)*0.475*44/12</f>
        <v>#REF!</v>
      </c>
      <c r="GM53" s="142" t="str">
        <f>EXP(-LN(2)/25)*GM52+(1-EXP(-LN(2)/25))/(LN(2)/25)*'Calculateur (1)'!GH53*'Calculateur (1)'!GJ53*VLOOKUP('Données projet (1)'!$B$17,'Paramètres (1)'!$A$1:$I$88,3,0)*0.475*44/12</f>
        <v>#REF!</v>
      </c>
      <c r="GN53" s="142" t="str">
        <f>EXP(-LN(2)/2)*GN52+(1-EXP(-LN(2)/2))/(LN(2)/2)*GH53*GK53*VLOOKUP('Données projet (1)'!$B$17,'Paramètres (1)'!$A$1:$I$88,3,0)*0.475*44/12</f>
        <v>#REF!</v>
      </c>
      <c r="GO53" s="142" t="str">
        <f t="shared" si="95"/>
        <v>#REF!</v>
      </c>
      <c r="GP53" s="139" t="str">
        <f t="shared" si="96"/>
        <v>#REF!</v>
      </c>
      <c r="GQ53" s="131">
        <f t="shared" si="97"/>
        <v>10</v>
      </c>
      <c r="GR53" s="131" t="str">
        <f t="shared" si="144"/>
        <v>#REF!</v>
      </c>
      <c r="GS53" s="131" t="str">
        <f t="shared" si="98"/>
        <v>#REF!</v>
      </c>
      <c r="GT53" s="131" t="str">
        <f t="array" ref="GT53">INDEX(GS:GS,MIN(IF(ISNUMBER(GS53:GS249),ROW(GS53:GS249),"")))</f>
        <v/>
      </c>
      <c r="GU53" s="131" t="str">
        <f t="shared" si="145"/>
        <v>#REF!</v>
      </c>
      <c r="GV53" s="138" t="str">
        <f>GU53*VLOOKUP('Données projet (1)'!$B$18,'Paramètres (1)'!$A$1:$I$88,3,0)*VLOOKUP('Données projet (1)'!$B$18,'Paramètres (1)'!$A$1:$I$88,5,0)</f>
        <v>#REF!</v>
      </c>
      <c r="GW53" s="130" t="str">
        <f t="shared" si="146"/>
        <v>#REF!</v>
      </c>
      <c r="GX53" s="141" t="str">
        <f t="shared" si="99"/>
        <v>#REF!</v>
      </c>
      <c r="GY53" s="133" t="str">
        <f t="shared" si="100"/>
        <v>#REF!</v>
      </c>
      <c r="GZ53" s="133" t="str">
        <f t="shared" si="101"/>
        <v>#REF!</v>
      </c>
      <c r="HA53" s="133" t="str">
        <f t="shared" si="147"/>
        <v>#REF!</v>
      </c>
      <c r="HB53" s="134" t="str">
        <f t="shared" si="102"/>
        <v>#REF!</v>
      </c>
      <c r="HC53" s="134" t="str">
        <f t="shared" si="103"/>
        <v>#REF!</v>
      </c>
      <c r="HD53" s="135" t="str">
        <f>IF(ISNA(VLOOKUP(A53,'Données projet (1)'!$A$269:$I$289,5,0)),0%,VLOOKUP(A53,'Données projet (1)'!$A$269:$I$289,5,0)*VLOOKUP('Données projet (1)'!$B$18,'Paramètres (1)'!$A$1:$I$88,7,0))</f>
        <v>#REF!</v>
      </c>
      <c r="HE53" s="135" t="str">
        <f>IF(ISNA(VLOOKUP(A53,'Données projet (1)'!$A$269:$I$289,6,0)),0%,VLOOKUP(A53,'Données projet (1)'!$A$269:$I$289,6,0)*VLOOKUP('Données projet (1)'!$B$18,'Paramètres (1)'!$A$1:$I$88,7,0))</f>
        <v>#REF!</v>
      </c>
      <c r="HF53" s="135" t="str">
        <f t="shared" si="104"/>
        <v>#REF!</v>
      </c>
      <c r="HG53" s="142" t="str">
        <f>EXP(-LN(2)/35)*HG52+(1-EXP(-LN(2)/35))/(LN(2)/35)*HC53*HD53*VLOOKUP('Données projet (1)'!$B$18,'Paramètres (1)'!$A$1:$I$88,3,0)*0.475*44/12</f>
        <v>#REF!</v>
      </c>
      <c r="HH53" s="142" t="str">
        <f>EXP(-LN(2)/25)*HH52+(1-EXP(-LN(2)/25))/(LN(2)/25)*'Calculateur (1)'!HC53*'Calculateur (1)'!HE53*VLOOKUP('Données projet (1)'!$B$18,'Paramètres (1)'!$A$1:$I$88,3,0)*0.475*44/12</f>
        <v>#REF!</v>
      </c>
      <c r="HI53" s="142" t="str">
        <f>EXP(-LN(2)/2)*HI52+(1-EXP(-LN(2)/2))/(LN(2)/2)*HC53*HF53*VLOOKUP('Données projet (1)'!$B$18,'Paramètres (1)'!$A$1:$I$88,3,0)*0.475*44/12</f>
        <v>#REF!</v>
      </c>
      <c r="HJ53" s="143" t="str">
        <f t="shared" si="105"/>
        <v>#REF!</v>
      </c>
    </row>
    <row r="54" ht="14.25" customHeight="1">
      <c r="A54" s="125">
        <f t="shared" si="106"/>
        <v>51</v>
      </c>
      <c r="B54" s="126" t="str">
        <f t="shared" si="1"/>
        <v>#REF!</v>
      </c>
      <c r="C54" s="140" t="str">
        <f>'Calculateur (1)'!C53+'Scénario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4" s="127">
        <f t="shared" si="107"/>
        <v>0</v>
      </c>
      <c r="E54" s="127" t="str">
        <f t="shared" si="2"/>
        <v>#REF!</v>
      </c>
      <c r="F54" s="127" t="str">
        <f t="shared" si="3"/>
        <v>#REF!</v>
      </c>
      <c r="G54" s="127" t="str">
        <f t="shared" si="4"/>
        <v>#REF!</v>
      </c>
      <c r="H54" s="128" t="str">
        <f t="shared" si="5"/>
        <v>#REF!</v>
      </c>
      <c r="I54" s="129" t="str">
        <f t="shared" si="6"/>
        <v>#REF!</v>
      </c>
      <c r="J54" s="130">
        <f t="shared" si="7"/>
        <v>10</v>
      </c>
      <c r="K54" s="131" t="str">
        <f t="shared" si="108"/>
        <v>#REF!</v>
      </c>
      <c r="L54" s="131" t="str">
        <f t="shared" si="8"/>
        <v>#REF!</v>
      </c>
      <c r="M54" s="131" t="str">
        <f t="array" ref="M54">INDEX(L:L,MIN(IF(ISNUMBER(L54:L250),ROW(L54:L250),"")))</f>
        <v/>
      </c>
      <c r="N54" s="130" t="str">
        <f t="shared" si="109"/>
        <v>#REF!</v>
      </c>
      <c r="O54" s="130" t="str">
        <f>N54*VLOOKUP('Données projet (1)'!$B$9,'Paramètres (1)'!$A$1:$I$88,3,0)*VLOOKUP('Données projet (1)'!$B$9,'Paramètres (1)'!$A$1:$I$88,5,0)</f>
        <v>#REF!</v>
      </c>
      <c r="P54" s="130" t="str">
        <f t="shared" si="110"/>
        <v>#REF!</v>
      </c>
      <c r="Q54" s="141" t="str">
        <f t="shared" si="9"/>
        <v>#REF!</v>
      </c>
      <c r="R54" s="133" t="str">
        <f t="shared" si="10"/>
        <v>#REF!</v>
      </c>
      <c r="S54" s="133" t="str">
        <f t="shared" si="11"/>
        <v>#REF!</v>
      </c>
      <c r="T54" s="133" t="str">
        <f t="shared" si="111"/>
        <v>#REF!</v>
      </c>
      <c r="U54" s="134" t="str">
        <f t="shared" si="12"/>
        <v>#REF!</v>
      </c>
      <c r="V54" s="134" t="str">
        <f t="shared" si="13"/>
        <v>#REF!</v>
      </c>
      <c r="W54" s="135" t="str">
        <f>IF(ISNA(VLOOKUP(A54,'Données projet (1)'!$A$35:$I$55,5,0)),0%,VLOOKUP(A54,'Données projet (1)'!$A$35:$I$55,5,0)*VLOOKUP('Données projet (1)'!$B$9,'Paramètres (1)'!$A$1:$I$88,7,0))</f>
        <v>#REF!</v>
      </c>
      <c r="X54" s="135" t="str">
        <f>IF(ISNA(VLOOKUP(A54,'Données projet (1)'!$A$35:$I$55,6,0)),0%,VLOOKUP(A54,'Données projet (1)'!$A$35:$I$55,6,0)*VLOOKUP('Données projet (1)'!$B$9,'Paramètres (1)'!$A$1:$I$88,7,0))</f>
        <v>#REF!</v>
      </c>
      <c r="Y54" s="135" t="str">
        <f t="shared" si="14"/>
        <v>#REF!</v>
      </c>
      <c r="Z54" s="142" t="str">
        <f>EXP(-LN(2)/35)*Z53+(1-EXP(-LN(2)/35))/(LN(2)/35)*V54*W54*VLOOKUP('Données projet (1)'!$B$9,'Paramètres (1)'!$A$1:$I$88,3,0)*0.475*44/12</f>
        <v>#REF!</v>
      </c>
      <c r="AA54" s="142" t="str">
        <f>EXP(-LN(2)/25)*AA53+(1-EXP(-LN(2)/25))/(LN(2)/25)*'Calculateur (1)'!V54*'Calculateur (1)'!X54*VLOOKUP('Données projet (1)'!$B$9,'Paramètres (1)'!$A$1:$I$88,3,0)*0.475*44/12</f>
        <v>#REF!</v>
      </c>
      <c r="AB54" s="142" t="str">
        <f>EXP(-LN(2)/2)*AB53+(1-EXP(-LN(2)/2))/(LN(2)/2)*V54*Y54*VLOOKUP('Données projet (1)'!$B$9,'Paramètres (1)'!$A$1:$I$88,3,0)*0.475*44/12</f>
        <v>#REF!</v>
      </c>
      <c r="AC54" s="143" t="str">
        <f t="shared" si="15"/>
        <v>#REF!</v>
      </c>
      <c r="AD54" s="130" t="str">
        <f t="shared" si="16"/>
        <v>#REF!</v>
      </c>
      <c r="AE54" s="130">
        <f t="shared" si="17"/>
        <v>10</v>
      </c>
      <c r="AF54" s="131" t="str">
        <f t="shared" si="112"/>
        <v>#REF!</v>
      </c>
      <c r="AG54" s="131" t="str">
        <f t="shared" si="18"/>
        <v>#REF!</v>
      </c>
      <c r="AH54" s="131" t="str">
        <f t="array" ref="AH54">INDEX(AG:AG,MIN(IF(ISNUMBER(AG54:AG250),ROW(AG54:AG250),"")))</f>
        <v/>
      </c>
      <c r="AI54" s="130" t="str">
        <f t="shared" si="113"/>
        <v>#REF!</v>
      </c>
      <c r="AJ54" s="130" t="str">
        <f>AI54*VLOOKUP('Données projet (1)'!$B$10,'Paramètres (1)'!$A$1:$I$88,3,0)*VLOOKUP('Données projet (1)'!$B$10,'Paramètres (1)'!$A$1:$I$88,5,0)</f>
        <v>#REF!</v>
      </c>
      <c r="AK54" s="130" t="str">
        <f t="shared" si="114"/>
        <v>#REF!</v>
      </c>
      <c r="AL54" s="141" t="str">
        <f t="shared" si="19"/>
        <v>#REF!</v>
      </c>
      <c r="AM54" s="133" t="str">
        <f t="shared" si="20"/>
        <v>#REF!</v>
      </c>
      <c r="AN54" s="133" t="str">
        <f t="shared" si="21"/>
        <v>#REF!</v>
      </c>
      <c r="AO54" s="133" t="str">
        <f t="shared" si="115"/>
        <v>#REF!</v>
      </c>
      <c r="AP54" s="134" t="str">
        <f t="shared" si="22"/>
        <v>#REF!</v>
      </c>
      <c r="AQ54" s="134" t="str">
        <f t="shared" si="23"/>
        <v>#REF!</v>
      </c>
      <c r="AR54" s="135" t="str">
        <f>IF(ISNA(VLOOKUP(A54,'Données projet (1)'!$A$61:$I$81,5,0)),0%,VLOOKUP(A54,'Données projet (1)'!$A$61:$I$81,5,0)*VLOOKUP('Données projet (1)'!$B$10,'Paramètres (1)'!$A$1:$I$88,7,0))</f>
        <v>#REF!</v>
      </c>
      <c r="AS54" s="135" t="str">
        <f>IF(ISNA(VLOOKUP(A54,'Données projet (1)'!$A$61:$I$81,6,0)),0%,VLOOKUP(A54,'Données projet (1)'!$A$61:$I$81,6,0)*VLOOKUP('Données projet (1)'!$B$10,'Paramètres (1)'!$A$1:$I$88,7,0))</f>
        <v>#REF!</v>
      </c>
      <c r="AT54" s="135" t="str">
        <f t="shared" si="24"/>
        <v>#REF!</v>
      </c>
      <c r="AU54" s="142" t="str">
        <f>EXP(-LN(2)/35)*AU53+(1-EXP(-LN(2)/35))/(LN(2)/35)*AQ54*AR54*VLOOKUP('Données projet (1)'!$B$10,'Paramètres (1)'!$A$1:$I$88,3,0)*0.475*44/12</f>
        <v>#REF!</v>
      </c>
      <c r="AV54" s="142" t="str">
        <f>EXP(-LN(2)/25)*AV53+(1-EXP(-LN(2)/25))/(LN(2)/25)*'Calculateur (1)'!AQ54*'Calculateur (1)'!AS54*VLOOKUP('Données projet (1)'!$B$10,'Paramètres (1)'!$A$1:$I$88,3,0)*0.475*44/12</f>
        <v>#REF!</v>
      </c>
      <c r="AW54" s="142" t="str">
        <f>EXP(-LN(2)/2)*AW53+(1-EXP(-LN(2)/2))/(LN(2)/2)*AQ54*AT54*VLOOKUP('Données projet (1)'!$B$10,'Paramètres (1)'!$A$1:$I$88,3,0)*0.475*44/12</f>
        <v>#REF!</v>
      </c>
      <c r="AX54" s="142" t="str">
        <f t="shared" si="25"/>
        <v>#REF!</v>
      </c>
      <c r="AY54" s="137" t="str">
        <f t="shared" si="26"/>
        <v>#REF!</v>
      </c>
      <c r="AZ54" s="131">
        <f t="shared" si="27"/>
        <v>10</v>
      </c>
      <c r="BA54" s="131" t="str">
        <f t="shared" si="116"/>
        <v>#REF!</v>
      </c>
      <c r="BB54" s="131" t="str">
        <f t="shared" si="28"/>
        <v>#REF!</v>
      </c>
      <c r="BC54" s="131" t="str">
        <f t="array" ref="BC54">INDEX(BB:BB,MIN(IF(ISNUMBER(BB54:BB250),ROW(BB54:BB250),"")))</f>
        <v/>
      </c>
      <c r="BD54" s="131" t="str">
        <f t="shared" si="117"/>
        <v>#REF!</v>
      </c>
      <c r="BE54" s="130" t="str">
        <f>BD54*VLOOKUP('Données projet (1)'!$B$11,'Paramètres (1)'!$A$1:$I$88,3,0)*VLOOKUP('Données projet (1)'!$B$11,'Paramètres (1)'!$A$1:$I$88,5,0)</f>
        <v>#REF!</v>
      </c>
      <c r="BF54" s="130" t="str">
        <f t="shared" si="118"/>
        <v>#REF!</v>
      </c>
      <c r="BG54" s="141" t="str">
        <f t="shared" si="29"/>
        <v>#REF!</v>
      </c>
      <c r="BH54" s="133" t="str">
        <f t="shared" si="30"/>
        <v>#REF!</v>
      </c>
      <c r="BI54" s="133" t="str">
        <f t="shared" si="31"/>
        <v>#REF!</v>
      </c>
      <c r="BJ54" s="133" t="str">
        <f t="shared" si="119"/>
        <v>#REF!</v>
      </c>
      <c r="BK54" s="134" t="str">
        <f t="shared" si="32"/>
        <v>#REF!</v>
      </c>
      <c r="BL54" s="134" t="str">
        <f t="shared" si="33"/>
        <v>#REF!</v>
      </c>
      <c r="BM54" s="135" t="str">
        <f>IF(ISNA(VLOOKUP(A54,'Données projet (1)'!$A$87:$I$107,5,0)),0%,VLOOKUP(A54,'Données projet (1)'!$A$87:$I$107,5,0)*VLOOKUP('Données projet (1)'!$B$11,'Paramètres (1)'!$A$1:$I$88,7,0))</f>
        <v>#REF!</v>
      </c>
      <c r="BN54" s="135" t="str">
        <f>IF(ISNA(VLOOKUP(A54,'Données projet (1)'!$A$87:$I$107,6,0)),0%,VLOOKUP(A54,'Données projet (1)'!$A$87:$I$107,6,0)*VLOOKUP('Données projet (1)'!$B$11,'Paramètres (1)'!$A$1:$I$88,7,0))</f>
        <v>#REF!</v>
      </c>
      <c r="BO54" s="135" t="str">
        <f t="shared" si="34"/>
        <v>#REF!</v>
      </c>
      <c r="BP54" s="142" t="str">
        <f>EXP(-LN(2)/35)*BP53+(1-EXP(-LN(2)/35))/(LN(2)/35)*BL54*BM54*VLOOKUP('Données projet (1)'!$B$11,'Paramètres (1)'!$A$1:$I$88,3,0)*0.475*44/12</f>
        <v>#REF!</v>
      </c>
      <c r="BQ54" s="142" t="str">
        <f>EXP(-LN(2)/25)*BQ53+(1-EXP(-LN(2)/25))/(LN(2)/25)*'Calculateur (1)'!BL54*'Calculateur (1)'!BN54*VLOOKUP('Données projet (1)'!$B$11,'Paramètres (1)'!$A$1:$I$88,3,0)*0.475*44/12</f>
        <v>#REF!</v>
      </c>
      <c r="BR54" s="142" t="str">
        <f>EXP(-LN(2)/2)*BR53+(1-EXP(-LN(2)/2))/(LN(2)/2)*BL54*BO54*VLOOKUP('Données projet (1)'!$B$11,'Paramètres (1)'!$A$1:$I$88,3,0)*0.475*44/12</f>
        <v>#REF!</v>
      </c>
      <c r="BS54" s="143" t="str">
        <f t="shared" si="35"/>
        <v>#REF!</v>
      </c>
      <c r="BT54" s="139" t="str">
        <f t="shared" si="36"/>
        <v>#REF!</v>
      </c>
      <c r="BU54" s="131">
        <f t="shared" si="37"/>
        <v>10</v>
      </c>
      <c r="BV54" s="131" t="str">
        <f t="shared" si="120"/>
        <v>#REF!</v>
      </c>
      <c r="BW54" s="131" t="str">
        <f t="shared" si="38"/>
        <v>#REF!</v>
      </c>
      <c r="BX54" s="131" t="str">
        <f t="array" ref="BX54">INDEX(BW:BW,MIN(IF(ISNUMBER(BW54:BW250),ROW(BW54:BW250),"")))</f>
        <v/>
      </c>
      <c r="BY54" s="131" t="str">
        <f t="shared" si="121"/>
        <v>#REF!</v>
      </c>
      <c r="BZ54" s="130" t="str">
        <f>BY54*VLOOKUP('Données projet (1)'!$B$12,'Paramètres (1)'!$A$1:$I$88,3,0)*VLOOKUP('Données projet (1)'!$B$12,'Paramètres (1)'!$A$1:$I$88,5,0)</f>
        <v>#REF!</v>
      </c>
      <c r="CA54" s="130" t="str">
        <f t="shared" si="122"/>
        <v>#REF!</v>
      </c>
      <c r="CB54" s="141" t="str">
        <f t="shared" si="39"/>
        <v>#REF!</v>
      </c>
      <c r="CC54" s="133" t="str">
        <f t="shared" si="40"/>
        <v>#REF!</v>
      </c>
      <c r="CD54" s="133" t="str">
        <f t="shared" si="41"/>
        <v>#REF!</v>
      </c>
      <c r="CE54" s="133" t="str">
        <f t="shared" si="123"/>
        <v>#REF!</v>
      </c>
      <c r="CF54" s="134" t="str">
        <f t="shared" si="42"/>
        <v>#REF!</v>
      </c>
      <c r="CG54" s="134" t="str">
        <f t="shared" si="43"/>
        <v>#REF!</v>
      </c>
      <c r="CH54" s="135" t="str">
        <f>IF(ISNA(VLOOKUP(A54,'Données projet (1)'!$A$113:$I$133,5,0)),0%,VLOOKUP(A54,'Données projet (1)'!$A$113:$I$133,5,0)*VLOOKUP('Données projet (1)'!$B$12,'Paramètres (1)'!$A$1:$I$88,7,0))</f>
        <v>#REF!</v>
      </c>
      <c r="CI54" s="135" t="str">
        <f>IF(ISNA(VLOOKUP(A54,'Données projet (1)'!$A$113:$I$133,6,0)),0%,VLOOKUP(A54,'Données projet (1)'!$A$113:$I$133,6,0)*VLOOKUP('Données projet (1)'!$B$12,'Paramètres (1)'!$A$1:$I$88,7,0))</f>
        <v>#REF!</v>
      </c>
      <c r="CJ54" s="135" t="str">
        <f t="shared" si="44"/>
        <v>#REF!</v>
      </c>
      <c r="CK54" s="142" t="str">
        <f>EXP(-LN(2)/35)*CK53+(1-EXP(-LN(2)/35))/(LN(2)/35)*CG54*CH54*VLOOKUP('Données projet (1)'!$B$12,'Paramètres (1)'!$A$1:$I$88,3,0)*0.475*44/12</f>
        <v>#REF!</v>
      </c>
      <c r="CL54" s="142" t="str">
        <f>EXP(-LN(2)/25)*CL53+(1-EXP(-LN(2)/25))/(LN(2)/25)*'Calculateur (1)'!CG54*'Calculateur (1)'!CI54*VLOOKUP('Données projet (1)'!$B$12,'Paramètres (1)'!$A$1:$I$88,3,0)*0.475*44/12</f>
        <v>#REF!</v>
      </c>
      <c r="CM54" s="142" t="str">
        <f>EXP(-LN(2)/2)*CM53+(1-EXP(-LN(2)/2))/(LN(2)/2)*CG54*CJ54*VLOOKUP('Données projet (1)'!$B$12,'Paramètres (1)'!$A$1:$I$88,3,0)*0.475*44/12</f>
        <v>#REF!</v>
      </c>
      <c r="CN54" s="143" t="str">
        <f t="shared" si="45"/>
        <v>#REF!</v>
      </c>
      <c r="CO54" s="139" t="str">
        <f t="shared" si="46"/>
        <v>#REF!</v>
      </c>
      <c r="CP54" s="131">
        <f t="shared" si="47"/>
        <v>10</v>
      </c>
      <c r="CQ54" s="131" t="str">
        <f t="shared" si="124"/>
        <v>#REF!</v>
      </c>
      <c r="CR54" s="131" t="str">
        <f t="shared" si="48"/>
        <v>#REF!</v>
      </c>
      <c r="CS54" s="131" t="str">
        <f t="array" ref="CS54">INDEX(CR:CR,MIN(IF(ISNUMBER(CR54:CR250),ROW(CR54:CR250),"")))</f>
        <v/>
      </c>
      <c r="CT54" s="131" t="str">
        <f t="shared" si="125"/>
        <v>#REF!</v>
      </c>
      <c r="CU54" s="138" t="str">
        <f>CT54*VLOOKUP('Données projet (1)'!$B$13,'Paramètres (1)'!$A$1:$I$88,3,0)*VLOOKUP('Données projet (1)'!$B$13,'Paramètres (1)'!$A$1:$I$88,5,0)</f>
        <v>#REF!</v>
      </c>
      <c r="CV54" s="130" t="str">
        <f t="shared" si="126"/>
        <v>#REF!</v>
      </c>
      <c r="CW54" s="141" t="str">
        <f t="shared" si="49"/>
        <v>#REF!</v>
      </c>
      <c r="CX54" s="133" t="str">
        <f t="shared" si="50"/>
        <v>#REF!</v>
      </c>
      <c r="CY54" s="133" t="str">
        <f t="shared" si="51"/>
        <v>#REF!</v>
      </c>
      <c r="CZ54" s="133" t="str">
        <f t="shared" si="127"/>
        <v>#REF!</v>
      </c>
      <c r="DA54" s="134" t="str">
        <f t="shared" si="52"/>
        <v>#REF!</v>
      </c>
      <c r="DB54" s="134" t="str">
        <f t="shared" si="53"/>
        <v>#REF!</v>
      </c>
      <c r="DC54" s="135" t="str">
        <f>IF(ISNA(VLOOKUP(A54,'Données projet (1)'!$A$139:$I$159,5,0)),0%,VLOOKUP(A54,'Données projet (1)'!$A$139:$I$159,5,0)*VLOOKUP('Données projet (1)'!$B$13,'Paramètres (1)'!$A$1:$I$88,7,0))</f>
        <v>#REF!</v>
      </c>
      <c r="DD54" s="135" t="str">
        <f>IF(ISNA(VLOOKUP(A54,'Données projet (1)'!$A$139:$I$159,6,0)),0%,VLOOKUP(A54,'Données projet (1)'!$A$139:$I$159,6,0)*VLOOKUP('Données projet (1)'!$B$13,'Paramètres (1)'!$A$1:$I$88,7,0))</f>
        <v>#REF!</v>
      </c>
      <c r="DE54" s="135" t="str">
        <f t="shared" si="54"/>
        <v>#REF!</v>
      </c>
      <c r="DF54" s="142" t="str">
        <f>EXP(-LN(2)/35)*DF53+(1-EXP(-LN(2)/35))/(LN(2)/35)*DB54*DC54*VLOOKUP('Données projet (1)'!$B$13,'Paramètres (1)'!$A$1:$I$88,3,0)*0.475*44/12</f>
        <v>#REF!</v>
      </c>
      <c r="DG54" s="142" t="str">
        <f>EXP(-LN(2)/25)*DG53+(1-EXP(-LN(2)/25))/(LN(2)/25)*'Calculateur (1)'!DB54*'Calculateur (1)'!DD54*VLOOKUP('Données projet (1)'!$B$13,'Paramètres (1)'!$A$1:$I$88,3,0)*0.475*44/12</f>
        <v>#REF!</v>
      </c>
      <c r="DH54" s="142" t="str">
        <f>EXP(-LN(2)/2)*DH53+(1-EXP(-LN(2)/2))/(LN(2)/2)*DB54*DE54*VLOOKUP('Données projet (1)'!$B$13,'Paramètres (1)'!$A$1:$I$88,3,0)*0.475*44/12</f>
        <v>#REF!</v>
      </c>
      <c r="DI54" s="143" t="str">
        <f t="shared" si="55"/>
        <v>#REF!</v>
      </c>
      <c r="DJ54" s="139" t="str">
        <f t="shared" si="56"/>
        <v>#REF!</v>
      </c>
      <c r="DK54" s="131">
        <f t="shared" si="57"/>
        <v>10</v>
      </c>
      <c r="DL54" s="131" t="str">
        <f t="shared" si="128"/>
        <v>#REF!</v>
      </c>
      <c r="DM54" s="131" t="str">
        <f t="shared" si="58"/>
        <v>#REF!</v>
      </c>
      <c r="DN54" s="131" t="str">
        <f t="array" ref="DN54">INDEX(DM:DM,MIN(IF(ISNUMBER(DM54:DM250),ROW(DM54:DM250),"")))</f>
        <v/>
      </c>
      <c r="DO54" s="131" t="str">
        <f t="shared" si="129"/>
        <v>#REF!</v>
      </c>
      <c r="DP54" s="138" t="str">
        <f>DO54*VLOOKUP('Données projet (1)'!$B$14,'Paramètres (1)'!$A$1:$I$88,3,0)*VLOOKUP('Données projet (1)'!$B$14,'Paramètres (1)'!$A$1:$I$88,5,0)</f>
        <v>#REF!</v>
      </c>
      <c r="DQ54" s="130" t="str">
        <f t="shared" si="130"/>
        <v>#REF!</v>
      </c>
      <c r="DR54" s="141" t="str">
        <f t="shared" si="59"/>
        <v>#REF!</v>
      </c>
      <c r="DS54" s="133" t="str">
        <f t="shared" si="60"/>
        <v>#REF!</v>
      </c>
      <c r="DT54" s="133" t="str">
        <f t="shared" si="61"/>
        <v>#REF!</v>
      </c>
      <c r="DU54" s="133" t="str">
        <f t="shared" si="131"/>
        <v>#REF!</v>
      </c>
      <c r="DV54" s="134" t="str">
        <f t="shared" si="62"/>
        <v>#REF!</v>
      </c>
      <c r="DW54" s="134" t="str">
        <f t="shared" si="63"/>
        <v>#REF!</v>
      </c>
      <c r="DX54" s="135" t="str">
        <f>IF(ISNA(VLOOKUP(A54,'Données projet (1)'!$A$165:$I$185,5,0)),0%,VLOOKUP(A54,'Données projet (1)'!$A$165:$I$185,5,0)*VLOOKUP('Données projet (1)'!$B$14,'Paramètres (1)'!$A$1:$I$88,7,0))</f>
        <v>#REF!</v>
      </c>
      <c r="DY54" s="135" t="str">
        <f>IF(ISNA(VLOOKUP(A54,'Données projet (1)'!$A$165:$I$185,6,0)),0%,VLOOKUP(A54,'Données projet (1)'!$A$165:$I$185,6,0)*VLOOKUP('Données projet (1)'!$B$14,'Paramètres (1)'!$A$1:$I$88,7,0))</f>
        <v>#REF!</v>
      </c>
      <c r="DZ54" s="135" t="str">
        <f t="shared" si="64"/>
        <v>#REF!</v>
      </c>
      <c r="EA54" s="142" t="str">
        <f>EXP(-LN(2)/35)*EA53+(1-EXP(-LN(2)/35))/(LN(2)/35)*DW54*DX54*VLOOKUP('Données projet (1)'!$B$14,'Paramètres (1)'!$A$1:$I$88,3,0)*0.475*44/12</f>
        <v>#REF!</v>
      </c>
      <c r="EB54" s="142" t="str">
        <f>EXP(-LN(2)/25)*EB53+(1-EXP(-LN(2)/25))/(LN(2)/25)*'Calculateur (1)'!DW54*'Calculateur (1)'!DY54*VLOOKUP('Données projet (1)'!$B$14,'Paramètres (1)'!$A$1:$I$88,3,0)*0.475*44/12</f>
        <v>#REF!</v>
      </c>
      <c r="EC54" s="142" t="str">
        <f>EXP(-LN(2)/2)*EC53+(1-EXP(-LN(2)/2))/(LN(2)/2)*DW54*DZ54*VLOOKUP('Données projet (1)'!$B$14,'Paramètres (1)'!$A$1:$I$88,3,0)*0.475*44/12</f>
        <v>#REF!</v>
      </c>
      <c r="ED54" s="143" t="str">
        <f t="shared" si="65"/>
        <v>#REF!</v>
      </c>
      <c r="EE54" s="139" t="str">
        <f t="shared" si="66"/>
        <v>#REF!</v>
      </c>
      <c r="EF54" s="131">
        <f t="shared" si="67"/>
        <v>10</v>
      </c>
      <c r="EG54" s="131" t="str">
        <f t="shared" si="132"/>
        <v>#REF!</v>
      </c>
      <c r="EH54" s="131" t="str">
        <f t="shared" si="68"/>
        <v>#REF!</v>
      </c>
      <c r="EI54" s="131" t="str">
        <f t="array" ref="EI54">INDEX(EH:EH,MIN(IF(ISNUMBER(EH54:EH250),ROW(EH54:EH250),"")))</f>
        <v/>
      </c>
      <c r="EJ54" s="131" t="str">
        <f t="shared" si="133"/>
        <v>#REF!</v>
      </c>
      <c r="EK54" s="138" t="str">
        <f>EJ54*VLOOKUP('Données projet (1)'!$B$15,'Paramètres (1)'!$A$1:$I$88,3,0)*VLOOKUP('Données projet (1)'!$B$15,'Paramètres (1)'!$A$1:$I$88,5,0)</f>
        <v>#REF!</v>
      </c>
      <c r="EL54" s="130" t="str">
        <f t="shared" si="134"/>
        <v>#REF!</v>
      </c>
      <c r="EM54" s="141" t="str">
        <f t="shared" si="69"/>
        <v>#REF!</v>
      </c>
      <c r="EN54" s="133" t="str">
        <f t="shared" si="70"/>
        <v>#REF!</v>
      </c>
      <c r="EO54" s="133" t="str">
        <f t="shared" si="71"/>
        <v>#REF!</v>
      </c>
      <c r="EP54" s="133" t="str">
        <f t="shared" si="135"/>
        <v>#REF!</v>
      </c>
      <c r="EQ54" s="134" t="str">
        <f t="shared" si="72"/>
        <v>#REF!</v>
      </c>
      <c r="ER54" s="134" t="str">
        <f t="shared" si="73"/>
        <v>#REF!</v>
      </c>
      <c r="ES54" s="135" t="str">
        <f>IF(ISNA(VLOOKUP(A54,'Données projet (1)'!$A$191:$I$211,5,0)),0%,VLOOKUP(A54,'Données projet (1)'!$A$191:$I$211,5,0)*VLOOKUP('Données projet (1)'!$B$15,'Paramètres (1)'!$A$1:$I$88,7,0))</f>
        <v>#REF!</v>
      </c>
      <c r="ET54" s="135" t="str">
        <f>IF(ISNA(VLOOKUP(A54,'Données projet (1)'!$A$191:$I$211,6,0)),0%,VLOOKUP(A54,'Données projet (1)'!$A$191:$I$211,6,0)*VLOOKUP('Données projet (1)'!$B$15,'Paramètres (1)'!$A$1:$I$88,7,0))</f>
        <v>#REF!</v>
      </c>
      <c r="EU54" s="135" t="str">
        <f t="shared" si="74"/>
        <v>#REF!</v>
      </c>
      <c r="EV54" s="142" t="str">
        <f>EXP(-LN(2)/35)*EV53+(1-EXP(-LN(2)/35))/(LN(2)/35)*ER54*ES54*VLOOKUP('Données projet (1)'!$B$15,'Paramètres (1)'!$A$1:$I$88,3,0)*0.475*44/12</f>
        <v>#REF!</v>
      </c>
      <c r="EW54" s="142" t="str">
        <f>EXP(-LN(2)/25)*EW53+(1-EXP(-LN(2)/25))/(LN(2)/25)*'Calculateur (1)'!ER54*'Calculateur (1)'!ET54*VLOOKUP('Données projet (1)'!$B$15,'Paramètres (1)'!$A$1:$I$88,3,0)*0.475*44/12</f>
        <v>#REF!</v>
      </c>
      <c r="EX54" s="142" t="str">
        <f>EXP(-LN(2)/2)*EX53+(1-EXP(-LN(2)/2))/(LN(2)/2)*ER54*EU54*VLOOKUP('Données projet (1)'!$B$15,'Paramètres (1)'!$A$1:$I$88,3,0)*0.475*44/12</f>
        <v>#REF!</v>
      </c>
      <c r="EY54" s="143" t="str">
        <f t="shared" si="75"/>
        <v>#REF!</v>
      </c>
      <c r="EZ54" s="139" t="str">
        <f t="shared" si="76"/>
        <v>#REF!</v>
      </c>
      <c r="FA54" s="131">
        <f t="shared" si="77"/>
        <v>10</v>
      </c>
      <c r="FB54" s="131" t="str">
        <f t="shared" si="136"/>
        <v>#REF!</v>
      </c>
      <c r="FC54" s="131" t="str">
        <f t="shared" si="78"/>
        <v>#REF!</v>
      </c>
      <c r="FD54" s="131" t="str">
        <f t="array" ref="FD54">INDEX(FC:FC,MIN(IF(ISNUMBER(FC54:FC250),ROW(FC54:FC250),"")))</f>
        <v/>
      </c>
      <c r="FE54" s="131" t="str">
        <f t="shared" si="137"/>
        <v>#REF!</v>
      </c>
      <c r="FF54" s="138" t="str">
        <f>FE54*VLOOKUP('Données projet (1)'!$B$16,'Paramètres (1)'!$A$1:$I$88,3,0)*VLOOKUP('Données projet (1)'!$B$16,'Paramètres (1)'!$A$1:$I$88,5,0)</f>
        <v>#REF!</v>
      </c>
      <c r="FG54" s="130" t="str">
        <f t="shared" si="138"/>
        <v>#REF!</v>
      </c>
      <c r="FH54" s="141" t="str">
        <f t="shared" si="79"/>
        <v>#REF!</v>
      </c>
      <c r="FI54" s="133" t="str">
        <f t="shared" si="80"/>
        <v>#REF!</v>
      </c>
      <c r="FJ54" s="133" t="str">
        <f t="shared" si="81"/>
        <v>#REF!</v>
      </c>
      <c r="FK54" s="133" t="str">
        <f t="shared" si="139"/>
        <v>#REF!</v>
      </c>
      <c r="FL54" s="134" t="str">
        <f t="shared" si="82"/>
        <v>#REF!</v>
      </c>
      <c r="FM54" s="134" t="str">
        <f t="shared" si="83"/>
        <v>#REF!</v>
      </c>
      <c r="FN54" s="135" t="str">
        <f>IF(ISNA(VLOOKUP(A54,'Données projet (1)'!$A$217:$I$237,5,0)),0%,VLOOKUP(A54,'Données projet (1)'!$A$217:$I$237,5,0)*VLOOKUP('Données projet (1)'!$B$16,'Paramètres (1)'!$A$1:$I$88,7,0))</f>
        <v>#REF!</v>
      </c>
      <c r="FO54" s="135" t="str">
        <f>IF(ISNA(VLOOKUP(A54,'Données projet (1)'!$A$217:$I$237,6,0)),0%,VLOOKUP(A54,'Données projet (1)'!$A$217:$I$237,6,0)*VLOOKUP('Données projet (1)'!$B$16,'Paramètres (1)'!$A$1:$I$88,7,0))</f>
        <v>#REF!</v>
      </c>
      <c r="FP54" s="135" t="str">
        <f t="shared" si="84"/>
        <v>#REF!</v>
      </c>
      <c r="FQ54" s="142" t="str">
        <f>EXP(-LN(2)/35)*FQ53+(1-EXP(-LN(2)/35))/(LN(2)/35)*FM54*FN54*VLOOKUP('Données projet (1)'!$B$16,'Paramètres (1)'!$A$1:$I$88,3,0)*0.475*44/12</f>
        <v>#REF!</v>
      </c>
      <c r="FR54" s="142" t="str">
        <f>EXP(-LN(2)/25)*FR53+(1-EXP(-LN(2)/25))/(LN(2)/25)*'Calculateur (1)'!FM54*'Calculateur (1)'!FO54*VLOOKUP('Données projet (1)'!$B$16,'Paramètres (1)'!$A$1:$I$88,3,0)*0.475*44/12</f>
        <v>#REF!</v>
      </c>
      <c r="FS54" s="142" t="str">
        <f>EXP(-LN(2)/2)*FS53+(1-EXP(-LN(2)/2))/(LN(2)/2)*FM54*FP54*VLOOKUP('Données projet (1)'!$B$16,'Paramètres (1)'!$A$1:$I$88,3,0)*0.475*44/12</f>
        <v>#REF!</v>
      </c>
      <c r="FT54" s="143" t="str">
        <f t="shared" si="85"/>
        <v>#REF!</v>
      </c>
      <c r="FU54" s="139" t="str">
        <f t="shared" si="86"/>
        <v>#REF!</v>
      </c>
      <c r="FV54" s="131">
        <f t="shared" si="87"/>
        <v>10</v>
      </c>
      <c r="FW54" s="131" t="str">
        <f t="shared" si="140"/>
        <v>#REF!</v>
      </c>
      <c r="FX54" s="131" t="str">
        <f t="shared" si="88"/>
        <v>#REF!</v>
      </c>
      <c r="FY54" s="131" t="str">
        <f t="array" ref="FY54">INDEX(FX:FX,MIN(IF(ISNUMBER(FX54:FX250),ROW(FX54:FX250),"")))</f>
        <v/>
      </c>
      <c r="FZ54" s="131" t="str">
        <f t="shared" si="141"/>
        <v>#REF!</v>
      </c>
      <c r="GA54" s="138" t="str">
        <f>FZ54*VLOOKUP('Données projet (1)'!$B$17,'Paramètres (1)'!$A$1:$I$88,3,0)*VLOOKUP('Données projet (1)'!$B$17,'Paramètres (1)'!$A$1:$I$88,5,0)</f>
        <v>#REF!</v>
      </c>
      <c r="GB54" s="130" t="str">
        <f t="shared" si="142"/>
        <v>#REF!</v>
      </c>
      <c r="GC54" s="141" t="str">
        <f t="shared" si="89"/>
        <v>#REF!</v>
      </c>
      <c r="GD54" s="133" t="str">
        <f t="shared" si="90"/>
        <v>#REF!</v>
      </c>
      <c r="GE54" s="133" t="str">
        <f t="shared" si="91"/>
        <v>#REF!</v>
      </c>
      <c r="GF54" s="133" t="str">
        <f t="shared" si="143"/>
        <v>#REF!</v>
      </c>
      <c r="GG54" s="134" t="str">
        <f t="shared" si="92"/>
        <v>#REF!</v>
      </c>
      <c r="GH54" s="134" t="str">
        <f t="shared" si="93"/>
        <v>#REF!</v>
      </c>
      <c r="GI54" s="135" t="str">
        <f>IF(ISNA(VLOOKUP(A54,'Données projet (1)'!$A$243:$I$263,5,0)),0%,VLOOKUP(A54,'Données projet (1)'!$A$243:$I$263,5,0)*VLOOKUP('Données projet (1)'!$B$17,'Paramètres (1)'!$A$1:$I$88,7,0))</f>
        <v>#REF!</v>
      </c>
      <c r="GJ54" s="135" t="str">
        <f>IF(ISNA(VLOOKUP(A54,'Données projet (1)'!$A$243:$I$263,6,0)),0%,VLOOKUP(A54,'Données projet (1)'!$A$243:$I$263,6,0)*VLOOKUP('Données projet (1)'!$B$17,'Paramètres (1)'!$A$1:$I$88,7,0))</f>
        <v>#REF!</v>
      </c>
      <c r="GK54" s="135" t="str">
        <f t="shared" si="94"/>
        <v>#REF!</v>
      </c>
      <c r="GL54" s="142" t="str">
        <f>EXP(-LN(2)/35)*GL53+(1-EXP(-LN(2)/35))/(LN(2)/35)*GH54*GI54*VLOOKUP('Données projet (1)'!$B$17,'Paramètres (1)'!$A$1:$I$88,3,0)*0.475*44/12</f>
        <v>#REF!</v>
      </c>
      <c r="GM54" s="142" t="str">
        <f>EXP(-LN(2)/25)*GM53+(1-EXP(-LN(2)/25))/(LN(2)/25)*'Calculateur (1)'!GH54*'Calculateur (1)'!GJ54*VLOOKUP('Données projet (1)'!$B$17,'Paramètres (1)'!$A$1:$I$88,3,0)*0.475*44/12</f>
        <v>#REF!</v>
      </c>
      <c r="GN54" s="142" t="str">
        <f>EXP(-LN(2)/2)*GN53+(1-EXP(-LN(2)/2))/(LN(2)/2)*GH54*GK54*VLOOKUP('Données projet (1)'!$B$17,'Paramètres (1)'!$A$1:$I$88,3,0)*0.475*44/12</f>
        <v>#REF!</v>
      </c>
      <c r="GO54" s="142" t="str">
        <f t="shared" si="95"/>
        <v>#REF!</v>
      </c>
      <c r="GP54" s="139" t="str">
        <f t="shared" si="96"/>
        <v>#REF!</v>
      </c>
      <c r="GQ54" s="131">
        <f t="shared" si="97"/>
        <v>10</v>
      </c>
      <c r="GR54" s="131" t="str">
        <f t="shared" si="144"/>
        <v>#REF!</v>
      </c>
      <c r="GS54" s="131" t="str">
        <f t="shared" si="98"/>
        <v>#REF!</v>
      </c>
      <c r="GT54" s="131" t="str">
        <f t="array" ref="GT54">INDEX(GS:GS,MIN(IF(ISNUMBER(GS54:GS250),ROW(GS54:GS250),"")))</f>
        <v/>
      </c>
      <c r="GU54" s="131" t="str">
        <f t="shared" si="145"/>
        <v>#REF!</v>
      </c>
      <c r="GV54" s="138" t="str">
        <f>GU54*VLOOKUP('Données projet (1)'!$B$18,'Paramètres (1)'!$A$1:$I$88,3,0)*VLOOKUP('Données projet (1)'!$B$18,'Paramètres (1)'!$A$1:$I$88,5,0)</f>
        <v>#REF!</v>
      </c>
      <c r="GW54" s="130" t="str">
        <f t="shared" si="146"/>
        <v>#REF!</v>
      </c>
      <c r="GX54" s="141" t="str">
        <f t="shared" si="99"/>
        <v>#REF!</v>
      </c>
      <c r="GY54" s="133" t="str">
        <f t="shared" si="100"/>
        <v>#REF!</v>
      </c>
      <c r="GZ54" s="133" t="str">
        <f t="shared" si="101"/>
        <v>#REF!</v>
      </c>
      <c r="HA54" s="133" t="str">
        <f t="shared" si="147"/>
        <v>#REF!</v>
      </c>
      <c r="HB54" s="134" t="str">
        <f t="shared" si="102"/>
        <v>#REF!</v>
      </c>
      <c r="HC54" s="134" t="str">
        <f t="shared" si="103"/>
        <v>#REF!</v>
      </c>
      <c r="HD54" s="135" t="str">
        <f>IF(ISNA(VLOOKUP(A54,'Données projet (1)'!$A$269:$I$289,5,0)),0%,VLOOKUP(A54,'Données projet (1)'!$A$269:$I$289,5,0)*VLOOKUP('Données projet (1)'!$B$18,'Paramètres (1)'!$A$1:$I$88,7,0))</f>
        <v>#REF!</v>
      </c>
      <c r="HE54" s="135" t="str">
        <f>IF(ISNA(VLOOKUP(A54,'Données projet (1)'!$A$269:$I$289,6,0)),0%,VLOOKUP(A54,'Données projet (1)'!$A$269:$I$289,6,0)*VLOOKUP('Données projet (1)'!$B$18,'Paramètres (1)'!$A$1:$I$88,7,0))</f>
        <v>#REF!</v>
      </c>
      <c r="HF54" s="135" t="str">
        <f t="shared" si="104"/>
        <v>#REF!</v>
      </c>
      <c r="HG54" s="142" t="str">
        <f>EXP(-LN(2)/35)*HG53+(1-EXP(-LN(2)/35))/(LN(2)/35)*HC54*HD54*VLOOKUP('Données projet (1)'!$B$18,'Paramètres (1)'!$A$1:$I$88,3,0)*0.475*44/12</f>
        <v>#REF!</v>
      </c>
      <c r="HH54" s="142" t="str">
        <f>EXP(-LN(2)/25)*HH53+(1-EXP(-LN(2)/25))/(LN(2)/25)*'Calculateur (1)'!HC54*'Calculateur (1)'!HE54*VLOOKUP('Données projet (1)'!$B$18,'Paramètres (1)'!$A$1:$I$88,3,0)*0.475*44/12</f>
        <v>#REF!</v>
      </c>
      <c r="HI54" s="142" t="str">
        <f>EXP(-LN(2)/2)*HI53+(1-EXP(-LN(2)/2))/(LN(2)/2)*HC54*HF54*VLOOKUP('Données projet (1)'!$B$18,'Paramètres (1)'!$A$1:$I$88,3,0)*0.475*44/12</f>
        <v>#REF!</v>
      </c>
      <c r="HJ54" s="143" t="str">
        <f t="shared" si="105"/>
        <v>#REF!</v>
      </c>
    </row>
    <row r="55" ht="14.25" customHeight="1">
      <c r="A55" s="125">
        <f t="shared" si="106"/>
        <v>52</v>
      </c>
      <c r="B55" s="126" t="str">
        <f t="shared" si="1"/>
        <v>#REF!</v>
      </c>
      <c r="C55" s="140" t="str">
        <f>'Calculateur (1)'!C54+'Scénario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5" s="127">
        <f t="shared" si="107"/>
        <v>0</v>
      </c>
      <c r="E55" s="127" t="str">
        <f t="shared" si="2"/>
        <v>#REF!</v>
      </c>
      <c r="F55" s="127" t="str">
        <f t="shared" si="3"/>
        <v>#REF!</v>
      </c>
      <c r="G55" s="127" t="str">
        <f t="shared" si="4"/>
        <v>#REF!</v>
      </c>
      <c r="H55" s="128" t="str">
        <f t="shared" si="5"/>
        <v>#REF!</v>
      </c>
      <c r="I55" s="129" t="str">
        <f t="shared" si="6"/>
        <v>#REF!</v>
      </c>
      <c r="J55" s="130">
        <f t="shared" si="7"/>
        <v>10</v>
      </c>
      <c r="K55" s="131" t="str">
        <f t="shared" si="108"/>
        <v>#REF!</v>
      </c>
      <c r="L55" s="131" t="str">
        <f t="shared" si="8"/>
        <v>#REF!</v>
      </c>
      <c r="M55" s="131" t="str">
        <f t="array" ref="M55">INDEX(L:L,MIN(IF(ISNUMBER(L55:L251),ROW(L55:L251),"")))</f>
        <v/>
      </c>
      <c r="N55" s="130" t="str">
        <f t="shared" si="109"/>
        <v>#REF!</v>
      </c>
      <c r="O55" s="130" t="str">
        <f>N55*VLOOKUP('Données projet (1)'!$B$9,'Paramètres (1)'!$A$1:$I$88,3,0)*VLOOKUP('Données projet (1)'!$B$9,'Paramètres (1)'!$A$1:$I$88,5,0)</f>
        <v>#REF!</v>
      </c>
      <c r="P55" s="130" t="str">
        <f t="shared" si="110"/>
        <v>#REF!</v>
      </c>
      <c r="Q55" s="141" t="str">
        <f t="shared" si="9"/>
        <v>#REF!</v>
      </c>
      <c r="R55" s="133" t="str">
        <f t="shared" si="10"/>
        <v>#REF!</v>
      </c>
      <c r="S55" s="133" t="str">
        <f t="shared" si="11"/>
        <v>#REF!</v>
      </c>
      <c r="T55" s="133" t="str">
        <f t="shared" si="111"/>
        <v>#REF!</v>
      </c>
      <c r="U55" s="134" t="str">
        <f t="shared" si="12"/>
        <v>#REF!</v>
      </c>
      <c r="V55" s="134" t="str">
        <f t="shared" si="13"/>
        <v>#REF!</v>
      </c>
      <c r="W55" s="135" t="str">
        <f>IF(ISNA(VLOOKUP(A55,'Données projet (1)'!$A$35:$I$55,5,0)),0%,VLOOKUP(A55,'Données projet (1)'!$A$35:$I$55,5,0)*VLOOKUP('Données projet (1)'!$B$9,'Paramètres (1)'!$A$1:$I$88,7,0))</f>
        <v>#REF!</v>
      </c>
      <c r="X55" s="135" t="str">
        <f>IF(ISNA(VLOOKUP(A55,'Données projet (1)'!$A$35:$I$55,6,0)),0%,VLOOKUP(A55,'Données projet (1)'!$A$35:$I$55,6,0)*VLOOKUP('Données projet (1)'!$B$9,'Paramètres (1)'!$A$1:$I$88,7,0))</f>
        <v>#REF!</v>
      </c>
      <c r="Y55" s="135" t="str">
        <f t="shared" si="14"/>
        <v>#REF!</v>
      </c>
      <c r="Z55" s="142" t="str">
        <f>EXP(-LN(2)/35)*Z54+(1-EXP(-LN(2)/35))/(LN(2)/35)*V55*W55*VLOOKUP('Données projet (1)'!$B$9,'Paramètres (1)'!$A$1:$I$88,3,0)*0.475*44/12</f>
        <v>#REF!</v>
      </c>
      <c r="AA55" s="142" t="str">
        <f>EXP(-LN(2)/25)*AA54+(1-EXP(-LN(2)/25))/(LN(2)/25)*'Calculateur (1)'!V55*'Calculateur (1)'!X55*VLOOKUP('Données projet (1)'!$B$9,'Paramètres (1)'!$A$1:$I$88,3,0)*0.475*44/12</f>
        <v>#REF!</v>
      </c>
      <c r="AB55" s="142" t="str">
        <f>EXP(-LN(2)/2)*AB54+(1-EXP(-LN(2)/2))/(LN(2)/2)*V55*Y55*VLOOKUP('Données projet (1)'!$B$9,'Paramètres (1)'!$A$1:$I$88,3,0)*0.475*44/12</f>
        <v>#REF!</v>
      </c>
      <c r="AC55" s="143" t="str">
        <f t="shared" si="15"/>
        <v>#REF!</v>
      </c>
      <c r="AD55" s="130" t="str">
        <f t="shared" si="16"/>
        <v>#REF!</v>
      </c>
      <c r="AE55" s="130">
        <f t="shared" si="17"/>
        <v>10</v>
      </c>
      <c r="AF55" s="131" t="str">
        <f t="shared" si="112"/>
        <v>#REF!</v>
      </c>
      <c r="AG55" s="131" t="str">
        <f t="shared" si="18"/>
        <v>#REF!</v>
      </c>
      <c r="AH55" s="131" t="str">
        <f t="array" ref="AH55">INDEX(AG:AG,MIN(IF(ISNUMBER(AG55:AG251),ROW(AG55:AG251),"")))</f>
        <v/>
      </c>
      <c r="AI55" s="130" t="str">
        <f t="shared" si="113"/>
        <v>#REF!</v>
      </c>
      <c r="AJ55" s="130" t="str">
        <f>AI55*VLOOKUP('Données projet (1)'!$B$10,'Paramètres (1)'!$A$1:$I$88,3,0)*VLOOKUP('Données projet (1)'!$B$10,'Paramètres (1)'!$A$1:$I$88,5,0)</f>
        <v>#REF!</v>
      </c>
      <c r="AK55" s="130" t="str">
        <f t="shared" si="114"/>
        <v>#REF!</v>
      </c>
      <c r="AL55" s="141" t="str">
        <f t="shared" si="19"/>
        <v>#REF!</v>
      </c>
      <c r="AM55" s="133" t="str">
        <f t="shared" si="20"/>
        <v>#REF!</v>
      </c>
      <c r="AN55" s="133" t="str">
        <f t="shared" si="21"/>
        <v>#REF!</v>
      </c>
      <c r="AO55" s="133" t="str">
        <f t="shared" si="115"/>
        <v>#REF!</v>
      </c>
      <c r="AP55" s="134" t="str">
        <f t="shared" si="22"/>
        <v>#REF!</v>
      </c>
      <c r="AQ55" s="134" t="str">
        <f t="shared" si="23"/>
        <v>#REF!</v>
      </c>
      <c r="AR55" s="135" t="str">
        <f>IF(ISNA(VLOOKUP(A55,'Données projet (1)'!$A$61:$I$81,5,0)),0%,VLOOKUP(A55,'Données projet (1)'!$A$61:$I$81,5,0)*VLOOKUP('Données projet (1)'!$B$10,'Paramètres (1)'!$A$1:$I$88,7,0))</f>
        <v>#REF!</v>
      </c>
      <c r="AS55" s="135" t="str">
        <f>IF(ISNA(VLOOKUP(A55,'Données projet (1)'!$A$61:$I$81,6,0)),0%,VLOOKUP(A55,'Données projet (1)'!$A$61:$I$81,6,0)*VLOOKUP('Données projet (1)'!$B$10,'Paramètres (1)'!$A$1:$I$88,7,0))</f>
        <v>#REF!</v>
      </c>
      <c r="AT55" s="135" t="str">
        <f t="shared" si="24"/>
        <v>#REF!</v>
      </c>
      <c r="AU55" s="142" t="str">
        <f>EXP(-LN(2)/35)*AU54+(1-EXP(-LN(2)/35))/(LN(2)/35)*AQ55*AR55*VLOOKUP('Données projet (1)'!$B$10,'Paramètres (1)'!$A$1:$I$88,3,0)*0.475*44/12</f>
        <v>#REF!</v>
      </c>
      <c r="AV55" s="142" t="str">
        <f>EXP(-LN(2)/25)*AV54+(1-EXP(-LN(2)/25))/(LN(2)/25)*'Calculateur (1)'!AQ55*'Calculateur (1)'!AS55*VLOOKUP('Données projet (1)'!$B$10,'Paramètres (1)'!$A$1:$I$88,3,0)*0.475*44/12</f>
        <v>#REF!</v>
      </c>
      <c r="AW55" s="142" t="str">
        <f>EXP(-LN(2)/2)*AW54+(1-EXP(-LN(2)/2))/(LN(2)/2)*AQ55*AT55*VLOOKUP('Données projet (1)'!$B$10,'Paramètres (1)'!$A$1:$I$88,3,0)*0.475*44/12</f>
        <v>#REF!</v>
      </c>
      <c r="AX55" s="142" t="str">
        <f t="shared" si="25"/>
        <v>#REF!</v>
      </c>
      <c r="AY55" s="137" t="str">
        <f t="shared" si="26"/>
        <v>#REF!</v>
      </c>
      <c r="AZ55" s="131">
        <f t="shared" si="27"/>
        <v>10</v>
      </c>
      <c r="BA55" s="131" t="str">
        <f t="shared" si="116"/>
        <v>#REF!</v>
      </c>
      <c r="BB55" s="131" t="str">
        <f t="shared" si="28"/>
        <v>#REF!</v>
      </c>
      <c r="BC55" s="131" t="str">
        <f t="array" ref="BC55">INDEX(BB:BB,MIN(IF(ISNUMBER(BB55:BB251),ROW(BB55:BB251),"")))</f>
        <v/>
      </c>
      <c r="BD55" s="131" t="str">
        <f t="shared" si="117"/>
        <v>#REF!</v>
      </c>
      <c r="BE55" s="130" t="str">
        <f>BD55*VLOOKUP('Données projet (1)'!$B$11,'Paramètres (1)'!$A$1:$I$88,3,0)*VLOOKUP('Données projet (1)'!$B$11,'Paramètres (1)'!$A$1:$I$88,5,0)</f>
        <v>#REF!</v>
      </c>
      <c r="BF55" s="130" t="str">
        <f t="shared" si="118"/>
        <v>#REF!</v>
      </c>
      <c r="BG55" s="141" t="str">
        <f t="shared" si="29"/>
        <v>#REF!</v>
      </c>
      <c r="BH55" s="133" t="str">
        <f t="shared" si="30"/>
        <v>#REF!</v>
      </c>
      <c r="BI55" s="133" t="str">
        <f t="shared" si="31"/>
        <v>#REF!</v>
      </c>
      <c r="BJ55" s="133" t="str">
        <f t="shared" si="119"/>
        <v>#REF!</v>
      </c>
      <c r="BK55" s="134" t="str">
        <f t="shared" si="32"/>
        <v>#REF!</v>
      </c>
      <c r="BL55" s="134" t="str">
        <f t="shared" si="33"/>
        <v>#REF!</v>
      </c>
      <c r="BM55" s="135" t="str">
        <f>IF(ISNA(VLOOKUP(A55,'Données projet (1)'!$A$87:$I$107,5,0)),0%,VLOOKUP(A55,'Données projet (1)'!$A$87:$I$107,5,0)*VLOOKUP('Données projet (1)'!$B$11,'Paramètres (1)'!$A$1:$I$88,7,0))</f>
        <v>#REF!</v>
      </c>
      <c r="BN55" s="135" t="str">
        <f>IF(ISNA(VLOOKUP(A55,'Données projet (1)'!$A$87:$I$107,6,0)),0%,VLOOKUP(A55,'Données projet (1)'!$A$87:$I$107,6,0)*VLOOKUP('Données projet (1)'!$B$11,'Paramètres (1)'!$A$1:$I$88,7,0))</f>
        <v>#REF!</v>
      </c>
      <c r="BO55" s="135" t="str">
        <f t="shared" si="34"/>
        <v>#REF!</v>
      </c>
      <c r="BP55" s="142" t="str">
        <f>EXP(-LN(2)/35)*BP54+(1-EXP(-LN(2)/35))/(LN(2)/35)*BL55*BM55*VLOOKUP('Données projet (1)'!$B$11,'Paramètres (1)'!$A$1:$I$88,3,0)*0.475*44/12</f>
        <v>#REF!</v>
      </c>
      <c r="BQ55" s="142" t="str">
        <f>EXP(-LN(2)/25)*BQ54+(1-EXP(-LN(2)/25))/(LN(2)/25)*'Calculateur (1)'!BL55*'Calculateur (1)'!BN55*VLOOKUP('Données projet (1)'!$B$11,'Paramètres (1)'!$A$1:$I$88,3,0)*0.475*44/12</f>
        <v>#REF!</v>
      </c>
      <c r="BR55" s="142" t="str">
        <f>EXP(-LN(2)/2)*BR54+(1-EXP(-LN(2)/2))/(LN(2)/2)*BL55*BO55*VLOOKUP('Données projet (1)'!$B$11,'Paramètres (1)'!$A$1:$I$88,3,0)*0.475*44/12</f>
        <v>#REF!</v>
      </c>
      <c r="BS55" s="143" t="str">
        <f t="shared" si="35"/>
        <v>#REF!</v>
      </c>
      <c r="BT55" s="139" t="str">
        <f t="shared" si="36"/>
        <v>#REF!</v>
      </c>
      <c r="BU55" s="131">
        <f t="shared" si="37"/>
        <v>10</v>
      </c>
      <c r="BV55" s="131" t="str">
        <f t="shared" si="120"/>
        <v>#REF!</v>
      </c>
      <c r="BW55" s="131" t="str">
        <f t="shared" si="38"/>
        <v>#REF!</v>
      </c>
      <c r="BX55" s="131" t="str">
        <f t="array" ref="BX55">INDEX(BW:BW,MIN(IF(ISNUMBER(BW55:BW251),ROW(BW55:BW251),"")))</f>
        <v/>
      </c>
      <c r="BY55" s="131" t="str">
        <f t="shared" si="121"/>
        <v>#REF!</v>
      </c>
      <c r="BZ55" s="130" t="str">
        <f>BY55*VLOOKUP('Données projet (1)'!$B$12,'Paramètres (1)'!$A$1:$I$88,3,0)*VLOOKUP('Données projet (1)'!$B$12,'Paramètres (1)'!$A$1:$I$88,5,0)</f>
        <v>#REF!</v>
      </c>
      <c r="CA55" s="130" t="str">
        <f t="shared" si="122"/>
        <v>#REF!</v>
      </c>
      <c r="CB55" s="141" t="str">
        <f t="shared" si="39"/>
        <v>#REF!</v>
      </c>
      <c r="CC55" s="133" t="str">
        <f t="shared" si="40"/>
        <v>#REF!</v>
      </c>
      <c r="CD55" s="133" t="str">
        <f t="shared" si="41"/>
        <v>#REF!</v>
      </c>
      <c r="CE55" s="133" t="str">
        <f t="shared" si="123"/>
        <v>#REF!</v>
      </c>
      <c r="CF55" s="134" t="str">
        <f t="shared" si="42"/>
        <v>#REF!</v>
      </c>
      <c r="CG55" s="134" t="str">
        <f t="shared" si="43"/>
        <v>#REF!</v>
      </c>
      <c r="CH55" s="135" t="str">
        <f>IF(ISNA(VLOOKUP(A55,'Données projet (1)'!$A$113:$I$133,5,0)),0%,VLOOKUP(A55,'Données projet (1)'!$A$113:$I$133,5,0)*VLOOKUP('Données projet (1)'!$B$12,'Paramètres (1)'!$A$1:$I$88,7,0))</f>
        <v>#REF!</v>
      </c>
      <c r="CI55" s="135" t="str">
        <f>IF(ISNA(VLOOKUP(A55,'Données projet (1)'!$A$113:$I$133,6,0)),0%,VLOOKUP(A55,'Données projet (1)'!$A$113:$I$133,6,0)*VLOOKUP('Données projet (1)'!$B$12,'Paramètres (1)'!$A$1:$I$88,7,0))</f>
        <v>#REF!</v>
      </c>
      <c r="CJ55" s="135" t="str">
        <f t="shared" si="44"/>
        <v>#REF!</v>
      </c>
      <c r="CK55" s="142" t="str">
        <f>EXP(-LN(2)/35)*CK54+(1-EXP(-LN(2)/35))/(LN(2)/35)*CG55*CH55*VLOOKUP('Données projet (1)'!$B$12,'Paramètres (1)'!$A$1:$I$88,3,0)*0.475*44/12</f>
        <v>#REF!</v>
      </c>
      <c r="CL55" s="142" t="str">
        <f>EXP(-LN(2)/25)*CL54+(1-EXP(-LN(2)/25))/(LN(2)/25)*'Calculateur (1)'!CG55*'Calculateur (1)'!CI55*VLOOKUP('Données projet (1)'!$B$12,'Paramètres (1)'!$A$1:$I$88,3,0)*0.475*44/12</f>
        <v>#REF!</v>
      </c>
      <c r="CM55" s="142" t="str">
        <f>EXP(-LN(2)/2)*CM54+(1-EXP(-LN(2)/2))/(LN(2)/2)*CG55*CJ55*VLOOKUP('Données projet (1)'!$B$12,'Paramètres (1)'!$A$1:$I$88,3,0)*0.475*44/12</f>
        <v>#REF!</v>
      </c>
      <c r="CN55" s="143" t="str">
        <f t="shared" si="45"/>
        <v>#REF!</v>
      </c>
      <c r="CO55" s="139" t="str">
        <f t="shared" si="46"/>
        <v>#REF!</v>
      </c>
      <c r="CP55" s="131">
        <f t="shared" si="47"/>
        <v>10</v>
      </c>
      <c r="CQ55" s="131" t="str">
        <f t="shared" si="124"/>
        <v>#REF!</v>
      </c>
      <c r="CR55" s="131" t="str">
        <f t="shared" si="48"/>
        <v>#REF!</v>
      </c>
      <c r="CS55" s="131" t="str">
        <f t="array" ref="CS55">INDEX(CR:CR,MIN(IF(ISNUMBER(CR55:CR251),ROW(CR55:CR251),"")))</f>
        <v/>
      </c>
      <c r="CT55" s="131" t="str">
        <f t="shared" si="125"/>
        <v>#REF!</v>
      </c>
      <c r="CU55" s="138" t="str">
        <f>CT55*VLOOKUP('Données projet (1)'!$B$13,'Paramètres (1)'!$A$1:$I$88,3,0)*VLOOKUP('Données projet (1)'!$B$13,'Paramètres (1)'!$A$1:$I$88,5,0)</f>
        <v>#REF!</v>
      </c>
      <c r="CV55" s="130" t="str">
        <f t="shared" si="126"/>
        <v>#REF!</v>
      </c>
      <c r="CW55" s="141" t="str">
        <f t="shared" si="49"/>
        <v>#REF!</v>
      </c>
      <c r="CX55" s="133" t="str">
        <f t="shared" si="50"/>
        <v>#REF!</v>
      </c>
      <c r="CY55" s="133" t="str">
        <f t="shared" si="51"/>
        <v>#REF!</v>
      </c>
      <c r="CZ55" s="133" t="str">
        <f t="shared" si="127"/>
        <v>#REF!</v>
      </c>
      <c r="DA55" s="134" t="str">
        <f t="shared" si="52"/>
        <v>#REF!</v>
      </c>
      <c r="DB55" s="134" t="str">
        <f t="shared" si="53"/>
        <v>#REF!</v>
      </c>
      <c r="DC55" s="135" t="str">
        <f>IF(ISNA(VLOOKUP(A55,'Données projet (1)'!$A$139:$I$159,5,0)),0%,VLOOKUP(A55,'Données projet (1)'!$A$139:$I$159,5,0)*VLOOKUP('Données projet (1)'!$B$13,'Paramètres (1)'!$A$1:$I$88,7,0))</f>
        <v>#REF!</v>
      </c>
      <c r="DD55" s="135" t="str">
        <f>IF(ISNA(VLOOKUP(A55,'Données projet (1)'!$A$139:$I$159,6,0)),0%,VLOOKUP(A55,'Données projet (1)'!$A$139:$I$159,6,0)*VLOOKUP('Données projet (1)'!$B$13,'Paramètres (1)'!$A$1:$I$88,7,0))</f>
        <v>#REF!</v>
      </c>
      <c r="DE55" s="135" t="str">
        <f t="shared" si="54"/>
        <v>#REF!</v>
      </c>
      <c r="DF55" s="142" t="str">
        <f>EXP(-LN(2)/35)*DF54+(1-EXP(-LN(2)/35))/(LN(2)/35)*DB55*DC55*VLOOKUP('Données projet (1)'!$B$13,'Paramètres (1)'!$A$1:$I$88,3,0)*0.475*44/12</f>
        <v>#REF!</v>
      </c>
      <c r="DG55" s="142" t="str">
        <f>EXP(-LN(2)/25)*DG54+(1-EXP(-LN(2)/25))/(LN(2)/25)*'Calculateur (1)'!DB55*'Calculateur (1)'!DD55*VLOOKUP('Données projet (1)'!$B$13,'Paramètres (1)'!$A$1:$I$88,3,0)*0.475*44/12</f>
        <v>#REF!</v>
      </c>
      <c r="DH55" s="142" t="str">
        <f>EXP(-LN(2)/2)*DH54+(1-EXP(-LN(2)/2))/(LN(2)/2)*DB55*DE55*VLOOKUP('Données projet (1)'!$B$13,'Paramètres (1)'!$A$1:$I$88,3,0)*0.475*44/12</f>
        <v>#REF!</v>
      </c>
      <c r="DI55" s="143" t="str">
        <f t="shared" si="55"/>
        <v>#REF!</v>
      </c>
      <c r="DJ55" s="139" t="str">
        <f t="shared" si="56"/>
        <v>#REF!</v>
      </c>
      <c r="DK55" s="131">
        <f t="shared" si="57"/>
        <v>10</v>
      </c>
      <c r="DL55" s="131" t="str">
        <f t="shared" si="128"/>
        <v>#REF!</v>
      </c>
      <c r="DM55" s="131" t="str">
        <f t="shared" si="58"/>
        <v>#REF!</v>
      </c>
      <c r="DN55" s="131" t="str">
        <f t="array" ref="DN55">INDEX(DM:DM,MIN(IF(ISNUMBER(DM55:DM251),ROW(DM55:DM251),"")))</f>
        <v/>
      </c>
      <c r="DO55" s="131" t="str">
        <f t="shared" si="129"/>
        <v>#REF!</v>
      </c>
      <c r="DP55" s="138" t="str">
        <f>DO55*VLOOKUP('Données projet (1)'!$B$14,'Paramètres (1)'!$A$1:$I$88,3,0)*VLOOKUP('Données projet (1)'!$B$14,'Paramètres (1)'!$A$1:$I$88,5,0)</f>
        <v>#REF!</v>
      </c>
      <c r="DQ55" s="130" t="str">
        <f t="shared" si="130"/>
        <v>#REF!</v>
      </c>
      <c r="DR55" s="141" t="str">
        <f t="shared" si="59"/>
        <v>#REF!</v>
      </c>
      <c r="DS55" s="133" t="str">
        <f t="shared" si="60"/>
        <v>#REF!</v>
      </c>
      <c r="DT55" s="133" t="str">
        <f t="shared" si="61"/>
        <v>#REF!</v>
      </c>
      <c r="DU55" s="133" t="str">
        <f t="shared" si="131"/>
        <v>#REF!</v>
      </c>
      <c r="DV55" s="134" t="str">
        <f t="shared" si="62"/>
        <v>#REF!</v>
      </c>
      <c r="DW55" s="134" t="str">
        <f t="shared" si="63"/>
        <v>#REF!</v>
      </c>
      <c r="DX55" s="135" t="str">
        <f>IF(ISNA(VLOOKUP(A55,'Données projet (1)'!$A$165:$I$185,5,0)),0%,VLOOKUP(A55,'Données projet (1)'!$A$165:$I$185,5,0)*VLOOKUP('Données projet (1)'!$B$14,'Paramètres (1)'!$A$1:$I$88,7,0))</f>
        <v>#REF!</v>
      </c>
      <c r="DY55" s="135" t="str">
        <f>IF(ISNA(VLOOKUP(A55,'Données projet (1)'!$A$165:$I$185,6,0)),0%,VLOOKUP(A55,'Données projet (1)'!$A$165:$I$185,6,0)*VLOOKUP('Données projet (1)'!$B$14,'Paramètres (1)'!$A$1:$I$88,7,0))</f>
        <v>#REF!</v>
      </c>
      <c r="DZ55" s="135" t="str">
        <f t="shared" si="64"/>
        <v>#REF!</v>
      </c>
      <c r="EA55" s="142" t="str">
        <f>EXP(-LN(2)/35)*EA54+(1-EXP(-LN(2)/35))/(LN(2)/35)*DW55*DX55*VLOOKUP('Données projet (1)'!$B$14,'Paramètres (1)'!$A$1:$I$88,3,0)*0.475*44/12</f>
        <v>#REF!</v>
      </c>
      <c r="EB55" s="142" t="str">
        <f>EXP(-LN(2)/25)*EB54+(1-EXP(-LN(2)/25))/(LN(2)/25)*'Calculateur (1)'!DW55*'Calculateur (1)'!DY55*VLOOKUP('Données projet (1)'!$B$14,'Paramètres (1)'!$A$1:$I$88,3,0)*0.475*44/12</f>
        <v>#REF!</v>
      </c>
      <c r="EC55" s="142" t="str">
        <f>EXP(-LN(2)/2)*EC54+(1-EXP(-LN(2)/2))/(LN(2)/2)*DW55*DZ55*VLOOKUP('Données projet (1)'!$B$14,'Paramètres (1)'!$A$1:$I$88,3,0)*0.475*44/12</f>
        <v>#REF!</v>
      </c>
      <c r="ED55" s="143" t="str">
        <f t="shared" si="65"/>
        <v>#REF!</v>
      </c>
      <c r="EE55" s="139" t="str">
        <f t="shared" si="66"/>
        <v>#REF!</v>
      </c>
      <c r="EF55" s="131">
        <f t="shared" si="67"/>
        <v>10</v>
      </c>
      <c r="EG55" s="131" t="str">
        <f t="shared" si="132"/>
        <v>#REF!</v>
      </c>
      <c r="EH55" s="131" t="str">
        <f t="shared" si="68"/>
        <v>#REF!</v>
      </c>
      <c r="EI55" s="131" t="str">
        <f t="array" ref="EI55">INDEX(EH:EH,MIN(IF(ISNUMBER(EH55:EH251),ROW(EH55:EH251),"")))</f>
        <v/>
      </c>
      <c r="EJ55" s="131" t="str">
        <f t="shared" si="133"/>
        <v>#REF!</v>
      </c>
      <c r="EK55" s="138" t="str">
        <f>EJ55*VLOOKUP('Données projet (1)'!$B$15,'Paramètres (1)'!$A$1:$I$88,3,0)*VLOOKUP('Données projet (1)'!$B$15,'Paramètres (1)'!$A$1:$I$88,5,0)</f>
        <v>#REF!</v>
      </c>
      <c r="EL55" s="130" t="str">
        <f t="shared" si="134"/>
        <v>#REF!</v>
      </c>
      <c r="EM55" s="141" t="str">
        <f t="shared" si="69"/>
        <v>#REF!</v>
      </c>
      <c r="EN55" s="133" t="str">
        <f t="shared" si="70"/>
        <v>#REF!</v>
      </c>
      <c r="EO55" s="133" t="str">
        <f t="shared" si="71"/>
        <v>#REF!</v>
      </c>
      <c r="EP55" s="133" t="str">
        <f t="shared" si="135"/>
        <v>#REF!</v>
      </c>
      <c r="EQ55" s="134" t="str">
        <f t="shared" si="72"/>
        <v>#REF!</v>
      </c>
      <c r="ER55" s="134" t="str">
        <f t="shared" si="73"/>
        <v>#REF!</v>
      </c>
      <c r="ES55" s="135" t="str">
        <f>IF(ISNA(VLOOKUP(A55,'Données projet (1)'!$A$191:$I$211,5,0)),0%,VLOOKUP(A55,'Données projet (1)'!$A$191:$I$211,5,0)*VLOOKUP('Données projet (1)'!$B$15,'Paramètres (1)'!$A$1:$I$88,7,0))</f>
        <v>#REF!</v>
      </c>
      <c r="ET55" s="135" t="str">
        <f>IF(ISNA(VLOOKUP(A55,'Données projet (1)'!$A$191:$I$211,6,0)),0%,VLOOKUP(A55,'Données projet (1)'!$A$191:$I$211,6,0)*VLOOKUP('Données projet (1)'!$B$15,'Paramètres (1)'!$A$1:$I$88,7,0))</f>
        <v>#REF!</v>
      </c>
      <c r="EU55" s="135" t="str">
        <f t="shared" si="74"/>
        <v>#REF!</v>
      </c>
      <c r="EV55" s="142" t="str">
        <f>EXP(-LN(2)/35)*EV54+(1-EXP(-LN(2)/35))/(LN(2)/35)*ER55*ES55*VLOOKUP('Données projet (1)'!$B$15,'Paramètres (1)'!$A$1:$I$88,3,0)*0.475*44/12</f>
        <v>#REF!</v>
      </c>
      <c r="EW55" s="142" t="str">
        <f>EXP(-LN(2)/25)*EW54+(1-EXP(-LN(2)/25))/(LN(2)/25)*'Calculateur (1)'!ER55*'Calculateur (1)'!ET55*VLOOKUP('Données projet (1)'!$B$15,'Paramètres (1)'!$A$1:$I$88,3,0)*0.475*44/12</f>
        <v>#REF!</v>
      </c>
      <c r="EX55" s="142" t="str">
        <f>EXP(-LN(2)/2)*EX54+(1-EXP(-LN(2)/2))/(LN(2)/2)*ER55*EU55*VLOOKUP('Données projet (1)'!$B$15,'Paramètres (1)'!$A$1:$I$88,3,0)*0.475*44/12</f>
        <v>#REF!</v>
      </c>
      <c r="EY55" s="143" t="str">
        <f t="shared" si="75"/>
        <v>#REF!</v>
      </c>
      <c r="EZ55" s="139" t="str">
        <f t="shared" si="76"/>
        <v>#REF!</v>
      </c>
      <c r="FA55" s="131">
        <f t="shared" si="77"/>
        <v>10</v>
      </c>
      <c r="FB55" s="131" t="str">
        <f t="shared" si="136"/>
        <v>#REF!</v>
      </c>
      <c r="FC55" s="131" t="str">
        <f t="shared" si="78"/>
        <v>#REF!</v>
      </c>
      <c r="FD55" s="131" t="str">
        <f t="array" ref="FD55">INDEX(FC:FC,MIN(IF(ISNUMBER(FC55:FC251),ROW(FC55:FC251),"")))</f>
        <v/>
      </c>
      <c r="FE55" s="131" t="str">
        <f t="shared" si="137"/>
        <v>#REF!</v>
      </c>
      <c r="FF55" s="138" t="str">
        <f>FE55*VLOOKUP('Données projet (1)'!$B$16,'Paramètres (1)'!$A$1:$I$88,3,0)*VLOOKUP('Données projet (1)'!$B$16,'Paramètres (1)'!$A$1:$I$88,5,0)</f>
        <v>#REF!</v>
      </c>
      <c r="FG55" s="130" t="str">
        <f t="shared" si="138"/>
        <v>#REF!</v>
      </c>
      <c r="FH55" s="141" t="str">
        <f t="shared" si="79"/>
        <v>#REF!</v>
      </c>
      <c r="FI55" s="133" t="str">
        <f t="shared" si="80"/>
        <v>#REF!</v>
      </c>
      <c r="FJ55" s="133" t="str">
        <f t="shared" si="81"/>
        <v>#REF!</v>
      </c>
      <c r="FK55" s="133" t="str">
        <f t="shared" si="139"/>
        <v>#REF!</v>
      </c>
      <c r="FL55" s="134" t="str">
        <f t="shared" si="82"/>
        <v>#REF!</v>
      </c>
      <c r="FM55" s="134" t="str">
        <f t="shared" si="83"/>
        <v>#REF!</v>
      </c>
      <c r="FN55" s="135" t="str">
        <f>IF(ISNA(VLOOKUP(A55,'Données projet (1)'!$A$217:$I$237,5,0)),0%,VLOOKUP(A55,'Données projet (1)'!$A$217:$I$237,5,0)*VLOOKUP('Données projet (1)'!$B$16,'Paramètres (1)'!$A$1:$I$88,7,0))</f>
        <v>#REF!</v>
      </c>
      <c r="FO55" s="135" t="str">
        <f>IF(ISNA(VLOOKUP(A55,'Données projet (1)'!$A$217:$I$237,6,0)),0%,VLOOKUP(A55,'Données projet (1)'!$A$217:$I$237,6,0)*VLOOKUP('Données projet (1)'!$B$16,'Paramètres (1)'!$A$1:$I$88,7,0))</f>
        <v>#REF!</v>
      </c>
      <c r="FP55" s="135" t="str">
        <f t="shared" si="84"/>
        <v>#REF!</v>
      </c>
      <c r="FQ55" s="142" t="str">
        <f>EXP(-LN(2)/35)*FQ54+(1-EXP(-LN(2)/35))/(LN(2)/35)*FM55*FN55*VLOOKUP('Données projet (1)'!$B$16,'Paramètres (1)'!$A$1:$I$88,3,0)*0.475*44/12</f>
        <v>#REF!</v>
      </c>
      <c r="FR55" s="142" t="str">
        <f>EXP(-LN(2)/25)*FR54+(1-EXP(-LN(2)/25))/(LN(2)/25)*'Calculateur (1)'!FM55*'Calculateur (1)'!FO55*VLOOKUP('Données projet (1)'!$B$16,'Paramètres (1)'!$A$1:$I$88,3,0)*0.475*44/12</f>
        <v>#REF!</v>
      </c>
      <c r="FS55" s="142" t="str">
        <f>EXP(-LN(2)/2)*FS54+(1-EXP(-LN(2)/2))/(LN(2)/2)*FM55*FP55*VLOOKUP('Données projet (1)'!$B$16,'Paramètres (1)'!$A$1:$I$88,3,0)*0.475*44/12</f>
        <v>#REF!</v>
      </c>
      <c r="FT55" s="143" t="str">
        <f t="shared" si="85"/>
        <v>#REF!</v>
      </c>
      <c r="FU55" s="139" t="str">
        <f t="shared" si="86"/>
        <v>#REF!</v>
      </c>
      <c r="FV55" s="131">
        <f t="shared" si="87"/>
        <v>10</v>
      </c>
      <c r="FW55" s="131" t="str">
        <f t="shared" si="140"/>
        <v>#REF!</v>
      </c>
      <c r="FX55" s="131" t="str">
        <f t="shared" si="88"/>
        <v>#REF!</v>
      </c>
      <c r="FY55" s="131" t="str">
        <f t="array" ref="FY55">INDEX(FX:FX,MIN(IF(ISNUMBER(FX55:FX251),ROW(FX55:FX251),"")))</f>
        <v/>
      </c>
      <c r="FZ55" s="131" t="str">
        <f t="shared" si="141"/>
        <v>#REF!</v>
      </c>
      <c r="GA55" s="138" t="str">
        <f>FZ55*VLOOKUP('Données projet (1)'!$B$17,'Paramètres (1)'!$A$1:$I$88,3,0)*VLOOKUP('Données projet (1)'!$B$17,'Paramètres (1)'!$A$1:$I$88,5,0)</f>
        <v>#REF!</v>
      </c>
      <c r="GB55" s="130" t="str">
        <f t="shared" si="142"/>
        <v>#REF!</v>
      </c>
      <c r="GC55" s="141" t="str">
        <f t="shared" si="89"/>
        <v>#REF!</v>
      </c>
      <c r="GD55" s="133" t="str">
        <f t="shared" si="90"/>
        <v>#REF!</v>
      </c>
      <c r="GE55" s="133" t="str">
        <f t="shared" si="91"/>
        <v>#REF!</v>
      </c>
      <c r="GF55" s="133" t="str">
        <f t="shared" si="143"/>
        <v>#REF!</v>
      </c>
      <c r="GG55" s="134" t="str">
        <f t="shared" si="92"/>
        <v>#REF!</v>
      </c>
      <c r="GH55" s="134" t="str">
        <f t="shared" si="93"/>
        <v>#REF!</v>
      </c>
      <c r="GI55" s="135" t="str">
        <f>IF(ISNA(VLOOKUP(A55,'Données projet (1)'!$A$243:$I$263,5,0)),0%,VLOOKUP(A55,'Données projet (1)'!$A$243:$I$263,5,0)*VLOOKUP('Données projet (1)'!$B$17,'Paramètres (1)'!$A$1:$I$88,7,0))</f>
        <v>#REF!</v>
      </c>
      <c r="GJ55" s="135" t="str">
        <f>IF(ISNA(VLOOKUP(A55,'Données projet (1)'!$A$243:$I$263,6,0)),0%,VLOOKUP(A55,'Données projet (1)'!$A$243:$I$263,6,0)*VLOOKUP('Données projet (1)'!$B$17,'Paramètres (1)'!$A$1:$I$88,7,0))</f>
        <v>#REF!</v>
      </c>
      <c r="GK55" s="135" t="str">
        <f t="shared" si="94"/>
        <v>#REF!</v>
      </c>
      <c r="GL55" s="142" t="str">
        <f>EXP(-LN(2)/35)*GL54+(1-EXP(-LN(2)/35))/(LN(2)/35)*GH55*GI55*VLOOKUP('Données projet (1)'!$B$17,'Paramètres (1)'!$A$1:$I$88,3,0)*0.475*44/12</f>
        <v>#REF!</v>
      </c>
      <c r="GM55" s="142" t="str">
        <f>EXP(-LN(2)/25)*GM54+(1-EXP(-LN(2)/25))/(LN(2)/25)*'Calculateur (1)'!GH55*'Calculateur (1)'!GJ55*VLOOKUP('Données projet (1)'!$B$17,'Paramètres (1)'!$A$1:$I$88,3,0)*0.475*44/12</f>
        <v>#REF!</v>
      </c>
      <c r="GN55" s="142" t="str">
        <f>EXP(-LN(2)/2)*GN54+(1-EXP(-LN(2)/2))/(LN(2)/2)*GH55*GK55*VLOOKUP('Données projet (1)'!$B$17,'Paramètres (1)'!$A$1:$I$88,3,0)*0.475*44/12</f>
        <v>#REF!</v>
      </c>
      <c r="GO55" s="142" t="str">
        <f t="shared" si="95"/>
        <v>#REF!</v>
      </c>
      <c r="GP55" s="139" t="str">
        <f t="shared" si="96"/>
        <v>#REF!</v>
      </c>
      <c r="GQ55" s="131">
        <f t="shared" si="97"/>
        <v>10</v>
      </c>
      <c r="GR55" s="131" t="str">
        <f t="shared" si="144"/>
        <v>#REF!</v>
      </c>
      <c r="GS55" s="131" t="str">
        <f t="shared" si="98"/>
        <v>#REF!</v>
      </c>
      <c r="GT55" s="131" t="str">
        <f t="array" ref="GT55">INDEX(GS:GS,MIN(IF(ISNUMBER(GS55:GS251),ROW(GS55:GS251),"")))</f>
        <v/>
      </c>
      <c r="GU55" s="131" t="str">
        <f t="shared" si="145"/>
        <v>#REF!</v>
      </c>
      <c r="GV55" s="138" t="str">
        <f>GU55*VLOOKUP('Données projet (1)'!$B$18,'Paramètres (1)'!$A$1:$I$88,3,0)*VLOOKUP('Données projet (1)'!$B$18,'Paramètres (1)'!$A$1:$I$88,5,0)</f>
        <v>#REF!</v>
      </c>
      <c r="GW55" s="130" t="str">
        <f t="shared" si="146"/>
        <v>#REF!</v>
      </c>
      <c r="GX55" s="141" t="str">
        <f t="shared" si="99"/>
        <v>#REF!</v>
      </c>
      <c r="GY55" s="133" t="str">
        <f t="shared" si="100"/>
        <v>#REF!</v>
      </c>
      <c r="GZ55" s="133" t="str">
        <f t="shared" si="101"/>
        <v>#REF!</v>
      </c>
      <c r="HA55" s="133" t="str">
        <f t="shared" si="147"/>
        <v>#REF!</v>
      </c>
      <c r="HB55" s="134" t="str">
        <f t="shared" si="102"/>
        <v>#REF!</v>
      </c>
      <c r="HC55" s="134" t="str">
        <f t="shared" si="103"/>
        <v>#REF!</v>
      </c>
      <c r="HD55" s="135" t="str">
        <f>IF(ISNA(VLOOKUP(A55,'Données projet (1)'!$A$269:$I$289,5,0)),0%,VLOOKUP(A55,'Données projet (1)'!$A$269:$I$289,5,0)*VLOOKUP('Données projet (1)'!$B$18,'Paramètres (1)'!$A$1:$I$88,7,0))</f>
        <v>#REF!</v>
      </c>
      <c r="HE55" s="135" t="str">
        <f>IF(ISNA(VLOOKUP(A55,'Données projet (1)'!$A$269:$I$289,6,0)),0%,VLOOKUP(A55,'Données projet (1)'!$A$269:$I$289,6,0)*VLOOKUP('Données projet (1)'!$B$18,'Paramètres (1)'!$A$1:$I$88,7,0))</f>
        <v>#REF!</v>
      </c>
      <c r="HF55" s="135" t="str">
        <f t="shared" si="104"/>
        <v>#REF!</v>
      </c>
      <c r="HG55" s="142" t="str">
        <f>EXP(-LN(2)/35)*HG54+(1-EXP(-LN(2)/35))/(LN(2)/35)*HC55*HD55*VLOOKUP('Données projet (1)'!$B$18,'Paramètres (1)'!$A$1:$I$88,3,0)*0.475*44/12</f>
        <v>#REF!</v>
      </c>
      <c r="HH55" s="142" t="str">
        <f>EXP(-LN(2)/25)*HH54+(1-EXP(-LN(2)/25))/(LN(2)/25)*'Calculateur (1)'!HC55*'Calculateur (1)'!HE55*VLOOKUP('Données projet (1)'!$B$18,'Paramètres (1)'!$A$1:$I$88,3,0)*0.475*44/12</f>
        <v>#REF!</v>
      </c>
      <c r="HI55" s="142" t="str">
        <f>EXP(-LN(2)/2)*HI54+(1-EXP(-LN(2)/2))/(LN(2)/2)*HC55*HF55*VLOOKUP('Données projet (1)'!$B$18,'Paramètres (1)'!$A$1:$I$88,3,0)*0.475*44/12</f>
        <v>#REF!</v>
      </c>
      <c r="HJ55" s="143" t="str">
        <f t="shared" si="105"/>
        <v>#REF!</v>
      </c>
    </row>
    <row r="56" ht="14.25" customHeight="1">
      <c r="A56" s="125">
        <f t="shared" si="106"/>
        <v>53</v>
      </c>
      <c r="B56" s="126" t="str">
        <f t="shared" si="1"/>
        <v>#REF!</v>
      </c>
      <c r="C56" s="140" t="str">
        <f>'Calculateur (1)'!C55+'Scénario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6" s="127">
        <f t="shared" si="107"/>
        <v>0</v>
      </c>
      <c r="E56" s="127" t="str">
        <f t="shared" si="2"/>
        <v>#REF!</v>
      </c>
      <c r="F56" s="127" t="str">
        <f t="shared" si="3"/>
        <v>#REF!</v>
      </c>
      <c r="G56" s="127" t="str">
        <f t="shared" si="4"/>
        <v>#REF!</v>
      </c>
      <c r="H56" s="128" t="str">
        <f t="shared" si="5"/>
        <v>#REF!</v>
      </c>
      <c r="I56" s="129" t="str">
        <f t="shared" si="6"/>
        <v>#REF!</v>
      </c>
      <c r="J56" s="130">
        <f t="shared" si="7"/>
        <v>10</v>
      </c>
      <c r="K56" s="131" t="str">
        <f t="shared" si="108"/>
        <v>#REF!</v>
      </c>
      <c r="L56" s="131" t="str">
        <f t="shared" si="8"/>
        <v>#REF!</v>
      </c>
      <c r="M56" s="131" t="str">
        <f t="array" ref="M56">INDEX(L:L,MIN(IF(ISNUMBER(L56:L252),ROW(L56:L252),"")))</f>
        <v/>
      </c>
      <c r="N56" s="130" t="str">
        <f t="shared" si="109"/>
        <v>#REF!</v>
      </c>
      <c r="O56" s="130" t="str">
        <f>N56*VLOOKUP('Données projet (1)'!$B$9,'Paramètres (1)'!$A$1:$I$88,3,0)*VLOOKUP('Données projet (1)'!$B$9,'Paramètres (1)'!$A$1:$I$88,5,0)</f>
        <v>#REF!</v>
      </c>
      <c r="P56" s="130" t="str">
        <f t="shared" si="110"/>
        <v>#REF!</v>
      </c>
      <c r="Q56" s="141" t="str">
        <f t="shared" si="9"/>
        <v>#REF!</v>
      </c>
      <c r="R56" s="133" t="str">
        <f t="shared" si="10"/>
        <v>#REF!</v>
      </c>
      <c r="S56" s="133" t="str">
        <f t="shared" si="11"/>
        <v>#REF!</v>
      </c>
      <c r="T56" s="133" t="str">
        <f t="shared" si="111"/>
        <v>#REF!</v>
      </c>
      <c r="U56" s="134" t="str">
        <f t="shared" si="12"/>
        <v>#REF!</v>
      </c>
      <c r="V56" s="134" t="str">
        <f t="shared" si="13"/>
        <v>#REF!</v>
      </c>
      <c r="W56" s="135" t="str">
        <f>IF(ISNA(VLOOKUP(A56,'Données projet (1)'!$A$35:$I$55,5,0)),0%,VLOOKUP(A56,'Données projet (1)'!$A$35:$I$55,5,0)*VLOOKUP('Données projet (1)'!$B$9,'Paramètres (1)'!$A$1:$I$88,7,0))</f>
        <v>#REF!</v>
      </c>
      <c r="X56" s="135" t="str">
        <f>IF(ISNA(VLOOKUP(A56,'Données projet (1)'!$A$35:$I$55,6,0)),0%,VLOOKUP(A56,'Données projet (1)'!$A$35:$I$55,6,0)*VLOOKUP('Données projet (1)'!$B$9,'Paramètres (1)'!$A$1:$I$88,7,0))</f>
        <v>#REF!</v>
      </c>
      <c r="Y56" s="135" t="str">
        <f t="shared" si="14"/>
        <v>#REF!</v>
      </c>
      <c r="Z56" s="142" t="str">
        <f>EXP(-LN(2)/35)*Z55+(1-EXP(-LN(2)/35))/(LN(2)/35)*V56*W56*VLOOKUP('Données projet (1)'!$B$9,'Paramètres (1)'!$A$1:$I$88,3,0)*0.475*44/12</f>
        <v>#REF!</v>
      </c>
      <c r="AA56" s="142" t="str">
        <f>EXP(-LN(2)/25)*AA55+(1-EXP(-LN(2)/25))/(LN(2)/25)*'Calculateur (1)'!V56*'Calculateur (1)'!X56*VLOOKUP('Données projet (1)'!$B$9,'Paramètres (1)'!$A$1:$I$88,3,0)*0.475*44/12</f>
        <v>#REF!</v>
      </c>
      <c r="AB56" s="142" t="str">
        <f>EXP(-LN(2)/2)*AB55+(1-EXP(-LN(2)/2))/(LN(2)/2)*V56*Y56*VLOOKUP('Données projet (1)'!$B$9,'Paramètres (1)'!$A$1:$I$88,3,0)*0.475*44/12</f>
        <v>#REF!</v>
      </c>
      <c r="AC56" s="143" t="str">
        <f t="shared" si="15"/>
        <v>#REF!</v>
      </c>
      <c r="AD56" s="130" t="str">
        <f t="shared" si="16"/>
        <v>#REF!</v>
      </c>
      <c r="AE56" s="130">
        <f t="shared" si="17"/>
        <v>10</v>
      </c>
      <c r="AF56" s="131" t="str">
        <f t="shared" si="112"/>
        <v>#REF!</v>
      </c>
      <c r="AG56" s="131" t="str">
        <f t="shared" si="18"/>
        <v>#REF!</v>
      </c>
      <c r="AH56" s="131" t="str">
        <f t="array" ref="AH56">INDEX(AG:AG,MIN(IF(ISNUMBER(AG56:AG252),ROW(AG56:AG252),"")))</f>
        <v/>
      </c>
      <c r="AI56" s="130" t="str">
        <f t="shared" si="113"/>
        <v>#REF!</v>
      </c>
      <c r="AJ56" s="130" t="str">
        <f>AI56*VLOOKUP('Données projet (1)'!$B$10,'Paramètres (1)'!$A$1:$I$88,3,0)*VLOOKUP('Données projet (1)'!$B$10,'Paramètres (1)'!$A$1:$I$88,5,0)</f>
        <v>#REF!</v>
      </c>
      <c r="AK56" s="130" t="str">
        <f t="shared" si="114"/>
        <v>#REF!</v>
      </c>
      <c r="AL56" s="141" t="str">
        <f t="shared" si="19"/>
        <v>#REF!</v>
      </c>
      <c r="AM56" s="133" t="str">
        <f t="shared" si="20"/>
        <v>#REF!</v>
      </c>
      <c r="AN56" s="133" t="str">
        <f t="shared" si="21"/>
        <v>#REF!</v>
      </c>
      <c r="AO56" s="133" t="str">
        <f t="shared" si="115"/>
        <v>#REF!</v>
      </c>
      <c r="AP56" s="134" t="str">
        <f t="shared" si="22"/>
        <v>#REF!</v>
      </c>
      <c r="AQ56" s="134" t="str">
        <f t="shared" si="23"/>
        <v>#REF!</v>
      </c>
      <c r="AR56" s="135" t="str">
        <f>IF(ISNA(VLOOKUP(A56,'Données projet (1)'!$A$61:$I$81,5,0)),0%,VLOOKUP(A56,'Données projet (1)'!$A$61:$I$81,5,0)*VLOOKUP('Données projet (1)'!$B$10,'Paramètres (1)'!$A$1:$I$88,7,0))</f>
        <v>#REF!</v>
      </c>
      <c r="AS56" s="135" t="str">
        <f>IF(ISNA(VLOOKUP(A56,'Données projet (1)'!$A$61:$I$81,6,0)),0%,VLOOKUP(A56,'Données projet (1)'!$A$61:$I$81,6,0)*VLOOKUP('Données projet (1)'!$B$10,'Paramètres (1)'!$A$1:$I$88,7,0))</f>
        <v>#REF!</v>
      </c>
      <c r="AT56" s="135" t="str">
        <f t="shared" si="24"/>
        <v>#REF!</v>
      </c>
      <c r="AU56" s="142" t="str">
        <f>EXP(-LN(2)/35)*AU55+(1-EXP(-LN(2)/35))/(LN(2)/35)*AQ56*AR56*VLOOKUP('Données projet (1)'!$B$10,'Paramètres (1)'!$A$1:$I$88,3,0)*0.475*44/12</f>
        <v>#REF!</v>
      </c>
      <c r="AV56" s="142" t="str">
        <f>EXP(-LN(2)/25)*AV55+(1-EXP(-LN(2)/25))/(LN(2)/25)*'Calculateur (1)'!AQ56*'Calculateur (1)'!AS56*VLOOKUP('Données projet (1)'!$B$10,'Paramètres (1)'!$A$1:$I$88,3,0)*0.475*44/12</f>
        <v>#REF!</v>
      </c>
      <c r="AW56" s="142" t="str">
        <f>EXP(-LN(2)/2)*AW55+(1-EXP(-LN(2)/2))/(LN(2)/2)*AQ56*AT56*VLOOKUP('Données projet (1)'!$B$10,'Paramètres (1)'!$A$1:$I$88,3,0)*0.475*44/12</f>
        <v>#REF!</v>
      </c>
      <c r="AX56" s="142" t="str">
        <f t="shared" si="25"/>
        <v>#REF!</v>
      </c>
      <c r="AY56" s="137" t="str">
        <f t="shared" si="26"/>
        <v>#REF!</v>
      </c>
      <c r="AZ56" s="131">
        <f t="shared" si="27"/>
        <v>10</v>
      </c>
      <c r="BA56" s="131" t="str">
        <f t="shared" si="116"/>
        <v>#REF!</v>
      </c>
      <c r="BB56" s="131" t="str">
        <f t="shared" si="28"/>
        <v>#REF!</v>
      </c>
      <c r="BC56" s="131" t="str">
        <f t="array" ref="BC56">INDEX(BB:BB,MIN(IF(ISNUMBER(BB56:BB252),ROW(BB56:BB252),"")))</f>
        <v/>
      </c>
      <c r="BD56" s="131" t="str">
        <f t="shared" si="117"/>
        <v>#REF!</v>
      </c>
      <c r="BE56" s="130" t="str">
        <f>BD56*VLOOKUP('Données projet (1)'!$B$11,'Paramètres (1)'!$A$1:$I$88,3,0)*VLOOKUP('Données projet (1)'!$B$11,'Paramètres (1)'!$A$1:$I$88,5,0)</f>
        <v>#REF!</v>
      </c>
      <c r="BF56" s="130" t="str">
        <f t="shared" si="118"/>
        <v>#REF!</v>
      </c>
      <c r="BG56" s="141" t="str">
        <f t="shared" si="29"/>
        <v>#REF!</v>
      </c>
      <c r="BH56" s="133" t="str">
        <f t="shared" si="30"/>
        <v>#REF!</v>
      </c>
      <c r="BI56" s="133" t="str">
        <f t="shared" si="31"/>
        <v>#REF!</v>
      </c>
      <c r="BJ56" s="133" t="str">
        <f t="shared" si="119"/>
        <v>#REF!</v>
      </c>
      <c r="BK56" s="134" t="str">
        <f t="shared" si="32"/>
        <v>#REF!</v>
      </c>
      <c r="BL56" s="134" t="str">
        <f t="shared" si="33"/>
        <v>#REF!</v>
      </c>
      <c r="BM56" s="135" t="str">
        <f>IF(ISNA(VLOOKUP(A56,'Données projet (1)'!$A$87:$I$107,5,0)),0%,VLOOKUP(A56,'Données projet (1)'!$A$87:$I$107,5,0)*VLOOKUP('Données projet (1)'!$B$11,'Paramètres (1)'!$A$1:$I$88,7,0))</f>
        <v>#REF!</v>
      </c>
      <c r="BN56" s="135" t="str">
        <f>IF(ISNA(VLOOKUP(A56,'Données projet (1)'!$A$87:$I$107,6,0)),0%,VLOOKUP(A56,'Données projet (1)'!$A$87:$I$107,6,0)*VLOOKUP('Données projet (1)'!$B$11,'Paramètres (1)'!$A$1:$I$88,7,0))</f>
        <v>#REF!</v>
      </c>
      <c r="BO56" s="135" t="str">
        <f t="shared" si="34"/>
        <v>#REF!</v>
      </c>
      <c r="BP56" s="142" t="str">
        <f>EXP(-LN(2)/35)*BP55+(1-EXP(-LN(2)/35))/(LN(2)/35)*BL56*BM56*VLOOKUP('Données projet (1)'!$B$11,'Paramètres (1)'!$A$1:$I$88,3,0)*0.475*44/12</f>
        <v>#REF!</v>
      </c>
      <c r="BQ56" s="142" t="str">
        <f>EXP(-LN(2)/25)*BQ55+(1-EXP(-LN(2)/25))/(LN(2)/25)*'Calculateur (1)'!BL56*'Calculateur (1)'!BN56*VLOOKUP('Données projet (1)'!$B$11,'Paramètres (1)'!$A$1:$I$88,3,0)*0.475*44/12</f>
        <v>#REF!</v>
      </c>
      <c r="BR56" s="142" t="str">
        <f>EXP(-LN(2)/2)*BR55+(1-EXP(-LN(2)/2))/(LN(2)/2)*BL56*BO56*VLOOKUP('Données projet (1)'!$B$11,'Paramètres (1)'!$A$1:$I$88,3,0)*0.475*44/12</f>
        <v>#REF!</v>
      </c>
      <c r="BS56" s="143" t="str">
        <f t="shared" si="35"/>
        <v>#REF!</v>
      </c>
      <c r="BT56" s="139" t="str">
        <f t="shared" si="36"/>
        <v>#REF!</v>
      </c>
      <c r="BU56" s="131">
        <f t="shared" si="37"/>
        <v>10</v>
      </c>
      <c r="BV56" s="131" t="str">
        <f t="shared" si="120"/>
        <v>#REF!</v>
      </c>
      <c r="BW56" s="131" t="str">
        <f t="shared" si="38"/>
        <v>#REF!</v>
      </c>
      <c r="BX56" s="131" t="str">
        <f t="array" ref="BX56">INDEX(BW:BW,MIN(IF(ISNUMBER(BW56:BW252),ROW(BW56:BW252),"")))</f>
        <v/>
      </c>
      <c r="BY56" s="131" t="str">
        <f t="shared" si="121"/>
        <v>#REF!</v>
      </c>
      <c r="BZ56" s="130" t="str">
        <f>BY56*VLOOKUP('Données projet (1)'!$B$12,'Paramètres (1)'!$A$1:$I$88,3,0)*VLOOKUP('Données projet (1)'!$B$12,'Paramètres (1)'!$A$1:$I$88,5,0)</f>
        <v>#REF!</v>
      </c>
      <c r="CA56" s="130" t="str">
        <f t="shared" si="122"/>
        <v>#REF!</v>
      </c>
      <c r="CB56" s="141" t="str">
        <f t="shared" si="39"/>
        <v>#REF!</v>
      </c>
      <c r="CC56" s="133" t="str">
        <f t="shared" si="40"/>
        <v>#REF!</v>
      </c>
      <c r="CD56" s="133" t="str">
        <f t="shared" si="41"/>
        <v>#REF!</v>
      </c>
      <c r="CE56" s="133" t="str">
        <f t="shared" si="123"/>
        <v>#REF!</v>
      </c>
      <c r="CF56" s="134" t="str">
        <f t="shared" si="42"/>
        <v>#REF!</v>
      </c>
      <c r="CG56" s="134" t="str">
        <f t="shared" si="43"/>
        <v>#REF!</v>
      </c>
      <c r="CH56" s="135" t="str">
        <f>IF(ISNA(VLOOKUP(A56,'Données projet (1)'!$A$113:$I$133,5,0)),0%,VLOOKUP(A56,'Données projet (1)'!$A$113:$I$133,5,0)*VLOOKUP('Données projet (1)'!$B$12,'Paramètres (1)'!$A$1:$I$88,7,0))</f>
        <v>#REF!</v>
      </c>
      <c r="CI56" s="135" t="str">
        <f>IF(ISNA(VLOOKUP(A56,'Données projet (1)'!$A$113:$I$133,6,0)),0%,VLOOKUP(A56,'Données projet (1)'!$A$113:$I$133,6,0)*VLOOKUP('Données projet (1)'!$B$12,'Paramètres (1)'!$A$1:$I$88,7,0))</f>
        <v>#REF!</v>
      </c>
      <c r="CJ56" s="135" t="str">
        <f t="shared" si="44"/>
        <v>#REF!</v>
      </c>
      <c r="CK56" s="142" t="str">
        <f>EXP(-LN(2)/35)*CK55+(1-EXP(-LN(2)/35))/(LN(2)/35)*CG56*CH56*VLOOKUP('Données projet (1)'!$B$12,'Paramètres (1)'!$A$1:$I$88,3,0)*0.475*44/12</f>
        <v>#REF!</v>
      </c>
      <c r="CL56" s="142" t="str">
        <f>EXP(-LN(2)/25)*CL55+(1-EXP(-LN(2)/25))/(LN(2)/25)*'Calculateur (1)'!CG56*'Calculateur (1)'!CI56*VLOOKUP('Données projet (1)'!$B$12,'Paramètres (1)'!$A$1:$I$88,3,0)*0.475*44/12</f>
        <v>#REF!</v>
      </c>
      <c r="CM56" s="142" t="str">
        <f>EXP(-LN(2)/2)*CM55+(1-EXP(-LN(2)/2))/(LN(2)/2)*CG56*CJ56*VLOOKUP('Données projet (1)'!$B$12,'Paramètres (1)'!$A$1:$I$88,3,0)*0.475*44/12</f>
        <v>#REF!</v>
      </c>
      <c r="CN56" s="143" t="str">
        <f t="shared" si="45"/>
        <v>#REF!</v>
      </c>
      <c r="CO56" s="139" t="str">
        <f t="shared" si="46"/>
        <v>#REF!</v>
      </c>
      <c r="CP56" s="131">
        <f t="shared" si="47"/>
        <v>10</v>
      </c>
      <c r="CQ56" s="131" t="str">
        <f t="shared" si="124"/>
        <v>#REF!</v>
      </c>
      <c r="CR56" s="131" t="str">
        <f t="shared" si="48"/>
        <v>#REF!</v>
      </c>
      <c r="CS56" s="131" t="str">
        <f t="array" ref="CS56">INDEX(CR:CR,MIN(IF(ISNUMBER(CR56:CR252),ROW(CR56:CR252),"")))</f>
        <v/>
      </c>
      <c r="CT56" s="131" t="str">
        <f t="shared" si="125"/>
        <v>#REF!</v>
      </c>
      <c r="CU56" s="138" t="str">
        <f>CT56*VLOOKUP('Données projet (1)'!$B$13,'Paramètres (1)'!$A$1:$I$88,3,0)*VLOOKUP('Données projet (1)'!$B$13,'Paramètres (1)'!$A$1:$I$88,5,0)</f>
        <v>#REF!</v>
      </c>
      <c r="CV56" s="130" t="str">
        <f t="shared" si="126"/>
        <v>#REF!</v>
      </c>
      <c r="CW56" s="141" t="str">
        <f t="shared" si="49"/>
        <v>#REF!</v>
      </c>
      <c r="CX56" s="133" t="str">
        <f t="shared" si="50"/>
        <v>#REF!</v>
      </c>
      <c r="CY56" s="133" t="str">
        <f t="shared" si="51"/>
        <v>#REF!</v>
      </c>
      <c r="CZ56" s="133" t="str">
        <f t="shared" si="127"/>
        <v>#REF!</v>
      </c>
      <c r="DA56" s="134" t="str">
        <f t="shared" si="52"/>
        <v>#REF!</v>
      </c>
      <c r="DB56" s="134" t="str">
        <f t="shared" si="53"/>
        <v>#REF!</v>
      </c>
      <c r="DC56" s="135" t="str">
        <f>IF(ISNA(VLOOKUP(A56,'Données projet (1)'!$A$139:$I$159,5,0)),0%,VLOOKUP(A56,'Données projet (1)'!$A$139:$I$159,5,0)*VLOOKUP('Données projet (1)'!$B$13,'Paramètres (1)'!$A$1:$I$88,7,0))</f>
        <v>#REF!</v>
      </c>
      <c r="DD56" s="135" t="str">
        <f>IF(ISNA(VLOOKUP(A56,'Données projet (1)'!$A$139:$I$159,6,0)),0%,VLOOKUP(A56,'Données projet (1)'!$A$139:$I$159,6,0)*VLOOKUP('Données projet (1)'!$B$13,'Paramètres (1)'!$A$1:$I$88,7,0))</f>
        <v>#REF!</v>
      </c>
      <c r="DE56" s="135" t="str">
        <f t="shared" si="54"/>
        <v>#REF!</v>
      </c>
      <c r="DF56" s="142" t="str">
        <f>EXP(-LN(2)/35)*DF55+(1-EXP(-LN(2)/35))/(LN(2)/35)*DB56*DC56*VLOOKUP('Données projet (1)'!$B$13,'Paramètres (1)'!$A$1:$I$88,3,0)*0.475*44/12</f>
        <v>#REF!</v>
      </c>
      <c r="DG56" s="142" t="str">
        <f>EXP(-LN(2)/25)*DG55+(1-EXP(-LN(2)/25))/(LN(2)/25)*'Calculateur (1)'!DB56*'Calculateur (1)'!DD56*VLOOKUP('Données projet (1)'!$B$13,'Paramètres (1)'!$A$1:$I$88,3,0)*0.475*44/12</f>
        <v>#REF!</v>
      </c>
      <c r="DH56" s="142" t="str">
        <f>EXP(-LN(2)/2)*DH55+(1-EXP(-LN(2)/2))/(LN(2)/2)*DB56*DE56*VLOOKUP('Données projet (1)'!$B$13,'Paramètres (1)'!$A$1:$I$88,3,0)*0.475*44/12</f>
        <v>#REF!</v>
      </c>
      <c r="DI56" s="143" t="str">
        <f t="shared" si="55"/>
        <v>#REF!</v>
      </c>
      <c r="DJ56" s="139" t="str">
        <f t="shared" si="56"/>
        <v>#REF!</v>
      </c>
      <c r="DK56" s="131">
        <f t="shared" si="57"/>
        <v>10</v>
      </c>
      <c r="DL56" s="131" t="str">
        <f t="shared" si="128"/>
        <v>#REF!</v>
      </c>
      <c r="DM56" s="131" t="str">
        <f t="shared" si="58"/>
        <v>#REF!</v>
      </c>
      <c r="DN56" s="131" t="str">
        <f t="array" ref="DN56">INDEX(DM:DM,MIN(IF(ISNUMBER(DM56:DM252),ROW(DM56:DM252),"")))</f>
        <v/>
      </c>
      <c r="DO56" s="131" t="str">
        <f t="shared" si="129"/>
        <v>#REF!</v>
      </c>
      <c r="DP56" s="138" t="str">
        <f>DO56*VLOOKUP('Données projet (1)'!$B$14,'Paramètres (1)'!$A$1:$I$88,3,0)*VLOOKUP('Données projet (1)'!$B$14,'Paramètres (1)'!$A$1:$I$88,5,0)</f>
        <v>#REF!</v>
      </c>
      <c r="DQ56" s="130" t="str">
        <f t="shared" si="130"/>
        <v>#REF!</v>
      </c>
      <c r="DR56" s="141" t="str">
        <f t="shared" si="59"/>
        <v>#REF!</v>
      </c>
      <c r="DS56" s="133" t="str">
        <f t="shared" si="60"/>
        <v>#REF!</v>
      </c>
      <c r="DT56" s="133" t="str">
        <f t="shared" si="61"/>
        <v>#REF!</v>
      </c>
      <c r="DU56" s="133" t="str">
        <f t="shared" si="131"/>
        <v>#REF!</v>
      </c>
      <c r="DV56" s="134" t="str">
        <f t="shared" si="62"/>
        <v>#REF!</v>
      </c>
      <c r="DW56" s="134" t="str">
        <f t="shared" si="63"/>
        <v>#REF!</v>
      </c>
      <c r="DX56" s="135" t="str">
        <f>IF(ISNA(VLOOKUP(A56,'Données projet (1)'!$A$165:$I$185,5,0)),0%,VLOOKUP(A56,'Données projet (1)'!$A$165:$I$185,5,0)*VLOOKUP('Données projet (1)'!$B$14,'Paramètres (1)'!$A$1:$I$88,7,0))</f>
        <v>#REF!</v>
      </c>
      <c r="DY56" s="135" t="str">
        <f>IF(ISNA(VLOOKUP(A56,'Données projet (1)'!$A$165:$I$185,6,0)),0%,VLOOKUP(A56,'Données projet (1)'!$A$165:$I$185,6,0)*VLOOKUP('Données projet (1)'!$B$14,'Paramètres (1)'!$A$1:$I$88,7,0))</f>
        <v>#REF!</v>
      </c>
      <c r="DZ56" s="135" t="str">
        <f t="shared" si="64"/>
        <v>#REF!</v>
      </c>
      <c r="EA56" s="142" t="str">
        <f>EXP(-LN(2)/35)*EA55+(1-EXP(-LN(2)/35))/(LN(2)/35)*DW56*DX56*VLOOKUP('Données projet (1)'!$B$14,'Paramètres (1)'!$A$1:$I$88,3,0)*0.475*44/12</f>
        <v>#REF!</v>
      </c>
      <c r="EB56" s="142" t="str">
        <f>EXP(-LN(2)/25)*EB55+(1-EXP(-LN(2)/25))/(LN(2)/25)*'Calculateur (1)'!DW56*'Calculateur (1)'!DY56*VLOOKUP('Données projet (1)'!$B$14,'Paramètres (1)'!$A$1:$I$88,3,0)*0.475*44/12</f>
        <v>#REF!</v>
      </c>
      <c r="EC56" s="142" t="str">
        <f>EXP(-LN(2)/2)*EC55+(1-EXP(-LN(2)/2))/(LN(2)/2)*DW56*DZ56*VLOOKUP('Données projet (1)'!$B$14,'Paramètres (1)'!$A$1:$I$88,3,0)*0.475*44/12</f>
        <v>#REF!</v>
      </c>
      <c r="ED56" s="143" t="str">
        <f t="shared" si="65"/>
        <v>#REF!</v>
      </c>
      <c r="EE56" s="139" t="str">
        <f t="shared" si="66"/>
        <v>#REF!</v>
      </c>
      <c r="EF56" s="131">
        <f t="shared" si="67"/>
        <v>10</v>
      </c>
      <c r="EG56" s="131" t="str">
        <f t="shared" si="132"/>
        <v>#REF!</v>
      </c>
      <c r="EH56" s="131" t="str">
        <f t="shared" si="68"/>
        <v>#REF!</v>
      </c>
      <c r="EI56" s="131" t="str">
        <f t="array" ref="EI56">INDEX(EH:EH,MIN(IF(ISNUMBER(EH56:EH252),ROW(EH56:EH252),"")))</f>
        <v/>
      </c>
      <c r="EJ56" s="131" t="str">
        <f t="shared" si="133"/>
        <v>#REF!</v>
      </c>
      <c r="EK56" s="138" t="str">
        <f>EJ56*VLOOKUP('Données projet (1)'!$B$15,'Paramètres (1)'!$A$1:$I$88,3,0)*VLOOKUP('Données projet (1)'!$B$15,'Paramètres (1)'!$A$1:$I$88,5,0)</f>
        <v>#REF!</v>
      </c>
      <c r="EL56" s="130" t="str">
        <f t="shared" si="134"/>
        <v>#REF!</v>
      </c>
      <c r="EM56" s="141" t="str">
        <f t="shared" si="69"/>
        <v>#REF!</v>
      </c>
      <c r="EN56" s="133" t="str">
        <f t="shared" si="70"/>
        <v>#REF!</v>
      </c>
      <c r="EO56" s="133" t="str">
        <f t="shared" si="71"/>
        <v>#REF!</v>
      </c>
      <c r="EP56" s="133" t="str">
        <f t="shared" si="135"/>
        <v>#REF!</v>
      </c>
      <c r="EQ56" s="134" t="str">
        <f t="shared" si="72"/>
        <v>#REF!</v>
      </c>
      <c r="ER56" s="134" t="str">
        <f t="shared" si="73"/>
        <v>#REF!</v>
      </c>
      <c r="ES56" s="135" t="str">
        <f>IF(ISNA(VLOOKUP(A56,'Données projet (1)'!$A$191:$I$211,5,0)),0%,VLOOKUP(A56,'Données projet (1)'!$A$191:$I$211,5,0)*VLOOKUP('Données projet (1)'!$B$15,'Paramètres (1)'!$A$1:$I$88,7,0))</f>
        <v>#REF!</v>
      </c>
      <c r="ET56" s="135" t="str">
        <f>IF(ISNA(VLOOKUP(A56,'Données projet (1)'!$A$191:$I$211,6,0)),0%,VLOOKUP(A56,'Données projet (1)'!$A$191:$I$211,6,0)*VLOOKUP('Données projet (1)'!$B$15,'Paramètres (1)'!$A$1:$I$88,7,0))</f>
        <v>#REF!</v>
      </c>
      <c r="EU56" s="135" t="str">
        <f t="shared" si="74"/>
        <v>#REF!</v>
      </c>
      <c r="EV56" s="142" t="str">
        <f>EXP(-LN(2)/35)*EV55+(1-EXP(-LN(2)/35))/(LN(2)/35)*ER56*ES56*VLOOKUP('Données projet (1)'!$B$15,'Paramètres (1)'!$A$1:$I$88,3,0)*0.475*44/12</f>
        <v>#REF!</v>
      </c>
      <c r="EW56" s="142" t="str">
        <f>EXP(-LN(2)/25)*EW55+(1-EXP(-LN(2)/25))/(LN(2)/25)*'Calculateur (1)'!ER56*'Calculateur (1)'!ET56*VLOOKUP('Données projet (1)'!$B$15,'Paramètres (1)'!$A$1:$I$88,3,0)*0.475*44/12</f>
        <v>#REF!</v>
      </c>
      <c r="EX56" s="142" t="str">
        <f>EXP(-LN(2)/2)*EX55+(1-EXP(-LN(2)/2))/(LN(2)/2)*ER56*EU56*VLOOKUP('Données projet (1)'!$B$15,'Paramètres (1)'!$A$1:$I$88,3,0)*0.475*44/12</f>
        <v>#REF!</v>
      </c>
      <c r="EY56" s="143" t="str">
        <f t="shared" si="75"/>
        <v>#REF!</v>
      </c>
      <c r="EZ56" s="139" t="str">
        <f t="shared" si="76"/>
        <v>#REF!</v>
      </c>
      <c r="FA56" s="131">
        <f t="shared" si="77"/>
        <v>10</v>
      </c>
      <c r="FB56" s="131" t="str">
        <f t="shared" si="136"/>
        <v>#REF!</v>
      </c>
      <c r="FC56" s="131" t="str">
        <f t="shared" si="78"/>
        <v>#REF!</v>
      </c>
      <c r="FD56" s="131" t="str">
        <f t="array" ref="FD56">INDEX(FC:FC,MIN(IF(ISNUMBER(FC56:FC252),ROW(FC56:FC252),"")))</f>
        <v/>
      </c>
      <c r="FE56" s="131" t="str">
        <f t="shared" si="137"/>
        <v>#REF!</v>
      </c>
      <c r="FF56" s="138" t="str">
        <f>FE56*VLOOKUP('Données projet (1)'!$B$16,'Paramètres (1)'!$A$1:$I$88,3,0)*VLOOKUP('Données projet (1)'!$B$16,'Paramètres (1)'!$A$1:$I$88,5,0)</f>
        <v>#REF!</v>
      </c>
      <c r="FG56" s="130" t="str">
        <f t="shared" si="138"/>
        <v>#REF!</v>
      </c>
      <c r="FH56" s="141" t="str">
        <f t="shared" si="79"/>
        <v>#REF!</v>
      </c>
      <c r="FI56" s="133" t="str">
        <f t="shared" si="80"/>
        <v>#REF!</v>
      </c>
      <c r="FJ56" s="133" t="str">
        <f t="shared" si="81"/>
        <v>#REF!</v>
      </c>
      <c r="FK56" s="133" t="str">
        <f t="shared" si="139"/>
        <v>#REF!</v>
      </c>
      <c r="FL56" s="134" t="str">
        <f t="shared" si="82"/>
        <v>#REF!</v>
      </c>
      <c r="FM56" s="134" t="str">
        <f t="shared" si="83"/>
        <v>#REF!</v>
      </c>
      <c r="FN56" s="135" t="str">
        <f>IF(ISNA(VLOOKUP(A56,'Données projet (1)'!$A$217:$I$237,5,0)),0%,VLOOKUP(A56,'Données projet (1)'!$A$217:$I$237,5,0)*VLOOKUP('Données projet (1)'!$B$16,'Paramètres (1)'!$A$1:$I$88,7,0))</f>
        <v>#REF!</v>
      </c>
      <c r="FO56" s="135" t="str">
        <f>IF(ISNA(VLOOKUP(A56,'Données projet (1)'!$A$217:$I$237,6,0)),0%,VLOOKUP(A56,'Données projet (1)'!$A$217:$I$237,6,0)*VLOOKUP('Données projet (1)'!$B$16,'Paramètres (1)'!$A$1:$I$88,7,0))</f>
        <v>#REF!</v>
      </c>
      <c r="FP56" s="135" t="str">
        <f t="shared" si="84"/>
        <v>#REF!</v>
      </c>
      <c r="FQ56" s="142" t="str">
        <f>EXP(-LN(2)/35)*FQ55+(1-EXP(-LN(2)/35))/(LN(2)/35)*FM56*FN56*VLOOKUP('Données projet (1)'!$B$16,'Paramètres (1)'!$A$1:$I$88,3,0)*0.475*44/12</f>
        <v>#REF!</v>
      </c>
      <c r="FR56" s="142" t="str">
        <f>EXP(-LN(2)/25)*FR55+(1-EXP(-LN(2)/25))/(LN(2)/25)*'Calculateur (1)'!FM56*'Calculateur (1)'!FO56*VLOOKUP('Données projet (1)'!$B$16,'Paramètres (1)'!$A$1:$I$88,3,0)*0.475*44/12</f>
        <v>#REF!</v>
      </c>
      <c r="FS56" s="142" t="str">
        <f>EXP(-LN(2)/2)*FS55+(1-EXP(-LN(2)/2))/(LN(2)/2)*FM56*FP56*VLOOKUP('Données projet (1)'!$B$16,'Paramètres (1)'!$A$1:$I$88,3,0)*0.475*44/12</f>
        <v>#REF!</v>
      </c>
      <c r="FT56" s="143" t="str">
        <f t="shared" si="85"/>
        <v>#REF!</v>
      </c>
      <c r="FU56" s="139" t="str">
        <f t="shared" si="86"/>
        <v>#REF!</v>
      </c>
      <c r="FV56" s="131">
        <f t="shared" si="87"/>
        <v>10</v>
      </c>
      <c r="FW56" s="131" t="str">
        <f t="shared" si="140"/>
        <v>#REF!</v>
      </c>
      <c r="FX56" s="131" t="str">
        <f t="shared" si="88"/>
        <v>#REF!</v>
      </c>
      <c r="FY56" s="131" t="str">
        <f t="array" ref="FY56">INDEX(FX:FX,MIN(IF(ISNUMBER(FX56:FX252),ROW(FX56:FX252),"")))</f>
        <v/>
      </c>
      <c r="FZ56" s="131" t="str">
        <f t="shared" si="141"/>
        <v>#REF!</v>
      </c>
      <c r="GA56" s="138" t="str">
        <f>FZ56*VLOOKUP('Données projet (1)'!$B$17,'Paramètres (1)'!$A$1:$I$88,3,0)*VLOOKUP('Données projet (1)'!$B$17,'Paramètres (1)'!$A$1:$I$88,5,0)</f>
        <v>#REF!</v>
      </c>
      <c r="GB56" s="130" t="str">
        <f t="shared" si="142"/>
        <v>#REF!</v>
      </c>
      <c r="GC56" s="141" t="str">
        <f t="shared" si="89"/>
        <v>#REF!</v>
      </c>
      <c r="GD56" s="133" t="str">
        <f t="shared" si="90"/>
        <v>#REF!</v>
      </c>
      <c r="GE56" s="133" t="str">
        <f t="shared" si="91"/>
        <v>#REF!</v>
      </c>
      <c r="GF56" s="133" t="str">
        <f t="shared" si="143"/>
        <v>#REF!</v>
      </c>
      <c r="GG56" s="134" t="str">
        <f t="shared" si="92"/>
        <v>#REF!</v>
      </c>
      <c r="GH56" s="134" t="str">
        <f t="shared" si="93"/>
        <v>#REF!</v>
      </c>
      <c r="GI56" s="135" t="str">
        <f>IF(ISNA(VLOOKUP(A56,'Données projet (1)'!$A$243:$I$263,5,0)),0%,VLOOKUP(A56,'Données projet (1)'!$A$243:$I$263,5,0)*VLOOKUP('Données projet (1)'!$B$17,'Paramètres (1)'!$A$1:$I$88,7,0))</f>
        <v>#REF!</v>
      </c>
      <c r="GJ56" s="135" t="str">
        <f>IF(ISNA(VLOOKUP(A56,'Données projet (1)'!$A$243:$I$263,6,0)),0%,VLOOKUP(A56,'Données projet (1)'!$A$243:$I$263,6,0)*VLOOKUP('Données projet (1)'!$B$17,'Paramètres (1)'!$A$1:$I$88,7,0))</f>
        <v>#REF!</v>
      </c>
      <c r="GK56" s="135" t="str">
        <f t="shared" si="94"/>
        <v>#REF!</v>
      </c>
      <c r="GL56" s="142" t="str">
        <f>EXP(-LN(2)/35)*GL55+(1-EXP(-LN(2)/35))/(LN(2)/35)*GH56*GI56*VLOOKUP('Données projet (1)'!$B$17,'Paramètres (1)'!$A$1:$I$88,3,0)*0.475*44/12</f>
        <v>#REF!</v>
      </c>
      <c r="GM56" s="142" t="str">
        <f>EXP(-LN(2)/25)*GM55+(1-EXP(-LN(2)/25))/(LN(2)/25)*'Calculateur (1)'!GH56*'Calculateur (1)'!GJ56*VLOOKUP('Données projet (1)'!$B$17,'Paramètres (1)'!$A$1:$I$88,3,0)*0.475*44/12</f>
        <v>#REF!</v>
      </c>
      <c r="GN56" s="142" t="str">
        <f>EXP(-LN(2)/2)*GN55+(1-EXP(-LN(2)/2))/(LN(2)/2)*GH56*GK56*VLOOKUP('Données projet (1)'!$B$17,'Paramètres (1)'!$A$1:$I$88,3,0)*0.475*44/12</f>
        <v>#REF!</v>
      </c>
      <c r="GO56" s="142" t="str">
        <f t="shared" si="95"/>
        <v>#REF!</v>
      </c>
      <c r="GP56" s="139" t="str">
        <f t="shared" si="96"/>
        <v>#REF!</v>
      </c>
      <c r="GQ56" s="131">
        <f t="shared" si="97"/>
        <v>10</v>
      </c>
      <c r="GR56" s="131" t="str">
        <f t="shared" si="144"/>
        <v>#REF!</v>
      </c>
      <c r="GS56" s="131" t="str">
        <f t="shared" si="98"/>
        <v>#REF!</v>
      </c>
      <c r="GT56" s="131" t="str">
        <f t="array" ref="GT56">INDEX(GS:GS,MIN(IF(ISNUMBER(GS56:GS252),ROW(GS56:GS252),"")))</f>
        <v/>
      </c>
      <c r="GU56" s="131" t="str">
        <f t="shared" si="145"/>
        <v>#REF!</v>
      </c>
      <c r="GV56" s="138" t="str">
        <f>GU56*VLOOKUP('Données projet (1)'!$B$18,'Paramètres (1)'!$A$1:$I$88,3,0)*VLOOKUP('Données projet (1)'!$B$18,'Paramètres (1)'!$A$1:$I$88,5,0)</f>
        <v>#REF!</v>
      </c>
      <c r="GW56" s="130" t="str">
        <f t="shared" si="146"/>
        <v>#REF!</v>
      </c>
      <c r="GX56" s="141" t="str">
        <f t="shared" si="99"/>
        <v>#REF!</v>
      </c>
      <c r="GY56" s="133" t="str">
        <f t="shared" si="100"/>
        <v>#REF!</v>
      </c>
      <c r="GZ56" s="133" t="str">
        <f t="shared" si="101"/>
        <v>#REF!</v>
      </c>
      <c r="HA56" s="133" t="str">
        <f t="shared" si="147"/>
        <v>#REF!</v>
      </c>
      <c r="HB56" s="134" t="str">
        <f t="shared" si="102"/>
        <v>#REF!</v>
      </c>
      <c r="HC56" s="134" t="str">
        <f t="shared" si="103"/>
        <v>#REF!</v>
      </c>
      <c r="HD56" s="135" t="str">
        <f>IF(ISNA(VLOOKUP(A56,'Données projet (1)'!$A$269:$I$289,5,0)),0%,VLOOKUP(A56,'Données projet (1)'!$A$269:$I$289,5,0)*VLOOKUP('Données projet (1)'!$B$18,'Paramètres (1)'!$A$1:$I$88,7,0))</f>
        <v>#REF!</v>
      </c>
      <c r="HE56" s="135" t="str">
        <f>IF(ISNA(VLOOKUP(A56,'Données projet (1)'!$A$269:$I$289,6,0)),0%,VLOOKUP(A56,'Données projet (1)'!$A$269:$I$289,6,0)*VLOOKUP('Données projet (1)'!$B$18,'Paramètres (1)'!$A$1:$I$88,7,0))</f>
        <v>#REF!</v>
      </c>
      <c r="HF56" s="135" t="str">
        <f t="shared" si="104"/>
        <v>#REF!</v>
      </c>
      <c r="HG56" s="142" t="str">
        <f>EXP(-LN(2)/35)*HG55+(1-EXP(-LN(2)/35))/(LN(2)/35)*HC56*HD56*VLOOKUP('Données projet (1)'!$B$18,'Paramètres (1)'!$A$1:$I$88,3,0)*0.475*44/12</f>
        <v>#REF!</v>
      </c>
      <c r="HH56" s="142" t="str">
        <f>EXP(-LN(2)/25)*HH55+(1-EXP(-LN(2)/25))/(LN(2)/25)*'Calculateur (1)'!HC56*'Calculateur (1)'!HE56*VLOOKUP('Données projet (1)'!$B$18,'Paramètres (1)'!$A$1:$I$88,3,0)*0.475*44/12</f>
        <v>#REF!</v>
      </c>
      <c r="HI56" s="142" t="str">
        <f>EXP(-LN(2)/2)*HI55+(1-EXP(-LN(2)/2))/(LN(2)/2)*HC56*HF56*VLOOKUP('Données projet (1)'!$B$18,'Paramètres (1)'!$A$1:$I$88,3,0)*0.475*44/12</f>
        <v>#REF!</v>
      </c>
      <c r="HJ56" s="143" t="str">
        <f t="shared" si="105"/>
        <v>#REF!</v>
      </c>
    </row>
    <row r="57" ht="14.25" customHeight="1">
      <c r="A57" s="125">
        <f t="shared" si="106"/>
        <v>54</v>
      </c>
      <c r="B57" s="126" t="str">
        <f t="shared" si="1"/>
        <v>#REF!</v>
      </c>
      <c r="C57" s="140" t="str">
        <f>'Calculateur (1)'!C56+'Scénario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7" s="127">
        <f t="shared" si="107"/>
        <v>0</v>
      </c>
      <c r="E57" s="127" t="str">
        <f t="shared" si="2"/>
        <v>#REF!</v>
      </c>
      <c r="F57" s="127" t="str">
        <f t="shared" si="3"/>
        <v>#REF!</v>
      </c>
      <c r="G57" s="127" t="str">
        <f t="shared" si="4"/>
        <v>#REF!</v>
      </c>
      <c r="H57" s="128" t="str">
        <f t="shared" si="5"/>
        <v>#REF!</v>
      </c>
      <c r="I57" s="129" t="str">
        <f t="shared" si="6"/>
        <v>#REF!</v>
      </c>
      <c r="J57" s="130">
        <f t="shared" si="7"/>
        <v>10</v>
      </c>
      <c r="K57" s="131" t="str">
        <f t="shared" si="108"/>
        <v>#REF!</v>
      </c>
      <c r="L57" s="131" t="str">
        <f t="shared" si="8"/>
        <v>#REF!</v>
      </c>
      <c r="M57" s="131" t="str">
        <f t="array" ref="M57">INDEX(L:L,MIN(IF(ISNUMBER(L57:L253),ROW(L57:L253),"")))</f>
        <v/>
      </c>
      <c r="N57" s="130" t="str">
        <f t="shared" si="109"/>
        <v>#REF!</v>
      </c>
      <c r="O57" s="130" t="str">
        <f>N57*VLOOKUP('Données projet (1)'!$B$9,'Paramètres (1)'!$A$1:$I$88,3,0)*VLOOKUP('Données projet (1)'!$B$9,'Paramètres (1)'!$A$1:$I$88,5,0)</f>
        <v>#REF!</v>
      </c>
      <c r="P57" s="130" t="str">
        <f t="shared" si="110"/>
        <v>#REF!</v>
      </c>
      <c r="Q57" s="141" t="str">
        <f t="shared" si="9"/>
        <v>#REF!</v>
      </c>
      <c r="R57" s="133" t="str">
        <f t="shared" si="10"/>
        <v>#REF!</v>
      </c>
      <c r="S57" s="133" t="str">
        <f t="shared" si="11"/>
        <v>#REF!</v>
      </c>
      <c r="T57" s="133" t="str">
        <f t="shared" si="111"/>
        <v>#REF!</v>
      </c>
      <c r="U57" s="134" t="str">
        <f t="shared" si="12"/>
        <v>#REF!</v>
      </c>
      <c r="V57" s="134" t="str">
        <f t="shared" si="13"/>
        <v>#REF!</v>
      </c>
      <c r="W57" s="135" t="str">
        <f>IF(ISNA(VLOOKUP(A57,'Données projet (1)'!$A$35:$I$55,5,0)),0%,VLOOKUP(A57,'Données projet (1)'!$A$35:$I$55,5,0)*VLOOKUP('Données projet (1)'!$B$9,'Paramètres (1)'!$A$1:$I$88,7,0))</f>
        <v>#REF!</v>
      </c>
      <c r="X57" s="135" t="str">
        <f>IF(ISNA(VLOOKUP(A57,'Données projet (1)'!$A$35:$I$55,6,0)),0%,VLOOKUP(A57,'Données projet (1)'!$A$35:$I$55,6,0)*VLOOKUP('Données projet (1)'!$B$9,'Paramètres (1)'!$A$1:$I$88,7,0))</f>
        <v>#REF!</v>
      </c>
      <c r="Y57" s="135" t="str">
        <f t="shared" si="14"/>
        <v>#REF!</v>
      </c>
      <c r="Z57" s="142" t="str">
        <f>EXP(-LN(2)/35)*Z56+(1-EXP(-LN(2)/35))/(LN(2)/35)*V57*W57*VLOOKUP('Données projet (1)'!$B$9,'Paramètres (1)'!$A$1:$I$88,3,0)*0.475*44/12</f>
        <v>#REF!</v>
      </c>
      <c r="AA57" s="142" t="str">
        <f>EXP(-LN(2)/25)*AA56+(1-EXP(-LN(2)/25))/(LN(2)/25)*'Calculateur (1)'!V57*'Calculateur (1)'!X57*VLOOKUP('Données projet (1)'!$B$9,'Paramètres (1)'!$A$1:$I$88,3,0)*0.475*44/12</f>
        <v>#REF!</v>
      </c>
      <c r="AB57" s="142" t="str">
        <f>EXP(-LN(2)/2)*AB56+(1-EXP(-LN(2)/2))/(LN(2)/2)*V57*Y57*VLOOKUP('Données projet (1)'!$B$9,'Paramètres (1)'!$A$1:$I$88,3,0)*0.475*44/12</f>
        <v>#REF!</v>
      </c>
      <c r="AC57" s="143" t="str">
        <f t="shared" si="15"/>
        <v>#REF!</v>
      </c>
      <c r="AD57" s="130" t="str">
        <f t="shared" si="16"/>
        <v>#REF!</v>
      </c>
      <c r="AE57" s="130">
        <f t="shared" si="17"/>
        <v>10</v>
      </c>
      <c r="AF57" s="131" t="str">
        <f t="shared" si="112"/>
        <v>#REF!</v>
      </c>
      <c r="AG57" s="131" t="str">
        <f t="shared" si="18"/>
        <v>#REF!</v>
      </c>
      <c r="AH57" s="131" t="str">
        <f t="array" ref="AH57">INDEX(AG:AG,MIN(IF(ISNUMBER(AG57:AG253),ROW(AG57:AG253),"")))</f>
        <v/>
      </c>
      <c r="AI57" s="130" t="str">
        <f t="shared" si="113"/>
        <v>#REF!</v>
      </c>
      <c r="AJ57" s="130" t="str">
        <f>AI57*VLOOKUP('Données projet (1)'!$B$10,'Paramètres (1)'!$A$1:$I$88,3,0)*VLOOKUP('Données projet (1)'!$B$10,'Paramètres (1)'!$A$1:$I$88,5,0)</f>
        <v>#REF!</v>
      </c>
      <c r="AK57" s="130" t="str">
        <f t="shared" si="114"/>
        <v>#REF!</v>
      </c>
      <c r="AL57" s="141" t="str">
        <f t="shared" si="19"/>
        <v>#REF!</v>
      </c>
      <c r="AM57" s="133" t="str">
        <f t="shared" si="20"/>
        <v>#REF!</v>
      </c>
      <c r="AN57" s="133" t="str">
        <f t="shared" si="21"/>
        <v>#REF!</v>
      </c>
      <c r="AO57" s="133" t="str">
        <f t="shared" si="115"/>
        <v>#REF!</v>
      </c>
      <c r="AP57" s="134" t="str">
        <f t="shared" si="22"/>
        <v>#REF!</v>
      </c>
      <c r="AQ57" s="134" t="str">
        <f t="shared" si="23"/>
        <v>#REF!</v>
      </c>
      <c r="AR57" s="135" t="str">
        <f>IF(ISNA(VLOOKUP(A57,'Données projet (1)'!$A$61:$I$81,5,0)),0%,VLOOKUP(A57,'Données projet (1)'!$A$61:$I$81,5,0)*VLOOKUP('Données projet (1)'!$B$10,'Paramètres (1)'!$A$1:$I$88,7,0))</f>
        <v>#REF!</v>
      </c>
      <c r="AS57" s="135" t="str">
        <f>IF(ISNA(VLOOKUP(A57,'Données projet (1)'!$A$61:$I$81,6,0)),0%,VLOOKUP(A57,'Données projet (1)'!$A$61:$I$81,6,0)*VLOOKUP('Données projet (1)'!$B$10,'Paramètres (1)'!$A$1:$I$88,7,0))</f>
        <v>#REF!</v>
      </c>
      <c r="AT57" s="135" t="str">
        <f t="shared" si="24"/>
        <v>#REF!</v>
      </c>
      <c r="AU57" s="142" t="str">
        <f>EXP(-LN(2)/35)*AU56+(1-EXP(-LN(2)/35))/(LN(2)/35)*AQ57*AR57*VLOOKUP('Données projet (1)'!$B$10,'Paramètres (1)'!$A$1:$I$88,3,0)*0.475*44/12</f>
        <v>#REF!</v>
      </c>
      <c r="AV57" s="142" t="str">
        <f>EXP(-LN(2)/25)*AV56+(1-EXP(-LN(2)/25))/(LN(2)/25)*'Calculateur (1)'!AQ57*'Calculateur (1)'!AS57*VLOOKUP('Données projet (1)'!$B$10,'Paramètres (1)'!$A$1:$I$88,3,0)*0.475*44/12</f>
        <v>#REF!</v>
      </c>
      <c r="AW57" s="142" t="str">
        <f>EXP(-LN(2)/2)*AW56+(1-EXP(-LN(2)/2))/(LN(2)/2)*AQ57*AT57*VLOOKUP('Données projet (1)'!$B$10,'Paramètres (1)'!$A$1:$I$88,3,0)*0.475*44/12</f>
        <v>#REF!</v>
      </c>
      <c r="AX57" s="142" t="str">
        <f t="shared" si="25"/>
        <v>#REF!</v>
      </c>
      <c r="AY57" s="137" t="str">
        <f t="shared" si="26"/>
        <v>#REF!</v>
      </c>
      <c r="AZ57" s="131">
        <f t="shared" si="27"/>
        <v>10</v>
      </c>
      <c r="BA57" s="131" t="str">
        <f t="shared" si="116"/>
        <v>#REF!</v>
      </c>
      <c r="BB57" s="131" t="str">
        <f t="shared" si="28"/>
        <v>#REF!</v>
      </c>
      <c r="BC57" s="131" t="str">
        <f t="array" ref="BC57">INDEX(BB:BB,MIN(IF(ISNUMBER(BB57:BB253),ROW(BB57:BB253),"")))</f>
        <v/>
      </c>
      <c r="BD57" s="131" t="str">
        <f t="shared" si="117"/>
        <v>#REF!</v>
      </c>
      <c r="BE57" s="130" t="str">
        <f>BD57*VLOOKUP('Données projet (1)'!$B$11,'Paramètres (1)'!$A$1:$I$88,3,0)*VLOOKUP('Données projet (1)'!$B$11,'Paramètres (1)'!$A$1:$I$88,5,0)</f>
        <v>#REF!</v>
      </c>
      <c r="BF57" s="130" t="str">
        <f t="shared" si="118"/>
        <v>#REF!</v>
      </c>
      <c r="BG57" s="141" t="str">
        <f t="shared" si="29"/>
        <v>#REF!</v>
      </c>
      <c r="BH57" s="133" t="str">
        <f t="shared" si="30"/>
        <v>#REF!</v>
      </c>
      <c r="BI57" s="133" t="str">
        <f t="shared" si="31"/>
        <v>#REF!</v>
      </c>
      <c r="BJ57" s="133" t="str">
        <f t="shared" si="119"/>
        <v>#REF!</v>
      </c>
      <c r="BK57" s="134" t="str">
        <f t="shared" si="32"/>
        <v>#REF!</v>
      </c>
      <c r="BL57" s="134" t="str">
        <f t="shared" si="33"/>
        <v>#REF!</v>
      </c>
      <c r="BM57" s="135" t="str">
        <f>IF(ISNA(VLOOKUP(A57,'Données projet (1)'!$A$87:$I$107,5,0)),0%,VLOOKUP(A57,'Données projet (1)'!$A$87:$I$107,5,0)*VLOOKUP('Données projet (1)'!$B$11,'Paramètres (1)'!$A$1:$I$88,7,0))</f>
        <v>#REF!</v>
      </c>
      <c r="BN57" s="135" t="str">
        <f>IF(ISNA(VLOOKUP(A57,'Données projet (1)'!$A$87:$I$107,6,0)),0%,VLOOKUP(A57,'Données projet (1)'!$A$87:$I$107,6,0)*VLOOKUP('Données projet (1)'!$B$11,'Paramètres (1)'!$A$1:$I$88,7,0))</f>
        <v>#REF!</v>
      </c>
      <c r="BO57" s="135" t="str">
        <f t="shared" si="34"/>
        <v>#REF!</v>
      </c>
      <c r="BP57" s="142" t="str">
        <f>EXP(-LN(2)/35)*BP56+(1-EXP(-LN(2)/35))/(LN(2)/35)*BL57*BM57*VLOOKUP('Données projet (1)'!$B$11,'Paramètres (1)'!$A$1:$I$88,3,0)*0.475*44/12</f>
        <v>#REF!</v>
      </c>
      <c r="BQ57" s="142" t="str">
        <f>EXP(-LN(2)/25)*BQ56+(1-EXP(-LN(2)/25))/(LN(2)/25)*'Calculateur (1)'!BL57*'Calculateur (1)'!BN57*VLOOKUP('Données projet (1)'!$B$11,'Paramètres (1)'!$A$1:$I$88,3,0)*0.475*44/12</f>
        <v>#REF!</v>
      </c>
      <c r="BR57" s="142" t="str">
        <f>EXP(-LN(2)/2)*BR56+(1-EXP(-LN(2)/2))/(LN(2)/2)*BL57*BO57*VLOOKUP('Données projet (1)'!$B$11,'Paramètres (1)'!$A$1:$I$88,3,0)*0.475*44/12</f>
        <v>#REF!</v>
      </c>
      <c r="BS57" s="143" t="str">
        <f t="shared" si="35"/>
        <v>#REF!</v>
      </c>
      <c r="BT57" s="139" t="str">
        <f t="shared" si="36"/>
        <v>#REF!</v>
      </c>
      <c r="BU57" s="131">
        <f t="shared" si="37"/>
        <v>10</v>
      </c>
      <c r="BV57" s="131" t="str">
        <f t="shared" si="120"/>
        <v>#REF!</v>
      </c>
      <c r="BW57" s="131" t="str">
        <f t="shared" si="38"/>
        <v>#REF!</v>
      </c>
      <c r="BX57" s="131" t="str">
        <f t="array" ref="BX57">INDEX(BW:BW,MIN(IF(ISNUMBER(BW57:BW253),ROW(BW57:BW253),"")))</f>
        <v/>
      </c>
      <c r="BY57" s="131" t="str">
        <f t="shared" si="121"/>
        <v>#REF!</v>
      </c>
      <c r="BZ57" s="130" t="str">
        <f>BY57*VLOOKUP('Données projet (1)'!$B$12,'Paramètres (1)'!$A$1:$I$88,3,0)*VLOOKUP('Données projet (1)'!$B$12,'Paramètres (1)'!$A$1:$I$88,5,0)</f>
        <v>#REF!</v>
      </c>
      <c r="CA57" s="130" t="str">
        <f t="shared" si="122"/>
        <v>#REF!</v>
      </c>
      <c r="CB57" s="141" t="str">
        <f t="shared" si="39"/>
        <v>#REF!</v>
      </c>
      <c r="CC57" s="133" t="str">
        <f t="shared" si="40"/>
        <v>#REF!</v>
      </c>
      <c r="CD57" s="133" t="str">
        <f t="shared" si="41"/>
        <v>#REF!</v>
      </c>
      <c r="CE57" s="133" t="str">
        <f t="shared" si="123"/>
        <v>#REF!</v>
      </c>
      <c r="CF57" s="134" t="str">
        <f t="shared" si="42"/>
        <v>#REF!</v>
      </c>
      <c r="CG57" s="134" t="str">
        <f t="shared" si="43"/>
        <v>#REF!</v>
      </c>
      <c r="CH57" s="135" t="str">
        <f>IF(ISNA(VLOOKUP(A57,'Données projet (1)'!$A$113:$I$133,5,0)),0%,VLOOKUP(A57,'Données projet (1)'!$A$113:$I$133,5,0)*VLOOKUP('Données projet (1)'!$B$12,'Paramètres (1)'!$A$1:$I$88,7,0))</f>
        <v>#REF!</v>
      </c>
      <c r="CI57" s="135" t="str">
        <f>IF(ISNA(VLOOKUP(A57,'Données projet (1)'!$A$113:$I$133,6,0)),0%,VLOOKUP(A57,'Données projet (1)'!$A$113:$I$133,6,0)*VLOOKUP('Données projet (1)'!$B$12,'Paramètres (1)'!$A$1:$I$88,7,0))</f>
        <v>#REF!</v>
      </c>
      <c r="CJ57" s="135" t="str">
        <f t="shared" si="44"/>
        <v>#REF!</v>
      </c>
      <c r="CK57" s="142" t="str">
        <f>EXP(-LN(2)/35)*CK56+(1-EXP(-LN(2)/35))/(LN(2)/35)*CG57*CH57*VLOOKUP('Données projet (1)'!$B$12,'Paramètres (1)'!$A$1:$I$88,3,0)*0.475*44/12</f>
        <v>#REF!</v>
      </c>
      <c r="CL57" s="142" t="str">
        <f>EXP(-LN(2)/25)*CL56+(1-EXP(-LN(2)/25))/(LN(2)/25)*'Calculateur (1)'!CG57*'Calculateur (1)'!CI57*VLOOKUP('Données projet (1)'!$B$12,'Paramètres (1)'!$A$1:$I$88,3,0)*0.475*44/12</f>
        <v>#REF!</v>
      </c>
      <c r="CM57" s="142" t="str">
        <f>EXP(-LN(2)/2)*CM56+(1-EXP(-LN(2)/2))/(LN(2)/2)*CG57*CJ57*VLOOKUP('Données projet (1)'!$B$12,'Paramètres (1)'!$A$1:$I$88,3,0)*0.475*44/12</f>
        <v>#REF!</v>
      </c>
      <c r="CN57" s="143" t="str">
        <f t="shared" si="45"/>
        <v>#REF!</v>
      </c>
      <c r="CO57" s="139" t="str">
        <f t="shared" si="46"/>
        <v>#REF!</v>
      </c>
      <c r="CP57" s="131">
        <f t="shared" si="47"/>
        <v>10</v>
      </c>
      <c r="CQ57" s="131" t="str">
        <f t="shared" si="124"/>
        <v>#REF!</v>
      </c>
      <c r="CR57" s="131" t="str">
        <f t="shared" si="48"/>
        <v>#REF!</v>
      </c>
      <c r="CS57" s="131" t="str">
        <f t="array" ref="CS57">INDEX(CR:CR,MIN(IF(ISNUMBER(CR57:CR253),ROW(CR57:CR253),"")))</f>
        <v/>
      </c>
      <c r="CT57" s="131" t="str">
        <f t="shared" si="125"/>
        <v>#REF!</v>
      </c>
      <c r="CU57" s="138" t="str">
        <f>CT57*VLOOKUP('Données projet (1)'!$B$13,'Paramètres (1)'!$A$1:$I$88,3,0)*VLOOKUP('Données projet (1)'!$B$13,'Paramètres (1)'!$A$1:$I$88,5,0)</f>
        <v>#REF!</v>
      </c>
      <c r="CV57" s="130" t="str">
        <f t="shared" si="126"/>
        <v>#REF!</v>
      </c>
      <c r="CW57" s="141" t="str">
        <f t="shared" si="49"/>
        <v>#REF!</v>
      </c>
      <c r="CX57" s="133" t="str">
        <f t="shared" si="50"/>
        <v>#REF!</v>
      </c>
      <c r="CY57" s="133" t="str">
        <f t="shared" si="51"/>
        <v>#REF!</v>
      </c>
      <c r="CZ57" s="133" t="str">
        <f t="shared" si="127"/>
        <v>#REF!</v>
      </c>
      <c r="DA57" s="134" t="str">
        <f t="shared" si="52"/>
        <v>#REF!</v>
      </c>
      <c r="DB57" s="134" t="str">
        <f t="shared" si="53"/>
        <v>#REF!</v>
      </c>
      <c r="DC57" s="135" t="str">
        <f>IF(ISNA(VLOOKUP(A57,'Données projet (1)'!$A$139:$I$159,5,0)),0%,VLOOKUP(A57,'Données projet (1)'!$A$139:$I$159,5,0)*VLOOKUP('Données projet (1)'!$B$13,'Paramètres (1)'!$A$1:$I$88,7,0))</f>
        <v>#REF!</v>
      </c>
      <c r="DD57" s="135" t="str">
        <f>IF(ISNA(VLOOKUP(A57,'Données projet (1)'!$A$139:$I$159,6,0)),0%,VLOOKUP(A57,'Données projet (1)'!$A$139:$I$159,6,0)*VLOOKUP('Données projet (1)'!$B$13,'Paramètres (1)'!$A$1:$I$88,7,0))</f>
        <v>#REF!</v>
      </c>
      <c r="DE57" s="135" t="str">
        <f t="shared" si="54"/>
        <v>#REF!</v>
      </c>
      <c r="DF57" s="142" t="str">
        <f>EXP(-LN(2)/35)*DF56+(1-EXP(-LN(2)/35))/(LN(2)/35)*DB57*DC57*VLOOKUP('Données projet (1)'!$B$13,'Paramètres (1)'!$A$1:$I$88,3,0)*0.475*44/12</f>
        <v>#REF!</v>
      </c>
      <c r="DG57" s="142" t="str">
        <f>EXP(-LN(2)/25)*DG56+(1-EXP(-LN(2)/25))/(LN(2)/25)*'Calculateur (1)'!DB57*'Calculateur (1)'!DD57*VLOOKUP('Données projet (1)'!$B$13,'Paramètres (1)'!$A$1:$I$88,3,0)*0.475*44/12</f>
        <v>#REF!</v>
      </c>
      <c r="DH57" s="142" t="str">
        <f>EXP(-LN(2)/2)*DH56+(1-EXP(-LN(2)/2))/(LN(2)/2)*DB57*DE57*VLOOKUP('Données projet (1)'!$B$13,'Paramètres (1)'!$A$1:$I$88,3,0)*0.475*44/12</f>
        <v>#REF!</v>
      </c>
      <c r="DI57" s="143" t="str">
        <f t="shared" si="55"/>
        <v>#REF!</v>
      </c>
      <c r="DJ57" s="139" t="str">
        <f t="shared" si="56"/>
        <v>#REF!</v>
      </c>
      <c r="DK57" s="131">
        <f t="shared" si="57"/>
        <v>10</v>
      </c>
      <c r="DL57" s="131" t="str">
        <f t="shared" si="128"/>
        <v>#REF!</v>
      </c>
      <c r="DM57" s="131" t="str">
        <f t="shared" si="58"/>
        <v>#REF!</v>
      </c>
      <c r="DN57" s="131" t="str">
        <f t="array" ref="DN57">INDEX(DM:DM,MIN(IF(ISNUMBER(DM57:DM253),ROW(DM57:DM253),"")))</f>
        <v/>
      </c>
      <c r="DO57" s="131" t="str">
        <f t="shared" si="129"/>
        <v>#REF!</v>
      </c>
      <c r="DP57" s="138" t="str">
        <f>DO57*VLOOKUP('Données projet (1)'!$B$14,'Paramètres (1)'!$A$1:$I$88,3,0)*VLOOKUP('Données projet (1)'!$B$14,'Paramètres (1)'!$A$1:$I$88,5,0)</f>
        <v>#REF!</v>
      </c>
      <c r="DQ57" s="130" t="str">
        <f t="shared" si="130"/>
        <v>#REF!</v>
      </c>
      <c r="DR57" s="141" t="str">
        <f t="shared" si="59"/>
        <v>#REF!</v>
      </c>
      <c r="DS57" s="133" t="str">
        <f t="shared" si="60"/>
        <v>#REF!</v>
      </c>
      <c r="DT57" s="133" t="str">
        <f t="shared" si="61"/>
        <v>#REF!</v>
      </c>
      <c r="DU57" s="133" t="str">
        <f t="shared" si="131"/>
        <v>#REF!</v>
      </c>
      <c r="DV57" s="134" t="str">
        <f t="shared" si="62"/>
        <v>#REF!</v>
      </c>
      <c r="DW57" s="134" t="str">
        <f t="shared" si="63"/>
        <v>#REF!</v>
      </c>
      <c r="DX57" s="135" t="str">
        <f>IF(ISNA(VLOOKUP(A57,'Données projet (1)'!$A$165:$I$185,5,0)),0%,VLOOKUP(A57,'Données projet (1)'!$A$165:$I$185,5,0)*VLOOKUP('Données projet (1)'!$B$14,'Paramètres (1)'!$A$1:$I$88,7,0))</f>
        <v>#REF!</v>
      </c>
      <c r="DY57" s="135" t="str">
        <f>IF(ISNA(VLOOKUP(A57,'Données projet (1)'!$A$165:$I$185,6,0)),0%,VLOOKUP(A57,'Données projet (1)'!$A$165:$I$185,6,0)*VLOOKUP('Données projet (1)'!$B$14,'Paramètres (1)'!$A$1:$I$88,7,0))</f>
        <v>#REF!</v>
      </c>
      <c r="DZ57" s="135" t="str">
        <f t="shared" si="64"/>
        <v>#REF!</v>
      </c>
      <c r="EA57" s="142" t="str">
        <f>EXP(-LN(2)/35)*EA56+(1-EXP(-LN(2)/35))/(LN(2)/35)*DW57*DX57*VLOOKUP('Données projet (1)'!$B$14,'Paramètres (1)'!$A$1:$I$88,3,0)*0.475*44/12</f>
        <v>#REF!</v>
      </c>
      <c r="EB57" s="142" t="str">
        <f>EXP(-LN(2)/25)*EB56+(1-EXP(-LN(2)/25))/(LN(2)/25)*'Calculateur (1)'!DW57*'Calculateur (1)'!DY57*VLOOKUP('Données projet (1)'!$B$14,'Paramètres (1)'!$A$1:$I$88,3,0)*0.475*44/12</f>
        <v>#REF!</v>
      </c>
      <c r="EC57" s="142" t="str">
        <f>EXP(-LN(2)/2)*EC56+(1-EXP(-LN(2)/2))/(LN(2)/2)*DW57*DZ57*VLOOKUP('Données projet (1)'!$B$14,'Paramètres (1)'!$A$1:$I$88,3,0)*0.475*44/12</f>
        <v>#REF!</v>
      </c>
      <c r="ED57" s="143" t="str">
        <f t="shared" si="65"/>
        <v>#REF!</v>
      </c>
      <c r="EE57" s="139" t="str">
        <f t="shared" si="66"/>
        <v>#REF!</v>
      </c>
      <c r="EF57" s="131">
        <f t="shared" si="67"/>
        <v>10</v>
      </c>
      <c r="EG57" s="131" t="str">
        <f t="shared" si="132"/>
        <v>#REF!</v>
      </c>
      <c r="EH57" s="131" t="str">
        <f t="shared" si="68"/>
        <v>#REF!</v>
      </c>
      <c r="EI57" s="131" t="str">
        <f t="array" ref="EI57">INDEX(EH:EH,MIN(IF(ISNUMBER(EH57:EH253),ROW(EH57:EH253),"")))</f>
        <v/>
      </c>
      <c r="EJ57" s="131" t="str">
        <f t="shared" si="133"/>
        <v>#REF!</v>
      </c>
      <c r="EK57" s="138" t="str">
        <f>EJ57*VLOOKUP('Données projet (1)'!$B$15,'Paramètres (1)'!$A$1:$I$88,3,0)*VLOOKUP('Données projet (1)'!$B$15,'Paramètres (1)'!$A$1:$I$88,5,0)</f>
        <v>#REF!</v>
      </c>
      <c r="EL57" s="130" t="str">
        <f t="shared" si="134"/>
        <v>#REF!</v>
      </c>
      <c r="EM57" s="141" t="str">
        <f t="shared" si="69"/>
        <v>#REF!</v>
      </c>
      <c r="EN57" s="133" t="str">
        <f t="shared" si="70"/>
        <v>#REF!</v>
      </c>
      <c r="EO57" s="133" t="str">
        <f t="shared" si="71"/>
        <v>#REF!</v>
      </c>
      <c r="EP57" s="133" t="str">
        <f t="shared" si="135"/>
        <v>#REF!</v>
      </c>
      <c r="EQ57" s="134" t="str">
        <f t="shared" si="72"/>
        <v>#REF!</v>
      </c>
      <c r="ER57" s="134" t="str">
        <f t="shared" si="73"/>
        <v>#REF!</v>
      </c>
      <c r="ES57" s="135" t="str">
        <f>IF(ISNA(VLOOKUP(A57,'Données projet (1)'!$A$191:$I$211,5,0)),0%,VLOOKUP(A57,'Données projet (1)'!$A$191:$I$211,5,0)*VLOOKUP('Données projet (1)'!$B$15,'Paramètres (1)'!$A$1:$I$88,7,0))</f>
        <v>#REF!</v>
      </c>
      <c r="ET57" s="135" t="str">
        <f>IF(ISNA(VLOOKUP(A57,'Données projet (1)'!$A$191:$I$211,6,0)),0%,VLOOKUP(A57,'Données projet (1)'!$A$191:$I$211,6,0)*VLOOKUP('Données projet (1)'!$B$15,'Paramètres (1)'!$A$1:$I$88,7,0))</f>
        <v>#REF!</v>
      </c>
      <c r="EU57" s="135" t="str">
        <f t="shared" si="74"/>
        <v>#REF!</v>
      </c>
      <c r="EV57" s="142" t="str">
        <f>EXP(-LN(2)/35)*EV56+(1-EXP(-LN(2)/35))/(LN(2)/35)*ER57*ES57*VLOOKUP('Données projet (1)'!$B$15,'Paramètres (1)'!$A$1:$I$88,3,0)*0.475*44/12</f>
        <v>#REF!</v>
      </c>
      <c r="EW57" s="142" t="str">
        <f>EXP(-LN(2)/25)*EW56+(1-EXP(-LN(2)/25))/(LN(2)/25)*'Calculateur (1)'!ER57*'Calculateur (1)'!ET57*VLOOKUP('Données projet (1)'!$B$15,'Paramètres (1)'!$A$1:$I$88,3,0)*0.475*44/12</f>
        <v>#REF!</v>
      </c>
      <c r="EX57" s="142" t="str">
        <f>EXP(-LN(2)/2)*EX56+(1-EXP(-LN(2)/2))/(LN(2)/2)*ER57*EU57*VLOOKUP('Données projet (1)'!$B$15,'Paramètres (1)'!$A$1:$I$88,3,0)*0.475*44/12</f>
        <v>#REF!</v>
      </c>
      <c r="EY57" s="143" t="str">
        <f t="shared" si="75"/>
        <v>#REF!</v>
      </c>
      <c r="EZ57" s="139" t="str">
        <f t="shared" si="76"/>
        <v>#REF!</v>
      </c>
      <c r="FA57" s="131">
        <f t="shared" si="77"/>
        <v>10</v>
      </c>
      <c r="FB57" s="131" t="str">
        <f t="shared" si="136"/>
        <v>#REF!</v>
      </c>
      <c r="FC57" s="131" t="str">
        <f t="shared" si="78"/>
        <v>#REF!</v>
      </c>
      <c r="FD57" s="131" t="str">
        <f t="array" ref="FD57">INDEX(FC:FC,MIN(IF(ISNUMBER(FC57:FC253),ROW(FC57:FC253),"")))</f>
        <v/>
      </c>
      <c r="FE57" s="131" t="str">
        <f t="shared" si="137"/>
        <v>#REF!</v>
      </c>
      <c r="FF57" s="138" t="str">
        <f>FE57*VLOOKUP('Données projet (1)'!$B$16,'Paramètres (1)'!$A$1:$I$88,3,0)*VLOOKUP('Données projet (1)'!$B$16,'Paramètres (1)'!$A$1:$I$88,5,0)</f>
        <v>#REF!</v>
      </c>
      <c r="FG57" s="130" t="str">
        <f t="shared" si="138"/>
        <v>#REF!</v>
      </c>
      <c r="FH57" s="141" t="str">
        <f t="shared" si="79"/>
        <v>#REF!</v>
      </c>
      <c r="FI57" s="133" t="str">
        <f t="shared" si="80"/>
        <v>#REF!</v>
      </c>
      <c r="FJ57" s="133" t="str">
        <f t="shared" si="81"/>
        <v>#REF!</v>
      </c>
      <c r="FK57" s="133" t="str">
        <f t="shared" si="139"/>
        <v>#REF!</v>
      </c>
      <c r="FL57" s="134" t="str">
        <f t="shared" si="82"/>
        <v>#REF!</v>
      </c>
      <c r="FM57" s="134" t="str">
        <f t="shared" si="83"/>
        <v>#REF!</v>
      </c>
      <c r="FN57" s="135" t="str">
        <f>IF(ISNA(VLOOKUP(A57,'Données projet (1)'!$A$217:$I$237,5,0)),0%,VLOOKUP(A57,'Données projet (1)'!$A$217:$I$237,5,0)*VLOOKUP('Données projet (1)'!$B$16,'Paramètres (1)'!$A$1:$I$88,7,0))</f>
        <v>#REF!</v>
      </c>
      <c r="FO57" s="135" t="str">
        <f>IF(ISNA(VLOOKUP(A57,'Données projet (1)'!$A$217:$I$237,6,0)),0%,VLOOKUP(A57,'Données projet (1)'!$A$217:$I$237,6,0)*VLOOKUP('Données projet (1)'!$B$16,'Paramètres (1)'!$A$1:$I$88,7,0))</f>
        <v>#REF!</v>
      </c>
      <c r="FP57" s="135" t="str">
        <f t="shared" si="84"/>
        <v>#REF!</v>
      </c>
      <c r="FQ57" s="142" t="str">
        <f>EXP(-LN(2)/35)*FQ56+(1-EXP(-LN(2)/35))/(LN(2)/35)*FM57*FN57*VLOOKUP('Données projet (1)'!$B$16,'Paramètres (1)'!$A$1:$I$88,3,0)*0.475*44/12</f>
        <v>#REF!</v>
      </c>
      <c r="FR57" s="142" t="str">
        <f>EXP(-LN(2)/25)*FR56+(1-EXP(-LN(2)/25))/(LN(2)/25)*'Calculateur (1)'!FM57*'Calculateur (1)'!FO57*VLOOKUP('Données projet (1)'!$B$16,'Paramètres (1)'!$A$1:$I$88,3,0)*0.475*44/12</f>
        <v>#REF!</v>
      </c>
      <c r="FS57" s="142" t="str">
        <f>EXP(-LN(2)/2)*FS56+(1-EXP(-LN(2)/2))/(LN(2)/2)*FM57*FP57*VLOOKUP('Données projet (1)'!$B$16,'Paramètres (1)'!$A$1:$I$88,3,0)*0.475*44/12</f>
        <v>#REF!</v>
      </c>
      <c r="FT57" s="143" t="str">
        <f t="shared" si="85"/>
        <v>#REF!</v>
      </c>
      <c r="FU57" s="139" t="str">
        <f t="shared" si="86"/>
        <v>#REF!</v>
      </c>
      <c r="FV57" s="131">
        <f t="shared" si="87"/>
        <v>10</v>
      </c>
      <c r="FW57" s="131" t="str">
        <f t="shared" si="140"/>
        <v>#REF!</v>
      </c>
      <c r="FX57" s="131" t="str">
        <f t="shared" si="88"/>
        <v>#REF!</v>
      </c>
      <c r="FY57" s="131" t="str">
        <f t="array" ref="FY57">INDEX(FX:FX,MIN(IF(ISNUMBER(FX57:FX253),ROW(FX57:FX253),"")))</f>
        <v/>
      </c>
      <c r="FZ57" s="131" t="str">
        <f t="shared" si="141"/>
        <v>#REF!</v>
      </c>
      <c r="GA57" s="138" t="str">
        <f>FZ57*VLOOKUP('Données projet (1)'!$B$17,'Paramètres (1)'!$A$1:$I$88,3,0)*VLOOKUP('Données projet (1)'!$B$17,'Paramètres (1)'!$A$1:$I$88,5,0)</f>
        <v>#REF!</v>
      </c>
      <c r="GB57" s="130" t="str">
        <f t="shared" si="142"/>
        <v>#REF!</v>
      </c>
      <c r="GC57" s="141" t="str">
        <f t="shared" si="89"/>
        <v>#REF!</v>
      </c>
      <c r="GD57" s="133" t="str">
        <f t="shared" si="90"/>
        <v>#REF!</v>
      </c>
      <c r="GE57" s="133" t="str">
        <f t="shared" si="91"/>
        <v>#REF!</v>
      </c>
      <c r="GF57" s="133" t="str">
        <f t="shared" si="143"/>
        <v>#REF!</v>
      </c>
      <c r="GG57" s="134" t="str">
        <f t="shared" si="92"/>
        <v>#REF!</v>
      </c>
      <c r="GH57" s="134" t="str">
        <f t="shared" si="93"/>
        <v>#REF!</v>
      </c>
      <c r="GI57" s="135" t="str">
        <f>IF(ISNA(VLOOKUP(A57,'Données projet (1)'!$A$243:$I$263,5,0)),0%,VLOOKUP(A57,'Données projet (1)'!$A$243:$I$263,5,0)*VLOOKUP('Données projet (1)'!$B$17,'Paramètres (1)'!$A$1:$I$88,7,0))</f>
        <v>#REF!</v>
      </c>
      <c r="GJ57" s="135" t="str">
        <f>IF(ISNA(VLOOKUP(A57,'Données projet (1)'!$A$243:$I$263,6,0)),0%,VLOOKUP(A57,'Données projet (1)'!$A$243:$I$263,6,0)*VLOOKUP('Données projet (1)'!$B$17,'Paramètres (1)'!$A$1:$I$88,7,0))</f>
        <v>#REF!</v>
      </c>
      <c r="GK57" s="135" t="str">
        <f t="shared" si="94"/>
        <v>#REF!</v>
      </c>
      <c r="GL57" s="142" t="str">
        <f>EXP(-LN(2)/35)*GL56+(1-EXP(-LN(2)/35))/(LN(2)/35)*GH57*GI57*VLOOKUP('Données projet (1)'!$B$17,'Paramètres (1)'!$A$1:$I$88,3,0)*0.475*44/12</f>
        <v>#REF!</v>
      </c>
      <c r="GM57" s="142" t="str">
        <f>EXP(-LN(2)/25)*GM56+(1-EXP(-LN(2)/25))/(LN(2)/25)*'Calculateur (1)'!GH57*'Calculateur (1)'!GJ57*VLOOKUP('Données projet (1)'!$B$17,'Paramètres (1)'!$A$1:$I$88,3,0)*0.475*44/12</f>
        <v>#REF!</v>
      </c>
      <c r="GN57" s="142" t="str">
        <f>EXP(-LN(2)/2)*GN56+(1-EXP(-LN(2)/2))/(LN(2)/2)*GH57*GK57*VLOOKUP('Données projet (1)'!$B$17,'Paramètres (1)'!$A$1:$I$88,3,0)*0.475*44/12</f>
        <v>#REF!</v>
      </c>
      <c r="GO57" s="142" t="str">
        <f t="shared" si="95"/>
        <v>#REF!</v>
      </c>
      <c r="GP57" s="139" t="str">
        <f t="shared" si="96"/>
        <v>#REF!</v>
      </c>
      <c r="GQ57" s="131">
        <f t="shared" si="97"/>
        <v>10</v>
      </c>
      <c r="GR57" s="131" t="str">
        <f t="shared" si="144"/>
        <v>#REF!</v>
      </c>
      <c r="GS57" s="131" t="str">
        <f t="shared" si="98"/>
        <v>#REF!</v>
      </c>
      <c r="GT57" s="131" t="str">
        <f t="array" ref="GT57">INDEX(GS:GS,MIN(IF(ISNUMBER(GS57:GS253),ROW(GS57:GS253),"")))</f>
        <v/>
      </c>
      <c r="GU57" s="131" t="str">
        <f t="shared" si="145"/>
        <v>#REF!</v>
      </c>
      <c r="GV57" s="138" t="str">
        <f>GU57*VLOOKUP('Données projet (1)'!$B$18,'Paramètres (1)'!$A$1:$I$88,3,0)*VLOOKUP('Données projet (1)'!$B$18,'Paramètres (1)'!$A$1:$I$88,5,0)</f>
        <v>#REF!</v>
      </c>
      <c r="GW57" s="130" t="str">
        <f t="shared" si="146"/>
        <v>#REF!</v>
      </c>
      <c r="GX57" s="141" t="str">
        <f t="shared" si="99"/>
        <v>#REF!</v>
      </c>
      <c r="GY57" s="133" t="str">
        <f t="shared" si="100"/>
        <v>#REF!</v>
      </c>
      <c r="GZ57" s="133" t="str">
        <f t="shared" si="101"/>
        <v>#REF!</v>
      </c>
      <c r="HA57" s="133" t="str">
        <f t="shared" si="147"/>
        <v>#REF!</v>
      </c>
      <c r="HB57" s="134" t="str">
        <f t="shared" si="102"/>
        <v>#REF!</v>
      </c>
      <c r="HC57" s="134" t="str">
        <f t="shared" si="103"/>
        <v>#REF!</v>
      </c>
      <c r="HD57" s="135" t="str">
        <f>IF(ISNA(VLOOKUP(A57,'Données projet (1)'!$A$269:$I$289,5,0)),0%,VLOOKUP(A57,'Données projet (1)'!$A$269:$I$289,5,0)*VLOOKUP('Données projet (1)'!$B$18,'Paramètres (1)'!$A$1:$I$88,7,0))</f>
        <v>#REF!</v>
      </c>
      <c r="HE57" s="135" t="str">
        <f>IF(ISNA(VLOOKUP(A57,'Données projet (1)'!$A$269:$I$289,6,0)),0%,VLOOKUP(A57,'Données projet (1)'!$A$269:$I$289,6,0)*VLOOKUP('Données projet (1)'!$B$18,'Paramètres (1)'!$A$1:$I$88,7,0))</f>
        <v>#REF!</v>
      </c>
      <c r="HF57" s="135" t="str">
        <f t="shared" si="104"/>
        <v>#REF!</v>
      </c>
      <c r="HG57" s="142" t="str">
        <f>EXP(-LN(2)/35)*HG56+(1-EXP(-LN(2)/35))/(LN(2)/35)*HC57*HD57*VLOOKUP('Données projet (1)'!$B$18,'Paramètres (1)'!$A$1:$I$88,3,0)*0.475*44/12</f>
        <v>#REF!</v>
      </c>
      <c r="HH57" s="142" t="str">
        <f>EXP(-LN(2)/25)*HH56+(1-EXP(-LN(2)/25))/(LN(2)/25)*'Calculateur (1)'!HC57*'Calculateur (1)'!HE57*VLOOKUP('Données projet (1)'!$B$18,'Paramètres (1)'!$A$1:$I$88,3,0)*0.475*44/12</f>
        <v>#REF!</v>
      </c>
      <c r="HI57" s="142" t="str">
        <f>EXP(-LN(2)/2)*HI56+(1-EXP(-LN(2)/2))/(LN(2)/2)*HC57*HF57*VLOOKUP('Données projet (1)'!$B$18,'Paramètres (1)'!$A$1:$I$88,3,0)*0.475*44/12</f>
        <v>#REF!</v>
      </c>
      <c r="HJ57" s="143" t="str">
        <f t="shared" si="105"/>
        <v>#REF!</v>
      </c>
    </row>
    <row r="58" ht="14.25" customHeight="1">
      <c r="A58" s="125">
        <f t="shared" si="106"/>
        <v>55</v>
      </c>
      <c r="B58" s="126" t="str">
        <f t="shared" si="1"/>
        <v>#REF!</v>
      </c>
      <c r="C58" s="140" t="str">
        <f>'Calculateur (1)'!C57+'Scénario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8" s="127">
        <f t="shared" si="107"/>
        <v>0</v>
      </c>
      <c r="E58" s="127" t="str">
        <f t="shared" si="2"/>
        <v>#REF!</v>
      </c>
      <c r="F58" s="127" t="str">
        <f t="shared" si="3"/>
        <v>#REF!</v>
      </c>
      <c r="G58" s="127" t="str">
        <f t="shared" si="4"/>
        <v>#REF!</v>
      </c>
      <c r="H58" s="128" t="str">
        <f t="shared" si="5"/>
        <v>#REF!</v>
      </c>
      <c r="I58" s="129" t="str">
        <f t="shared" si="6"/>
        <v>#REF!</v>
      </c>
      <c r="J58" s="130">
        <f t="shared" si="7"/>
        <v>10</v>
      </c>
      <c r="K58" s="131" t="str">
        <f t="shared" si="108"/>
        <v>#REF!</v>
      </c>
      <c r="L58" s="131" t="str">
        <f t="shared" si="8"/>
        <v>#REF!</v>
      </c>
      <c r="M58" s="131" t="str">
        <f t="array" ref="M58">INDEX(L:L,MIN(IF(ISNUMBER(L58:L254),ROW(L58:L254),"")))</f>
        <v/>
      </c>
      <c r="N58" s="130" t="str">
        <f t="shared" si="109"/>
        <v>#REF!</v>
      </c>
      <c r="O58" s="130" t="str">
        <f>N58*VLOOKUP('Données projet (1)'!$B$9,'Paramètres (1)'!$A$1:$I$88,3,0)*VLOOKUP('Données projet (1)'!$B$9,'Paramètres (1)'!$A$1:$I$88,5,0)</f>
        <v>#REF!</v>
      </c>
      <c r="P58" s="130" t="str">
        <f t="shared" si="110"/>
        <v>#REF!</v>
      </c>
      <c r="Q58" s="141" t="str">
        <f t="shared" si="9"/>
        <v>#REF!</v>
      </c>
      <c r="R58" s="133" t="str">
        <f t="shared" si="10"/>
        <v>#REF!</v>
      </c>
      <c r="S58" s="133" t="str">
        <f t="shared" si="11"/>
        <v>#REF!</v>
      </c>
      <c r="T58" s="133" t="str">
        <f t="shared" si="111"/>
        <v>#REF!</v>
      </c>
      <c r="U58" s="134" t="str">
        <f t="shared" si="12"/>
        <v>#REF!</v>
      </c>
      <c r="V58" s="134" t="str">
        <f t="shared" si="13"/>
        <v>#REF!</v>
      </c>
      <c r="W58" s="135" t="str">
        <f>IF(ISNA(VLOOKUP(A58,'Données projet (1)'!$A$35:$I$55,5,0)),0%,VLOOKUP(A58,'Données projet (1)'!$A$35:$I$55,5,0)*VLOOKUP('Données projet (1)'!$B$9,'Paramètres (1)'!$A$1:$I$88,7,0))</f>
        <v>#REF!</v>
      </c>
      <c r="X58" s="135" t="str">
        <f>IF(ISNA(VLOOKUP(A58,'Données projet (1)'!$A$35:$I$55,6,0)),0%,VLOOKUP(A58,'Données projet (1)'!$A$35:$I$55,6,0)*VLOOKUP('Données projet (1)'!$B$9,'Paramètres (1)'!$A$1:$I$88,7,0))</f>
        <v>#REF!</v>
      </c>
      <c r="Y58" s="135" t="str">
        <f t="shared" si="14"/>
        <v>#REF!</v>
      </c>
      <c r="Z58" s="142" t="str">
        <f>EXP(-LN(2)/35)*Z57+(1-EXP(-LN(2)/35))/(LN(2)/35)*V58*W58*VLOOKUP('Données projet (1)'!$B$9,'Paramètres (1)'!$A$1:$I$88,3,0)*0.475*44/12</f>
        <v>#REF!</v>
      </c>
      <c r="AA58" s="142" t="str">
        <f>EXP(-LN(2)/25)*AA57+(1-EXP(-LN(2)/25))/(LN(2)/25)*'Calculateur (1)'!V58*'Calculateur (1)'!X58*VLOOKUP('Données projet (1)'!$B$9,'Paramètres (1)'!$A$1:$I$88,3,0)*0.475*44/12</f>
        <v>#REF!</v>
      </c>
      <c r="AB58" s="142" t="str">
        <f>EXP(-LN(2)/2)*AB57+(1-EXP(-LN(2)/2))/(LN(2)/2)*V58*Y58*VLOOKUP('Données projet (1)'!$B$9,'Paramètres (1)'!$A$1:$I$88,3,0)*0.475*44/12</f>
        <v>#REF!</v>
      </c>
      <c r="AC58" s="143" t="str">
        <f t="shared" si="15"/>
        <v>#REF!</v>
      </c>
      <c r="AD58" s="130" t="str">
        <f t="shared" si="16"/>
        <v>#REF!</v>
      </c>
      <c r="AE58" s="130">
        <f t="shared" si="17"/>
        <v>10</v>
      </c>
      <c r="AF58" s="131" t="str">
        <f t="shared" si="112"/>
        <v>#REF!</v>
      </c>
      <c r="AG58" s="131" t="str">
        <f t="shared" si="18"/>
        <v>#REF!</v>
      </c>
      <c r="AH58" s="131" t="str">
        <f t="array" ref="AH58">INDEX(AG:AG,MIN(IF(ISNUMBER(AG58:AG254),ROW(AG58:AG254),"")))</f>
        <v/>
      </c>
      <c r="AI58" s="130" t="str">
        <f t="shared" si="113"/>
        <v>#REF!</v>
      </c>
      <c r="AJ58" s="130" t="str">
        <f>AI58*VLOOKUP('Données projet (1)'!$B$10,'Paramètres (1)'!$A$1:$I$88,3,0)*VLOOKUP('Données projet (1)'!$B$10,'Paramètres (1)'!$A$1:$I$88,5,0)</f>
        <v>#REF!</v>
      </c>
      <c r="AK58" s="130" t="str">
        <f t="shared" si="114"/>
        <v>#REF!</v>
      </c>
      <c r="AL58" s="141" t="str">
        <f t="shared" si="19"/>
        <v>#REF!</v>
      </c>
      <c r="AM58" s="133" t="str">
        <f t="shared" si="20"/>
        <v>#REF!</v>
      </c>
      <c r="AN58" s="133" t="str">
        <f t="shared" si="21"/>
        <v>#REF!</v>
      </c>
      <c r="AO58" s="133" t="str">
        <f t="shared" si="115"/>
        <v>#REF!</v>
      </c>
      <c r="AP58" s="134" t="str">
        <f t="shared" si="22"/>
        <v>#REF!</v>
      </c>
      <c r="AQ58" s="134" t="str">
        <f t="shared" si="23"/>
        <v>#REF!</v>
      </c>
      <c r="AR58" s="135" t="str">
        <f>IF(ISNA(VLOOKUP(A58,'Données projet (1)'!$A$61:$I$81,5,0)),0%,VLOOKUP(A58,'Données projet (1)'!$A$61:$I$81,5,0)*VLOOKUP('Données projet (1)'!$B$10,'Paramètres (1)'!$A$1:$I$88,7,0))</f>
        <v>#REF!</v>
      </c>
      <c r="AS58" s="135" t="str">
        <f>IF(ISNA(VLOOKUP(A58,'Données projet (1)'!$A$61:$I$81,6,0)),0%,VLOOKUP(A58,'Données projet (1)'!$A$61:$I$81,6,0)*VLOOKUP('Données projet (1)'!$B$10,'Paramètres (1)'!$A$1:$I$88,7,0))</f>
        <v>#REF!</v>
      </c>
      <c r="AT58" s="135" t="str">
        <f t="shared" si="24"/>
        <v>#REF!</v>
      </c>
      <c r="AU58" s="142" t="str">
        <f>EXP(-LN(2)/35)*AU57+(1-EXP(-LN(2)/35))/(LN(2)/35)*AQ58*AR58*VLOOKUP('Données projet (1)'!$B$10,'Paramètres (1)'!$A$1:$I$88,3,0)*0.475*44/12</f>
        <v>#REF!</v>
      </c>
      <c r="AV58" s="142" t="str">
        <f>EXP(-LN(2)/25)*AV57+(1-EXP(-LN(2)/25))/(LN(2)/25)*'Calculateur (1)'!AQ58*'Calculateur (1)'!AS58*VLOOKUP('Données projet (1)'!$B$10,'Paramètres (1)'!$A$1:$I$88,3,0)*0.475*44/12</f>
        <v>#REF!</v>
      </c>
      <c r="AW58" s="142" t="str">
        <f>EXP(-LN(2)/2)*AW57+(1-EXP(-LN(2)/2))/(LN(2)/2)*AQ58*AT58*VLOOKUP('Données projet (1)'!$B$10,'Paramètres (1)'!$A$1:$I$88,3,0)*0.475*44/12</f>
        <v>#REF!</v>
      </c>
      <c r="AX58" s="142" t="str">
        <f t="shared" si="25"/>
        <v>#REF!</v>
      </c>
      <c r="AY58" s="137" t="str">
        <f t="shared" si="26"/>
        <v>#REF!</v>
      </c>
      <c r="AZ58" s="131">
        <f t="shared" si="27"/>
        <v>10</v>
      </c>
      <c r="BA58" s="131" t="str">
        <f t="shared" si="116"/>
        <v>#REF!</v>
      </c>
      <c r="BB58" s="131" t="str">
        <f t="shared" si="28"/>
        <v>#REF!</v>
      </c>
      <c r="BC58" s="131" t="str">
        <f t="array" ref="BC58">INDEX(BB:BB,MIN(IF(ISNUMBER(BB58:BB254),ROW(BB58:BB254),"")))</f>
        <v/>
      </c>
      <c r="BD58" s="131" t="str">
        <f t="shared" si="117"/>
        <v>#REF!</v>
      </c>
      <c r="BE58" s="130" t="str">
        <f>BD58*VLOOKUP('Données projet (1)'!$B$11,'Paramètres (1)'!$A$1:$I$88,3,0)*VLOOKUP('Données projet (1)'!$B$11,'Paramètres (1)'!$A$1:$I$88,5,0)</f>
        <v>#REF!</v>
      </c>
      <c r="BF58" s="130" t="str">
        <f t="shared" si="118"/>
        <v>#REF!</v>
      </c>
      <c r="BG58" s="141" t="str">
        <f t="shared" si="29"/>
        <v>#REF!</v>
      </c>
      <c r="BH58" s="133" t="str">
        <f t="shared" si="30"/>
        <v>#REF!</v>
      </c>
      <c r="BI58" s="133" t="str">
        <f t="shared" si="31"/>
        <v>#REF!</v>
      </c>
      <c r="BJ58" s="133" t="str">
        <f t="shared" si="119"/>
        <v>#REF!</v>
      </c>
      <c r="BK58" s="134" t="str">
        <f t="shared" si="32"/>
        <v>#REF!</v>
      </c>
      <c r="BL58" s="134" t="str">
        <f t="shared" si="33"/>
        <v>#REF!</v>
      </c>
      <c r="BM58" s="135" t="str">
        <f>IF(ISNA(VLOOKUP(A58,'Données projet (1)'!$A$87:$I$107,5,0)),0%,VLOOKUP(A58,'Données projet (1)'!$A$87:$I$107,5,0)*VLOOKUP('Données projet (1)'!$B$11,'Paramètres (1)'!$A$1:$I$88,7,0))</f>
        <v>#REF!</v>
      </c>
      <c r="BN58" s="135" t="str">
        <f>IF(ISNA(VLOOKUP(A58,'Données projet (1)'!$A$87:$I$107,6,0)),0%,VLOOKUP(A58,'Données projet (1)'!$A$87:$I$107,6,0)*VLOOKUP('Données projet (1)'!$B$11,'Paramètres (1)'!$A$1:$I$88,7,0))</f>
        <v>#REF!</v>
      </c>
      <c r="BO58" s="135" t="str">
        <f t="shared" si="34"/>
        <v>#REF!</v>
      </c>
      <c r="BP58" s="142" t="str">
        <f>EXP(-LN(2)/35)*BP57+(1-EXP(-LN(2)/35))/(LN(2)/35)*BL58*BM58*VLOOKUP('Données projet (1)'!$B$11,'Paramètres (1)'!$A$1:$I$88,3,0)*0.475*44/12</f>
        <v>#REF!</v>
      </c>
      <c r="BQ58" s="142" t="str">
        <f>EXP(-LN(2)/25)*BQ57+(1-EXP(-LN(2)/25))/(LN(2)/25)*'Calculateur (1)'!BL58*'Calculateur (1)'!BN58*VLOOKUP('Données projet (1)'!$B$11,'Paramètres (1)'!$A$1:$I$88,3,0)*0.475*44/12</f>
        <v>#REF!</v>
      </c>
      <c r="BR58" s="142" t="str">
        <f>EXP(-LN(2)/2)*BR57+(1-EXP(-LN(2)/2))/(LN(2)/2)*BL58*BO58*VLOOKUP('Données projet (1)'!$B$11,'Paramètres (1)'!$A$1:$I$88,3,0)*0.475*44/12</f>
        <v>#REF!</v>
      </c>
      <c r="BS58" s="143" t="str">
        <f t="shared" si="35"/>
        <v>#REF!</v>
      </c>
      <c r="BT58" s="139" t="str">
        <f t="shared" si="36"/>
        <v>#REF!</v>
      </c>
      <c r="BU58" s="131">
        <f t="shared" si="37"/>
        <v>10</v>
      </c>
      <c r="BV58" s="131" t="str">
        <f t="shared" si="120"/>
        <v>#REF!</v>
      </c>
      <c r="BW58" s="131" t="str">
        <f t="shared" si="38"/>
        <v>#REF!</v>
      </c>
      <c r="BX58" s="131" t="str">
        <f t="array" ref="BX58">INDEX(BW:BW,MIN(IF(ISNUMBER(BW58:BW254),ROW(BW58:BW254),"")))</f>
        <v/>
      </c>
      <c r="BY58" s="131" t="str">
        <f t="shared" si="121"/>
        <v>#REF!</v>
      </c>
      <c r="BZ58" s="130" t="str">
        <f>BY58*VLOOKUP('Données projet (1)'!$B$12,'Paramètres (1)'!$A$1:$I$88,3,0)*VLOOKUP('Données projet (1)'!$B$12,'Paramètres (1)'!$A$1:$I$88,5,0)</f>
        <v>#REF!</v>
      </c>
      <c r="CA58" s="130" t="str">
        <f t="shared" si="122"/>
        <v>#REF!</v>
      </c>
      <c r="CB58" s="141" t="str">
        <f t="shared" si="39"/>
        <v>#REF!</v>
      </c>
      <c r="CC58" s="133" t="str">
        <f t="shared" si="40"/>
        <v>#REF!</v>
      </c>
      <c r="CD58" s="133" t="str">
        <f t="shared" si="41"/>
        <v>#REF!</v>
      </c>
      <c r="CE58" s="133" t="str">
        <f t="shared" si="123"/>
        <v>#REF!</v>
      </c>
      <c r="CF58" s="134" t="str">
        <f t="shared" si="42"/>
        <v>#REF!</v>
      </c>
      <c r="CG58" s="134" t="str">
        <f t="shared" si="43"/>
        <v>#REF!</v>
      </c>
      <c r="CH58" s="135" t="str">
        <f>IF(ISNA(VLOOKUP(A58,'Données projet (1)'!$A$113:$I$133,5,0)),0%,VLOOKUP(A58,'Données projet (1)'!$A$113:$I$133,5,0)*VLOOKUP('Données projet (1)'!$B$12,'Paramètres (1)'!$A$1:$I$88,7,0))</f>
        <v>#REF!</v>
      </c>
      <c r="CI58" s="135" t="str">
        <f>IF(ISNA(VLOOKUP(A58,'Données projet (1)'!$A$113:$I$133,6,0)),0%,VLOOKUP(A58,'Données projet (1)'!$A$113:$I$133,6,0)*VLOOKUP('Données projet (1)'!$B$12,'Paramètres (1)'!$A$1:$I$88,7,0))</f>
        <v>#REF!</v>
      </c>
      <c r="CJ58" s="135" t="str">
        <f t="shared" si="44"/>
        <v>#REF!</v>
      </c>
      <c r="CK58" s="142" t="str">
        <f>EXP(-LN(2)/35)*CK57+(1-EXP(-LN(2)/35))/(LN(2)/35)*CG58*CH58*VLOOKUP('Données projet (1)'!$B$12,'Paramètres (1)'!$A$1:$I$88,3,0)*0.475*44/12</f>
        <v>#REF!</v>
      </c>
      <c r="CL58" s="142" t="str">
        <f>EXP(-LN(2)/25)*CL57+(1-EXP(-LN(2)/25))/(LN(2)/25)*'Calculateur (1)'!CG58*'Calculateur (1)'!CI58*VLOOKUP('Données projet (1)'!$B$12,'Paramètres (1)'!$A$1:$I$88,3,0)*0.475*44/12</f>
        <v>#REF!</v>
      </c>
      <c r="CM58" s="142" t="str">
        <f>EXP(-LN(2)/2)*CM57+(1-EXP(-LN(2)/2))/(LN(2)/2)*CG58*CJ58*VLOOKUP('Données projet (1)'!$B$12,'Paramètres (1)'!$A$1:$I$88,3,0)*0.475*44/12</f>
        <v>#REF!</v>
      </c>
      <c r="CN58" s="143" t="str">
        <f t="shared" si="45"/>
        <v>#REF!</v>
      </c>
      <c r="CO58" s="139" t="str">
        <f t="shared" si="46"/>
        <v>#REF!</v>
      </c>
      <c r="CP58" s="131">
        <f t="shared" si="47"/>
        <v>10</v>
      </c>
      <c r="CQ58" s="131" t="str">
        <f t="shared" si="124"/>
        <v>#REF!</v>
      </c>
      <c r="CR58" s="131" t="str">
        <f t="shared" si="48"/>
        <v>#REF!</v>
      </c>
      <c r="CS58" s="131" t="str">
        <f t="array" ref="CS58">INDEX(CR:CR,MIN(IF(ISNUMBER(CR58:CR254),ROW(CR58:CR254),"")))</f>
        <v/>
      </c>
      <c r="CT58" s="131" t="str">
        <f t="shared" si="125"/>
        <v>#REF!</v>
      </c>
      <c r="CU58" s="138" t="str">
        <f>CT58*VLOOKUP('Données projet (1)'!$B$13,'Paramètres (1)'!$A$1:$I$88,3,0)*VLOOKUP('Données projet (1)'!$B$13,'Paramètres (1)'!$A$1:$I$88,5,0)</f>
        <v>#REF!</v>
      </c>
      <c r="CV58" s="130" t="str">
        <f t="shared" si="126"/>
        <v>#REF!</v>
      </c>
      <c r="CW58" s="141" t="str">
        <f t="shared" si="49"/>
        <v>#REF!</v>
      </c>
      <c r="CX58" s="133" t="str">
        <f t="shared" si="50"/>
        <v>#REF!</v>
      </c>
      <c r="CY58" s="133" t="str">
        <f t="shared" si="51"/>
        <v>#REF!</v>
      </c>
      <c r="CZ58" s="133" t="str">
        <f t="shared" si="127"/>
        <v>#REF!</v>
      </c>
      <c r="DA58" s="134" t="str">
        <f t="shared" si="52"/>
        <v>#REF!</v>
      </c>
      <c r="DB58" s="134" t="str">
        <f t="shared" si="53"/>
        <v>#REF!</v>
      </c>
      <c r="DC58" s="135" t="str">
        <f>IF(ISNA(VLOOKUP(A58,'Données projet (1)'!$A$139:$I$159,5,0)),0%,VLOOKUP(A58,'Données projet (1)'!$A$139:$I$159,5,0)*VLOOKUP('Données projet (1)'!$B$13,'Paramètres (1)'!$A$1:$I$88,7,0))</f>
        <v>#REF!</v>
      </c>
      <c r="DD58" s="135" t="str">
        <f>IF(ISNA(VLOOKUP(A58,'Données projet (1)'!$A$139:$I$159,6,0)),0%,VLOOKUP(A58,'Données projet (1)'!$A$139:$I$159,6,0)*VLOOKUP('Données projet (1)'!$B$13,'Paramètres (1)'!$A$1:$I$88,7,0))</f>
        <v>#REF!</v>
      </c>
      <c r="DE58" s="135" t="str">
        <f t="shared" si="54"/>
        <v>#REF!</v>
      </c>
      <c r="DF58" s="142" t="str">
        <f>EXP(-LN(2)/35)*DF57+(1-EXP(-LN(2)/35))/(LN(2)/35)*DB58*DC58*VLOOKUP('Données projet (1)'!$B$13,'Paramètres (1)'!$A$1:$I$88,3,0)*0.475*44/12</f>
        <v>#REF!</v>
      </c>
      <c r="DG58" s="142" t="str">
        <f>EXP(-LN(2)/25)*DG57+(1-EXP(-LN(2)/25))/(LN(2)/25)*'Calculateur (1)'!DB58*'Calculateur (1)'!DD58*VLOOKUP('Données projet (1)'!$B$13,'Paramètres (1)'!$A$1:$I$88,3,0)*0.475*44/12</f>
        <v>#REF!</v>
      </c>
      <c r="DH58" s="142" t="str">
        <f>EXP(-LN(2)/2)*DH57+(1-EXP(-LN(2)/2))/(LN(2)/2)*DB58*DE58*VLOOKUP('Données projet (1)'!$B$13,'Paramètres (1)'!$A$1:$I$88,3,0)*0.475*44/12</f>
        <v>#REF!</v>
      </c>
      <c r="DI58" s="143" t="str">
        <f t="shared" si="55"/>
        <v>#REF!</v>
      </c>
      <c r="DJ58" s="139" t="str">
        <f t="shared" si="56"/>
        <v>#REF!</v>
      </c>
      <c r="DK58" s="131">
        <f t="shared" si="57"/>
        <v>10</v>
      </c>
      <c r="DL58" s="131" t="str">
        <f t="shared" si="128"/>
        <v>#REF!</v>
      </c>
      <c r="DM58" s="131" t="str">
        <f t="shared" si="58"/>
        <v>#REF!</v>
      </c>
      <c r="DN58" s="131" t="str">
        <f t="array" ref="DN58">INDEX(DM:DM,MIN(IF(ISNUMBER(DM58:DM254),ROW(DM58:DM254),"")))</f>
        <v/>
      </c>
      <c r="DO58" s="131" t="str">
        <f t="shared" si="129"/>
        <v>#REF!</v>
      </c>
      <c r="DP58" s="138" t="str">
        <f>DO58*VLOOKUP('Données projet (1)'!$B$14,'Paramètres (1)'!$A$1:$I$88,3,0)*VLOOKUP('Données projet (1)'!$B$14,'Paramètres (1)'!$A$1:$I$88,5,0)</f>
        <v>#REF!</v>
      </c>
      <c r="DQ58" s="130" t="str">
        <f t="shared" si="130"/>
        <v>#REF!</v>
      </c>
      <c r="DR58" s="141" t="str">
        <f t="shared" si="59"/>
        <v>#REF!</v>
      </c>
      <c r="DS58" s="133" t="str">
        <f t="shared" si="60"/>
        <v>#REF!</v>
      </c>
      <c r="DT58" s="133" t="str">
        <f t="shared" si="61"/>
        <v>#REF!</v>
      </c>
      <c r="DU58" s="133" t="str">
        <f t="shared" si="131"/>
        <v>#REF!</v>
      </c>
      <c r="DV58" s="134" t="str">
        <f t="shared" si="62"/>
        <v>#REF!</v>
      </c>
      <c r="DW58" s="134" t="str">
        <f t="shared" si="63"/>
        <v>#REF!</v>
      </c>
      <c r="DX58" s="135" t="str">
        <f>IF(ISNA(VLOOKUP(A58,'Données projet (1)'!$A$165:$I$185,5,0)),0%,VLOOKUP(A58,'Données projet (1)'!$A$165:$I$185,5,0)*VLOOKUP('Données projet (1)'!$B$14,'Paramètres (1)'!$A$1:$I$88,7,0))</f>
        <v>#REF!</v>
      </c>
      <c r="DY58" s="135" t="str">
        <f>IF(ISNA(VLOOKUP(A58,'Données projet (1)'!$A$165:$I$185,6,0)),0%,VLOOKUP(A58,'Données projet (1)'!$A$165:$I$185,6,0)*VLOOKUP('Données projet (1)'!$B$14,'Paramètres (1)'!$A$1:$I$88,7,0))</f>
        <v>#REF!</v>
      </c>
      <c r="DZ58" s="135" t="str">
        <f t="shared" si="64"/>
        <v>#REF!</v>
      </c>
      <c r="EA58" s="142" t="str">
        <f>EXP(-LN(2)/35)*EA57+(1-EXP(-LN(2)/35))/(LN(2)/35)*DW58*DX58*VLOOKUP('Données projet (1)'!$B$14,'Paramètres (1)'!$A$1:$I$88,3,0)*0.475*44/12</f>
        <v>#REF!</v>
      </c>
      <c r="EB58" s="142" t="str">
        <f>EXP(-LN(2)/25)*EB57+(1-EXP(-LN(2)/25))/(LN(2)/25)*'Calculateur (1)'!DW58*'Calculateur (1)'!DY58*VLOOKUP('Données projet (1)'!$B$14,'Paramètres (1)'!$A$1:$I$88,3,0)*0.475*44/12</f>
        <v>#REF!</v>
      </c>
      <c r="EC58" s="142" t="str">
        <f>EXP(-LN(2)/2)*EC57+(1-EXP(-LN(2)/2))/(LN(2)/2)*DW58*DZ58*VLOOKUP('Données projet (1)'!$B$14,'Paramètres (1)'!$A$1:$I$88,3,0)*0.475*44/12</f>
        <v>#REF!</v>
      </c>
      <c r="ED58" s="143" t="str">
        <f t="shared" si="65"/>
        <v>#REF!</v>
      </c>
      <c r="EE58" s="139" t="str">
        <f t="shared" si="66"/>
        <v>#REF!</v>
      </c>
      <c r="EF58" s="131">
        <f t="shared" si="67"/>
        <v>10</v>
      </c>
      <c r="EG58" s="131" t="str">
        <f t="shared" si="132"/>
        <v>#REF!</v>
      </c>
      <c r="EH58" s="131" t="str">
        <f t="shared" si="68"/>
        <v>#REF!</v>
      </c>
      <c r="EI58" s="131" t="str">
        <f t="array" ref="EI58">INDEX(EH:EH,MIN(IF(ISNUMBER(EH58:EH254),ROW(EH58:EH254),"")))</f>
        <v/>
      </c>
      <c r="EJ58" s="131" t="str">
        <f t="shared" si="133"/>
        <v>#REF!</v>
      </c>
      <c r="EK58" s="138" t="str">
        <f>EJ58*VLOOKUP('Données projet (1)'!$B$15,'Paramètres (1)'!$A$1:$I$88,3,0)*VLOOKUP('Données projet (1)'!$B$15,'Paramètres (1)'!$A$1:$I$88,5,0)</f>
        <v>#REF!</v>
      </c>
      <c r="EL58" s="130" t="str">
        <f t="shared" si="134"/>
        <v>#REF!</v>
      </c>
      <c r="EM58" s="141" t="str">
        <f t="shared" si="69"/>
        <v>#REF!</v>
      </c>
      <c r="EN58" s="133" t="str">
        <f t="shared" si="70"/>
        <v>#REF!</v>
      </c>
      <c r="EO58" s="133" t="str">
        <f t="shared" si="71"/>
        <v>#REF!</v>
      </c>
      <c r="EP58" s="133" t="str">
        <f t="shared" si="135"/>
        <v>#REF!</v>
      </c>
      <c r="EQ58" s="134" t="str">
        <f t="shared" si="72"/>
        <v>#REF!</v>
      </c>
      <c r="ER58" s="134" t="str">
        <f t="shared" si="73"/>
        <v>#REF!</v>
      </c>
      <c r="ES58" s="135" t="str">
        <f>IF(ISNA(VLOOKUP(A58,'Données projet (1)'!$A$191:$I$211,5,0)),0%,VLOOKUP(A58,'Données projet (1)'!$A$191:$I$211,5,0)*VLOOKUP('Données projet (1)'!$B$15,'Paramètres (1)'!$A$1:$I$88,7,0))</f>
        <v>#REF!</v>
      </c>
      <c r="ET58" s="135" t="str">
        <f>IF(ISNA(VLOOKUP(A58,'Données projet (1)'!$A$191:$I$211,6,0)),0%,VLOOKUP(A58,'Données projet (1)'!$A$191:$I$211,6,0)*VLOOKUP('Données projet (1)'!$B$15,'Paramètres (1)'!$A$1:$I$88,7,0))</f>
        <v>#REF!</v>
      </c>
      <c r="EU58" s="135" t="str">
        <f t="shared" si="74"/>
        <v>#REF!</v>
      </c>
      <c r="EV58" s="142" t="str">
        <f>EXP(-LN(2)/35)*EV57+(1-EXP(-LN(2)/35))/(LN(2)/35)*ER58*ES58*VLOOKUP('Données projet (1)'!$B$15,'Paramètres (1)'!$A$1:$I$88,3,0)*0.475*44/12</f>
        <v>#REF!</v>
      </c>
      <c r="EW58" s="142" t="str">
        <f>EXP(-LN(2)/25)*EW57+(1-EXP(-LN(2)/25))/(LN(2)/25)*'Calculateur (1)'!ER58*'Calculateur (1)'!ET58*VLOOKUP('Données projet (1)'!$B$15,'Paramètres (1)'!$A$1:$I$88,3,0)*0.475*44/12</f>
        <v>#REF!</v>
      </c>
      <c r="EX58" s="142" t="str">
        <f>EXP(-LN(2)/2)*EX57+(1-EXP(-LN(2)/2))/(LN(2)/2)*ER58*EU58*VLOOKUP('Données projet (1)'!$B$15,'Paramètres (1)'!$A$1:$I$88,3,0)*0.475*44/12</f>
        <v>#REF!</v>
      </c>
      <c r="EY58" s="143" t="str">
        <f t="shared" si="75"/>
        <v>#REF!</v>
      </c>
      <c r="EZ58" s="139" t="str">
        <f t="shared" si="76"/>
        <v>#REF!</v>
      </c>
      <c r="FA58" s="131">
        <f t="shared" si="77"/>
        <v>10</v>
      </c>
      <c r="FB58" s="131" t="str">
        <f t="shared" si="136"/>
        <v>#REF!</v>
      </c>
      <c r="FC58" s="131" t="str">
        <f t="shared" si="78"/>
        <v>#REF!</v>
      </c>
      <c r="FD58" s="131" t="str">
        <f t="array" ref="FD58">INDEX(FC:FC,MIN(IF(ISNUMBER(FC58:FC254),ROW(FC58:FC254),"")))</f>
        <v/>
      </c>
      <c r="FE58" s="131" t="str">
        <f t="shared" si="137"/>
        <v>#REF!</v>
      </c>
      <c r="FF58" s="138" t="str">
        <f>FE58*VLOOKUP('Données projet (1)'!$B$16,'Paramètres (1)'!$A$1:$I$88,3,0)*VLOOKUP('Données projet (1)'!$B$16,'Paramètres (1)'!$A$1:$I$88,5,0)</f>
        <v>#REF!</v>
      </c>
      <c r="FG58" s="130" t="str">
        <f t="shared" si="138"/>
        <v>#REF!</v>
      </c>
      <c r="FH58" s="141" t="str">
        <f t="shared" si="79"/>
        <v>#REF!</v>
      </c>
      <c r="FI58" s="133" t="str">
        <f t="shared" si="80"/>
        <v>#REF!</v>
      </c>
      <c r="FJ58" s="133" t="str">
        <f t="shared" si="81"/>
        <v>#REF!</v>
      </c>
      <c r="FK58" s="133" t="str">
        <f t="shared" si="139"/>
        <v>#REF!</v>
      </c>
      <c r="FL58" s="134" t="str">
        <f t="shared" si="82"/>
        <v>#REF!</v>
      </c>
      <c r="FM58" s="134" t="str">
        <f t="shared" si="83"/>
        <v>#REF!</v>
      </c>
      <c r="FN58" s="135" t="str">
        <f>IF(ISNA(VLOOKUP(A58,'Données projet (1)'!$A$217:$I$237,5,0)),0%,VLOOKUP(A58,'Données projet (1)'!$A$217:$I$237,5,0)*VLOOKUP('Données projet (1)'!$B$16,'Paramètres (1)'!$A$1:$I$88,7,0))</f>
        <v>#REF!</v>
      </c>
      <c r="FO58" s="135" t="str">
        <f>IF(ISNA(VLOOKUP(A58,'Données projet (1)'!$A$217:$I$237,6,0)),0%,VLOOKUP(A58,'Données projet (1)'!$A$217:$I$237,6,0)*VLOOKUP('Données projet (1)'!$B$16,'Paramètres (1)'!$A$1:$I$88,7,0))</f>
        <v>#REF!</v>
      </c>
      <c r="FP58" s="135" t="str">
        <f t="shared" si="84"/>
        <v>#REF!</v>
      </c>
      <c r="FQ58" s="142" t="str">
        <f>EXP(-LN(2)/35)*FQ57+(1-EXP(-LN(2)/35))/(LN(2)/35)*FM58*FN58*VLOOKUP('Données projet (1)'!$B$16,'Paramètres (1)'!$A$1:$I$88,3,0)*0.475*44/12</f>
        <v>#REF!</v>
      </c>
      <c r="FR58" s="142" t="str">
        <f>EXP(-LN(2)/25)*FR57+(1-EXP(-LN(2)/25))/(LN(2)/25)*'Calculateur (1)'!FM58*'Calculateur (1)'!FO58*VLOOKUP('Données projet (1)'!$B$16,'Paramètres (1)'!$A$1:$I$88,3,0)*0.475*44/12</f>
        <v>#REF!</v>
      </c>
      <c r="FS58" s="142" t="str">
        <f>EXP(-LN(2)/2)*FS57+(1-EXP(-LN(2)/2))/(LN(2)/2)*FM58*FP58*VLOOKUP('Données projet (1)'!$B$16,'Paramètres (1)'!$A$1:$I$88,3,0)*0.475*44/12</f>
        <v>#REF!</v>
      </c>
      <c r="FT58" s="143" t="str">
        <f t="shared" si="85"/>
        <v>#REF!</v>
      </c>
      <c r="FU58" s="139" t="str">
        <f t="shared" si="86"/>
        <v>#REF!</v>
      </c>
      <c r="FV58" s="131">
        <f t="shared" si="87"/>
        <v>10</v>
      </c>
      <c r="FW58" s="131" t="str">
        <f t="shared" si="140"/>
        <v>#REF!</v>
      </c>
      <c r="FX58" s="131" t="str">
        <f t="shared" si="88"/>
        <v>#REF!</v>
      </c>
      <c r="FY58" s="131" t="str">
        <f t="array" ref="FY58">INDEX(FX:FX,MIN(IF(ISNUMBER(FX58:FX254),ROW(FX58:FX254),"")))</f>
        <v/>
      </c>
      <c r="FZ58" s="131" t="str">
        <f t="shared" si="141"/>
        <v>#REF!</v>
      </c>
      <c r="GA58" s="138" t="str">
        <f>FZ58*VLOOKUP('Données projet (1)'!$B$17,'Paramètres (1)'!$A$1:$I$88,3,0)*VLOOKUP('Données projet (1)'!$B$17,'Paramètres (1)'!$A$1:$I$88,5,0)</f>
        <v>#REF!</v>
      </c>
      <c r="GB58" s="130" t="str">
        <f t="shared" si="142"/>
        <v>#REF!</v>
      </c>
      <c r="GC58" s="141" t="str">
        <f t="shared" si="89"/>
        <v>#REF!</v>
      </c>
      <c r="GD58" s="133" t="str">
        <f t="shared" si="90"/>
        <v>#REF!</v>
      </c>
      <c r="GE58" s="133" t="str">
        <f t="shared" si="91"/>
        <v>#REF!</v>
      </c>
      <c r="GF58" s="133" t="str">
        <f t="shared" si="143"/>
        <v>#REF!</v>
      </c>
      <c r="GG58" s="134" t="str">
        <f t="shared" si="92"/>
        <v>#REF!</v>
      </c>
      <c r="GH58" s="134" t="str">
        <f t="shared" si="93"/>
        <v>#REF!</v>
      </c>
      <c r="GI58" s="135" t="str">
        <f>IF(ISNA(VLOOKUP(A58,'Données projet (1)'!$A$243:$I$263,5,0)),0%,VLOOKUP(A58,'Données projet (1)'!$A$243:$I$263,5,0)*VLOOKUP('Données projet (1)'!$B$17,'Paramètres (1)'!$A$1:$I$88,7,0))</f>
        <v>#REF!</v>
      </c>
      <c r="GJ58" s="135" t="str">
        <f>IF(ISNA(VLOOKUP(A58,'Données projet (1)'!$A$243:$I$263,6,0)),0%,VLOOKUP(A58,'Données projet (1)'!$A$243:$I$263,6,0)*VLOOKUP('Données projet (1)'!$B$17,'Paramètres (1)'!$A$1:$I$88,7,0))</f>
        <v>#REF!</v>
      </c>
      <c r="GK58" s="135" t="str">
        <f t="shared" si="94"/>
        <v>#REF!</v>
      </c>
      <c r="GL58" s="142" t="str">
        <f>EXP(-LN(2)/35)*GL57+(1-EXP(-LN(2)/35))/(LN(2)/35)*GH58*GI58*VLOOKUP('Données projet (1)'!$B$17,'Paramètres (1)'!$A$1:$I$88,3,0)*0.475*44/12</f>
        <v>#REF!</v>
      </c>
      <c r="GM58" s="142" t="str">
        <f>EXP(-LN(2)/25)*GM57+(1-EXP(-LN(2)/25))/(LN(2)/25)*'Calculateur (1)'!GH58*'Calculateur (1)'!GJ58*VLOOKUP('Données projet (1)'!$B$17,'Paramètres (1)'!$A$1:$I$88,3,0)*0.475*44/12</f>
        <v>#REF!</v>
      </c>
      <c r="GN58" s="142" t="str">
        <f>EXP(-LN(2)/2)*GN57+(1-EXP(-LN(2)/2))/(LN(2)/2)*GH58*GK58*VLOOKUP('Données projet (1)'!$B$17,'Paramètres (1)'!$A$1:$I$88,3,0)*0.475*44/12</f>
        <v>#REF!</v>
      </c>
      <c r="GO58" s="142" t="str">
        <f t="shared" si="95"/>
        <v>#REF!</v>
      </c>
      <c r="GP58" s="139" t="str">
        <f t="shared" si="96"/>
        <v>#REF!</v>
      </c>
      <c r="GQ58" s="131">
        <f t="shared" si="97"/>
        <v>10</v>
      </c>
      <c r="GR58" s="131" t="str">
        <f t="shared" si="144"/>
        <v>#REF!</v>
      </c>
      <c r="GS58" s="131" t="str">
        <f t="shared" si="98"/>
        <v>#REF!</v>
      </c>
      <c r="GT58" s="131" t="str">
        <f t="array" ref="GT58">INDEX(GS:GS,MIN(IF(ISNUMBER(GS58:GS254),ROW(GS58:GS254),"")))</f>
        <v/>
      </c>
      <c r="GU58" s="131" t="str">
        <f t="shared" si="145"/>
        <v>#REF!</v>
      </c>
      <c r="GV58" s="138" t="str">
        <f>GU58*VLOOKUP('Données projet (1)'!$B$18,'Paramètres (1)'!$A$1:$I$88,3,0)*VLOOKUP('Données projet (1)'!$B$18,'Paramètres (1)'!$A$1:$I$88,5,0)</f>
        <v>#REF!</v>
      </c>
      <c r="GW58" s="130" t="str">
        <f t="shared" si="146"/>
        <v>#REF!</v>
      </c>
      <c r="GX58" s="141" t="str">
        <f t="shared" si="99"/>
        <v>#REF!</v>
      </c>
      <c r="GY58" s="133" t="str">
        <f t="shared" si="100"/>
        <v>#REF!</v>
      </c>
      <c r="GZ58" s="133" t="str">
        <f t="shared" si="101"/>
        <v>#REF!</v>
      </c>
      <c r="HA58" s="133" t="str">
        <f t="shared" si="147"/>
        <v>#REF!</v>
      </c>
      <c r="HB58" s="134" t="str">
        <f t="shared" si="102"/>
        <v>#REF!</v>
      </c>
      <c r="HC58" s="134" t="str">
        <f t="shared" si="103"/>
        <v>#REF!</v>
      </c>
      <c r="HD58" s="135" t="str">
        <f>IF(ISNA(VLOOKUP(A58,'Données projet (1)'!$A$269:$I$289,5,0)),0%,VLOOKUP(A58,'Données projet (1)'!$A$269:$I$289,5,0)*VLOOKUP('Données projet (1)'!$B$18,'Paramètres (1)'!$A$1:$I$88,7,0))</f>
        <v>#REF!</v>
      </c>
      <c r="HE58" s="135" t="str">
        <f>IF(ISNA(VLOOKUP(A58,'Données projet (1)'!$A$269:$I$289,6,0)),0%,VLOOKUP(A58,'Données projet (1)'!$A$269:$I$289,6,0)*VLOOKUP('Données projet (1)'!$B$18,'Paramètres (1)'!$A$1:$I$88,7,0))</f>
        <v>#REF!</v>
      </c>
      <c r="HF58" s="135" t="str">
        <f t="shared" si="104"/>
        <v>#REF!</v>
      </c>
      <c r="HG58" s="142" t="str">
        <f>EXP(-LN(2)/35)*HG57+(1-EXP(-LN(2)/35))/(LN(2)/35)*HC58*HD58*VLOOKUP('Données projet (1)'!$B$18,'Paramètres (1)'!$A$1:$I$88,3,0)*0.475*44/12</f>
        <v>#REF!</v>
      </c>
      <c r="HH58" s="142" t="str">
        <f>EXP(-LN(2)/25)*HH57+(1-EXP(-LN(2)/25))/(LN(2)/25)*'Calculateur (1)'!HC58*'Calculateur (1)'!HE58*VLOOKUP('Données projet (1)'!$B$18,'Paramètres (1)'!$A$1:$I$88,3,0)*0.475*44/12</f>
        <v>#REF!</v>
      </c>
      <c r="HI58" s="142" t="str">
        <f>EXP(-LN(2)/2)*HI57+(1-EXP(-LN(2)/2))/(LN(2)/2)*HC58*HF58*VLOOKUP('Données projet (1)'!$B$18,'Paramètres (1)'!$A$1:$I$88,3,0)*0.475*44/12</f>
        <v>#REF!</v>
      </c>
      <c r="HJ58" s="143" t="str">
        <f t="shared" si="105"/>
        <v>#REF!</v>
      </c>
    </row>
    <row r="59" ht="14.25" customHeight="1">
      <c r="A59" s="125">
        <f t="shared" si="106"/>
        <v>56</v>
      </c>
      <c r="B59" s="126" t="str">
        <f t="shared" si="1"/>
        <v>#REF!</v>
      </c>
      <c r="C59" s="140" t="str">
        <f>'Calculateur (1)'!C58+'Scénario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9" s="127">
        <f t="shared" si="107"/>
        <v>0</v>
      </c>
      <c r="E59" s="127" t="str">
        <f t="shared" si="2"/>
        <v>#REF!</v>
      </c>
      <c r="F59" s="127" t="str">
        <f t="shared" si="3"/>
        <v>#REF!</v>
      </c>
      <c r="G59" s="127" t="str">
        <f t="shared" si="4"/>
        <v>#REF!</v>
      </c>
      <c r="H59" s="128" t="str">
        <f t="shared" si="5"/>
        <v>#REF!</v>
      </c>
      <c r="I59" s="129" t="str">
        <f t="shared" si="6"/>
        <v>#REF!</v>
      </c>
      <c r="J59" s="130">
        <f t="shared" si="7"/>
        <v>10</v>
      </c>
      <c r="K59" s="131" t="str">
        <f t="shared" si="108"/>
        <v>#REF!</v>
      </c>
      <c r="L59" s="131" t="str">
        <f t="shared" si="8"/>
        <v>#REF!</v>
      </c>
      <c r="M59" s="131" t="str">
        <f t="array" ref="M59">INDEX(L:L,MIN(IF(ISNUMBER(L59:L255),ROW(L59:L255),"")))</f>
        <v/>
      </c>
      <c r="N59" s="130" t="str">
        <f t="shared" si="109"/>
        <v>#REF!</v>
      </c>
      <c r="O59" s="130" t="str">
        <f>N59*VLOOKUP('Données projet (1)'!$B$9,'Paramètres (1)'!$A$1:$I$88,3,0)*VLOOKUP('Données projet (1)'!$B$9,'Paramètres (1)'!$A$1:$I$88,5,0)</f>
        <v>#REF!</v>
      </c>
      <c r="P59" s="130" t="str">
        <f t="shared" si="110"/>
        <v>#REF!</v>
      </c>
      <c r="Q59" s="141" t="str">
        <f t="shared" si="9"/>
        <v>#REF!</v>
      </c>
      <c r="R59" s="133" t="str">
        <f t="shared" si="10"/>
        <v>#REF!</v>
      </c>
      <c r="S59" s="133" t="str">
        <f t="shared" si="11"/>
        <v>#REF!</v>
      </c>
      <c r="T59" s="133" t="str">
        <f t="shared" si="111"/>
        <v>#REF!</v>
      </c>
      <c r="U59" s="134" t="str">
        <f t="shared" si="12"/>
        <v>#REF!</v>
      </c>
      <c r="V59" s="134" t="str">
        <f t="shared" si="13"/>
        <v>#REF!</v>
      </c>
      <c r="W59" s="135" t="str">
        <f>IF(ISNA(VLOOKUP(A59,'Données projet (1)'!$A$35:$I$55,5,0)),0%,VLOOKUP(A59,'Données projet (1)'!$A$35:$I$55,5,0)*VLOOKUP('Données projet (1)'!$B$9,'Paramètres (1)'!$A$1:$I$88,7,0))</f>
        <v>#REF!</v>
      </c>
      <c r="X59" s="135" t="str">
        <f>IF(ISNA(VLOOKUP(A59,'Données projet (1)'!$A$35:$I$55,6,0)),0%,VLOOKUP(A59,'Données projet (1)'!$A$35:$I$55,6,0)*VLOOKUP('Données projet (1)'!$B$9,'Paramètres (1)'!$A$1:$I$88,7,0))</f>
        <v>#REF!</v>
      </c>
      <c r="Y59" s="135" t="str">
        <f t="shared" si="14"/>
        <v>#REF!</v>
      </c>
      <c r="Z59" s="142" t="str">
        <f>EXP(-LN(2)/35)*Z58+(1-EXP(-LN(2)/35))/(LN(2)/35)*V59*W59*VLOOKUP('Données projet (1)'!$B$9,'Paramètres (1)'!$A$1:$I$88,3,0)*0.475*44/12</f>
        <v>#REF!</v>
      </c>
      <c r="AA59" s="142" t="str">
        <f>EXP(-LN(2)/25)*AA58+(1-EXP(-LN(2)/25))/(LN(2)/25)*'Calculateur (1)'!V59*'Calculateur (1)'!X59*VLOOKUP('Données projet (1)'!$B$9,'Paramètres (1)'!$A$1:$I$88,3,0)*0.475*44/12</f>
        <v>#REF!</v>
      </c>
      <c r="AB59" s="142" t="str">
        <f>EXP(-LN(2)/2)*AB58+(1-EXP(-LN(2)/2))/(LN(2)/2)*V59*Y59*VLOOKUP('Données projet (1)'!$B$9,'Paramètres (1)'!$A$1:$I$88,3,0)*0.475*44/12</f>
        <v>#REF!</v>
      </c>
      <c r="AC59" s="143" t="str">
        <f t="shared" si="15"/>
        <v>#REF!</v>
      </c>
      <c r="AD59" s="130" t="str">
        <f t="shared" si="16"/>
        <v>#REF!</v>
      </c>
      <c r="AE59" s="130">
        <f t="shared" si="17"/>
        <v>10</v>
      </c>
      <c r="AF59" s="131" t="str">
        <f t="shared" si="112"/>
        <v>#REF!</v>
      </c>
      <c r="AG59" s="131" t="str">
        <f t="shared" si="18"/>
        <v>#REF!</v>
      </c>
      <c r="AH59" s="131" t="str">
        <f t="array" ref="AH59">INDEX(AG:AG,MIN(IF(ISNUMBER(AG59:AG255),ROW(AG59:AG255),"")))</f>
        <v/>
      </c>
      <c r="AI59" s="130" t="str">
        <f t="shared" si="113"/>
        <v>#REF!</v>
      </c>
      <c r="AJ59" s="130" t="str">
        <f>AI59*VLOOKUP('Données projet (1)'!$B$10,'Paramètres (1)'!$A$1:$I$88,3,0)*VLOOKUP('Données projet (1)'!$B$10,'Paramètres (1)'!$A$1:$I$88,5,0)</f>
        <v>#REF!</v>
      </c>
      <c r="AK59" s="130" t="str">
        <f t="shared" si="114"/>
        <v>#REF!</v>
      </c>
      <c r="AL59" s="141" t="str">
        <f t="shared" si="19"/>
        <v>#REF!</v>
      </c>
      <c r="AM59" s="133" t="str">
        <f t="shared" si="20"/>
        <v>#REF!</v>
      </c>
      <c r="AN59" s="133" t="str">
        <f t="shared" si="21"/>
        <v>#REF!</v>
      </c>
      <c r="AO59" s="133" t="str">
        <f t="shared" si="115"/>
        <v>#REF!</v>
      </c>
      <c r="AP59" s="134" t="str">
        <f t="shared" si="22"/>
        <v>#REF!</v>
      </c>
      <c r="AQ59" s="134" t="str">
        <f t="shared" si="23"/>
        <v>#REF!</v>
      </c>
      <c r="AR59" s="135" t="str">
        <f>IF(ISNA(VLOOKUP(A59,'Données projet (1)'!$A$61:$I$81,5,0)),0%,VLOOKUP(A59,'Données projet (1)'!$A$61:$I$81,5,0)*VLOOKUP('Données projet (1)'!$B$10,'Paramètres (1)'!$A$1:$I$88,7,0))</f>
        <v>#REF!</v>
      </c>
      <c r="AS59" s="135" t="str">
        <f>IF(ISNA(VLOOKUP(A59,'Données projet (1)'!$A$61:$I$81,6,0)),0%,VLOOKUP(A59,'Données projet (1)'!$A$61:$I$81,6,0)*VLOOKUP('Données projet (1)'!$B$10,'Paramètres (1)'!$A$1:$I$88,7,0))</f>
        <v>#REF!</v>
      </c>
      <c r="AT59" s="135" t="str">
        <f t="shared" si="24"/>
        <v>#REF!</v>
      </c>
      <c r="AU59" s="142" t="str">
        <f>EXP(-LN(2)/35)*AU58+(1-EXP(-LN(2)/35))/(LN(2)/35)*AQ59*AR59*VLOOKUP('Données projet (1)'!$B$10,'Paramètres (1)'!$A$1:$I$88,3,0)*0.475*44/12</f>
        <v>#REF!</v>
      </c>
      <c r="AV59" s="142" t="str">
        <f>EXP(-LN(2)/25)*AV58+(1-EXP(-LN(2)/25))/(LN(2)/25)*'Calculateur (1)'!AQ59*'Calculateur (1)'!AS59*VLOOKUP('Données projet (1)'!$B$10,'Paramètres (1)'!$A$1:$I$88,3,0)*0.475*44/12</f>
        <v>#REF!</v>
      </c>
      <c r="AW59" s="142" t="str">
        <f>EXP(-LN(2)/2)*AW58+(1-EXP(-LN(2)/2))/(LN(2)/2)*AQ59*AT59*VLOOKUP('Données projet (1)'!$B$10,'Paramètres (1)'!$A$1:$I$88,3,0)*0.475*44/12</f>
        <v>#REF!</v>
      </c>
      <c r="AX59" s="142" t="str">
        <f t="shared" si="25"/>
        <v>#REF!</v>
      </c>
      <c r="AY59" s="137" t="str">
        <f t="shared" si="26"/>
        <v>#REF!</v>
      </c>
      <c r="AZ59" s="131">
        <f t="shared" si="27"/>
        <v>10</v>
      </c>
      <c r="BA59" s="131" t="str">
        <f t="shared" si="116"/>
        <v>#REF!</v>
      </c>
      <c r="BB59" s="131" t="str">
        <f t="shared" si="28"/>
        <v>#REF!</v>
      </c>
      <c r="BC59" s="131" t="str">
        <f t="array" ref="BC59">INDEX(BB:BB,MIN(IF(ISNUMBER(BB59:BB255),ROW(BB59:BB255),"")))</f>
        <v/>
      </c>
      <c r="BD59" s="131" t="str">
        <f t="shared" si="117"/>
        <v>#REF!</v>
      </c>
      <c r="BE59" s="130" t="str">
        <f>BD59*VLOOKUP('Données projet (1)'!$B$11,'Paramètres (1)'!$A$1:$I$88,3,0)*VLOOKUP('Données projet (1)'!$B$11,'Paramètres (1)'!$A$1:$I$88,5,0)</f>
        <v>#REF!</v>
      </c>
      <c r="BF59" s="130" t="str">
        <f t="shared" si="118"/>
        <v>#REF!</v>
      </c>
      <c r="BG59" s="141" t="str">
        <f t="shared" si="29"/>
        <v>#REF!</v>
      </c>
      <c r="BH59" s="133" t="str">
        <f t="shared" si="30"/>
        <v>#REF!</v>
      </c>
      <c r="BI59" s="133" t="str">
        <f t="shared" si="31"/>
        <v>#REF!</v>
      </c>
      <c r="BJ59" s="133" t="str">
        <f t="shared" si="119"/>
        <v>#REF!</v>
      </c>
      <c r="BK59" s="134" t="str">
        <f t="shared" si="32"/>
        <v>#REF!</v>
      </c>
      <c r="BL59" s="134" t="str">
        <f t="shared" si="33"/>
        <v>#REF!</v>
      </c>
      <c r="BM59" s="135" t="str">
        <f>IF(ISNA(VLOOKUP(A59,'Données projet (1)'!$A$87:$I$107,5,0)),0%,VLOOKUP(A59,'Données projet (1)'!$A$87:$I$107,5,0)*VLOOKUP('Données projet (1)'!$B$11,'Paramètres (1)'!$A$1:$I$88,7,0))</f>
        <v>#REF!</v>
      </c>
      <c r="BN59" s="135" t="str">
        <f>IF(ISNA(VLOOKUP(A59,'Données projet (1)'!$A$87:$I$107,6,0)),0%,VLOOKUP(A59,'Données projet (1)'!$A$87:$I$107,6,0)*VLOOKUP('Données projet (1)'!$B$11,'Paramètres (1)'!$A$1:$I$88,7,0))</f>
        <v>#REF!</v>
      </c>
      <c r="BO59" s="135" t="str">
        <f t="shared" si="34"/>
        <v>#REF!</v>
      </c>
      <c r="BP59" s="142" t="str">
        <f>EXP(-LN(2)/35)*BP58+(1-EXP(-LN(2)/35))/(LN(2)/35)*BL59*BM59*VLOOKUP('Données projet (1)'!$B$11,'Paramètres (1)'!$A$1:$I$88,3,0)*0.475*44/12</f>
        <v>#REF!</v>
      </c>
      <c r="BQ59" s="142" t="str">
        <f>EXP(-LN(2)/25)*BQ58+(1-EXP(-LN(2)/25))/(LN(2)/25)*'Calculateur (1)'!BL59*'Calculateur (1)'!BN59*VLOOKUP('Données projet (1)'!$B$11,'Paramètres (1)'!$A$1:$I$88,3,0)*0.475*44/12</f>
        <v>#REF!</v>
      </c>
      <c r="BR59" s="142" t="str">
        <f>EXP(-LN(2)/2)*BR58+(1-EXP(-LN(2)/2))/(LN(2)/2)*BL59*BO59*VLOOKUP('Données projet (1)'!$B$11,'Paramètres (1)'!$A$1:$I$88,3,0)*0.475*44/12</f>
        <v>#REF!</v>
      </c>
      <c r="BS59" s="143" t="str">
        <f t="shared" si="35"/>
        <v>#REF!</v>
      </c>
      <c r="BT59" s="139" t="str">
        <f t="shared" si="36"/>
        <v>#REF!</v>
      </c>
      <c r="BU59" s="131">
        <f t="shared" si="37"/>
        <v>10</v>
      </c>
      <c r="BV59" s="131" t="str">
        <f t="shared" si="120"/>
        <v>#REF!</v>
      </c>
      <c r="BW59" s="131" t="str">
        <f t="shared" si="38"/>
        <v>#REF!</v>
      </c>
      <c r="BX59" s="131" t="str">
        <f t="array" ref="BX59">INDEX(BW:BW,MIN(IF(ISNUMBER(BW59:BW255),ROW(BW59:BW255),"")))</f>
        <v/>
      </c>
      <c r="BY59" s="131" t="str">
        <f t="shared" si="121"/>
        <v>#REF!</v>
      </c>
      <c r="BZ59" s="130" t="str">
        <f>BY59*VLOOKUP('Données projet (1)'!$B$12,'Paramètres (1)'!$A$1:$I$88,3,0)*VLOOKUP('Données projet (1)'!$B$12,'Paramètres (1)'!$A$1:$I$88,5,0)</f>
        <v>#REF!</v>
      </c>
      <c r="CA59" s="130" t="str">
        <f t="shared" si="122"/>
        <v>#REF!</v>
      </c>
      <c r="CB59" s="141" t="str">
        <f t="shared" si="39"/>
        <v>#REF!</v>
      </c>
      <c r="CC59" s="133" t="str">
        <f t="shared" si="40"/>
        <v>#REF!</v>
      </c>
      <c r="CD59" s="133" t="str">
        <f t="shared" si="41"/>
        <v>#REF!</v>
      </c>
      <c r="CE59" s="133" t="str">
        <f t="shared" si="123"/>
        <v>#REF!</v>
      </c>
      <c r="CF59" s="134" t="str">
        <f t="shared" si="42"/>
        <v>#REF!</v>
      </c>
      <c r="CG59" s="134" t="str">
        <f t="shared" si="43"/>
        <v>#REF!</v>
      </c>
      <c r="CH59" s="135" t="str">
        <f>IF(ISNA(VLOOKUP(A59,'Données projet (1)'!$A$113:$I$133,5,0)),0%,VLOOKUP(A59,'Données projet (1)'!$A$113:$I$133,5,0)*VLOOKUP('Données projet (1)'!$B$12,'Paramètres (1)'!$A$1:$I$88,7,0))</f>
        <v>#REF!</v>
      </c>
      <c r="CI59" s="135" t="str">
        <f>IF(ISNA(VLOOKUP(A59,'Données projet (1)'!$A$113:$I$133,6,0)),0%,VLOOKUP(A59,'Données projet (1)'!$A$113:$I$133,6,0)*VLOOKUP('Données projet (1)'!$B$12,'Paramètres (1)'!$A$1:$I$88,7,0))</f>
        <v>#REF!</v>
      </c>
      <c r="CJ59" s="135" t="str">
        <f t="shared" si="44"/>
        <v>#REF!</v>
      </c>
      <c r="CK59" s="142" t="str">
        <f>EXP(-LN(2)/35)*CK58+(1-EXP(-LN(2)/35))/(LN(2)/35)*CG59*CH59*VLOOKUP('Données projet (1)'!$B$12,'Paramètres (1)'!$A$1:$I$88,3,0)*0.475*44/12</f>
        <v>#REF!</v>
      </c>
      <c r="CL59" s="142" t="str">
        <f>EXP(-LN(2)/25)*CL58+(1-EXP(-LN(2)/25))/(LN(2)/25)*'Calculateur (1)'!CG59*'Calculateur (1)'!CI59*VLOOKUP('Données projet (1)'!$B$12,'Paramètres (1)'!$A$1:$I$88,3,0)*0.475*44/12</f>
        <v>#REF!</v>
      </c>
      <c r="CM59" s="142" t="str">
        <f>EXP(-LN(2)/2)*CM58+(1-EXP(-LN(2)/2))/(LN(2)/2)*CG59*CJ59*VLOOKUP('Données projet (1)'!$B$12,'Paramètres (1)'!$A$1:$I$88,3,0)*0.475*44/12</f>
        <v>#REF!</v>
      </c>
      <c r="CN59" s="143" t="str">
        <f t="shared" si="45"/>
        <v>#REF!</v>
      </c>
      <c r="CO59" s="139" t="str">
        <f t="shared" si="46"/>
        <v>#REF!</v>
      </c>
      <c r="CP59" s="131">
        <f t="shared" si="47"/>
        <v>10</v>
      </c>
      <c r="CQ59" s="131" t="str">
        <f t="shared" si="124"/>
        <v>#REF!</v>
      </c>
      <c r="CR59" s="131" t="str">
        <f t="shared" si="48"/>
        <v>#REF!</v>
      </c>
      <c r="CS59" s="131" t="str">
        <f t="array" ref="CS59">INDEX(CR:CR,MIN(IF(ISNUMBER(CR59:CR255),ROW(CR59:CR255),"")))</f>
        <v/>
      </c>
      <c r="CT59" s="131" t="str">
        <f t="shared" si="125"/>
        <v>#REF!</v>
      </c>
      <c r="CU59" s="138" t="str">
        <f>CT59*VLOOKUP('Données projet (1)'!$B$13,'Paramètres (1)'!$A$1:$I$88,3,0)*VLOOKUP('Données projet (1)'!$B$13,'Paramètres (1)'!$A$1:$I$88,5,0)</f>
        <v>#REF!</v>
      </c>
      <c r="CV59" s="130" t="str">
        <f t="shared" si="126"/>
        <v>#REF!</v>
      </c>
      <c r="CW59" s="141" t="str">
        <f t="shared" si="49"/>
        <v>#REF!</v>
      </c>
      <c r="CX59" s="133" t="str">
        <f t="shared" si="50"/>
        <v>#REF!</v>
      </c>
      <c r="CY59" s="133" t="str">
        <f t="shared" si="51"/>
        <v>#REF!</v>
      </c>
      <c r="CZ59" s="133" t="str">
        <f t="shared" si="127"/>
        <v>#REF!</v>
      </c>
      <c r="DA59" s="134" t="str">
        <f t="shared" si="52"/>
        <v>#REF!</v>
      </c>
      <c r="DB59" s="134" t="str">
        <f t="shared" si="53"/>
        <v>#REF!</v>
      </c>
      <c r="DC59" s="135" t="str">
        <f>IF(ISNA(VLOOKUP(A59,'Données projet (1)'!$A$139:$I$159,5,0)),0%,VLOOKUP(A59,'Données projet (1)'!$A$139:$I$159,5,0)*VLOOKUP('Données projet (1)'!$B$13,'Paramètres (1)'!$A$1:$I$88,7,0))</f>
        <v>#REF!</v>
      </c>
      <c r="DD59" s="135" t="str">
        <f>IF(ISNA(VLOOKUP(A59,'Données projet (1)'!$A$139:$I$159,6,0)),0%,VLOOKUP(A59,'Données projet (1)'!$A$139:$I$159,6,0)*VLOOKUP('Données projet (1)'!$B$13,'Paramètres (1)'!$A$1:$I$88,7,0))</f>
        <v>#REF!</v>
      </c>
      <c r="DE59" s="135" t="str">
        <f t="shared" si="54"/>
        <v>#REF!</v>
      </c>
      <c r="DF59" s="142" t="str">
        <f>EXP(-LN(2)/35)*DF58+(1-EXP(-LN(2)/35))/(LN(2)/35)*DB59*DC59*VLOOKUP('Données projet (1)'!$B$13,'Paramètres (1)'!$A$1:$I$88,3,0)*0.475*44/12</f>
        <v>#REF!</v>
      </c>
      <c r="DG59" s="142" t="str">
        <f>EXP(-LN(2)/25)*DG58+(1-EXP(-LN(2)/25))/(LN(2)/25)*'Calculateur (1)'!DB59*'Calculateur (1)'!DD59*VLOOKUP('Données projet (1)'!$B$13,'Paramètres (1)'!$A$1:$I$88,3,0)*0.475*44/12</f>
        <v>#REF!</v>
      </c>
      <c r="DH59" s="142" t="str">
        <f>EXP(-LN(2)/2)*DH58+(1-EXP(-LN(2)/2))/(LN(2)/2)*DB59*DE59*VLOOKUP('Données projet (1)'!$B$13,'Paramètres (1)'!$A$1:$I$88,3,0)*0.475*44/12</f>
        <v>#REF!</v>
      </c>
      <c r="DI59" s="143" t="str">
        <f t="shared" si="55"/>
        <v>#REF!</v>
      </c>
      <c r="DJ59" s="139" t="str">
        <f t="shared" si="56"/>
        <v>#REF!</v>
      </c>
      <c r="DK59" s="131">
        <f t="shared" si="57"/>
        <v>10</v>
      </c>
      <c r="DL59" s="131" t="str">
        <f t="shared" si="128"/>
        <v>#REF!</v>
      </c>
      <c r="DM59" s="131" t="str">
        <f t="shared" si="58"/>
        <v>#REF!</v>
      </c>
      <c r="DN59" s="131" t="str">
        <f t="array" ref="DN59">INDEX(DM:DM,MIN(IF(ISNUMBER(DM59:DM255),ROW(DM59:DM255),"")))</f>
        <v/>
      </c>
      <c r="DO59" s="131" t="str">
        <f t="shared" si="129"/>
        <v>#REF!</v>
      </c>
      <c r="DP59" s="138" t="str">
        <f>DO59*VLOOKUP('Données projet (1)'!$B$14,'Paramètres (1)'!$A$1:$I$88,3,0)*VLOOKUP('Données projet (1)'!$B$14,'Paramètres (1)'!$A$1:$I$88,5,0)</f>
        <v>#REF!</v>
      </c>
      <c r="DQ59" s="130" t="str">
        <f t="shared" si="130"/>
        <v>#REF!</v>
      </c>
      <c r="DR59" s="141" t="str">
        <f t="shared" si="59"/>
        <v>#REF!</v>
      </c>
      <c r="DS59" s="133" t="str">
        <f t="shared" si="60"/>
        <v>#REF!</v>
      </c>
      <c r="DT59" s="133" t="str">
        <f t="shared" si="61"/>
        <v>#REF!</v>
      </c>
      <c r="DU59" s="133" t="str">
        <f t="shared" si="131"/>
        <v>#REF!</v>
      </c>
      <c r="DV59" s="134" t="str">
        <f t="shared" si="62"/>
        <v>#REF!</v>
      </c>
      <c r="DW59" s="134" t="str">
        <f t="shared" si="63"/>
        <v>#REF!</v>
      </c>
      <c r="DX59" s="135" t="str">
        <f>IF(ISNA(VLOOKUP(A59,'Données projet (1)'!$A$165:$I$185,5,0)),0%,VLOOKUP(A59,'Données projet (1)'!$A$165:$I$185,5,0)*VLOOKUP('Données projet (1)'!$B$14,'Paramètres (1)'!$A$1:$I$88,7,0))</f>
        <v>#REF!</v>
      </c>
      <c r="DY59" s="135" t="str">
        <f>IF(ISNA(VLOOKUP(A59,'Données projet (1)'!$A$165:$I$185,6,0)),0%,VLOOKUP(A59,'Données projet (1)'!$A$165:$I$185,6,0)*VLOOKUP('Données projet (1)'!$B$14,'Paramètres (1)'!$A$1:$I$88,7,0))</f>
        <v>#REF!</v>
      </c>
      <c r="DZ59" s="135" t="str">
        <f t="shared" si="64"/>
        <v>#REF!</v>
      </c>
      <c r="EA59" s="142" t="str">
        <f>EXP(-LN(2)/35)*EA58+(1-EXP(-LN(2)/35))/(LN(2)/35)*DW59*DX59*VLOOKUP('Données projet (1)'!$B$14,'Paramètres (1)'!$A$1:$I$88,3,0)*0.475*44/12</f>
        <v>#REF!</v>
      </c>
      <c r="EB59" s="142" t="str">
        <f>EXP(-LN(2)/25)*EB58+(1-EXP(-LN(2)/25))/(LN(2)/25)*'Calculateur (1)'!DW59*'Calculateur (1)'!DY59*VLOOKUP('Données projet (1)'!$B$14,'Paramètres (1)'!$A$1:$I$88,3,0)*0.475*44/12</f>
        <v>#REF!</v>
      </c>
      <c r="EC59" s="142" t="str">
        <f>EXP(-LN(2)/2)*EC58+(1-EXP(-LN(2)/2))/(LN(2)/2)*DW59*DZ59*VLOOKUP('Données projet (1)'!$B$14,'Paramètres (1)'!$A$1:$I$88,3,0)*0.475*44/12</f>
        <v>#REF!</v>
      </c>
      <c r="ED59" s="143" t="str">
        <f t="shared" si="65"/>
        <v>#REF!</v>
      </c>
      <c r="EE59" s="139" t="str">
        <f t="shared" si="66"/>
        <v>#REF!</v>
      </c>
      <c r="EF59" s="131">
        <f t="shared" si="67"/>
        <v>10</v>
      </c>
      <c r="EG59" s="131" t="str">
        <f t="shared" si="132"/>
        <v>#REF!</v>
      </c>
      <c r="EH59" s="131" t="str">
        <f t="shared" si="68"/>
        <v>#REF!</v>
      </c>
      <c r="EI59" s="131" t="str">
        <f t="array" ref="EI59">INDEX(EH:EH,MIN(IF(ISNUMBER(EH59:EH255),ROW(EH59:EH255),"")))</f>
        <v/>
      </c>
      <c r="EJ59" s="131" t="str">
        <f t="shared" si="133"/>
        <v>#REF!</v>
      </c>
      <c r="EK59" s="138" t="str">
        <f>EJ59*VLOOKUP('Données projet (1)'!$B$15,'Paramètres (1)'!$A$1:$I$88,3,0)*VLOOKUP('Données projet (1)'!$B$15,'Paramètres (1)'!$A$1:$I$88,5,0)</f>
        <v>#REF!</v>
      </c>
      <c r="EL59" s="130" t="str">
        <f t="shared" si="134"/>
        <v>#REF!</v>
      </c>
      <c r="EM59" s="141" t="str">
        <f t="shared" si="69"/>
        <v>#REF!</v>
      </c>
      <c r="EN59" s="133" t="str">
        <f t="shared" si="70"/>
        <v>#REF!</v>
      </c>
      <c r="EO59" s="133" t="str">
        <f t="shared" si="71"/>
        <v>#REF!</v>
      </c>
      <c r="EP59" s="133" t="str">
        <f t="shared" si="135"/>
        <v>#REF!</v>
      </c>
      <c r="EQ59" s="134" t="str">
        <f t="shared" si="72"/>
        <v>#REF!</v>
      </c>
      <c r="ER59" s="134" t="str">
        <f t="shared" si="73"/>
        <v>#REF!</v>
      </c>
      <c r="ES59" s="135" t="str">
        <f>IF(ISNA(VLOOKUP(A59,'Données projet (1)'!$A$191:$I$211,5,0)),0%,VLOOKUP(A59,'Données projet (1)'!$A$191:$I$211,5,0)*VLOOKUP('Données projet (1)'!$B$15,'Paramètres (1)'!$A$1:$I$88,7,0))</f>
        <v>#REF!</v>
      </c>
      <c r="ET59" s="135" t="str">
        <f>IF(ISNA(VLOOKUP(A59,'Données projet (1)'!$A$191:$I$211,6,0)),0%,VLOOKUP(A59,'Données projet (1)'!$A$191:$I$211,6,0)*VLOOKUP('Données projet (1)'!$B$15,'Paramètres (1)'!$A$1:$I$88,7,0))</f>
        <v>#REF!</v>
      </c>
      <c r="EU59" s="135" t="str">
        <f t="shared" si="74"/>
        <v>#REF!</v>
      </c>
      <c r="EV59" s="142" t="str">
        <f>EXP(-LN(2)/35)*EV58+(1-EXP(-LN(2)/35))/(LN(2)/35)*ER59*ES59*VLOOKUP('Données projet (1)'!$B$15,'Paramètres (1)'!$A$1:$I$88,3,0)*0.475*44/12</f>
        <v>#REF!</v>
      </c>
      <c r="EW59" s="142" t="str">
        <f>EXP(-LN(2)/25)*EW58+(1-EXP(-LN(2)/25))/(LN(2)/25)*'Calculateur (1)'!ER59*'Calculateur (1)'!ET59*VLOOKUP('Données projet (1)'!$B$15,'Paramètres (1)'!$A$1:$I$88,3,0)*0.475*44/12</f>
        <v>#REF!</v>
      </c>
      <c r="EX59" s="142" t="str">
        <f>EXP(-LN(2)/2)*EX58+(1-EXP(-LN(2)/2))/(LN(2)/2)*ER59*EU59*VLOOKUP('Données projet (1)'!$B$15,'Paramètres (1)'!$A$1:$I$88,3,0)*0.475*44/12</f>
        <v>#REF!</v>
      </c>
      <c r="EY59" s="143" t="str">
        <f t="shared" si="75"/>
        <v>#REF!</v>
      </c>
      <c r="EZ59" s="139" t="str">
        <f t="shared" si="76"/>
        <v>#REF!</v>
      </c>
      <c r="FA59" s="131">
        <f t="shared" si="77"/>
        <v>10</v>
      </c>
      <c r="FB59" s="131" t="str">
        <f t="shared" si="136"/>
        <v>#REF!</v>
      </c>
      <c r="FC59" s="131" t="str">
        <f t="shared" si="78"/>
        <v>#REF!</v>
      </c>
      <c r="FD59" s="131" t="str">
        <f t="array" ref="FD59">INDEX(FC:FC,MIN(IF(ISNUMBER(FC59:FC255),ROW(FC59:FC255),"")))</f>
        <v/>
      </c>
      <c r="FE59" s="131" t="str">
        <f t="shared" si="137"/>
        <v>#REF!</v>
      </c>
      <c r="FF59" s="138" t="str">
        <f>FE59*VLOOKUP('Données projet (1)'!$B$16,'Paramètres (1)'!$A$1:$I$88,3,0)*VLOOKUP('Données projet (1)'!$B$16,'Paramètres (1)'!$A$1:$I$88,5,0)</f>
        <v>#REF!</v>
      </c>
      <c r="FG59" s="130" t="str">
        <f t="shared" si="138"/>
        <v>#REF!</v>
      </c>
      <c r="FH59" s="141" t="str">
        <f t="shared" si="79"/>
        <v>#REF!</v>
      </c>
      <c r="FI59" s="133" t="str">
        <f t="shared" si="80"/>
        <v>#REF!</v>
      </c>
      <c r="FJ59" s="133" t="str">
        <f t="shared" si="81"/>
        <v>#REF!</v>
      </c>
      <c r="FK59" s="133" t="str">
        <f t="shared" si="139"/>
        <v>#REF!</v>
      </c>
      <c r="FL59" s="134" t="str">
        <f t="shared" si="82"/>
        <v>#REF!</v>
      </c>
      <c r="FM59" s="134" t="str">
        <f t="shared" si="83"/>
        <v>#REF!</v>
      </c>
      <c r="FN59" s="135" t="str">
        <f>IF(ISNA(VLOOKUP(A59,'Données projet (1)'!$A$217:$I$237,5,0)),0%,VLOOKUP(A59,'Données projet (1)'!$A$217:$I$237,5,0)*VLOOKUP('Données projet (1)'!$B$16,'Paramètres (1)'!$A$1:$I$88,7,0))</f>
        <v>#REF!</v>
      </c>
      <c r="FO59" s="135" t="str">
        <f>IF(ISNA(VLOOKUP(A59,'Données projet (1)'!$A$217:$I$237,6,0)),0%,VLOOKUP(A59,'Données projet (1)'!$A$217:$I$237,6,0)*VLOOKUP('Données projet (1)'!$B$16,'Paramètres (1)'!$A$1:$I$88,7,0))</f>
        <v>#REF!</v>
      </c>
      <c r="FP59" s="135" t="str">
        <f t="shared" si="84"/>
        <v>#REF!</v>
      </c>
      <c r="FQ59" s="142" t="str">
        <f>EXP(-LN(2)/35)*FQ58+(1-EXP(-LN(2)/35))/(LN(2)/35)*FM59*FN59*VLOOKUP('Données projet (1)'!$B$16,'Paramètres (1)'!$A$1:$I$88,3,0)*0.475*44/12</f>
        <v>#REF!</v>
      </c>
      <c r="FR59" s="142" t="str">
        <f>EXP(-LN(2)/25)*FR58+(1-EXP(-LN(2)/25))/(LN(2)/25)*'Calculateur (1)'!FM59*'Calculateur (1)'!FO59*VLOOKUP('Données projet (1)'!$B$16,'Paramètres (1)'!$A$1:$I$88,3,0)*0.475*44/12</f>
        <v>#REF!</v>
      </c>
      <c r="FS59" s="142" t="str">
        <f>EXP(-LN(2)/2)*FS58+(1-EXP(-LN(2)/2))/(LN(2)/2)*FM59*FP59*VLOOKUP('Données projet (1)'!$B$16,'Paramètres (1)'!$A$1:$I$88,3,0)*0.475*44/12</f>
        <v>#REF!</v>
      </c>
      <c r="FT59" s="143" t="str">
        <f t="shared" si="85"/>
        <v>#REF!</v>
      </c>
      <c r="FU59" s="139" t="str">
        <f t="shared" si="86"/>
        <v>#REF!</v>
      </c>
      <c r="FV59" s="131">
        <f t="shared" si="87"/>
        <v>10</v>
      </c>
      <c r="FW59" s="131" t="str">
        <f t="shared" si="140"/>
        <v>#REF!</v>
      </c>
      <c r="FX59" s="131" t="str">
        <f t="shared" si="88"/>
        <v>#REF!</v>
      </c>
      <c r="FY59" s="131" t="str">
        <f t="array" ref="FY59">INDEX(FX:FX,MIN(IF(ISNUMBER(FX59:FX255),ROW(FX59:FX255),"")))</f>
        <v/>
      </c>
      <c r="FZ59" s="131" t="str">
        <f t="shared" si="141"/>
        <v>#REF!</v>
      </c>
      <c r="GA59" s="138" t="str">
        <f>FZ59*VLOOKUP('Données projet (1)'!$B$17,'Paramètres (1)'!$A$1:$I$88,3,0)*VLOOKUP('Données projet (1)'!$B$17,'Paramètres (1)'!$A$1:$I$88,5,0)</f>
        <v>#REF!</v>
      </c>
      <c r="GB59" s="130" t="str">
        <f t="shared" si="142"/>
        <v>#REF!</v>
      </c>
      <c r="GC59" s="141" t="str">
        <f t="shared" si="89"/>
        <v>#REF!</v>
      </c>
      <c r="GD59" s="133" t="str">
        <f t="shared" si="90"/>
        <v>#REF!</v>
      </c>
      <c r="GE59" s="133" t="str">
        <f t="shared" si="91"/>
        <v>#REF!</v>
      </c>
      <c r="GF59" s="133" t="str">
        <f t="shared" si="143"/>
        <v>#REF!</v>
      </c>
      <c r="GG59" s="134" t="str">
        <f t="shared" si="92"/>
        <v>#REF!</v>
      </c>
      <c r="GH59" s="134" t="str">
        <f t="shared" si="93"/>
        <v>#REF!</v>
      </c>
      <c r="GI59" s="135" t="str">
        <f>IF(ISNA(VLOOKUP(A59,'Données projet (1)'!$A$243:$I$263,5,0)),0%,VLOOKUP(A59,'Données projet (1)'!$A$243:$I$263,5,0)*VLOOKUP('Données projet (1)'!$B$17,'Paramètres (1)'!$A$1:$I$88,7,0))</f>
        <v>#REF!</v>
      </c>
      <c r="GJ59" s="135" t="str">
        <f>IF(ISNA(VLOOKUP(A59,'Données projet (1)'!$A$243:$I$263,6,0)),0%,VLOOKUP(A59,'Données projet (1)'!$A$243:$I$263,6,0)*VLOOKUP('Données projet (1)'!$B$17,'Paramètres (1)'!$A$1:$I$88,7,0))</f>
        <v>#REF!</v>
      </c>
      <c r="GK59" s="135" t="str">
        <f t="shared" si="94"/>
        <v>#REF!</v>
      </c>
      <c r="GL59" s="142" t="str">
        <f>EXP(-LN(2)/35)*GL58+(1-EXP(-LN(2)/35))/(LN(2)/35)*GH59*GI59*VLOOKUP('Données projet (1)'!$B$17,'Paramètres (1)'!$A$1:$I$88,3,0)*0.475*44/12</f>
        <v>#REF!</v>
      </c>
      <c r="GM59" s="142" t="str">
        <f>EXP(-LN(2)/25)*GM58+(1-EXP(-LN(2)/25))/(LN(2)/25)*'Calculateur (1)'!GH59*'Calculateur (1)'!GJ59*VLOOKUP('Données projet (1)'!$B$17,'Paramètres (1)'!$A$1:$I$88,3,0)*0.475*44/12</f>
        <v>#REF!</v>
      </c>
      <c r="GN59" s="142" t="str">
        <f>EXP(-LN(2)/2)*GN58+(1-EXP(-LN(2)/2))/(LN(2)/2)*GH59*GK59*VLOOKUP('Données projet (1)'!$B$17,'Paramètres (1)'!$A$1:$I$88,3,0)*0.475*44/12</f>
        <v>#REF!</v>
      </c>
      <c r="GO59" s="142" t="str">
        <f t="shared" si="95"/>
        <v>#REF!</v>
      </c>
      <c r="GP59" s="139" t="str">
        <f t="shared" si="96"/>
        <v>#REF!</v>
      </c>
      <c r="GQ59" s="131">
        <f t="shared" si="97"/>
        <v>10</v>
      </c>
      <c r="GR59" s="131" t="str">
        <f t="shared" si="144"/>
        <v>#REF!</v>
      </c>
      <c r="GS59" s="131" t="str">
        <f t="shared" si="98"/>
        <v>#REF!</v>
      </c>
      <c r="GT59" s="131" t="str">
        <f t="array" ref="GT59">INDEX(GS:GS,MIN(IF(ISNUMBER(GS59:GS255),ROW(GS59:GS255),"")))</f>
        <v/>
      </c>
      <c r="GU59" s="131" t="str">
        <f t="shared" si="145"/>
        <v>#REF!</v>
      </c>
      <c r="GV59" s="138" t="str">
        <f>GU59*VLOOKUP('Données projet (1)'!$B$18,'Paramètres (1)'!$A$1:$I$88,3,0)*VLOOKUP('Données projet (1)'!$B$18,'Paramètres (1)'!$A$1:$I$88,5,0)</f>
        <v>#REF!</v>
      </c>
      <c r="GW59" s="130" t="str">
        <f t="shared" si="146"/>
        <v>#REF!</v>
      </c>
      <c r="GX59" s="141" t="str">
        <f t="shared" si="99"/>
        <v>#REF!</v>
      </c>
      <c r="GY59" s="133" t="str">
        <f t="shared" si="100"/>
        <v>#REF!</v>
      </c>
      <c r="GZ59" s="133" t="str">
        <f t="shared" si="101"/>
        <v>#REF!</v>
      </c>
      <c r="HA59" s="133" t="str">
        <f t="shared" si="147"/>
        <v>#REF!</v>
      </c>
      <c r="HB59" s="134" t="str">
        <f t="shared" si="102"/>
        <v>#REF!</v>
      </c>
      <c r="HC59" s="134" t="str">
        <f t="shared" si="103"/>
        <v>#REF!</v>
      </c>
      <c r="HD59" s="135" t="str">
        <f>IF(ISNA(VLOOKUP(A59,'Données projet (1)'!$A$269:$I$289,5,0)),0%,VLOOKUP(A59,'Données projet (1)'!$A$269:$I$289,5,0)*VLOOKUP('Données projet (1)'!$B$18,'Paramètres (1)'!$A$1:$I$88,7,0))</f>
        <v>#REF!</v>
      </c>
      <c r="HE59" s="135" t="str">
        <f>IF(ISNA(VLOOKUP(A59,'Données projet (1)'!$A$269:$I$289,6,0)),0%,VLOOKUP(A59,'Données projet (1)'!$A$269:$I$289,6,0)*VLOOKUP('Données projet (1)'!$B$18,'Paramètres (1)'!$A$1:$I$88,7,0))</f>
        <v>#REF!</v>
      </c>
      <c r="HF59" s="135" t="str">
        <f t="shared" si="104"/>
        <v>#REF!</v>
      </c>
      <c r="HG59" s="142" t="str">
        <f>EXP(-LN(2)/35)*HG58+(1-EXP(-LN(2)/35))/(LN(2)/35)*HC59*HD59*VLOOKUP('Données projet (1)'!$B$18,'Paramètres (1)'!$A$1:$I$88,3,0)*0.475*44/12</f>
        <v>#REF!</v>
      </c>
      <c r="HH59" s="142" t="str">
        <f>EXP(-LN(2)/25)*HH58+(1-EXP(-LN(2)/25))/(LN(2)/25)*'Calculateur (1)'!HC59*'Calculateur (1)'!HE59*VLOOKUP('Données projet (1)'!$B$18,'Paramètres (1)'!$A$1:$I$88,3,0)*0.475*44/12</f>
        <v>#REF!</v>
      </c>
      <c r="HI59" s="142" t="str">
        <f>EXP(-LN(2)/2)*HI58+(1-EXP(-LN(2)/2))/(LN(2)/2)*HC59*HF59*VLOOKUP('Données projet (1)'!$B$18,'Paramètres (1)'!$A$1:$I$88,3,0)*0.475*44/12</f>
        <v>#REF!</v>
      </c>
      <c r="HJ59" s="143" t="str">
        <f t="shared" si="105"/>
        <v>#REF!</v>
      </c>
    </row>
    <row r="60" ht="14.25" customHeight="1">
      <c r="A60" s="125">
        <f t="shared" si="106"/>
        <v>57</v>
      </c>
      <c r="B60" s="126" t="str">
        <f t="shared" si="1"/>
        <v>#REF!</v>
      </c>
      <c r="C60" s="140" t="str">
        <f>'Calculateur (1)'!C59+'Scénario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0" s="127">
        <f t="shared" si="107"/>
        <v>0</v>
      </c>
      <c r="E60" s="127" t="str">
        <f t="shared" si="2"/>
        <v>#REF!</v>
      </c>
      <c r="F60" s="127" t="str">
        <f t="shared" si="3"/>
        <v>#REF!</v>
      </c>
      <c r="G60" s="127" t="str">
        <f t="shared" si="4"/>
        <v>#REF!</v>
      </c>
      <c r="H60" s="128" t="str">
        <f t="shared" si="5"/>
        <v>#REF!</v>
      </c>
      <c r="I60" s="129" t="str">
        <f t="shared" si="6"/>
        <v>#REF!</v>
      </c>
      <c r="J60" s="130">
        <f t="shared" si="7"/>
        <v>10</v>
      </c>
      <c r="K60" s="131" t="str">
        <f t="shared" si="108"/>
        <v>#REF!</v>
      </c>
      <c r="L60" s="131" t="str">
        <f t="shared" si="8"/>
        <v>#REF!</v>
      </c>
      <c r="M60" s="131" t="str">
        <f t="array" ref="M60">INDEX(L:L,MIN(IF(ISNUMBER(L60:L256),ROW(L60:L256),"")))</f>
        <v/>
      </c>
      <c r="N60" s="130" t="str">
        <f t="shared" si="109"/>
        <v>#REF!</v>
      </c>
      <c r="O60" s="130" t="str">
        <f>N60*VLOOKUP('Données projet (1)'!$B$9,'Paramètres (1)'!$A$1:$I$88,3,0)*VLOOKUP('Données projet (1)'!$B$9,'Paramètres (1)'!$A$1:$I$88,5,0)</f>
        <v>#REF!</v>
      </c>
      <c r="P60" s="130" t="str">
        <f t="shared" si="110"/>
        <v>#REF!</v>
      </c>
      <c r="Q60" s="141" t="str">
        <f t="shared" si="9"/>
        <v>#REF!</v>
      </c>
      <c r="R60" s="133" t="str">
        <f t="shared" si="10"/>
        <v>#REF!</v>
      </c>
      <c r="S60" s="133" t="str">
        <f t="shared" si="11"/>
        <v>#REF!</v>
      </c>
      <c r="T60" s="133" t="str">
        <f t="shared" si="111"/>
        <v>#REF!</v>
      </c>
      <c r="U60" s="134" t="str">
        <f t="shared" si="12"/>
        <v>#REF!</v>
      </c>
      <c r="V60" s="134" t="str">
        <f t="shared" si="13"/>
        <v>#REF!</v>
      </c>
      <c r="W60" s="135" t="str">
        <f>IF(ISNA(VLOOKUP(A60,'Données projet (1)'!$A$35:$I$55,5,0)),0%,VLOOKUP(A60,'Données projet (1)'!$A$35:$I$55,5,0)*VLOOKUP('Données projet (1)'!$B$9,'Paramètres (1)'!$A$1:$I$88,7,0))</f>
        <v>#REF!</v>
      </c>
      <c r="X60" s="135" t="str">
        <f>IF(ISNA(VLOOKUP(A60,'Données projet (1)'!$A$35:$I$55,6,0)),0%,VLOOKUP(A60,'Données projet (1)'!$A$35:$I$55,6,0)*VLOOKUP('Données projet (1)'!$B$9,'Paramètres (1)'!$A$1:$I$88,7,0))</f>
        <v>#REF!</v>
      </c>
      <c r="Y60" s="135" t="str">
        <f t="shared" si="14"/>
        <v>#REF!</v>
      </c>
      <c r="Z60" s="142" t="str">
        <f>EXP(-LN(2)/35)*Z59+(1-EXP(-LN(2)/35))/(LN(2)/35)*V60*W60*VLOOKUP('Données projet (1)'!$B$9,'Paramètres (1)'!$A$1:$I$88,3,0)*0.475*44/12</f>
        <v>#REF!</v>
      </c>
      <c r="AA60" s="142" t="str">
        <f>EXP(-LN(2)/25)*AA59+(1-EXP(-LN(2)/25))/(LN(2)/25)*'Calculateur (1)'!V60*'Calculateur (1)'!X60*VLOOKUP('Données projet (1)'!$B$9,'Paramètres (1)'!$A$1:$I$88,3,0)*0.475*44/12</f>
        <v>#REF!</v>
      </c>
      <c r="AB60" s="142" t="str">
        <f>EXP(-LN(2)/2)*AB59+(1-EXP(-LN(2)/2))/(LN(2)/2)*V60*Y60*VLOOKUP('Données projet (1)'!$B$9,'Paramètres (1)'!$A$1:$I$88,3,0)*0.475*44/12</f>
        <v>#REF!</v>
      </c>
      <c r="AC60" s="143" t="str">
        <f t="shared" si="15"/>
        <v>#REF!</v>
      </c>
      <c r="AD60" s="130" t="str">
        <f t="shared" si="16"/>
        <v>#REF!</v>
      </c>
      <c r="AE60" s="130">
        <f t="shared" si="17"/>
        <v>10</v>
      </c>
      <c r="AF60" s="131" t="str">
        <f t="shared" si="112"/>
        <v>#REF!</v>
      </c>
      <c r="AG60" s="131" t="str">
        <f t="shared" si="18"/>
        <v>#REF!</v>
      </c>
      <c r="AH60" s="131" t="str">
        <f t="array" ref="AH60">INDEX(AG:AG,MIN(IF(ISNUMBER(AG60:AG256),ROW(AG60:AG256),"")))</f>
        <v/>
      </c>
      <c r="AI60" s="130" t="str">
        <f t="shared" si="113"/>
        <v>#REF!</v>
      </c>
      <c r="AJ60" s="130" t="str">
        <f>AI60*VLOOKUP('Données projet (1)'!$B$10,'Paramètres (1)'!$A$1:$I$88,3,0)*VLOOKUP('Données projet (1)'!$B$10,'Paramètres (1)'!$A$1:$I$88,5,0)</f>
        <v>#REF!</v>
      </c>
      <c r="AK60" s="130" t="str">
        <f t="shared" si="114"/>
        <v>#REF!</v>
      </c>
      <c r="AL60" s="141" t="str">
        <f t="shared" si="19"/>
        <v>#REF!</v>
      </c>
      <c r="AM60" s="133" t="str">
        <f t="shared" si="20"/>
        <v>#REF!</v>
      </c>
      <c r="AN60" s="133" t="str">
        <f t="shared" si="21"/>
        <v>#REF!</v>
      </c>
      <c r="AO60" s="133" t="str">
        <f t="shared" si="115"/>
        <v>#REF!</v>
      </c>
      <c r="AP60" s="134" t="str">
        <f t="shared" si="22"/>
        <v>#REF!</v>
      </c>
      <c r="AQ60" s="134" t="str">
        <f t="shared" si="23"/>
        <v>#REF!</v>
      </c>
      <c r="AR60" s="135" t="str">
        <f>IF(ISNA(VLOOKUP(A60,'Données projet (1)'!$A$61:$I$81,5,0)),0%,VLOOKUP(A60,'Données projet (1)'!$A$61:$I$81,5,0)*VLOOKUP('Données projet (1)'!$B$10,'Paramètres (1)'!$A$1:$I$88,7,0))</f>
        <v>#REF!</v>
      </c>
      <c r="AS60" s="135" t="str">
        <f>IF(ISNA(VLOOKUP(A60,'Données projet (1)'!$A$61:$I$81,6,0)),0%,VLOOKUP(A60,'Données projet (1)'!$A$61:$I$81,6,0)*VLOOKUP('Données projet (1)'!$B$10,'Paramètres (1)'!$A$1:$I$88,7,0))</f>
        <v>#REF!</v>
      </c>
      <c r="AT60" s="135" t="str">
        <f t="shared" si="24"/>
        <v>#REF!</v>
      </c>
      <c r="AU60" s="142" t="str">
        <f>EXP(-LN(2)/35)*AU59+(1-EXP(-LN(2)/35))/(LN(2)/35)*AQ60*AR60*VLOOKUP('Données projet (1)'!$B$10,'Paramètres (1)'!$A$1:$I$88,3,0)*0.475*44/12</f>
        <v>#REF!</v>
      </c>
      <c r="AV60" s="142" t="str">
        <f>EXP(-LN(2)/25)*AV59+(1-EXP(-LN(2)/25))/(LN(2)/25)*'Calculateur (1)'!AQ60*'Calculateur (1)'!AS60*VLOOKUP('Données projet (1)'!$B$10,'Paramètres (1)'!$A$1:$I$88,3,0)*0.475*44/12</f>
        <v>#REF!</v>
      </c>
      <c r="AW60" s="142" t="str">
        <f>EXP(-LN(2)/2)*AW59+(1-EXP(-LN(2)/2))/(LN(2)/2)*AQ60*AT60*VLOOKUP('Données projet (1)'!$B$10,'Paramètres (1)'!$A$1:$I$88,3,0)*0.475*44/12</f>
        <v>#REF!</v>
      </c>
      <c r="AX60" s="142" t="str">
        <f t="shared" si="25"/>
        <v>#REF!</v>
      </c>
      <c r="AY60" s="137" t="str">
        <f t="shared" si="26"/>
        <v>#REF!</v>
      </c>
      <c r="AZ60" s="131">
        <f t="shared" si="27"/>
        <v>10</v>
      </c>
      <c r="BA60" s="131" t="str">
        <f t="shared" si="116"/>
        <v>#REF!</v>
      </c>
      <c r="BB60" s="131" t="str">
        <f t="shared" si="28"/>
        <v>#REF!</v>
      </c>
      <c r="BC60" s="131" t="str">
        <f t="array" ref="BC60">INDEX(BB:BB,MIN(IF(ISNUMBER(BB60:BB256),ROW(BB60:BB256),"")))</f>
        <v/>
      </c>
      <c r="BD60" s="131" t="str">
        <f t="shared" si="117"/>
        <v>#REF!</v>
      </c>
      <c r="BE60" s="130" t="str">
        <f>BD60*VLOOKUP('Données projet (1)'!$B$11,'Paramètres (1)'!$A$1:$I$88,3,0)*VLOOKUP('Données projet (1)'!$B$11,'Paramètres (1)'!$A$1:$I$88,5,0)</f>
        <v>#REF!</v>
      </c>
      <c r="BF60" s="130" t="str">
        <f t="shared" si="118"/>
        <v>#REF!</v>
      </c>
      <c r="BG60" s="141" t="str">
        <f t="shared" si="29"/>
        <v>#REF!</v>
      </c>
      <c r="BH60" s="133" t="str">
        <f t="shared" si="30"/>
        <v>#REF!</v>
      </c>
      <c r="BI60" s="133" t="str">
        <f t="shared" si="31"/>
        <v>#REF!</v>
      </c>
      <c r="BJ60" s="133" t="str">
        <f t="shared" si="119"/>
        <v>#REF!</v>
      </c>
      <c r="BK60" s="134" t="str">
        <f t="shared" si="32"/>
        <v>#REF!</v>
      </c>
      <c r="BL60" s="134" t="str">
        <f t="shared" si="33"/>
        <v>#REF!</v>
      </c>
      <c r="BM60" s="135" t="str">
        <f>IF(ISNA(VLOOKUP(A60,'Données projet (1)'!$A$87:$I$107,5,0)),0%,VLOOKUP(A60,'Données projet (1)'!$A$87:$I$107,5,0)*VLOOKUP('Données projet (1)'!$B$11,'Paramètres (1)'!$A$1:$I$88,7,0))</f>
        <v>#REF!</v>
      </c>
      <c r="BN60" s="135" t="str">
        <f>IF(ISNA(VLOOKUP(A60,'Données projet (1)'!$A$87:$I$107,6,0)),0%,VLOOKUP(A60,'Données projet (1)'!$A$87:$I$107,6,0)*VLOOKUP('Données projet (1)'!$B$11,'Paramètres (1)'!$A$1:$I$88,7,0))</f>
        <v>#REF!</v>
      </c>
      <c r="BO60" s="135" t="str">
        <f t="shared" si="34"/>
        <v>#REF!</v>
      </c>
      <c r="BP60" s="142" t="str">
        <f>EXP(-LN(2)/35)*BP59+(1-EXP(-LN(2)/35))/(LN(2)/35)*BL60*BM60*VLOOKUP('Données projet (1)'!$B$11,'Paramètres (1)'!$A$1:$I$88,3,0)*0.475*44/12</f>
        <v>#REF!</v>
      </c>
      <c r="BQ60" s="142" t="str">
        <f>EXP(-LN(2)/25)*BQ59+(1-EXP(-LN(2)/25))/(LN(2)/25)*'Calculateur (1)'!BL60*'Calculateur (1)'!BN60*VLOOKUP('Données projet (1)'!$B$11,'Paramètres (1)'!$A$1:$I$88,3,0)*0.475*44/12</f>
        <v>#REF!</v>
      </c>
      <c r="BR60" s="142" t="str">
        <f>EXP(-LN(2)/2)*BR59+(1-EXP(-LN(2)/2))/(LN(2)/2)*BL60*BO60*VLOOKUP('Données projet (1)'!$B$11,'Paramètres (1)'!$A$1:$I$88,3,0)*0.475*44/12</f>
        <v>#REF!</v>
      </c>
      <c r="BS60" s="143" t="str">
        <f t="shared" si="35"/>
        <v>#REF!</v>
      </c>
      <c r="BT60" s="139" t="str">
        <f t="shared" si="36"/>
        <v>#REF!</v>
      </c>
      <c r="BU60" s="131">
        <f t="shared" si="37"/>
        <v>10</v>
      </c>
      <c r="BV60" s="131" t="str">
        <f t="shared" si="120"/>
        <v>#REF!</v>
      </c>
      <c r="BW60" s="131" t="str">
        <f t="shared" si="38"/>
        <v>#REF!</v>
      </c>
      <c r="BX60" s="131" t="str">
        <f t="array" ref="BX60">INDEX(BW:BW,MIN(IF(ISNUMBER(BW60:BW256),ROW(BW60:BW256),"")))</f>
        <v/>
      </c>
      <c r="BY60" s="131" t="str">
        <f t="shared" si="121"/>
        <v>#REF!</v>
      </c>
      <c r="BZ60" s="130" t="str">
        <f>BY60*VLOOKUP('Données projet (1)'!$B$12,'Paramètres (1)'!$A$1:$I$88,3,0)*VLOOKUP('Données projet (1)'!$B$12,'Paramètres (1)'!$A$1:$I$88,5,0)</f>
        <v>#REF!</v>
      </c>
      <c r="CA60" s="130" t="str">
        <f t="shared" si="122"/>
        <v>#REF!</v>
      </c>
      <c r="CB60" s="141" t="str">
        <f t="shared" si="39"/>
        <v>#REF!</v>
      </c>
      <c r="CC60" s="133" t="str">
        <f t="shared" si="40"/>
        <v>#REF!</v>
      </c>
      <c r="CD60" s="133" t="str">
        <f t="shared" si="41"/>
        <v>#REF!</v>
      </c>
      <c r="CE60" s="133" t="str">
        <f t="shared" si="123"/>
        <v>#REF!</v>
      </c>
      <c r="CF60" s="134" t="str">
        <f t="shared" si="42"/>
        <v>#REF!</v>
      </c>
      <c r="CG60" s="134" t="str">
        <f t="shared" si="43"/>
        <v>#REF!</v>
      </c>
      <c r="CH60" s="135" t="str">
        <f>IF(ISNA(VLOOKUP(A60,'Données projet (1)'!$A$113:$I$133,5,0)),0%,VLOOKUP(A60,'Données projet (1)'!$A$113:$I$133,5,0)*VLOOKUP('Données projet (1)'!$B$12,'Paramètres (1)'!$A$1:$I$88,7,0))</f>
        <v>#REF!</v>
      </c>
      <c r="CI60" s="135" t="str">
        <f>IF(ISNA(VLOOKUP(A60,'Données projet (1)'!$A$113:$I$133,6,0)),0%,VLOOKUP(A60,'Données projet (1)'!$A$113:$I$133,6,0)*VLOOKUP('Données projet (1)'!$B$12,'Paramètres (1)'!$A$1:$I$88,7,0))</f>
        <v>#REF!</v>
      </c>
      <c r="CJ60" s="135" t="str">
        <f t="shared" si="44"/>
        <v>#REF!</v>
      </c>
      <c r="CK60" s="142" t="str">
        <f>EXP(-LN(2)/35)*CK59+(1-EXP(-LN(2)/35))/(LN(2)/35)*CG60*CH60*VLOOKUP('Données projet (1)'!$B$12,'Paramètres (1)'!$A$1:$I$88,3,0)*0.475*44/12</f>
        <v>#REF!</v>
      </c>
      <c r="CL60" s="142" t="str">
        <f>EXP(-LN(2)/25)*CL59+(1-EXP(-LN(2)/25))/(LN(2)/25)*'Calculateur (1)'!CG60*'Calculateur (1)'!CI60*VLOOKUP('Données projet (1)'!$B$12,'Paramètres (1)'!$A$1:$I$88,3,0)*0.475*44/12</f>
        <v>#REF!</v>
      </c>
      <c r="CM60" s="142" t="str">
        <f>EXP(-LN(2)/2)*CM59+(1-EXP(-LN(2)/2))/(LN(2)/2)*CG60*CJ60*VLOOKUP('Données projet (1)'!$B$12,'Paramètres (1)'!$A$1:$I$88,3,0)*0.475*44/12</f>
        <v>#REF!</v>
      </c>
      <c r="CN60" s="143" t="str">
        <f t="shared" si="45"/>
        <v>#REF!</v>
      </c>
      <c r="CO60" s="139" t="str">
        <f t="shared" si="46"/>
        <v>#REF!</v>
      </c>
      <c r="CP60" s="131">
        <f t="shared" si="47"/>
        <v>10</v>
      </c>
      <c r="CQ60" s="131" t="str">
        <f t="shared" si="124"/>
        <v>#REF!</v>
      </c>
      <c r="CR60" s="131" t="str">
        <f t="shared" si="48"/>
        <v>#REF!</v>
      </c>
      <c r="CS60" s="131" t="str">
        <f t="array" ref="CS60">INDEX(CR:CR,MIN(IF(ISNUMBER(CR60:CR256),ROW(CR60:CR256),"")))</f>
        <v/>
      </c>
      <c r="CT60" s="131" t="str">
        <f t="shared" si="125"/>
        <v>#REF!</v>
      </c>
      <c r="CU60" s="138" t="str">
        <f>CT60*VLOOKUP('Données projet (1)'!$B$13,'Paramètres (1)'!$A$1:$I$88,3,0)*VLOOKUP('Données projet (1)'!$B$13,'Paramètres (1)'!$A$1:$I$88,5,0)</f>
        <v>#REF!</v>
      </c>
      <c r="CV60" s="130" t="str">
        <f t="shared" si="126"/>
        <v>#REF!</v>
      </c>
      <c r="CW60" s="141" t="str">
        <f t="shared" si="49"/>
        <v>#REF!</v>
      </c>
      <c r="CX60" s="133" t="str">
        <f t="shared" si="50"/>
        <v>#REF!</v>
      </c>
      <c r="CY60" s="133" t="str">
        <f t="shared" si="51"/>
        <v>#REF!</v>
      </c>
      <c r="CZ60" s="133" t="str">
        <f t="shared" si="127"/>
        <v>#REF!</v>
      </c>
      <c r="DA60" s="134" t="str">
        <f t="shared" si="52"/>
        <v>#REF!</v>
      </c>
      <c r="DB60" s="134" t="str">
        <f t="shared" si="53"/>
        <v>#REF!</v>
      </c>
      <c r="DC60" s="135" t="str">
        <f>IF(ISNA(VLOOKUP(A60,'Données projet (1)'!$A$139:$I$159,5,0)),0%,VLOOKUP(A60,'Données projet (1)'!$A$139:$I$159,5,0)*VLOOKUP('Données projet (1)'!$B$13,'Paramètres (1)'!$A$1:$I$88,7,0))</f>
        <v>#REF!</v>
      </c>
      <c r="DD60" s="135" t="str">
        <f>IF(ISNA(VLOOKUP(A60,'Données projet (1)'!$A$139:$I$159,6,0)),0%,VLOOKUP(A60,'Données projet (1)'!$A$139:$I$159,6,0)*VLOOKUP('Données projet (1)'!$B$13,'Paramètres (1)'!$A$1:$I$88,7,0))</f>
        <v>#REF!</v>
      </c>
      <c r="DE60" s="135" t="str">
        <f t="shared" si="54"/>
        <v>#REF!</v>
      </c>
      <c r="DF60" s="142" t="str">
        <f>EXP(-LN(2)/35)*DF59+(1-EXP(-LN(2)/35))/(LN(2)/35)*DB60*DC60*VLOOKUP('Données projet (1)'!$B$13,'Paramètres (1)'!$A$1:$I$88,3,0)*0.475*44/12</f>
        <v>#REF!</v>
      </c>
      <c r="DG60" s="142" t="str">
        <f>EXP(-LN(2)/25)*DG59+(1-EXP(-LN(2)/25))/(LN(2)/25)*'Calculateur (1)'!DB60*'Calculateur (1)'!DD60*VLOOKUP('Données projet (1)'!$B$13,'Paramètres (1)'!$A$1:$I$88,3,0)*0.475*44/12</f>
        <v>#REF!</v>
      </c>
      <c r="DH60" s="142" t="str">
        <f>EXP(-LN(2)/2)*DH59+(1-EXP(-LN(2)/2))/(LN(2)/2)*DB60*DE60*VLOOKUP('Données projet (1)'!$B$13,'Paramètres (1)'!$A$1:$I$88,3,0)*0.475*44/12</f>
        <v>#REF!</v>
      </c>
      <c r="DI60" s="143" t="str">
        <f t="shared" si="55"/>
        <v>#REF!</v>
      </c>
      <c r="DJ60" s="139" t="str">
        <f t="shared" si="56"/>
        <v>#REF!</v>
      </c>
      <c r="DK60" s="131">
        <f t="shared" si="57"/>
        <v>10</v>
      </c>
      <c r="DL60" s="131" t="str">
        <f t="shared" si="128"/>
        <v>#REF!</v>
      </c>
      <c r="DM60" s="131" t="str">
        <f t="shared" si="58"/>
        <v>#REF!</v>
      </c>
      <c r="DN60" s="131" t="str">
        <f t="array" ref="DN60">INDEX(DM:DM,MIN(IF(ISNUMBER(DM60:DM256),ROW(DM60:DM256),"")))</f>
        <v/>
      </c>
      <c r="DO60" s="131" t="str">
        <f t="shared" si="129"/>
        <v>#REF!</v>
      </c>
      <c r="DP60" s="138" t="str">
        <f>DO60*VLOOKUP('Données projet (1)'!$B$14,'Paramètres (1)'!$A$1:$I$88,3,0)*VLOOKUP('Données projet (1)'!$B$14,'Paramètres (1)'!$A$1:$I$88,5,0)</f>
        <v>#REF!</v>
      </c>
      <c r="DQ60" s="130" t="str">
        <f t="shared" si="130"/>
        <v>#REF!</v>
      </c>
      <c r="DR60" s="141" t="str">
        <f t="shared" si="59"/>
        <v>#REF!</v>
      </c>
      <c r="DS60" s="133" t="str">
        <f t="shared" si="60"/>
        <v>#REF!</v>
      </c>
      <c r="DT60" s="133" t="str">
        <f t="shared" si="61"/>
        <v>#REF!</v>
      </c>
      <c r="DU60" s="133" t="str">
        <f t="shared" si="131"/>
        <v>#REF!</v>
      </c>
      <c r="DV60" s="134" t="str">
        <f t="shared" si="62"/>
        <v>#REF!</v>
      </c>
      <c r="DW60" s="134" t="str">
        <f t="shared" si="63"/>
        <v>#REF!</v>
      </c>
      <c r="DX60" s="135" t="str">
        <f>IF(ISNA(VLOOKUP(A60,'Données projet (1)'!$A$165:$I$185,5,0)),0%,VLOOKUP(A60,'Données projet (1)'!$A$165:$I$185,5,0)*VLOOKUP('Données projet (1)'!$B$14,'Paramètres (1)'!$A$1:$I$88,7,0))</f>
        <v>#REF!</v>
      </c>
      <c r="DY60" s="135" t="str">
        <f>IF(ISNA(VLOOKUP(A60,'Données projet (1)'!$A$165:$I$185,6,0)),0%,VLOOKUP(A60,'Données projet (1)'!$A$165:$I$185,6,0)*VLOOKUP('Données projet (1)'!$B$14,'Paramètres (1)'!$A$1:$I$88,7,0))</f>
        <v>#REF!</v>
      </c>
      <c r="DZ60" s="135" t="str">
        <f t="shared" si="64"/>
        <v>#REF!</v>
      </c>
      <c r="EA60" s="142" t="str">
        <f>EXP(-LN(2)/35)*EA59+(1-EXP(-LN(2)/35))/(LN(2)/35)*DW60*DX60*VLOOKUP('Données projet (1)'!$B$14,'Paramètres (1)'!$A$1:$I$88,3,0)*0.475*44/12</f>
        <v>#REF!</v>
      </c>
      <c r="EB60" s="142" t="str">
        <f>EXP(-LN(2)/25)*EB59+(1-EXP(-LN(2)/25))/(LN(2)/25)*'Calculateur (1)'!DW60*'Calculateur (1)'!DY60*VLOOKUP('Données projet (1)'!$B$14,'Paramètres (1)'!$A$1:$I$88,3,0)*0.475*44/12</f>
        <v>#REF!</v>
      </c>
      <c r="EC60" s="142" t="str">
        <f>EXP(-LN(2)/2)*EC59+(1-EXP(-LN(2)/2))/(LN(2)/2)*DW60*DZ60*VLOOKUP('Données projet (1)'!$B$14,'Paramètres (1)'!$A$1:$I$88,3,0)*0.475*44/12</f>
        <v>#REF!</v>
      </c>
      <c r="ED60" s="143" t="str">
        <f t="shared" si="65"/>
        <v>#REF!</v>
      </c>
      <c r="EE60" s="139" t="str">
        <f t="shared" si="66"/>
        <v>#REF!</v>
      </c>
      <c r="EF60" s="131">
        <f t="shared" si="67"/>
        <v>10</v>
      </c>
      <c r="EG60" s="131" t="str">
        <f t="shared" si="132"/>
        <v>#REF!</v>
      </c>
      <c r="EH60" s="131" t="str">
        <f t="shared" si="68"/>
        <v>#REF!</v>
      </c>
      <c r="EI60" s="131" t="str">
        <f t="array" ref="EI60">INDEX(EH:EH,MIN(IF(ISNUMBER(EH60:EH256),ROW(EH60:EH256),"")))</f>
        <v/>
      </c>
      <c r="EJ60" s="131" t="str">
        <f t="shared" si="133"/>
        <v>#REF!</v>
      </c>
      <c r="EK60" s="138" t="str">
        <f>EJ60*VLOOKUP('Données projet (1)'!$B$15,'Paramètres (1)'!$A$1:$I$88,3,0)*VLOOKUP('Données projet (1)'!$B$15,'Paramètres (1)'!$A$1:$I$88,5,0)</f>
        <v>#REF!</v>
      </c>
      <c r="EL60" s="130" t="str">
        <f t="shared" si="134"/>
        <v>#REF!</v>
      </c>
      <c r="EM60" s="141" t="str">
        <f t="shared" si="69"/>
        <v>#REF!</v>
      </c>
      <c r="EN60" s="133" t="str">
        <f t="shared" si="70"/>
        <v>#REF!</v>
      </c>
      <c r="EO60" s="133" t="str">
        <f t="shared" si="71"/>
        <v>#REF!</v>
      </c>
      <c r="EP60" s="133" t="str">
        <f t="shared" si="135"/>
        <v>#REF!</v>
      </c>
      <c r="EQ60" s="134" t="str">
        <f t="shared" si="72"/>
        <v>#REF!</v>
      </c>
      <c r="ER60" s="134" t="str">
        <f t="shared" si="73"/>
        <v>#REF!</v>
      </c>
      <c r="ES60" s="135" t="str">
        <f>IF(ISNA(VLOOKUP(A60,'Données projet (1)'!$A$191:$I$211,5,0)),0%,VLOOKUP(A60,'Données projet (1)'!$A$191:$I$211,5,0)*VLOOKUP('Données projet (1)'!$B$15,'Paramètres (1)'!$A$1:$I$88,7,0))</f>
        <v>#REF!</v>
      </c>
      <c r="ET60" s="135" t="str">
        <f>IF(ISNA(VLOOKUP(A60,'Données projet (1)'!$A$191:$I$211,6,0)),0%,VLOOKUP(A60,'Données projet (1)'!$A$191:$I$211,6,0)*VLOOKUP('Données projet (1)'!$B$15,'Paramètres (1)'!$A$1:$I$88,7,0))</f>
        <v>#REF!</v>
      </c>
      <c r="EU60" s="135" t="str">
        <f t="shared" si="74"/>
        <v>#REF!</v>
      </c>
      <c r="EV60" s="142" t="str">
        <f>EXP(-LN(2)/35)*EV59+(1-EXP(-LN(2)/35))/(LN(2)/35)*ER60*ES60*VLOOKUP('Données projet (1)'!$B$15,'Paramètres (1)'!$A$1:$I$88,3,0)*0.475*44/12</f>
        <v>#REF!</v>
      </c>
      <c r="EW60" s="142" t="str">
        <f>EXP(-LN(2)/25)*EW59+(1-EXP(-LN(2)/25))/(LN(2)/25)*'Calculateur (1)'!ER60*'Calculateur (1)'!ET60*VLOOKUP('Données projet (1)'!$B$15,'Paramètres (1)'!$A$1:$I$88,3,0)*0.475*44/12</f>
        <v>#REF!</v>
      </c>
      <c r="EX60" s="142" t="str">
        <f>EXP(-LN(2)/2)*EX59+(1-EXP(-LN(2)/2))/(LN(2)/2)*ER60*EU60*VLOOKUP('Données projet (1)'!$B$15,'Paramètres (1)'!$A$1:$I$88,3,0)*0.475*44/12</f>
        <v>#REF!</v>
      </c>
      <c r="EY60" s="143" t="str">
        <f t="shared" si="75"/>
        <v>#REF!</v>
      </c>
      <c r="EZ60" s="139" t="str">
        <f t="shared" si="76"/>
        <v>#REF!</v>
      </c>
      <c r="FA60" s="131">
        <f t="shared" si="77"/>
        <v>10</v>
      </c>
      <c r="FB60" s="131" t="str">
        <f t="shared" si="136"/>
        <v>#REF!</v>
      </c>
      <c r="FC60" s="131" t="str">
        <f t="shared" si="78"/>
        <v>#REF!</v>
      </c>
      <c r="FD60" s="131" t="str">
        <f t="array" ref="FD60">INDEX(FC:FC,MIN(IF(ISNUMBER(FC60:FC256),ROW(FC60:FC256),"")))</f>
        <v/>
      </c>
      <c r="FE60" s="131" t="str">
        <f t="shared" si="137"/>
        <v>#REF!</v>
      </c>
      <c r="FF60" s="138" t="str">
        <f>FE60*VLOOKUP('Données projet (1)'!$B$16,'Paramètres (1)'!$A$1:$I$88,3,0)*VLOOKUP('Données projet (1)'!$B$16,'Paramètres (1)'!$A$1:$I$88,5,0)</f>
        <v>#REF!</v>
      </c>
      <c r="FG60" s="130" t="str">
        <f t="shared" si="138"/>
        <v>#REF!</v>
      </c>
      <c r="FH60" s="141" t="str">
        <f t="shared" si="79"/>
        <v>#REF!</v>
      </c>
      <c r="FI60" s="133" t="str">
        <f t="shared" si="80"/>
        <v>#REF!</v>
      </c>
      <c r="FJ60" s="133" t="str">
        <f t="shared" si="81"/>
        <v>#REF!</v>
      </c>
      <c r="FK60" s="133" t="str">
        <f t="shared" si="139"/>
        <v>#REF!</v>
      </c>
      <c r="FL60" s="134" t="str">
        <f t="shared" si="82"/>
        <v>#REF!</v>
      </c>
      <c r="FM60" s="134" t="str">
        <f t="shared" si="83"/>
        <v>#REF!</v>
      </c>
      <c r="FN60" s="135" t="str">
        <f>IF(ISNA(VLOOKUP(A60,'Données projet (1)'!$A$217:$I$237,5,0)),0%,VLOOKUP(A60,'Données projet (1)'!$A$217:$I$237,5,0)*VLOOKUP('Données projet (1)'!$B$16,'Paramètres (1)'!$A$1:$I$88,7,0))</f>
        <v>#REF!</v>
      </c>
      <c r="FO60" s="135" t="str">
        <f>IF(ISNA(VLOOKUP(A60,'Données projet (1)'!$A$217:$I$237,6,0)),0%,VLOOKUP(A60,'Données projet (1)'!$A$217:$I$237,6,0)*VLOOKUP('Données projet (1)'!$B$16,'Paramètres (1)'!$A$1:$I$88,7,0))</f>
        <v>#REF!</v>
      </c>
      <c r="FP60" s="135" t="str">
        <f t="shared" si="84"/>
        <v>#REF!</v>
      </c>
      <c r="FQ60" s="142" t="str">
        <f>EXP(-LN(2)/35)*FQ59+(1-EXP(-LN(2)/35))/(LN(2)/35)*FM60*FN60*VLOOKUP('Données projet (1)'!$B$16,'Paramètres (1)'!$A$1:$I$88,3,0)*0.475*44/12</f>
        <v>#REF!</v>
      </c>
      <c r="FR60" s="142" t="str">
        <f>EXP(-LN(2)/25)*FR59+(1-EXP(-LN(2)/25))/(LN(2)/25)*'Calculateur (1)'!FM60*'Calculateur (1)'!FO60*VLOOKUP('Données projet (1)'!$B$16,'Paramètres (1)'!$A$1:$I$88,3,0)*0.475*44/12</f>
        <v>#REF!</v>
      </c>
      <c r="FS60" s="142" t="str">
        <f>EXP(-LN(2)/2)*FS59+(1-EXP(-LN(2)/2))/(LN(2)/2)*FM60*FP60*VLOOKUP('Données projet (1)'!$B$16,'Paramètres (1)'!$A$1:$I$88,3,0)*0.475*44/12</f>
        <v>#REF!</v>
      </c>
      <c r="FT60" s="143" t="str">
        <f t="shared" si="85"/>
        <v>#REF!</v>
      </c>
      <c r="FU60" s="139" t="str">
        <f t="shared" si="86"/>
        <v>#REF!</v>
      </c>
      <c r="FV60" s="131">
        <f t="shared" si="87"/>
        <v>10</v>
      </c>
      <c r="FW60" s="131" t="str">
        <f t="shared" si="140"/>
        <v>#REF!</v>
      </c>
      <c r="FX60" s="131" t="str">
        <f t="shared" si="88"/>
        <v>#REF!</v>
      </c>
      <c r="FY60" s="131" t="str">
        <f t="array" ref="FY60">INDEX(FX:FX,MIN(IF(ISNUMBER(FX60:FX256),ROW(FX60:FX256),"")))</f>
        <v/>
      </c>
      <c r="FZ60" s="131" t="str">
        <f t="shared" si="141"/>
        <v>#REF!</v>
      </c>
      <c r="GA60" s="138" t="str">
        <f>FZ60*VLOOKUP('Données projet (1)'!$B$17,'Paramètres (1)'!$A$1:$I$88,3,0)*VLOOKUP('Données projet (1)'!$B$17,'Paramètres (1)'!$A$1:$I$88,5,0)</f>
        <v>#REF!</v>
      </c>
      <c r="GB60" s="130" t="str">
        <f t="shared" si="142"/>
        <v>#REF!</v>
      </c>
      <c r="GC60" s="141" t="str">
        <f t="shared" si="89"/>
        <v>#REF!</v>
      </c>
      <c r="GD60" s="133" t="str">
        <f t="shared" si="90"/>
        <v>#REF!</v>
      </c>
      <c r="GE60" s="133" t="str">
        <f t="shared" si="91"/>
        <v>#REF!</v>
      </c>
      <c r="GF60" s="133" t="str">
        <f t="shared" si="143"/>
        <v>#REF!</v>
      </c>
      <c r="GG60" s="134" t="str">
        <f t="shared" si="92"/>
        <v>#REF!</v>
      </c>
      <c r="GH60" s="134" t="str">
        <f t="shared" si="93"/>
        <v>#REF!</v>
      </c>
      <c r="GI60" s="135" t="str">
        <f>IF(ISNA(VLOOKUP(A60,'Données projet (1)'!$A$243:$I$263,5,0)),0%,VLOOKUP(A60,'Données projet (1)'!$A$243:$I$263,5,0)*VLOOKUP('Données projet (1)'!$B$17,'Paramètres (1)'!$A$1:$I$88,7,0))</f>
        <v>#REF!</v>
      </c>
      <c r="GJ60" s="135" t="str">
        <f>IF(ISNA(VLOOKUP(A60,'Données projet (1)'!$A$243:$I$263,6,0)),0%,VLOOKUP(A60,'Données projet (1)'!$A$243:$I$263,6,0)*VLOOKUP('Données projet (1)'!$B$17,'Paramètres (1)'!$A$1:$I$88,7,0))</f>
        <v>#REF!</v>
      </c>
      <c r="GK60" s="135" t="str">
        <f t="shared" si="94"/>
        <v>#REF!</v>
      </c>
      <c r="GL60" s="142" t="str">
        <f>EXP(-LN(2)/35)*GL59+(1-EXP(-LN(2)/35))/(LN(2)/35)*GH60*GI60*VLOOKUP('Données projet (1)'!$B$17,'Paramètres (1)'!$A$1:$I$88,3,0)*0.475*44/12</f>
        <v>#REF!</v>
      </c>
      <c r="GM60" s="142" t="str">
        <f>EXP(-LN(2)/25)*GM59+(1-EXP(-LN(2)/25))/(LN(2)/25)*'Calculateur (1)'!GH60*'Calculateur (1)'!GJ60*VLOOKUP('Données projet (1)'!$B$17,'Paramètres (1)'!$A$1:$I$88,3,0)*0.475*44/12</f>
        <v>#REF!</v>
      </c>
      <c r="GN60" s="142" t="str">
        <f>EXP(-LN(2)/2)*GN59+(1-EXP(-LN(2)/2))/(LN(2)/2)*GH60*GK60*VLOOKUP('Données projet (1)'!$B$17,'Paramètres (1)'!$A$1:$I$88,3,0)*0.475*44/12</f>
        <v>#REF!</v>
      </c>
      <c r="GO60" s="142" t="str">
        <f t="shared" si="95"/>
        <v>#REF!</v>
      </c>
      <c r="GP60" s="139" t="str">
        <f t="shared" si="96"/>
        <v>#REF!</v>
      </c>
      <c r="GQ60" s="131">
        <f t="shared" si="97"/>
        <v>10</v>
      </c>
      <c r="GR60" s="131" t="str">
        <f t="shared" si="144"/>
        <v>#REF!</v>
      </c>
      <c r="GS60" s="131" t="str">
        <f t="shared" si="98"/>
        <v>#REF!</v>
      </c>
      <c r="GT60" s="131" t="str">
        <f t="array" ref="GT60">INDEX(GS:GS,MIN(IF(ISNUMBER(GS60:GS256),ROW(GS60:GS256),"")))</f>
        <v/>
      </c>
      <c r="GU60" s="131" t="str">
        <f t="shared" si="145"/>
        <v>#REF!</v>
      </c>
      <c r="GV60" s="138" t="str">
        <f>GU60*VLOOKUP('Données projet (1)'!$B$18,'Paramètres (1)'!$A$1:$I$88,3,0)*VLOOKUP('Données projet (1)'!$B$18,'Paramètres (1)'!$A$1:$I$88,5,0)</f>
        <v>#REF!</v>
      </c>
      <c r="GW60" s="130" t="str">
        <f t="shared" si="146"/>
        <v>#REF!</v>
      </c>
      <c r="GX60" s="141" t="str">
        <f t="shared" si="99"/>
        <v>#REF!</v>
      </c>
      <c r="GY60" s="133" t="str">
        <f t="shared" si="100"/>
        <v>#REF!</v>
      </c>
      <c r="GZ60" s="133" t="str">
        <f t="shared" si="101"/>
        <v>#REF!</v>
      </c>
      <c r="HA60" s="133" t="str">
        <f t="shared" si="147"/>
        <v>#REF!</v>
      </c>
      <c r="HB60" s="134" t="str">
        <f t="shared" si="102"/>
        <v>#REF!</v>
      </c>
      <c r="HC60" s="134" t="str">
        <f t="shared" si="103"/>
        <v>#REF!</v>
      </c>
      <c r="HD60" s="135" t="str">
        <f>IF(ISNA(VLOOKUP(A60,'Données projet (1)'!$A$269:$I$289,5,0)),0%,VLOOKUP(A60,'Données projet (1)'!$A$269:$I$289,5,0)*VLOOKUP('Données projet (1)'!$B$18,'Paramètres (1)'!$A$1:$I$88,7,0))</f>
        <v>#REF!</v>
      </c>
      <c r="HE60" s="135" t="str">
        <f>IF(ISNA(VLOOKUP(A60,'Données projet (1)'!$A$269:$I$289,6,0)),0%,VLOOKUP(A60,'Données projet (1)'!$A$269:$I$289,6,0)*VLOOKUP('Données projet (1)'!$B$18,'Paramètres (1)'!$A$1:$I$88,7,0))</f>
        <v>#REF!</v>
      </c>
      <c r="HF60" s="135" t="str">
        <f t="shared" si="104"/>
        <v>#REF!</v>
      </c>
      <c r="HG60" s="142" t="str">
        <f>EXP(-LN(2)/35)*HG59+(1-EXP(-LN(2)/35))/(LN(2)/35)*HC60*HD60*VLOOKUP('Données projet (1)'!$B$18,'Paramètres (1)'!$A$1:$I$88,3,0)*0.475*44/12</f>
        <v>#REF!</v>
      </c>
      <c r="HH60" s="142" t="str">
        <f>EXP(-LN(2)/25)*HH59+(1-EXP(-LN(2)/25))/(LN(2)/25)*'Calculateur (1)'!HC60*'Calculateur (1)'!HE60*VLOOKUP('Données projet (1)'!$B$18,'Paramètres (1)'!$A$1:$I$88,3,0)*0.475*44/12</f>
        <v>#REF!</v>
      </c>
      <c r="HI60" s="142" t="str">
        <f>EXP(-LN(2)/2)*HI59+(1-EXP(-LN(2)/2))/(LN(2)/2)*HC60*HF60*VLOOKUP('Données projet (1)'!$B$18,'Paramètres (1)'!$A$1:$I$88,3,0)*0.475*44/12</f>
        <v>#REF!</v>
      </c>
      <c r="HJ60" s="143" t="str">
        <f t="shared" si="105"/>
        <v>#REF!</v>
      </c>
    </row>
    <row r="61" ht="14.25" customHeight="1">
      <c r="A61" s="125">
        <f t="shared" si="106"/>
        <v>58</v>
      </c>
      <c r="B61" s="126" t="str">
        <f t="shared" si="1"/>
        <v>#REF!</v>
      </c>
      <c r="C61" s="140" t="str">
        <f>'Calculateur (1)'!C60+'Scénario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1" s="127">
        <f t="shared" si="107"/>
        <v>0</v>
      </c>
      <c r="E61" s="127" t="str">
        <f t="shared" si="2"/>
        <v>#REF!</v>
      </c>
      <c r="F61" s="127" t="str">
        <f t="shared" si="3"/>
        <v>#REF!</v>
      </c>
      <c r="G61" s="127" t="str">
        <f t="shared" si="4"/>
        <v>#REF!</v>
      </c>
      <c r="H61" s="128" t="str">
        <f t="shared" si="5"/>
        <v>#REF!</v>
      </c>
      <c r="I61" s="129" t="str">
        <f t="shared" si="6"/>
        <v>#REF!</v>
      </c>
      <c r="J61" s="130">
        <f t="shared" si="7"/>
        <v>10</v>
      </c>
      <c r="K61" s="131" t="str">
        <f t="shared" si="108"/>
        <v>#REF!</v>
      </c>
      <c r="L61" s="131" t="str">
        <f t="shared" si="8"/>
        <v>#REF!</v>
      </c>
      <c r="M61" s="131" t="str">
        <f t="array" ref="M61">INDEX(L:L,MIN(IF(ISNUMBER(L61:L257),ROW(L61:L257),"")))</f>
        <v/>
      </c>
      <c r="N61" s="130" t="str">
        <f t="shared" si="109"/>
        <v>#REF!</v>
      </c>
      <c r="O61" s="130" t="str">
        <f>N61*VLOOKUP('Données projet (1)'!$B$9,'Paramètres (1)'!$A$1:$I$88,3,0)*VLOOKUP('Données projet (1)'!$B$9,'Paramètres (1)'!$A$1:$I$88,5,0)</f>
        <v>#REF!</v>
      </c>
      <c r="P61" s="130" t="str">
        <f t="shared" si="110"/>
        <v>#REF!</v>
      </c>
      <c r="Q61" s="141" t="str">
        <f t="shared" si="9"/>
        <v>#REF!</v>
      </c>
      <c r="R61" s="133" t="str">
        <f t="shared" si="10"/>
        <v>#REF!</v>
      </c>
      <c r="S61" s="133" t="str">
        <f t="shared" si="11"/>
        <v>#REF!</v>
      </c>
      <c r="T61" s="133" t="str">
        <f t="shared" si="111"/>
        <v>#REF!</v>
      </c>
      <c r="U61" s="134" t="str">
        <f t="shared" si="12"/>
        <v>#REF!</v>
      </c>
      <c r="V61" s="134" t="str">
        <f t="shared" si="13"/>
        <v>#REF!</v>
      </c>
      <c r="W61" s="135" t="str">
        <f>IF(ISNA(VLOOKUP(A61,'Données projet (1)'!$A$35:$I$55,5,0)),0%,VLOOKUP(A61,'Données projet (1)'!$A$35:$I$55,5,0)*VLOOKUP('Données projet (1)'!$B$9,'Paramètres (1)'!$A$1:$I$88,7,0))</f>
        <v>#REF!</v>
      </c>
      <c r="X61" s="135" t="str">
        <f>IF(ISNA(VLOOKUP(A61,'Données projet (1)'!$A$35:$I$55,6,0)),0%,VLOOKUP(A61,'Données projet (1)'!$A$35:$I$55,6,0)*VLOOKUP('Données projet (1)'!$B$9,'Paramètres (1)'!$A$1:$I$88,7,0))</f>
        <v>#REF!</v>
      </c>
      <c r="Y61" s="135" t="str">
        <f t="shared" si="14"/>
        <v>#REF!</v>
      </c>
      <c r="Z61" s="142" t="str">
        <f>EXP(-LN(2)/35)*Z60+(1-EXP(-LN(2)/35))/(LN(2)/35)*V61*W61*VLOOKUP('Données projet (1)'!$B$9,'Paramètres (1)'!$A$1:$I$88,3,0)*0.475*44/12</f>
        <v>#REF!</v>
      </c>
      <c r="AA61" s="142" t="str">
        <f>EXP(-LN(2)/25)*AA60+(1-EXP(-LN(2)/25))/(LN(2)/25)*'Calculateur (1)'!V61*'Calculateur (1)'!X61*VLOOKUP('Données projet (1)'!$B$9,'Paramètres (1)'!$A$1:$I$88,3,0)*0.475*44/12</f>
        <v>#REF!</v>
      </c>
      <c r="AB61" s="142" t="str">
        <f>EXP(-LN(2)/2)*AB60+(1-EXP(-LN(2)/2))/(LN(2)/2)*V61*Y61*VLOOKUP('Données projet (1)'!$B$9,'Paramètres (1)'!$A$1:$I$88,3,0)*0.475*44/12</f>
        <v>#REF!</v>
      </c>
      <c r="AC61" s="143" t="str">
        <f t="shared" si="15"/>
        <v>#REF!</v>
      </c>
      <c r="AD61" s="130" t="str">
        <f t="shared" si="16"/>
        <v>#REF!</v>
      </c>
      <c r="AE61" s="130">
        <f t="shared" si="17"/>
        <v>10</v>
      </c>
      <c r="AF61" s="131" t="str">
        <f t="shared" si="112"/>
        <v>#REF!</v>
      </c>
      <c r="AG61" s="131" t="str">
        <f t="shared" si="18"/>
        <v>#REF!</v>
      </c>
      <c r="AH61" s="131" t="str">
        <f t="array" ref="AH61">INDEX(AG:AG,MIN(IF(ISNUMBER(AG61:AG257),ROW(AG61:AG257),"")))</f>
        <v/>
      </c>
      <c r="AI61" s="130" t="str">
        <f t="shared" si="113"/>
        <v>#REF!</v>
      </c>
      <c r="AJ61" s="130" t="str">
        <f>AI61*VLOOKUP('Données projet (1)'!$B$10,'Paramètres (1)'!$A$1:$I$88,3,0)*VLOOKUP('Données projet (1)'!$B$10,'Paramètres (1)'!$A$1:$I$88,5,0)</f>
        <v>#REF!</v>
      </c>
      <c r="AK61" s="130" t="str">
        <f t="shared" si="114"/>
        <v>#REF!</v>
      </c>
      <c r="AL61" s="141" t="str">
        <f t="shared" si="19"/>
        <v>#REF!</v>
      </c>
      <c r="AM61" s="133" t="str">
        <f t="shared" si="20"/>
        <v>#REF!</v>
      </c>
      <c r="AN61" s="133" t="str">
        <f t="shared" si="21"/>
        <v>#REF!</v>
      </c>
      <c r="AO61" s="133" t="str">
        <f t="shared" si="115"/>
        <v>#REF!</v>
      </c>
      <c r="AP61" s="134" t="str">
        <f t="shared" si="22"/>
        <v>#REF!</v>
      </c>
      <c r="AQ61" s="134" t="str">
        <f t="shared" si="23"/>
        <v>#REF!</v>
      </c>
      <c r="AR61" s="135" t="str">
        <f>IF(ISNA(VLOOKUP(A61,'Données projet (1)'!$A$61:$I$81,5,0)),0%,VLOOKUP(A61,'Données projet (1)'!$A$61:$I$81,5,0)*VLOOKUP('Données projet (1)'!$B$10,'Paramètres (1)'!$A$1:$I$88,7,0))</f>
        <v>#REF!</v>
      </c>
      <c r="AS61" s="135" t="str">
        <f>IF(ISNA(VLOOKUP(A61,'Données projet (1)'!$A$61:$I$81,6,0)),0%,VLOOKUP(A61,'Données projet (1)'!$A$61:$I$81,6,0)*VLOOKUP('Données projet (1)'!$B$10,'Paramètres (1)'!$A$1:$I$88,7,0))</f>
        <v>#REF!</v>
      </c>
      <c r="AT61" s="135" t="str">
        <f t="shared" si="24"/>
        <v>#REF!</v>
      </c>
      <c r="AU61" s="142" t="str">
        <f>EXP(-LN(2)/35)*AU60+(1-EXP(-LN(2)/35))/(LN(2)/35)*AQ61*AR61*VLOOKUP('Données projet (1)'!$B$10,'Paramètres (1)'!$A$1:$I$88,3,0)*0.475*44/12</f>
        <v>#REF!</v>
      </c>
      <c r="AV61" s="142" t="str">
        <f>EXP(-LN(2)/25)*AV60+(1-EXP(-LN(2)/25))/(LN(2)/25)*'Calculateur (1)'!AQ61*'Calculateur (1)'!AS61*VLOOKUP('Données projet (1)'!$B$10,'Paramètres (1)'!$A$1:$I$88,3,0)*0.475*44/12</f>
        <v>#REF!</v>
      </c>
      <c r="AW61" s="142" t="str">
        <f>EXP(-LN(2)/2)*AW60+(1-EXP(-LN(2)/2))/(LN(2)/2)*AQ61*AT61*VLOOKUP('Données projet (1)'!$B$10,'Paramètres (1)'!$A$1:$I$88,3,0)*0.475*44/12</f>
        <v>#REF!</v>
      </c>
      <c r="AX61" s="142" t="str">
        <f t="shared" si="25"/>
        <v>#REF!</v>
      </c>
      <c r="AY61" s="137" t="str">
        <f t="shared" si="26"/>
        <v>#REF!</v>
      </c>
      <c r="AZ61" s="131">
        <f t="shared" si="27"/>
        <v>10</v>
      </c>
      <c r="BA61" s="131" t="str">
        <f t="shared" si="116"/>
        <v>#REF!</v>
      </c>
      <c r="BB61" s="131" t="str">
        <f t="shared" si="28"/>
        <v>#REF!</v>
      </c>
      <c r="BC61" s="131" t="str">
        <f t="array" ref="BC61">INDEX(BB:BB,MIN(IF(ISNUMBER(BB61:BB257),ROW(BB61:BB257),"")))</f>
        <v/>
      </c>
      <c r="BD61" s="131" t="str">
        <f t="shared" si="117"/>
        <v>#REF!</v>
      </c>
      <c r="BE61" s="130" t="str">
        <f>BD61*VLOOKUP('Données projet (1)'!$B$11,'Paramètres (1)'!$A$1:$I$88,3,0)*VLOOKUP('Données projet (1)'!$B$11,'Paramètres (1)'!$A$1:$I$88,5,0)</f>
        <v>#REF!</v>
      </c>
      <c r="BF61" s="130" t="str">
        <f t="shared" si="118"/>
        <v>#REF!</v>
      </c>
      <c r="BG61" s="141" t="str">
        <f t="shared" si="29"/>
        <v>#REF!</v>
      </c>
      <c r="BH61" s="133" t="str">
        <f t="shared" si="30"/>
        <v>#REF!</v>
      </c>
      <c r="BI61" s="133" t="str">
        <f t="shared" si="31"/>
        <v>#REF!</v>
      </c>
      <c r="BJ61" s="133" t="str">
        <f t="shared" si="119"/>
        <v>#REF!</v>
      </c>
      <c r="BK61" s="134" t="str">
        <f t="shared" si="32"/>
        <v>#REF!</v>
      </c>
      <c r="BL61" s="134" t="str">
        <f t="shared" si="33"/>
        <v>#REF!</v>
      </c>
      <c r="BM61" s="135" t="str">
        <f>IF(ISNA(VLOOKUP(A61,'Données projet (1)'!$A$87:$I$107,5,0)),0%,VLOOKUP(A61,'Données projet (1)'!$A$87:$I$107,5,0)*VLOOKUP('Données projet (1)'!$B$11,'Paramètres (1)'!$A$1:$I$88,7,0))</f>
        <v>#REF!</v>
      </c>
      <c r="BN61" s="135" t="str">
        <f>IF(ISNA(VLOOKUP(A61,'Données projet (1)'!$A$87:$I$107,6,0)),0%,VLOOKUP(A61,'Données projet (1)'!$A$87:$I$107,6,0)*VLOOKUP('Données projet (1)'!$B$11,'Paramètres (1)'!$A$1:$I$88,7,0))</f>
        <v>#REF!</v>
      </c>
      <c r="BO61" s="135" t="str">
        <f t="shared" si="34"/>
        <v>#REF!</v>
      </c>
      <c r="BP61" s="142" t="str">
        <f>EXP(-LN(2)/35)*BP60+(1-EXP(-LN(2)/35))/(LN(2)/35)*BL61*BM61*VLOOKUP('Données projet (1)'!$B$11,'Paramètres (1)'!$A$1:$I$88,3,0)*0.475*44/12</f>
        <v>#REF!</v>
      </c>
      <c r="BQ61" s="142" t="str">
        <f>EXP(-LN(2)/25)*BQ60+(1-EXP(-LN(2)/25))/(LN(2)/25)*'Calculateur (1)'!BL61*'Calculateur (1)'!BN61*VLOOKUP('Données projet (1)'!$B$11,'Paramètres (1)'!$A$1:$I$88,3,0)*0.475*44/12</f>
        <v>#REF!</v>
      </c>
      <c r="BR61" s="142" t="str">
        <f>EXP(-LN(2)/2)*BR60+(1-EXP(-LN(2)/2))/(LN(2)/2)*BL61*BO61*VLOOKUP('Données projet (1)'!$B$11,'Paramètres (1)'!$A$1:$I$88,3,0)*0.475*44/12</f>
        <v>#REF!</v>
      </c>
      <c r="BS61" s="143" t="str">
        <f t="shared" si="35"/>
        <v>#REF!</v>
      </c>
      <c r="BT61" s="139" t="str">
        <f t="shared" si="36"/>
        <v>#REF!</v>
      </c>
      <c r="BU61" s="131">
        <f t="shared" si="37"/>
        <v>10</v>
      </c>
      <c r="BV61" s="131" t="str">
        <f t="shared" si="120"/>
        <v>#REF!</v>
      </c>
      <c r="BW61" s="131" t="str">
        <f t="shared" si="38"/>
        <v>#REF!</v>
      </c>
      <c r="BX61" s="131" t="str">
        <f t="array" ref="BX61">INDEX(BW:BW,MIN(IF(ISNUMBER(BW61:BW257),ROW(BW61:BW257),"")))</f>
        <v/>
      </c>
      <c r="BY61" s="131" t="str">
        <f t="shared" si="121"/>
        <v>#REF!</v>
      </c>
      <c r="BZ61" s="130" t="str">
        <f>BY61*VLOOKUP('Données projet (1)'!$B$12,'Paramètres (1)'!$A$1:$I$88,3,0)*VLOOKUP('Données projet (1)'!$B$12,'Paramètres (1)'!$A$1:$I$88,5,0)</f>
        <v>#REF!</v>
      </c>
      <c r="CA61" s="130" t="str">
        <f t="shared" si="122"/>
        <v>#REF!</v>
      </c>
      <c r="CB61" s="141" t="str">
        <f t="shared" si="39"/>
        <v>#REF!</v>
      </c>
      <c r="CC61" s="133" t="str">
        <f t="shared" si="40"/>
        <v>#REF!</v>
      </c>
      <c r="CD61" s="133" t="str">
        <f t="shared" si="41"/>
        <v>#REF!</v>
      </c>
      <c r="CE61" s="133" t="str">
        <f t="shared" si="123"/>
        <v>#REF!</v>
      </c>
      <c r="CF61" s="134" t="str">
        <f t="shared" si="42"/>
        <v>#REF!</v>
      </c>
      <c r="CG61" s="134" t="str">
        <f t="shared" si="43"/>
        <v>#REF!</v>
      </c>
      <c r="CH61" s="135" t="str">
        <f>IF(ISNA(VLOOKUP(A61,'Données projet (1)'!$A$113:$I$133,5,0)),0%,VLOOKUP(A61,'Données projet (1)'!$A$113:$I$133,5,0)*VLOOKUP('Données projet (1)'!$B$12,'Paramètres (1)'!$A$1:$I$88,7,0))</f>
        <v>#REF!</v>
      </c>
      <c r="CI61" s="135" t="str">
        <f>IF(ISNA(VLOOKUP(A61,'Données projet (1)'!$A$113:$I$133,6,0)),0%,VLOOKUP(A61,'Données projet (1)'!$A$113:$I$133,6,0)*VLOOKUP('Données projet (1)'!$B$12,'Paramètres (1)'!$A$1:$I$88,7,0))</f>
        <v>#REF!</v>
      </c>
      <c r="CJ61" s="135" t="str">
        <f t="shared" si="44"/>
        <v>#REF!</v>
      </c>
      <c r="CK61" s="142" t="str">
        <f>EXP(-LN(2)/35)*CK60+(1-EXP(-LN(2)/35))/(LN(2)/35)*CG61*CH61*VLOOKUP('Données projet (1)'!$B$12,'Paramètres (1)'!$A$1:$I$88,3,0)*0.475*44/12</f>
        <v>#REF!</v>
      </c>
      <c r="CL61" s="142" t="str">
        <f>EXP(-LN(2)/25)*CL60+(1-EXP(-LN(2)/25))/(LN(2)/25)*'Calculateur (1)'!CG61*'Calculateur (1)'!CI61*VLOOKUP('Données projet (1)'!$B$12,'Paramètres (1)'!$A$1:$I$88,3,0)*0.475*44/12</f>
        <v>#REF!</v>
      </c>
      <c r="CM61" s="142" t="str">
        <f>EXP(-LN(2)/2)*CM60+(1-EXP(-LN(2)/2))/(LN(2)/2)*CG61*CJ61*VLOOKUP('Données projet (1)'!$B$12,'Paramètres (1)'!$A$1:$I$88,3,0)*0.475*44/12</f>
        <v>#REF!</v>
      </c>
      <c r="CN61" s="143" t="str">
        <f t="shared" si="45"/>
        <v>#REF!</v>
      </c>
      <c r="CO61" s="139" t="str">
        <f t="shared" si="46"/>
        <v>#REF!</v>
      </c>
      <c r="CP61" s="131">
        <f t="shared" si="47"/>
        <v>10</v>
      </c>
      <c r="CQ61" s="131" t="str">
        <f t="shared" si="124"/>
        <v>#REF!</v>
      </c>
      <c r="CR61" s="131" t="str">
        <f t="shared" si="48"/>
        <v>#REF!</v>
      </c>
      <c r="CS61" s="131" t="str">
        <f t="array" ref="CS61">INDEX(CR:CR,MIN(IF(ISNUMBER(CR61:CR257),ROW(CR61:CR257),"")))</f>
        <v/>
      </c>
      <c r="CT61" s="131" t="str">
        <f t="shared" si="125"/>
        <v>#REF!</v>
      </c>
      <c r="CU61" s="138" t="str">
        <f>CT61*VLOOKUP('Données projet (1)'!$B$13,'Paramètres (1)'!$A$1:$I$88,3,0)*VLOOKUP('Données projet (1)'!$B$13,'Paramètres (1)'!$A$1:$I$88,5,0)</f>
        <v>#REF!</v>
      </c>
      <c r="CV61" s="130" t="str">
        <f t="shared" si="126"/>
        <v>#REF!</v>
      </c>
      <c r="CW61" s="141" t="str">
        <f t="shared" si="49"/>
        <v>#REF!</v>
      </c>
      <c r="CX61" s="133" t="str">
        <f t="shared" si="50"/>
        <v>#REF!</v>
      </c>
      <c r="CY61" s="133" t="str">
        <f t="shared" si="51"/>
        <v>#REF!</v>
      </c>
      <c r="CZ61" s="133" t="str">
        <f t="shared" si="127"/>
        <v>#REF!</v>
      </c>
      <c r="DA61" s="134" t="str">
        <f t="shared" si="52"/>
        <v>#REF!</v>
      </c>
      <c r="DB61" s="134" t="str">
        <f t="shared" si="53"/>
        <v>#REF!</v>
      </c>
      <c r="DC61" s="135" t="str">
        <f>IF(ISNA(VLOOKUP(A61,'Données projet (1)'!$A$139:$I$159,5,0)),0%,VLOOKUP(A61,'Données projet (1)'!$A$139:$I$159,5,0)*VLOOKUP('Données projet (1)'!$B$13,'Paramètres (1)'!$A$1:$I$88,7,0))</f>
        <v>#REF!</v>
      </c>
      <c r="DD61" s="135" t="str">
        <f>IF(ISNA(VLOOKUP(A61,'Données projet (1)'!$A$139:$I$159,6,0)),0%,VLOOKUP(A61,'Données projet (1)'!$A$139:$I$159,6,0)*VLOOKUP('Données projet (1)'!$B$13,'Paramètres (1)'!$A$1:$I$88,7,0))</f>
        <v>#REF!</v>
      </c>
      <c r="DE61" s="135" t="str">
        <f t="shared" si="54"/>
        <v>#REF!</v>
      </c>
      <c r="DF61" s="142" t="str">
        <f>EXP(-LN(2)/35)*DF60+(1-EXP(-LN(2)/35))/(LN(2)/35)*DB61*DC61*VLOOKUP('Données projet (1)'!$B$13,'Paramètres (1)'!$A$1:$I$88,3,0)*0.475*44/12</f>
        <v>#REF!</v>
      </c>
      <c r="DG61" s="142" t="str">
        <f>EXP(-LN(2)/25)*DG60+(1-EXP(-LN(2)/25))/(LN(2)/25)*'Calculateur (1)'!DB61*'Calculateur (1)'!DD61*VLOOKUP('Données projet (1)'!$B$13,'Paramètres (1)'!$A$1:$I$88,3,0)*0.475*44/12</f>
        <v>#REF!</v>
      </c>
      <c r="DH61" s="142" t="str">
        <f>EXP(-LN(2)/2)*DH60+(1-EXP(-LN(2)/2))/(LN(2)/2)*DB61*DE61*VLOOKUP('Données projet (1)'!$B$13,'Paramètres (1)'!$A$1:$I$88,3,0)*0.475*44/12</f>
        <v>#REF!</v>
      </c>
      <c r="DI61" s="143" t="str">
        <f t="shared" si="55"/>
        <v>#REF!</v>
      </c>
      <c r="DJ61" s="139" t="str">
        <f t="shared" si="56"/>
        <v>#REF!</v>
      </c>
      <c r="DK61" s="131">
        <f t="shared" si="57"/>
        <v>10</v>
      </c>
      <c r="DL61" s="131" t="str">
        <f t="shared" si="128"/>
        <v>#REF!</v>
      </c>
      <c r="DM61" s="131" t="str">
        <f t="shared" si="58"/>
        <v>#REF!</v>
      </c>
      <c r="DN61" s="131" t="str">
        <f t="array" ref="DN61">INDEX(DM:DM,MIN(IF(ISNUMBER(DM61:DM257),ROW(DM61:DM257),"")))</f>
        <v/>
      </c>
      <c r="DO61" s="131" t="str">
        <f t="shared" si="129"/>
        <v>#REF!</v>
      </c>
      <c r="DP61" s="138" t="str">
        <f>DO61*VLOOKUP('Données projet (1)'!$B$14,'Paramètres (1)'!$A$1:$I$88,3,0)*VLOOKUP('Données projet (1)'!$B$14,'Paramètres (1)'!$A$1:$I$88,5,0)</f>
        <v>#REF!</v>
      </c>
      <c r="DQ61" s="130" t="str">
        <f t="shared" si="130"/>
        <v>#REF!</v>
      </c>
      <c r="DR61" s="141" t="str">
        <f t="shared" si="59"/>
        <v>#REF!</v>
      </c>
      <c r="DS61" s="133" t="str">
        <f t="shared" si="60"/>
        <v>#REF!</v>
      </c>
      <c r="DT61" s="133" t="str">
        <f t="shared" si="61"/>
        <v>#REF!</v>
      </c>
      <c r="DU61" s="133" t="str">
        <f t="shared" si="131"/>
        <v>#REF!</v>
      </c>
      <c r="DV61" s="134" t="str">
        <f t="shared" si="62"/>
        <v>#REF!</v>
      </c>
      <c r="DW61" s="134" t="str">
        <f t="shared" si="63"/>
        <v>#REF!</v>
      </c>
      <c r="DX61" s="135" t="str">
        <f>IF(ISNA(VLOOKUP(A61,'Données projet (1)'!$A$165:$I$185,5,0)),0%,VLOOKUP(A61,'Données projet (1)'!$A$165:$I$185,5,0)*VLOOKUP('Données projet (1)'!$B$14,'Paramètres (1)'!$A$1:$I$88,7,0))</f>
        <v>#REF!</v>
      </c>
      <c r="DY61" s="135" t="str">
        <f>IF(ISNA(VLOOKUP(A61,'Données projet (1)'!$A$165:$I$185,6,0)),0%,VLOOKUP(A61,'Données projet (1)'!$A$165:$I$185,6,0)*VLOOKUP('Données projet (1)'!$B$14,'Paramètres (1)'!$A$1:$I$88,7,0))</f>
        <v>#REF!</v>
      </c>
      <c r="DZ61" s="135" t="str">
        <f t="shared" si="64"/>
        <v>#REF!</v>
      </c>
      <c r="EA61" s="142" t="str">
        <f>EXP(-LN(2)/35)*EA60+(1-EXP(-LN(2)/35))/(LN(2)/35)*DW61*DX61*VLOOKUP('Données projet (1)'!$B$14,'Paramètres (1)'!$A$1:$I$88,3,0)*0.475*44/12</f>
        <v>#REF!</v>
      </c>
      <c r="EB61" s="142" t="str">
        <f>EXP(-LN(2)/25)*EB60+(1-EXP(-LN(2)/25))/(LN(2)/25)*'Calculateur (1)'!DW61*'Calculateur (1)'!DY61*VLOOKUP('Données projet (1)'!$B$14,'Paramètres (1)'!$A$1:$I$88,3,0)*0.475*44/12</f>
        <v>#REF!</v>
      </c>
      <c r="EC61" s="142" t="str">
        <f>EXP(-LN(2)/2)*EC60+(1-EXP(-LN(2)/2))/(LN(2)/2)*DW61*DZ61*VLOOKUP('Données projet (1)'!$B$14,'Paramètres (1)'!$A$1:$I$88,3,0)*0.475*44/12</f>
        <v>#REF!</v>
      </c>
      <c r="ED61" s="143" t="str">
        <f t="shared" si="65"/>
        <v>#REF!</v>
      </c>
      <c r="EE61" s="139" t="str">
        <f t="shared" si="66"/>
        <v>#REF!</v>
      </c>
      <c r="EF61" s="131">
        <f t="shared" si="67"/>
        <v>10</v>
      </c>
      <c r="EG61" s="131" t="str">
        <f t="shared" si="132"/>
        <v>#REF!</v>
      </c>
      <c r="EH61" s="131" t="str">
        <f t="shared" si="68"/>
        <v>#REF!</v>
      </c>
      <c r="EI61" s="131" t="str">
        <f t="array" ref="EI61">INDEX(EH:EH,MIN(IF(ISNUMBER(EH61:EH257),ROW(EH61:EH257),"")))</f>
        <v/>
      </c>
      <c r="EJ61" s="131" t="str">
        <f t="shared" si="133"/>
        <v>#REF!</v>
      </c>
      <c r="EK61" s="138" t="str">
        <f>EJ61*VLOOKUP('Données projet (1)'!$B$15,'Paramètres (1)'!$A$1:$I$88,3,0)*VLOOKUP('Données projet (1)'!$B$15,'Paramètres (1)'!$A$1:$I$88,5,0)</f>
        <v>#REF!</v>
      </c>
      <c r="EL61" s="130" t="str">
        <f t="shared" si="134"/>
        <v>#REF!</v>
      </c>
      <c r="EM61" s="141" t="str">
        <f t="shared" si="69"/>
        <v>#REF!</v>
      </c>
      <c r="EN61" s="133" t="str">
        <f t="shared" si="70"/>
        <v>#REF!</v>
      </c>
      <c r="EO61" s="133" t="str">
        <f t="shared" si="71"/>
        <v>#REF!</v>
      </c>
      <c r="EP61" s="133" t="str">
        <f t="shared" si="135"/>
        <v>#REF!</v>
      </c>
      <c r="EQ61" s="134" t="str">
        <f t="shared" si="72"/>
        <v>#REF!</v>
      </c>
      <c r="ER61" s="134" t="str">
        <f t="shared" si="73"/>
        <v>#REF!</v>
      </c>
      <c r="ES61" s="135" t="str">
        <f>IF(ISNA(VLOOKUP(A61,'Données projet (1)'!$A$191:$I$211,5,0)),0%,VLOOKUP(A61,'Données projet (1)'!$A$191:$I$211,5,0)*VLOOKUP('Données projet (1)'!$B$15,'Paramètres (1)'!$A$1:$I$88,7,0))</f>
        <v>#REF!</v>
      </c>
      <c r="ET61" s="135" t="str">
        <f>IF(ISNA(VLOOKUP(A61,'Données projet (1)'!$A$191:$I$211,6,0)),0%,VLOOKUP(A61,'Données projet (1)'!$A$191:$I$211,6,0)*VLOOKUP('Données projet (1)'!$B$15,'Paramètres (1)'!$A$1:$I$88,7,0))</f>
        <v>#REF!</v>
      </c>
      <c r="EU61" s="135" t="str">
        <f t="shared" si="74"/>
        <v>#REF!</v>
      </c>
      <c r="EV61" s="142" t="str">
        <f>EXP(-LN(2)/35)*EV60+(1-EXP(-LN(2)/35))/(LN(2)/35)*ER61*ES61*VLOOKUP('Données projet (1)'!$B$15,'Paramètres (1)'!$A$1:$I$88,3,0)*0.475*44/12</f>
        <v>#REF!</v>
      </c>
      <c r="EW61" s="142" t="str">
        <f>EXP(-LN(2)/25)*EW60+(1-EXP(-LN(2)/25))/(LN(2)/25)*'Calculateur (1)'!ER61*'Calculateur (1)'!ET61*VLOOKUP('Données projet (1)'!$B$15,'Paramètres (1)'!$A$1:$I$88,3,0)*0.475*44/12</f>
        <v>#REF!</v>
      </c>
      <c r="EX61" s="142" t="str">
        <f>EXP(-LN(2)/2)*EX60+(1-EXP(-LN(2)/2))/(LN(2)/2)*ER61*EU61*VLOOKUP('Données projet (1)'!$B$15,'Paramètres (1)'!$A$1:$I$88,3,0)*0.475*44/12</f>
        <v>#REF!</v>
      </c>
      <c r="EY61" s="143" t="str">
        <f t="shared" si="75"/>
        <v>#REF!</v>
      </c>
      <c r="EZ61" s="139" t="str">
        <f t="shared" si="76"/>
        <v>#REF!</v>
      </c>
      <c r="FA61" s="131">
        <f t="shared" si="77"/>
        <v>10</v>
      </c>
      <c r="FB61" s="131" t="str">
        <f t="shared" si="136"/>
        <v>#REF!</v>
      </c>
      <c r="FC61" s="131" t="str">
        <f t="shared" si="78"/>
        <v>#REF!</v>
      </c>
      <c r="FD61" s="131" t="str">
        <f t="array" ref="FD61">INDEX(FC:FC,MIN(IF(ISNUMBER(FC61:FC257),ROW(FC61:FC257),"")))</f>
        <v/>
      </c>
      <c r="FE61" s="131" t="str">
        <f t="shared" si="137"/>
        <v>#REF!</v>
      </c>
      <c r="FF61" s="138" t="str">
        <f>FE61*VLOOKUP('Données projet (1)'!$B$16,'Paramètres (1)'!$A$1:$I$88,3,0)*VLOOKUP('Données projet (1)'!$B$16,'Paramètres (1)'!$A$1:$I$88,5,0)</f>
        <v>#REF!</v>
      </c>
      <c r="FG61" s="130" t="str">
        <f t="shared" si="138"/>
        <v>#REF!</v>
      </c>
      <c r="FH61" s="141" t="str">
        <f t="shared" si="79"/>
        <v>#REF!</v>
      </c>
      <c r="FI61" s="133" t="str">
        <f t="shared" si="80"/>
        <v>#REF!</v>
      </c>
      <c r="FJ61" s="133" t="str">
        <f t="shared" si="81"/>
        <v>#REF!</v>
      </c>
      <c r="FK61" s="133" t="str">
        <f t="shared" si="139"/>
        <v>#REF!</v>
      </c>
      <c r="FL61" s="134" t="str">
        <f t="shared" si="82"/>
        <v>#REF!</v>
      </c>
      <c r="FM61" s="134" t="str">
        <f t="shared" si="83"/>
        <v>#REF!</v>
      </c>
      <c r="FN61" s="135" t="str">
        <f>IF(ISNA(VLOOKUP(A61,'Données projet (1)'!$A$217:$I$237,5,0)),0%,VLOOKUP(A61,'Données projet (1)'!$A$217:$I$237,5,0)*VLOOKUP('Données projet (1)'!$B$16,'Paramètres (1)'!$A$1:$I$88,7,0))</f>
        <v>#REF!</v>
      </c>
      <c r="FO61" s="135" t="str">
        <f>IF(ISNA(VLOOKUP(A61,'Données projet (1)'!$A$217:$I$237,6,0)),0%,VLOOKUP(A61,'Données projet (1)'!$A$217:$I$237,6,0)*VLOOKUP('Données projet (1)'!$B$16,'Paramètres (1)'!$A$1:$I$88,7,0))</f>
        <v>#REF!</v>
      </c>
      <c r="FP61" s="135" t="str">
        <f t="shared" si="84"/>
        <v>#REF!</v>
      </c>
      <c r="FQ61" s="142" t="str">
        <f>EXP(-LN(2)/35)*FQ60+(1-EXP(-LN(2)/35))/(LN(2)/35)*FM61*FN61*VLOOKUP('Données projet (1)'!$B$16,'Paramètres (1)'!$A$1:$I$88,3,0)*0.475*44/12</f>
        <v>#REF!</v>
      </c>
      <c r="FR61" s="142" t="str">
        <f>EXP(-LN(2)/25)*FR60+(1-EXP(-LN(2)/25))/(LN(2)/25)*'Calculateur (1)'!FM61*'Calculateur (1)'!FO61*VLOOKUP('Données projet (1)'!$B$16,'Paramètres (1)'!$A$1:$I$88,3,0)*0.475*44/12</f>
        <v>#REF!</v>
      </c>
      <c r="FS61" s="142" t="str">
        <f>EXP(-LN(2)/2)*FS60+(1-EXP(-LN(2)/2))/(LN(2)/2)*FM61*FP61*VLOOKUP('Données projet (1)'!$B$16,'Paramètres (1)'!$A$1:$I$88,3,0)*0.475*44/12</f>
        <v>#REF!</v>
      </c>
      <c r="FT61" s="143" t="str">
        <f t="shared" si="85"/>
        <v>#REF!</v>
      </c>
      <c r="FU61" s="139" t="str">
        <f t="shared" si="86"/>
        <v>#REF!</v>
      </c>
      <c r="FV61" s="131">
        <f t="shared" si="87"/>
        <v>10</v>
      </c>
      <c r="FW61" s="131" t="str">
        <f t="shared" si="140"/>
        <v>#REF!</v>
      </c>
      <c r="FX61" s="131" t="str">
        <f t="shared" si="88"/>
        <v>#REF!</v>
      </c>
      <c r="FY61" s="131" t="str">
        <f t="array" ref="FY61">INDEX(FX:FX,MIN(IF(ISNUMBER(FX61:FX257),ROW(FX61:FX257),"")))</f>
        <v/>
      </c>
      <c r="FZ61" s="131" t="str">
        <f t="shared" si="141"/>
        <v>#REF!</v>
      </c>
      <c r="GA61" s="138" t="str">
        <f>FZ61*VLOOKUP('Données projet (1)'!$B$17,'Paramètres (1)'!$A$1:$I$88,3,0)*VLOOKUP('Données projet (1)'!$B$17,'Paramètres (1)'!$A$1:$I$88,5,0)</f>
        <v>#REF!</v>
      </c>
      <c r="GB61" s="130" t="str">
        <f t="shared" si="142"/>
        <v>#REF!</v>
      </c>
      <c r="GC61" s="141" t="str">
        <f t="shared" si="89"/>
        <v>#REF!</v>
      </c>
      <c r="GD61" s="133" t="str">
        <f t="shared" si="90"/>
        <v>#REF!</v>
      </c>
      <c r="GE61" s="133" t="str">
        <f t="shared" si="91"/>
        <v>#REF!</v>
      </c>
      <c r="GF61" s="133" t="str">
        <f t="shared" si="143"/>
        <v>#REF!</v>
      </c>
      <c r="GG61" s="134" t="str">
        <f t="shared" si="92"/>
        <v>#REF!</v>
      </c>
      <c r="GH61" s="134" t="str">
        <f t="shared" si="93"/>
        <v>#REF!</v>
      </c>
      <c r="GI61" s="135" t="str">
        <f>IF(ISNA(VLOOKUP(A61,'Données projet (1)'!$A$243:$I$263,5,0)),0%,VLOOKUP(A61,'Données projet (1)'!$A$243:$I$263,5,0)*VLOOKUP('Données projet (1)'!$B$17,'Paramètres (1)'!$A$1:$I$88,7,0))</f>
        <v>#REF!</v>
      </c>
      <c r="GJ61" s="135" t="str">
        <f>IF(ISNA(VLOOKUP(A61,'Données projet (1)'!$A$243:$I$263,6,0)),0%,VLOOKUP(A61,'Données projet (1)'!$A$243:$I$263,6,0)*VLOOKUP('Données projet (1)'!$B$17,'Paramètres (1)'!$A$1:$I$88,7,0))</f>
        <v>#REF!</v>
      </c>
      <c r="GK61" s="135" t="str">
        <f t="shared" si="94"/>
        <v>#REF!</v>
      </c>
      <c r="GL61" s="142" t="str">
        <f>EXP(-LN(2)/35)*GL60+(1-EXP(-LN(2)/35))/(LN(2)/35)*GH61*GI61*VLOOKUP('Données projet (1)'!$B$17,'Paramètres (1)'!$A$1:$I$88,3,0)*0.475*44/12</f>
        <v>#REF!</v>
      </c>
      <c r="GM61" s="142" t="str">
        <f>EXP(-LN(2)/25)*GM60+(1-EXP(-LN(2)/25))/(LN(2)/25)*'Calculateur (1)'!GH61*'Calculateur (1)'!GJ61*VLOOKUP('Données projet (1)'!$B$17,'Paramètres (1)'!$A$1:$I$88,3,0)*0.475*44/12</f>
        <v>#REF!</v>
      </c>
      <c r="GN61" s="142" t="str">
        <f>EXP(-LN(2)/2)*GN60+(1-EXP(-LN(2)/2))/(LN(2)/2)*GH61*GK61*VLOOKUP('Données projet (1)'!$B$17,'Paramètres (1)'!$A$1:$I$88,3,0)*0.475*44/12</f>
        <v>#REF!</v>
      </c>
      <c r="GO61" s="142" t="str">
        <f t="shared" si="95"/>
        <v>#REF!</v>
      </c>
      <c r="GP61" s="139" t="str">
        <f t="shared" si="96"/>
        <v>#REF!</v>
      </c>
      <c r="GQ61" s="131">
        <f t="shared" si="97"/>
        <v>10</v>
      </c>
      <c r="GR61" s="131" t="str">
        <f t="shared" si="144"/>
        <v>#REF!</v>
      </c>
      <c r="GS61" s="131" t="str">
        <f t="shared" si="98"/>
        <v>#REF!</v>
      </c>
      <c r="GT61" s="131" t="str">
        <f t="array" ref="GT61">INDEX(GS:GS,MIN(IF(ISNUMBER(GS61:GS257),ROW(GS61:GS257),"")))</f>
        <v/>
      </c>
      <c r="GU61" s="131" t="str">
        <f t="shared" si="145"/>
        <v>#REF!</v>
      </c>
      <c r="GV61" s="138" t="str">
        <f>GU61*VLOOKUP('Données projet (1)'!$B$18,'Paramètres (1)'!$A$1:$I$88,3,0)*VLOOKUP('Données projet (1)'!$B$18,'Paramètres (1)'!$A$1:$I$88,5,0)</f>
        <v>#REF!</v>
      </c>
      <c r="GW61" s="130" t="str">
        <f t="shared" si="146"/>
        <v>#REF!</v>
      </c>
      <c r="GX61" s="141" t="str">
        <f t="shared" si="99"/>
        <v>#REF!</v>
      </c>
      <c r="GY61" s="133" t="str">
        <f t="shared" si="100"/>
        <v>#REF!</v>
      </c>
      <c r="GZ61" s="133" t="str">
        <f t="shared" si="101"/>
        <v>#REF!</v>
      </c>
      <c r="HA61" s="133" t="str">
        <f t="shared" si="147"/>
        <v>#REF!</v>
      </c>
      <c r="HB61" s="134" t="str">
        <f t="shared" si="102"/>
        <v>#REF!</v>
      </c>
      <c r="HC61" s="134" t="str">
        <f t="shared" si="103"/>
        <v>#REF!</v>
      </c>
      <c r="HD61" s="135" t="str">
        <f>IF(ISNA(VLOOKUP(A61,'Données projet (1)'!$A$269:$I$289,5,0)),0%,VLOOKUP(A61,'Données projet (1)'!$A$269:$I$289,5,0)*VLOOKUP('Données projet (1)'!$B$18,'Paramètres (1)'!$A$1:$I$88,7,0))</f>
        <v>#REF!</v>
      </c>
      <c r="HE61" s="135" t="str">
        <f>IF(ISNA(VLOOKUP(A61,'Données projet (1)'!$A$269:$I$289,6,0)),0%,VLOOKUP(A61,'Données projet (1)'!$A$269:$I$289,6,0)*VLOOKUP('Données projet (1)'!$B$18,'Paramètres (1)'!$A$1:$I$88,7,0))</f>
        <v>#REF!</v>
      </c>
      <c r="HF61" s="135" t="str">
        <f t="shared" si="104"/>
        <v>#REF!</v>
      </c>
      <c r="HG61" s="142" t="str">
        <f>EXP(-LN(2)/35)*HG60+(1-EXP(-LN(2)/35))/(LN(2)/35)*HC61*HD61*VLOOKUP('Données projet (1)'!$B$18,'Paramètres (1)'!$A$1:$I$88,3,0)*0.475*44/12</f>
        <v>#REF!</v>
      </c>
      <c r="HH61" s="142" t="str">
        <f>EXP(-LN(2)/25)*HH60+(1-EXP(-LN(2)/25))/(LN(2)/25)*'Calculateur (1)'!HC61*'Calculateur (1)'!HE61*VLOOKUP('Données projet (1)'!$B$18,'Paramètres (1)'!$A$1:$I$88,3,0)*0.475*44/12</f>
        <v>#REF!</v>
      </c>
      <c r="HI61" s="142" t="str">
        <f>EXP(-LN(2)/2)*HI60+(1-EXP(-LN(2)/2))/(LN(2)/2)*HC61*HF61*VLOOKUP('Données projet (1)'!$B$18,'Paramètres (1)'!$A$1:$I$88,3,0)*0.475*44/12</f>
        <v>#REF!</v>
      </c>
      <c r="HJ61" s="143" t="str">
        <f t="shared" si="105"/>
        <v>#REF!</v>
      </c>
    </row>
    <row r="62" ht="14.25" customHeight="1">
      <c r="A62" s="125">
        <f t="shared" si="106"/>
        <v>59</v>
      </c>
      <c r="B62" s="126" t="str">
        <f t="shared" si="1"/>
        <v>#REF!</v>
      </c>
      <c r="C62" s="140" t="str">
        <f>'Calculateur (1)'!C61+'Scénario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2" s="127">
        <f t="shared" si="107"/>
        <v>0</v>
      </c>
      <c r="E62" s="127" t="str">
        <f t="shared" si="2"/>
        <v>#REF!</v>
      </c>
      <c r="F62" s="127" t="str">
        <f t="shared" si="3"/>
        <v>#REF!</v>
      </c>
      <c r="G62" s="127" t="str">
        <f t="shared" si="4"/>
        <v>#REF!</v>
      </c>
      <c r="H62" s="128" t="str">
        <f t="shared" si="5"/>
        <v>#REF!</v>
      </c>
      <c r="I62" s="129" t="str">
        <f t="shared" si="6"/>
        <v>#REF!</v>
      </c>
      <c r="J62" s="130">
        <f t="shared" si="7"/>
        <v>10</v>
      </c>
      <c r="K62" s="131" t="str">
        <f t="shared" si="108"/>
        <v>#REF!</v>
      </c>
      <c r="L62" s="131" t="str">
        <f t="shared" si="8"/>
        <v>#REF!</v>
      </c>
      <c r="M62" s="131" t="str">
        <f t="array" ref="M62">INDEX(L:L,MIN(IF(ISNUMBER(L62:L258),ROW(L62:L258),"")))</f>
        <v/>
      </c>
      <c r="N62" s="130" t="str">
        <f t="shared" si="109"/>
        <v>#REF!</v>
      </c>
      <c r="O62" s="130" t="str">
        <f>N62*VLOOKUP('Données projet (1)'!$B$9,'Paramètres (1)'!$A$1:$I$88,3,0)*VLOOKUP('Données projet (1)'!$B$9,'Paramètres (1)'!$A$1:$I$88,5,0)</f>
        <v>#REF!</v>
      </c>
      <c r="P62" s="130" t="str">
        <f t="shared" si="110"/>
        <v>#REF!</v>
      </c>
      <c r="Q62" s="141" t="str">
        <f t="shared" si="9"/>
        <v>#REF!</v>
      </c>
      <c r="R62" s="133" t="str">
        <f t="shared" si="10"/>
        <v>#REF!</v>
      </c>
      <c r="S62" s="133" t="str">
        <f t="shared" si="11"/>
        <v>#REF!</v>
      </c>
      <c r="T62" s="133" t="str">
        <f t="shared" si="111"/>
        <v>#REF!</v>
      </c>
      <c r="U62" s="134" t="str">
        <f t="shared" si="12"/>
        <v>#REF!</v>
      </c>
      <c r="V62" s="134" t="str">
        <f t="shared" si="13"/>
        <v>#REF!</v>
      </c>
      <c r="W62" s="135" t="str">
        <f>IF(ISNA(VLOOKUP(A62,'Données projet (1)'!$A$35:$I$55,5,0)),0%,VLOOKUP(A62,'Données projet (1)'!$A$35:$I$55,5,0)*VLOOKUP('Données projet (1)'!$B$9,'Paramètres (1)'!$A$1:$I$88,7,0))</f>
        <v>#REF!</v>
      </c>
      <c r="X62" s="135" t="str">
        <f>IF(ISNA(VLOOKUP(A62,'Données projet (1)'!$A$35:$I$55,6,0)),0%,VLOOKUP(A62,'Données projet (1)'!$A$35:$I$55,6,0)*VLOOKUP('Données projet (1)'!$B$9,'Paramètres (1)'!$A$1:$I$88,7,0))</f>
        <v>#REF!</v>
      </c>
      <c r="Y62" s="135" t="str">
        <f t="shared" si="14"/>
        <v>#REF!</v>
      </c>
      <c r="Z62" s="142" t="str">
        <f>EXP(-LN(2)/35)*Z61+(1-EXP(-LN(2)/35))/(LN(2)/35)*V62*W62*VLOOKUP('Données projet (1)'!$B$9,'Paramètres (1)'!$A$1:$I$88,3,0)*0.475*44/12</f>
        <v>#REF!</v>
      </c>
      <c r="AA62" s="142" t="str">
        <f>EXP(-LN(2)/25)*AA61+(1-EXP(-LN(2)/25))/(LN(2)/25)*'Calculateur (1)'!V62*'Calculateur (1)'!X62*VLOOKUP('Données projet (1)'!$B$9,'Paramètres (1)'!$A$1:$I$88,3,0)*0.475*44/12</f>
        <v>#REF!</v>
      </c>
      <c r="AB62" s="142" t="str">
        <f>EXP(-LN(2)/2)*AB61+(1-EXP(-LN(2)/2))/(LN(2)/2)*V62*Y62*VLOOKUP('Données projet (1)'!$B$9,'Paramètres (1)'!$A$1:$I$88,3,0)*0.475*44/12</f>
        <v>#REF!</v>
      </c>
      <c r="AC62" s="143" t="str">
        <f t="shared" si="15"/>
        <v>#REF!</v>
      </c>
      <c r="AD62" s="130" t="str">
        <f t="shared" si="16"/>
        <v>#REF!</v>
      </c>
      <c r="AE62" s="130">
        <f t="shared" si="17"/>
        <v>10</v>
      </c>
      <c r="AF62" s="131" t="str">
        <f t="shared" si="112"/>
        <v>#REF!</v>
      </c>
      <c r="AG62" s="131" t="str">
        <f t="shared" si="18"/>
        <v>#REF!</v>
      </c>
      <c r="AH62" s="131" t="str">
        <f t="array" ref="AH62">INDEX(AG:AG,MIN(IF(ISNUMBER(AG62:AG258),ROW(AG62:AG258),"")))</f>
        <v/>
      </c>
      <c r="AI62" s="130" t="str">
        <f t="shared" si="113"/>
        <v>#REF!</v>
      </c>
      <c r="AJ62" s="130" t="str">
        <f>AI62*VLOOKUP('Données projet (1)'!$B$10,'Paramètres (1)'!$A$1:$I$88,3,0)*VLOOKUP('Données projet (1)'!$B$10,'Paramètres (1)'!$A$1:$I$88,5,0)</f>
        <v>#REF!</v>
      </c>
      <c r="AK62" s="130" t="str">
        <f t="shared" si="114"/>
        <v>#REF!</v>
      </c>
      <c r="AL62" s="141" t="str">
        <f t="shared" si="19"/>
        <v>#REF!</v>
      </c>
      <c r="AM62" s="133" t="str">
        <f t="shared" si="20"/>
        <v>#REF!</v>
      </c>
      <c r="AN62" s="133" t="str">
        <f t="shared" si="21"/>
        <v>#REF!</v>
      </c>
      <c r="AO62" s="133" t="str">
        <f t="shared" si="115"/>
        <v>#REF!</v>
      </c>
      <c r="AP62" s="134" t="str">
        <f t="shared" si="22"/>
        <v>#REF!</v>
      </c>
      <c r="AQ62" s="134" t="str">
        <f t="shared" si="23"/>
        <v>#REF!</v>
      </c>
      <c r="AR62" s="135" t="str">
        <f>IF(ISNA(VLOOKUP(A62,'Données projet (1)'!$A$61:$I$81,5,0)),0%,VLOOKUP(A62,'Données projet (1)'!$A$61:$I$81,5,0)*VLOOKUP('Données projet (1)'!$B$10,'Paramètres (1)'!$A$1:$I$88,7,0))</f>
        <v>#REF!</v>
      </c>
      <c r="AS62" s="135" t="str">
        <f>IF(ISNA(VLOOKUP(A62,'Données projet (1)'!$A$61:$I$81,6,0)),0%,VLOOKUP(A62,'Données projet (1)'!$A$61:$I$81,6,0)*VLOOKUP('Données projet (1)'!$B$10,'Paramètres (1)'!$A$1:$I$88,7,0))</f>
        <v>#REF!</v>
      </c>
      <c r="AT62" s="135" t="str">
        <f t="shared" si="24"/>
        <v>#REF!</v>
      </c>
      <c r="AU62" s="142" t="str">
        <f>EXP(-LN(2)/35)*AU61+(1-EXP(-LN(2)/35))/(LN(2)/35)*AQ62*AR62*VLOOKUP('Données projet (1)'!$B$10,'Paramètres (1)'!$A$1:$I$88,3,0)*0.475*44/12</f>
        <v>#REF!</v>
      </c>
      <c r="AV62" s="142" t="str">
        <f>EXP(-LN(2)/25)*AV61+(1-EXP(-LN(2)/25))/(LN(2)/25)*'Calculateur (1)'!AQ62*'Calculateur (1)'!AS62*VLOOKUP('Données projet (1)'!$B$10,'Paramètres (1)'!$A$1:$I$88,3,0)*0.475*44/12</f>
        <v>#REF!</v>
      </c>
      <c r="AW62" s="142" t="str">
        <f>EXP(-LN(2)/2)*AW61+(1-EXP(-LN(2)/2))/(LN(2)/2)*AQ62*AT62*VLOOKUP('Données projet (1)'!$B$10,'Paramètres (1)'!$A$1:$I$88,3,0)*0.475*44/12</f>
        <v>#REF!</v>
      </c>
      <c r="AX62" s="142" t="str">
        <f t="shared" si="25"/>
        <v>#REF!</v>
      </c>
      <c r="AY62" s="137" t="str">
        <f t="shared" si="26"/>
        <v>#REF!</v>
      </c>
      <c r="AZ62" s="131">
        <f t="shared" si="27"/>
        <v>10</v>
      </c>
      <c r="BA62" s="131" t="str">
        <f t="shared" si="116"/>
        <v>#REF!</v>
      </c>
      <c r="BB62" s="131" t="str">
        <f t="shared" si="28"/>
        <v>#REF!</v>
      </c>
      <c r="BC62" s="131" t="str">
        <f t="array" ref="BC62">INDEX(BB:BB,MIN(IF(ISNUMBER(BB62:BB258),ROW(BB62:BB258),"")))</f>
        <v/>
      </c>
      <c r="BD62" s="131" t="str">
        <f t="shared" si="117"/>
        <v>#REF!</v>
      </c>
      <c r="BE62" s="130" t="str">
        <f>BD62*VLOOKUP('Données projet (1)'!$B$11,'Paramètres (1)'!$A$1:$I$88,3,0)*VLOOKUP('Données projet (1)'!$B$11,'Paramètres (1)'!$A$1:$I$88,5,0)</f>
        <v>#REF!</v>
      </c>
      <c r="BF62" s="130" t="str">
        <f t="shared" si="118"/>
        <v>#REF!</v>
      </c>
      <c r="BG62" s="141" t="str">
        <f t="shared" si="29"/>
        <v>#REF!</v>
      </c>
      <c r="BH62" s="133" t="str">
        <f t="shared" si="30"/>
        <v>#REF!</v>
      </c>
      <c r="BI62" s="133" t="str">
        <f t="shared" si="31"/>
        <v>#REF!</v>
      </c>
      <c r="BJ62" s="133" t="str">
        <f t="shared" si="119"/>
        <v>#REF!</v>
      </c>
      <c r="BK62" s="134" t="str">
        <f t="shared" si="32"/>
        <v>#REF!</v>
      </c>
      <c r="BL62" s="134" t="str">
        <f t="shared" si="33"/>
        <v>#REF!</v>
      </c>
      <c r="BM62" s="135" t="str">
        <f>IF(ISNA(VLOOKUP(A62,'Données projet (1)'!$A$87:$I$107,5,0)),0%,VLOOKUP(A62,'Données projet (1)'!$A$87:$I$107,5,0)*VLOOKUP('Données projet (1)'!$B$11,'Paramètres (1)'!$A$1:$I$88,7,0))</f>
        <v>#REF!</v>
      </c>
      <c r="BN62" s="135" t="str">
        <f>IF(ISNA(VLOOKUP(A62,'Données projet (1)'!$A$87:$I$107,6,0)),0%,VLOOKUP(A62,'Données projet (1)'!$A$87:$I$107,6,0)*VLOOKUP('Données projet (1)'!$B$11,'Paramètres (1)'!$A$1:$I$88,7,0))</f>
        <v>#REF!</v>
      </c>
      <c r="BO62" s="135" t="str">
        <f t="shared" si="34"/>
        <v>#REF!</v>
      </c>
      <c r="BP62" s="142" t="str">
        <f>EXP(-LN(2)/35)*BP61+(1-EXP(-LN(2)/35))/(LN(2)/35)*BL62*BM62*VLOOKUP('Données projet (1)'!$B$11,'Paramètres (1)'!$A$1:$I$88,3,0)*0.475*44/12</f>
        <v>#REF!</v>
      </c>
      <c r="BQ62" s="142" t="str">
        <f>EXP(-LN(2)/25)*BQ61+(1-EXP(-LN(2)/25))/(LN(2)/25)*'Calculateur (1)'!BL62*'Calculateur (1)'!BN62*VLOOKUP('Données projet (1)'!$B$11,'Paramètres (1)'!$A$1:$I$88,3,0)*0.475*44/12</f>
        <v>#REF!</v>
      </c>
      <c r="BR62" s="142" t="str">
        <f>EXP(-LN(2)/2)*BR61+(1-EXP(-LN(2)/2))/(LN(2)/2)*BL62*BO62*VLOOKUP('Données projet (1)'!$B$11,'Paramètres (1)'!$A$1:$I$88,3,0)*0.475*44/12</f>
        <v>#REF!</v>
      </c>
      <c r="BS62" s="143" t="str">
        <f t="shared" si="35"/>
        <v>#REF!</v>
      </c>
      <c r="BT62" s="139" t="str">
        <f t="shared" si="36"/>
        <v>#REF!</v>
      </c>
      <c r="BU62" s="131">
        <f t="shared" si="37"/>
        <v>10</v>
      </c>
      <c r="BV62" s="131" t="str">
        <f t="shared" si="120"/>
        <v>#REF!</v>
      </c>
      <c r="BW62" s="131" t="str">
        <f t="shared" si="38"/>
        <v>#REF!</v>
      </c>
      <c r="BX62" s="131" t="str">
        <f t="array" ref="BX62">INDEX(BW:BW,MIN(IF(ISNUMBER(BW62:BW258),ROW(BW62:BW258),"")))</f>
        <v/>
      </c>
      <c r="BY62" s="131" t="str">
        <f t="shared" si="121"/>
        <v>#REF!</v>
      </c>
      <c r="BZ62" s="130" t="str">
        <f>BY62*VLOOKUP('Données projet (1)'!$B$12,'Paramètres (1)'!$A$1:$I$88,3,0)*VLOOKUP('Données projet (1)'!$B$12,'Paramètres (1)'!$A$1:$I$88,5,0)</f>
        <v>#REF!</v>
      </c>
      <c r="CA62" s="130" t="str">
        <f t="shared" si="122"/>
        <v>#REF!</v>
      </c>
      <c r="CB62" s="141" t="str">
        <f t="shared" si="39"/>
        <v>#REF!</v>
      </c>
      <c r="CC62" s="133" t="str">
        <f t="shared" si="40"/>
        <v>#REF!</v>
      </c>
      <c r="CD62" s="133" t="str">
        <f t="shared" si="41"/>
        <v>#REF!</v>
      </c>
      <c r="CE62" s="133" t="str">
        <f t="shared" si="123"/>
        <v>#REF!</v>
      </c>
      <c r="CF62" s="134" t="str">
        <f t="shared" si="42"/>
        <v>#REF!</v>
      </c>
      <c r="CG62" s="134" t="str">
        <f t="shared" si="43"/>
        <v>#REF!</v>
      </c>
      <c r="CH62" s="135" t="str">
        <f>IF(ISNA(VLOOKUP(A62,'Données projet (1)'!$A$113:$I$133,5,0)),0%,VLOOKUP(A62,'Données projet (1)'!$A$113:$I$133,5,0)*VLOOKUP('Données projet (1)'!$B$12,'Paramètres (1)'!$A$1:$I$88,7,0))</f>
        <v>#REF!</v>
      </c>
      <c r="CI62" s="135" t="str">
        <f>IF(ISNA(VLOOKUP(A62,'Données projet (1)'!$A$113:$I$133,6,0)),0%,VLOOKUP(A62,'Données projet (1)'!$A$113:$I$133,6,0)*VLOOKUP('Données projet (1)'!$B$12,'Paramètres (1)'!$A$1:$I$88,7,0))</f>
        <v>#REF!</v>
      </c>
      <c r="CJ62" s="135" t="str">
        <f t="shared" si="44"/>
        <v>#REF!</v>
      </c>
      <c r="CK62" s="142" t="str">
        <f>EXP(-LN(2)/35)*CK61+(1-EXP(-LN(2)/35))/(LN(2)/35)*CG62*CH62*VLOOKUP('Données projet (1)'!$B$12,'Paramètres (1)'!$A$1:$I$88,3,0)*0.475*44/12</f>
        <v>#REF!</v>
      </c>
      <c r="CL62" s="142" t="str">
        <f>EXP(-LN(2)/25)*CL61+(1-EXP(-LN(2)/25))/(LN(2)/25)*'Calculateur (1)'!CG62*'Calculateur (1)'!CI62*VLOOKUP('Données projet (1)'!$B$12,'Paramètres (1)'!$A$1:$I$88,3,0)*0.475*44/12</f>
        <v>#REF!</v>
      </c>
      <c r="CM62" s="142" t="str">
        <f>EXP(-LN(2)/2)*CM61+(1-EXP(-LN(2)/2))/(LN(2)/2)*CG62*CJ62*VLOOKUP('Données projet (1)'!$B$12,'Paramètres (1)'!$A$1:$I$88,3,0)*0.475*44/12</f>
        <v>#REF!</v>
      </c>
      <c r="CN62" s="143" t="str">
        <f t="shared" si="45"/>
        <v>#REF!</v>
      </c>
      <c r="CO62" s="139" t="str">
        <f t="shared" si="46"/>
        <v>#REF!</v>
      </c>
      <c r="CP62" s="131">
        <f t="shared" si="47"/>
        <v>10</v>
      </c>
      <c r="CQ62" s="131" t="str">
        <f t="shared" si="124"/>
        <v>#REF!</v>
      </c>
      <c r="CR62" s="131" t="str">
        <f t="shared" si="48"/>
        <v>#REF!</v>
      </c>
      <c r="CS62" s="131" t="str">
        <f t="array" ref="CS62">INDEX(CR:CR,MIN(IF(ISNUMBER(CR62:CR258),ROW(CR62:CR258),"")))</f>
        <v/>
      </c>
      <c r="CT62" s="131" t="str">
        <f t="shared" si="125"/>
        <v>#REF!</v>
      </c>
      <c r="CU62" s="138" t="str">
        <f>CT62*VLOOKUP('Données projet (1)'!$B$13,'Paramètres (1)'!$A$1:$I$88,3,0)*VLOOKUP('Données projet (1)'!$B$13,'Paramètres (1)'!$A$1:$I$88,5,0)</f>
        <v>#REF!</v>
      </c>
      <c r="CV62" s="130" t="str">
        <f t="shared" si="126"/>
        <v>#REF!</v>
      </c>
      <c r="CW62" s="141" t="str">
        <f t="shared" si="49"/>
        <v>#REF!</v>
      </c>
      <c r="CX62" s="133" t="str">
        <f t="shared" si="50"/>
        <v>#REF!</v>
      </c>
      <c r="CY62" s="133" t="str">
        <f t="shared" si="51"/>
        <v>#REF!</v>
      </c>
      <c r="CZ62" s="133" t="str">
        <f t="shared" si="127"/>
        <v>#REF!</v>
      </c>
      <c r="DA62" s="134" t="str">
        <f t="shared" si="52"/>
        <v>#REF!</v>
      </c>
      <c r="DB62" s="134" t="str">
        <f t="shared" si="53"/>
        <v>#REF!</v>
      </c>
      <c r="DC62" s="135" t="str">
        <f>IF(ISNA(VLOOKUP(A62,'Données projet (1)'!$A$139:$I$159,5,0)),0%,VLOOKUP(A62,'Données projet (1)'!$A$139:$I$159,5,0)*VLOOKUP('Données projet (1)'!$B$13,'Paramètres (1)'!$A$1:$I$88,7,0))</f>
        <v>#REF!</v>
      </c>
      <c r="DD62" s="135" t="str">
        <f>IF(ISNA(VLOOKUP(A62,'Données projet (1)'!$A$139:$I$159,6,0)),0%,VLOOKUP(A62,'Données projet (1)'!$A$139:$I$159,6,0)*VLOOKUP('Données projet (1)'!$B$13,'Paramètres (1)'!$A$1:$I$88,7,0))</f>
        <v>#REF!</v>
      </c>
      <c r="DE62" s="135" t="str">
        <f t="shared" si="54"/>
        <v>#REF!</v>
      </c>
      <c r="DF62" s="142" t="str">
        <f>EXP(-LN(2)/35)*DF61+(1-EXP(-LN(2)/35))/(LN(2)/35)*DB62*DC62*VLOOKUP('Données projet (1)'!$B$13,'Paramètres (1)'!$A$1:$I$88,3,0)*0.475*44/12</f>
        <v>#REF!</v>
      </c>
      <c r="DG62" s="142" t="str">
        <f>EXP(-LN(2)/25)*DG61+(1-EXP(-LN(2)/25))/(LN(2)/25)*'Calculateur (1)'!DB62*'Calculateur (1)'!DD62*VLOOKUP('Données projet (1)'!$B$13,'Paramètres (1)'!$A$1:$I$88,3,0)*0.475*44/12</f>
        <v>#REF!</v>
      </c>
      <c r="DH62" s="142" t="str">
        <f>EXP(-LN(2)/2)*DH61+(1-EXP(-LN(2)/2))/(LN(2)/2)*DB62*DE62*VLOOKUP('Données projet (1)'!$B$13,'Paramètres (1)'!$A$1:$I$88,3,0)*0.475*44/12</f>
        <v>#REF!</v>
      </c>
      <c r="DI62" s="143" t="str">
        <f t="shared" si="55"/>
        <v>#REF!</v>
      </c>
      <c r="DJ62" s="139" t="str">
        <f t="shared" si="56"/>
        <v>#REF!</v>
      </c>
      <c r="DK62" s="131">
        <f t="shared" si="57"/>
        <v>10</v>
      </c>
      <c r="DL62" s="131" t="str">
        <f t="shared" si="128"/>
        <v>#REF!</v>
      </c>
      <c r="DM62" s="131" t="str">
        <f t="shared" si="58"/>
        <v>#REF!</v>
      </c>
      <c r="DN62" s="131" t="str">
        <f t="array" ref="DN62">INDEX(DM:DM,MIN(IF(ISNUMBER(DM62:DM258),ROW(DM62:DM258),"")))</f>
        <v/>
      </c>
      <c r="DO62" s="131" t="str">
        <f t="shared" si="129"/>
        <v>#REF!</v>
      </c>
      <c r="DP62" s="138" t="str">
        <f>DO62*VLOOKUP('Données projet (1)'!$B$14,'Paramètres (1)'!$A$1:$I$88,3,0)*VLOOKUP('Données projet (1)'!$B$14,'Paramètres (1)'!$A$1:$I$88,5,0)</f>
        <v>#REF!</v>
      </c>
      <c r="DQ62" s="130" t="str">
        <f t="shared" si="130"/>
        <v>#REF!</v>
      </c>
      <c r="DR62" s="141" t="str">
        <f t="shared" si="59"/>
        <v>#REF!</v>
      </c>
      <c r="DS62" s="133" t="str">
        <f t="shared" si="60"/>
        <v>#REF!</v>
      </c>
      <c r="DT62" s="133" t="str">
        <f t="shared" si="61"/>
        <v>#REF!</v>
      </c>
      <c r="DU62" s="133" t="str">
        <f t="shared" si="131"/>
        <v>#REF!</v>
      </c>
      <c r="DV62" s="134" t="str">
        <f t="shared" si="62"/>
        <v>#REF!</v>
      </c>
      <c r="DW62" s="134" t="str">
        <f t="shared" si="63"/>
        <v>#REF!</v>
      </c>
      <c r="DX62" s="135" t="str">
        <f>IF(ISNA(VLOOKUP(A62,'Données projet (1)'!$A$165:$I$185,5,0)),0%,VLOOKUP(A62,'Données projet (1)'!$A$165:$I$185,5,0)*VLOOKUP('Données projet (1)'!$B$14,'Paramètres (1)'!$A$1:$I$88,7,0))</f>
        <v>#REF!</v>
      </c>
      <c r="DY62" s="135" t="str">
        <f>IF(ISNA(VLOOKUP(A62,'Données projet (1)'!$A$165:$I$185,6,0)),0%,VLOOKUP(A62,'Données projet (1)'!$A$165:$I$185,6,0)*VLOOKUP('Données projet (1)'!$B$14,'Paramètres (1)'!$A$1:$I$88,7,0))</f>
        <v>#REF!</v>
      </c>
      <c r="DZ62" s="135" t="str">
        <f t="shared" si="64"/>
        <v>#REF!</v>
      </c>
      <c r="EA62" s="142" t="str">
        <f>EXP(-LN(2)/35)*EA61+(1-EXP(-LN(2)/35))/(LN(2)/35)*DW62*DX62*VLOOKUP('Données projet (1)'!$B$14,'Paramètres (1)'!$A$1:$I$88,3,0)*0.475*44/12</f>
        <v>#REF!</v>
      </c>
      <c r="EB62" s="142" t="str">
        <f>EXP(-LN(2)/25)*EB61+(1-EXP(-LN(2)/25))/(LN(2)/25)*'Calculateur (1)'!DW62*'Calculateur (1)'!DY62*VLOOKUP('Données projet (1)'!$B$14,'Paramètres (1)'!$A$1:$I$88,3,0)*0.475*44/12</f>
        <v>#REF!</v>
      </c>
      <c r="EC62" s="142" t="str">
        <f>EXP(-LN(2)/2)*EC61+(1-EXP(-LN(2)/2))/(LN(2)/2)*DW62*DZ62*VLOOKUP('Données projet (1)'!$B$14,'Paramètres (1)'!$A$1:$I$88,3,0)*0.475*44/12</f>
        <v>#REF!</v>
      </c>
      <c r="ED62" s="143" t="str">
        <f t="shared" si="65"/>
        <v>#REF!</v>
      </c>
      <c r="EE62" s="139" t="str">
        <f t="shared" si="66"/>
        <v>#REF!</v>
      </c>
      <c r="EF62" s="131">
        <f t="shared" si="67"/>
        <v>10</v>
      </c>
      <c r="EG62" s="131" t="str">
        <f t="shared" si="132"/>
        <v>#REF!</v>
      </c>
      <c r="EH62" s="131" t="str">
        <f t="shared" si="68"/>
        <v>#REF!</v>
      </c>
      <c r="EI62" s="131" t="str">
        <f t="array" ref="EI62">INDEX(EH:EH,MIN(IF(ISNUMBER(EH62:EH258),ROW(EH62:EH258),"")))</f>
        <v/>
      </c>
      <c r="EJ62" s="131" t="str">
        <f t="shared" si="133"/>
        <v>#REF!</v>
      </c>
      <c r="EK62" s="138" t="str">
        <f>EJ62*VLOOKUP('Données projet (1)'!$B$15,'Paramètres (1)'!$A$1:$I$88,3,0)*VLOOKUP('Données projet (1)'!$B$15,'Paramètres (1)'!$A$1:$I$88,5,0)</f>
        <v>#REF!</v>
      </c>
      <c r="EL62" s="130" t="str">
        <f t="shared" si="134"/>
        <v>#REF!</v>
      </c>
      <c r="EM62" s="141" t="str">
        <f t="shared" si="69"/>
        <v>#REF!</v>
      </c>
      <c r="EN62" s="133" t="str">
        <f t="shared" si="70"/>
        <v>#REF!</v>
      </c>
      <c r="EO62" s="133" t="str">
        <f t="shared" si="71"/>
        <v>#REF!</v>
      </c>
      <c r="EP62" s="133" t="str">
        <f t="shared" si="135"/>
        <v>#REF!</v>
      </c>
      <c r="EQ62" s="134" t="str">
        <f t="shared" si="72"/>
        <v>#REF!</v>
      </c>
      <c r="ER62" s="134" t="str">
        <f t="shared" si="73"/>
        <v>#REF!</v>
      </c>
      <c r="ES62" s="135" t="str">
        <f>IF(ISNA(VLOOKUP(A62,'Données projet (1)'!$A$191:$I$211,5,0)),0%,VLOOKUP(A62,'Données projet (1)'!$A$191:$I$211,5,0)*VLOOKUP('Données projet (1)'!$B$15,'Paramètres (1)'!$A$1:$I$88,7,0))</f>
        <v>#REF!</v>
      </c>
      <c r="ET62" s="135" t="str">
        <f>IF(ISNA(VLOOKUP(A62,'Données projet (1)'!$A$191:$I$211,6,0)),0%,VLOOKUP(A62,'Données projet (1)'!$A$191:$I$211,6,0)*VLOOKUP('Données projet (1)'!$B$15,'Paramètres (1)'!$A$1:$I$88,7,0))</f>
        <v>#REF!</v>
      </c>
      <c r="EU62" s="135" t="str">
        <f t="shared" si="74"/>
        <v>#REF!</v>
      </c>
      <c r="EV62" s="142" t="str">
        <f>EXP(-LN(2)/35)*EV61+(1-EXP(-LN(2)/35))/(LN(2)/35)*ER62*ES62*VLOOKUP('Données projet (1)'!$B$15,'Paramètres (1)'!$A$1:$I$88,3,0)*0.475*44/12</f>
        <v>#REF!</v>
      </c>
      <c r="EW62" s="142" t="str">
        <f>EXP(-LN(2)/25)*EW61+(1-EXP(-LN(2)/25))/(LN(2)/25)*'Calculateur (1)'!ER62*'Calculateur (1)'!ET62*VLOOKUP('Données projet (1)'!$B$15,'Paramètres (1)'!$A$1:$I$88,3,0)*0.475*44/12</f>
        <v>#REF!</v>
      </c>
      <c r="EX62" s="142" t="str">
        <f>EXP(-LN(2)/2)*EX61+(1-EXP(-LN(2)/2))/(LN(2)/2)*ER62*EU62*VLOOKUP('Données projet (1)'!$B$15,'Paramètres (1)'!$A$1:$I$88,3,0)*0.475*44/12</f>
        <v>#REF!</v>
      </c>
      <c r="EY62" s="143" t="str">
        <f t="shared" si="75"/>
        <v>#REF!</v>
      </c>
      <c r="EZ62" s="139" t="str">
        <f t="shared" si="76"/>
        <v>#REF!</v>
      </c>
      <c r="FA62" s="131">
        <f t="shared" si="77"/>
        <v>10</v>
      </c>
      <c r="FB62" s="131" t="str">
        <f t="shared" si="136"/>
        <v>#REF!</v>
      </c>
      <c r="FC62" s="131" t="str">
        <f t="shared" si="78"/>
        <v>#REF!</v>
      </c>
      <c r="FD62" s="131" t="str">
        <f t="array" ref="FD62">INDEX(FC:FC,MIN(IF(ISNUMBER(FC62:FC258),ROW(FC62:FC258),"")))</f>
        <v/>
      </c>
      <c r="FE62" s="131" t="str">
        <f t="shared" si="137"/>
        <v>#REF!</v>
      </c>
      <c r="FF62" s="138" t="str">
        <f>FE62*VLOOKUP('Données projet (1)'!$B$16,'Paramètres (1)'!$A$1:$I$88,3,0)*VLOOKUP('Données projet (1)'!$B$16,'Paramètres (1)'!$A$1:$I$88,5,0)</f>
        <v>#REF!</v>
      </c>
      <c r="FG62" s="130" t="str">
        <f t="shared" si="138"/>
        <v>#REF!</v>
      </c>
      <c r="FH62" s="141" t="str">
        <f t="shared" si="79"/>
        <v>#REF!</v>
      </c>
      <c r="FI62" s="133" t="str">
        <f t="shared" si="80"/>
        <v>#REF!</v>
      </c>
      <c r="FJ62" s="133" t="str">
        <f t="shared" si="81"/>
        <v>#REF!</v>
      </c>
      <c r="FK62" s="133" t="str">
        <f t="shared" si="139"/>
        <v>#REF!</v>
      </c>
      <c r="FL62" s="134" t="str">
        <f t="shared" si="82"/>
        <v>#REF!</v>
      </c>
      <c r="FM62" s="134" t="str">
        <f t="shared" si="83"/>
        <v>#REF!</v>
      </c>
      <c r="FN62" s="135" t="str">
        <f>IF(ISNA(VLOOKUP(A62,'Données projet (1)'!$A$217:$I$237,5,0)),0%,VLOOKUP(A62,'Données projet (1)'!$A$217:$I$237,5,0)*VLOOKUP('Données projet (1)'!$B$16,'Paramètres (1)'!$A$1:$I$88,7,0))</f>
        <v>#REF!</v>
      </c>
      <c r="FO62" s="135" t="str">
        <f>IF(ISNA(VLOOKUP(A62,'Données projet (1)'!$A$217:$I$237,6,0)),0%,VLOOKUP(A62,'Données projet (1)'!$A$217:$I$237,6,0)*VLOOKUP('Données projet (1)'!$B$16,'Paramètres (1)'!$A$1:$I$88,7,0))</f>
        <v>#REF!</v>
      </c>
      <c r="FP62" s="135" t="str">
        <f t="shared" si="84"/>
        <v>#REF!</v>
      </c>
      <c r="FQ62" s="142" t="str">
        <f>EXP(-LN(2)/35)*FQ61+(1-EXP(-LN(2)/35))/(LN(2)/35)*FM62*FN62*VLOOKUP('Données projet (1)'!$B$16,'Paramètres (1)'!$A$1:$I$88,3,0)*0.475*44/12</f>
        <v>#REF!</v>
      </c>
      <c r="FR62" s="142" t="str">
        <f>EXP(-LN(2)/25)*FR61+(1-EXP(-LN(2)/25))/(LN(2)/25)*'Calculateur (1)'!FM62*'Calculateur (1)'!FO62*VLOOKUP('Données projet (1)'!$B$16,'Paramètres (1)'!$A$1:$I$88,3,0)*0.475*44/12</f>
        <v>#REF!</v>
      </c>
      <c r="FS62" s="142" t="str">
        <f>EXP(-LN(2)/2)*FS61+(1-EXP(-LN(2)/2))/(LN(2)/2)*FM62*FP62*VLOOKUP('Données projet (1)'!$B$16,'Paramètres (1)'!$A$1:$I$88,3,0)*0.475*44/12</f>
        <v>#REF!</v>
      </c>
      <c r="FT62" s="143" t="str">
        <f t="shared" si="85"/>
        <v>#REF!</v>
      </c>
      <c r="FU62" s="139" t="str">
        <f t="shared" si="86"/>
        <v>#REF!</v>
      </c>
      <c r="FV62" s="131">
        <f t="shared" si="87"/>
        <v>10</v>
      </c>
      <c r="FW62" s="131" t="str">
        <f t="shared" si="140"/>
        <v>#REF!</v>
      </c>
      <c r="FX62" s="131" t="str">
        <f t="shared" si="88"/>
        <v>#REF!</v>
      </c>
      <c r="FY62" s="131" t="str">
        <f t="array" ref="FY62">INDEX(FX:FX,MIN(IF(ISNUMBER(FX62:FX258),ROW(FX62:FX258),"")))</f>
        <v/>
      </c>
      <c r="FZ62" s="131" t="str">
        <f t="shared" si="141"/>
        <v>#REF!</v>
      </c>
      <c r="GA62" s="138" t="str">
        <f>FZ62*VLOOKUP('Données projet (1)'!$B$17,'Paramètres (1)'!$A$1:$I$88,3,0)*VLOOKUP('Données projet (1)'!$B$17,'Paramètres (1)'!$A$1:$I$88,5,0)</f>
        <v>#REF!</v>
      </c>
      <c r="GB62" s="130" t="str">
        <f t="shared" si="142"/>
        <v>#REF!</v>
      </c>
      <c r="GC62" s="141" t="str">
        <f t="shared" si="89"/>
        <v>#REF!</v>
      </c>
      <c r="GD62" s="133" t="str">
        <f t="shared" si="90"/>
        <v>#REF!</v>
      </c>
      <c r="GE62" s="133" t="str">
        <f t="shared" si="91"/>
        <v>#REF!</v>
      </c>
      <c r="GF62" s="133" t="str">
        <f t="shared" si="143"/>
        <v>#REF!</v>
      </c>
      <c r="GG62" s="134" t="str">
        <f t="shared" si="92"/>
        <v>#REF!</v>
      </c>
      <c r="GH62" s="134" t="str">
        <f t="shared" si="93"/>
        <v>#REF!</v>
      </c>
      <c r="GI62" s="135" t="str">
        <f>IF(ISNA(VLOOKUP(A62,'Données projet (1)'!$A$243:$I$263,5,0)),0%,VLOOKUP(A62,'Données projet (1)'!$A$243:$I$263,5,0)*VLOOKUP('Données projet (1)'!$B$17,'Paramètres (1)'!$A$1:$I$88,7,0))</f>
        <v>#REF!</v>
      </c>
      <c r="GJ62" s="135" t="str">
        <f>IF(ISNA(VLOOKUP(A62,'Données projet (1)'!$A$243:$I$263,6,0)),0%,VLOOKUP(A62,'Données projet (1)'!$A$243:$I$263,6,0)*VLOOKUP('Données projet (1)'!$B$17,'Paramètres (1)'!$A$1:$I$88,7,0))</f>
        <v>#REF!</v>
      </c>
      <c r="GK62" s="135" t="str">
        <f t="shared" si="94"/>
        <v>#REF!</v>
      </c>
      <c r="GL62" s="142" t="str">
        <f>EXP(-LN(2)/35)*GL61+(1-EXP(-LN(2)/35))/(LN(2)/35)*GH62*GI62*VLOOKUP('Données projet (1)'!$B$17,'Paramètres (1)'!$A$1:$I$88,3,0)*0.475*44/12</f>
        <v>#REF!</v>
      </c>
      <c r="GM62" s="142" t="str">
        <f>EXP(-LN(2)/25)*GM61+(1-EXP(-LN(2)/25))/(LN(2)/25)*'Calculateur (1)'!GH62*'Calculateur (1)'!GJ62*VLOOKUP('Données projet (1)'!$B$17,'Paramètres (1)'!$A$1:$I$88,3,0)*0.475*44/12</f>
        <v>#REF!</v>
      </c>
      <c r="GN62" s="142" t="str">
        <f>EXP(-LN(2)/2)*GN61+(1-EXP(-LN(2)/2))/(LN(2)/2)*GH62*GK62*VLOOKUP('Données projet (1)'!$B$17,'Paramètres (1)'!$A$1:$I$88,3,0)*0.475*44/12</f>
        <v>#REF!</v>
      </c>
      <c r="GO62" s="142" t="str">
        <f t="shared" si="95"/>
        <v>#REF!</v>
      </c>
      <c r="GP62" s="139" t="str">
        <f t="shared" si="96"/>
        <v>#REF!</v>
      </c>
      <c r="GQ62" s="131">
        <f t="shared" si="97"/>
        <v>10</v>
      </c>
      <c r="GR62" s="131" t="str">
        <f t="shared" si="144"/>
        <v>#REF!</v>
      </c>
      <c r="GS62" s="131" t="str">
        <f t="shared" si="98"/>
        <v>#REF!</v>
      </c>
      <c r="GT62" s="131" t="str">
        <f t="array" ref="GT62">INDEX(GS:GS,MIN(IF(ISNUMBER(GS62:GS258),ROW(GS62:GS258),"")))</f>
        <v/>
      </c>
      <c r="GU62" s="131" t="str">
        <f t="shared" si="145"/>
        <v>#REF!</v>
      </c>
      <c r="GV62" s="138" t="str">
        <f>GU62*VLOOKUP('Données projet (1)'!$B$18,'Paramètres (1)'!$A$1:$I$88,3,0)*VLOOKUP('Données projet (1)'!$B$18,'Paramètres (1)'!$A$1:$I$88,5,0)</f>
        <v>#REF!</v>
      </c>
      <c r="GW62" s="130" t="str">
        <f t="shared" si="146"/>
        <v>#REF!</v>
      </c>
      <c r="GX62" s="141" t="str">
        <f t="shared" si="99"/>
        <v>#REF!</v>
      </c>
      <c r="GY62" s="133" t="str">
        <f t="shared" si="100"/>
        <v>#REF!</v>
      </c>
      <c r="GZ62" s="133" t="str">
        <f t="shared" si="101"/>
        <v>#REF!</v>
      </c>
      <c r="HA62" s="133" t="str">
        <f t="shared" si="147"/>
        <v>#REF!</v>
      </c>
      <c r="HB62" s="134" t="str">
        <f t="shared" si="102"/>
        <v>#REF!</v>
      </c>
      <c r="HC62" s="134" t="str">
        <f t="shared" si="103"/>
        <v>#REF!</v>
      </c>
      <c r="HD62" s="135" t="str">
        <f>IF(ISNA(VLOOKUP(A62,'Données projet (1)'!$A$269:$I$289,5,0)),0%,VLOOKUP(A62,'Données projet (1)'!$A$269:$I$289,5,0)*VLOOKUP('Données projet (1)'!$B$18,'Paramètres (1)'!$A$1:$I$88,7,0))</f>
        <v>#REF!</v>
      </c>
      <c r="HE62" s="135" t="str">
        <f>IF(ISNA(VLOOKUP(A62,'Données projet (1)'!$A$269:$I$289,6,0)),0%,VLOOKUP(A62,'Données projet (1)'!$A$269:$I$289,6,0)*VLOOKUP('Données projet (1)'!$B$18,'Paramètres (1)'!$A$1:$I$88,7,0))</f>
        <v>#REF!</v>
      </c>
      <c r="HF62" s="135" t="str">
        <f t="shared" si="104"/>
        <v>#REF!</v>
      </c>
      <c r="HG62" s="142" t="str">
        <f>EXP(-LN(2)/35)*HG61+(1-EXP(-LN(2)/35))/(LN(2)/35)*HC62*HD62*VLOOKUP('Données projet (1)'!$B$18,'Paramètres (1)'!$A$1:$I$88,3,0)*0.475*44/12</f>
        <v>#REF!</v>
      </c>
      <c r="HH62" s="142" t="str">
        <f>EXP(-LN(2)/25)*HH61+(1-EXP(-LN(2)/25))/(LN(2)/25)*'Calculateur (1)'!HC62*'Calculateur (1)'!HE62*VLOOKUP('Données projet (1)'!$B$18,'Paramètres (1)'!$A$1:$I$88,3,0)*0.475*44/12</f>
        <v>#REF!</v>
      </c>
      <c r="HI62" s="142" t="str">
        <f>EXP(-LN(2)/2)*HI61+(1-EXP(-LN(2)/2))/(LN(2)/2)*HC62*HF62*VLOOKUP('Données projet (1)'!$B$18,'Paramètres (1)'!$A$1:$I$88,3,0)*0.475*44/12</f>
        <v>#REF!</v>
      </c>
      <c r="HJ62" s="143" t="str">
        <f t="shared" si="105"/>
        <v>#REF!</v>
      </c>
    </row>
    <row r="63" ht="14.25" customHeight="1">
      <c r="A63" s="125">
        <f t="shared" si="106"/>
        <v>60</v>
      </c>
      <c r="B63" s="126" t="str">
        <f t="shared" si="1"/>
        <v>#REF!</v>
      </c>
      <c r="C63" s="140" t="str">
        <f>'Calculateur (1)'!C62+'Scénario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3" s="127">
        <f t="shared" si="107"/>
        <v>0</v>
      </c>
      <c r="E63" s="127" t="str">
        <f t="shared" si="2"/>
        <v>#REF!</v>
      </c>
      <c r="F63" s="127" t="str">
        <f t="shared" si="3"/>
        <v>#REF!</v>
      </c>
      <c r="G63" s="127" t="str">
        <f t="shared" si="4"/>
        <v>#REF!</v>
      </c>
      <c r="H63" s="128" t="str">
        <f t="shared" si="5"/>
        <v>#REF!</v>
      </c>
      <c r="I63" s="129" t="str">
        <f t="shared" si="6"/>
        <v>#REF!</v>
      </c>
      <c r="J63" s="130">
        <f t="shared" si="7"/>
        <v>10</v>
      </c>
      <c r="K63" s="131" t="str">
        <f t="shared" si="108"/>
        <v>#REF!</v>
      </c>
      <c r="L63" s="131" t="str">
        <f t="shared" si="8"/>
        <v>#REF!</v>
      </c>
      <c r="M63" s="131" t="str">
        <f t="array" ref="M63">INDEX(L:L,MIN(IF(ISNUMBER(L63:L259),ROW(L63:L259),"")))</f>
        <v/>
      </c>
      <c r="N63" s="130" t="str">
        <f t="shared" si="109"/>
        <v>#REF!</v>
      </c>
      <c r="O63" s="130" t="str">
        <f>N63*VLOOKUP('Données projet (1)'!$B$9,'Paramètres (1)'!$A$1:$I$88,3,0)*VLOOKUP('Données projet (1)'!$B$9,'Paramètres (1)'!$A$1:$I$88,5,0)</f>
        <v>#REF!</v>
      </c>
      <c r="P63" s="130" t="str">
        <f t="shared" si="110"/>
        <v>#REF!</v>
      </c>
      <c r="Q63" s="141" t="str">
        <f t="shared" si="9"/>
        <v>#REF!</v>
      </c>
      <c r="R63" s="133" t="str">
        <f t="shared" si="10"/>
        <v>#REF!</v>
      </c>
      <c r="S63" s="133" t="str">
        <f t="shared" si="11"/>
        <v>#REF!</v>
      </c>
      <c r="T63" s="133" t="str">
        <f t="shared" si="111"/>
        <v>#REF!</v>
      </c>
      <c r="U63" s="134" t="str">
        <f t="shared" si="12"/>
        <v>#REF!</v>
      </c>
      <c r="V63" s="134" t="str">
        <f t="shared" si="13"/>
        <v>#REF!</v>
      </c>
      <c r="W63" s="135" t="str">
        <f>IF(ISNA(VLOOKUP(A63,'Données projet (1)'!$A$35:$I$55,5,0)),0%,VLOOKUP(A63,'Données projet (1)'!$A$35:$I$55,5,0)*VLOOKUP('Données projet (1)'!$B$9,'Paramètres (1)'!$A$1:$I$88,7,0))</f>
        <v>#REF!</v>
      </c>
      <c r="X63" s="135" t="str">
        <f>IF(ISNA(VLOOKUP(A63,'Données projet (1)'!$A$35:$I$55,6,0)),0%,VLOOKUP(A63,'Données projet (1)'!$A$35:$I$55,6,0)*VLOOKUP('Données projet (1)'!$B$9,'Paramètres (1)'!$A$1:$I$88,7,0))</f>
        <v>#REF!</v>
      </c>
      <c r="Y63" s="135" t="str">
        <f t="shared" si="14"/>
        <v>#REF!</v>
      </c>
      <c r="Z63" s="142" t="str">
        <f>EXP(-LN(2)/35)*Z62+(1-EXP(-LN(2)/35))/(LN(2)/35)*V63*W63*VLOOKUP('Données projet (1)'!$B$9,'Paramètres (1)'!$A$1:$I$88,3,0)*0.475*44/12</f>
        <v>#REF!</v>
      </c>
      <c r="AA63" s="142" t="str">
        <f>EXP(-LN(2)/25)*AA62+(1-EXP(-LN(2)/25))/(LN(2)/25)*'Calculateur (1)'!V63*'Calculateur (1)'!X63*VLOOKUP('Données projet (1)'!$B$9,'Paramètres (1)'!$A$1:$I$88,3,0)*0.475*44/12</f>
        <v>#REF!</v>
      </c>
      <c r="AB63" s="142" t="str">
        <f>EXP(-LN(2)/2)*AB62+(1-EXP(-LN(2)/2))/(LN(2)/2)*V63*Y63*VLOOKUP('Données projet (1)'!$B$9,'Paramètres (1)'!$A$1:$I$88,3,0)*0.475*44/12</f>
        <v>#REF!</v>
      </c>
      <c r="AC63" s="143" t="str">
        <f t="shared" si="15"/>
        <v>#REF!</v>
      </c>
      <c r="AD63" s="130" t="str">
        <f t="shared" si="16"/>
        <v>#REF!</v>
      </c>
      <c r="AE63" s="130">
        <f t="shared" si="17"/>
        <v>10</v>
      </c>
      <c r="AF63" s="131" t="str">
        <f t="shared" si="112"/>
        <v>#REF!</v>
      </c>
      <c r="AG63" s="131" t="str">
        <f t="shared" si="18"/>
        <v>#REF!</v>
      </c>
      <c r="AH63" s="131" t="str">
        <f t="array" ref="AH63">INDEX(AG:AG,MIN(IF(ISNUMBER(AG63:AG259),ROW(AG63:AG259),"")))</f>
        <v/>
      </c>
      <c r="AI63" s="130" t="str">
        <f t="shared" si="113"/>
        <v>#REF!</v>
      </c>
      <c r="AJ63" s="130" t="str">
        <f>AI63*VLOOKUP('Données projet (1)'!$B$10,'Paramètres (1)'!$A$1:$I$88,3,0)*VLOOKUP('Données projet (1)'!$B$10,'Paramètres (1)'!$A$1:$I$88,5,0)</f>
        <v>#REF!</v>
      </c>
      <c r="AK63" s="130" t="str">
        <f t="shared" si="114"/>
        <v>#REF!</v>
      </c>
      <c r="AL63" s="141" t="str">
        <f t="shared" si="19"/>
        <v>#REF!</v>
      </c>
      <c r="AM63" s="133" t="str">
        <f t="shared" si="20"/>
        <v>#REF!</v>
      </c>
      <c r="AN63" s="133" t="str">
        <f t="shared" si="21"/>
        <v>#REF!</v>
      </c>
      <c r="AO63" s="133" t="str">
        <f t="shared" si="115"/>
        <v>#REF!</v>
      </c>
      <c r="AP63" s="134" t="str">
        <f t="shared" si="22"/>
        <v>#REF!</v>
      </c>
      <c r="AQ63" s="134" t="str">
        <f t="shared" si="23"/>
        <v>#REF!</v>
      </c>
      <c r="AR63" s="135" t="str">
        <f>IF(ISNA(VLOOKUP(A63,'Données projet (1)'!$A$61:$I$81,5,0)),0%,VLOOKUP(A63,'Données projet (1)'!$A$61:$I$81,5,0)*VLOOKUP('Données projet (1)'!$B$10,'Paramètres (1)'!$A$1:$I$88,7,0))</f>
        <v>#REF!</v>
      </c>
      <c r="AS63" s="135" t="str">
        <f>IF(ISNA(VLOOKUP(A63,'Données projet (1)'!$A$61:$I$81,6,0)),0%,VLOOKUP(A63,'Données projet (1)'!$A$61:$I$81,6,0)*VLOOKUP('Données projet (1)'!$B$10,'Paramètres (1)'!$A$1:$I$88,7,0))</f>
        <v>#REF!</v>
      </c>
      <c r="AT63" s="135" t="str">
        <f t="shared" si="24"/>
        <v>#REF!</v>
      </c>
      <c r="AU63" s="142" t="str">
        <f>EXP(-LN(2)/35)*AU62+(1-EXP(-LN(2)/35))/(LN(2)/35)*AQ63*AR63*VLOOKUP('Données projet (1)'!$B$10,'Paramètres (1)'!$A$1:$I$88,3,0)*0.475*44/12</f>
        <v>#REF!</v>
      </c>
      <c r="AV63" s="142" t="str">
        <f>EXP(-LN(2)/25)*AV62+(1-EXP(-LN(2)/25))/(LN(2)/25)*'Calculateur (1)'!AQ63*'Calculateur (1)'!AS63*VLOOKUP('Données projet (1)'!$B$10,'Paramètres (1)'!$A$1:$I$88,3,0)*0.475*44/12</f>
        <v>#REF!</v>
      </c>
      <c r="AW63" s="142" t="str">
        <f>EXP(-LN(2)/2)*AW62+(1-EXP(-LN(2)/2))/(LN(2)/2)*AQ63*AT63*VLOOKUP('Données projet (1)'!$B$10,'Paramètres (1)'!$A$1:$I$88,3,0)*0.475*44/12</f>
        <v>#REF!</v>
      </c>
      <c r="AX63" s="142" t="str">
        <f t="shared" si="25"/>
        <v>#REF!</v>
      </c>
      <c r="AY63" s="137" t="str">
        <f t="shared" si="26"/>
        <v>#REF!</v>
      </c>
      <c r="AZ63" s="131">
        <f t="shared" si="27"/>
        <v>10</v>
      </c>
      <c r="BA63" s="131" t="str">
        <f t="shared" si="116"/>
        <v>#REF!</v>
      </c>
      <c r="BB63" s="131" t="str">
        <f t="shared" si="28"/>
        <v>#REF!</v>
      </c>
      <c r="BC63" s="131" t="str">
        <f t="array" ref="BC63">INDEX(BB:BB,MIN(IF(ISNUMBER(BB63:BB259),ROW(BB63:BB259),"")))</f>
        <v/>
      </c>
      <c r="BD63" s="131" t="str">
        <f t="shared" si="117"/>
        <v>#REF!</v>
      </c>
      <c r="BE63" s="130" t="str">
        <f>BD63*VLOOKUP('Données projet (1)'!$B$11,'Paramètres (1)'!$A$1:$I$88,3,0)*VLOOKUP('Données projet (1)'!$B$11,'Paramètres (1)'!$A$1:$I$88,5,0)</f>
        <v>#REF!</v>
      </c>
      <c r="BF63" s="130" t="str">
        <f t="shared" si="118"/>
        <v>#REF!</v>
      </c>
      <c r="BG63" s="141" t="str">
        <f t="shared" si="29"/>
        <v>#REF!</v>
      </c>
      <c r="BH63" s="133" t="str">
        <f t="shared" si="30"/>
        <v>#REF!</v>
      </c>
      <c r="BI63" s="133" t="str">
        <f t="shared" si="31"/>
        <v>#REF!</v>
      </c>
      <c r="BJ63" s="133" t="str">
        <f t="shared" si="119"/>
        <v>#REF!</v>
      </c>
      <c r="BK63" s="134" t="str">
        <f t="shared" si="32"/>
        <v>#REF!</v>
      </c>
      <c r="BL63" s="134" t="str">
        <f t="shared" si="33"/>
        <v>#REF!</v>
      </c>
      <c r="BM63" s="135" t="str">
        <f>IF(ISNA(VLOOKUP(A63,'Données projet (1)'!$A$87:$I$107,5,0)),0%,VLOOKUP(A63,'Données projet (1)'!$A$87:$I$107,5,0)*VLOOKUP('Données projet (1)'!$B$11,'Paramètres (1)'!$A$1:$I$88,7,0))</f>
        <v>#REF!</v>
      </c>
      <c r="BN63" s="135" t="str">
        <f>IF(ISNA(VLOOKUP(A63,'Données projet (1)'!$A$87:$I$107,6,0)),0%,VLOOKUP(A63,'Données projet (1)'!$A$87:$I$107,6,0)*VLOOKUP('Données projet (1)'!$B$11,'Paramètres (1)'!$A$1:$I$88,7,0))</f>
        <v>#REF!</v>
      </c>
      <c r="BO63" s="135" t="str">
        <f t="shared" si="34"/>
        <v>#REF!</v>
      </c>
      <c r="BP63" s="142" t="str">
        <f>EXP(-LN(2)/35)*BP62+(1-EXP(-LN(2)/35))/(LN(2)/35)*BL63*BM63*VLOOKUP('Données projet (1)'!$B$11,'Paramètres (1)'!$A$1:$I$88,3,0)*0.475*44/12</f>
        <v>#REF!</v>
      </c>
      <c r="BQ63" s="142" t="str">
        <f>EXP(-LN(2)/25)*BQ62+(1-EXP(-LN(2)/25))/(LN(2)/25)*'Calculateur (1)'!BL63*'Calculateur (1)'!BN63*VLOOKUP('Données projet (1)'!$B$11,'Paramètres (1)'!$A$1:$I$88,3,0)*0.475*44/12</f>
        <v>#REF!</v>
      </c>
      <c r="BR63" s="142" t="str">
        <f>EXP(-LN(2)/2)*BR62+(1-EXP(-LN(2)/2))/(LN(2)/2)*BL63*BO63*VLOOKUP('Données projet (1)'!$B$11,'Paramètres (1)'!$A$1:$I$88,3,0)*0.475*44/12</f>
        <v>#REF!</v>
      </c>
      <c r="BS63" s="143" t="str">
        <f t="shared" si="35"/>
        <v>#REF!</v>
      </c>
      <c r="BT63" s="139" t="str">
        <f t="shared" si="36"/>
        <v>#REF!</v>
      </c>
      <c r="BU63" s="131">
        <f t="shared" si="37"/>
        <v>10</v>
      </c>
      <c r="BV63" s="131" t="str">
        <f t="shared" si="120"/>
        <v>#REF!</v>
      </c>
      <c r="BW63" s="131" t="str">
        <f t="shared" si="38"/>
        <v>#REF!</v>
      </c>
      <c r="BX63" s="131" t="str">
        <f t="array" ref="BX63">INDEX(BW:BW,MIN(IF(ISNUMBER(BW63:BW259),ROW(BW63:BW259),"")))</f>
        <v/>
      </c>
      <c r="BY63" s="131" t="str">
        <f t="shared" si="121"/>
        <v>#REF!</v>
      </c>
      <c r="BZ63" s="130" t="str">
        <f>BY63*VLOOKUP('Données projet (1)'!$B$12,'Paramètres (1)'!$A$1:$I$88,3,0)*VLOOKUP('Données projet (1)'!$B$12,'Paramètres (1)'!$A$1:$I$88,5,0)</f>
        <v>#REF!</v>
      </c>
      <c r="CA63" s="130" t="str">
        <f t="shared" si="122"/>
        <v>#REF!</v>
      </c>
      <c r="CB63" s="141" t="str">
        <f t="shared" si="39"/>
        <v>#REF!</v>
      </c>
      <c r="CC63" s="133" t="str">
        <f t="shared" si="40"/>
        <v>#REF!</v>
      </c>
      <c r="CD63" s="133" t="str">
        <f t="shared" si="41"/>
        <v>#REF!</v>
      </c>
      <c r="CE63" s="133" t="str">
        <f t="shared" si="123"/>
        <v>#REF!</v>
      </c>
      <c r="CF63" s="134" t="str">
        <f t="shared" si="42"/>
        <v>#REF!</v>
      </c>
      <c r="CG63" s="134" t="str">
        <f t="shared" si="43"/>
        <v>#REF!</v>
      </c>
      <c r="CH63" s="135" t="str">
        <f>IF(ISNA(VLOOKUP(A63,'Données projet (1)'!$A$113:$I$133,5,0)),0%,VLOOKUP(A63,'Données projet (1)'!$A$113:$I$133,5,0)*VLOOKUP('Données projet (1)'!$B$12,'Paramètres (1)'!$A$1:$I$88,7,0))</f>
        <v>#REF!</v>
      </c>
      <c r="CI63" s="135" t="str">
        <f>IF(ISNA(VLOOKUP(A63,'Données projet (1)'!$A$113:$I$133,6,0)),0%,VLOOKUP(A63,'Données projet (1)'!$A$113:$I$133,6,0)*VLOOKUP('Données projet (1)'!$B$12,'Paramètres (1)'!$A$1:$I$88,7,0))</f>
        <v>#REF!</v>
      </c>
      <c r="CJ63" s="135" t="str">
        <f t="shared" si="44"/>
        <v>#REF!</v>
      </c>
      <c r="CK63" s="142" t="str">
        <f>EXP(-LN(2)/35)*CK62+(1-EXP(-LN(2)/35))/(LN(2)/35)*CG63*CH63*VLOOKUP('Données projet (1)'!$B$12,'Paramètres (1)'!$A$1:$I$88,3,0)*0.475*44/12</f>
        <v>#REF!</v>
      </c>
      <c r="CL63" s="142" t="str">
        <f>EXP(-LN(2)/25)*CL62+(1-EXP(-LN(2)/25))/(LN(2)/25)*'Calculateur (1)'!CG63*'Calculateur (1)'!CI63*VLOOKUP('Données projet (1)'!$B$12,'Paramètres (1)'!$A$1:$I$88,3,0)*0.475*44/12</f>
        <v>#REF!</v>
      </c>
      <c r="CM63" s="142" t="str">
        <f>EXP(-LN(2)/2)*CM62+(1-EXP(-LN(2)/2))/(LN(2)/2)*CG63*CJ63*VLOOKUP('Données projet (1)'!$B$12,'Paramètres (1)'!$A$1:$I$88,3,0)*0.475*44/12</f>
        <v>#REF!</v>
      </c>
      <c r="CN63" s="143" t="str">
        <f t="shared" si="45"/>
        <v>#REF!</v>
      </c>
      <c r="CO63" s="139" t="str">
        <f t="shared" si="46"/>
        <v>#REF!</v>
      </c>
      <c r="CP63" s="131">
        <f t="shared" si="47"/>
        <v>10</v>
      </c>
      <c r="CQ63" s="131" t="str">
        <f t="shared" si="124"/>
        <v>#REF!</v>
      </c>
      <c r="CR63" s="131" t="str">
        <f t="shared" si="48"/>
        <v>#REF!</v>
      </c>
      <c r="CS63" s="131" t="str">
        <f t="array" ref="CS63">INDEX(CR:CR,MIN(IF(ISNUMBER(CR63:CR259),ROW(CR63:CR259),"")))</f>
        <v/>
      </c>
      <c r="CT63" s="131" t="str">
        <f t="shared" si="125"/>
        <v>#REF!</v>
      </c>
      <c r="CU63" s="138" t="str">
        <f>CT63*VLOOKUP('Données projet (1)'!$B$13,'Paramètres (1)'!$A$1:$I$88,3,0)*VLOOKUP('Données projet (1)'!$B$13,'Paramètres (1)'!$A$1:$I$88,5,0)</f>
        <v>#REF!</v>
      </c>
      <c r="CV63" s="130" t="str">
        <f t="shared" si="126"/>
        <v>#REF!</v>
      </c>
      <c r="CW63" s="141" t="str">
        <f t="shared" si="49"/>
        <v>#REF!</v>
      </c>
      <c r="CX63" s="133" t="str">
        <f t="shared" si="50"/>
        <v>#REF!</v>
      </c>
      <c r="CY63" s="133" t="str">
        <f t="shared" si="51"/>
        <v>#REF!</v>
      </c>
      <c r="CZ63" s="133" t="str">
        <f t="shared" si="127"/>
        <v>#REF!</v>
      </c>
      <c r="DA63" s="134" t="str">
        <f t="shared" si="52"/>
        <v>#REF!</v>
      </c>
      <c r="DB63" s="134" t="str">
        <f t="shared" si="53"/>
        <v>#REF!</v>
      </c>
      <c r="DC63" s="135" t="str">
        <f>IF(ISNA(VLOOKUP(A63,'Données projet (1)'!$A$139:$I$159,5,0)),0%,VLOOKUP(A63,'Données projet (1)'!$A$139:$I$159,5,0)*VLOOKUP('Données projet (1)'!$B$13,'Paramètres (1)'!$A$1:$I$88,7,0))</f>
        <v>#REF!</v>
      </c>
      <c r="DD63" s="135" t="str">
        <f>IF(ISNA(VLOOKUP(A63,'Données projet (1)'!$A$139:$I$159,6,0)),0%,VLOOKUP(A63,'Données projet (1)'!$A$139:$I$159,6,0)*VLOOKUP('Données projet (1)'!$B$13,'Paramètres (1)'!$A$1:$I$88,7,0))</f>
        <v>#REF!</v>
      </c>
      <c r="DE63" s="135" t="str">
        <f t="shared" si="54"/>
        <v>#REF!</v>
      </c>
      <c r="DF63" s="142" t="str">
        <f>EXP(-LN(2)/35)*DF62+(1-EXP(-LN(2)/35))/(LN(2)/35)*DB63*DC63*VLOOKUP('Données projet (1)'!$B$13,'Paramètres (1)'!$A$1:$I$88,3,0)*0.475*44/12</f>
        <v>#REF!</v>
      </c>
      <c r="DG63" s="142" t="str">
        <f>EXP(-LN(2)/25)*DG62+(1-EXP(-LN(2)/25))/(LN(2)/25)*'Calculateur (1)'!DB63*'Calculateur (1)'!DD63*VLOOKUP('Données projet (1)'!$B$13,'Paramètres (1)'!$A$1:$I$88,3,0)*0.475*44/12</f>
        <v>#REF!</v>
      </c>
      <c r="DH63" s="142" t="str">
        <f>EXP(-LN(2)/2)*DH62+(1-EXP(-LN(2)/2))/(LN(2)/2)*DB63*DE63*VLOOKUP('Données projet (1)'!$B$13,'Paramètres (1)'!$A$1:$I$88,3,0)*0.475*44/12</f>
        <v>#REF!</v>
      </c>
      <c r="DI63" s="143" t="str">
        <f t="shared" si="55"/>
        <v>#REF!</v>
      </c>
      <c r="DJ63" s="139" t="str">
        <f t="shared" si="56"/>
        <v>#REF!</v>
      </c>
      <c r="DK63" s="131">
        <f t="shared" si="57"/>
        <v>10</v>
      </c>
      <c r="DL63" s="131" t="str">
        <f t="shared" si="128"/>
        <v>#REF!</v>
      </c>
      <c r="DM63" s="131" t="str">
        <f t="shared" si="58"/>
        <v>#REF!</v>
      </c>
      <c r="DN63" s="131" t="str">
        <f t="array" ref="DN63">INDEX(DM:DM,MIN(IF(ISNUMBER(DM63:DM259),ROW(DM63:DM259),"")))</f>
        <v/>
      </c>
      <c r="DO63" s="131" t="str">
        <f t="shared" si="129"/>
        <v>#REF!</v>
      </c>
      <c r="DP63" s="138" t="str">
        <f>DO63*VLOOKUP('Données projet (1)'!$B$14,'Paramètres (1)'!$A$1:$I$88,3,0)*VLOOKUP('Données projet (1)'!$B$14,'Paramètres (1)'!$A$1:$I$88,5,0)</f>
        <v>#REF!</v>
      </c>
      <c r="DQ63" s="130" t="str">
        <f t="shared" si="130"/>
        <v>#REF!</v>
      </c>
      <c r="DR63" s="141" t="str">
        <f t="shared" si="59"/>
        <v>#REF!</v>
      </c>
      <c r="DS63" s="133" t="str">
        <f t="shared" si="60"/>
        <v>#REF!</v>
      </c>
      <c r="DT63" s="133" t="str">
        <f t="shared" si="61"/>
        <v>#REF!</v>
      </c>
      <c r="DU63" s="133" t="str">
        <f t="shared" si="131"/>
        <v>#REF!</v>
      </c>
      <c r="DV63" s="134" t="str">
        <f t="shared" si="62"/>
        <v>#REF!</v>
      </c>
      <c r="DW63" s="134" t="str">
        <f t="shared" si="63"/>
        <v>#REF!</v>
      </c>
      <c r="DX63" s="135" t="str">
        <f>IF(ISNA(VLOOKUP(A63,'Données projet (1)'!$A$165:$I$185,5,0)),0%,VLOOKUP(A63,'Données projet (1)'!$A$165:$I$185,5,0)*VLOOKUP('Données projet (1)'!$B$14,'Paramètres (1)'!$A$1:$I$88,7,0))</f>
        <v>#REF!</v>
      </c>
      <c r="DY63" s="135" t="str">
        <f>IF(ISNA(VLOOKUP(A63,'Données projet (1)'!$A$165:$I$185,6,0)),0%,VLOOKUP(A63,'Données projet (1)'!$A$165:$I$185,6,0)*VLOOKUP('Données projet (1)'!$B$14,'Paramètres (1)'!$A$1:$I$88,7,0))</f>
        <v>#REF!</v>
      </c>
      <c r="DZ63" s="135" t="str">
        <f t="shared" si="64"/>
        <v>#REF!</v>
      </c>
      <c r="EA63" s="142" t="str">
        <f>EXP(-LN(2)/35)*EA62+(1-EXP(-LN(2)/35))/(LN(2)/35)*DW63*DX63*VLOOKUP('Données projet (1)'!$B$14,'Paramètres (1)'!$A$1:$I$88,3,0)*0.475*44/12</f>
        <v>#REF!</v>
      </c>
      <c r="EB63" s="142" t="str">
        <f>EXP(-LN(2)/25)*EB62+(1-EXP(-LN(2)/25))/(LN(2)/25)*'Calculateur (1)'!DW63*'Calculateur (1)'!DY63*VLOOKUP('Données projet (1)'!$B$14,'Paramètres (1)'!$A$1:$I$88,3,0)*0.475*44/12</f>
        <v>#REF!</v>
      </c>
      <c r="EC63" s="142" t="str">
        <f>EXP(-LN(2)/2)*EC62+(1-EXP(-LN(2)/2))/(LN(2)/2)*DW63*DZ63*VLOOKUP('Données projet (1)'!$B$14,'Paramètres (1)'!$A$1:$I$88,3,0)*0.475*44/12</f>
        <v>#REF!</v>
      </c>
      <c r="ED63" s="143" t="str">
        <f t="shared" si="65"/>
        <v>#REF!</v>
      </c>
      <c r="EE63" s="139" t="str">
        <f t="shared" si="66"/>
        <v>#REF!</v>
      </c>
      <c r="EF63" s="131">
        <f t="shared" si="67"/>
        <v>10</v>
      </c>
      <c r="EG63" s="131" t="str">
        <f t="shared" si="132"/>
        <v>#REF!</v>
      </c>
      <c r="EH63" s="131" t="str">
        <f t="shared" si="68"/>
        <v>#REF!</v>
      </c>
      <c r="EI63" s="131" t="str">
        <f t="array" ref="EI63">INDEX(EH:EH,MIN(IF(ISNUMBER(EH63:EH259),ROW(EH63:EH259),"")))</f>
        <v/>
      </c>
      <c r="EJ63" s="131" t="str">
        <f t="shared" si="133"/>
        <v>#REF!</v>
      </c>
      <c r="EK63" s="138" t="str">
        <f>EJ63*VLOOKUP('Données projet (1)'!$B$15,'Paramètres (1)'!$A$1:$I$88,3,0)*VLOOKUP('Données projet (1)'!$B$15,'Paramètres (1)'!$A$1:$I$88,5,0)</f>
        <v>#REF!</v>
      </c>
      <c r="EL63" s="130" t="str">
        <f t="shared" si="134"/>
        <v>#REF!</v>
      </c>
      <c r="EM63" s="141" t="str">
        <f t="shared" si="69"/>
        <v>#REF!</v>
      </c>
      <c r="EN63" s="133" t="str">
        <f t="shared" si="70"/>
        <v>#REF!</v>
      </c>
      <c r="EO63" s="133" t="str">
        <f t="shared" si="71"/>
        <v>#REF!</v>
      </c>
      <c r="EP63" s="133" t="str">
        <f t="shared" si="135"/>
        <v>#REF!</v>
      </c>
      <c r="EQ63" s="134" t="str">
        <f t="shared" si="72"/>
        <v>#REF!</v>
      </c>
      <c r="ER63" s="134" t="str">
        <f t="shared" si="73"/>
        <v>#REF!</v>
      </c>
      <c r="ES63" s="135" t="str">
        <f>IF(ISNA(VLOOKUP(A63,'Données projet (1)'!$A$191:$I$211,5,0)),0%,VLOOKUP(A63,'Données projet (1)'!$A$191:$I$211,5,0)*VLOOKUP('Données projet (1)'!$B$15,'Paramètres (1)'!$A$1:$I$88,7,0))</f>
        <v>#REF!</v>
      </c>
      <c r="ET63" s="135" t="str">
        <f>IF(ISNA(VLOOKUP(A63,'Données projet (1)'!$A$191:$I$211,6,0)),0%,VLOOKUP(A63,'Données projet (1)'!$A$191:$I$211,6,0)*VLOOKUP('Données projet (1)'!$B$15,'Paramètres (1)'!$A$1:$I$88,7,0))</f>
        <v>#REF!</v>
      </c>
      <c r="EU63" s="135" t="str">
        <f t="shared" si="74"/>
        <v>#REF!</v>
      </c>
      <c r="EV63" s="142" t="str">
        <f>EXP(-LN(2)/35)*EV62+(1-EXP(-LN(2)/35))/(LN(2)/35)*ER63*ES63*VLOOKUP('Données projet (1)'!$B$15,'Paramètres (1)'!$A$1:$I$88,3,0)*0.475*44/12</f>
        <v>#REF!</v>
      </c>
      <c r="EW63" s="142" t="str">
        <f>EXP(-LN(2)/25)*EW62+(1-EXP(-LN(2)/25))/(LN(2)/25)*'Calculateur (1)'!ER63*'Calculateur (1)'!ET63*VLOOKUP('Données projet (1)'!$B$15,'Paramètres (1)'!$A$1:$I$88,3,0)*0.475*44/12</f>
        <v>#REF!</v>
      </c>
      <c r="EX63" s="142" t="str">
        <f>EXP(-LN(2)/2)*EX62+(1-EXP(-LN(2)/2))/(LN(2)/2)*ER63*EU63*VLOOKUP('Données projet (1)'!$B$15,'Paramètres (1)'!$A$1:$I$88,3,0)*0.475*44/12</f>
        <v>#REF!</v>
      </c>
      <c r="EY63" s="143" t="str">
        <f t="shared" si="75"/>
        <v>#REF!</v>
      </c>
      <c r="EZ63" s="139" t="str">
        <f t="shared" si="76"/>
        <v>#REF!</v>
      </c>
      <c r="FA63" s="131">
        <f t="shared" si="77"/>
        <v>10</v>
      </c>
      <c r="FB63" s="131" t="str">
        <f t="shared" si="136"/>
        <v>#REF!</v>
      </c>
      <c r="FC63" s="131" t="str">
        <f t="shared" si="78"/>
        <v>#REF!</v>
      </c>
      <c r="FD63" s="131" t="str">
        <f t="array" ref="FD63">INDEX(FC:FC,MIN(IF(ISNUMBER(FC63:FC259),ROW(FC63:FC259),"")))</f>
        <v/>
      </c>
      <c r="FE63" s="131" t="str">
        <f t="shared" si="137"/>
        <v>#REF!</v>
      </c>
      <c r="FF63" s="138" t="str">
        <f>FE63*VLOOKUP('Données projet (1)'!$B$16,'Paramètres (1)'!$A$1:$I$88,3,0)*VLOOKUP('Données projet (1)'!$B$16,'Paramètres (1)'!$A$1:$I$88,5,0)</f>
        <v>#REF!</v>
      </c>
      <c r="FG63" s="130" t="str">
        <f t="shared" si="138"/>
        <v>#REF!</v>
      </c>
      <c r="FH63" s="141" t="str">
        <f t="shared" si="79"/>
        <v>#REF!</v>
      </c>
      <c r="FI63" s="133" t="str">
        <f t="shared" si="80"/>
        <v>#REF!</v>
      </c>
      <c r="FJ63" s="133" t="str">
        <f t="shared" si="81"/>
        <v>#REF!</v>
      </c>
      <c r="FK63" s="133" t="str">
        <f t="shared" si="139"/>
        <v>#REF!</v>
      </c>
      <c r="FL63" s="134" t="str">
        <f t="shared" si="82"/>
        <v>#REF!</v>
      </c>
      <c r="FM63" s="134" t="str">
        <f t="shared" si="83"/>
        <v>#REF!</v>
      </c>
      <c r="FN63" s="135" t="str">
        <f>IF(ISNA(VLOOKUP(A63,'Données projet (1)'!$A$217:$I$237,5,0)),0%,VLOOKUP(A63,'Données projet (1)'!$A$217:$I$237,5,0)*VLOOKUP('Données projet (1)'!$B$16,'Paramètres (1)'!$A$1:$I$88,7,0))</f>
        <v>#REF!</v>
      </c>
      <c r="FO63" s="135" t="str">
        <f>IF(ISNA(VLOOKUP(A63,'Données projet (1)'!$A$217:$I$237,6,0)),0%,VLOOKUP(A63,'Données projet (1)'!$A$217:$I$237,6,0)*VLOOKUP('Données projet (1)'!$B$16,'Paramètres (1)'!$A$1:$I$88,7,0))</f>
        <v>#REF!</v>
      </c>
      <c r="FP63" s="135" t="str">
        <f t="shared" si="84"/>
        <v>#REF!</v>
      </c>
      <c r="FQ63" s="142" t="str">
        <f>EXP(-LN(2)/35)*FQ62+(1-EXP(-LN(2)/35))/(LN(2)/35)*FM63*FN63*VLOOKUP('Données projet (1)'!$B$16,'Paramètres (1)'!$A$1:$I$88,3,0)*0.475*44/12</f>
        <v>#REF!</v>
      </c>
      <c r="FR63" s="142" t="str">
        <f>EXP(-LN(2)/25)*FR62+(1-EXP(-LN(2)/25))/(LN(2)/25)*'Calculateur (1)'!FM63*'Calculateur (1)'!FO63*VLOOKUP('Données projet (1)'!$B$16,'Paramètres (1)'!$A$1:$I$88,3,0)*0.475*44/12</f>
        <v>#REF!</v>
      </c>
      <c r="FS63" s="142" t="str">
        <f>EXP(-LN(2)/2)*FS62+(1-EXP(-LN(2)/2))/(LN(2)/2)*FM63*FP63*VLOOKUP('Données projet (1)'!$B$16,'Paramètres (1)'!$A$1:$I$88,3,0)*0.475*44/12</f>
        <v>#REF!</v>
      </c>
      <c r="FT63" s="143" t="str">
        <f t="shared" si="85"/>
        <v>#REF!</v>
      </c>
      <c r="FU63" s="139" t="str">
        <f t="shared" si="86"/>
        <v>#REF!</v>
      </c>
      <c r="FV63" s="131">
        <f t="shared" si="87"/>
        <v>10</v>
      </c>
      <c r="FW63" s="131" t="str">
        <f t="shared" si="140"/>
        <v>#REF!</v>
      </c>
      <c r="FX63" s="131" t="str">
        <f t="shared" si="88"/>
        <v>#REF!</v>
      </c>
      <c r="FY63" s="131" t="str">
        <f t="array" ref="FY63">INDEX(FX:FX,MIN(IF(ISNUMBER(FX63:FX259),ROW(FX63:FX259),"")))</f>
        <v/>
      </c>
      <c r="FZ63" s="131" t="str">
        <f t="shared" si="141"/>
        <v>#REF!</v>
      </c>
      <c r="GA63" s="138" t="str">
        <f>FZ63*VLOOKUP('Données projet (1)'!$B$17,'Paramètres (1)'!$A$1:$I$88,3,0)*VLOOKUP('Données projet (1)'!$B$17,'Paramètres (1)'!$A$1:$I$88,5,0)</f>
        <v>#REF!</v>
      </c>
      <c r="GB63" s="130" t="str">
        <f t="shared" si="142"/>
        <v>#REF!</v>
      </c>
      <c r="GC63" s="141" t="str">
        <f t="shared" si="89"/>
        <v>#REF!</v>
      </c>
      <c r="GD63" s="133" t="str">
        <f t="shared" si="90"/>
        <v>#REF!</v>
      </c>
      <c r="GE63" s="133" t="str">
        <f t="shared" si="91"/>
        <v>#REF!</v>
      </c>
      <c r="GF63" s="133" t="str">
        <f t="shared" si="143"/>
        <v>#REF!</v>
      </c>
      <c r="GG63" s="134" t="str">
        <f t="shared" si="92"/>
        <v>#REF!</v>
      </c>
      <c r="GH63" s="134" t="str">
        <f t="shared" si="93"/>
        <v>#REF!</v>
      </c>
      <c r="GI63" s="135" t="str">
        <f>IF(ISNA(VLOOKUP(A63,'Données projet (1)'!$A$243:$I$263,5,0)),0%,VLOOKUP(A63,'Données projet (1)'!$A$243:$I$263,5,0)*VLOOKUP('Données projet (1)'!$B$17,'Paramètres (1)'!$A$1:$I$88,7,0))</f>
        <v>#REF!</v>
      </c>
      <c r="GJ63" s="135" t="str">
        <f>IF(ISNA(VLOOKUP(A63,'Données projet (1)'!$A$243:$I$263,6,0)),0%,VLOOKUP(A63,'Données projet (1)'!$A$243:$I$263,6,0)*VLOOKUP('Données projet (1)'!$B$17,'Paramètres (1)'!$A$1:$I$88,7,0))</f>
        <v>#REF!</v>
      </c>
      <c r="GK63" s="135" t="str">
        <f t="shared" si="94"/>
        <v>#REF!</v>
      </c>
      <c r="GL63" s="142" t="str">
        <f>EXP(-LN(2)/35)*GL62+(1-EXP(-LN(2)/35))/(LN(2)/35)*GH63*GI63*VLOOKUP('Données projet (1)'!$B$17,'Paramètres (1)'!$A$1:$I$88,3,0)*0.475*44/12</f>
        <v>#REF!</v>
      </c>
      <c r="GM63" s="142" t="str">
        <f>EXP(-LN(2)/25)*GM62+(1-EXP(-LN(2)/25))/(LN(2)/25)*'Calculateur (1)'!GH63*'Calculateur (1)'!GJ63*VLOOKUP('Données projet (1)'!$B$17,'Paramètres (1)'!$A$1:$I$88,3,0)*0.475*44/12</f>
        <v>#REF!</v>
      </c>
      <c r="GN63" s="142" t="str">
        <f>EXP(-LN(2)/2)*GN62+(1-EXP(-LN(2)/2))/(LN(2)/2)*GH63*GK63*VLOOKUP('Données projet (1)'!$B$17,'Paramètres (1)'!$A$1:$I$88,3,0)*0.475*44/12</f>
        <v>#REF!</v>
      </c>
      <c r="GO63" s="142" t="str">
        <f t="shared" si="95"/>
        <v>#REF!</v>
      </c>
      <c r="GP63" s="139" t="str">
        <f t="shared" si="96"/>
        <v>#REF!</v>
      </c>
      <c r="GQ63" s="131">
        <f t="shared" si="97"/>
        <v>10</v>
      </c>
      <c r="GR63" s="131" t="str">
        <f t="shared" si="144"/>
        <v>#REF!</v>
      </c>
      <c r="GS63" s="131" t="str">
        <f t="shared" si="98"/>
        <v>#REF!</v>
      </c>
      <c r="GT63" s="131" t="str">
        <f t="array" ref="GT63">INDEX(GS:GS,MIN(IF(ISNUMBER(GS63:GS259),ROW(GS63:GS259),"")))</f>
        <v/>
      </c>
      <c r="GU63" s="131" t="str">
        <f t="shared" si="145"/>
        <v>#REF!</v>
      </c>
      <c r="GV63" s="138" t="str">
        <f>GU63*VLOOKUP('Données projet (1)'!$B$18,'Paramètres (1)'!$A$1:$I$88,3,0)*VLOOKUP('Données projet (1)'!$B$18,'Paramètres (1)'!$A$1:$I$88,5,0)</f>
        <v>#REF!</v>
      </c>
      <c r="GW63" s="130" t="str">
        <f t="shared" si="146"/>
        <v>#REF!</v>
      </c>
      <c r="GX63" s="141" t="str">
        <f t="shared" si="99"/>
        <v>#REF!</v>
      </c>
      <c r="GY63" s="133" t="str">
        <f t="shared" si="100"/>
        <v>#REF!</v>
      </c>
      <c r="GZ63" s="133" t="str">
        <f t="shared" si="101"/>
        <v>#REF!</v>
      </c>
      <c r="HA63" s="133" t="str">
        <f t="shared" si="147"/>
        <v>#REF!</v>
      </c>
      <c r="HB63" s="134" t="str">
        <f t="shared" si="102"/>
        <v>#REF!</v>
      </c>
      <c r="HC63" s="134" t="str">
        <f t="shared" si="103"/>
        <v>#REF!</v>
      </c>
      <c r="HD63" s="135" t="str">
        <f>IF(ISNA(VLOOKUP(A63,'Données projet (1)'!$A$269:$I$289,5,0)),0%,VLOOKUP(A63,'Données projet (1)'!$A$269:$I$289,5,0)*VLOOKUP('Données projet (1)'!$B$18,'Paramètres (1)'!$A$1:$I$88,7,0))</f>
        <v>#REF!</v>
      </c>
      <c r="HE63" s="135" t="str">
        <f>IF(ISNA(VLOOKUP(A63,'Données projet (1)'!$A$269:$I$289,6,0)),0%,VLOOKUP(A63,'Données projet (1)'!$A$269:$I$289,6,0)*VLOOKUP('Données projet (1)'!$B$18,'Paramètres (1)'!$A$1:$I$88,7,0))</f>
        <v>#REF!</v>
      </c>
      <c r="HF63" s="135" t="str">
        <f t="shared" si="104"/>
        <v>#REF!</v>
      </c>
      <c r="HG63" s="142" t="str">
        <f>EXP(-LN(2)/35)*HG62+(1-EXP(-LN(2)/35))/(LN(2)/35)*HC63*HD63*VLOOKUP('Données projet (1)'!$B$18,'Paramètres (1)'!$A$1:$I$88,3,0)*0.475*44/12</f>
        <v>#REF!</v>
      </c>
      <c r="HH63" s="142" t="str">
        <f>EXP(-LN(2)/25)*HH62+(1-EXP(-LN(2)/25))/(LN(2)/25)*'Calculateur (1)'!HC63*'Calculateur (1)'!HE63*VLOOKUP('Données projet (1)'!$B$18,'Paramètres (1)'!$A$1:$I$88,3,0)*0.475*44/12</f>
        <v>#REF!</v>
      </c>
      <c r="HI63" s="142" t="str">
        <f>EXP(-LN(2)/2)*HI62+(1-EXP(-LN(2)/2))/(LN(2)/2)*HC63*HF63*VLOOKUP('Données projet (1)'!$B$18,'Paramètres (1)'!$A$1:$I$88,3,0)*0.475*44/12</f>
        <v>#REF!</v>
      </c>
      <c r="HJ63" s="143" t="str">
        <f t="shared" si="105"/>
        <v>#REF!</v>
      </c>
    </row>
    <row r="64" ht="14.25" customHeight="1">
      <c r="A64" s="125">
        <f t="shared" si="106"/>
        <v>61</v>
      </c>
      <c r="B64" s="126" t="str">
        <f t="shared" si="1"/>
        <v>#REF!</v>
      </c>
      <c r="C64" s="140" t="str">
        <f>'Calculateur (1)'!C63+'Scénario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4" s="127">
        <f t="shared" si="107"/>
        <v>0</v>
      </c>
      <c r="E64" s="127" t="str">
        <f t="shared" si="2"/>
        <v>#REF!</v>
      </c>
      <c r="F64" s="127" t="str">
        <f t="shared" si="3"/>
        <v>#REF!</v>
      </c>
      <c r="G64" s="127" t="str">
        <f t="shared" si="4"/>
        <v>#REF!</v>
      </c>
      <c r="H64" s="128" t="str">
        <f t="shared" si="5"/>
        <v>#REF!</v>
      </c>
      <c r="I64" s="129" t="str">
        <f t="shared" si="6"/>
        <v>#REF!</v>
      </c>
      <c r="J64" s="130">
        <f t="shared" si="7"/>
        <v>10</v>
      </c>
      <c r="K64" s="131" t="str">
        <f t="shared" si="108"/>
        <v>#REF!</v>
      </c>
      <c r="L64" s="131" t="str">
        <f t="shared" si="8"/>
        <v>#REF!</v>
      </c>
      <c r="M64" s="131" t="str">
        <f t="array" ref="M64">INDEX(L:L,MIN(IF(ISNUMBER(L64:L260),ROW(L64:L260),"")))</f>
        <v/>
      </c>
      <c r="N64" s="130" t="str">
        <f t="shared" si="109"/>
        <v>#REF!</v>
      </c>
      <c r="O64" s="130" t="str">
        <f>N64*VLOOKUP('Données projet (1)'!$B$9,'Paramètres (1)'!$A$1:$I$88,3,0)*VLOOKUP('Données projet (1)'!$B$9,'Paramètres (1)'!$A$1:$I$88,5,0)</f>
        <v>#REF!</v>
      </c>
      <c r="P64" s="130" t="str">
        <f t="shared" si="110"/>
        <v>#REF!</v>
      </c>
      <c r="Q64" s="141" t="str">
        <f t="shared" si="9"/>
        <v>#REF!</v>
      </c>
      <c r="R64" s="133" t="str">
        <f t="shared" si="10"/>
        <v>#REF!</v>
      </c>
      <c r="S64" s="133" t="str">
        <f t="shared" si="11"/>
        <v>#REF!</v>
      </c>
      <c r="T64" s="133" t="str">
        <f t="shared" si="111"/>
        <v>#REF!</v>
      </c>
      <c r="U64" s="134" t="str">
        <f t="shared" si="12"/>
        <v>#REF!</v>
      </c>
      <c r="V64" s="134" t="str">
        <f t="shared" si="13"/>
        <v>#REF!</v>
      </c>
      <c r="W64" s="135" t="str">
        <f>IF(ISNA(VLOOKUP(A64,'Données projet (1)'!$A$35:$I$55,5,0)),0%,VLOOKUP(A64,'Données projet (1)'!$A$35:$I$55,5,0)*VLOOKUP('Données projet (1)'!$B$9,'Paramètres (1)'!$A$1:$I$88,7,0))</f>
        <v>#REF!</v>
      </c>
      <c r="X64" s="135" t="str">
        <f>IF(ISNA(VLOOKUP(A64,'Données projet (1)'!$A$35:$I$55,6,0)),0%,VLOOKUP(A64,'Données projet (1)'!$A$35:$I$55,6,0)*VLOOKUP('Données projet (1)'!$B$9,'Paramètres (1)'!$A$1:$I$88,7,0))</f>
        <v>#REF!</v>
      </c>
      <c r="Y64" s="135" t="str">
        <f t="shared" si="14"/>
        <v>#REF!</v>
      </c>
      <c r="Z64" s="142" t="str">
        <f>EXP(-LN(2)/35)*Z63+(1-EXP(-LN(2)/35))/(LN(2)/35)*V64*W64*VLOOKUP('Données projet (1)'!$B$9,'Paramètres (1)'!$A$1:$I$88,3,0)*0.475*44/12</f>
        <v>#REF!</v>
      </c>
      <c r="AA64" s="142" t="str">
        <f>EXP(-LN(2)/25)*AA63+(1-EXP(-LN(2)/25))/(LN(2)/25)*'Calculateur (1)'!V64*'Calculateur (1)'!X64*VLOOKUP('Données projet (1)'!$B$9,'Paramètres (1)'!$A$1:$I$88,3,0)*0.475*44/12</f>
        <v>#REF!</v>
      </c>
      <c r="AB64" s="142" t="str">
        <f>EXP(-LN(2)/2)*AB63+(1-EXP(-LN(2)/2))/(LN(2)/2)*V64*Y64*VLOOKUP('Données projet (1)'!$B$9,'Paramètres (1)'!$A$1:$I$88,3,0)*0.475*44/12</f>
        <v>#REF!</v>
      </c>
      <c r="AC64" s="143" t="str">
        <f t="shared" si="15"/>
        <v>#REF!</v>
      </c>
      <c r="AD64" s="130" t="str">
        <f t="shared" si="16"/>
        <v>#REF!</v>
      </c>
      <c r="AE64" s="130">
        <f t="shared" si="17"/>
        <v>10</v>
      </c>
      <c r="AF64" s="131" t="str">
        <f t="shared" si="112"/>
        <v>#REF!</v>
      </c>
      <c r="AG64" s="131" t="str">
        <f t="shared" si="18"/>
        <v>#REF!</v>
      </c>
      <c r="AH64" s="131" t="str">
        <f t="array" ref="AH64">INDEX(AG:AG,MIN(IF(ISNUMBER(AG64:AG260),ROW(AG64:AG260),"")))</f>
        <v/>
      </c>
      <c r="AI64" s="130" t="str">
        <f t="shared" si="113"/>
        <v>#REF!</v>
      </c>
      <c r="AJ64" s="130" t="str">
        <f>AI64*VLOOKUP('Données projet (1)'!$B$10,'Paramètres (1)'!$A$1:$I$88,3,0)*VLOOKUP('Données projet (1)'!$B$10,'Paramètres (1)'!$A$1:$I$88,5,0)</f>
        <v>#REF!</v>
      </c>
      <c r="AK64" s="130" t="str">
        <f t="shared" si="114"/>
        <v>#REF!</v>
      </c>
      <c r="AL64" s="141" t="str">
        <f t="shared" si="19"/>
        <v>#REF!</v>
      </c>
      <c r="AM64" s="133" t="str">
        <f t="shared" si="20"/>
        <v>#REF!</v>
      </c>
      <c r="AN64" s="133" t="str">
        <f t="shared" si="21"/>
        <v>#REF!</v>
      </c>
      <c r="AO64" s="133" t="str">
        <f t="shared" si="115"/>
        <v>#REF!</v>
      </c>
      <c r="AP64" s="134" t="str">
        <f t="shared" si="22"/>
        <v>#REF!</v>
      </c>
      <c r="AQ64" s="134" t="str">
        <f t="shared" si="23"/>
        <v>#REF!</v>
      </c>
      <c r="AR64" s="135" t="str">
        <f>IF(ISNA(VLOOKUP(A64,'Données projet (1)'!$A$61:$I$81,5,0)),0%,VLOOKUP(A64,'Données projet (1)'!$A$61:$I$81,5,0)*VLOOKUP('Données projet (1)'!$B$10,'Paramètres (1)'!$A$1:$I$88,7,0))</f>
        <v>#REF!</v>
      </c>
      <c r="AS64" s="135" t="str">
        <f>IF(ISNA(VLOOKUP(A64,'Données projet (1)'!$A$61:$I$81,6,0)),0%,VLOOKUP(A64,'Données projet (1)'!$A$61:$I$81,6,0)*VLOOKUP('Données projet (1)'!$B$10,'Paramètres (1)'!$A$1:$I$88,7,0))</f>
        <v>#REF!</v>
      </c>
      <c r="AT64" s="135" t="str">
        <f t="shared" si="24"/>
        <v>#REF!</v>
      </c>
      <c r="AU64" s="142" t="str">
        <f>EXP(-LN(2)/35)*AU63+(1-EXP(-LN(2)/35))/(LN(2)/35)*AQ64*AR64*VLOOKUP('Données projet (1)'!$B$10,'Paramètres (1)'!$A$1:$I$88,3,0)*0.475*44/12</f>
        <v>#REF!</v>
      </c>
      <c r="AV64" s="142" t="str">
        <f>EXP(-LN(2)/25)*AV63+(1-EXP(-LN(2)/25))/(LN(2)/25)*'Calculateur (1)'!AQ64*'Calculateur (1)'!AS64*VLOOKUP('Données projet (1)'!$B$10,'Paramètres (1)'!$A$1:$I$88,3,0)*0.475*44/12</f>
        <v>#REF!</v>
      </c>
      <c r="AW64" s="142" t="str">
        <f>EXP(-LN(2)/2)*AW63+(1-EXP(-LN(2)/2))/(LN(2)/2)*AQ64*AT64*VLOOKUP('Données projet (1)'!$B$10,'Paramètres (1)'!$A$1:$I$88,3,0)*0.475*44/12</f>
        <v>#REF!</v>
      </c>
      <c r="AX64" s="142" t="str">
        <f t="shared" si="25"/>
        <v>#REF!</v>
      </c>
      <c r="AY64" s="137" t="str">
        <f t="shared" si="26"/>
        <v>#REF!</v>
      </c>
      <c r="AZ64" s="131">
        <f t="shared" si="27"/>
        <v>10</v>
      </c>
      <c r="BA64" s="131" t="str">
        <f t="shared" si="116"/>
        <v>#REF!</v>
      </c>
      <c r="BB64" s="131" t="str">
        <f t="shared" si="28"/>
        <v>#REF!</v>
      </c>
      <c r="BC64" s="131" t="str">
        <f t="array" ref="BC64">INDEX(BB:BB,MIN(IF(ISNUMBER(BB64:BB260),ROW(BB64:BB260),"")))</f>
        <v/>
      </c>
      <c r="BD64" s="131" t="str">
        <f t="shared" si="117"/>
        <v>#REF!</v>
      </c>
      <c r="BE64" s="130" t="str">
        <f>BD64*VLOOKUP('Données projet (1)'!$B$11,'Paramètres (1)'!$A$1:$I$88,3,0)*VLOOKUP('Données projet (1)'!$B$11,'Paramètres (1)'!$A$1:$I$88,5,0)</f>
        <v>#REF!</v>
      </c>
      <c r="BF64" s="130" t="str">
        <f t="shared" si="118"/>
        <v>#REF!</v>
      </c>
      <c r="BG64" s="141" t="str">
        <f t="shared" si="29"/>
        <v>#REF!</v>
      </c>
      <c r="BH64" s="133" t="str">
        <f t="shared" si="30"/>
        <v>#REF!</v>
      </c>
      <c r="BI64" s="133" t="str">
        <f t="shared" si="31"/>
        <v>#REF!</v>
      </c>
      <c r="BJ64" s="133" t="str">
        <f t="shared" si="119"/>
        <v>#REF!</v>
      </c>
      <c r="BK64" s="134" t="str">
        <f t="shared" si="32"/>
        <v>#REF!</v>
      </c>
      <c r="BL64" s="134" t="str">
        <f t="shared" si="33"/>
        <v>#REF!</v>
      </c>
      <c r="BM64" s="135" t="str">
        <f>IF(ISNA(VLOOKUP(A64,'Données projet (1)'!$A$87:$I$107,5,0)),0%,VLOOKUP(A64,'Données projet (1)'!$A$87:$I$107,5,0)*VLOOKUP('Données projet (1)'!$B$11,'Paramètres (1)'!$A$1:$I$88,7,0))</f>
        <v>#REF!</v>
      </c>
      <c r="BN64" s="135" t="str">
        <f>IF(ISNA(VLOOKUP(A64,'Données projet (1)'!$A$87:$I$107,6,0)),0%,VLOOKUP(A64,'Données projet (1)'!$A$87:$I$107,6,0)*VLOOKUP('Données projet (1)'!$B$11,'Paramètres (1)'!$A$1:$I$88,7,0))</f>
        <v>#REF!</v>
      </c>
      <c r="BO64" s="135" t="str">
        <f t="shared" si="34"/>
        <v>#REF!</v>
      </c>
      <c r="BP64" s="142" t="str">
        <f>EXP(-LN(2)/35)*BP63+(1-EXP(-LN(2)/35))/(LN(2)/35)*BL64*BM64*VLOOKUP('Données projet (1)'!$B$11,'Paramètres (1)'!$A$1:$I$88,3,0)*0.475*44/12</f>
        <v>#REF!</v>
      </c>
      <c r="BQ64" s="142" t="str">
        <f>EXP(-LN(2)/25)*BQ63+(1-EXP(-LN(2)/25))/(LN(2)/25)*'Calculateur (1)'!BL64*'Calculateur (1)'!BN64*VLOOKUP('Données projet (1)'!$B$11,'Paramètres (1)'!$A$1:$I$88,3,0)*0.475*44/12</f>
        <v>#REF!</v>
      </c>
      <c r="BR64" s="142" t="str">
        <f>EXP(-LN(2)/2)*BR63+(1-EXP(-LN(2)/2))/(LN(2)/2)*BL64*BO64*VLOOKUP('Données projet (1)'!$B$11,'Paramètres (1)'!$A$1:$I$88,3,0)*0.475*44/12</f>
        <v>#REF!</v>
      </c>
      <c r="BS64" s="143" t="str">
        <f t="shared" si="35"/>
        <v>#REF!</v>
      </c>
      <c r="BT64" s="139" t="str">
        <f t="shared" si="36"/>
        <v>#REF!</v>
      </c>
      <c r="BU64" s="131">
        <f t="shared" si="37"/>
        <v>10</v>
      </c>
      <c r="BV64" s="131" t="str">
        <f t="shared" si="120"/>
        <v>#REF!</v>
      </c>
      <c r="BW64" s="131" t="str">
        <f t="shared" si="38"/>
        <v>#REF!</v>
      </c>
      <c r="BX64" s="131" t="str">
        <f t="array" ref="BX64">INDEX(BW:BW,MIN(IF(ISNUMBER(BW64:BW260),ROW(BW64:BW260),"")))</f>
        <v/>
      </c>
      <c r="BY64" s="131" t="str">
        <f t="shared" si="121"/>
        <v>#REF!</v>
      </c>
      <c r="BZ64" s="130" t="str">
        <f>BY64*VLOOKUP('Données projet (1)'!$B$12,'Paramètres (1)'!$A$1:$I$88,3,0)*VLOOKUP('Données projet (1)'!$B$12,'Paramètres (1)'!$A$1:$I$88,5,0)</f>
        <v>#REF!</v>
      </c>
      <c r="CA64" s="130" t="str">
        <f t="shared" si="122"/>
        <v>#REF!</v>
      </c>
      <c r="CB64" s="141" t="str">
        <f t="shared" si="39"/>
        <v>#REF!</v>
      </c>
      <c r="CC64" s="133" t="str">
        <f t="shared" si="40"/>
        <v>#REF!</v>
      </c>
      <c r="CD64" s="133" t="str">
        <f t="shared" si="41"/>
        <v>#REF!</v>
      </c>
      <c r="CE64" s="133" t="str">
        <f t="shared" si="123"/>
        <v>#REF!</v>
      </c>
      <c r="CF64" s="134" t="str">
        <f t="shared" si="42"/>
        <v>#REF!</v>
      </c>
      <c r="CG64" s="134" t="str">
        <f t="shared" si="43"/>
        <v>#REF!</v>
      </c>
      <c r="CH64" s="135" t="str">
        <f>IF(ISNA(VLOOKUP(A64,'Données projet (1)'!$A$113:$I$133,5,0)),0%,VLOOKUP(A64,'Données projet (1)'!$A$113:$I$133,5,0)*VLOOKUP('Données projet (1)'!$B$12,'Paramètres (1)'!$A$1:$I$88,7,0))</f>
        <v>#REF!</v>
      </c>
      <c r="CI64" s="135" t="str">
        <f>IF(ISNA(VLOOKUP(A64,'Données projet (1)'!$A$113:$I$133,6,0)),0%,VLOOKUP(A64,'Données projet (1)'!$A$113:$I$133,6,0)*VLOOKUP('Données projet (1)'!$B$12,'Paramètres (1)'!$A$1:$I$88,7,0))</f>
        <v>#REF!</v>
      </c>
      <c r="CJ64" s="135" t="str">
        <f t="shared" si="44"/>
        <v>#REF!</v>
      </c>
      <c r="CK64" s="142" t="str">
        <f>EXP(-LN(2)/35)*CK63+(1-EXP(-LN(2)/35))/(LN(2)/35)*CG64*CH64*VLOOKUP('Données projet (1)'!$B$12,'Paramètres (1)'!$A$1:$I$88,3,0)*0.475*44/12</f>
        <v>#REF!</v>
      </c>
      <c r="CL64" s="142" t="str">
        <f>EXP(-LN(2)/25)*CL63+(1-EXP(-LN(2)/25))/(LN(2)/25)*'Calculateur (1)'!CG64*'Calculateur (1)'!CI64*VLOOKUP('Données projet (1)'!$B$12,'Paramètres (1)'!$A$1:$I$88,3,0)*0.475*44/12</f>
        <v>#REF!</v>
      </c>
      <c r="CM64" s="142" t="str">
        <f>EXP(-LN(2)/2)*CM63+(1-EXP(-LN(2)/2))/(LN(2)/2)*CG64*CJ64*VLOOKUP('Données projet (1)'!$B$12,'Paramètres (1)'!$A$1:$I$88,3,0)*0.475*44/12</f>
        <v>#REF!</v>
      </c>
      <c r="CN64" s="143" t="str">
        <f t="shared" si="45"/>
        <v>#REF!</v>
      </c>
      <c r="CO64" s="139" t="str">
        <f t="shared" si="46"/>
        <v>#REF!</v>
      </c>
      <c r="CP64" s="131">
        <f t="shared" si="47"/>
        <v>10</v>
      </c>
      <c r="CQ64" s="131" t="str">
        <f t="shared" si="124"/>
        <v>#REF!</v>
      </c>
      <c r="CR64" s="131" t="str">
        <f t="shared" si="48"/>
        <v>#REF!</v>
      </c>
      <c r="CS64" s="131" t="str">
        <f t="array" ref="CS64">INDEX(CR:CR,MIN(IF(ISNUMBER(CR64:CR260),ROW(CR64:CR260),"")))</f>
        <v/>
      </c>
      <c r="CT64" s="131" t="str">
        <f t="shared" si="125"/>
        <v>#REF!</v>
      </c>
      <c r="CU64" s="138" t="str">
        <f>CT64*VLOOKUP('Données projet (1)'!$B$13,'Paramètres (1)'!$A$1:$I$88,3,0)*VLOOKUP('Données projet (1)'!$B$13,'Paramètres (1)'!$A$1:$I$88,5,0)</f>
        <v>#REF!</v>
      </c>
      <c r="CV64" s="130" t="str">
        <f t="shared" si="126"/>
        <v>#REF!</v>
      </c>
      <c r="CW64" s="141" t="str">
        <f t="shared" si="49"/>
        <v>#REF!</v>
      </c>
      <c r="CX64" s="133" t="str">
        <f t="shared" si="50"/>
        <v>#REF!</v>
      </c>
      <c r="CY64" s="133" t="str">
        <f t="shared" si="51"/>
        <v>#REF!</v>
      </c>
      <c r="CZ64" s="133" t="str">
        <f t="shared" si="127"/>
        <v>#REF!</v>
      </c>
      <c r="DA64" s="134" t="str">
        <f t="shared" si="52"/>
        <v>#REF!</v>
      </c>
      <c r="DB64" s="134" t="str">
        <f t="shared" si="53"/>
        <v>#REF!</v>
      </c>
      <c r="DC64" s="135" t="str">
        <f>IF(ISNA(VLOOKUP(A64,'Données projet (1)'!$A$139:$I$159,5,0)),0%,VLOOKUP(A64,'Données projet (1)'!$A$139:$I$159,5,0)*VLOOKUP('Données projet (1)'!$B$13,'Paramètres (1)'!$A$1:$I$88,7,0))</f>
        <v>#REF!</v>
      </c>
      <c r="DD64" s="135" t="str">
        <f>IF(ISNA(VLOOKUP(A64,'Données projet (1)'!$A$139:$I$159,6,0)),0%,VLOOKUP(A64,'Données projet (1)'!$A$139:$I$159,6,0)*VLOOKUP('Données projet (1)'!$B$13,'Paramètres (1)'!$A$1:$I$88,7,0))</f>
        <v>#REF!</v>
      </c>
      <c r="DE64" s="135" t="str">
        <f t="shared" si="54"/>
        <v>#REF!</v>
      </c>
      <c r="DF64" s="142" t="str">
        <f>EXP(-LN(2)/35)*DF63+(1-EXP(-LN(2)/35))/(LN(2)/35)*DB64*DC64*VLOOKUP('Données projet (1)'!$B$13,'Paramètres (1)'!$A$1:$I$88,3,0)*0.475*44/12</f>
        <v>#REF!</v>
      </c>
      <c r="DG64" s="142" t="str">
        <f>EXP(-LN(2)/25)*DG63+(1-EXP(-LN(2)/25))/(LN(2)/25)*'Calculateur (1)'!DB64*'Calculateur (1)'!DD64*VLOOKUP('Données projet (1)'!$B$13,'Paramètres (1)'!$A$1:$I$88,3,0)*0.475*44/12</f>
        <v>#REF!</v>
      </c>
      <c r="DH64" s="142" t="str">
        <f>EXP(-LN(2)/2)*DH63+(1-EXP(-LN(2)/2))/(LN(2)/2)*DB64*DE64*VLOOKUP('Données projet (1)'!$B$13,'Paramètres (1)'!$A$1:$I$88,3,0)*0.475*44/12</f>
        <v>#REF!</v>
      </c>
      <c r="DI64" s="143" t="str">
        <f t="shared" si="55"/>
        <v>#REF!</v>
      </c>
      <c r="DJ64" s="139" t="str">
        <f t="shared" si="56"/>
        <v>#REF!</v>
      </c>
      <c r="DK64" s="131">
        <f t="shared" si="57"/>
        <v>10</v>
      </c>
      <c r="DL64" s="131" t="str">
        <f t="shared" si="128"/>
        <v>#REF!</v>
      </c>
      <c r="DM64" s="131" t="str">
        <f t="shared" si="58"/>
        <v>#REF!</v>
      </c>
      <c r="DN64" s="131" t="str">
        <f t="array" ref="DN64">INDEX(DM:DM,MIN(IF(ISNUMBER(DM64:DM260),ROW(DM64:DM260),"")))</f>
        <v/>
      </c>
      <c r="DO64" s="131" t="str">
        <f t="shared" si="129"/>
        <v>#REF!</v>
      </c>
      <c r="DP64" s="138" t="str">
        <f>DO64*VLOOKUP('Données projet (1)'!$B$14,'Paramètres (1)'!$A$1:$I$88,3,0)*VLOOKUP('Données projet (1)'!$B$14,'Paramètres (1)'!$A$1:$I$88,5,0)</f>
        <v>#REF!</v>
      </c>
      <c r="DQ64" s="130" t="str">
        <f t="shared" si="130"/>
        <v>#REF!</v>
      </c>
      <c r="DR64" s="141" t="str">
        <f t="shared" si="59"/>
        <v>#REF!</v>
      </c>
      <c r="DS64" s="133" t="str">
        <f t="shared" si="60"/>
        <v>#REF!</v>
      </c>
      <c r="DT64" s="133" t="str">
        <f t="shared" si="61"/>
        <v>#REF!</v>
      </c>
      <c r="DU64" s="133" t="str">
        <f t="shared" si="131"/>
        <v>#REF!</v>
      </c>
      <c r="DV64" s="134" t="str">
        <f t="shared" si="62"/>
        <v>#REF!</v>
      </c>
      <c r="DW64" s="134" t="str">
        <f t="shared" si="63"/>
        <v>#REF!</v>
      </c>
      <c r="DX64" s="135" t="str">
        <f>IF(ISNA(VLOOKUP(A64,'Données projet (1)'!$A$165:$I$185,5,0)),0%,VLOOKUP(A64,'Données projet (1)'!$A$165:$I$185,5,0)*VLOOKUP('Données projet (1)'!$B$14,'Paramètres (1)'!$A$1:$I$88,7,0))</f>
        <v>#REF!</v>
      </c>
      <c r="DY64" s="135" t="str">
        <f>IF(ISNA(VLOOKUP(A64,'Données projet (1)'!$A$165:$I$185,6,0)),0%,VLOOKUP(A64,'Données projet (1)'!$A$165:$I$185,6,0)*VLOOKUP('Données projet (1)'!$B$14,'Paramètres (1)'!$A$1:$I$88,7,0))</f>
        <v>#REF!</v>
      </c>
      <c r="DZ64" s="135" t="str">
        <f t="shared" si="64"/>
        <v>#REF!</v>
      </c>
      <c r="EA64" s="142" t="str">
        <f>EXP(-LN(2)/35)*EA63+(1-EXP(-LN(2)/35))/(LN(2)/35)*DW64*DX64*VLOOKUP('Données projet (1)'!$B$14,'Paramètres (1)'!$A$1:$I$88,3,0)*0.475*44/12</f>
        <v>#REF!</v>
      </c>
      <c r="EB64" s="142" t="str">
        <f>EXP(-LN(2)/25)*EB63+(1-EXP(-LN(2)/25))/(LN(2)/25)*'Calculateur (1)'!DW64*'Calculateur (1)'!DY64*VLOOKUP('Données projet (1)'!$B$14,'Paramètres (1)'!$A$1:$I$88,3,0)*0.475*44/12</f>
        <v>#REF!</v>
      </c>
      <c r="EC64" s="142" t="str">
        <f>EXP(-LN(2)/2)*EC63+(1-EXP(-LN(2)/2))/(LN(2)/2)*DW64*DZ64*VLOOKUP('Données projet (1)'!$B$14,'Paramètres (1)'!$A$1:$I$88,3,0)*0.475*44/12</f>
        <v>#REF!</v>
      </c>
      <c r="ED64" s="143" t="str">
        <f t="shared" si="65"/>
        <v>#REF!</v>
      </c>
      <c r="EE64" s="139" t="str">
        <f t="shared" si="66"/>
        <v>#REF!</v>
      </c>
      <c r="EF64" s="131">
        <f t="shared" si="67"/>
        <v>10</v>
      </c>
      <c r="EG64" s="131" t="str">
        <f t="shared" si="132"/>
        <v>#REF!</v>
      </c>
      <c r="EH64" s="131" t="str">
        <f t="shared" si="68"/>
        <v>#REF!</v>
      </c>
      <c r="EI64" s="131" t="str">
        <f t="array" ref="EI64">INDEX(EH:EH,MIN(IF(ISNUMBER(EH64:EH260),ROW(EH64:EH260),"")))</f>
        <v/>
      </c>
      <c r="EJ64" s="131" t="str">
        <f t="shared" si="133"/>
        <v>#REF!</v>
      </c>
      <c r="EK64" s="138" t="str">
        <f>EJ64*VLOOKUP('Données projet (1)'!$B$15,'Paramètres (1)'!$A$1:$I$88,3,0)*VLOOKUP('Données projet (1)'!$B$15,'Paramètres (1)'!$A$1:$I$88,5,0)</f>
        <v>#REF!</v>
      </c>
      <c r="EL64" s="130" t="str">
        <f t="shared" si="134"/>
        <v>#REF!</v>
      </c>
      <c r="EM64" s="141" t="str">
        <f t="shared" si="69"/>
        <v>#REF!</v>
      </c>
      <c r="EN64" s="133" t="str">
        <f t="shared" si="70"/>
        <v>#REF!</v>
      </c>
      <c r="EO64" s="133" t="str">
        <f t="shared" si="71"/>
        <v>#REF!</v>
      </c>
      <c r="EP64" s="133" t="str">
        <f t="shared" si="135"/>
        <v>#REF!</v>
      </c>
      <c r="EQ64" s="134" t="str">
        <f t="shared" si="72"/>
        <v>#REF!</v>
      </c>
      <c r="ER64" s="134" t="str">
        <f t="shared" si="73"/>
        <v>#REF!</v>
      </c>
      <c r="ES64" s="135" t="str">
        <f>IF(ISNA(VLOOKUP(A64,'Données projet (1)'!$A$191:$I$211,5,0)),0%,VLOOKUP(A64,'Données projet (1)'!$A$191:$I$211,5,0)*VLOOKUP('Données projet (1)'!$B$15,'Paramètres (1)'!$A$1:$I$88,7,0))</f>
        <v>#REF!</v>
      </c>
      <c r="ET64" s="135" t="str">
        <f>IF(ISNA(VLOOKUP(A64,'Données projet (1)'!$A$191:$I$211,6,0)),0%,VLOOKUP(A64,'Données projet (1)'!$A$191:$I$211,6,0)*VLOOKUP('Données projet (1)'!$B$15,'Paramètres (1)'!$A$1:$I$88,7,0))</f>
        <v>#REF!</v>
      </c>
      <c r="EU64" s="135" t="str">
        <f t="shared" si="74"/>
        <v>#REF!</v>
      </c>
      <c r="EV64" s="142" t="str">
        <f>EXP(-LN(2)/35)*EV63+(1-EXP(-LN(2)/35))/(LN(2)/35)*ER64*ES64*VLOOKUP('Données projet (1)'!$B$15,'Paramètres (1)'!$A$1:$I$88,3,0)*0.475*44/12</f>
        <v>#REF!</v>
      </c>
      <c r="EW64" s="142" t="str">
        <f>EXP(-LN(2)/25)*EW63+(1-EXP(-LN(2)/25))/(LN(2)/25)*'Calculateur (1)'!ER64*'Calculateur (1)'!ET64*VLOOKUP('Données projet (1)'!$B$15,'Paramètres (1)'!$A$1:$I$88,3,0)*0.475*44/12</f>
        <v>#REF!</v>
      </c>
      <c r="EX64" s="142" t="str">
        <f>EXP(-LN(2)/2)*EX63+(1-EXP(-LN(2)/2))/(LN(2)/2)*ER64*EU64*VLOOKUP('Données projet (1)'!$B$15,'Paramètres (1)'!$A$1:$I$88,3,0)*0.475*44/12</f>
        <v>#REF!</v>
      </c>
      <c r="EY64" s="143" t="str">
        <f t="shared" si="75"/>
        <v>#REF!</v>
      </c>
      <c r="EZ64" s="139" t="str">
        <f t="shared" si="76"/>
        <v>#REF!</v>
      </c>
      <c r="FA64" s="131">
        <f t="shared" si="77"/>
        <v>10</v>
      </c>
      <c r="FB64" s="131" t="str">
        <f t="shared" si="136"/>
        <v>#REF!</v>
      </c>
      <c r="FC64" s="131" t="str">
        <f t="shared" si="78"/>
        <v>#REF!</v>
      </c>
      <c r="FD64" s="131" t="str">
        <f t="array" ref="FD64">INDEX(FC:FC,MIN(IF(ISNUMBER(FC64:FC260),ROW(FC64:FC260),"")))</f>
        <v/>
      </c>
      <c r="FE64" s="131" t="str">
        <f t="shared" si="137"/>
        <v>#REF!</v>
      </c>
      <c r="FF64" s="138" t="str">
        <f>FE64*VLOOKUP('Données projet (1)'!$B$16,'Paramètres (1)'!$A$1:$I$88,3,0)*VLOOKUP('Données projet (1)'!$B$16,'Paramètres (1)'!$A$1:$I$88,5,0)</f>
        <v>#REF!</v>
      </c>
      <c r="FG64" s="130" t="str">
        <f t="shared" si="138"/>
        <v>#REF!</v>
      </c>
      <c r="FH64" s="141" t="str">
        <f t="shared" si="79"/>
        <v>#REF!</v>
      </c>
      <c r="FI64" s="133" t="str">
        <f t="shared" si="80"/>
        <v>#REF!</v>
      </c>
      <c r="FJ64" s="133" t="str">
        <f t="shared" si="81"/>
        <v>#REF!</v>
      </c>
      <c r="FK64" s="133" t="str">
        <f t="shared" si="139"/>
        <v>#REF!</v>
      </c>
      <c r="FL64" s="134" t="str">
        <f t="shared" si="82"/>
        <v>#REF!</v>
      </c>
      <c r="FM64" s="134" t="str">
        <f t="shared" si="83"/>
        <v>#REF!</v>
      </c>
      <c r="FN64" s="135" t="str">
        <f>IF(ISNA(VLOOKUP(A64,'Données projet (1)'!$A$217:$I$237,5,0)),0%,VLOOKUP(A64,'Données projet (1)'!$A$217:$I$237,5,0)*VLOOKUP('Données projet (1)'!$B$16,'Paramètres (1)'!$A$1:$I$88,7,0))</f>
        <v>#REF!</v>
      </c>
      <c r="FO64" s="135" t="str">
        <f>IF(ISNA(VLOOKUP(A64,'Données projet (1)'!$A$217:$I$237,6,0)),0%,VLOOKUP(A64,'Données projet (1)'!$A$217:$I$237,6,0)*VLOOKUP('Données projet (1)'!$B$16,'Paramètres (1)'!$A$1:$I$88,7,0))</f>
        <v>#REF!</v>
      </c>
      <c r="FP64" s="135" t="str">
        <f t="shared" si="84"/>
        <v>#REF!</v>
      </c>
      <c r="FQ64" s="142" t="str">
        <f>EXP(-LN(2)/35)*FQ63+(1-EXP(-LN(2)/35))/(LN(2)/35)*FM64*FN64*VLOOKUP('Données projet (1)'!$B$16,'Paramètres (1)'!$A$1:$I$88,3,0)*0.475*44/12</f>
        <v>#REF!</v>
      </c>
      <c r="FR64" s="142" t="str">
        <f>EXP(-LN(2)/25)*FR63+(1-EXP(-LN(2)/25))/(LN(2)/25)*'Calculateur (1)'!FM64*'Calculateur (1)'!FO64*VLOOKUP('Données projet (1)'!$B$16,'Paramètres (1)'!$A$1:$I$88,3,0)*0.475*44/12</f>
        <v>#REF!</v>
      </c>
      <c r="FS64" s="142" t="str">
        <f>EXP(-LN(2)/2)*FS63+(1-EXP(-LN(2)/2))/(LN(2)/2)*FM64*FP64*VLOOKUP('Données projet (1)'!$B$16,'Paramètres (1)'!$A$1:$I$88,3,0)*0.475*44/12</f>
        <v>#REF!</v>
      </c>
      <c r="FT64" s="143" t="str">
        <f t="shared" si="85"/>
        <v>#REF!</v>
      </c>
      <c r="FU64" s="139" t="str">
        <f t="shared" si="86"/>
        <v>#REF!</v>
      </c>
      <c r="FV64" s="131">
        <f t="shared" si="87"/>
        <v>10</v>
      </c>
      <c r="FW64" s="131" t="str">
        <f t="shared" si="140"/>
        <v>#REF!</v>
      </c>
      <c r="FX64" s="131" t="str">
        <f t="shared" si="88"/>
        <v>#REF!</v>
      </c>
      <c r="FY64" s="131" t="str">
        <f t="array" ref="FY64">INDEX(FX:FX,MIN(IF(ISNUMBER(FX64:FX260),ROW(FX64:FX260),"")))</f>
        <v/>
      </c>
      <c r="FZ64" s="131" t="str">
        <f t="shared" si="141"/>
        <v>#REF!</v>
      </c>
      <c r="GA64" s="138" t="str">
        <f>FZ64*VLOOKUP('Données projet (1)'!$B$17,'Paramètres (1)'!$A$1:$I$88,3,0)*VLOOKUP('Données projet (1)'!$B$17,'Paramètres (1)'!$A$1:$I$88,5,0)</f>
        <v>#REF!</v>
      </c>
      <c r="GB64" s="130" t="str">
        <f t="shared" si="142"/>
        <v>#REF!</v>
      </c>
      <c r="GC64" s="141" t="str">
        <f t="shared" si="89"/>
        <v>#REF!</v>
      </c>
      <c r="GD64" s="133" t="str">
        <f t="shared" si="90"/>
        <v>#REF!</v>
      </c>
      <c r="GE64" s="133" t="str">
        <f t="shared" si="91"/>
        <v>#REF!</v>
      </c>
      <c r="GF64" s="133" t="str">
        <f t="shared" si="143"/>
        <v>#REF!</v>
      </c>
      <c r="GG64" s="134" t="str">
        <f t="shared" si="92"/>
        <v>#REF!</v>
      </c>
      <c r="GH64" s="134" t="str">
        <f t="shared" si="93"/>
        <v>#REF!</v>
      </c>
      <c r="GI64" s="135" t="str">
        <f>IF(ISNA(VLOOKUP(A64,'Données projet (1)'!$A$243:$I$263,5,0)),0%,VLOOKUP(A64,'Données projet (1)'!$A$243:$I$263,5,0)*VLOOKUP('Données projet (1)'!$B$17,'Paramètres (1)'!$A$1:$I$88,7,0))</f>
        <v>#REF!</v>
      </c>
      <c r="GJ64" s="135" t="str">
        <f>IF(ISNA(VLOOKUP(A64,'Données projet (1)'!$A$243:$I$263,6,0)),0%,VLOOKUP(A64,'Données projet (1)'!$A$243:$I$263,6,0)*VLOOKUP('Données projet (1)'!$B$17,'Paramètres (1)'!$A$1:$I$88,7,0))</f>
        <v>#REF!</v>
      </c>
      <c r="GK64" s="135" t="str">
        <f t="shared" si="94"/>
        <v>#REF!</v>
      </c>
      <c r="GL64" s="142" t="str">
        <f>EXP(-LN(2)/35)*GL63+(1-EXP(-LN(2)/35))/(LN(2)/35)*GH64*GI64*VLOOKUP('Données projet (1)'!$B$17,'Paramètres (1)'!$A$1:$I$88,3,0)*0.475*44/12</f>
        <v>#REF!</v>
      </c>
      <c r="GM64" s="142" t="str">
        <f>EXP(-LN(2)/25)*GM63+(1-EXP(-LN(2)/25))/(LN(2)/25)*'Calculateur (1)'!GH64*'Calculateur (1)'!GJ64*VLOOKUP('Données projet (1)'!$B$17,'Paramètres (1)'!$A$1:$I$88,3,0)*0.475*44/12</f>
        <v>#REF!</v>
      </c>
      <c r="GN64" s="142" t="str">
        <f>EXP(-LN(2)/2)*GN63+(1-EXP(-LN(2)/2))/(LN(2)/2)*GH64*GK64*VLOOKUP('Données projet (1)'!$B$17,'Paramètres (1)'!$A$1:$I$88,3,0)*0.475*44/12</f>
        <v>#REF!</v>
      </c>
      <c r="GO64" s="142" t="str">
        <f t="shared" si="95"/>
        <v>#REF!</v>
      </c>
      <c r="GP64" s="139" t="str">
        <f t="shared" si="96"/>
        <v>#REF!</v>
      </c>
      <c r="GQ64" s="131">
        <f t="shared" si="97"/>
        <v>10</v>
      </c>
      <c r="GR64" s="131" t="str">
        <f t="shared" si="144"/>
        <v>#REF!</v>
      </c>
      <c r="GS64" s="131" t="str">
        <f t="shared" si="98"/>
        <v>#REF!</v>
      </c>
      <c r="GT64" s="131" t="str">
        <f t="array" ref="GT64">INDEX(GS:GS,MIN(IF(ISNUMBER(GS64:GS260),ROW(GS64:GS260),"")))</f>
        <v/>
      </c>
      <c r="GU64" s="131" t="str">
        <f t="shared" si="145"/>
        <v>#REF!</v>
      </c>
      <c r="GV64" s="138" t="str">
        <f>GU64*VLOOKUP('Données projet (1)'!$B$18,'Paramètres (1)'!$A$1:$I$88,3,0)*VLOOKUP('Données projet (1)'!$B$18,'Paramètres (1)'!$A$1:$I$88,5,0)</f>
        <v>#REF!</v>
      </c>
      <c r="GW64" s="130" t="str">
        <f t="shared" si="146"/>
        <v>#REF!</v>
      </c>
      <c r="GX64" s="141" t="str">
        <f t="shared" si="99"/>
        <v>#REF!</v>
      </c>
      <c r="GY64" s="133" t="str">
        <f t="shared" si="100"/>
        <v>#REF!</v>
      </c>
      <c r="GZ64" s="133" t="str">
        <f t="shared" si="101"/>
        <v>#REF!</v>
      </c>
      <c r="HA64" s="133" t="str">
        <f t="shared" si="147"/>
        <v>#REF!</v>
      </c>
      <c r="HB64" s="134" t="str">
        <f t="shared" si="102"/>
        <v>#REF!</v>
      </c>
      <c r="HC64" s="134" t="str">
        <f t="shared" si="103"/>
        <v>#REF!</v>
      </c>
      <c r="HD64" s="135" t="str">
        <f>IF(ISNA(VLOOKUP(A64,'Données projet (1)'!$A$269:$I$289,5,0)),0%,VLOOKUP(A64,'Données projet (1)'!$A$269:$I$289,5,0)*VLOOKUP('Données projet (1)'!$B$18,'Paramètres (1)'!$A$1:$I$88,7,0))</f>
        <v>#REF!</v>
      </c>
      <c r="HE64" s="135" t="str">
        <f>IF(ISNA(VLOOKUP(A64,'Données projet (1)'!$A$269:$I$289,6,0)),0%,VLOOKUP(A64,'Données projet (1)'!$A$269:$I$289,6,0)*VLOOKUP('Données projet (1)'!$B$18,'Paramètres (1)'!$A$1:$I$88,7,0))</f>
        <v>#REF!</v>
      </c>
      <c r="HF64" s="135" t="str">
        <f t="shared" si="104"/>
        <v>#REF!</v>
      </c>
      <c r="HG64" s="142" t="str">
        <f>EXP(-LN(2)/35)*HG63+(1-EXP(-LN(2)/35))/(LN(2)/35)*HC64*HD64*VLOOKUP('Données projet (1)'!$B$18,'Paramètres (1)'!$A$1:$I$88,3,0)*0.475*44/12</f>
        <v>#REF!</v>
      </c>
      <c r="HH64" s="142" t="str">
        <f>EXP(-LN(2)/25)*HH63+(1-EXP(-LN(2)/25))/(LN(2)/25)*'Calculateur (1)'!HC64*'Calculateur (1)'!HE64*VLOOKUP('Données projet (1)'!$B$18,'Paramètres (1)'!$A$1:$I$88,3,0)*0.475*44/12</f>
        <v>#REF!</v>
      </c>
      <c r="HI64" s="142" t="str">
        <f>EXP(-LN(2)/2)*HI63+(1-EXP(-LN(2)/2))/(LN(2)/2)*HC64*HF64*VLOOKUP('Données projet (1)'!$B$18,'Paramètres (1)'!$A$1:$I$88,3,0)*0.475*44/12</f>
        <v>#REF!</v>
      </c>
      <c r="HJ64" s="143" t="str">
        <f t="shared" si="105"/>
        <v>#REF!</v>
      </c>
    </row>
    <row r="65" ht="14.25" customHeight="1">
      <c r="A65" s="125">
        <f t="shared" si="106"/>
        <v>62</v>
      </c>
      <c r="B65" s="126" t="str">
        <f t="shared" si="1"/>
        <v>#REF!</v>
      </c>
      <c r="C65" s="140" t="str">
        <f>'Calculateur (1)'!C64+'Scénario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5" s="127">
        <f t="shared" si="107"/>
        <v>0</v>
      </c>
      <c r="E65" s="127" t="str">
        <f t="shared" si="2"/>
        <v>#REF!</v>
      </c>
      <c r="F65" s="127" t="str">
        <f t="shared" si="3"/>
        <v>#REF!</v>
      </c>
      <c r="G65" s="127" t="str">
        <f t="shared" si="4"/>
        <v>#REF!</v>
      </c>
      <c r="H65" s="128" t="str">
        <f t="shared" si="5"/>
        <v>#REF!</v>
      </c>
      <c r="I65" s="129" t="str">
        <f t="shared" si="6"/>
        <v>#REF!</v>
      </c>
      <c r="J65" s="130">
        <f t="shared" si="7"/>
        <v>10</v>
      </c>
      <c r="K65" s="131" t="str">
        <f t="shared" si="108"/>
        <v>#REF!</v>
      </c>
      <c r="L65" s="131" t="str">
        <f t="shared" si="8"/>
        <v>#REF!</v>
      </c>
      <c r="M65" s="131" t="str">
        <f t="array" ref="M65">INDEX(L:L,MIN(IF(ISNUMBER(L65:L261),ROW(L65:L261),"")))</f>
        <v/>
      </c>
      <c r="N65" s="130" t="str">
        <f t="shared" si="109"/>
        <v>#REF!</v>
      </c>
      <c r="O65" s="130" t="str">
        <f>N65*VLOOKUP('Données projet (1)'!$B$9,'Paramètres (1)'!$A$1:$I$88,3,0)*VLOOKUP('Données projet (1)'!$B$9,'Paramètres (1)'!$A$1:$I$88,5,0)</f>
        <v>#REF!</v>
      </c>
      <c r="P65" s="130" t="str">
        <f t="shared" si="110"/>
        <v>#REF!</v>
      </c>
      <c r="Q65" s="141" t="str">
        <f t="shared" si="9"/>
        <v>#REF!</v>
      </c>
      <c r="R65" s="133" t="str">
        <f t="shared" si="10"/>
        <v>#REF!</v>
      </c>
      <c r="S65" s="133" t="str">
        <f t="shared" si="11"/>
        <v>#REF!</v>
      </c>
      <c r="T65" s="133" t="str">
        <f t="shared" si="111"/>
        <v>#REF!</v>
      </c>
      <c r="U65" s="134" t="str">
        <f t="shared" si="12"/>
        <v>#REF!</v>
      </c>
      <c r="V65" s="134" t="str">
        <f t="shared" si="13"/>
        <v>#REF!</v>
      </c>
      <c r="W65" s="135" t="str">
        <f>IF(ISNA(VLOOKUP(A65,'Données projet (1)'!$A$35:$I$55,5,0)),0%,VLOOKUP(A65,'Données projet (1)'!$A$35:$I$55,5,0)*VLOOKUP('Données projet (1)'!$B$9,'Paramètres (1)'!$A$1:$I$88,7,0))</f>
        <v>#REF!</v>
      </c>
      <c r="X65" s="135" t="str">
        <f>IF(ISNA(VLOOKUP(A65,'Données projet (1)'!$A$35:$I$55,6,0)),0%,VLOOKUP(A65,'Données projet (1)'!$A$35:$I$55,6,0)*VLOOKUP('Données projet (1)'!$B$9,'Paramètres (1)'!$A$1:$I$88,7,0))</f>
        <v>#REF!</v>
      </c>
      <c r="Y65" s="135" t="str">
        <f t="shared" si="14"/>
        <v>#REF!</v>
      </c>
      <c r="Z65" s="142" t="str">
        <f>EXP(-LN(2)/35)*Z64+(1-EXP(-LN(2)/35))/(LN(2)/35)*V65*W65*VLOOKUP('Données projet (1)'!$B$9,'Paramètres (1)'!$A$1:$I$88,3,0)*0.475*44/12</f>
        <v>#REF!</v>
      </c>
      <c r="AA65" s="142" t="str">
        <f>EXP(-LN(2)/25)*AA64+(1-EXP(-LN(2)/25))/(LN(2)/25)*'Calculateur (1)'!V65*'Calculateur (1)'!X65*VLOOKUP('Données projet (1)'!$B$9,'Paramètres (1)'!$A$1:$I$88,3,0)*0.475*44/12</f>
        <v>#REF!</v>
      </c>
      <c r="AB65" s="142" t="str">
        <f>EXP(-LN(2)/2)*AB64+(1-EXP(-LN(2)/2))/(LN(2)/2)*V65*Y65*VLOOKUP('Données projet (1)'!$B$9,'Paramètres (1)'!$A$1:$I$88,3,0)*0.475*44/12</f>
        <v>#REF!</v>
      </c>
      <c r="AC65" s="143" t="str">
        <f t="shared" si="15"/>
        <v>#REF!</v>
      </c>
      <c r="AD65" s="130" t="str">
        <f t="shared" si="16"/>
        <v>#REF!</v>
      </c>
      <c r="AE65" s="130">
        <f t="shared" si="17"/>
        <v>10</v>
      </c>
      <c r="AF65" s="131" t="str">
        <f t="shared" si="112"/>
        <v>#REF!</v>
      </c>
      <c r="AG65" s="131" t="str">
        <f t="shared" si="18"/>
        <v>#REF!</v>
      </c>
      <c r="AH65" s="131" t="str">
        <f t="array" ref="AH65">INDEX(AG:AG,MIN(IF(ISNUMBER(AG65:AG261),ROW(AG65:AG261),"")))</f>
        <v/>
      </c>
      <c r="AI65" s="130" t="str">
        <f t="shared" si="113"/>
        <v>#REF!</v>
      </c>
      <c r="AJ65" s="130" t="str">
        <f>AI65*VLOOKUP('Données projet (1)'!$B$10,'Paramètres (1)'!$A$1:$I$88,3,0)*VLOOKUP('Données projet (1)'!$B$10,'Paramètres (1)'!$A$1:$I$88,5,0)</f>
        <v>#REF!</v>
      </c>
      <c r="AK65" s="130" t="str">
        <f t="shared" si="114"/>
        <v>#REF!</v>
      </c>
      <c r="AL65" s="141" t="str">
        <f t="shared" si="19"/>
        <v>#REF!</v>
      </c>
      <c r="AM65" s="133" t="str">
        <f t="shared" si="20"/>
        <v>#REF!</v>
      </c>
      <c r="AN65" s="133" t="str">
        <f t="shared" si="21"/>
        <v>#REF!</v>
      </c>
      <c r="AO65" s="133" t="str">
        <f t="shared" si="115"/>
        <v>#REF!</v>
      </c>
      <c r="AP65" s="134" t="str">
        <f t="shared" si="22"/>
        <v>#REF!</v>
      </c>
      <c r="AQ65" s="134" t="str">
        <f t="shared" si="23"/>
        <v>#REF!</v>
      </c>
      <c r="AR65" s="135" t="str">
        <f>IF(ISNA(VLOOKUP(A65,'Données projet (1)'!$A$61:$I$81,5,0)),0%,VLOOKUP(A65,'Données projet (1)'!$A$61:$I$81,5,0)*VLOOKUP('Données projet (1)'!$B$10,'Paramètres (1)'!$A$1:$I$88,7,0))</f>
        <v>#REF!</v>
      </c>
      <c r="AS65" s="135" t="str">
        <f>IF(ISNA(VLOOKUP(A65,'Données projet (1)'!$A$61:$I$81,6,0)),0%,VLOOKUP(A65,'Données projet (1)'!$A$61:$I$81,6,0)*VLOOKUP('Données projet (1)'!$B$10,'Paramètres (1)'!$A$1:$I$88,7,0))</f>
        <v>#REF!</v>
      </c>
      <c r="AT65" s="135" t="str">
        <f t="shared" si="24"/>
        <v>#REF!</v>
      </c>
      <c r="AU65" s="142" t="str">
        <f>EXP(-LN(2)/35)*AU64+(1-EXP(-LN(2)/35))/(LN(2)/35)*AQ65*AR65*VLOOKUP('Données projet (1)'!$B$10,'Paramètres (1)'!$A$1:$I$88,3,0)*0.475*44/12</f>
        <v>#REF!</v>
      </c>
      <c r="AV65" s="142" t="str">
        <f>EXP(-LN(2)/25)*AV64+(1-EXP(-LN(2)/25))/(LN(2)/25)*'Calculateur (1)'!AQ65*'Calculateur (1)'!AS65*VLOOKUP('Données projet (1)'!$B$10,'Paramètres (1)'!$A$1:$I$88,3,0)*0.475*44/12</f>
        <v>#REF!</v>
      </c>
      <c r="AW65" s="142" t="str">
        <f>EXP(-LN(2)/2)*AW64+(1-EXP(-LN(2)/2))/(LN(2)/2)*AQ65*AT65*VLOOKUP('Données projet (1)'!$B$10,'Paramètres (1)'!$A$1:$I$88,3,0)*0.475*44/12</f>
        <v>#REF!</v>
      </c>
      <c r="AX65" s="142" t="str">
        <f t="shared" si="25"/>
        <v>#REF!</v>
      </c>
      <c r="AY65" s="137" t="str">
        <f t="shared" si="26"/>
        <v>#REF!</v>
      </c>
      <c r="AZ65" s="131">
        <f t="shared" si="27"/>
        <v>10</v>
      </c>
      <c r="BA65" s="131" t="str">
        <f t="shared" si="116"/>
        <v>#REF!</v>
      </c>
      <c r="BB65" s="131" t="str">
        <f t="shared" si="28"/>
        <v>#REF!</v>
      </c>
      <c r="BC65" s="131" t="str">
        <f t="array" ref="BC65">INDEX(BB:BB,MIN(IF(ISNUMBER(BB65:BB261),ROW(BB65:BB261),"")))</f>
        <v/>
      </c>
      <c r="BD65" s="131" t="str">
        <f t="shared" si="117"/>
        <v>#REF!</v>
      </c>
      <c r="BE65" s="130" t="str">
        <f>BD65*VLOOKUP('Données projet (1)'!$B$11,'Paramètres (1)'!$A$1:$I$88,3,0)*VLOOKUP('Données projet (1)'!$B$11,'Paramètres (1)'!$A$1:$I$88,5,0)</f>
        <v>#REF!</v>
      </c>
      <c r="BF65" s="130" t="str">
        <f t="shared" si="118"/>
        <v>#REF!</v>
      </c>
      <c r="BG65" s="141" t="str">
        <f t="shared" si="29"/>
        <v>#REF!</v>
      </c>
      <c r="BH65" s="133" t="str">
        <f t="shared" si="30"/>
        <v>#REF!</v>
      </c>
      <c r="BI65" s="133" t="str">
        <f t="shared" si="31"/>
        <v>#REF!</v>
      </c>
      <c r="BJ65" s="133" t="str">
        <f t="shared" si="119"/>
        <v>#REF!</v>
      </c>
      <c r="BK65" s="134" t="str">
        <f t="shared" si="32"/>
        <v>#REF!</v>
      </c>
      <c r="BL65" s="134" t="str">
        <f t="shared" si="33"/>
        <v>#REF!</v>
      </c>
      <c r="BM65" s="135" t="str">
        <f>IF(ISNA(VLOOKUP(A65,'Données projet (1)'!$A$87:$I$107,5,0)),0%,VLOOKUP(A65,'Données projet (1)'!$A$87:$I$107,5,0)*VLOOKUP('Données projet (1)'!$B$11,'Paramètres (1)'!$A$1:$I$88,7,0))</f>
        <v>#REF!</v>
      </c>
      <c r="BN65" s="135" t="str">
        <f>IF(ISNA(VLOOKUP(A65,'Données projet (1)'!$A$87:$I$107,6,0)),0%,VLOOKUP(A65,'Données projet (1)'!$A$87:$I$107,6,0)*VLOOKUP('Données projet (1)'!$B$11,'Paramètres (1)'!$A$1:$I$88,7,0))</f>
        <v>#REF!</v>
      </c>
      <c r="BO65" s="135" t="str">
        <f t="shared" si="34"/>
        <v>#REF!</v>
      </c>
      <c r="BP65" s="142" t="str">
        <f>EXP(-LN(2)/35)*BP64+(1-EXP(-LN(2)/35))/(LN(2)/35)*BL65*BM65*VLOOKUP('Données projet (1)'!$B$11,'Paramètres (1)'!$A$1:$I$88,3,0)*0.475*44/12</f>
        <v>#REF!</v>
      </c>
      <c r="BQ65" s="142" t="str">
        <f>EXP(-LN(2)/25)*BQ64+(1-EXP(-LN(2)/25))/(LN(2)/25)*'Calculateur (1)'!BL65*'Calculateur (1)'!BN65*VLOOKUP('Données projet (1)'!$B$11,'Paramètres (1)'!$A$1:$I$88,3,0)*0.475*44/12</f>
        <v>#REF!</v>
      </c>
      <c r="BR65" s="142" t="str">
        <f>EXP(-LN(2)/2)*BR64+(1-EXP(-LN(2)/2))/(LN(2)/2)*BL65*BO65*VLOOKUP('Données projet (1)'!$B$11,'Paramètres (1)'!$A$1:$I$88,3,0)*0.475*44/12</f>
        <v>#REF!</v>
      </c>
      <c r="BS65" s="143" t="str">
        <f t="shared" si="35"/>
        <v>#REF!</v>
      </c>
      <c r="BT65" s="139" t="str">
        <f t="shared" si="36"/>
        <v>#REF!</v>
      </c>
      <c r="BU65" s="131">
        <f t="shared" si="37"/>
        <v>10</v>
      </c>
      <c r="BV65" s="131" t="str">
        <f t="shared" si="120"/>
        <v>#REF!</v>
      </c>
      <c r="BW65" s="131" t="str">
        <f t="shared" si="38"/>
        <v>#REF!</v>
      </c>
      <c r="BX65" s="131" t="str">
        <f t="array" ref="BX65">INDEX(BW:BW,MIN(IF(ISNUMBER(BW65:BW261),ROW(BW65:BW261),"")))</f>
        <v/>
      </c>
      <c r="BY65" s="131" t="str">
        <f t="shared" si="121"/>
        <v>#REF!</v>
      </c>
      <c r="BZ65" s="130" t="str">
        <f>BY65*VLOOKUP('Données projet (1)'!$B$12,'Paramètres (1)'!$A$1:$I$88,3,0)*VLOOKUP('Données projet (1)'!$B$12,'Paramètres (1)'!$A$1:$I$88,5,0)</f>
        <v>#REF!</v>
      </c>
      <c r="CA65" s="130" t="str">
        <f t="shared" si="122"/>
        <v>#REF!</v>
      </c>
      <c r="CB65" s="141" t="str">
        <f t="shared" si="39"/>
        <v>#REF!</v>
      </c>
      <c r="CC65" s="133" t="str">
        <f t="shared" si="40"/>
        <v>#REF!</v>
      </c>
      <c r="CD65" s="133" t="str">
        <f t="shared" si="41"/>
        <v>#REF!</v>
      </c>
      <c r="CE65" s="133" t="str">
        <f t="shared" si="123"/>
        <v>#REF!</v>
      </c>
      <c r="CF65" s="134" t="str">
        <f t="shared" si="42"/>
        <v>#REF!</v>
      </c>
      <c r="CG65" s="134" t="str">
        <f t="shared" si="43"/>
        <v>#REF!</v>
      </c>
      <c r="CH65" s="135" t="str">
        <f>IF(ISNA(VLOOKUP(A65,'Données projet (1)'!$A$113:$I$133,5,0)),0%,VLOOKUP(A65,'Données projet (1)'!$A$113:$I$133,5,0)*VLOOKUP('Données projet (1)'!$B$12,'Paramètres (1)'!$A$1:$I$88,7,0))</f>
        <v>#REF!</v>
      </c>
      <c r="CI65" s="135" t="str">
        <f>IF(ISNA(VLOOKUP(A65,'Données projet (1)'!$A$113:$I$133,6,0)),0%,VLOOKUP(A65,'Données projet (1)'!$A$113:$I$133,6,0)*VLOOKUP('Données projet (1)'!$B$12,'Paramètres (1)'!$A$1:$I$88,7,0))</f>
        <v>#REF!</v>
      </c>
      <c r="CJ65" s="135" t="str">
        <f t="shared" si="44"/>
        <v>#REF!</v>
      </c>
      <c r="CK65" s="142" t="str">
        <f>EXP(-LN(2)/35)*CK64+(1-EXP(-LN(2)/35))/(LN(2)/35)*CG65*CH65*VLOOKUP('Données projet (1)'!$B$12,'Paramètres (1)'!$A$1:$I$88,3,0)*0.475*44/12</f>
        <v>#REF!</v>
      </c>
      <c r="CL65" s="142" t="str">
        <f>EXP(-LN(2)/25)*CL64+(1-EXP(-LN(2)/25))/(LN(2)/25)*'Calculateur (1)'!CG65*'Calculateur (1)'!CI65*VLOOKUP('Données projet (1)'!$B$12,'Paramètres (1)'!$A$1:$I$88,3,0)*0.475*44/12</f>
        <v>#REF!</v>
      </c>
      <c r="CM65" s="142" t="str">
        <f>EXP(-LN(2)/2)*CM64+(1-EXP(-LN(2)/2))/(LN(2)/2)*CG65*CJ65*VLOOKUP('Données projet (1)'!$B$12,'Paramètres (1)'!$A$1:$I$88,3,0)*0.475*44/12</f>
        <v>#REF!</v>
      </c>
      <c r="CN65" s="143" t="str">
        <f t="shared" si="45"/>
        <v>#REF!</v>
      </c>
      <c r="CO65" s="139" t="str">
        <f t="shared" si="46"/>
        <v>#REF!</v>
      </c>
      <c r="CP65" s="131">
        <f t="shared" si="47"/>
        <v>10</v>
      </c>
      <c r="CQ65" s="131" t="str">
        <f t="shared" si="124"/>
        <v>#REF!</v>
      </c>
      <c r="CR65" s="131" t="str">
        <f t="shared" si="48"/>
        <v>#REF!</v>
      </c>
      <c r="CS65" s="131" t="str">
        <f t="array" ref="CS65">INDEX(CR:CR,MIN(IF(ISNUMBER(CR65:CR261),ROW(CR65:CR261),"")))</f>
        <v/>
      </c>
      <c r="CT65" s="131" t="str">
        <f t="shared" si="125"/>
        <v>#REF!</v>
      </c>
      <c r="CU65" s="138" t="str">
        <f>CT65*VLOOKUP('Données projet (1)'!$B$13,'Paramètres (1)'!$A$1:$I$88,3,0)*VLOOKUP('Données projet (1)'!$B$13,'Paramètres (1)'!$A$1:$I$88,5,0)</f>
        <v>#REF!</v>
      </c>
      <c r="CV65" s="130" t="str">
        <f t="shared" si="126"/>
        <v>#REF!</v>
      </c>
      <c r="CW65" s="141" t="str">
        <f t="shared" si="49"/>
        <v>#REF!</v>
      </c>
      <c r="CX65" s="133" t="str">
        <f t="shared" si="50"/>
        <v>#REF!</v>
      </c>
      <c r="CY65" s="133" t="str">
        <f t="shared" si="51"/>
        <v>#REF!</v>
      </c>
      <c r="CZ65" s="133" t="str">
        <f t="shared" si="127"/>
        <v>#REF!</v>
      </c>
      <c r="DA65" s="134" t="str">
        <f t="shared" si="52"/>
        <v>#REF!</v>
      </c>
      <c r="DB65" s="134" t="str">
        <f t="shared" si="53"/>
        <v>#REF!</v>
      </c>
      <c r="DC65" s="135" t="str">
        <f>IF(ISNA(VLOOKUP(A65,'Données projet (1)'!$A$139:$I$159,5,0)),0%,VLOOKUP(A65,'Données projet (1)'!$A$139:$I$159,5,0)*VLOOKUP('Données projet (1)'!$B$13,'Paramètres (1)'!$A$1:$I$88,7,0))</f>
        <v>#REF!</v>
      </c>
      <c r="DD65" s="135" t="str">
        <f>IF(ISNA(VLOOKUP(A65,'Données projet (1)'!$A$139:$I$159,6,0)),0%,VLOOKUP(A65,'Données projet (1)'!$A$139:$I$159,6,0)*VLOOKUP('Données projet (1)'!$B$13,'Paramètres (1)'!$A$1:$I$88,7,0))</f>
        <v>#REF!</v>
      </c>
      <c r="DE65" s="135" t="str">
        <f t="shared" si="54"/>
        <v>#REF!</v>
      </c>
      <c r="DF65" s="142" t="str">
        <f>EXP(-LN(2)/35)*DF64+(1-EXP(-LN(2)/35))/(LN(2)/35)*DB65*DC65*VLOOKUP('Données projet (1)'!$B$13,'Paramètres (1)'!$A$1:$I$88,3,0)*0.475*44/12</f>
        <v>#REF!</v>
      </c>
      <c r="DG65" s="142" t="str">
        <f>EXP(-LN(2)/25)*DG64+(1-EXP(-LN(2)/25))/(LN(2)/25)*'Calculateur (1)'!DB65*'Calculateur (1)'!DD65*VLOOKUP('Données projet (1)'!$B$13,'Paramètres (1)'!$A$1:$I$88,3,0)*0.475*44/12</f>
        <v>#REF!</v>
      </c>
      <c r="DH65" s="142" t="str">
        <f>EXP(-LN(2)/2)*DH64+(1-EXP(-LN(2)/2))/(LN(2)/2)*DB65*DE65*VLOOKUP('Données projet (1)'!$B$13,'Paramètres (1)'!$A$1:$I$88,3,0)*0.475*44/12</f>
        <v>#REF!</v>
      </c>
      <c r="DI65" s="143" t="str">
        <f t="shared" si="55"/>
        <v>#REF!</v>
      </c>
      <c r="DJ65" s="139" t="str">
        <f t="shared" si="56"/>
        <v>#REF!</v>
      </c>
      <c r="DK65" s="131">
        <f t="shared" si="57"/>
        <v>10</v>
      </c>
      <c r="DL65" s="131" t="str">
        <f t="shared" si="128"/>
        <v>#REF!</v>
      </c>
      <c r="DM65" s="131" t="str">
        <f t="shared" si="58"/>
        <v>#REF!</v>
      </c>
      <c r="DN65" s="131" t="str">
        <f t="array" ref="DN65">INDEX(DM:DM,MIN(IF(ISNUMBER(DM65:DM261),ROW(DM65:DM261),"")))</f>
        <v/>
      </c>
      <c r="DO65" s="131" t="str">
        <f t="shared" si="129"/>
        <v>#REF!</v>
      </c>
      <c r="DP65" s="138" t="str">
        <f>DO65*VLOOKUP('Données projet (1)'!$B$14,'Paramètres (1)'!$A$1:$I$88,3,0)*VLOOKUP('Données projet (1)'!$B$14,'Paramètres (1)'!$A$1:$I$88,5,0)</f>
        <v>#REF!</v>
      </c>
      <c r="DQ65" s="130" t="str">
        <f t="shared" si="130"/>
        <v>#REF!</v>
      </c>
      <c r="DR65" s="141" t="str">
        <f t="shared" si="59"/>
        <v>#REF!</v>
      </c>
      <c r="DS65" s="133" t="str">
        <f t="shared" si="60"/>
        <v>#REF!</v>
      </c>
      <c r="DT65" s="133" t="str">
        <f t="shared" si="61"/>
        <v>#REF!</v>
      </c>
      <c r="DU65" s="133" t="str">
        <f t="shared" si="131"/>
        <v>#REF!</v>
      </c>
      <c r="DV65" s="134" t="str">
        <f t="shared" si="62"/>
        <v>#REF!</v>
      </c>
      <c r="DW65" s="134" t="str">
        <f t="shared" si="63"/>
        <v>#REF!</v>
      </c>
      <c r="DX65" s="135" t="str">
        <f>IF(ISNA(VLOOKUP(A65,'Données projet (1)'!$A$165:$I$185,5,0)),0%,VLOOKUP(A65,'Données projet (1)'!$A$165:$I$185,5,0)*VLOOKUP('Données projet (1)'!$B$14,'Paramètres (1)'!$A$1:$I$88,7,0))</f>
        <v>#REF!</v>
      </c>
      <c r="DY65" s="135" t="str">
        <f>IF(ISNA(VLOOKUP(A65,'Données projet (1)'!$A$165:$I$185,6,0)),0%,VLOOKUP(A65,'Données projet (1)'!$A$165:$I$185,6,0)*VLOOKUP('Données projet (1)'!$B$14,'Paramètres (1)'!$A$1:$I$88,7,0))</f>
        <v>#REF!</v>
      </c>
      <c r="DZ65" s="135" t="str">
        <f t="shared" si="64"/>
        <v>#REF!</v>
      </c>
      <c r="EA65" s="142" t="str">
        <f>EXP(-LN(2)/35)*EA64+(1-EXP(-LN(2)/35))/(LN(2)/35)*DW65*DX65*VLOOKUP('Données projet (1)'!$B$14,'Paramètres (1)'!$A$1:$I$88,3,0)*0.475*44/12</f>
        <v>#REF!</v>
      </c>
      <c r="EB65" s="142" t="str">
        <f>EXP(-LN(2)/25)*EB64+(1-EXP(-LN(2)/25))/(LN(2)/25)*'Calculateur (1)'!DW65*'Calculateur (1)'!DY65*VLOOKUP('Données projet (1)'!$B$14,'Paramètres (1)'!$A$1:$I$88,3,0)*0.475*44/12</f>
        <v>#REF!</v>
      </c>
      <c r="EC65" s="142" t="str">
        <f>EXP(-LN(2)/2)*EC64+(1-EXP(-LN(2)/2))/(LN(2)/2)*DW65*DZ65*VLOOKUP('Données projet (1)'!$B$14,'Paramètres (1)'!$A$1:$I$88,3,0)*0.475*44/12</f>
        <v>#REF!</v>
      </c>
      <c r="ED65" s="143" t="str">
        <f t="shared" si="65"/>
        <v>#REF!</v>
      </c>
      <c r="EE65" s="139" t="str">
        <f t="shared" si="66"/>
        <v>#REF!</v>
      </c>
      <c r="EF65" s="131">
        <f t="shared" si="67"/>
        <v>10</v>
      </c>
      <c r="EG65" s="131" t="str">
        <f t="shared" si="132"/>
        <v>#REF!</v>
      </c>
      <c r="EH65" s="131" t="str">
        <f t="shared" si="68"/>
        <v>#REF!</v>
      </c>
      <c r="EI65" s="131" t="str">
        <f t="array" ref="EI65">INDEX(EH:EH,MIN(IF(ISNUMBER(EH65:EH261),ROW(EH65:EH261),"")))</f>
        <v/>
      </c>
      <c r="EJ65" s="131" t="str">
        <f t="shared" si="133"/>
        <v>#REF!</v>
      </c>
      <c r="EK65" s="138" t="str">
        <f>EJ65*VLOOKUP('Données projet (1)'!$B$15,'Paramètres (1)'!$A$1:$I$88,3,0)*VLOOKUP('Données projet (1)'!$B$15,'Paramètres (1)'!$A$1:$I$88,5,0)</f>
        <v>#REF!</v>
      </c>
      <c r="EL65" s="130" t="str">
        <f t="shared" si="134"/>
        <v>#REF!</v>
      </c>
      <c r="EM65" s="141" t="str">
        <f t="shared" si="69"/>
        <v>#REF!</v>
      </c>
      <c r="EN65" s="133" t="str">
        <f t="shared" si="70"/>
        <v>#REF!</v>
      </c>
      <c r="EO65" s="133" t="str">
        <f t="shared" si="71"/>
        <v>#REF!</v>
      </c>
      <c r="EP65" s="133" t="str">
        <f t="shared" si="135"/>
        <v>#REF!</v>
      </c>
      <c r="EQ65" s="134" t="str">
        <f t="shared" si="72"/>
        <v>#REF!</v>
      </c>
      <c r="ER65" s="134" t="str">
        <f t="shared" si="73"/>
        <v>#REF!</v>
      </c>
      <c r="ES65" s="135" t="str">
        <f>IF(ISNA(VLOOKUP(A65,'Données projet (1)'!$A$191:$I$211,5,0)),0%,VLOOKUP(A65,'Données projet (1)'!$A$191:$I$211,5,0)*VLOOKUP('Données projet (1)'!$B$15,'Paramètres (1)'!$A$1:$I$88,7,0))</f>
        <v>#REF!</v>
      </c>
      <c r="ET65" s="135" t="str">
        <f>IF(ISNA(VLOOKUP(A65,'Données projet (1)'!$A$191:$I$211,6,0)),0%,VLOOKUP(A65,'Données projet (1)'!$A$191:$I$211,6,0)*VLOOKUP('Données projet (1)'!$B$15,'Paramètres (1)'!$A$1:$I$88,7,0))</f>
        <v>#REF!</v>
      </c>
      <c r="EU65" s="135" t="str">
        <f t="shared" si="74"/>
        <v>#REF!</v>
      </c>
      <c r="EV65" s="142" t="str">
        <f>EXP(-LN(2)/35)*EV64+(1-EXP(-LN(2)/35))/(LN(2)/35)*ER65*ES65*VLOOKUP('Données projet (1)'!$B$15,'Paramètres (1)'!$A$1:$I$88,3,0)*0.475*44/12</f>
        <v>#REF!</v>
      </c>
      <c r="EW65" s="142" t="str">
        <f>EXP(-LN(2)/25)*EW64+(1-EXP(-LN(2)/25))/(LN(2)/25)*'Calculateur (1)'!ER65*'Calculateur (1)'!ET65*VLOOKUP('Données projet (1)'!$B$15,'Paramètres (1)'!$A$1:$I$88,3,0)*0.475*44/12</f>
        <v>#REF!</v>
      </c>
      <c r="EX65" s="142" t="str">
        <f>EXP(-LN(2)/2)*EX64+(1-EXP(-LN(2)/2))/(LN(2)/2)*ER65*EU65*VLOOKUP('Données projet (1)'!$B$15,'Paramètres (1)'!$A$1:$I$88,3,0)*0.475*44/12</f>
        <v>#REF!</v>
      </c>
      <c r="EY65" s="143" t="str">
        <f t="shared" si="75"/>
        <v>#REF!</v>
      </c>
      <c r="EZ65" s="139" t="str">
        <f t="shared" si="76"/>
        <v>#REF!</v>
      </c>
      <c r="FA65" s="131">
        <f t="shared" si="77"/>
        <v>10</v>
      </c>
      <c r="FB65" s="131" t="str">
        <f t="shared" si="136"/>
        <v>#REF!</v>
      </c>
      <c r="FC65" s="131" t="str">
        <f t="shared" si="78"/>
        <v>#REF!</v>
      </c>
      <c r="FD65" s="131" t="str">
        <f t="array" ref="FD65">INDEX(FC:FC,MIN(IF(ISNUMBER(FC65:FC261),ROW(FC65:FC261),"")))</f>
        <v/>
      </c>
      <c r="FE65" s="131" t="str">
        <f t="shared" si="137"/>
        <v>#REF!</v>
      </c>
      <c r="FF65" s="138" t="str">
        <f>FE65*VLOOKUP('Données projet (1)'!$B$16,'Paramètres (1)'!$A$1:$I$88,3,0)*VLOOKUP('Données projet (1)'!$B$16,'Paramètres (1)'!$A$1:$I$88,5,0)</f>
        <v>#REF!</v>
      </c>
      <c r="FG65" s="130" t="str">
        <f t="shared" si="138"/>
        <v>#REF!</v>
      </c>
      <c r="FH65" s="141" t="str">
        <f t="shared" si="79"/>
        <v>#REF!</v>
      </c>
      <c r="FI65" s="133" t="str">
        <f t="shared" si="80"/>
        <v>#REF!</v>
      </c>
      <c r="FJ65" s="133" t="str">
        <f t="shared" si="81"/>
        <v>#REF!</v>
      </c>
      <c r="FK65" s="133" t="str">
        <f t="shared" si="139"/>
        <v>#REF!</v>
      </c>
      <c r="FL65" s="134" t="str">
        <f t="shared" si="82"/>
        <v>#REF!</v>
      </c>
      <c r="FM65" s="134" t="str">
        <f t="shared" si="83"/>
        <v>#REF!</v>
      </c>
      <c r="FN65" s="135" t="str">
        <f>IF(ISNA(VLOOKUP(A65,'Données projet (1)'!$A$217:$I$237,5,0)),0%,VLOOKUP(A65,'Données projet (1)'!$A$217:$I$237,5,0)*VLOOKUP('Données projet (1)'!$B$16,'Paramètres (1)'!$A$1:$I$88,7,0))</f>
        <v>#REF!</v>
      </c>
      <c r="FO65" s="135" t="str">
        <f>IF(ISNA(VLOOKUP(A65,'Données projet (1)'!$A$217:$I$237,6,0)),0%,VLOOKUP(A65,'Données projet (1)'!$A$217:$I$237,6,0)*VLOOKUP('Données projet (1)'!$B$16,'Paramètres (1)'!$A$1:$I$88,7,0))</f>
        <v>#REF!</v>
      </c>
      <c r="FP65" s="135" t="str">
        <f t="shared" si="84"/>
        <v>#REF!</v>
      </c>
      <c r="FQ65" s="142" t="str">
        <f>EXP(-LN(2)/35)*FQ64+(1-EXP(-LN(2)/35))/(LN(2)/35)*FM65*FN65*VLOOKUP('Données projet (1)'!$B$16,'Paramètres (1)'!$A$1:$I$88,3,0)*0.475*44/12</f>
        <v>#REF!</v>
      </c>
      <c r="FR65" s="142" t="str">
        <f>EXP(-LN(2)/25)*FR64+(1-EXP(-LN(2)/25))/(LN(2)/25)*'Calculateur (1)'!FM65*'Calculateur (1)'!FO65*VLOOKUP('Données projet (1)'!$B$16,'Paramètres (1)'!$A$1:$I$88,3,0)*0.475*44/12</f>
        <v>#REF!</v>
      </c>
      <c r="FS65" s="142" t="str">
        <f>EXP(-LN(2)/2)*FS64+(1-EXP(-LN(2)/2))/(LN(2)/2)*FM65*FP65*VLOOKUP('Données projet (1)'!$B$16,'Paramètres (1)'!$A$1:$I$88,3,0)*0.475*44/12</f>
        <v>#REF!</v>
      </c>
      <c r="FT65" s="143" t="str">
        <f t="shared" si="85"/>
        <v>#REF!</v>
      </c>
      <c r="FU65" s="139" t="str">
        <f t="shared" si="86"/>
        <v>#REF!</v>
      </c>
      <c r="FV65" s="131">
        <f t="shared" si="87"/>
        <v>10</v>
      </c>
      <c r="FW65" s="131" t="str">
        <f t="shared" si="140"/>
        <v>#REF!</v>
      </c>
      <c r="FX65" s="131" t="str">
        <f t="shared" si="88"/>
        <v>#REF!</v>
      </c>
      <c r="FY65" s="131" t="str">
        <f t="array" ref="FY65">INDEX(FX:FX,MIN(IF(ISNUMBER(FX65:FX261),ROW(FX65:FX261),"")))</f>
        <v/>
      </c>
      <c r="FZ65" s="131" t="str">
        <f t="shared" si="141"/>
        <v>#REF!</v>
      </c>
      <c r="GA65" s="138" t="str">
        <f>FZ65*VLOOKUP('Données projet (1)'!$B$17,'Paramètres (1)'!$A$1:$I$88,3,0)*VLOOKUP('Données projet (1)'!$B$17,'Paramètres (1)'!$A$1:$I$88,5,0)</f>
        <v>#REF!</v>
      </c>
      <c r="GB65" s="130" t="str">
        <f t="shared" si="142"/>
        <v>#REF!</v>
      </c>
      <c r="GC65" s="141" t="str">
        <f t="shared" si="89"/>
        <v>#REF!</v>
      </c>
      <c r="GD65" s="133" t="str">
        <f t="shared" si="90"/>
        <v>#REF!</v>
      </c>
      <c r="GE65" s="133" t="str">
        <f t="shared" si="91"/>
        <v>#REF!</v>
      </c>
      <c r="GF65" s="133" t="str">
        <f t="shared" si="143"/>
        <v>#REF!</v>
      </c>
      <c r="GG65" s="134" t="str">
        <f t="shared" si="92"/>
        <v>#REF!</v>
      </c>
      <c r="GH65" s="134" t="str">
        <f t="shared" si="93"/>
        <v>#REF!</v>
      </c>
      <c r="GI65" s="135" t="str">
        <f>IF(ISNA(VLOOKUP(A65,'Données projet (1)'!$A$243:$I$263,5,0)),0%,VLOOKUP(A65,'Données projet (1)'!$A$243:$I$263,5,0)*VLOOKUP('Données projet (1)'!$B$17,'Paramètres (1)'!$A$1:$I$88,7,0))</f>
        <v>#REF!</v>
      </c>
      <c r="GJ65" s="135" t="str">
        <f>IF(ISNA(VLOOKUP(A65,'Données projet (1)'!$A$243:$I$263,6,0)),0%,VLOOKUP(A65,'Données projet (1)'!$A$243:$I$263,6,0)*VLOOKUP('Données projet (1)'!$B$17,'Paramètres (1)'!$A$1:$I$88,7,0))</f>
        <v>#REF!</v>
      </c>
      <c r="GK65" s="135" t="str">
        <f t="shared" si="94"/>
        <v>#REF!</v>
      </c>
      <c r="GL65" s="142" t="str">
        <f>EXP(-LN(2)/35)*GL64+(1-EXP(-LN(2)/35))/(LN(2)/35)*GH65*GI65*VLOOKUP('Données projet (1)'!$B$17,'Paramètres (1)'!$A$1:$I$88,3,0)*0.475*44/12</f>
        <v>#REF!</v>
      </c>
      <c r="GM65" s="142" t="str">
        <f>EXP(-LN(2)/25)*GM64+(1-EXP(-LN(2)/25))/(LN(2)/25)*'Calculateur (1)'!GH65*'Calculateur (1)'!GJ65*VLOOKUP('Données projet (1)'!$B$17,'Paramètres (1)'!$A$1:$I$88,3,0)*0.475*44/12</f>
        <v>#REF!</v>
      </c>
      <c r="GN65" s="142" t="str">
        <f>EXP(-LN(2)/2)*GN64+(1-EXP(-LN(2)/2))/(LN(2)/2)*GH65*GK65*VLOOKUP('Données projet (1)'!$B$17,'Paramètres (1)'!$A$1:$I$88,3,0)*0.475*44/12</f>
        <v>#REF!</v>
      </c>
      <c r="GO65" s="142" t="str">
        <f t="shared" si="95"/>
        <v>#REF!</v>
      </c>
      <c r="GP65" s="139" t="str">
        <f t="shared" si="96"/>
        <v>#REF!</v>
      </c>
      <c r="GQ65" s="131">
        <f t="shared" si="97"/>
        <v>10</v>
      </c>
      <c r="GR65" s="131" t="str">
        <f t="shared" si="144"/>
        <v>#REF!</v>
      </c>
      <c r="GS65" s="131" t="str">
        <f t="shared" si="98"/>
        <v>#REF!</v>
      </c>
      <c r="GT65" s="131" t="str">
        <f t="array" ref="GT65">INDEX(GS:GS,MIN(IF(ISNUMBER(GS65:GS261),ROW(GS65:GS261),"")))</f>
        <v/>
      </c>
      <c r="GU65" s="131" t="str">
        <f t="shared" si="145"/>
        <v>#REF!</v>
      </c>
      <c r="GV65" s="138" t="str">
        <f>GU65*VLOOKUP('Données projet (1)'!$B$18,'Paramètres (1)'!$A$1:$I$88,3,0)*VLOOKUP('Données projet (1)'!$B$18,'Paramètres (1)'!$A$1:$I$88,5,0)</f>
        <v>#REF!</v>
      </c>
      <c r="GW65" s="130" t="str">
        <f t="shared" si="146"/>
        <v>#REF!</v>
      </c>
      <c r="GX65" s="141" t="str">
        <f t="shared" si="99"/>
        <v>#REF!</v>
      </c>
      <c r="GY65" s="133" t="str">
        <f t="shared" si="100"/>
        <v>#REF!</v>
      </c>
      <c r="GZ65" s="133" t="str">
        <f t="shared" si="101"/>
        <v>#REF!</v>
      </c>
      <c r="HA65" s="133" t="str">
        <f t="shared" si="147"/>
        <v>#REF!</v>
      </c>
      <c r="HB65" s="134" t="str">
        <f t="shared" si="102"/>
        <v>#REF!</v>
      </c>
      <c r="HC65" s="134" t="str">
        <f t="shared" si="103"/>
        <v>#REF!</v>
      </c>
      <c r="HD65" s="135" t="str">
        <f>IF(ISNA(VLOOKUP(A65,'Données projet (1)'!$A$269:$I$289,5,0)),0%,VLOOKUP(A65,'Données projet (1)'!$A$269:$I$289,5,0)*VLOOKUP('Données projet (1)'!$B$18,'Paramètres (1)'!$A$1:$I$88,7,0))</f>
        <v>#REF!</v>
      </c>
      <c r="HE65" s="135" t="str">
        <f>IF(ISNA(VLOOKUP(A65,'Données projet (1)'!$A$269:$I$289,6,0)),0%,VLOOKUP(A65,'Données projet (1)'!$A$269:$I$289,6,0)*VLOOKUP('Données projet (1)'!$B$18,'Paramètres (1)'!$A$1:$I$88,7,0))</f>
        <v>#REF!</v>
      </c>
      <c r="HF65" s="135" t="str">
        <f t="shared" si="104"/>
        <v>#REF!</v>
      </c>
      <c r="HG65" s="142" t="str">
        <f>EXP(-LN(2)/35)*HG64+(1-EXP(-LN(2)/35))/(LN(2)/35)*HC65*HD65*VLOOKUP('Données projet (1)'!$B$18,'Paramètres (1)'!$A$1:$I$88,3,0)*0.475*44/12</f>
        <v>#REF!</v>
      </c>
      <c r="HH65" s="142" t="str">
        <f>EXP(-LN(2)/25)*HH64+(1-EXP(-LN(2)/25))/(LN(2)/25)*'Calculateur (1)'!HC65*'Calculateur (1)'!HE65*VLOOKUP('Données projet (1)'!$B$18,'Paramètres (1)'!$A$1:$I$88,3,0)*0.475*44/12</f>
        <v>#REF!</v>
      </c>
      <c r="HI65" s="142" t="str">
        <f>EXP(-LN(2)/2)*HI64+(1-EXP(-LN(2)/2))/(LN(2)/2)*HC65*HF65*VLOOKUP('Données projet (1)'!$B$18,'Paramètres (1)'!$A$1:$I$88,3,0)*0.475*44/12</f>
        <v>#REF!</v>
      </c>
      <c r="HJ65" s="143" t="str">
        <f t="shared" si="105"/>
        <v>#REF!</v>
      </c>
    </row>
    <row r="66" ht="14.25" customHeight="1">
      <c r="A66" s="125">
        <f t="shared" si="106"/>
        <v>63</v>
      </c>
      <c r="B66" s="126" t="str">
        <f t="shared" si="1"/>
        <v>#REF!</v>
      </c>
      <c r="C66" s="140" t="str">
        <f>'Calculateur (1)'!C65+'Scénario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6" s="127">
        <f t="shared" si="107"/>
        <v>0</v>
      </c>
      <c r="E66" s="127" t="str">
        <f t="shared" si="2"/>
        <v>#REF!</v>
      </c>
      <c r="F66" s="127" t="str">
        <f t="shared" si="3"/>
        <v>#REF!</v>
      </c>
      <c r="G66" s="127" t="str">
        <f t="shared" si="4"/>
        <v>#REF!</v>
      </c>
      <c r="H66" s="128" t="str">
        <f t="shared" si="5"/>
        <v>#REF!</v>
      </c>
      <c r="I66" s="129" t="str">
        <f t="shared" si="6"/>
        <v>#REF!</v>
      </c>
      <c r="J66" s="130">
        <f t="shared" si="7"/>
        <v>10</v>
      </c>
      <c r="K66" s="131" t="str">
        <f t="shared" si="108"/>
        <v>#REF!</v>
      </c>
      <c r="L66" s="131" t="str">
        <f t="shared" si="8"/>
        <v>#REF!</v>
      </c>
      <c r="M66" s="131" t="str">
        <f t="array" ref="M66">INDEX(L:L,MIN(IF(ISNUMBER(L66:L262),ROW(L66:L262),"")))</f>
        <v/>
      </c>
      <c r="N66" s="130" t="str">
        <f t="shared" si="109"/>
        <v>#REF!</v>
      </c>
      <c r="O66" s="130" t="str">
        <f>N66*VLOOKUP('Données projet (1)'!$B$9,'Paramètres (1)'!$A$1:$I$88,3,0)*VLOOKUP('Données projet (1)'!$B$9,'Paramètres (1)'!$A$1:$I$88,5,0)</f>
        <v>#REF!</v>
      </c>
      <c r="P66" s="130" t="str">
        <f t="shared" si="110"/>
        <v>#REF!</v>
      </c>
      <c r="Q66" s="141" t="str">
        <f t="shared" si="9"/>
        <v>#REF!</v>
      </c>
      <c r="R66" s="133" t="str">
        <f t="shared" si="10"/>
        <v>#REF!</v>
      </c>
      <c r="S66" s="133" t="str">
        <f t="shared" si="11"/>
        <v>#REF!</v>
      </c>
      <c r="T66" s="133" t="str">
        <f t="shared" si="111"/>
        <v>#REF!</v>
      </c>
      <c r="U66" s="134" t="str">
        <f t="shared" si="12"/>
        <v>#REF!</v>
      </c>
      <c r="V66" s="134" t="str">
        <f t="shared" si="13"/>
        <v>#REF!</v>
      </c>
      <c r="W66" s="135" t="str">
        <f>IF(ISNA(VLOOKUP(A66,'Données projet (1)'!$A$35:$I$55,5,0)),0%,VLOOKUP(A66,'Données projet (1)'!$A$35:$I$55,5,0)*VLOOKUP('Données projet (1)'!$B$9,'Paramètres (1)'!$A$1:$I$88,7,0))</f>
        <v>#REF!</v>
      </c>
      <c r="X66" s="135" t="str">
        <f>IF(ISNA(VLOOKUP(A66,'Données projet (1)'!$A$35:$I$55,6,0)),0%,VLOOKUP(A66,'Données projet (1)'!$A$35:$I$55,6,0)*VLOOKUP('Données projet (1)'!$B$9,'Paramètres (1)'!$A$1:$I$88,7,0))</f>
        <v>#REF!</v>
      </c>
      <c r="Y66" s="135" t="str">
        <f t="shared" si="14"/>
        <v>#REF!</v>
      </c>
      <c r="Z66" s="142" t="str">
        <f>EXP(-LN(2)/35)*Z65+(1-EXP(-LN(2)/35))/(LN(2)/35)*V66*W66*VLOOKUP('Données projet (1)'!$B$9,'Paramètres (1)'!$A$1:$I$88,3,0)*0.475*44/12</f>
        <v>#REF!</v>
      </c>
      <c r="AA66" s="142" t="str">
        <f>EXP(-LN(2)/25)*AA65+(1-EXP(-LN(2)/25))/(LN(2)/25)*'Calculateur (1)'!V66*'Calculateur (1)'!X66*VLOOKUP('Données projet (1)'!$B$9,'Paramètres (1)'!$A$1:$I$88,3,0)*0.475*44/12</f>
        <v>#REF!</v>
      </c>
      <c r="AB66" s="142" t="str">
        <f>EXP(-LN(2)/2)*AB65+(1-EXP(-LN(2)/2))/(LN(2)/2)*V66*Y66*VLOOKUP('Données projet (1)'!$B$9,'Paramètres (1)'!$A$1:$I$88,3,0)*0.475*44/12</f>
        <v>#REF!</v>
      </c>
      <c r="AC66" s="143" t="str">
        <f t="shared" si="15"/>
        <v>#REF!</v>
      </c>
      <c r="AD66" s="130" t="str">
        <f t="shared" si="16"/>
        <v>#REF!</v>
      </c>
      <c r="AE66" s="130">
        <f t="shared" si="17"/>
        <v>10</v>
      </c>
      <c r="AF66" s="131" t="str">
        <f t="shared" si="112"/>
        <v>#REF!</v>
      </c>
      <c r="AG66" s="131" t="str">
        <f t="shared" si="18"/>
        <v>#REF!</v>
      </c>
      <c r="AH66" s="131" t="str">
        <f t="array" ref="AH66">INDEX(AG:AG,MIN(IF(ISNUMBER(AG66:AG262),ROW(AG66:AG262),"")))</f>
        <v/>
      </c>
      <c r="AI66" s="130" t="str">
        <f t="shared" si="113"/>
        <v>#REF!</v>
      </c>
      <c r="AJ66" s="130" t="str">
        <f>AI66*VLOOKUP('Données projet (1)'!$B$10,'Paramètres (1)'!$A$1:$I$88,3,0)*VLOOKUP('Données projet (1)'!$B$10,'Paramètres (1)'!$A$1:$I$88,5,0)</f>
        <v>#REF!</v>
      </c>
      <c r="AK66" s="130" t="str">
        <f t="shared" si="114"/>
        <v>#REF!</v>
      </c>
      <c r="AL66" s="141" t="str">
        <f t="shared" si="19"/>
        <v>#REF!</v>
      </c>
      <c r="AM66" s="133" t="str">
        <f t="shared" si="20"/>
        <v>#REF!</v>
      </c>
      <c r="AN66" s="133" t="str">
        <f t="shared" si="21"/>
        <v>#REF!</v>
      </c>
      <c r="AO66" s="133" t="str">
        <f t="shared" si="115"/>
        <v>#REF!</v>
      </c>
      <c r="AP66" s="134" t="str">
        <f t="shared" si="22"/>
        <v>#REF!</v>
      </c>
      <c r="AQ66" s="134" t="str">
        <f t="shared" si="23"/>
        <v>#REF!</v>
      </c>
      <c r="AR66" s="135" t="str">
        <f>IF(ISNA(VLOOKUP(A66,'Données projet (1)'!$A$61:$I$81,5,0)),0%,VLOOKUP(A66,'Données projet (1)'!$A$61:$I$81,5,0)*VLOOKUP('Données projet (1)'!$B$10,'Paramètres (1)'!$A$1:$I$88,7,0))</f>
        <v>#REF!</v>
      </c>
      <c r="AS66" s="135" t="str">
        <f>IF(ISNA(VLOOKUP(A66,'Données projet (1)'!$A$61:$I$81,6,0)),0%,VLOOKUP(A66,'Données projet (1)'!$A$61:$I$81,6,0)*VLOOKUP('Données projet (1)'!$B$10,'Paramètres (1)'!$A$1:$I$88,7,0))</f>
        <v>#REF!</v>
      </c>
      <c r="AT66" s="135" t="str">
        <f t="shared" si="24"/>
        <v>#REF!</v>
      </c>
      <c r="AU66" s="142" t="str">
        <f>EXP(-LN(2)/35)*AU65+(1-EXP(-LN(2)/35))/(LN(2)/35)*AQ66*AR66*VLOOKUP('Données projet (1)'!$B$10,'Paramètres (1)'!$A$1:$I$88,3,0)*0.475*44/12</f>
        <v>#REF!</v>
      </c>
      <c r="AV66" s="142" t="str">
        <f>EXP(-LN(2)/25)*AV65+(1-EXP(-LN(2)/25))/(LN(2)/25)*'Calculateur (1)'!AQ66*'Calculateur (1)'!AS66*VLOOKUP('Données projet (1)'!$B$10,'Paramètres (1)'!$A$1:$I$88,3,0)*0.475*44/12</f>
        <v>#REF!</v>
      </c>
      <c r="AW66" s="142" t="str">
        <f>EXP(-LN(2)/2)*AW65+(1-EXP(-LN(2)/2))/(LN(2)/2)*AQ66*AT66*VLOOKUP('Données projet (1)'!$B$10,'Paramètres (1)'!$A$1:$I$88,3,0)*0.475*44/12</f>
        <v>#REF!</v>
      </c>
      <c r="AX66" s="142" t="str">
        <f t="shared" si="25"/>
        <v>#REF!</v>
      </c>
      <c r="AY66" s="137" t="str">
        <f t="shared" si="26"/>
        <v>#REF!</v>
      </c>
      <c r="AZ66" s="131">
        <f t="shared" si="27"/>
        <v>10</v>
      </c>
      <c r="BA66" s="131" t="str">
        <f t="shared" si="116"/>
        <v>#REF!</v>
      </c>
      <c r="BB66" s="131" t="str">
        <f t="shared" si="28"/>
        <v>#REF!</v>
      </c>
      <c r="BC66" s="131" t="str">
        <f t="array" ref="BC66">INDEX(BB:BB,MIN(IF(ISNUMBER(BB66:BB262),ROW(BB66:BB262),"")))</f>
        <v/>
      </c>
      <c r="BD66" s="131" t="str">
        <f t="shared" si="117"/>
        <v>#REF!</v>
      </c>
      <c r="BE66" s="130" t="str">
        <f>BD66*VLOOKUP('Données projet (1)'!$B$11,'Paramètres (1)'!$A$1:$I$88,3,0)*VLOOKUP('Données projet (1)'!$B$11,'Paramètres (1)'!$A$1:$I$88,5,0)</f>
        <v>#REF!</v>
      </c>
      <c r="BF66" s="130" t="str">
        <f t="shared" si="118"/>
        <v>#REF!</v>
      </c>
      <c r="BG66" s="141" t="str">
        <f t="shared" si="29"/>
        <v>#REF!</v>
      </c>
      <c r="BH66" s="133" t="str">
        <f t="shared" si="30"/>
        <v>#REF!</v>
      </c>
      <c r="BI66" s="133" t="str">
        <f t="shared" si="31"/>
        <v>#REF!</v>
      </c>
      <c r="BJ66" s="133" t="str">
        <f t="shared" si="119"/>
        <v>#REF!</v>
      </c>
      <c r="BK66" s="134" t="str">
        <f t="shared" si="32"/>
        <v>#REF!</v>
      </c>
      <c r="BL66" s="134" t="str">
        <f t="shared" si="33"/>
        <v>#REF!</v>
      </c>
      <c r="BM66" s="135" t="str">
        <f>IF(ISNA(VLOOKUP(A66,'Données projet (1)'!$A$87:$I$107,5,0)),0%,VLOOKUP(A66,'Données projet (1)'!$A$87:$I$107,5,0)*VLOOKUP('Données projet (1)'!$B$11,'Paramètres (1)'!$A$1:$I$88,7,0))</f>
        <v>#REF!</v>
      </c>
      <c r="BN66" s="135" t="str">
        <f>IF(ISNA(VLOOKUP(A66,'Données projet (1)'!$A$87:$I$107,6,0)),0%,VLOOKUP(A66,'Données projet (1)'!$A$87:$I$107,6,0)*VLOOKUP('Données projet (1)'!$B$11,'Paramètres (1)'!$A$1:$I$88,7,0))</f>
        <v>#REF!</v>
      </c>
      <c r="BO66" s="135" t="str">
        <f t="shared" si="34"/>
        <v>#REF!</v>
      </c>
      <c r="BP66" s="142" t="str">
        <f>EXP(-LN(2)/35)*BP65+(1-EXP(-LN(2)/35))/(LN(2)/35)*BL66*BM66*VLOOKUP('Données projet (1)'!$B$11,'Paramètres (1)'!$A$1:$I$88,3,0)*0.475*44/12</f>
        <v>#REF!</v>
      </c>
      <c r="BQ66" s="142" t="str">
        <f>EXP(-LN(2)/25)*BQ65+(1-EXP(-LN(2)/25))/(LN(2)/25)*'Calculateur (1)'!BL66*'Calculateur (1)'!BN66*VLOOKUP('Données projet (1)'!$B$11,'Paramètres (1)'!$A$1:$I$88,3,0)*0.475*44/12</f>
        <v>#REF!</v>
      </c>
      <c r="BR66" s="142" t="str">
        <f>EXP(-LN(2)/2)*BR65+(1-EXP(-LN(2)/2))/(LN(2)/2)*BL66*BO66*VLOOKUP('Données projet (1)'!$B$11,'Paramètres (1)'!$A$1:$I$88,3,0)*0.475*44/12</f>
        <v>#REF!</v>
      </c>
      <c r="BS66" s="143" t="str">
        <f t="shared" si="35"/>
        <v>#REF!</v>
      </c>
      <c r="BT66" s="139" t="str">
        <f t="shared" si="36"/>
        <v>#REF!</v>
      </c>
      <c r="BU66" s="131">
        <f t="shared" si="37"/>
        <v>10</v>
      </c>
      <c r="BV66" s="131" t="str">
        <f t="shared" si="120"/>
        <v>#REF!</v>
      </c>
      <c r="BW66" s="131" t="str">
        <f t="shared" si="38"/>
        <v>#REF!</v>
      </c>
      <c r="BX66" s="131" t="str">
        <f t="array" ref="BX66">INDEX(BW:BW,MIN(IF(ISNUMBER(BW66:BW262),ROW(BW66:BW262),"")))</f>
        <v/>
      </c>
      <c r="BY66" s="131" t="str">
        <f t="shared" si="121"/>
        <v>#REF!</v>
      </c>
      <c r="BZ66" s="130" t="str">
        <f>BY66*VLOOKUP('Données projet (1)'!$B$12,'Paramètres (1)'!$A$1:$I$88,3,0)*VLOOKUP('Données projet (1)'!$B$12,'Paramètres (1)'!$A$1:$I$88,5,0)</f>
        <v>#REF!</v>
      </c>
      <c r="CA66" s="130" t="str">
        <f t="shared" si="122"/>
        <v>#REF!</v>
      </c>
      <c r="CB66" s="141" t="str">
        <f t="shared" si="39"/>
        <v>#REF!</v>
      </c>
      <c r="CC66" s="133" t="str">
        <f t="shared" si="40"/>
        <v>#REF!</v>
      </c>
      <c r="CD66" s="133" t="str">
        <f t="shared" si="41"/>
        <v>#REF!</v>
      </c>
      <c r="CE66" s="133" t="str">
        <f t="shared" si="123"/>
        <v>#REF!</v>
      </c>
      <c r="CF66" s="134" t="str">
        <f t="shared" si="42"/>
        <v>#REF!</v>
      </c>
      <c r="CG66" s="134" t="str">
        <f t="shared" si="43"/>
        <v>#REF!</v>
      </c>
      <c r="CH66" s="135" t="str">
        <f>IF(ISNA(VLOOKUP(A66,'Données projet (1)'!$A$113:$I$133,5,0)),0%,VLOOKUP(A66,'Données projet (1)'!$A$113:$I$133,5,0)*VLOOKUP('Données projet (1)'!$B$12,'Paramètres (1)'!$A$1:$I$88,7,0))</f>
        <v>#REF!</v>
      </c>
      <c r="CI66" s="135" t="str">
        <f>IF(ISNA(VLOOKUP(A66,'Données projet (1)'!$A$113:$I$133,6,0)),0%,VLOOKUP(A66,'Données projet (1)'!$A$113:$I$133,6,0)*VLOOKUP('Données projet (1)'!$B$12,'Paramètres (1)'!$A$1:$I$88,7,0))</f>
        <v>#REF!</v>
      </c>
      <c r="CJ66" s="135" t="str">
        <f t="shared" si="44"/>
        <v>#REF!</v>
      </c>
      <c r="CK66" s="142" t="str">
        <f>EXP(-LN(2)/35)*CK65+(1-EXP(-LN(2)/35))/(LN(2)/35)*CG66*CH66*VLOOKUP('Données projet (1)'!$B$12,'Paramètres (1)'!$A$1:$I$88,3,0)*0.475*44/12</f>
        <v>#REF!</v>
      </c>
      <c r="CL66" s="142" t="str">
        <f>EXP(-LN(2)/25)*CL65+(1-EXP(-LN(2)/25))/(LN(2)/25)*'Calculateur (1)'!CG66*'Calculateur (1)'!CI66*VLOOKUP('Données projet (1)'!$B$12,'Paramètres (1)'!$A$1:$I$88,3,0)*0.475*44/12</f>
        <v>#REF!</v>
      </c>
      <c r="CM66" s="142" t="str">
        <f>EXP(-LN(2)/2)*CM65+(1-EXP(-LN(2)/2))/(LN(2)/2)*CG66*CJ66*VLOOKUP('Données projet (1)'!$B$12,'Paramètres (1)'!$A$1:$I$88,3,0)*0.475*44/12</f>
        <v>#REF!</v>
      </c>
      <c r="CN66" s="143" t="str">
        <f t="shared" si="45"/>
        <v>#REF!</v>
      </c>
      <c r="CO66" s="139" t="str">
        <f t="shared" si="46"/>
        <v>#REF!</v>
      </c>
      <c r="CP66" s="131">
        <f t="shared" si="47"/>
        <v>10</v>
      </c>
      <c r="CQ66" s="131" t="str">
        <f t="shared" si="124"/>
        <v>#REF!</v>
      </c>
      <c r="CR66" s="131" t="str">
        <f t="shared" si="48"/>
        <v>#REF!</v>
      </c>
      <c r="CS66" s="131" t="str">
        <f t="array" ref="CS66">INDEX(CR:CR,MIN(IF(ISNUMBER(CR66:CR262),ROW(CR66:CR262),"")))</f>
        <v/>
      </c>
      <c r="CT66" s="131" t="str">
        <f t="shared" si="125"/>
        <v>#REF!</v>
      </c>
      <c r="CU66" s="138" t="str">
        <f>CT66*VLOOKUP('Données projet (1)'!$B$13,'Paramètres (1)'!$A$1:$I$88,3,0)*VLOOKUP('Données projet (1)'!$B$13,'Paramètres (1)'!$A$1:$I$88,5,0)</f>
        <v>#REF!</v>
      </c>
      <c r="CV66" s="130" t="str">
        <f t="shared" si="126"/>
        <v>#REF!</v>
      </c>
      <c r="CW66" s="141" t="str">
        <f t="shared" si="49"/>
        <v>#REF!</v>
      </c>
      <c r="CX66" s="133" t="str">
        <f t="shared" si="50"/>
        <v>#REF!</v>
      </c>
      <c r="CY66" s="133" t="str">
        <f t="shared" si="51"/>
        <v>#REF!</v>
      </c>
      <c r="CZ66" s="133" t="str">
        <f t="shared" si="127"/>
        <v>#REF!</v>
      </c>
      <c r="DA66" s="134" t="str">
        <f t="shared" si="52"/>
        <v>#REF!</v>
      </c>
      <c r="DB66" s="134" t="str">
        <f t="shared" si="53"/>
        <v>#REF!</v>
      </c>
      <c r="DC66" s="135" t="str">
        <f>IF(ISNA(VLOOKUP(A66,'Données projet (1)'!$A$139:$I$159,5,0)),0%,VLOOKUP(A66,'Données projet (1)'!$A$139:$I$159,5,0)*VLOOKUP('Données projet (1)'!$B$13,'Paramètres (1)'!$A$1:$I$88,7,0))</f>
        <v>#REF!</v>
      </c>
      <c r="DD66" s="135" t="str">
        <f>IF(ISNA(VLOOKUP(A66,'Données projet (1)'!$A$139:$I$159,6,0)),0%,VLOOKUP(A66,'Données projet (1)'!$A$139:$I$159,6,0)*VLOOKUP('Données projet (1)'!$B$13,'Paramètres (1)'!$A$1:$I$88,7,0))</f>
        <v>#REF!</v>
      </c>
      <c r="DE66" s="135" t="str">
        <f t="shared" si="54"/>
        <v>#REF!</v>
      </c>
      <c r="DF66" s="142" t="str">
        <f>EXP(-LN(2)/35)*DF65+(1-EXP(-LN(2)/35))/(LN(2)/35)*DB66*DC66*VLOOKUP('Données projet (1)'!$B$13,'Paramètres (1)'!$A$1:$I$88,3,0)*0.475*44/12</f>
        <v>#REF!</v>
      </c>
      <c r="DG66" s="142" t="str">
        <f>EXP(-LN(2)/25)*DG65+(1-EXP(-LN(2)/25))/(LN(2)/25)*'Calculateur (1)'!DB66*'Calculateur (1)'!DD66*VLOOKUP('Données projet (1)'!$B$13,'Paramètres (1)'!$A$1:$I$88,3,0)*0.475*44/12</f>
        <v>#REF!</v>
      </c>
      <c r="DH66" s="142" t="str">
        <f>EXP(-LN(2)/2)*DH65+(1-EXP(-LN(2)/2))/(LN(2)/2)*DB66*DE66*VLOOKUP('Données projet (1)'!$B$13,'Paramètres (1)'!$A$1:$I$88,3,0)*0.475*44/12</f>
        <v>#REF!</v>
      </c>
      <c r="DI66" s="143" t="str">
        <f t="shared" si="55"/>
        <v>#REF!</v>
      </c>
      <c r="DJ66" s="139" t="str">
        <f t="shared" si="56"/>
        <v>#REF!</v>
      </c>
      <c r="DK66" s="131">
        <f t="shared" si="57"/>
        <v>10</v>
      </c>
      <c r="DL66" s="131" t="str">
        <f t="shared" si="128"/>
        <v>#REF!</v>
      </c>
      <c r="DM66" s="131" t="str">
        <f t="shared" si="58"/>
        <v>#REF!</v>
      </c>
      <c r="DN66" s="131" t="str">
        <f t="array" ref="DN66">INDEX(DM:DM,MIN(IF(ISNUMBER(DM66:DM262),ROW(DM66:DM262),"")))</f>
        <v/>
      </c>
      <c r="DO66" s="131" t="str">
        <f t="shared" si="129"/>
        <v>#REF!</v>
      </c>
      <c r="DP66" s="138" t="str">
        <f>DO66*VLOOKUP('Données projet (1)'!$B$14,'Paramètres (1)'!$A$1:$I$88,3,0)*VLOOKUP('Données projet (1)'!$B$14,'Paramètres (1)'!$A$1:$I$88,5,0)</f>
        <v>#REF!</v>
      </c>
      <c r="DQ66" s="130" t="str">
        <f t="shared" si="130"/>
        <v>#REF!</v>
      </c>
      <c r="DR66" s="141" t="str">
        <f t="shared" si="59"/>
        <v>#REF!</v>
      </c>
      <c r="DS66" s="133" t="str">
        <f t="shared" si="60"/>
        <v>#REF!</v>
      </c>
      <c r="DT66" s="133" t="str">
        <f t="shared" si="61"/>
        <v>#REF!</v>
      </c>
      <c r="DU66" s="133" t="str">
        <f t="shared" si="131"/>
        <v>#REF!</v>
      </c>
      <c r="DV66" s="134" t="str">
        <f t="shared" si="62"/>
        <v>#REF!</v>
      </c>
      <c r="DW66" s="134" t="str">
        <f t="shared" si="63"/>
        <v>#REF!</v>
      </c>
      <c r="DX66" s="135" t="str">
        <f>IF(ISNA(VLOOKUP(A66,'Données projet (1)'!$A$165:$I$185,5,0)),0%,VLOOKUP(A66,'Données projet (1)'!$A$165:$I$185,5,0)*VLOOKUP('Données projet (1)'!$B$14,'Paramètres (1)'!$A$1:$I$88,7,0))</f>
        <v>#REF!</v>
      </c>
      <c r="DY66" s="135" t="str">
        <f>IF(ISNA(VLOOKUP(A66,'Données projet (1)'!$A$165:$I$185,6,0)),0%,VLOOKUP(A66,'Données projet (1)'!$A$165:$I$185,6,0)*VLOOKUP('Données projet (1)'!$B$14,'Paramètres (1)'!$A$1:$I$88,7,0))</f>
        <v>#REF!</v>
      </c>
      <c r="DZ66" s="135" t="str">
        <f t="shared" si="64"/>
        <v>#REF!</v>
      </c>
      <c r="EA66" s="142" t="str">
        <f>EXP(-LN(2)/35)*EA65+(1-EXP(-LN(2)/35))/(LN(2)/35)*DW66*DX66*VLOOKUP('Données projet (1)'!$B$14,'Paramètres (1)'!$A$1:$I$88,3,0)*0.475*44/12</f>
        <v>#REF!</v>
      </c>
      <c r="EB66" s="142" t="str">
        <f>EXP(-LN(2)/25)*EB65+(1-EXP(-LN(2)/25))/(LN(2)/25)*'Calculateur (1)'!DW66*'Calculateur (1)'!DY66*VLOOKUP('Données projet (1)'!$B$14,'Paramètres (1)'!$A$1:$I$88,3,0)*0.475*44/12</f>
        <v>#REF!</v>
      </c>
      <c r="EC66" s="142" t="str">
        <f>EXP(-LN(2)/2)*EC65+(1-EXP(-LN(2)/2))/(LN(2)/2)*DW66*DZ66*VLOOKUP('Données projet (1)'!$B$14,'Paramètres (1)'!$A$1:$I$88,3,0)*0.475*44/12</f>
        <v>#REF!</v>
      </c>
      <c r="ED66" s="143" t="str">
        <f t="shared" si="65"/>
        <v>#REF!</v>
      </c>
      <c r="EE66" s="139" t="str">
        <f t="shared" si="66"/>
        <v>#REF!</v>
      </c>
      <c r="EF66" s="131">
        <f t="shared" si="67"/>
        <v>10</v>
      </c>
      <c r="EG66" s="131" t="str">
        <f t="shared" si="132"/>
        <v>#REF!</v>
      </c>
      <c r="EH66" s="131" t="str">
        <f t="shared" si="68"/>
        <v>#REF!</v>
      </c>
      <c r="EI66" s="131" t="str">
        <f t="array" ref="EI66">INDEX(EH:EH,MIN(IF(ISNUMBER(EH66:EH262),ROW(EH66:EH262),"")))</f>
        <v/>
      </c>
      <c r="EJ66" s="131" t="str">
        <f t="shared" si="133"/>
        <v>#REF!</v>
      </c>
      <c r="EK66" s="138" t="str">
        <f>EJ66*VLOOKUP('Données projet (1)'!$B$15,'Paramètres (1)'!$A$1:$I$88,3,0)*VLOOKUP('Données projet (1)'!$B$15,'Paramètres (1)'!$A$1:$I$88,5,0)</f>
        <v>#REF!</v>
      </c>
      <c r="EL66" s="130" t="str">
        <f t="shared" si="134"/>
        <v>#REF!</v>
      </c>
      <c r="EM66" s="141" t="str">
        <f t="shared" si="69"/>
        <v>#REF!</v>
      </c>
      <c r="EN66" s="133" t="str">
        <f t="shared" si="70"/>
        <v>#REF!</v>
      </c>
      <c r="EO66" s="133" t="str">
        <f t="shared" si="71"/>
        <v>#REF!</v>
      </c>
      <c r="EP66" s="133" t="str">
        <f t="shared" si="135"/>
        <v>#REF!</v>
      </c>
      <c r="EQ66" s="134" t="str">
        <f t="shared" si="72"/>
        <v>#REF!</v>
      </c>
      <c r="ER66" s="134" t="str">
        <f t="shared" si="73"/>
        <v>#REF!</v>
      </c>
      <c r="ES66" s="135" t="str">
        <f>IF(ISNA(VLOOKUP(A66,'Données projet (1)'!$A$191:$I$211,5,0)),0%,VLOOKUP(A66,'Données projet (1)'!$A$191:$I$211,5,0)*VLOOKUP('Données projet (1)'!$B$15,'Paramètres (1)'!$A$1:$I$88,7,0))</f>
        <v>#REF!</v>
      </c>
      <c r="ET66" s="135" t="str">
        <f>IF(ISNA(VLOOKUP(A66,'Données projet (1)'!$A$191:$I$211,6,0)),0%,VLOOKUP(A66,'Données projet (1)'!$A$191:$I$211,6,0)*VLOOKUP('Données projet (1)'!$B$15,'Paramètres (1)'!$A$1:$I$88,7,0))</f>
        <v>#REF!</v>
      </c>
      <c r="EU66" s="135" t="str">
        <f t="shared" si="74"/>
        <v>#REF!</v>
      </c>
      <c r="EV66" s="142" t="str">
        <f>EXP(-LN(2)/35)*EV65+(1-EXP(-LN(2)/35))/(LN(2)/35)*ER66*ES66*VLOOKUP('Données projet (1)'!$B$15,'Paramètres (1)'!$A$1:$I$88,3,0)*0.475*44/12</f>
        <v>#REF!</v>
      </c>
      <c r="EW66" s="142" t="str">
        <f>EXP(-LN(2)/25)*EW65+(1-EXP(-LN(2)/25))/(LN(2)/25)*'Calculateur (1)'!ER66*'Calculateur (1)'!ET66*VLOOKUP('Données projet (1)'!$B$15,'Paramètres (1)'!$A$1:$I$88,3,0)*0.475*44/12</f>
        <v>#REF!</v>
      </c>
      <c r="EX66" s="142" t="str">
        <f>EXP(-LN(2)/2)*EX65+(1-EXP(-LN(2)/2))/(LN(2)/2)*ER66*EU66*VLOOKUP('Données projet (1)'!$B$15,'Paramètres (1)'!$A$1:$I$88,3,0)*0.475*44/12</f>
        <v>#REF!</v>
      </c>
      <c r="EY66" s="143" t="str">
        <f t="shared" si="75"/>
        <v>#REF!</v>
      </c>
      <c r="EZ66" s="139" t="str">
        <f t="shared" si="76"/>
        <v>#REF!</v>
      </c>
      <c r="FA66" s="131">
        <f t="shared" si="77"/>
        <v>10</v>
      </c>
      <c r="FB66" s="131" t="str">
        <f t="shared" si="136"/>
        <v>#REF!</v>
      </c>
      <c r="FC66" s="131" t="str">
        <f t="shared" si="78"/>
        <v>#REF!</v>
      </c>
      <c r="FD66" s="131" t="str">
        <f t="array" ref="FD66">INDEX(FC:FC,MIN(IF(ISNUMBER(FC66:FC262),ROW(FC66:FC262),"")))</f>
        <v/>
      </c>
      <c r="FE66" s="131" t="str">
        <f t="shared" si="137"/>
        <v>#REF!</v>
      </c>
      <c r="FF66" s="138" t="str">
        <f>FE66*VLOOKUP('Données projet (1)'!$B$16,'Paramètres (1)'!$A$1:$I$88,3,0)*VLOOKUP('Données projet (1)'!$B$16,'Paramètres (1)'!$A$1:$I$88,5,0)</f>
        <v>#REF!</v>
      </c>
      <c r="FG66" s="130" t="str">
        <f t="shared" si="138"/>
        <v>#REF!</v>
      </c>
      <c r="FH66" s="141" t="str">
        <f t="shared" si="79"/>
        <v>#REF!</v>
      </c>
      <c r="FI66" s="133" t="str">
        <f t="shared" si="80"/>
        <v>#REF!</v>
      </c>
      <c r="FJ66" s="133" t="str">
        <f t="shared" si="81"/>
        <v>#REF!</v>
      </c>
      <c r="FK66" s="133" t="str">
        <f t="shared" si="139"/>
        <v>#REF!</v>
      </c>
      <c r="FL66" s="134" t="str">
        <f t="shared" si="82"/>
        <v>#REF!</v>
      </c>
      <c r="FM66" s="134" t="str">
        <f t="shared" si="83"/>
        <v>#REF!</v>
      </c>
      <c r="FN66" s="135" t="str">
        <f>IF(ISNA(VLOOKUP(A66,'Données projet (1)'!$A$217:$I$237,5,0)),0%,VLOOKUP(A66,'Données projet (1)'!$A$217:$I$237,5,0)*VLOOKUP('Données projet (1)'!$B$16,'Paramètres (1)'!$A$1:$I$88,7,0))</f>
        <v>#REF!</v>
      </c>
      <c r="FO66" s="135" t="str">
        <f>IF(ISNA(VLOOKUP(A66,'Données projet (1)'!$A$217:$I$237,6,0)),0%,VLOOKUP(A66,'Données projet (1)'!$A$217:$I$237,6,0)*VLOOKUP('Données projet (1)'!$B$16,'Paramètres (1)'!$A$1:$I$88,7,0))</f>
        <v>#REF!</v>
      </c>
      <c r="FP66" s="135" t="str">
        <f t="shared" si="84"/>
        <v>#REF!</v>
      </c>
      <c r="FQ66" s="142" t="str">
        <f>EXP(-LN(2)/35)*FQ65+(1-EXP(-LN(2)/35))/(LN(2)/35)*FM66*FN66*VLOOKUP('Données projet (1)'!$B$16,'Paramètres (1)'!$A$1:$I$88,3,0)*0.475*44/12</f>
        <v>#REF!</v>
      </c>
      <c r="FR66" s="142" t="str">
        <f>EXP(-LN(2)/25)*FR65+(1-EXP(-LN(2)/25))/(LN(2)/25)*'Calculateur (1)'!FM66*'Calculateur (1)'!FO66*VLOOKUP('Données projet (1)'!$B$16,'Paramètres (1)'!$A$1:$I$88,3,0)*0.475*44/12</f>
        <v>#REF!</v>
      </c>
      <c r="FS66" s="142" t="str">
        <f>EXP(-LN(2)/2)*FS65+(1-EXP(-LN(2)/2))/(LN(2)/2)*FM66*FP66*VLOOKUP('Données projet (1)'!$B$16,'Paramètres (1)'!$A$1:$I$88,3,0)*0.475*44/12</f>
        <v>#REF!</v>
      </c>
      <c r="FT66" s="143" t="str">
        <f t="shared" si="85"/>
        <v>#REF!</v>
      </c>
      <c r="FU66" s="139" t="str">
        <f t="shared" si="86"/>
        <v>#REF!</v>
      </c>
      <c r="FV66" s="131">
        <f t="shared" si="87"/>
        <v>10</v>
      </c>
      <c r="FW66" s="131" t="str">
        <f t="shared" si="140"/>
        <v>#REF!</v>
      </c>
      <c r="FX66" s="131" t="str">
        <f t="shared" si="88"/>
        <v>#REF!</v>
      </c>
      <c r="FY66" s="131" t="str">
        <f t="array" ref="FY66">INDEX(FX:FX,MIN(IF(ISNUMBER(FX66:FX262),ROW(FX66:FX262),"")))</f>
        <v/>
      </c>
      <c r="FZ66" s="131" t="str">
        <f t="shared" si="141"/>
        <v>#REF!</v>
      </c>
      <c r="GA66" s="138" t="str">
        <f>FZ66*VLOOKUP('Données projet (1)'!$B$17,'Paramètres (1)'!$A$1:$I$88,3,0)*VLOOKUP('Données projet (1)'!$B$17,'Paramètres (1)'!$A$1:$I$88,5,0)</f>
        <v>#REF!</v>
      </c>
      <c r="GB66" s="130" t="str">
        <f t="shared" si="142"/>
        <v>#REF!</v>
      </c>
      <c r="GC66" s="141" t="str">
        <f t="shared" si="89"/>
        <v>#REF!</v>
      </c>
      <c r="GD66" s="133" t="str">
        <f t="shared" si="90"/>
        <v>#REF!</v>
      </c>
      <c r="GE66" s="133" t="str">
        <f t="shared" si="91"/>
        <v>#REF!</v>
      </c>
      <c r="GF66" s="133" t="str">
        <f t="shared" si="143"/>
        <v>#REF!</v>
      </c>
      <c r="GG66" s="134" t="str">
        <f t="shared" si="92"/>
        <v>#REF!</v>
      </c>
      <c r="GH66" s="134" t="str">
        <f t="shared" si="93"/>
        <v>#REF!</v>
      </c>
      <c r="GI66" s="135" t="str">
        <f>IF(ISNA(VLOOKUP(A66,'Données projet (1)'!$A$243:$I$263,5,0)),0%,VLOOKUP(A66,'Données projet (1)'!$A$243:$I$263,5,0)*VLOOKUP('Données projet (1)'!$B$17,'Paramètres (1)'!$A$1:$I$88,7,0))</f>
        <v>#REF!</v>
      </c>
      <c r="GJ66" s="135" t="str">
        <f>IF(ISNA(VLOOKUP(A66,'Données projet (1)'!$A$243:$I$263,6,0)),0%,VLOOKUP(A66,'Données projet (1)'!$A$243:$I$263,6,0)*VLOOKUP('Données projet (1)'!$B$17,'Paramètres (1)'!$A$1:$I$88,7,0))</f>
        <v>#REF!</v>
      </c>
      <c r="GK66" s="135" t="str">
        <f t="shared" si="94"/>
        <v>#REF!</v>
      </c>
      <c r="GL66" s="142" t="str">
        <f>EXP(-LN(2)/35)*GL65+(1-EXP(-LN(2)/35))/(LN(2)/35)*GH66*GI66*VLOOKUP('Données projet (1)'!$B$17,'Paramètres (1)'!$A$1:$I$88,3,0)*0.475*44/12</f>
        <v>#REF!</v>
      </c>
      <c r="GM66" s="142" t="str">
        <f>EXP(-LN(2)/25)*GM65+(1-EXP(-LN(2)/25))/(LN(2)/25)*'Calculateur (1)'!GH66*'Calculateur (1)'!GJ66*VLOOKUP('Données projet (1)'!$B$17,'Paramètres (1)'!$A$1:$I$88,3,0)*0.475*44/12</f>
        <v>#REF!</v>
      </c>
      <c r="GN66" s="142" t="str">
        <f>EXP(-LN(2)/2)*GN65+(1-EXP(-LN(2)/2))/(LN(2)/2)*GH66*GK66*VLOOKUP('Données projet (1)'!$B$17,'Paramètres (1)'!$A$1:$I$88,3,0)*0.475*44/12</f>
        <v>#REF!</v>
      </c>
      <c r="GO66" s="142" t="str">
        <f t="shared" si="95"/>
        <v>#REF!</v>
      </c>
      <c r="GP66" s="139" t="str">
        <f t="shared" si="96"/>
        <v>#REF!</v>
      </c>
      <c r="GQ66" s="131">
        <f t="shared" si="97"/>
        <v>10</v>
      </c>
      <c r="GR66" s="131" t="str">
        <f t="shared" si="144"/>
        <v>#REF!</v>
      </c>
      <c r="GS66" s="131" t="str">
        <f t="shared" si="98"/>
        <v>#REF!</v>
      </c>
      <c r="GT66" s="131" t="str">
        <f t="array" ref="GT66">INDEX(GS:GS,MIN(IF(ISNUMBER(GS66:GS262),ROW(GS66:GS262),"")))</f>
        <v/>
      </c>
      <c r="GU66" s="131" t="str">
        <f t="shared" si="145"/>
        <v>#REF!</v>
      </c>
      <c r="GV66" s="138" t="str">
        <f>GU66*VLOOKUP('Données projet (1)'!$B$18,'Paramètres (1)'!$A$1:$I$88,3,0)*VLOOKUP('Données projet (1)'!$B$18,'Paramètres (1)'!$A$1:$I$88,5,0)</f>
        <v>#REF!</v>
      </c>
      <c r="GW66" s="130" t="str">
        <f t="shared" si="146"/>
        <v>#REF!</v>
      </c>
      <c r="GX66" s="141" t="str">
        <f t="shared" si="99"/>
        <v>#REF!</v>
      </c>
      <c r="GY66" s="133" t="str">
        <f t="shared" si="100"/>
        <v>#REF!</v>
      </c>
      <c r="GZ66" s="133" t="str">
        <f t="shared" si="101"/>
        <v>#REF!</v>
      </c>
      <c r="HA66" s="133" t="str">
        <f t="shared" si="147"/>
        <v>#REF!</v>
      </c>
      <c r="HB66" s="134" t="str">
        <f t="shared" si="102"/>
        <v>#REF!</v>
      </c>
      <c r="HC66" s="134" t="str">
        <f t="shared" si="103"/>
        <v>#REF!</v>
      </c>
      <c r="HD66" s="135" t="str">
        <f>IF(ISNA(VLOOKUP(A66,'Données projet (1)'!$A$269:$I$289,5,0)),0%,VLOOKUP(A66,'Données projet (1)'!$A$269:$I$289,5,0)*VLOOKUP('Données projet (1)'!$B$18,'Paramètres (1)'!$A$1:$I$88,7,0))</f>
        <v>#REF!</v>
      </c>
      <c r="HE66" s="135" t="str">
        <f>IF(ISNA(VLOOKUP(A66,'Données projet (1)'!$A$269:$I$289,6,0)),0%,VLOOKUP(A66,'Données projet (1)'!$A$269:$I$289,6,0)*VLOOKUP('Données projet (1)'!$B$18,'Paramètres (1)'!$A$1:$I$88,7,0))</f>
        <v>#REF!</v>
      </c>
      <c r="HF66" s="135" t="str">
        <f t="shared" si="104"/>
        <v>#REF!</v>
      </c>
      <c r="HG66" s="142" t="str">
        <f>EXP(-LN(2)/35)*HG65+(1-EXP(-LN(2)/35))/(LN(2)/35)*HC66*HD66*VLOOKUP('Données projet (1)'!$B$18,'Paramètres (1)'!$A$1:$I$88,3,0)*0.475*44/12</f>
        <v>#REF!</v>
      </c>
      <c r="HH66" s="142" t="str">
        <f>EXP(-LN(2)/25)*HH65+(1-EXP(-LN(2)/25))/(LN(2)/25)*'Calculateur (1)'!HC66*'Calculateur (1)'!HE66*VLOOKUP('Données projet (1)'!$B$18,'Paramètres (1)'!$A$1:$I$88,3,0)*0.475*44/12</f>
        <v>#REF!</v>
      </c>
      <c r="HI66" s="142" t="str">
        <f>EXP(-LN(2)/2)*HI65+(1-EXP(-LN(2)/2))/(LN(2)/2)*HC66*HF66*VLOOKUP('Données projet (1)'!$B$18,'Paramètres (1)'!$A$1:$I$88,3,0)*0.475*44/12</f>
        <v>#REF!</v>
      </c>
      <c r="HJ66" s="143" t="str">
        <f t="shared" si="105"/>
        <v>#REF!</v>
      </c>
    </row>
    <row r="67" ht="14.25" customHeight="1">
      <c r="A67" s="125">
        <f t="shared" si="106"/>
        <v>64</v>
      </c>
      <c r="B67" s="126" t="str">
        <f t="shared" si="1"/>
        <v>#REF!</v>
      </c>
      <c r="C67" s="140" t="str">
        <f>'Calculateur (1)'!C66+'Scénario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7" s="127">
        <f t="shared" si="107"/>
        <v>0</v>
      </c>
      <c r="E67" s="127" t="str">
        <f t="shared" si="2"/>
        <v>#REF!</v>
      </c>
      <c r="F67" s="127" t="str">
        <f t="shared" si="3"/>
        <v>#REF!</v>
      </c>
      <c r="G67" s="127" t="str">
        <f t="shared" si="4"/>
        <v>#REF!</v>
      </c>
      <c r="H67" s="128" t="str">
        <f t="shared" si="5"/>
        <v>#REF!</v>
      </c>
      <c r="I67" s="129" t="str">
        <f t="shared" si="6"/>
        <v>#REF!</v>
      </c>
      <c r="J67" s="130">
        <f t="shared" si="7"/>
        <v>10</v>
      </c>
      <c r="K67" s="131" t="str">
        <f t="shared" si="108"/>
        <v>#REF!</v>
      </c>
      <c r="L67" s="131" t="str">
        <f t="shared" si="8"/>
        <v>#REF!</v>
      </c>
      <c r="M67" s="131" t="str">
        <f t="array" ref="M67">INDEX(L:L,MIN(IF(ISNUMBER(L67:L263),ROW(L67:L263),"")))</f>
        <v/>
      </c>
      <c r="N67" s="130" t="str">
        <f t="shared" si="109"/>
        <v>#REF!</v>
      </c>
      <c r="O67" s="130" t="str">
        <f>N67*VLOOKUP('Données projet (1)'!$B$9,'Paramètres (1)'!$A$1:$I$88,3,0)*VLOOKUP('Données projet (1)'!$B$9,'Paramètres (1)'!$A$1:$I$88,5,0)</f>
        <v>#REF!</v>
      </c>
      <c r="P67" s="130" t="str">
        <f t="shared" si="110"/>
        <v>#REF!</v>
      </c>
      <c r="Q67" s="141" t="str">
        <f t="shared" si="9"/>
        <v>#REF!</v>
      </c>
      <c r="R67" s="133" t="str">
        <f t="shared" si="10"/>
        <v>#REF!</v>
      </c>
      <c r="S67" s="133" t="str">
        <f t="shared" si="11"/>
        <v>#REF!</v>
      </c>
      <c r="T67" s="133" t="str">
        <f t="shared" si="111"/>
        <v>#REF!</v>
      </c>
      <c r="U67" s="134" t="str">
        <f t="shared" si="12"/>
        <v>#REF!</v>
      </c>
      <c r="V67" s="134" t="str">
        <f t="shared" si="13"/>
        <v>#REF!</v>
      </c>
      <c r="W67" s="135" t="str">
        <f>IF(ISNA(VLOOKUP(A67,'Données projet (1)'!$A$35:$I$55,5,0)),0%,VLOOKUP(A67,'Données projet (1)'!$A$35:$I$55,5,0)*VLOOKUP('Données projet (1)'!$B$9,'Paramètres (1)'!$A$1:$I$88,7,0))</f>
        <v>#REF!</v>
      </c>
      <c r="X67" s="135" t="str">
        <f>IF(ISNA(VLOOKUP(A67,'Données projet (1)'!$A$35:$I$55,6,0)),0%,VLOOKUP(A67,'Données projet (1)'!$A$35:$I$55,6,0)*VLOOKUP('Données projet (1)'!$B$9,'Paramètres (1)'!$A$1:$I$88,7,0))</f>
        <v>#REF!</v>
      </c>
      <c r="Y67" s="135" t="str">
        <f t="shared" si="14"/>
        <v>#REF!</v>
      </c>
      <c r="Z67" s="142" t="str">
        <f>EXP(-LN(2)/35)*Z66+(1-EXP(-LN(2)/35))/(LN(2)/35)*V67*W67*VLOOKUP('Données projet (1)'!$B$9,'Paramètres (1)'!$A$1:$I$88,3,0)*0.475*44/12</f>
        <v>#REF!</v>
      </c>
      <c r="AA67" s="142" t="str">
        <f>EXP(-LN(2)/25)*AA66+(1-EXP(-LN(2)/25))/(LN(2)/25)*'Calculateur (1)'!V67*'Calculateur (1)'!X67*VLOOKUP('Données projet (1)'!$B$9,'Paramètres (1)'!$A$1:$I$88,3,0)*0.475*44/12</f>
        <v>#REF!</v>
      </c>
      <c r="AB67" s="142" t="str">
        <f>EXP(-LN(2)/2)*AB66+(1-EXP(-LN(2)/2))/(LN(2)/2)*V67*Y67*VLOOKUP('Données projet (1)'!$B$9,'Paramètres (1)'!$A$1:$I$88,3,0)*0.475*44/12</f>
        <v>#REF!</v>
      </c>
      <c r="AC67" s="143" t="str">
        <f t="shared" si="15"/>
        <v>#REF!</v>
      </c>
      <c r="AD67" s="130" t="str">
        <f t="shared" si="16"/>
        <v>#REF!</v>
      </c>
      <c r="AE67" s="130">
        <f t="shared" si="17"/>
        <v>10</v>
      </c>
      <c r="AF67" s="131" t="str">
        <f t="shared" si="112"/>
        <v>#REF!</v>
      </c>
      <c r="AG67" s="131" t="str">
        <f t="shared" si="18"/>
        <v>#REF!</v>
      </c>
      <c r="AH67" s="131" t="str">
        <f t="array" ref="AH67">INDEX(AG:AG,MIN(IF(ISNUMBER(AG67:AG263),ROW(AG67:AG263),"")))</f>
        <v/>
      </c>
      <c r="AI67" s="130" t="str">
        <f t="shared" si="113"/>
        <v>#REF!</v>
      </c>
      <c r="AJ67" s="130" t="str">
        <f>AI67*VLOOKUP('Données projet (1)'!$B$10,'Paramètres (1)'!$A$1:$I$88,3,0)*VLOOKUP('Données projet (1)'!$B$10,'Paramètres (1)'!$A$1:$I$88,5,0)</f>
        <v>#REF!</v>
      </c>
      <c r="AK67" s="130" t="str">
        <f t="shared" si="114"/>
        <v>#REF!</v>
      </c>
      <c r="AL67" s="141" t="str">
        <f t="shared" si="19"/>
        <v>#REF!</v>
      </c>
      <c r="AM67" s="133" t="str">
        <f t="shared" si="20"/>
        <v>#REF!</v>
      </c>
      <c r="AN67" s="133" t="str">
        <f t="shared" si="21"/>
        <v>#REF!</v>
      </c>
      <c r="AO67" s="133" t="str">
        <f t="shared" si="115"/>
        <v>#REF!</v>
      </c>
      <c r="AP67" s="134" t="str">
        <f t="shared" si="22"/>
        <v>#REF!</v>
      </c>
      <c r="AQ67" s="134" t="str">
        <f t="shared" si="23"/>
        <v>#REF!</v>
      </c>
      <c r="AR67" s="135" t="str">
        <f>IF(ISNA(VLOOKUP(A67,'Données projet (1)'!$A$61:$I$81,5,0)),0%,VLOOKUP(A67,'Données projet (1)'!$A$61:$I$81,5,0)*VLOOKUP('Données projet (1)'!$B$10,'Paramètres (1)'!$A$1:$I$88,7,0))</f>
        <v>#REF!</v>
      </c>
      <c r="AS67" s="135" t="str">
        <f>IF(ISNA(VLOOKUP(A67,'Données projet (1)'!$A$61:$I$81,6,0)),0%,VLOOKUP(A67,'Données projet (1)'!$A$61:$I$81,6,0)*VLOOKUP('Données projet (1)'!$B$10,'Paramètres (1)'!$A$1:$I$88,7,0))</f>
        <v>#REF!</v>
      </c>
      <c r="AT67" s="135" t="str">
        <f t="shared" si="24"/>
        <v>#REF!</v>
      </c>
      <c r="AU67" s="142" t="str">
        <f>EXP(-LN(2)/35)*AU66+(1-EXP(-LN(2)/35))/(LN(2)/35)*AQ67*AR67*VLOOKUP('Données projet (1)'!$B$10,'Paramètres (1)'!$A$1:$I$88,3,0)*0.475*44/12</f>
        <v>#REF!</v>
      </c>
      <c r="AV67" s="142" t="str">
        <f>EXP(-LN(2)/25)*AV66+(1-EXP(-LN(2)/25))/(LN(2)/25)*'Calculateur (1)'!AQ67*'Calculateur (1)'!AS67*VLOOKUP('Données projet (1)'!$B$10,'Paramètres (1)'!$A$1:$I$88,3,0)*0.475*44/12</f>
        <v>#REF!</v>
      </c>
      <c r="AW67" s="142" t="str">
        <f>EXP(-LN(2)/2)*AW66+(1-EXP(-LN(2)/2))/(LN(2)/2)*AQ67*AT67*VLOOKUP('Données projet (1)'!$B$10,'Paramètres (1)'!$A$1:$I$88,3,0)*0.475*44/12</f>
        <v>#REF!</v>
      </c>
      <c r="AX67" s="142" t="str">
        <f t="shared" si="25"/>
        <v>#REF!</v>
      </c>
      <c r="AY67" s="137" t="str">
        <f t="shared" si="26"/>
        <v>#REF!</v>
      </c>
      <c r="AZ67" s="131">
        <f t="shared" si="27"/>
        <v>10</v>
      </c>
      <c r="BA67" s="131" t="str">
        <f t="shared" si="116"/>
        <v>#REF!</v>
      </c>
      <c r="BB67" s="131" t="str">
        <f t="shared" si="28"/>
        <v>#REF!</v>
      </c>
      <c r="BC67" s="131" t="str">
        <f t="array" ref="BC67">INDEX(BB:BB,MIN(IF(ISNUMBER(BB67:BB263),ROW(BB67:BB263),"")))</f>
        <v/>
      </c>
      <c r="BD67" s="131" t="str">
        <f t="shared" si="117"/>
        <v>#REF!</v>
      </c>
      <c r="BE67" s="130" t="str">
        <f>BD67*VLOOKUP('Données projet (1)'!$B$11,'Paramètres (1)'!$A$1:$I$88,3,0)*VLOOKUP('Données projet (1)'!$B$11,'Paramètres (1)'!$A$1:$I$88,5,0)</f>
        <v>#REF!</v>
      </c>
      <c r="BF67" s="130" t="str">
        <f t="shared" si="118"/>
        <v>#REF!</v>
      </c>
      <c r="BG67" s="141" t="str">
        <f t="shared" si="29"/>
        <v>#REF!</v>
      </c>
      <c r="BH67" s="133" t="str">
        <f t="shared" si="30"/>
        <v>#REF!</v>
      </c>
      <c r="BI67" s="133" t="str">
        <f t="shared" si="31"/>
        <v>#REF!</v>
      </c>
      <c r="BJ67" s="133" t="str">
        <f t="shared" si="119"/>
        <v>#REF!</v>
      </c>
      <c r="BK67" s="134" t="str">
        <f t="shared" si="32"/>
        <v>#REF!</v>
      </c>
      <c r="BL67" s="134" t="str">
        <f t="shared" si="33"/>
        <v>#REF!</v>
      </c>
      <c r="BM67" s="135" t="str">
        <f>IF(ISNA(VLOOKUP(A67,'Données projet (1)'!$A$87:$I$107,5,0)),0%,VLOOKUP(A67,'Données projet (1)'!$A$87:$I$107,5,0)*VLOOKUP('Données projet (1)'!$B$11,'Paramètres (1)'!$A$1:$I$88,7,0))</f>
        <v>#REF!</v>
      </c>
      <c r="BN67" s="135" t="str">
        <f>IF(ISNA(VLOOKUP(A67,'Données projet (1)'!$A$87:$I$107,6,0)),0%,VLOOKUP(A67,'Données projet (1)'!$A$87:$I$107,6,0)*VLOOKUP('Données projet (1)'!$B$11,'Paramètres (1)'!$A$1:$I$88,7,0))</f>
        <v>#REF!</v>
      </c>
      <c r="BO67" s="135" t="str">
        <f t="shared" si="34"/>
        <v>#REF!</v>
      </c>
      <c r="BP67" s="142" t="str">
        <f>EXP(-LN(2)/35)*BP66+(1-EXP(-LN(2)/35))/(LN(2)/35)*BL67*BM67*VLOOKUP('Données projet (1)'!$B$11,'Paramètres (1)'!$A$1:$I$88,3,0)*0.475*44/12</f>
        <v>#REF!</v>
      </c>
      <c r="BQ67" s="142" t="str">
        <f>EXP(-LN(2)/25)*BQ66+(1-EXP(-LN(2)/25))/(LN(2)/25)*'Calculateur (1)'!BL67*'Calculateur (1)'!BN67*VLOOKUP('Données projet (1)'!$B$11,'Paramètres (1)'!$A$1:$I$88,3,0)*0.475*44/12</f>
        <v>#REF!</v>
      </c>
      <c r="BR67" s="142" t="str">
        <f>EXP(-LN(2)/2)*BR66+(1-EXP(-LN(2)/2))/(LN(2)/2)*BL67*BO67*VLOOKUP('Données projet (1)'!$B$11,'Paramètres (1)'!$A$1:$I$88,3,0)*0.475*44/12</f>
        <v>#REF!</v>
      </c>
      <c r="BS67" s="143" t="str">
        <f t="shared" si="35"/>
        <v>#REF!</v>
      </c>
      <c r="BT67" s="139" t="str">
        <f t="shared" si="36"/>
        <v>#REF!</v>
      </c>
      <c r="BU67" s="131">
        <f t="shared" si="37"/>
        <v>10</v>
      </c>
      <c r="BV67" s="131" t="str">
        <f t="shared" si="120"/>
        <v>#REF!</v>
      </c>
      <c r="BW67" s="131" t="str">
        <f t="shared" si="38"/>
        <v>#REF!</v>
      </c>
      <c r="BX67" s="131" t="str">
        <f t="array" ref="BX67">INDEX(BW:BW,MIN(IF(ISNUMBER(BW67:BW263),ROW(BW67:BW263),"")))</f>
        <v/>
      </c>
      <c r="BY67" s="131" t="str">
        <f t="shared" si="121"/>
        <v>#REF!</v>
      </c>
      <c r="BZ67" s="130" t="str">
        <f>BY67*VLOOKUP('Données projet (1)'!$B$12,'Paramètres (1)'!$A$1:$I$88,3,0)*VLOOKUP('Données projet (1)'!$B$12,'Paramètres (1)'!$A$1:$I$88,5,0)</f>
        <v>#REF!</v>
      </c>
      <c r="CA67" s="130" t="str">
        <f t="shared" si="122"/>
        <v>#REF!</v>
      </c>
      <c r="CB67" s="141" t="str">
        <f t="shared" si="39"/>
        <v>#REF!</v>
      </c>
      <c r="CC67" s="133" t="str">
        <f t="shared" si="40"/>
        <v>#REF!</v>
      </c>
      <c r="CD67" s="133" t="str">
        <f t="shared" si="41"/>
        <v>#REF!</v>
      </c>
      <c r="CE67" s="133" t="str">
        <f t="shared" si="123"/>
        <v>#REF!</v>
      </c>
      <c r="CF67" s="134" t="str">
        <f t="shared" si="42"/>
        <v>#REF!</v>
      </c>
      <c r="CG67" s="134" t="str">
        <f t="shared" si="43"/>
        <v>#REF!</v>
      </c>
      <c r="CH67" s="135" t="str">
        <f>IF(ISNA(VLOOKUP(A67,'Données projet (1)'!$A$113:$I$133,5,0)),0%,VLOOKUP(A67,'Données projet (1)'!$A$113:$I$133,5,0)*VLOOKUP('Données projet (1)'!$B$12,'Paramètres (1)'!$A$1:$I$88,7,0))</f>
        <v>#REF!</v>
      </c>
      <c r="CI67" s="135" t="str">
        <f>IF(ISNA(VLOOKUP(A67,'Données projet (1)'!$A$113:$I$133,6,0)),0%,VLOOKUP(A67,'Données projet (1)'!$A$113:$I$133,6,0)*VLOOKUP('Données projet (1)'!$B$12,'Paramètres (1)'!$A$1:$I$88,7,0))</f>
        <v>#REF!</v>
      </c>
      <c r="CJ67" s="135" t="str">
        <f t="shared" si="44"/>
        <v>#REF!</v>
      </c>
      <c r="CK67" s="142" t="str">
        <f>EXP(-LN(2)/35)*CK66+(1-EXP(-LN(2)/35))/(LN(2)/35)*CG67*CH67*VLOOKUP('Données projet (1)'!$B$12,'Paramètres (1)'!$A$1:$I$88,3,0)*0.475*44/12</f>
        <v>#REF!</v>
      </c>
      <c r="CL67" s="142" t="str">
        <f>EXP(-LN(2)/25)*CL66+(1-EXP(-LN(2)/25))/(LN(2)/25)*'Calculateur (1)'!CG67*'Calculateur (1)'!CI67*VLOOKUP('Données projet (1)'!$B$12,'Paramètres (1)'!$A$1:$I$88,3,0)*0.475*44/12</f>
        <v>#REF!</v>
      </c>
      <c r="CM67" s="142" t="str">
        <f>EXP(-LN(2)/2)*CM66+(1-EXP(-LN(2)/2))/(LN(2)/2)*CG67*CJ67*VLOOKUP('Données projet (1)'!$B$12,'Paramètres (1)'!$A$1:$I$88,3,0)*0.475*44/12</f>
        <v>#REF!</v>
      </c>
      <c r="CN67" s="143" t="str">
        <f t="shared" si="45"/>
        <v>#REF!</v>
      </c>
      <c r="CO67" s="139" t="str">
        <f t="shared" si="46"/>
        <v>#REF!</v>
      </c>
      <c r="CP67" s="131">
        <f t="shared" si="47"/>
        <v>10</v>
      </c>
      <c r="CQ67" s="131" t="str">
        <f t="shared" si="124"/>
        <v>#REF!</v>
      </c>
      <c r="CR67" s="131" t="str">
        <f t="shared" si="48"/>
        <v>#REF!</v>
      </c>
      <c r="CS67" s="131" t="str">
        <f t="array" ref="CS67">INDEX(CR:CR,MIN(IF(ISNUMBER(CR67:CR263),ROW(CR67:CR263),"")))</f>
        <v/>
      </c>
      <c r="CT67" s="131" t="str">
        <f t="shared" si="125"/>
        <v>#REF!</v>
      </c>
      <c r="CU67" s="138" t="str">
        <f>CT67*VLOOKUP('Données projet (1)'!$B$13,'Paramètres (1)'!$A$1:$I$88,3,0)*VLOOKUP('Données projet (1)'!$B$13,'Paramètres (1)'!$A$1:$I$88,5,0)</f>
        <v>#REF!</v>
      </c>
      <c r="CV67" s="130" t="str">
        <f t="shared" si="126"/>
        <v>#REF!</v>
      </c>
      <c r="CW67" s="141" t="str">
        <f t="shared" si="49"/>
        <v>#REF!</v>
      </c>
      <c r="CX67" s="133" t="str">
        <f t="shared" si="50"/>
        <v>#REF!</v>
      </c>
      <c r="CY67" s="133" t="str">
        <f t="shared" si="51"/>
        <v>#REF!</v>
      </c>
      <c r="CZ67" s="133" t="str">
        <f t="shared" si="127"/>
        <v>#REF!</v>
      </c>
      <c r="DA67" s="134" t="str">
        <f t="shared" si="52"/>
        <v>#REF!</v>
      </c>
      <c r="DB67" s="134" t="str">
        <f t="shared" si="53"/>
        <v>#REF!</v>
      </c>
      <c r="DC67" s="135" t="str">
        <f>IF(ISNA(VLOOKUP(A67,'Données projet (1)'!$A$139:$I$159,5,0)),0%,VLOOKUP(A67,'Données projet (1)'!$A$139:$I$159,5,0)*VLOOKUP('Données projet (1)'!$B$13,'Paramètres (1)'!$A$1:$I$88,7,0))</f>
        <v>#REF!</v>
      </c>
      <c r="DD67" s="135" t="str">
        <f>IF(ISNA(VLOOKUP(A67,'Données projet (1)'!$A$139:$I$159,6,0)),0%,VLOOKUP(A67,'Données projet (1)'!$A$139:$I$159,6,0)*VLOOKUP('Données projet (1)'!$B$13,'Paramètres (1)'!$A$1:$I$88,7,0))</f>
        <v>#REF!</v>
      </c>
      <c r="DE67" s="135" t="str">
        <f t="shared" si="54"/>
        <v>#REF!</v>
      </c>
      <c r="DF67" s="142" t="str">
        <f>EXP(-LN(2)/35)*DF66+(1-EXP(-LN(2)/35))/(LN(2)/35)*DB67*DC67*VLOOKUP('Données projet (1)'!$B$13,'Paramètres (1)'!$A$1:$I$88,3,0)*0.475*44/12</f>
        <v>#REF!</v>
      </c>
      <c r="DG67" s="142" t="str">
        <f>EXP(-LN(2)/25)*DG66+(1-EXP(-LN(2)/25))/(LN(2)/25)*'Calculateur (1)'!DB67*'Calculateur (1)'!DD67*VLOOKUP('Données projet (1)'!$B$13,'Paramètres (1)'!$A$1:$I$88,3,0)*0.475*44/12</f>
        <v>#REF!</v>
      </c>
      <c r="DH67" s="142" t="str">
        <f>EXP(-LN(2)/2)*DH66+(1-EXP(-LN(2)/2))/(LN(2)/2)*DB67*DE67*VLOOKUP('Données projet (1)'!$B$13,'Paramètres (1)'!$A$1:$I$88,3,0)*0.475*44/12</f>
        <v>#REF!</v>
      </c>
      <c r="DI67" s="143" t="str">
        <f t="shared" si="55"/>
        <v>#REF!</v>
      </c>
      <c r="DJ67" s="139" t="str">
        <f t="shared" si="56"/>
        <v>#REF!</v>
      </c>
      <c r="DK67" s="131">
        <f t="shared" si="57"/>
        <v>10</v>
      </c>
      <c r="DL67" s="131" t="str">
        <f t="shared" si="128"/>
        <v>#REF!</v>
      </c>
      <c r="DM67" s="131" t="str">
        <f t="shared" si="58"/>
        <v>#REF!</v>
      </c>
      <c r="DN67" s="131" t="str">
        <f t="array" ref="DN67">INDEX(DM:DM,MIN(IF(ISNUMBER(DM67:DM263),ROW(DM67:DM263),"")))</f>
        <v/>
      </c>
      <c r="DO67" s="131" t="str">
        <f t="shared" si="129"/>
        <v>#REF!</v>
      </c>
      <c r="DP67" s="138" t="str">
        <f>DO67*VLOOKUP('Données projet (1)'!$B$14,'Paramètres (1)'!$A$1:$I$88,3,0)*VLOOKUP('Données projet (1)'!$B$14,'Paramètres (1)'!$A$1:$I$88,5,0)</f>
        <v>#REF!</v>
      </c>
      <c r="DQ67" s="130" t="str">
        <f t="shared" si="130"/>
        <v>#REF!</v>
      </c>
      <c r="DR67" s="141" t="str">
        <f t="shared" si="59"/>
        <v>#REF!</v>
      </c>
      <c r="DS67" s="133" t="str">
        <f t="shared" si="60"/>
        <v>#REF!</v>
      </c>
      <c r="DT67" s="133" t="str">
        <f t="shared" si="61"/>
        <v>#REF!</v>
      </c>
      <c r="DU67" s="133" t="str">
        <f t="shared" si="131"/>
        <v>#REF!</v>
      </c>
      <c r="DV67" s="134" t="str">
        <f t="shared" si="62"/>
        <v>#REF!</v>
      </c>
      <c r="DW67" s="134" t="str">
        <f t="shared" si="63"/>
        <v>#REF!</v>
      </c>
      <c r="DX67" s="135" t="str">
        <f>IF(ISNA(VLOOKUP(A67,'Données projet (1)'!$A$165:$I$185,5,0)),0%,VLOOKUP(A67,'Données projet (1)'!$A$165:$I$185,5,0)*VLOOKUP('Données projet (1)'!$B$14,'Paramètres (1)'!$A$1:$I$88,7,0))</f>
        <v>#REF!</v>
      </c>
      <c r="DY67" s="135" t="str">
        <f>IF(ISNA(VLOOKUP(A67,'Données projet (1)'!$A$165:$I$185,6,0)),0%,VLOOKUP(A67,'Données projet (1)'!$A$165:$I$185,6,0)*VLOOKUP('Données projet (1)'!$B$14,'Paramètres (1)'!$A$1:$I$88,7,0))</f>
        <v>#REF!</v>
      </c>
      <c r="DZ67" s="135" t="str">
        <f t="shared" si="64"/>
        <v>#REF!</v>
      </c>
      <c r="EA67" s="142" t="str">
        <f>EXP(-LN(2)/35)*EA66+(1-EXP(-LN(2)/35))/(LN(2)/35)*DW67*DX67*VLOOKUP('Données projet (1)'!$B$14,'Paramètres (1)'!$A$1:$I$88,3,0)*0.475*44/12</f>
        <v>#REF!</v>
      </c>
      <c r="EB67" s="142" t="str">
        <f>EXP(-LN(2)/25)*EB66+(1-EXP(-LN(2)/25))/(LN(2)/25)*'Calculateur (1)'!DW67*'Calculateur (1)'!DY67*VLOOKUP('Données projet (1)'!$B$14,'Paramètres (1)'!$A$1:$I$88,3,0)*0.475*44/12</f>
        <v>#REF!</v>
      </c>
      <c r="EC67" s="142" t="str">
        <f>EXP(-LN(2)/2)*EC66+(1-EXP(-LN(2)/2))/(LN(2)/2)*DW67*DZ67*VLOOKUP('Données projet (1)'!$B$14,'Paramètres (1)'!$A$1:$I$88,3,0)*0.475*44/12</f>
        <v>#REF!</v>
      </c>
      <c r="ED67" s="143" t="str">
        <f t="shared" si="65"/>
        <v>#REF!</v>
      </c>
      <c r="EE67" s="139" t="str">
        <f t="shared" si="66"/>
        <v>#REF!</v>
      </c>
      <c r="EF67" s="131">
        <f t="shared" si="67"/>
        <v>10</v>
      </c>
      <c r="EG67" s="131" t="str">
        <f t="shared" si="132"/>
        <v>#REF!</v>
      </c>
      <c r="EH67" s="131" t="str">
        <f t="shared" si="68"/>
        <v>#REF!</v>
      </c>
      <c r="EI67" s="131" t="str">
        <f t="array" ref="EI67">INDEX(EH:EH,MIN(IF(ISNUMBER(EH67:EH263),ROW(EH67:EH263),"")))</f>
        <v/>
      </c>
      <c r="EJ67" s="131" t="str">
        <f t="shared" si="133"/>
        <v>#REF!</v>
      </c>
      <c r="EK67" s="138" t="str">
        <f>EJ67*VLOOKUP('Données projet (1)'!$B$15,'Paramètres (1)'!$A$1:$I$88,3,0)*VLOOKUP('Données projet (1)'!$B$15,'Paramètres (1)'!$A$1:$I$88,5,0)</f>
        <v>#REF!</v>
      </c>
      <c r="EL67" s="130" t="str">
        <f t="shared" si="134"/>
        <v>#REF!</v>
      </c>
      <c r="EM67" s="141" t="str">
        <f t="shared" si="69"/>
        <v>#REF!</v>
      </c>
      <c r="EN67" s="133" t="str">
        <f t="shared" si="70"/>
        <v>#REF!</v>
      </c>
      <c r="EO67" s="133" t="str">
        <f t="shared" si="71"/>
        <v>#REF!</v>
      </c>
      <c r="EP67" s="133" t="str">
        <f t="shared" si="135"/>
        <v>#REF!</v>
      </c>
      <c r="EQ67" s="134" t="str">
        <f t="shared" si="72"/>
        <v>#REF!</v>
      </c>
      <c r="ER67" s="134" t="str">
        <f t="shared" si="73"/>
        <v>#REF!</v>
      </c>
      <c r="ES67" s="135" t="str">
        <f>IF(ISNA(VLOOKUP(A67,'Données projet (1)'!$A$191:$I$211,5,0)),0%,VLOOKUP(A67,'Données projet (1)'!$A$191:$I$211,5,0)*VLOOKUP('Données projet (1)'!$B$15,'Paramètres (1)'!$A$1:$I$88,7,0))</f>
        <v>#REF!</v>
      </c>
      <c r="ET67" s="135" t="str">
        <f>IF(ISNA(VLOOKUP(A67,'Données projet (1)'!$A$191:$I$211,6,0)),0%,VLOOKUP(A67,'Données projet (1)'!$A$191:$I$211,6,0)*VLOOKUP('Données projet (1)'!$B$15,'Paramètres (1)'!$A$1:$I$88,7,0))</f>
        <v>#REF!</v>
      </c>
      <c r="EU67" s="135" t="str">
        <f t="shared" si="74"/>
        <v>#REF!</v>
      </c>
      <c r="EV67" s="142" t="str">
        <f>EXP(-LN(2)/35)*EV66+(1-EXP(-LN(2)/35))/(LN(2)/35)*ER67*ES67*VLOOKUP('Données projet (1)'!$B$15,'Paramètres (1)'!$A$1:$I$88,3,0)*0.475*44/12</f>
        <v>#REF!</v>
      </c>
      <c r="EW67" s="142" t="str">
        <f>EXP(-LN(2)/25)*EW66+(1-EXP(-LN(2)/25))/(LN(2)/25)*'Calculateur (1)'!ER67*'Calculateur (1)'!ET67*VLOOKUP('Données projet (1)'!$B$15,'Paramètres (1)'!$A$1:$I$88,3,0)*0.475*44/12</f>
        <v>#REF!</v>
      </c>
      <c r="EX67" s="142" t="str">
        <f>EXP(-LN(2)/2)*EX66+(1-EXP(-LN(2)/2))/(LN(2)/2)*ER67*EU67*VLOOKUP('Données projet (1)'!$B$15,'Paramètres (1)'!$A$1:$I$88,3,0)*0.475*44/12</f>
        <v>#REF!</v>
      </c>
      <c r="EY67" s="143" t="str">
        <f t="shared" si="75"/>
        <v>#REF!</v>
      </c>
      <c r="EZ67" s="139" t="str">
        <f t="shared" si="76"/>
        <v>#REF!</v>
      </c>
      <c r="FA67" s="131">
        <f t="shared" si="77"/>
        <v>10</v>
      </c>
      <c r="FB67" s="131" t="str">
        <f t="shared" si="136"/>
        <v>#REF!</v>
      </c>
      <c r="FC67" s="131" t="str">
        <f t="shared" si="78"/>
        <v>#REF!</v>
      </c>
      <c r="FD67" s="131" t="str">
        <f t="array" ref="FD67">INDEX(FC:FC,MIN(IF(ISNUMBER(FC67:FC263),ROW(FC67:FC263),"")))</f>
        <v/>
      </c>
      <c r="FE67" s="131" t="str">
        <f t="shared" si="137"/>
        <v>#REF!</v>
      </c>
      <c r="FF67" s="138" t="str">
        <f>FE67*VLOOKUP('Données projet (1)'!$B$16,'Paramètres (1)'!$A$1:$I$88,3,0)*VLOOKUP('Données projet (1)'!$B$16,'Paramètres (1)'!$A$1:$I$88,5,0)</f>
        <v>#REF!</v>
      </c>
      <c r="FG67" s="130" t="str">
        <f t="shared" si="138"/>
        <v>#REF!</v>
      </c>
      <c r="FH67" s="141" t="str">
        <f t="shared" si="79"/>
        <v>#REF!</v>
      </c>
      <c r="FI67" s="133" t="str">
        <f t="shared" si="80"/>
        <v>#REF!</v>
      </c>
      <c r="FJ67" s="133" t="str">
        <f t="shared" si="81"/>
        <v>#REF!</v>
      </c>
      <c r="FK67" s="133" t="str">
        <f t="shared" si="139"/>
        <v>#REF!</v>
      </c>
      <c r="FL67" s="134" t="str">
        <f t="shared" si="82"/>
        <v>#REF!</v>
      </c>
      <c r="FM67" s="134" t="str">
        <f t="shared" si="83"/>
        <v>#REF!</v>
      </c>
      <c r="FN67" s="135" t="str">
        <f>IF(ISNA(VLOOKUP(A67,'Données projet (1)'!$A$217:$I$237,5,0)),0%,VLOOKUP(A67,'Données projet (1)'!$A$217:$I$237,5,0)*VLOOKUP('Données projet (1)'!$B$16,'Paramètres (1)'!$A$1:$I$88,7,0))</f>
        <v>#REF!</v>
      </c>
      <c r="FO67" s="135" t="str">
        <f>IF(ISNA(VLOOKUP(A67,'Données projet (1)'!$A$217:$I$237,6,0)),0%,VLOOKUP(A67,'Données projet (1)'!$A$217:$I$237,6,0)*VLOOKUP('Données projet (1)'!$B$16,'Paramètres (1)'!$A$1:$I$88,7,0))</f>
        <v>#REF!</v>
      </c>
      <c r="FP67" s="135" t="str">
        <f t="shared" si="84"/>
        <v>#REF!</v>
      </c>
      <c r="FQ67" s="142" t="str">
        <f>EXP(-LN(2)/35)*FQ66+(1-EXP(-LN(2)/35))/(LN(2)/35)*FM67*FN67*VLOOKUP('Données projet (1)'!$B$16,'Paramètres (1)'!$A$1:$I$88,3,0)*0.475*44/12</f>
        <v>#REF!</v>
      </c>
      <c r="FR67" s="142" t="str">
        <f>EXP(-LN(2)/25)*FR66+(1-EXP(-LN(2)/25))/(LN(2)/25)*'Calculateur (1)'!FM67*'Calculateur (1)'!FO67*VLOOKUP('Données projet (1)'!$B$16,'Paramètres (1)'!$A$1:$I$88,3,0)*0.475*44/12</f>
        <v>#REF!</v>
      </c>
      <c r="FS67" s="142" t="str">
        <f>EXP(-LN(2)/2)*FS66+(1-EXP(-LN(2)/2))/(LN(2)/2)*FM67*FP67*VLOOKUP('Données projet (1)'!$B$16,'Paramètres (1)'!$A$1:$I$88,3,0)*0.475*44/12</f>
        <v>#REF!</v>
      </c>
      <c r="FT67" s="143" t="str">
        <f t="shared" si="85"/>
        <v>#REF!</v>
      </c>
      <c r="FU67" s="139" t="str">
        <f t="shared" si="86"/>
        <v>#REF!</v>
      </c>
      <c r="FV67" s="131">
        <f t="shared" si="87"/>
        <v>10</v>
      </c>
      <c r="FW67" s="131" t="str">
        <f t="shared" si="140"/>
        <v>#REF!</v>
      </c>
      <c r="FX67" s="131" t="str">
        <f t="shared" si="88"/>
        <v>#REF!</v>
      </c>
      <c r="FY67" s="131" t="str">
        <f t="array" ref="FY67">INDEX(FX:FX,MIN(IF(ISNUMBER(FX67:FX263),ROW(FX67:FX263),"")))</f>
        <v/>
      </c>
      <c r="FZ67" s="131" t="str">
        <f t="shared" si="141"/>
        <v>#REF!</v>
      </c>
      <c r="GA67" s="138" t="str">
        <f>FZ67*VLOOKUP('Données projet (1)'!$B$17,'Paramètres (1)'!$A$1:$I$88,3,0)*VLOOKUP('Données projet (1)'!$B$17,'Paramètres (1)'!$A$1:$I$88,5,0)</f>
        <v>#REF!</v>
      </c>
      <c r="GB67" s="130" t="str">
        <f t="shared" si="142"/>
        <v>#REF!</v>
      </c>
      <c r="GC67" s="141" t="str">
        <f t="shared" si="89"/>
        <v>#REF!</v>
      </c>
      <c r="GD67" s="133" t="str">
        <f t="shared" si="90"/>
        <v>#REF!</v>
      </c>
      <c r="GE67" s="133" t="str">
        <f t="shared" si="91"/>
        <v>#REF!</v>
      </c>
      <c r="GF67" s="133" t="str">
        <f t="shared" si="143"/>
        <v>#REF!</v>
      </c>
      <c r="GG67" s="134" t="str">
        <f t="shared" si="92"/>
        <v>#REF!</v>
      </c>
      <c r="GH67" s="134" t="str">
        <f t="shared" si="93"/>
        <v>#REF!</v>
      </c>
      <c r="GI67" s="135" t="str">
        <f>IF(ISNA(VLOOKUP(A67,'Données projet (1)'!$A$243:$I$263,5,0)),0%,VLOOKUP(A67,'Données projet (1)'!$A$243:$I$263,5,0)*VLOOKUP('Données projet (1)'!$B$17,'Paramètres (1)'!$A$1:$I$88,7,0))</f>
        <v>#REF!</v>
      </c>
      <c r="GJ67" s="135" t="str">
        <f>IF(ISNA(VLOOKUP(A67,'Données projet (1)'!$A$243:$I$263,6,0)),0%,VLOOKUP(A67,'Données projet (1)'!$A$243:$I$263,6,0)*VLOOKUP('Données projet (1)'!$B$17,'Paramètres (1)'!$A$1:$I$88,7,0))</f>
        <v>#REF!</v>
      </c>
      <c r="GK67" s="135" t="str">
        <f t="shared" si="94"/>
        <v>#REF!</v>
      </c>
      <c r="GL67" s="142" t="str">
        <f>EXP(-LN(2)/35)*GL66+(1-EXP(-LN(2)/35))/(LN(2)/35)*GH67*GI67*VLOOKUP('Données projet (1)'!$B$17,'Paramètres (1)'!$A$1:$I$88,3,0)*0.475*44/12</f>
        <v>#REF!</v>
      </c>
      <c r="GM67" s="142" t="str">
        <f>EXP(-LN(2)/25)*GM66+(1-EXP(-LN(2)/25))/(LN(2)/25)*'Calculateur (1)'!GH67*'Calculateur (1)'!GJ67*VLOOKUP('Données projet (1)'!$B$17,'Paramètres (1)'!$A$1:$I$88,3,0)*0.475*44/12</f>
        <v>#REF!</v>
      </c>
      <c r="GN67" s="142" t="str">
        <f>EXP(-LN(2)/2)*GN66+(1-EXP(-LN(2)/2))/(LN(2)/2)*GH67*GK67*VLOOKUP('Données projet (1)'!$B$17,'Paramètres (1)'!$A$1:$I$88,3,0)*0.475*44/12</f>
        <v>#REF!</v>
      </c>
      <c r="GO67" s="142" t="str">
        <f t="shared" si="95"/>
        <v>#REF!</v>
      </c>
      <c r="GP67" s="139" t="str">
        <f t="shared" si="96"/>
        <v>#REF!</v>
      </c>
      <c r="GQ67" s="131">
        <f t="shared" si="97"/>
        <v>10</v>
      </c>
      <c r="GR67" s="131" t="str">
        <f t="shared" si="144"/>
        <v>#REF!</v>
      </c>
      <c r="GS67" s="131" t="str">
        <f t="shared" si="98"/>
        <v>#REF!</v>
      </c>
      <c r="GT67" s="131" t="str">
        <f t="array" ref="GT67">INDEX(GS:GS,MIN(IF(ISNUMBER(GS67:GS263),ROW(GS67:GS263),"")))</f>
        <v/>
      </c>
      <c r="GU67" s="131" t="str">
        <f t="shared" si="145"/>
        <v>#REF!</v>
      </c>
      <c r="GV67" s="138" t="str">
        <f>GU67*VLOOKUP('Données projet (1)'!$B$18,'Paramètres (1)'!$A$1:$I$88,3,0)*VLOOKUP('Données projet (1)'!$B$18,'Paramètres (1)'!$A$1:$I$88,5,0)</f>
        <v>#REF!</v>
      </c>
      <c r="GW67" s="130" t="str">
        <f t="shared" si="146"/>
        <v>#REF!</v>
      </c>
      <c r="GX67" s="141" t="str">
        <f t="shared" si="99"/>
        <v>#REF!</v>
      </c>
      <c r="GY67" s="133" t="str">
        <f t="shared" si="100"/>
        <v>#REF!</v>
      </c>
      <c r="GZ67" s="133" t="str">
        <f t="shared" si="101"/>
        <v>#REF!</v>
      </c>
      <c r="HA67" s="133" t="str">
        <f t="shared" si="147"/>
        <v>#REF!</v>
      </c>
      <c r="HB67" s="134" t="str">
        <f t="shared" si="102"/>
        <v>#REF!</v>
      </c>
      <c r="HC67" s="134" t="str">
        <f t="shared" si="103"/>
        <v>#REF!</v>
      </c>
      <c r="HD67" s="135" t="str">
        <f>IF(ISNA(VLOOKUP(A67,'Données projet (1)'!$A$269:$I$289,5,0)),0%,VLOOKUP(A67,'Données projet (1)'!$A$269:$I$289,5,0)*VLOOKUP('Données projet (1)'!$B$18,'Paramètres (1)'!$A$1:$I$88,7,0))</f>
        <v>#REF!</v>
      </c>
      <c r="HE67" s="135" t="str">
        <f>IF(ISNA(VLOOKUP(A67,'Données projet (1)'!$A$269:$I$289,6,0)),0%,VLOOKUP(A67,'Données projet (1)'!$A$269:$I$289,6,0)*VLOOKUP('Données projet (1)'!$B$18,'Paramètres (1)'!$A$1:$I$88,7,0))</f>
        <v>#REF!</v>
      </c>
      <c r="HF67" s="135" t="str">
        <f t="shared" si="104"/>
        <v>#REF!</v>
      </c>
      <c r="HG67" s="142" t="str">
        <f>EXP(-LN(2)/35)*HG66+(1-EXP(-LN(2)/35))/(LN(2)/35)*HC67*HD67*VLOOKUP('Données projet (1)'!$B$18,'Paramètres (1)'!$A$1:$I$88,3,0)*0.475*44/12</f>
        <v>#REF!</v>
      </c>
      <c r="HH67" s="142" t="str">
        <f>EXP(-LN(2)/25)*HH66+(1-EXP(-LN(2)/25))/(LN(2)/25)*'Calculateur (1)'!HC67*'Calculateur (1)'!HE67*VLOOKUP('Données projet (1)'!$B$18,'Paramètres (1)'!$A$1:$I$88,3,0)*0.475*44/12</f>
        <v>#REF!</v>
      </c>
      <c r="HI67" s="142" t="str">
        <f>EXP(-LN(2)/2)*HI66+(1-EXP(-LN(2)/2))/(LN(2)/2)*HC67*HF67*VLOOKUP('Données projet (1)'!$B$18,'Paramètres (1)'!$A$1:$I$88,3,0)*0.475*44/12</f>
        <v>#REF!</v>
      </c>
      <c r="HJ67" s="143" t="str">
        <f t="shared" si="105"/>
        <v>#REF!</v>
      </c>
    </row>
    <row r="68" ht="14.25" customHeight="1">
      <c r="A68" s="125">
        <f t="shared" si="106"/>
        <v>65</v>
      </c>
      <c r="B68" s="126" t="str">
        <f t="shared" si="1"/>
        <v>#REF!</v>
      </c>
      <c r="C68" s="140" t="str">
        <f>'Calculateur (1)'!C67+'Scénario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8" s="127">
        <f t="shared" si="107"/>
        <v>0</v>
      </c>
      <c r="E68" s="127" t="str">
        <f t="shared" si="2"/>
        <v>#REF!</v>
      </c>
      <c r="F68" s="127" t="str">
        <f t="shared" si="3"/>
        <v>#REF!</v>
      </c>
      <c r="G68" s="127" t="str">
        <f t="shared" si="4"/>
        <v>#REF!</v>
      </c>
      <c r="H68" s="128" t="str">
        <f t="shared" si="5"/>
        <v>#REF!</v>
      </c>
      <c r="I68" s="129" t="str">
        <f t="shared" si="6"/>
        <v>#REF!</v>
      </c>
      <c r="J68" s="130">
        <f t="shared" si="7"/>
        <v>10</v>
      </c>
      <c r="K68" s="131" t="str">
        <f t="shared" si="108"/>
        <v>#REF!</v>
      </c>
      <c r="L68" s="131" t="str">
        <f t="shared" si="8"/>
        <v>#REF!</v>
      </c>
      <c r="M68" s="131" t="str">
        <f t="array" ref="M68">INDEX(L:L,MIN(IF(ISNUMBER(L68:L264),ROW(L68:L264),"")))</f>
        <v/>
      </c>
      <c r="N68" s="130" t="str">
        <f t="shared" si="109"/>
        <v>#REF!</v>
      </c>
      <c r="O68" s="130" t="str">
        <f>N68*VLOOKUP('Données projet (1)'!$B$9,'Paramètres (1)'!$A$1:$I$88,3,0)*VLOOKUP('Données projet (1)'!$B$9,'Paramètres (1)'!$A$1:$I$88,5,0)</f>
        <v>#REF!</v>
      </c>
      <c r="P68" s="130" t="str">
        <f t="shared" si="110"/>
        <v>#REF!</v>
      </c>
      <c r="Q68" s="141" t="str">
        <f t="shared" si="9"/>
        <v>#REF!</v>
      </c>
      <c r="R68" s="133" t="str">
        <f t="shared" si="10"/>
        <v>#REF!</v>
      </c>
      <c r="S68" s="133" t="str">
        <f t="shared" si="11"/>
        <v>#REF!</v>
      </c>
      <c r="T68" s="133" t="str">
        <f t="shared" si="111"/>
        <v>#REF!</v>
      </c>
      <c r="U68" s="134" t="str">
        <f t="shared" si="12"/>
        <v>#REF!</v>
      </c>
      <c r="V68" s="134" t="str">
        <f t="shared" si="13"/>
        <v>#REF!</v>
      </c>
      <c r="W68" s="135" t="str">
        <f>IF(ISNA(VLOOKUP(A68,'Données projet (1)'!$A$35:$I$55,5,0)),0%,VLOOKUP(A68,'Données projet (1)'!$A$35:$I$55,5,0)*VLOOKUP('Données projet (1)'!$B$9,'Paramètres (1)'!$A$1:$I$88,7,0))</f>
        <v>#REF!</v>
      </c>
      <c r="X68" s="135" t="str">
        <f>IF(ISNA(VLOOKUP(A68,'Données projet (1)'!$A$35:$I$55,6,0)),0%,VLOOKUP(A68,'Données projet (1)'!$A$35:$I$55,6,0)*VLOOKUP('Données projet (1)'!$B$9,'Paramètres (1)'!$A$1:$I$88,7,0))</f>
        <v>#REF!</v>
      </c>
      <c r="Y68" s="135" t="str">
        <f t="shared" si="14"/>
        <v>#REF!</v>
      </c>
      <c r="Z68" s="142" t="str">
        <f>EXP(-LN(2)/35)*Z67+(1-EXP(-LN(2)/35))/(LN(2)/35)*V68*W68*VLOOKUP('Données projet (1)'!$B$9,'Paramètres (1)'!$A$1:$I$88,3,0)*0.475*44/12</f>
        <v>#REF!</v>
      </c>
      <c r="AA68" s="142" t="str">
        <f>EXP(-LN(2)/25)*AA67+(1-EXP(-LN(2)/25))/(LN(2)/25)*'Calculateur (1)'!V68*'Calculateur (1)'!X68*VLOOKUP('Données projet (1)'!$B$9,'Paramètres (1)'!$A$1:$I$88,3,0)*0.475*44/12</f>
        <v>#REF!</v>
      </c>
      <c r="AB68" s="142" t="str">
        <f>EXP(-LN(2)/2)*AB67+(1-EXP(-LN(2)/2))/(LN(2)/2)*V68*Y68*VLOOKUP('Données projet (1)'!$B$9,'Paramètres (1)'!$A$1:$I$88,3,0)*0.475*44/12</f>
        <v>#REF!</v>
      </c>
      <c r="AC68" s="143" t="str">
        <f t="shared" si="15"/>
        <v>#REF!</v>
      </c>
      <c r="AD68" s="130" t="str">
        <f t="shared" si="16"/>
        <v>#REF!</v>
      </c>
      <c r="AE68" s="130">
        <f t="shared" si="17"/>
        <v>10</v>
      </c>
      <c r="AF68" s="131" t="str">
        <f t="shared" si="112"/>
        <v>#REF!</v>
      </c>
      <c r="AG68" s="131" t="str">
        <f t="shared" si="18"/>
        <v>#REF!</v>
      </c>
      <c r="AH68" s="131" t="str">
        <f t="array" ref="AH68">INDEX(AG:AG,MIN(IF(ISNUMBER(AG68:AG264),ROW(AG68:AG264),"")))</f>
        <v/>
      </c>
      <c r="AI68" s="130" t="str">
        <f t="shared" si="113"/>
        <v>#REF!</v>
      </c>
      <c r="AJ68" s="130" t="str">
        <f>AI68*VLOOKUP('Données projet (1)'!$B$10,'Paramètres (1)'!$A$1:$I$88,3,0)*VLOOKUP('Données projet (1)'!$B$10,'Paramètres (1)'!$A$1:$I$88,5,0)</f>
        <v>#REF!</v>
      </c>
      <c r="AK68" s="130" t="str">
        <f t="shared" si="114"/>
        <v>#REF!</v>
      </c>
      <c r="AL68" s="141" t="str">
        <f t="shared" si="19"/>
        <v>#REF!</v>
      </c>
      <c r="AM68" s="133" t="str">
        <f t="shared" si="20"/>
        <v>#REF!</v>
      </c>
      <c r="AN68" s="133" t="str">
        <f t="shared" si="21"/>
        <v>#REF!</v>
      </c>
      <c r="AO68" s="133" t="str">
        <f t="shared" si="115"/>
        <v>#REF!</v>
      </c>
      <c r="AP68" s="134" t="str">
        <f t="shared" si="22"/>
        <v>#REF!</v>
      </c>
      <c r="AQ68" s="134" t="str">
        <f t="shared" si="23"/>
        <v>#REF!</v>
      </c>
      <c r="AR68" s="135" t="str">
        <f>IF(ISNA(VLOOKUP(A68,'Données projet (1)'!$A$61:$I$81,5,0)),0%,VLOOKUP(A68,'Données projet (1)'!$A$61:$I$81,5,0)*VLOOKUP('Données projet (1)'!$B$10,'Paramètres (1)'!$A$1:$I$88,7,0))</f>
        <v>#REF!</v>
      </c>
      <c r="AS68" s="135" t="str">
        <f>IF(ISNA(VLOOKUP(A68,'Données projet (1)'!$A$61:$I$81,6,0)),0%,VLOOKUP(A68,'Données projet (1)'!$A$61:$I$81,6,0)*VLOOKUP('Données projet (1)'!$B$10,'Paramètres (1)'!$A$1:$I$88,7,0))</f>
        <v>#REF!</v>
      </c>
      <c r="AT68" s="135" t="str">
        <f t="shared" si="24"/>
        <v>#REF!</v>
      </c>
      <c r="AU68" s="142" t="str">
        <f>EXP(-LN(2)/35)*AU67+(1-EXP(-LN(2)/35))/(LN(2)/35)*AQ68*AR68*VLOOKUP('Données projet (1)'!$B$10,'Paramètres (1)'!$A$1:$I$88,3,0)*0.475*44/12</f>
        <v>#REF!</v>
      </c>
      <c r="AV68" s="142" t="str">
        <f>EXP(-LN(2)/25)*AV67+(1-EXP(-LN(2)/25))/(LN(2)/25)*'Calculateur (1)'!AQ68*'Calculateur (1)'!AS68*VLOOKUP('Données projet (1)'!$B$10,'Paramètres (1)'!$A$1:$I$88,3,0)*0.475*44/12</f>
        <v>#REF!</v>
      </c>
      <c r="AW68" s="142" t="str">
        <f>EXP(-LN(2)/2)*AW67+(1-EXP(-LN(2)/2))/(LN(2)/2)*AQ68*AT68*VLOOKUP('Données projet (1)'!$B$10,'Paramètres (1)'!$A$1:$I$88,3,0)*0.475*44/12</f>
        <v>#REF!</v>
      </c>
      <c r="AX68" s="142" t="str">
        <f t="shared" si="25"/>
        <v>#REF!</v>
      </c>
      <c r="AY68" s="137" t="str">
        <f t="shared" si="26"/>
        <v>#REF!</v>
      </c>
      <c r="AZ68" s="131">
        <f t="shared" si="27"/>
        <v>10</v>
      </c>
      <c r="BA68" s="131" t="str">
        <f t="shared" si="116"/>
        <v>#REF!</v>
      </c>
      <c r="BB68" s="131" t="str">
        <f t="shared" si="28"/>
        <v>#REF!</v>
      </c>
      <c r="BC68" s="131" t="str">
        <f t="array" ref="BC68">INDEX(BB:BB,MIN(IF(ISNUMBER(BB68:BB264),ROW(BB68:BB264),"")))</f>
        <v/>
      </c>
      <c r="BD68" s="131" t="str">
        <f t="shared" si="117"/>
        <v>#REF!</v>
      </c>
      <c r="BE68" s="130" t="str">
        <f>BD68*VLOOKUP('Données projet (1)'!$B$11,'Paramètres (1)'!$A$1:$I$88,3,0)*VLOOKUP('Données projet (1)'!$B$11,'Paramètres (1)'!$A$1:$I$88,5,0)</f>
        <v>#REF!</v>
      </c>
      <c r="BF68" s="130" t="str">
        <f t="shared" si="118"/>
        <v>#REF!</v>
      </c>
      <c r="BG68" s="141" t="str">
        <f t="shared" si="29"/>
        <v>#REF!</v>
      </c>
      <c r="BH68" s="133" t="str">
        <f t="shared" si="30"/>
        <v>#REF!</v>
      </c>
      <c r="BI68" s="133" t="str">
        <f t="shared" si="31"/>
        <v>#REF!</v>
      </c>
      <c r="BJ68" s="133" t="str">
        <f t="shared" si="119"/>
        <v>#REF!</v>
      </c>
      <c r="BK68" s="134" t="str">
        <f t="shared" si="32"/>
        <v>#REF!</v>
      </c>
      <c r="BL68" s="134" t="str">
        <f t="shared" si="33"/>
        <v>#REF!</v>
      </c>
      <c r="BM68" s="135" t="str">
        <f>IF(ISNA(VLOOKUP(A68,'Données projet (1)'!$A$87:$I$107,5,0)),0%,VLOOKUP(A68,'Données projet (1)'!$A$87:$I$107,5,0)*VLOOKUP('Données projet (1)'!$B$11,'Paramètres (1)'!$A$1:$I$88,7,0))</f>
        <v>#REF!</v>
      </c>
      <c r="BN68" s="135" t="str">
        <f>IF(ISNA(VLOOKUP(A68,'Données projet (1)'!$A$87:$I$107,6,0)),0%,VLOOKUP(A68,'Données projet (1)'!$A$87:$I$107,6,0)*VLOOKUP('Données projet (1)'!$B$11,'Paramètres (1)'!$A$1:$I$88,7,0))</f>
        <v>#REF!</v>
      </c>
      <c r="BO68" s="135" t="str">
        <f t="shared" si="34"/>
        <v>#REF!</v>
      </c>
      <c r="BP68" s="142" t="str">
        <f>EXP(-LN(2)/35)*BP67+(1-EXP(-LN(2)/35))/(LN(2)/35)*BL68*BM68*VLOOKUP('Données projet (1)'!$B$11,'Paramètres (1)'!$A$1:$I$88,3,0)*0.475*44/12</f>
        <v>#REF!</v>
      </c>
      <c r="BQ68" s="142" t="str">
        <f>EXP(-LN(2)/25)*BQ67+(1-EXP(-LN(2)/25))/(LN(2)/25)*'Calculateur (1)'!BL68*'Calculateur (1)'!BN68*VLOOKUP('Données projet (1)'!$B$11,'Paramètres (1)'!$A$1:$I$88,3,0)*0.475*44/12</f>
        <v>#REF!</v>
      </c>
      <c r="BR68" s="142" t="str">
        <f>EXP(-LN(2)/2)*BR67+(1-EXP(-LN(2)/2))/(LN(2)/2)*BL68*BO68*VLOOKUP('Données projet (1)'!$B$11,'Paramètres (1)'!$A$1:$I$88,3,0)*0.475*44/12</f>
        <v>#REF!</v>
      </c>
      <c r="BS68" s="143" t="str">
        <f t="shared" si="35"/>
        <v>#REF!</v>
      </c>
      <c r="BT68" s="139" t="str">
        <f t="shared" si="36"/>
        <v>#REF!</v>
      </c>
      <c r="BU68" s="131">
        <f t="shared" si="37"/>
        <v>10</v>
      </c>
      <c r="BV68" s="131" t="str">
        <f t="shared" si="120"/>
        <v>#REF!</v>
      </c>
      <c r="BW68" s="131" t="str">
        <f t="shared" si="38"/>
        <v>#REF!</v>
      </c>
      <c r="BX68" s="131" t="str">
        <f t="array" ref="BX68">INDEX(BW:BW,MIN(IF(ISNUMBER(BW68:BW264),ROW(BW68:BW264),"")))</f>
        <v/>
      </c>
      <c r="BY68" s="131" t="str">
        <f t="shared" si="121"/>
        <v>#REF!</v>
      </c>
      <c r="BZ68" s="130" t="str">
        <f>BY68*VLOOKUP('Données projet (1)'!$B$12,'Paramètres (1)'!$A$1:$I$88,3,0)*VLOOKUP('Données projet (1)'!$B$12,'Paramètres (1)'!$A$1:$I$88,5,0)</f>
        <v>#REF!</v>
      </c>
      <c r="CA68" s="130" t="str">
        <f t="shared" si="122"/>
        <v>#REF!</v>
      </c>
      <c r="CB68" s="141" t="str">
        <f t="shared" si="39"/>
        <v>#REF!</v>
      </c>
      <c r="CC68" s="133" t="str">
        <f t="shared" si="40"/>
        <v>#REF!</v>
      </c>
      <c r="CD68" s="133" t="str">
        <f t="shared" si="41"/>
        <v>#REF!</v>
      </c>
      <c r="CE68" s="133" t="str">
        <f t="shared" si="123"/>
        <v>#REF!</v>
      </c>
      <c r="CF68" s="134" t="str">
        <f t="shared" si="42"/>
        <v>#REF!</v>
      </c>
      <c r="CG68" s="134" t="str">
        <f t="shared" si="43"/>
        <v>#REF!</v>
      </c>
      <c r="CH68" s="135" t="str">
        <f>IF(ISNA(VLOOKUP(A68,'Données projet (1)'!$A$113:$I$133,5,0)),0%,VLOOKUP(A68,'Données projet (1)'!$A$113:$I$133,5,0)*VLOOKUP('Données projet (1)'!$B$12,'Paramètres (1)'!$A$1:$I$88,7,0))</f>
        <v>#REF!</v>
      </c>
      <c r="CI68" s="135" t="str">
        <f>IF(ISNA(VLOOKUP(A68,'Données projet (1)'!$A$113:$I$133,6,0)),0%,VLOOKUP(A68,'Données projet (1)'!$A$113:$I$133,6,0)*VLOOKUP('Données projet (1)'!$B$12,'Paramètres (1)'!$A$1:$I$88,7,0))</f>
        <v>#REF!</v>
      </c>
      <c r="CJ68" s="135" t="str">
        <f t="shared" si="44"/>
        <v>#REF!</v>
      </c>
      <c r="CK68" s="142" t="str">
        <f>EXP(-LN(2)/35)*CK67+(1-EXP(-LN(2)/35))/(LN(2)/35)*CG68*CH68*VLOOKUP('Données projet (1)'!$B$12,'Paramètres (1)'!$A$1:$I$88,3,0)*0.475*44/12</f>
        <v>#REF!</v>
      </c>
      <c r="CL68" s="142" t="str">
        <f>EXP(-LN(2)/25)*CL67+(1-EXP(-LN(2)/25))/(LN(2)/25)*'Calculateur (1)'!CG68*'Calculateur (1)'!CI68*VLOOKUP('Données projet (1)'!$B$12,'Paramètres (1)'!$A$1:$I$88,3,0)*0.475*44/12</f>
        <v>#REF!</v>
      </c>
      <c r="CM68" s="142" t="str">
        <f>EXP(-LN(2)/2)*CM67+(1-EXP(-LN(2)/2))/(LN(2)/2)*CG68*CJ68*VLOOKUP('Données projet (1)'!$B$12,'Paramètres (1)'!$A$1:$I$88,3,0)*0.475*44/12</f>
        <v>#REF!</v>
      </c>
      <c r="CN68" s="143" t="str">
        <f t="shared" si="45"/>
        <v>#REF!</v>
      </c>
      <c r="CO68" s="139" t="str">
        <f t="shared" si="46"/>
        <v>#REF!</v>
      </c>
      <c r="CP68" s="131">
        <f t="shared" si="47"/>
        <v>10</v>
      </c>
      <c r="CQ68" s="131" t="str">
        <f t="shared" si="124"/>
        <v>#REF!</v>
      </c>
      <c r="CR68" s="131" t="str">
        <f t="shared" si="48"/>
        <v>#REF!</v>
      </c>
      <c r="CS68" s="131" t="str">
        <f t="array" ref="CS68">INDEX(CR:CR,MIN(IF(ISNUMBER(CR68:CR264),ROW(CR68:CR264),"")))</f>
        <v/>
      </c>
      <c r="CT68" s="131" t="str">
        <f t="shared" si="125"/>
        <v>#REF!</v>
      </c>
      <c r="CU68" s="138" t="str">
        <f>CT68*VLOOKUP('Données projet (1)'!$B$13,'Paramètres (1)'!$A$1:$I$88,3,0)*VLOOKUP('Données projet (1)'!$B$13,'Paramètres (1)'!$A$1:$I$88,5,0)</f>
        <v>#REF!</v>
      </c>
      <c r="CV68" s="130" t="str">
        <f t="shared" si="126"/>
        <v>#REF!</v>
      </c>
      <c r="CW68" s="141" t="str">
        <f t="shared" si="49"/>
        <v>#REF!</v>
      </c>
      <c r="CX68" s="133" t="str">
        <f t="shared" si="50"/>
        <v>#REF!</v>
      </c>
      <c r="CY68" s="133" t="str">
        <f t="shared" si="51"/>
        <v>#REF!</v>
      </c>
      <c r="CZ68" s="133" t="str">
        <f t="shared" si="127"/>
        <v>#REF!</v>
      </c>
      <c r="DA68" s="134" t="str">
        <f t="shared" si="52"/>
        <v>#REF!</v>
      </c>
      <c r="DB68" s="134" t="str">
        <f t="shared" si="53"/>
        <v>#REF!</v>
      </c>
      <c r="DC68" s="135" t="str">
        <f>IF(ISNA(VLOOKUP(A68,'Données projet (1)'!$A$139:$I$159,5,0)),0%,VLOOKUP(A68,'Données projet (1)'!$A$139:$I$159,5,0)*VLOOKUP('Données projet (1)'!$B$13,'Paramètres (1)'!$A$1:$I$88,7,0))</f>
        <v>#REF!</v>
      </c>
      <c r="DD68" s="135" t="str">
        <f>IF(ISNA(VLOOKUP(A68,'Données projet (1)'!$A$139:$I$159,6,0)),0%,VLOOKUP(A68,'Données projet (1)'!$A$139:$I$159,6,0)*VLOOKUP('Données projet (1)'!$B$13,'Paramètres (1)'!$A$1:$I$88,7,0))</f>
        <v>#REF!</v>
      </c>
      <c r="DE68" s="135" t="str">
        <f t="shared" si="54"/>
        <v>#REF!</v>
      </c>
      <c r="DF68" s="142" t="str">
        <f>EXP(-LN(2)/35)*DF67+(1-EXP(-LN(2)/35))/(LN(2)/35)*DB68*DC68*VLOOKUP('Données projet (1)'!$B$13,'Paramètres (1)'!$A$1:$I$88,3,0)*0.475*44/12</f>
        <v>#REF!</v>
      </c>
      <c r="DG68" s="142" t="str">
        <f>EXP(-LN(2)/25)*DG67+(1-EXP(-LN(2)/25))/(LN(2)/25)*'Calculateur (1)'!DB68*'Calculateur (1)'!DD68*VLOOKUP('Données projet (1)'!$B$13,'Paramètres (1)'!$A$1:$I$88,3,0)*0.475*44/12</f>
        <v>#REF!</v>
      </c>
      <c r="DH68" s="142" t="str">
        <f>EXP(-LN(2)/2)*DH67+(1-EXP(-LN(2)/2))/(LN(2)/2)*DB68*DE68*VLOOKUP('Données projet (1)'!$B$13,'Paramètres (1)'!$A$1:$I$88,3,0)*0.475*44/12</f>
        <v>#REF!</v>
      </c>
      <c r="DI68" s="143" t="str">
        <f t="shared" si="55"/>
        <v>#REF!</v>
      </c>
      <c r="DJ68" s="139" t="str">
        <f t="shared" si="56"/>
        <v>#REF!</v>
      </c>
      <c r="DK68" s="131">
        <f t="shared" si="57"/>
        <v>10</v>
      </c>
      <c r="DL68" s="131" t="str">
        <f t="shared" si="128"/>
        <v>#REF!</v>
      </c>
      <c r="DM68" s="131" t="str">
        <f t="shared" si="58"/>
        <v>#REF!</v>
      </c>
      <c r="DN68" s="131" t="str">
        <f t="array" ref="DN68">INDEX(DM:DM,MIN(IF(ISNUMBER(DM68:DM264),ROW(DM68:DM264),"")))</f>
        <v/>
      </c>
      <c r="DO68" s="131" t="str">
        <f t="shared" si="129"/>
        <v>#REF!</v>
      </c>
      <c r="DP68" s="138" t="str">
        <f>DO68*VLOOKUP('Données projet (1)'!$B$14,'Paramètres (1)'!$A$1:$I$88,3,0)*VLOOKUP('Données projet (1)'!$B$14,'Paramètres (1)'!$A$1:$I$88,5,0)</f>
        <v>#REF!</v>
      </c>
      <c r="DQ68" s="130" t="str">
        <f t="shared" si="130"/>
        <v>#REF!</v>
      </c>
      <c r="DR68" s="141" t="str">
        <f t="shared" si="59"/>
        <v>#REF!</v>
      </c>
      <c r="DS68" s="133" t="str">
        <f t="shared" si="60"/>
        <v>#REF!</v>
      </c>
      <c r="DT68" s="133" t="str">
        <f t="shared" si="61"/>
        <v>#REF!</v>
      </c>
      <c r="DU68" s="133" t="str">
        <f t="shared" si="131"/>
        <v>#REF!</v>
      </c>
      <c r="DV68" s="134" t="str">
        <f t="shared" si="62"/>
        <v>#REF!</v>
      </c>
      <c r="DW68" s="134" t="str">
        <f t="shared" si="63"/>
        <v>#REF!</v>
      </c>
      <c r="DX68" s="135" t="str">
        <f>IF(ISNA(VLOOKUP(A68,'Données projet (1)'!$A$165:$I$185,5,0)),0%,VLOOKUP(A68,'Données projet (1)'!$A$165:$I$185,5,0)*VLOOKUP('Données projet (1)'!$B$14,'Paramètres (1)'!$A$1:$I$88,7,0))</f>
        <v>#REF!</v>
      </c>
      <c r="DY68" s="135" t="str">
        <f>IF(ISNA(VLOOKUP(A68,'Données projet (1)'!$A$165:$I$185,6,0)),0%,VLOOKUP(A68,'Données projet (1)'!$A$165:$I$185,6,0)*VLOOKUP('Données projet (1)'!$B$14,'Paramètres (1)'!$A$1:$I$88,7,0))</f>
        <v>#REF!</v>
      </c>
      <c r="DZ68" s="135" t="str">
        <f t="shared" si="64"/>
        <v>#REF!</v>
      </c>
      <c r="EA68" s="142" t="str">
        <f>EXP(-LN(2)/35)*EA67+(1-EXP(-LN(2)/35))/(LN(2)/35)*DW68*DX68*VLOOKUP('Données projet (1)'!$B$14,'Paramètres (1)'!$A$1:$I$88,3,0)*0.475*44/12</f>
        <v>#REF!</v>
      </c>
      <c r="EB68" s="142" t="str">
        <f>EXP(-LN(2)/25)*EB67+(1-EXP(-LN(2)/25))/(LN(2)/25)*'Calculateur (1)'!DW68*'Calculateur (1)'!DY68*VLOOKUP('Données projet (1)'!$B$14,'Paramètres (1)'!$A$1:$I$88,3,0)*0.475*44/12</f>
        <v>#REF!</v>
      </c>
      <c r="EC68" s="142" t="str">
        <f>EXP(-LN(2)/2)*EC67+(1-EXP(-LN(2)/2))/(LN(2)/2)*DW68*DZ68*VLOOKUP('Données projet (1)'!$B$14,'Paramètres (1)'!$A$1:$I$88,3,0)*0.475*44/12</f>
        <v>#REF!</v>
      </c>
      <c r="ED68" s="143" t="str">
        <f t="shared" si="65"/>
        <v>#REF!</v>
      </c>
      <c r="EE68" s="139" t="str">
        <f t="shared" si="66"/>
        <v>#REF!</v>
      </c>
      <c r="EF68" s="131">
        <f t="shared" si="67"/>
        <v>10</v>
      </c>
      <c r="EG68" s="131" t="str">
        <f t="shared" si="132"/>
        <v>#REF!</v>
      </c>
      <c r="EH68" s="131" t="str">
        <f t="shared" si="68"/>
        <v>#REF!</v>
      </c>
      <c r="EI68" s="131" t="str">
        <f t="array" ref="EI68">INDEX(EH:EH,MIN(IF(ISNUMBER(EH68:EH264),ROW(EH68:EH264),"")))</f>
        <v/>
      </c>
      <c r="EJ68" s="131" t="str">
        <f t="shared" si="133"/>
        <v>#REF!</v>
      </c>
      <c r="EK68" s="138" t="str">
        <f>EJ68*VLOOKUP('Données projet (1)'!$B$15,'Paramètres (1)'!$A$1:$I$88,3,0)*VLOOKUP('Données projet (1)'!$B$15,'Paramètres (1)'!$A$1:$I$88,5,0)</f>
        <v>#REF!</v>
      </c>
      <c r="EL68" s="130" t="str">
        <f t="shared" si="134"/>
        <v>#REF!</v>
      </c>
      <c r="EM68" s="141" t="str">
        <f t="shared" si="69"/>
        <v>#REF!</v>
      </c>
      <c r="EN68" s="133" t="str">
        <f t="shared" si="70"/>
        <v>#REF!</v>
      </c>
      <c r="EO68" s="133" t="str">
        <f t="shared" si="71"/>
        <v>#REF!</v>
      </c>
      <c r="EP68" s="133" t="str">
        <f t="shared" si="135"/>
        <v>#REF!</v>
      </c>
      <c r="EQ68" s="134" t="str">
        <f t="shared" si="72"/>
        <v>#REF!</v>
      </c>
      <c r="ER68" s="134" t="str">
        <f t="shared" si="73"/>
        <v>#REF!</v>
      </c>
      <c r="ES68" s="135" t="str">
        <f>IF(ISNA(VLOOKUP(A68,'Données projet (1)'!$A$191:$I$211,5,0)),0%,VLOOKUP(A68,'Données projet (1)'!$A$191:$I$211,5,0)*VLOOKUP('Données projet (1)'!$B$15,'Paramètres (1)'!$A$1:$I$88,7,0))</f>
        <v>#REF!</v>
      </c>
      <c r="ET68" s="135" t="str">
        <f>IF(ISNA(VLOOKUP(A68,'Données projet (1)'!$A$191:$I$211,6,0)),0%,VLOOKUP(A68,'Données projet (1)'!$A$191:$I$211,6,0)*VLOOKUP('Données projet (1)'!$B$15,'Paramètres (1)'!$A$1:$I$88,7,0))</f>
        <v>#REF!</v>
      </c>
      <c r="EU68" s="135" t="str">
        <f t="shared" si="74"/>
        <v>#REF!</v>
      </c>
      <c r="EV68" s="142" t="str">
        <f>EXP(-LN(2)/35)*EV67+(1-EXP(-LN(2)/35))/(LN(2)/35)*ER68*ES68*VLOOKUP('Données projet (1)'!$B$15,'Paramètres (1)'!$A$1:$I$88,3,0)*0.475*44/12</f>
        <v>#REF!</v>
      </c>
      <c r="EW68" s="142" t="str">
        <f>EXP(-LN(2)/25)*EW67+(1-EXP(-LN(2)/25))/(LN(2)/25)*'Calculateur (1)'!ER68*'Calculateur (1)'!ET68*VLOOKUP('Données projet (1)'!$B$15,'Paramètres (1)'!$A$1:$I$88,3,0)*0.475*44/12</f>
        <v>#REF!</v>
      </c>
      <c r="EX68" s="142" t="str">
        <f>EXP(-LN(2)/2)*EX67+(1-EXP(-LN(2)/2))/(LN(2)/2)*ER68*EU68*VLOOKUP('Données projet (1)'!$B$15,'Paramètres (1)'!$A$1:$I$88,3,0)*0.475*44/12</f>
        <v>#REF!</v>
      </c>
      <c r="EY68" s="143" t="str">
        <f t="shared" si="75"/>
        <v>#REF!</v>
      </c>
      <c r="EZ68" s="139" t="str">
        <f t="shared" si="76"/>
        <v>#REF!</v>
      </c>
      <c r="FA68" s="131">
        <f t="shared" si="77"/>
        <v>10</v>
      </c>
      <c r="FB68" s="131" t="str">
        <f t="shared" si="136"/>
        <v>#REF!</v>
      </c>
      <c r="FC68" s="131" t="str">
        <f t="shared" si="78"/>
        <v>#REF!</v>
      </c>
      <c r="FD68" s="131" t="str">
        <f t="array" ref="FD68">INDEX(FC:FC,MIN(IF(ISNUMBER(FC68:FC264),ROW(FC68:FC264),"")))</f>
        <v/>
      </c>
      <c r="FE68" s="131" t="str">
        <f t="shared" si="137"/>
        <v>#REF!</v>
      </c>
      <c r="FF68" s="138" t="str">
        <f>FE68*VLOOKUP('Données projet (1)'!$B$16,'Paramètres (1)'!$A$1:$I$88,3,0)*VLOOKUP('Données projet (1)'!$B$16,'Paramètres (1)'!$A$1:$I$88,5,0)</f>
        <v>#REF!</v>
      </c>
      <c r="FG68" s="130" t="str">
        <f t="shared" si="138"/>
        <v>#REF!</v>
      </c>
      <c r="FH68" s="141" t="str">
        <f t="shared" si="79"/>
        <v>#REF!</v>
      </c>
      <c r="FI68" s="133" t="str">
        <f t="shared" si="80"/>
        <v>#REF!</v>
      </c>
      <c r="FJ68" s="133" t="str">
        <f t="shared" si="81"/>
        <v>#REF!</v>
      </c>
      <c r="FK68" s="133" t="str">
        <f t="shared" si="139"/>
        <v>#REF!</v>
      </c>
      <c r="FL68" s="134" t="str">
        <f t="shared" si="82"/>
        <v>#REF!</v>
      </c>
      <c r="FM68" s="134" t="str">
        <f t="shared" si="83"/>
        <v>#REF!</v>
      </c>
      <c r="FN68" s="135" t="str">
        <f>IF(ISNA(VLOOKUP(A68,'Données projet (1)'!$A$217:$I$237,5,0)),0%,VLOOKUP(A68,'Données projet (1)'!$A$217:$I$237,5,0)*VLOOKUP('Données projet (1)'!$B$16,'Paramètres (1)'!$A$1:$I$88,7,0))</f>
        <v>#REF!</v>
      </c>
      <c r="FO68" s="135" t="str">
        <f>IF(ISNA(VLOOKUP(A68,'Données projet (1)'!$A$217:$I$237,6,0)),0%,VLOOKUP(A68,'Données projet (1)'!$A$217:$I$237,6,0)*VLOOKUP('Données projet (1)'!$B$16,'Paramètres (1)'!$A$1:$I$88,7,0))</f>
        <v>#REF!</v>
      </c>
      <c r="FP68" s="135" t="str">
        <f t="shared" si="84"/>
        <v>#REF!</v>
      </c>
      <c r="FQ68" s="142" t="str">
        <f>EXP(-LN(2)/35)*FQ67+(1-EXP(-LN(2)/35))/(LN(2)/35)*FM68*FN68*VLOOKUP('Données projet (1)'!$B$16,'Paramètres (1)'!$A$1:$I$88,3,0)*0.475*44/12</f>
        <v>#REF!</v>
      </c>
      <c r="FR68" s="142" t="str">
        <f>EXP(-LN(2)/25)*FR67+(1-EXP(-LN(2)/25))/(LN(2)/25)*'Calculateur (1)'!FM68*'Calculateur (1)'!FO68*VLOOKUP('Données projet (1)'!$B$16,'Paramètres (1)'!$A$1:$I$88,3,0)*0.475*44/12</f>
        <v>#REF!</v>
      </c>
      <c r="FS68" s="142" t="str">
        <f>EXP(-LN(2)/2)*FS67+(1-EXP(-LN(2)/2))/(LN(2)/2)*FM68*FP68*VLOOKUP('Données projet (1)'!$B$16,'Paramètres (1)'!$A$1:$I$88,3,0)*0.475*44/12</f>
        <v>#REF!</v>
      </c>
      <c r="FT68" s="143" t="str">
        <f t="shared" si="85"/>
        <v>#REF!</v>
      </c>
      <c r="FU68" s="139" t="str">
        <f t="shared" si="86"/>
        <v>#REF!</v>
      </c>
      <c r="FV68" s="131">
        <f t="shared" si="87"/>
        <v>10</v>
      </c>
      <c r="FW68" s="131" t="str">
        <f t="shared" si="140"/>
        <v>#REF!</v>
      </c>
      <c r="FX68" s="131" t="str">
        <f t="shared" si="88"/>
        <v>#REF!</v>
      </c>
      <c r="FY68" s="131" t="str">
        <f t="array" ref="FY68">INDEX(FX:FX,MIN(IF(ISNUMBER(FX68:FX264),ROW(FX68:FX264),"")))</f>
        <v/>
      </c>
      <c r="FZ68" s="131" t="str">
        <f t="shared" si="141"/>
        <v>#REF!</v>
      </c>
      <c r="GA68" s="138" t="str">
        <f>FZ68*VLOOKUP('Données projet (1)'!$B$17,'Paramètres (1)'!$A$1:$I$88,3,0)*VLOOKUP('Données projet (1)'!$B$17,'Paramètres (1)'!$A$1:$I$88,5,0)</f>
        <v>#REF!</v>
      </c>
      <c r="GB68" s="130" t="str">
        <f t="shared" si="142"/>
        <v>#REF!</v>
      </c>
      <c r="GC68" s="141" t="str">
        <f t="shared" si="89"/>
        <v>#REF!</v>
      </c>
      <c r="GD68" s="133" t="str">
        <f t="shared" si="90"/>
        <v>#REF!</v>
      </c>
      <c r="GE68" s="133" t="str">
        <f t="shared" si="91"/>
        <v>#REF!</v>
      </c>
      <c r="GF68" s="133" t="str">
        <f t="shared" si="143"/>
        <v>#REF!</v>
      </c>
      <c r="GG68" s="134" t="str">
        <f t="shared" si="92"/>
        <v>#REF!</v>
      </c>
      <c r="GH68" s="134" t="str">
        <f t="shared" si="93"/>
        <v>#REF!</v>
      </c>
      <c r="GI68" s="135" t="str">
        <f>IF(ISNA(VLOOKUP(A68,'Données projet (1)'!$A$243:$I$263,5,0)),0%,VLOOKUP(A68,'Données projet (1)'!$A$243:$I$263,5,0)*VLOOKUP('Données projet (1)'!$B$17,'Paramètres (1)'!$A$1:$I$88,7,0))</f>
        <v>#REF!</v>
      </c>
      <c r="GJ68" s="135" t="str">
        <f>IF(ISNA(VLOOKUP(A68,'Données projet (1)'!$A$243:$I$263,6,0)),0%,VLOOKUP(A68,'Données projet (1)'!$A$243:$I$263,6,0)*VLOOKUP('Données projet (1)'!$B$17,'Paramètres (1)'!$A$1:$I$88,7,0))</f>
        <v>#REF!</v>
      </c>
      <c r="GK68" s="135" t="str">
        <f t="shared" si="94"/>
        <v>#REF!</v>
      </c>
      <c r="GL68" s="142" t="str">
        <f>EXP(-LN(2)/35)*GL67+(1-EXP(-LN(2)/35))/(LN(2)/35)*GH68*GI68*VLOOKUP('Données projet (1)'!$B$17,'Paramètres (1)'!$A$1:$I$88,3,0)*0.475*44/12</f>
        <v>#REF!</v>
      </c>
      <c r="GM68" s="142" t="str">
        <f>EXP(-LN(2)/25)*GM67+(1-EXP(-LN(2)/25))/(LN(2)/25)*'Calculateur (1)'!GH68*'Calculateur (1)'!GJ68*VLOOKUP('Données projet (1)'!$B$17,'Paramètres (1)'!$A$1:$I$88,3,0)*0.475*44/12</f>
        <v>#REF!</v>
      </c>
      <c r="GN68" s="142" t="str">
        <f>EXP(-LN(2)/2)*GN67+(1-EXP(-LN(2)/2))/(LN(2)/2)*GH68*GK68*VLOOKUP('Données projet (1)'!$B$17,'Paramètres (1)'!$A$1:$I$88,3,0)*0.475*44/12</f>
        <v>#REF!</v>
      </c>
      <c r="GO68" s="142" t="str">
        <f t="shared" si="95"/>
        <v>#REF!</v>
      </c>
      <c r="GP68" s="139" t="str">
        <f t="shared" si="96"/>
        <v>#REF!</v>
      </c>
      <c r="GQ68" s="131">
        <f t="shared" si="97"/>
        <v>10</v>
      </c>
      <c r="GR68" s="131" t="str">
        <f t="shared" si="144"/>
        <v>#REF!</v>
      </c>
      <c r="GS68" s="131" t="str">
        <f t="shared" si="98"/>
        <v>#REF!</v>
      </c>
      <c r="GT68" s="131" t="str">
        <f t="array" ref="GT68">INDEX(GS:GS,MIN(IF(ISNUMBER(GS68:GS264),ROW(GS68:GS264),"")))</f>
        <v/>
      </c>
      <c r="GU68" s="131" t="str">
        <f t="shared" si="145"/>
        <v>#REF!</v>
      </c>
      <c r="GV68" s="138" t="str">
        <f>GU68*VLOOKUP('Données projet (1)'!$B$18,'Paramètres (1)'!$A$1:$I$88,3,0)*VLOOKUP('Données projet (1)'!$B$18,'Paramètres (1)'!$A$1:$I$88,5,0)</f>
        <v>#REF!</v>
      </c>
      <c r="GW68" s="130" t="str">
        <f t="shared" si="146"/>
        <v>#REF!</v>
      </c>
      <c r="GX68" s="141" t="str">
        <f t="shared" si="99"/>
        <v>#REF!</v>
      </c>
      <c r="GY68" s="133" t="str">
        <f t="shared" si="100"/>
        <v>#REF!</v>
      </c>
      <c r="GZ68" s="133" t="str">
        <f t="shared" si="101"/>
        <v>#REF!</v>
      </c>
      <c r="HA68" s="133" t="str">
        <f t="shared" si="147"/>
        <v>#REF!</v>
      </c>
      <c r="HB68" s="134" t="str">
        <f t="shared" si="102"/>
        <v>#REF!</v>
      </c>
      <c r="HC68" s="134" t="str">
        <f t="shared" si="103"/>
        <v>#REF!</v>
      </c>
      <c r="HD68" s="135" t="str">
        <f>IF(ISNA(VLOOKUP(A68,'Données projet (1)'!$A$269:$I$289,5,0)),0%,VLOOKUP(A68,'Données projet (1)'!$A$269:$I$289,5,0)*VLOOKUP('Données projet (1)'!$B$18,'Paramètres (1)'!$A$1:$I$88,7,0))</f>
        <v>#REF!</v>
      </c>
      <c r="HE68" s="135" t="str">
        <f>IF(ISNA(VLOOKUP(A68,'Données projet (1)'!$A$269:$I$289,6,0)),0%,VLOOKUP(A68,'Données projet (1)'!$A$269:$I$289,6,0)*VLOOKUP('Données projet (1)'!$B$18,'Paramètres (1)'!$A$1:$I$88,7,0))</f>
        <v>#REF!</v>
      </c>
      <c r="HF68" s="135" t="str">
        <f t="shared" si="104"/>
        <v>#REF!</v>
      </c>
      <c r="HG68" s="142" t="str">
        <f>EXP(-LN(2)/35)*HG67+(1-EXP(-LN(2)/35))/(LN(2)/35)*HC68*HD68*VLOOKUP('Données projet (1)'!$B$18,'Paramètres (1)'!$A$1:$I$88,3,0)*0.475*44/12</f>
        <v>#REF!</v>
      </c>
      <c r="HH68" s="142" t="str">
        <f>EXP(-LN(2)/25)*HH67+(1-EXP(-LN(2)/25))/(LN(2)/25)*'Calculateur (1)'!HC68*'Calculateur (1)'!HE68*VLOOKUP('Données projet (1)'!$B$18,'Paramètres (1)'!$A$1:$I$88,3,0)*0.475*44/12</f>
        <v>#REF!</v>
      </c>
      <c r="HI68" s="142" t="str">
        <f>EXP(-LN(2)/2)*HI67+(1-EXP(-LN(2)/2))/(LN(2)/2)*HC68*HF68*VLOOKUP('Données projet (1)'!$B$18,'Paramètres (1)'!$A$1:$I$88,3,0)*0.475*44/12</f>
        <v>#REF!</v>
      </c>
      <c r="HJ68" s="143" t="str">
        <f t="shared" si="105"/>
        <v>#REF!</v>
      </c>
    </row>
    <row r="69" ht="14.25" customHeight="1">
      <c r="A69" s="125">
        <f t="shared" si="106"/>
        <v>66</v>
      </c>
      <c r="B69" s="126" t="str">
        <f t="shared" si="1"/>
        <v>#REF!</v>
      </c>
      <c r="C69" s="140" t="str">
        <f>'Calculateur (1)'!C68+'Scénario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9" s="127">
        <f t="shared" si="107"/>
        <v>0</v>
      </c>
      <c r="E69" s="127" t="str">
        <f t="shared" si="2"/>
        <v>#REF!</v>
      </c>
      <c r="F69" s="127" t="str">
        <f t="shared" si="3"/>
        <v>#REF!</v>
      </c>
      <c r="G69" s="127" t="str">
        <f t="shared" si="4"/>
        <v>#REF!</v>
      </c>
      <c r="H69" s="128" t="str">
        <f t="shared" si="5"/>
        <v>#REF!</v>
      </c>
      <c r="I69" s="129" t="str">
        <f t="shared" si="6"/>
        <v>#REF!</v>
      </c>
      <c r="J69" s="130">
        <f t="shared" si="7"/>
        <v>10</v>
      </c>
      <c r="K69" s="131" t="str">
        <f t="shared" si="108"/>
        <v>#REF!</v>
      </c>
      <c r="L69" s="131" t="str">
        <f t="shared" si="8"/>
        <v>#REF!</v>
      </c>
      <c r="M69" s="131" t="str">
        <f t="array" ref="M69">INDEX(L:L,MIN(IF(ISNUMBER(L69:L265),ROW(L69:L265),"")))</f>
        <v/>
      </c>
      <c r="N69" s="130" t="str">
        <f t="shared" si="109"/>
        <v>#REF!</v>
      </c>
      <c r="O69" s="130" t="str">
        <f>N69*VLOOKUP('Données projet (1)'!$B$9,'Paramètres (1)'!$A$1:$I$88,3,0)*VLOOKUP('Données projet (1)'!$B$9,'Paramètres (1)'!$A$1:$I$88,5,0)</f>
        <v>#REF!</v>
      </c>
      <c r="P69" s="130" t="str">
        <f t="shared" si="110"/>
        <v>#REF!</v>
      </c>
      <c r="Q69" s="141" t="str">
        <f t="shared" si="9"/>
        <v>#REF!</v>
      </c>
      <c r="R69" s="133" t="str">
        <f t="shared" si="10"/>
        <v>#REF!</v>
      </c>
      <c r="S69" s="133" t="str">
        <f t="shared" si="11"/>
        <v>#REF!</v>
      </c>
      <c r="T69" s="133" t="str">
        <f t="shared" si="111"/>
        <v>#REF!</v>
      </c>
      <c r="U69" s="134" t="str">
        <f t="shared" si="12"/>
        <v>#REF!</v>
      </c>
      <c r="V69" s="134" t="str">
        <f t="shared" si="13"/>
        <v>#REF!</v>
      </c>
      <c r="W69" s="135" t="str">
        <f>IF(ISNA(VLOOKUP(A69,'Données projet (1)'!$A$35:$I$55,5,0)),0%,VLOOKUP(A69,'Données projet (1)'!$A$35:$I$55,5,0)*VLOOKUP('Données projet (1)'!$B$9,'Paramètres (1)'!$A$1:$I$88,7,0))</f>
        <v>#REF!</v>
      </c>
      <c r="X69" s="135" t="str">
        <f>IF(ISNA(VLOOKUP(A69,'Données projet (1)'!$A$35:$I$55,6,0)),0%,VLOOKUP(A69,'Données projet (1)'!$A$35:$I$55,6,0)*VLOOKUP('Données projet (1)'!$B$9,'Paramètres (1)'!$A$1:$I$88,7,0))</f>
        <v>#REF!</v>
      </c>
      <c r="Y69" s="135" t="str">
        <f t="shared" si="14"/>
        <v>#REF!</v>
      </c>
      <c r="Z69" s="142" t="str">
        <f>EXP(-LN(2)/35)*Z68+(1-EXP(-LN(2)/35))/(LN(2)/35)*V69*W69*VLOOKUP('Données projet (1)'!$B$9,'Paramètres (1)'!$A$1:$I$88,3,0)*0.475*44/12</f>
        <v>#REF!</v>
      </c>
      <c r="AA69" s="142" t="str">
        <f>EXP(-LN(2)/25)*AA68+(1-EXP(-LN(2)/25))/(LN(2)/25)*'Calculateur (1)'!V69*'Calculateur (1)'!X69*VLOOKUP('Données projet (1)'!$B$9,'Paramètres (1)'!$A$1:$I$88,3,0)*0.475*44/12</f>
        <v>#REF!</v>
      </c>
      <c r="AB69" s="142" t="str">
        <f>EXP(-LN(2)/2)*AB68+(1-EXP(-LN(2)/2))/(LN(2)/2)*V69*Y69*VLOOKUP('Données projet (1)'!$B$9,'Paramètres (1)'!$A$1:$I$88,3,0)*0.475*44/12</f>
        <v>#REF!</v>
      </c>
      <c r="AC69" s="143" t="str">
        <f t="shared" si="15"/>
        <v>#REF!</v>
      </c>
      <c r="AD69" s="130" t="str">
        <f t="shared" si="16"/>
        <v>#REF!</v>
      </c>
      <c r="AE69" s="130">
        <f t="shared" si="17"/>
        <v>10</v>
      </c>
      <c r="AF69" s="131" t="str">
        <f t="shared" si="112"/>
        <v>#REF!</v>
      </c>
      <c r="AG69" s="131" t="str">
        <f t="shared" si="18"/>
        <v>#REF!</v>
      </c>
      <c r="AH69" s="131" t="str">
        <f t="array" ref="AH69">INDEX(AG:AG,MIN(IF(ISNUMBER(AG69:AG265),ROW(AG69:AG265),"")))</f>
        <v/>
      </c>
      <c r="AI69" s="130" t="str">
        <f t="shared" si="113"/>
        <v>#REF!</v>
      </c>
      <c r="AJ69" s="130" t="str">
        <f>AI69*VLOOKUP('Données projet (1)'!$B$10,'Paramètres (1)'!$A$1:$I$88,3,0)*VLOOKUP('Données projet (1)'!$B$10,'Paramètres (1)'!$A$1:$I$88,5,0)</f>
        <v>#REF!</v>
      </c>
      <c r="AK69" s="130" t="str">
        <f t="shared" si="114"/>
        <v>#REF!</v>
      </c>
      <c r="AL69" s="141" t="str">
        <f t="shared" si="19"/>
        <v>#REF!</v>
      </c>
      <c r="AM69" s="133" t="str">
        <f t="shared" si="20"/>
        <v>#REF!</v>
      </c>
      <c r="AN69" s="133" t="str">
        <f t="shared" si="21"/>
        <v>#REF!</v>
      </c>
      <c r="AO69" s="133" t="str">
        <f t="shared" si="115"/>
        <v>#REF!</v>
      </c>
      <c r="AP69" s="134" t="str">
        <f t="shared" si="22"/>
        <v>#REF!</v>
      </c>
      <c r="AQ69" s="134" t="str">
        <f t="shared" si="23"/>
        <v>#REF!</v>
      </c>
      <c r="AR69" s="135" t="str">
        <f>IF(ISNA(VLOOKUP(A69,'Données projet (1)'!$A$61:$I$81,5,0)),0%,VLOOKUP(A69,'Données projet (1)'!$A$61:$I$81,5,0)*VLOOKUP('Données projet (1)'!$B$10,'Paramètres (1)'!$A$1:$I$88,7,0))</f>
        <v>#REF!</v>
      </c>
      <c r="AS69" s="135" t="str">
        <f>IF(ISNA(VLOOKUP(A69,'Données projet (1)'!$A$61:$I$81,6,0)),0%,VLOOKUP(A69,'Données projet (1)'!$A$61:$I$81,6,0)*VLOOKUP('Données projet (1)'!$B$10,'Paramètres (1)'!$A$1:$I$88,7,0))</f>
        <v>#REF!</v>
      </c>
      <c r="AT69" s="135" t="str">
        <f t="shared" si="24"/>
        <v>#REF!</v>
      </c>
      <c r="AU69" s="142" t="str">
        <f>EXP(-LN(2)/35)*AU68+(1-EXP(-LN(2)/35))/(LN(2)/35)*AQ69*AR69*VLOOKUP('Données projet (1)'!$B$10,'Paramètres (1)'!$A$1:$I$88,3,0)*0.475*44/12</f>
        <v>#REF!</v>
      </c>
      <c r="AV69" s="142" t="str">
        <f>EXP(-LN(2)/25)*AV68+(1-EXP(-LN(2)/25))/(LN(2)/25)*'Calculateur (1)'!AQ69*'Calculateur (1)'!AS69*VLOOKUP('Données projet (1)'!$B$10,'Paramètres (1)'!$A$1:$I$88,3,0)*0.475*44/12</f>
        <v>#REF!</v>
      </c>
      <c r="AW69" s="142" t="str">
        <f>EXP(-LN(2)/2)*AW68+(1-EXP(-LN(2)/2))/(LN(2)/2)*AQ69*AT69*VLOOKUP('Données projet (1)'!$B$10,'Paramètres (1)'!$A$1:$I$88,3,0)*0.475*44/12</f>
        <v>#REF!</v>
      </c>
      <c r="AX69" s="142" t="str">
        <f t="shared" si="25"/>
        <v>#REF!</v>
      </c>
      <c r="AY69" s="137" t="str">
        <f t="shared" si="26"/>
        <v>#REF!</v>
      </c>
      <c r="AZ69" s="131">
        <f t="shared" si="27"/>
        <v>10</v>
      </c>
      <c r="BA69" s="131" t="str">
        <f t="shared" si="116"/>
        <v>#REF!</v>
      </c>
      <c r="BB69" s="131" t="str">
        <f t="shared" si="28"/>
        <v>#REF!</v>
      </c>
      <c r="BC69" s="131" t="str">
        <f t="array" ref="BC69">INDEX(BB:BB,MIN(IF(ISNUMBER(BB69:BB265),ROW(BB69:BB265),"")))</f>
        <v/>
      </c>
      <c r="BD69" s="131" t="str">
        <f t="shared" si="117"/>
        <v>#REF!</v>
      </c>
      <c r="BE69" s="130" t="str">
        <f>BD69*VLOOKUP('Données projet (1)'!$B$11,'Paramètres (1)'!$A$1:$I$88,3,0)*VLOOKUP('Données projet (1)'!$B$11,'Paramètres (1)'!$A$1:$I$88,5,0)</f>
        <v>#REF!</v>
      </c>
      <c r="BF69" s="130" t="str">
        <f t="shared" si="118"/>
        <v>#REF!</v>
      </c>
      <c r="BG69" s="141" t="str">
        <f t="shared" si="29"/>
        <v>#REF!</v>
      </c>
      <c r="BH69" s="133" t="str">
        <f t="shared" si="30"/>
        <v>#REF!</v>
      </c>
      <c r="BI69" s="133" t="str">
        <f t="shared" si="31"/>
        <v>#REF!</v>
      </c>
      <c r="BJ69" s="133" t="str">
        <f t="shared" si="119"/>
        <v>#REF!</v>
      </c>
      <c r="BK69" s="134" t="str">
        <f t="shared" si="32"/>
        <v>#REF!</v>
      </c>
      <c r="BL69" s="134" t="str">
        <f t="shared" si="33"/>
        <v>#REF!</v>
      </c>
      <c r="BM69" s="135" t="str">
        <f>IF(ISNA(VLOOKUP(A69,'Données projet (1)'!$A$87:$I$107,5,0)),0%,VLOOKUP(A69,'Données projet (1)'!$A$87:$I$107,5,0)*VLOOKUP('Données projet (1)'!$B$11,'Paramètres (1)'!$A$1:$I$88,7,0))</f>
        <v>#REF!</v>
      </c>
      <c r="BN69" s="135" t="str">
        <f>IF(ISNA(VLOOKUP(A69,'Données projet (1)'!$A$87:$I$107,6,0)),0%,VLOOKUP(A69,'Données projet (1)'!$A$87:$I$107,6,0)*VLOOKUP('Données projet (1)'!$B$11,'Paramètres (1)'!$A$1:$I$88,7,0))</f>
        <v>#REF!</v>
      </c>
      <c r="BO69" s="135" t="str">
        <f t="shared" si="34"/>
        <v>#REF!</v>
      </c>
      <c r="BP69" s="142" t="str">
        <f>EXP(-LN(2)/35)*BP68+(1-EXP(-LN(2)/35))/(LN(2)/35)*BL69*BM69*VLOOKUP('Données projet (1)'!$B$11,'Paramètres (1)'!$A$1:$I$88,3,0)*0.475*44/12</f>
        <v>#REF!</v>
      </c>
      <c r="BQ69" s="142" t="str">
        <f>EXP(-LN(2)/25)*BQ68+(1-EXP(-LN(2)/25))/(LN(2)/25)*'Calculateur (1)'!BL69*'Calculateur (1)'!BN69*VLOOKUP('Données projet (1)'!$B$11,'Paramètres (1)'!$A$1:$I$88,3,0)*0.475*44/12</f>
        <v>#REF!</v>
      </c>
      <c r="BR69" s="142" t="str">
        <f>EXP(-LN(2)/2)*BR68+(1-EXP(-LN(2)/2))/(LN(2)/2)*BL69*BO69*VLOOKUP('Données projet (1)'!$B$11,'Paramètres (1)'!$A$1:$I$88,3,0)*0.475*44/12</f>
        <v>#REF!</v>
      </c>
      <c r="BS69" s="143" t="str">
        <f t="shared" si="35"/>
        <v>#REF!</v>
      </c>
      <c r="BT69" s="139" t="str">
        <f t="shared" si="36"/>
        <v>#REF!</v>
      </c>
      <c r="BU69" s="131">
        <f t="shared" si="37"/>
        <v>10</v>
      </c>
      <c r="BV69" s="131" t="str">
        <f t="shared" si="120"/>
        <v>#REF!</v>
      </c>
      <c r="BW69" s="131" t="str">
        <f t="shared" si="38"/>
        <v>#REF!</v>
      </c>
      <c r="BX69" s="131" t="str">
        <f t="array" ref="BX69">INDEX(BW:BW,MIN(IF(ISNUMBER(BW69:BW265),ROW(BW69:BW265),"")))</f>
        <v/>
      </c>
      <c r="BY69" s="131" t="str">
        <f t="shared" si="121"/>
        <v>#REF!</v>
      </c>
      <c r="BZ69" s="130" t="str">
        <f>BY69*VLOOKUP('Données projet (1)'!$B$12,'Paramètres (1)'!$A$1:$I$88,3,0)*VLOOKUP('Données projet (1)'!$B$12,'Paramètres (1)'!$A$1:$I$88,5,0)</f>
        <v>#REF!</v>
      </c>
      <c r="CA69" s="130" t="str">
        <f t="shared" si="122"/>
        <v>#REF!</v>
      </c>
      <c r="CB69" s="141" t="str">
        <f t="shared" si="39"/>
        <v>#REF!</v>
      </c>
      <c r="CC69" s="133" t="str">
        <f t="shared" si="40"/>
        <v>#REF!</v>
      </c>
      <c r="CD69" s="133" t="str">
        <f t="shared" si="41"/>
        <v>#REF!</v>
      </c>
      <c r="CE69" s="133" t="str">
        <f t="shared" si="123"/>
        <v>#REF!</v>
      </c>
      <c r="CF69" s="134" t="str">
        <f t="shared" si="42"/>
        <v>#REF!</v>
      </c>
      <c r="CG69" s="134" t="str">
        <f t="shared" si="43"/>
        <v>#REF!</v>
      </c>
      <c r="CH69" s="135" t="str">
        <f>IF(ISNA(VLOOKUP(A69,'Données projet (1)'!$A$113:$I$133,5,0)),0%,VLOOKUP(A69,'Données projet (1)'!$A$113:$I$133,5,0)*VLOOKUP('Données projet (1)'!$B$12,'Paramètres (1)'!$A$1:$I$88,7,0))</f>
        <v>#REF!</v>
      </c>
      <c r="CI69" s="135" t="str">
        <f>IF(ISNA(VLOOKUP(A69,'Données projet (1)'!$A$113:$I$133,6,0)),0%,VLOOKUP(A69,'Données projet (1)'!$A$113:$I$133,6,0)*VLOOKUP('Données projet (1)'!$B$12,'Paramètres (1)'!$A$1:$I$88,7,0))</f>
        <v>#REF!</v>
      </c>
      <c r="CJ69" s="135" t="str">
        <f t="shared" si="44"/>
        <v>#REF!</v>
      </c>
      <c r="CK69" s="142" t="str">
        <f>EXP(-LN(2)/35)*CK68+(1-EXP(-LN(2)/35))/(LN(2)/35)*CG69*CH69*VLOOKUP('Données projet (1)'!$B$12,'Paramètres (1)'!$A$1:$I$88,3,0)*0.475*44/12</f>
        <v>#REF!</v>
      </c>
      <c r="CL69" s="142" t="str">
        <f>EXP(-LN(2)/25)*CL68+(1-EXP(-LN(2)/25))/(LN(2)/25)*'Calculateur (1)'!CG69*'Calculateur (1)'!CI69*VLOOKUP('Données projet (1)'!$B$12,'Paramètres (1)'!$A$1:$I$88,3,0)*0.475*44/12</f>
        <v>#REF!</v>
      </c>
      <c r="CM69" s="142" t="str">
        <f>EXP(-LN(2)/2)*CM68+(1-EXP(-LN(2)/2))/(LN(2)/2)*CG69*CJ69*VLOOKUP('Données projet (1)'!$B$12,'Paramètres (1)'!$A$1:$I$88,3,0)*0.475*44/12</f>
        <v>#REF!</v>
      </c>
      <c r="CN69" s="143" t="str">
        <f t="shared" si="45"/>
        <v>#REF!</v>
      </c>
      <c r="CO69" s="139" t="str">
        <f t="shared" si="46"/>
        <v>#REF!</v>
      </c>
      <c r="CP69" s="131">
        <f t="shared" si="47"/>
        <v>10</v>
      </c>
      <c r="CQ69" s="131" t="str">
        <f t="shared" si="124"/>
        <v>#REF!</v>
      </c>
      <c r="CR69" s="131" t="str">
        <f t="shared" si="48"/>
        <v>#REF!</v>
      </c>
      <c r="CS69" s="131" t="str">
        <f t="array" ref="CS69">INDEX(CR:CR,MIN(IF(ISNUMBER(CR69:CR265),ROW(CR69:CR265),"")))</f>
        <v/>
      </c>
      <c r="CT69" s="131" t="str">
        <f t="shared" si="125"/>
        <v>#REF!</v>
      </c>
      <c r="CU69" s="138" t="str">
        <f>CT69*VLOOKUP('Données projet (1)'!$B$13,'Paramètres (1)'!$A$1:$I$88,3,0)*VLOOKUP('Données projet (1)'!$B$13,'Paramètres (1)'!$A$1:$I$88,5,0)</f>
        <v>#REF!</v>
      </c>
      <c r="CV69" s="130" t="str">
        <f t="shared" si="126"/>
        <v>#REF!</v>
      </c>
      <c r="CW69" s="141" t="str">
        <f t="shared" si="49"/>
        <v>#REF!</v>
      </c>
      <c r="CX69" s="133" t="str">
        <f t="shared" si="50"/>
        <v>#REF!</v>
      </c>
      <c r="CY69" s="133" t="str">
        <f t="shared" si="51"/>
        <v>#REF!</v>
      </c>
      <c r="CZ69" s="133" t="str">
        <f t="shared" si="127"/>
        <v>#REF!</v>
      </c>
      <c r="DA69" s="134" t="str">
        <f t="shared" si="52"/>
        <v>#REF!</v>
      </c>
      <c r="DB69" s="134" t="str">
        <f t="shared" si="53"/>
        <v>#REF!</v>
      </c>
      <c r="DC69" s="135" t="str">
        <f>IF(ISNA(VLOOKUP(A69,'Données projet (1)'!$A$139:$I$159,5,0)),0%,VLOOKUP(A69,'Données projet (1)'!$A$139:$I$159,5,0)*VLOOKUP('Données projet (1)'!$B$13,'Paramètres (1)'!$A$1:$I$88,7,0))</f>
        <v>#REF!</v>
      </c>
      <c r="DD69" s="135" t="str">
        <f>IF(ISNA(VLOOKUP(A69,'Données projet (1)'!$A$139:$I$159,6,0)),0%,VLOOKUP(A69,'Données projet (1)'!$A$139:$I$159,6,0)*VLOOKUP('Données projet (1)'!$B$13,'Paramètres (1)'!$A$1:$I$88,7,0))</f>
        <v>#REF!</v>
      </c>
      <c r="DE69" s="135" t="str">
        <f t="shared" si="54"/>
        <v>#REF!</v>
      </c>
      <c r="DF69" s="142" t="str">
        <f>EXP(-LN(2)/35)*DF68+(1-EXP(-LN(2)/35))/(LN(2)/35)*DB69*DC69*VLOOKUP('Données projet (1)'!$B$13,'Paramètres (1)'!$A$1:$I$88,3,0)*0.475*44/12</f>
        <v>#REF!</v>
      </c>
      <c r="DG69" s="142" t="str">
        <f>EXP(-LN(2)/25)*DG68+(1-EXP(-LN(2)/25))/(LN(2)/25)*'Calculateur (1)'!DB69*'Calculateur (1)'!DD69*VLOOKUP('Données projet (1)'!$B$13,'Paramètres (1)'!$A$1:$I$88,3,0)*0.475*44/12</f>
        <v>#REF!</v>
      </c>
      <c r="DH69" s="142" t="str">
        <f>EXP(-LN(2)/2)*DH68+(1-EXP(-LN(2)/2))/(LN(2)/2)*DB69*DE69*VLOOKUP('Données projet (1)'!$B$13,'Paramètres (1)'!$A$1:$I$88,3,0)*0.475*44/12</f>
        <v>#REF!</v>
      </c>
      <c r="DI69" s="143" t="str">
        <f t="shared" si="55"/>
        <v>#REF!</v>
      </c>
      <c r="DJ69" s="139" t="str">
        <f t="shared" si="56"/>
        <v>#REF!</v>
      </c>
      <c r="DK69" s="131">
        <f t="shared" si="57"/>
        <v>10</v>
      </c>
      <c r="DL69" s="131" t="str">
        <f t="shared" si="128"/>
        <v>#REF!</v>
      </c>
      <c r="DM69" s="131" t="str">
        <f t="shared" si="58"/>
        <v>#REF!</v>
      </c>
      <c r="DN69" s="131" t="str">
        <f t="array" ref="DN69">INDEX(DM:DM,MIN(IF(ISNUMBER(DM69:DM265),ROW(DM69:DM265),"")))</f>
        <v/>
      </c>
      <c r="DO69" s="131" t="str">
        <f t="shared" si="129"/>
        <v>#REF!</v>
      </c>
      <c r="DP69" s="138" t="str">
        <f>DO69*VLOOKUP('Données projet (1)'!$B$14,'Paramètres (1)'!$A$1:$I$88,3,0)*VLOOKUP('Données projet (1)'!$B$14,'Paramètres (1)'!$A$1:$I$88,5,0)</f>
        <v>#REF!</v>
      </c>
      <c r="DQ69" s="130" t="str">
        <f t="shared" si="130"/>
        <v>#REF!</v>
      </c>
      <c r="DR69" s="141" t="str">
        <f t="shared" si="59"/>
        <v>#REF!</v>
      </c>
      <c r="DS69" s="133" t="str">
        <f t="shared" si="60"/>
        <v>#REF!</v>
      </c>
      <c r="DT69" s="133" t="str">
        <f t="shared" si="61"/>
        <v>#REF!</v>
      </c>
      <c r="DU69" s="133" t="str">
        <f t="shared" si="131"/>
        <v>#REF!</v>
      </c>
      <c r="DV69" s="134" t="str">
        <f t="shared" si="62"/>
        <v>#REF!</v>
      </c>
      <c r="DW69" s="134" t="str">
        <f t="shared" si="63"/>
        <v>#REF!</v>
      </c>
      <c r="DX69" s="135" t="str">
        <f>IF(ISNA(VLOOKUP(A69,'Données projet (1)'!$A$165:$I$185,5,0)),0%,VLOOKUP(A69,'Données projet (1)'!$A$165:$I$185,5,0)*VLOOKUP('Données projet (1)'!$B$14,'Paramètres (1)'!$A$1:$I$88,7,0))</f>
        <v>#REF!</v>
      </c>
      <c r="DY69" s="135" t="str">
        <f>IF(ISNA(VLOOKUP(A69,'Données projet (1)'!$A$165:$I$185,6,0)),0%,VLOOKUP(A69,'Données projet (1)'!$A$165:$I$185,6,0)*VLOOKUP('Données projet (1)'!$B$14,'Paramètres (1)'!$A$1:$I$88,7,0))</f>
        <v>#REF!</v>
      </c>
      <c r="DZ69" s="135" t="str">
        <f t="shared" si="64"/>
        <v>#REF!</v>
      </c>
      <c r="EA69" s="142" t="str">
        <f>EXP(-LN(2)/35)*EA68+(1-EXP(-LN(2)/35))/(LN(2)/35)*DW69*DX69*VLOOKUP('Données projet (1)'!$B$14,'Paramètres (1)'!$A$1:$I$88,3,0)*0.475*44/12</f>
        <v>#REF!</v>
      </c>
      <c r="EB69" s="142" t="str">
        <f>EXP(-LN(2)/25)*EB68+(1-EXP(-LN(2)/25))/(LN(2)/25)*'Calculateur (1)'!DW69*'Calculateur (1)'!DY69*VLOOKUP('Données projet (1)'!$B$14,'Paramètres (1)'!$A$1:$I$88,3,0)*0.475*44/12</f>
        <v>#REF!</v>
      </c>
      <c r="EC69" s="142" t="str">
        <f>EXP(-LN(2)/2)*EC68+(1-EXP(-LN(2)/2))/(LN(2)/2)*DW69*DZ69*VLOOKUP('Données projet (1)'!$B$14,'Paramètres (1)'!$A$1:$I$88,3,0)*0.475*44/12</f>
        <v>#REF!</v>
      </c>
      <c r="ED69" s="143" t="str">
        <f t="shared" si="65"/>
        <v>#REF!</v>
      </c>
      <c r="EE69" s="139" t="str">
        <f t="shared" si="66"/>
        <v>#REF!</v>
      </c>
      <c r="EF69" s="131">
        <f t="shared" si="67"/>
        <v>10</v>
      </c>
      <c r="EG69" s="131" t="str">
        <f t="shared" si="132"/>
        <v>#REF!</v>
      </c>
      <c r="EH69" s="131" t="str">
        <f t="shared" si="68"/>
        <v>#REF!</v>
      </c>
      <c r="EI69" s="131" t="str">
        <f t="array" ref="EI69">INDEX(EH:EH,MIN(IF(ISNUMBER(EH69:EH265),ROW(EH69:EH265),"")))</f>
        <v/>
      </c>
      <c r="EJ69" s="131" t="str">
        <f t="shared" si="133"/>
        <v>#REF!</v>
      </c>
      <c r="EK69" s="138" t="str">
        <f>EJ69*VLOOKUP('Données projet (1)'!$B$15,'Paramètres (1)'!$A$1:$I$88,3,0)*VLOOKUP('Données projet (1)'!$B$15,'Paramètres (1)'!$A$1:$I$88,5,0)</f>
        <v>#REF!</v>
      </c>
      <c r="EL69" s="130" t="str">
        <f t="shared" si="134"/>
        <v>#REF!</v>
      </c>
      <c r="EM69" s="141" t="str">
        <f t="shared" si="69"/>
        <v>#REF!</v>
      </c>
      <c r="EN69" s="133" t="str">
        <f t="shared" si="70"/>
        <v>#REF!</v>
      </c>
      <c r="EO69" s="133" t="str">
        <f t="shared" si="71"/>
        <v>#REF!</v>
      </c>
      <c r="EP69" s="133" t="str">
        <f t="shared" si="135"/>
        <v>#REF!</v>
      </c>
      <c r="EQ69" s="134" t="str">
        <f t="shared" si="72"/>
        <v>#REF!</v>
      </c>
      <c r="ER69" s="134" t="str">
        <f t="shared" si="73"/>
        <v>#REF!</v>
      </c>
      <c r="ES69" s="135" t="str">
        <f>IF(ISNA(VLOOKUP(A69,'Données projet (1)'!$A$191:$I$211,5,0)),0%,VLOOKUP(A69,'Données projet (1)'!$A$191:$I$211,5,0)*VLOOKUP('Données projet (1)'!$B$15,'Paramètres (1)'!$A$1:$I$88,7,0))</f>
        <v>#REF!</v>
      </c>
      <c r="ET69" s="135" t="str">
        <f>IF(ISNA(VLOOKUP(A69,'Données projet (1)'!$A$191:$I$211,6,0)),0%,VLOOKUP(A69,'Données projet (1)'!$A$191:$I$211,6,0)*VLOOKUP('Données projet (1)'!$B$15,'Paramètres (1)'!$A$1:$I$88,7,0))</f>
        <v>#REF!</v>
      </c>
      <c r="EU69" s="135" t="str">
        <f t="shared" si="74"/>
        <v>#REF!</v>
      </c>
      <c r="EV69" s="142" t="str">
        <f>EXP(-LN(2)/35)*EV68+(1-EXP(-LN(2)/35))/(LN(2)/35)*ER69*ES69*VLOOKUP('Données projet (1)'!$B$15,'Paramètres (1)'!$A$1:$I$88,3,0)*0.475*44/12</f>
        <v>#REF!</v>
      </c>
      <c r="EW69" s="142" t="str">
        <f>EXP(-LN(2)/25)*EW68+(1-EXP(-LN(2)/25))/(LN(2)/25)*'Calculateur (1)'!ER69*'Calculateur (1)'!ET69*VLOOKUP('Données projet (1)'!$B$15,'Paramètres (1)'!$A$1:$I$88,3,0)*0.475*44/12</f>
        <v>#REF!</v>
      </c>
      <c r="EX69" s="142" t="str">
        <f>EXP(-LN(2)/2)*EX68+(1-EXP(-LN(2)/2))/(LN(2)/2)*ER69*EU69*VLOOKUP('Données projet (1)'!$B$15,'Paramètres (1)'!$A$1:$I$88,3,0)*0.475*44/12</f>
        <v>#REF!</v>
      </c>
      <c r="EY69" s="143" t="str">
        <f t="shared" si="75"/>
        <v>#REF!</v>
      </c>
      <c r="EZ69" s="139" t="str">
        <f t="shared" si="76"/>
        <v>#REF!</v>
      </c>
      <c r="FA69" s="131">
        <f t="shared" si="77"/>
        <v>10</v>
      </c>
      <c r="FB69" s="131" t="str">
        <f t="shared" si="136"/>
        <v>#REF!</v>
      </c>
      <c r="FC69" s="131" t="str">
        <f t="shared" si="78"/>
        <v>#REF!</v>
      </c>
      <c r="FD69" s="131" t="str">
        <f t="array" ref="FD69">INDEX(FC:FC,MIN(IF(ISNUMBER(FC69:FC265),ROW(FC69:FC265),"")))</f>
        <v/>
      </c>
      <c r="FE69" s="131" t="str">
        <f t="shared" si="137"/>
        <v>#REF!</v>
      </c>
      <c r="FF69" s="138" t="str">
        <f>FE69*VLOOKUP('Données projet (1)'!$B$16,'Paramètres (1)'!$A$1:$I$88,3,0)*VLOOKUP('Données projet (1)'!$B$16,'Paramètres (1)'!$A$1:$I$88,5,0)</f>
        <v>#REF!</v>
      </c>
      <c r="FG69" s="130" t="str">
        <f t="shared" si="138"/>
        <v>#REF!</v>
      </c>
      <c r="FH69" s="141" t="str">
        <f t="shared" si="79"/>
        <v>#REF!</v>
      </c>
      <c r="FI69" s="133" t="str">
        <f t="shared" si="80"/>
        <v>#REF!</v>
      </c>
      <c r="FJ69" s="133" t="str">
        <f t="shared" si="81"/>
        <v>#REF!</v>
      </c>
      <c r="FK69" s="133" t="str">
        <f t="shared" si="139"/>
        <v>#REF!</v>
      </c>
      <c r="FL69" s="134" t="str">
        <f t="shared" si="82"/>
        <v>#REF!</v>
      </c>
      <c r="FM69" s="134" t="str">
        <f t="shared" si="83"/>
        <v>#REF!</v>
      </c>
      <c r="FN69" s="135" t="str">
        <f>IF(ISNA(VLOOKUP(A69,'Données projet (1)'!$A$217:$I$237,5,0)),0%,VLOOKUP(A69,'Données projet (1)'!$A$217:$I$237,5,0)*VLOOKUP('Données projet (1)'!$B$16,'Paramètres (1)'!$A$1:$I$88,7,0))</f>
        <v>#REF!</v>
      </c>
      <c r="FO69" s="135" t="str">
        <f>IF(ISNA(VLOOKUP(A69,'Données projet (1)'!$A$217:$I$237,6,0)),0%,VLOOKUP(A69,'Données projet (1)'!$A$217:$I$237,6,0)*VLOOKUP('Données projet (1)'!$B$16,'Paramètres (1)'!$A$1:$I$88,7,0))</f>
        <v>#REF!</v>
      </c>
      <c r="FP69" s="135" t="str">
        <f t="shared" si="84"/>
        <v>#REF!</v>
      </c>
      <c r="FQ69" s="142" t="str">
        <f>EXP(-LN(2)/35)*FQ68+(1-EXP(-LN(2)/35))/(LN(2)/35)*FM69*FN69*VLOOKUP('Données projet (1)'!$B$16,'Paramètres (1)'!$A$1:$I$88,3,0)*0.475*44/12</f>
        <v>#REF!</v>
      </c>
      <c r="FR69" s="142" t="str">
        <f>EXP(-LN(2)/25)*FR68+(1-EXP(-LN(2)/25))/(LN(2)/25)*'Calculateur (1)'!FM69*'Calculateur (1)'!FO69*VLOOKUP('Données projet (1)'!$B$16,'Paramètres (1)'!$A$1:$I$88,3,0)*0.475*44/12</f>
        <v>#REF!</v>
      </c>
      <c r="FS69" s="142" t="str">
        <f>EXP(-LN(2)/2)*FS68+(1-EXP(-LN(2)/2))/(LN(2)/2)*FM69*FP69*VLOOKUP('Données projet (1)'!$B$16,'Paramètres (1)'!$A$1:$I$88,3,0)*0.475*44/12</f>
        <v>#REF!</v>
      </c>
      <c r="FT69" s="143" t="str">
        <f t="shared" si="85"/>
        <v>#REF!</v>
      </c>
      <c r="FU69" s="139" t="str">
        <f t="shared" si="86"/>
        <v>#REF!</v>
      </c>
      <c r="FV69" s="131">
        <f t="shared" si="87"/>
        <v>10</v>
      </c>
      <c r="FW69" s="131" t="str">
        <f t="shared" si="140"/>
        <v>#REF!</v>
      </c>
      <c r="FX69" s="131" t="str">
        <f t="shared" si="88"/>
        <v>#REF!</v>
      </c>
      <c r="FY69" s="131" t="str">
        <f t="array" ref="FY69">INDEX(FX:FX,MIN(IF(ISNUMBER(FX69:FX265),ROW(FX69:FX265),"")))</f>
        <v/>
      </c>
      <c r="FZ69" s="131" t="str">
        <f t="shared" si="141"/>
        <v>#REF!</v>
      </c>
      <c r="GA69" s="138" t="str">
        <f>FZ69*VLOOKUP('Données projet (1)'!$B$17,'Paramètres (1)'!$A$1:$I$88,3,0)*VLOOKUP('Données projet (1)'!$B$17,'Paramètres (1)'!$A$1:$I$88,5,0)</f>
        <v>#REF!</v>
      </c>
      <c r="GB69" s="130" t="str">
        <f t="shared" si="142"/>
        <v>#REF!</v>
      </c>
      <c r="GC69" s="141" t="str">
        <f t="shared" si="89"/>
        <v>#REF!</v>
      </c>
      <c r="GD69" s="133" t="str">
        <f t="shared" si="90"/>
        <v>#REF!</v>
      </c>
      <c r="GE69" s="133" t="str">
        <f t="shared" si="91"/>
        <v>#REF!</v>
      </c>
      <c r="GF69" s="133" t="str">
        <f t="shared" si="143"/>
        <v>#REF!</v>
      </c>
      <c r="GG69" s="134" t="str">
        <f t="shared" si="92"/>
        <v>#REF!</v>
      </c>
      <c r="GH69" s="134" t="str">
        <f t="shared" si="93"/>
        <v>#REF!</v>
      </c>
      <c r="GI69" s="135" t="str">
        <f>IF(ISNA(VLOOKUP(A69,'Données projet (1)'!$A$243:$I$263,5,0)),0%,VLOOKUP(A69,'Données projet (1)'!$A$243:$I$263,5,0)*VLOOKUP('Données projet (1)'!$B$17,'Paramètres (1)'!$A$1:$I$88,7,0))</f>
        <v>#REF!</v>
      </c>
      <c r="GJ69" s="135" t="str">
        <f>IF(ISNA(VLOOKUP(A69,'Données projet (1)'!$A$243:$I$263,6,0)),0%,VLOOKUP(A69,'Données projet (1)'!$A$243:$I$263,6,0)*VLOOKUP('Données projet (1)'!$B$17,'Paramètres (1)'!$A$1:$I$88,7,0))</f>
        <v>#REF!</v>
      </c>
      <c r="GK69" s="135" t="str">
        <f t="shared" si="94"/>
        <v>#REF!</v>
      </c>
      <c r="GL69" s="142" t="str">
        <f>EXP(-LN(2)/35)*GL68+(1-EXP(-LN(2)/35))/(LN(2)/35)*GH69*GI69*VLOOKUP('Données projet (1)'!$B$17,'Paramètres (1)'!$A$1:$I$88,3,0)*0.475*44/12</f>
        <v>#REF!</v>
      </c>
      <c r="GM69" s="142" t="str">
        <f>EXP(-LN(2)/25)*GM68+(1-EXP(-LN(2)/25))/(LN(2)/25)*'Calculateur (1)'!GH69*'Calculateur (1)'!GJ69*VLOOKUP('Données projet (1)'!$B$17,'Paramètres (1)'!$A$1:$I$88,3,0)*0.475*44/12</f>
        <v>#REF!</v>
      </c>
      <c r="GN69" s="142" t="str">
        <f>EXP(-LN(2)/2)*GN68+(1-EXP(-LN(2)/2))/(LN(2)/2)*GH69*GK69*VLOOKUP('Données projet (1)'!$B$17,'Paramètres (1)'!$A$1:$I$88,3,0)*0.475*44/12</f>
        <v>#REF!</v>
      </c>
      <c r="GO69" s="142" t="str">
        <f t="shared" si="95"/>
        <v>#REF!</v>
      </c>
      <c r="GP69" s="139" t="str">
        <f t="shared" si="96"/>
        <v>#REF!</v>
      </c>
      <c r="GQ69" s="131">
        <f t="shared" si="97"/>
        <v>10</v>
      </c>
      <c r="GR69" s="131" t="str">
        <f t="shared" si="144"/>
        <v>#REF!</v>
      </c>
      <c r="GS69" s="131" t="str">
        <f t="shared" si="98"/>
        <v>#REF!</v>
      </c>
      <c r="GT69" s="131" t="str">
        <f t="array" ref="GT69">INDEX(GS:GS,MIN(IF(ISNUMBER(GS69:GS265),ROW(GS69:GS265),"")))</f>
        <v/>
      </c>
      <c r="GU69" s="131" t="str">
        <f t="shared" si="145"/>
        <v>#REF!</v>
      </c>
      <c r="GV69" s="138" t="str">
        <f>GU69*VLOOKUP('Données projet (1)'!$B$18,'Paramètres (1)'!$A$1:$I$88,3,0)*VLOOKUP('Données projet (1)'!$B$18,'Paramètres (1)'!$A$1:$I$88,5,0)</f>
        <v>#REF!</v>
      </c>
      <c r="GW69" s="130" t="str">
        <f t="shared" si="146"/>
        <v>#REF!</v>
      </c>
      <c r="GX69" s="141" t="str">
        <f t="shared" si="99"/>
        <v>#REF!</v>
      </c>
      <c r="GY69" s="133" t="str">
        <f t="shared" si="100"/>
        <v>#REF!</v>
      </c>
      <c r="GZ69" s="133" t="str">
        <f t="shared" si="101"/>
        <v>#REF!</v>
      </c>
      <c r="HA69" s="133" t="str">
        <f t="shared" si="147"/>
        <v>#REF!</v>
      </c>
      <c r="HB69" s="134" t="str">
        <f t="shared" si="102"/>
        <v>#REF!</v>
      </c>
      <c r="HC69" s="134" t="str">
        <f t="shared" si="103"/>
        <v>#REF!</v>
      </c>
      <c r="HD69" s="135" t="str">
        <f>IF(ISNA(VLOOKUP(A69,'Données projet (1)'!$A$269:$I$289,5,0)),0%,VLOOKUP(A69,'Données projet (1)'!$A$269:$I$289,5,0)*VLOOKUP('Données projet (1)'!$B$18,'Paramètres (1)'!$A$1:$I$88,7,0))</f>
        <v>#REF!</v>
      </c>
      <c r="HE69" s="135" t="str">
        <f>IF(ISNA(VLOOKUP(A69,'Données projet (1)'!$A$269:$I$289,6,0)),0%,VLOOKUP(A69,'Données projet (1)'!$A$269:$I$289,6,0)*VLOOKUP('Données projet (1)'!$B$18,'Paramètres (1)'!$A$1:$I$88,7,0))</f>
        <v>#REF!</v>
      </c>
      <c r="HF69" s="135" t="str">
        <f t="shared" si="104"/>
        <v>#REF!</v>
      </c>
      <c r="HG69" s="142" t="str">
        <f>EXP(-LN(2)/35)*HG68+(1-EXP(-LN(2)/35))/(LN(2)/35)*HC69*HD69*VLOOKUP('Données projet (1)'!$B$18,'Paramètres (1)'!$A$1:$I$88,3,0)*0.475*44/12</f>
        <v>#REF!</v>
      </c>
      <c r="HH69" s="142" t="str">
        <f>EXP(-LN(2)/25)*HH68+(1-EXP(-LN(2)/25))/(LN(2)/25)*'Calculateur (1)'!HC69*'Calculateur (1)'!HE69*VLOOKUP('Données projet (1)'!$B$18,'Paramètres (1)'!$A$1:$I$88,3,0)*0.475*44/12</f>
        <v>#REF!</v>
      </c>
      <c r="HI69" s="142" t="str">
        <f>EXP(-LN(2)/2)*HI68+(1-EXP(-LN(2)/2))/(LN(2)/2)*HC69*HF69*VLOOKUP('Données projet (1)'!$B$18,'Paramètres (1)'!$A$1:$I$88,3,0)*0.475*44/12</f>
        <v>#REF!</v>
      </c>
      <c r="HJ69" s="143" t="str">
        <f t="shared" si="105"/>
        <v>#REF!</v>
      </c>
    </row>
    <row r="70" ht="14.25" customHeight="1">
      <c r="A70" s="125">
        <f t="shared" si="106"/>
        <v>67</v>
      </c>
      <c r="B70" s="126" t="str">
        <f t="shared" si="1"/>
        <v>#REF!</v>
      </c>
      <c r="C70" s="140" t="str">
        <f>'Calculateur (1)'!C69+'Scénario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0" s="127">
        <f t="shared" si="107"/>
        <v>0</v>
      </c>
      <c r="E70" s="127" t="str">
        <f t="shared" si="2"/>
        <v>#REF!</v>
      </c>
      <c r="F70" s="127" t="str">
        <f t="shared" si="3"/>
        <v>#REF!</v>
      </c>
      <c r="G70" s="127" t="str">
        <f t="shared" si="4"/>
        <v>#REF!</v>
      </c>
      <c r="H70" s="128" t="str">
        <f t="shared" si="5"/>
        <v>#REF!</v>
      </c>
      <c r="I70" s="129" t="str">
        <f t="shared" si="6"/>
        <v>#REF!</v>
      </c>
      <c r="J70" s="130">
        <f t="shared" si="7"/>
        <v>10</v>
      </c>
      <c r="K70" s="131" t="str">
        <f t="shared" si="108"/>
        <v>#REF!</v>
      </c>
      <c r="L70" s="131" t="str">
        <f t="shared" si="8"/>
        <v>#REF!</v>
      </c>
      <c r="M70" s="131" t="str">
        <f t="array" ref="M70">INDEX(L:L,MIN(IF(ISNUMBER(L70:L266),ROW(L70:L266),"")))</f>
        <v/>
      </c>
      <c r="N70" s="130" t="str">
        <f t="shared" si="109"/>
        <v>#REF!</v>
      </c>
      <c r="O70" s="130" t="str">
        <f>N70*VLOOKUP('Données projet (1)'!$B$9,'Paramètres (1)'!$A$1:$I$88,3,0)*VLOOKUP('Données projet (1)'!$B$9,'Paramètres (1)'!$A$1:$I$88,5,0)</f>
        <v>#REF!</v>
      </c>
      <c r="P70" s="130" t="str">
        <f t="shared" si="110"/>
        <v>#REF!</v>
      </c>
      <c r="Q70" s="141" t="str">
        <f t="shared" si="9"/>
        <v>#REF!</v>
      </c>
      <c r="R70" s="133" t="str">
        <f t="shared" si="10"/>
        <v>#REF!</v>
      </c>
      <c r="S70" s="133" t="str">
        <f t="shared" si="11"/>
        <v>#REF!</v>
      </c>
      <c r="T70" s="133" t="str">
        <f t="shared" si="111"/>
        <v>#REF!</v>
      </c>
      <c r="U70" s="134" t="str">
        <f t="shared" si="12"/>
        <v>#REF!</v>
      </c>
      <c r="V70" s="134" t="str">
        <f t="shared" si="13"/>
        <v>#REF!</v>
      </c>
      <c r="W70" s="135" t="str">
        <f>IF(ISNA(VLOOKUP(A70,'Données projet (1)'!$A$35:$I$55,5,0)),0%,VLOOKUP(A70,'Données projet (1)'!$A$35:$I$55,5,0)*VLOOKUP('Données projet (1)'!$B$9,'Paramètres (1)'!$A$1:$I$88,7,0))</f>
        <v>#REF!</v>
      </c>
      <c r="X70" s="135" t="str">
        <f>IF(ISNA(VLOOKUP(A70,'Données projet (1)'!$A$35:$I$55,6,0)),0%,VLOOKUP(A70,'Données projet (1)'!$A$35:$I$55,6,0)*VLOOKUP('Données projet (1)'!$B$9,'Paramètres (1)'!$A$1:$I$88,7,0))</f>
        <v>#REF!</v>
      </c>
      <c r="Y70" s="135" t="str">
        <f t="shared" si="14"/>
        <v>#REF!</v>
      </c>
      <c r="Z70" s="142" t="str">
        <f>EXP(-LN(2)/35)*Z69+(1-EXP(-LN(2)/35))/(LN(2)/35)*V70*W70*VLOOKUP('Données projet (1)'!$B$9,'Paramètres (1)'!$A$1:$I$88,3,0)*0.475*44/12</f>
        <v>#REF!</v>
      </c>
      <c r="AA70" s="142" t="str">
        <f>EXP(-LN(2)/25)*AA69+(1-EXP(-LN(2)/25))/(LN(2)/25)*'Calculateur (1)'!V70*'Calculateur (1)'!X70*VLOOKUP('Données projet (1)'!$B$9,'Paramètres (1)'!$A$1:$I$88,3,0)*0.475*44/12</f>
        <v>#REF!</v>
      </c>
      <c r="AB70" s="142" t="str">
        <f>EXP(-LN(2)/2)*AB69+(1-EXP(-LN(2)/2))/(LN(2)/2)*V70*Y70*VLOOKUP('Données projet (1)'!$B$9,'Paramètres (1)'!$A$1:$I$88,3,0)*0.475*44/12</f>
        <v>#REF!</v>
      </c>
      <c r="AC70" s="143" t="str">
        <f t="shared" si="15"/>
        <v>#REF!</v>
      </c>
      <c r="AD70" s="130" t="str">
        <f t="shared" si="16"/>
        <v>#REF!</v>
      </c>
      <c r="AE70" s="130">
        <f t="shared" si="17"/>
        <v>10</v>
      </c>
      <c r="AF70" s="131" t="str">
        <f t="shared" si="112"/>
        <v>#REF!</v>
      </c>
      <c r="AG70" s="131" t="str">
        <f t="shared" si="18"/>
        <v>#REF!</v>
      </c>
      <c r="AH70" s="131" t="str">
        <f t="array" ref="AH70">INDEX(AG:AG,MIN(IF(ISNUMBER(AG70:AG266),ROW(AG70:AG266),"")))</f>
        <v/>
      </c>
      <c r="AI70" s="130" t="str">
        <f t="shared" si="113"/>
        <v>#REF!</v>
      </c>
      <c r="AJ70" s="130" t="str">
        <f>AI70*VLOOKUP('Données projet (1)'!$B$10,'Paramètres (1)'!$A$1:$I$88,3,0)*VLOOKUP('Données projet (1)'!$B$10,'Paramètres (1)'!$A$1:$I$88,5,0)</f>
        <v>#REF!</v>
      </c>
      <c r="AK70" s="130" t="str">
        <f t="shared" si="114"/>
        <v>#REF!</v>
      </c>
      <c r="AL70" s="141" t="str">
        <f t="shared" si="19"/>
        <v>#REF!</v>
      </c>
      <c r="AM70" s="133" t="str">
        <f t="shared" si="20"/>
        <v>#REF!</v>
      </c>
      <c r="AN70" s="133" t="str">
        <f t="shared" si="21"/>
        <v>#REF!</v>
      </c>
      <c r="AO70" s="133" t="str">
        <f t="shared" si="115"/>
        <v>#REF!</v>
      </c>
      <c r="AP70" s="134" t="str">
        <f t="shared" si="22"/>
        <v>#REF!</v>
      </c>
      <c r="AQ70" s="134" t="str">
        <f t="shared" si="23"/>
        <v>#REF!</v>
      </c>
      <c r="AR70" s="135" t="str">
        <f>IF(ISNA(VLOOKUP(A70,'Données projet (1)'!$A$61:$I$81,5,0)),0%,VLOOKUP(A70,'Données projet (1)'!$A$61:$I$81,5,0)*VLOOKUP('Données projet (1)'!$B$10,'Paramètres (1)'!$A$1:$I$88,7,0))</f>
        <v>#REF!</v>
      </c>
      <c r="AS70" s="135" t="str">
        <f>IF(ISNA(VLOOKUP(A70,'Données projet (1)'!$A$61:$I$81,6,0)),0%,VLOOKUP(A70,'Données projet (1)'!$A$61:$I$81,6,0)*VLOOKUP('Données projet (1)'!$B$10,'Paramètres (1)'!$A$1:$I$88,7,0))</f>
        <v>#REF!</v>
      </c>
      <c r="AT70" s="135" t="str">
        <f t="shared" si="24"/>
        <v>#REF!</v>
      </c>
      <c r="AU70" s="142" t="str">
        <f>EXP(-LN(2)/35)*AU69+(1-EXP(-LN(2)/35))/(LN(2)/35)*AQ70*AR70*VLOOKUP('Données projet (1)'!$B$10,'Paramètres (1)'!$A$1:$I$88,3,0)*0.475*44/12</f>
        <v>#REF!</v>
      </c>
      <c r="AV70" s="142" t="str">
        <f>EXP(-LN(2)/25)*AV69+(1-EXP(-LN(2)/25))/(LN(2)/25)*'Calculateur (1)'!AQ70*'Calculateur (1)'!AS70*VLOOKUP('Données projet (1)'!$B$10,'Paramètres (1)'!$A$1:$I$88,3,0)*0.475*44/12</f>
        <v>#REF!</v>
      </c>
      <c r="AW70" s="142" t="str">
        <f>EXP(-LN(2)/2)*AW69+(1-EXP(-LN(2)/2))/(LN(2)/2)*AQ70*AT70*VLOOKUP('Données projet (1)'!$B$10,'Paramètres (1)'!$A$1:$I$88,3,0)*0.475*44/12</f>
        <v>#REF!</v>
      </c>
      <c r="AX70" s="142" t="str">
        <f t="shared" si="25"/>
        <v>#REF!</v>
      </c>
      <c r="AY70" s="137" t="str">
        <f t="shared" si="26"/>
        <v>#REF!</v>
      </c>
      <c r="AZ70" s="131">
        <f t="shared" si="27"/>
        <v>10</v>
      </c>
      <c r="BA70" s="131" t="str">
        <f t="shared" si="116"/>
        <v>#REF!</v>
      </c>
      <c r="BB70" s="131" t="str">
        <f t="shared" si="28"/>
        <v>#REF!</v>
      </c>
      <c r="BC70" s="131" t="str">
        <f t="array" ref="BC70">INDEX(BB:BB,MIN(IF(ISNUMBER(BB70:BB266),ROW(BB70:BB266),"")))</f>
        <v/>
      </c>
      <c r="BD70" s="131" t="str">
        <f t="shared" si="117"/>
        <v>#REF!</v>
      </c>
      <c r="BE70" s="130" t="str">
        <f>BD70*VLOOKUP('Données projet (1)'!$B$11,'Paramètres (1)'!$A$1:$I$88,3,0)*VLOOKUP('Données projet (1)'!$B$11,'Paramètres (1)'!$A$1:$I$88,5,0)</f>
        <v>#REF!</v>
      </c>
      <c r="BF70" s="130" t="str">
        <f t="shared" si="118"/>
        <v>#REF!</v>
      </c>
      <c r="BG70" s="141" t="str">
        <f t="shared" si="29"/>
        <v>#REF!</v>
      </c>
      <c r="BH70" s="133" t="str">
        <f t="shared" si="30"/>
        <v>#REF!</v>
      </c>
      <c r="BI70" s="133" t="str">
        <f t="shared" si="31"/>
        <v>#REF!</v>
      </c>
      <c r="BJ70" s="133" t="str">
        <f t="shared" si="119"/>
        <v>#REF!</v>
      </c>
      <c r="BK70" s="134" t="str">
        <f t="shared" si="32"/>
        <v>#REF!</v>
      </c>
      <c r="BL70" s="134" t="str">
        <f t="shared" si="33"/>
        <v>#REF!</v>
      </c>
      <c r="BM70" s="135" t="str">
        <f>IF(ISNA(VLOOKUP(A70,'Données projet (1)'!$A$87:$I$107,5,0)),0%,VLOOKUP(A70,'Données projet (1)'!$A$87:$I$107,5,0)*VLOOKUP('Données projet (1)'!$B$11,'Paramètres (1)'!$A$1:$I$88,7,0))</f>
        <v>#REF!</v>
      </c>
      <c r="BN70" s="135" t="str">
        <f>IF(ISNA(VLOOKUP(A70,'Données projet (1)'!$A$87:$I$107,6,0)),0%,VLOOKUP(A70,'Données projet (1)'!$A$87:$I$107,6,0)*VLOOKUP('Données projet (1)'!$B$11,'Paramètres (1)'!$A$1:$I$88,7,0))</f>
        <v>#REF!</v>
      </c>
      <c r="BO70" s="135" t="str">
        <f t="shared" si="34"/>
        <v>#REF!</v>
      </c>
      <c r="BP70" s="142" t="str">
        <f>EXP(-LN(2)/35)*BP69+(1-EXP(-LN(2)/35))/(LN(2)/35)*BL70*BM70*VLOOKUP('Données projet (1)'!$B$11,'Paramètres (1)'!$A$1:$I$88,3,0)*0.475*44/12</f>
        <v>#REF!</v>
      </c>
      <c r="BQ70" s="142" t="str">
        <f>EXP(-LN(2)/25)*BQ69+(1-EXP(-LN(2)/25))/(LN(2)/25)*'Calculateur (1)'!BL70*'Calculateur (1)'!BN70*VLOOKUP('Données projet (1)'!$B$11,'Paramètres (1)'!$A$1:$I$88,3,0)*0.475*44/12</f>
        <v>#REF!</v>
      </c>
      <c r="BR70" s="142" t="str">
        <f>EXP(-LN(2)/2)*BR69+(1-EXP(-LN(2)/2))/(LN(2)/2)*BL70*BO70*VLOOKUP('Données projet (1)'!$B$11,'Paramètres (1)'!$A$1:$I$88,3,0)*0.475*44/12</f>
        <v>#REF!</v>
      </c>
      <c r="BS70" s="143" t="str">
        <f t="shared" si="35"/>
        <v>#REF!</v>
      </c>
      <c r="BT70" s="139" t="str">
        <f t="shared" si="36"/>
        <v>#REF!</v>
      </c>
      <c r="BU70" s="131">
        <f t="shared" si="37"/>
        <v>10</v>
      </c>
      <c r="BV70" s="131" t="str">
        <f t="shared" si="120"/>
        <v>#REF!</v>
      </c>
      <c r="BW70" s="131" t="str">
        <f t="shared" si="38"/>
        <v>#REF!</v>
      </c>
      <c r="BX70" s="131" t="str">
        <f t="array" ref="BX70">INDEX(BW:BW,MIN(IF(ISNUMBER(BW70:BW266),ROW(BW70:BW266),"")))</f>
        <v/>
      </c>
      <c r="BY70" s="131" t="str">
        <f t="shared" si="121"/>
        <v>#REF!</v>
      </c>
      <c r="BZ70" s="130" t="str">
        <f>BY70*VLOOKUP('Données projet (1)'!$B$12,'Paramètres (1)'!$A$1:$I$88,3,0)*VLOOKUP('Données projet (1)'!$B$12,'Paramètres (1)'!$A$1:$I$88,5,0)</f>
        <v>#REF!</v>
      </c>
      <c r="CA70" s="130" t="str">
        <f t="shared" si="122"/>
        <v>#REF!</v>
      </c>
      <c r="CB70" s="141" t="str">
        <f t="shared" si="39"/>
        <v>#REF!</v>
      </c>
      <c r="CC70" s="133" t="str">
        <f t="shared" si="40"/>
        <v>#REF!</v>
      </c>
      <c r="CD70" s="133" t="str">
        <f t="shared" si="41"/>
        <v>#REF!</v>
      </c>
      <c r="CE70" s="133" t="str">
        <f t="shared" si="123"/>
        <v>#REF!</v>
      </c>
      <c r="CF70" s="134" t="str">
        <f t="shared" si="42"/>
        <v>#REF!</v>
      </c>
      <c r="CG70" s="134" t="str">
        <f t="shared" si="43"/>
        <v>#REF!</v>
      </c>
      <c r="CH70" s="135" t="str">
        <f>IF(ISNA(VLOOKUP(A70,'Données projet (1)'!$A$113:$I$133,5,0)),0%,VLOOKUP(A70,'Données projet (1)'!$A$113:$I$133,5,0)*VLOOKUP('Données projet (1)'!$B$12,'Paramètres (1)'!$A$1:$I$88,7,0))</f>
        <v>#REF!</v>
      </c>
      <c r="CI70" s="135" t="str">
        <f>IF(ISNA(VLOOKUP(A70,'Données projet (1)'!$A$113:$I$133,6,0)),0%,VLOOKUP(A70,'Données projet (1)'!$A$113:$I$133,6,0)*VLOOKUP('Données projet (1)'!$B$12,'Paramètres (1)'!$A$1:$I$88,7,0))</f>
        <v>#REF!</v>
      </c>
      <c r="CJ70" s="135" t="str">
        <f t="shared" si="44"/>
        <v>#REF!</v>
      </c>
      <c r="CK70" s="142" t="str">
        <f>EXP(-LN(2)/35)*CK69+(1-EXP(-LN(2)/35))/(LN(2)/35)*CG70*CH70*VLOOKUP('Données projet (1)'!$B$12,'Paramètres (1)'!$A$1:$I$88,3,0)*0.475*44/12</f>
        <v>#REF!</v>
      </c>
      <c r="CL70" s="142" t="str">
        <f>EXP(-LN(2)/25)*CL69+(1-EXP(-LN(2)/25))/(LN(2)/25)*'Calculateur (1)'!CG70*'Calculateur (1)'!CI70*VLOOKUP('Données projet (1)'!$B$12,'Paramètres (1)'!$A$1:$I$88,3,0)*0.475*44/12</f>
        <v>#REF!</v>
      </c>
      <c r="CM70" s="142" t="str">
        <f>EXP(-LN(2)/2)*CM69+(1-EXP(-LN(2)/2))/(LN(2)/2)*CG70*CJ70*VLOOKUP('Données projet (1)'!$B$12,'Paramètres (1)'!$A$1:$I$88,3,0)*0.475*44/12</f>
        <v>#REF!</v>
      </c>
      <c r="CN70" s="143" t="str">
        <f t="shared" si="45"/>
        <v>#REF!</v>
      </c>
      <c r="CO70" s="139" t="str">
        <f t="shared" si="46"/>
        <v>#REF!</v>
      </c>
      <c r="CP70" s="131">
        <f t="shared" si="47"/>
        <v>10</v>
      </c>
      <c r="CQ70" s="131" t="str">
        <f t="shared" si="124"/>
        <v>#REF!</v>
      </c>
      <c r="CR70" s="131" t="str">
        <f t="shared" si="48"/>
        <v>#REF!</v>
      </c>
      <c r="CS70" s="131" t="str">
        <f t="array" ref="CS70">INDEX(CR:CR,MIN(IF(ISNUMBER(CR70:CR266),ROW(CR70:CR266),"")))</f>
        <v/>
      </c>
      <c r="CT70" s="131" t="str">
        <f t="shared" si="125"/>
        <v>#REF!</v>
      </c>
      <c r="CU70" s="138" t="str">
        <f>CT70*VLOOKUP('Données projet (1)'!$B$13,'Paramètres (1)'!$A$1:$I$88,3,0)*VLOOKUP('Données projet (1)'!$B$13,'Paramètres (1)'!$A$1:$I$88,5,0)</f>
        <v>#REF!</v>
      </c>
      <c r="CV70" s="130" t="str">
        <f t="shared" si="126"/>
        <v>#REF!</v>
      </c>
      <c r="CW70" s="141" t="str">
        <f t="shared" si="49"/>
        <v>#REF!</v>
      </c>
      <c r="CX70" s="133" t="str">
        <f t="shared" si="50"/>
        <v>#REF!</v>
      </c>
      <c r="CY70" s="133" t="str">
        <f t="shared" si="51"/>
        <v>#REF!</v>
      </c>
      <c r="CZ70" s="133" t="str">
        <f t="shared" si="127"/>
        <v>#REF!</v>
      </c>
      <c r="DA70" s="134" t="str">
        <f t="shared" si="52"/>
        <v>#REF!</v>
      </c>
      <c r="DB70" s="134" t="str">
        <f t="shared" si="53"/>
        <v>#REF!</v>
      </c>
      <c r="DC70" s="135" t="str">
        <f>IF(ISNA(VLOOKUP(A70,'Données projet (1)'!$A$139:$I$159,5,0)),0%,VLOOKUP(A70,'Données projet (1)'!$A$139:$I$159,5,0)*VLOOKUP('Données projet (1)'!$B$13,'Paramètres (1)'!$A$1:$I$88,7,0))</f>
        <v>#REF!</v>
      </c>
      <c r="DD70" s="135" t="str">
        <f>IF(ISNA(VLOOKUP(A70,'Données projet (1)'!$A$139:$I$159,6,0)),0%,VLOOKUP(A70,'Données projet (1)'!$A$139:$I$159,6,0)*VLOOKUP('Données projet (1)'!$B$13,'Paramètres (1)'!$A$1:$I$88,7,0))</f>
        <v>#REF!</v>
      </c>
      <c r="DE70" s="135" t="str">
        <f t="shared" si="54"/>
        <v>#REF!</v>
      </c>
      <c r="DF70" s="142" t="str">
        <f>EXP(-LN(2)/35)*DF69+(1-EXP(-LN(2)/35))/(LN(2)/35)*DB70*DC70*VLOOKUP('Données projet (1)'!$B$13,'Paramètres (1)'!$A$1:$I$88,3,0)*0.475*44/12</f>
        <v>#REF!</v>
      </c>
      <c r="DG70" s="142" t="str">
        <f>EXP(-LN(2)/25)*DG69+(1-EXP(-LN(2)/25))/(LN(2)/25)*'Calculateur (1)'!DB70*'Calculateur (1)'!DD70*VLOOKUP('Données projet (1)'!$B$13,'Paramètres (1)'!$A$1:$I$88,3,0)*0.475*44/12</f>
        <v>#REF!</v>
      </c>
      <c r="DH70" s="142" t="str">
        <f>EXP(-LN(2)/2)*DH69+(1-EXP(-LN(2)/2))/(LN(2)/2)*DB70*DE70*VLOOKUP('Données projet (1)'!$B$13,'Paramètres (1)'!$A$1:$I$88,3,0)*0.475*44/12</f>
        <v>#REF!</v>
      </c>
      <c r="DI70" s="143" t="str">
        <f t="shared" si="55"/>
        <v>#REF!</v>
      </c>
      <c r="DJ70" s="139" t="str">
        <f t="shared" si="56"/>
        <v>#REF!</v>
      </c>
      <c r="DK70" s="131">
        <f t="shared" si="57"/>
        <v>10</v>
      </c>
      <c r="DL70" s="131" t="str">
        <f t="shared" si="128"/>
        <v>#REF!</v>
      </c>
      <c r="DM70" s="131" t="str">
        <f t="shared" si="58"/>
        <v>#REF!</v>
      </c>
      <c r="DN70" s="131" t="str">
        <f t="array" ref="DN70">INDEX(DM:DM,MIN(IF(ISNUMBER(DM70:DM266),ROW(DM70:DM266),"")))</f>
        <v/>
      </c>
      <c r="DO70" s="131" t="str">
        <f t="shared" si="129"/>
        <v>#REF!</v>
      </c>
      <c r="DP70" s="138" t="str">
        <f>DO70*VLOOKUP('Données projet (1)'!$B$14,'Paramètres (1)'!$A$1:$I$88,3,0)*VLOOKUP('Données projet (1)'!$B$14,'Paramètres (1)'!$A$1:$I$88,5,0)</f>
        <v>#REF!</v>
      </c>
      <c r="DQ70" s="130" t="str">
        <f t="shared" si="130"/>
        <v>#REF!</v>
      </c>
      <c r="DR70" s="141" t="str">
        <f t="shared" si="59"/>
        <v>#REF!</v>
      </c>
      <c r="DS70" s="133" t="str">
        <f t="shared" si="60"/>
        <v>#REF!</v>
      </c>
      <c r="DT70" s="133" t="str">
        <f t="shared" si="61"/>
        <v>#REF!</v>
      </c>
      <c r="DU70" s="133" t="str">
        <f t="shared" si="131"/>
        <v>#REF!</v>
      </c>
      <c r="DV70" s="134" t="str">
        <f t="shared" si="62"/>
        <v>#REF!</v>
      </c>
      <c r="DW70" s="134" t="str">
        <f t="shared" si="63"/>
        <v>#REF!</v>
      </c>
      <c r="DX70" s="135" t="str">
        <f>IF(ISNA(VLOOKUP(A70,'Données projet (1)'!$A$165:$I$185,5,0)),0%,VLOOKUP(A70,'Données projet (1)'!$A$165:$I$185,5,0)*VLOOKUP('Données projet (1)'!$B$14,'Paramètres (1)'!$A$1:$I$88,7,0))</f>
        <v>#REF!</v>
      </c>
      <c r="DY70" s="135" t="str">
        <f>IF(ISNA(VLOOKUP(A70,'Données projet (1)'!$A$165:$I$185,6,0)),0%,VLOOKUP(A70,'Données projet (1)'!$A$165:$I$185,6,0)*VLOOKUP('Données projet (1)'!$B$14,'Paramètres (1)'!$A$1:$I$88,7,0))</f>
        <v>#REF!</v>
      </c>
      <c r="DZ70" s="135" t="str">
        <f t="shared" si="64"/>
        <v>#REF!</v>
      </c>
      <c r="EA70" s="142" t="str">
        <f>EXP(-LN(2)/35)*EA69+(1-EXP(-LN(2)/35))/(LN(2)/35)*DW70*DX70*VLOOKUP('Données projet (1)'!$B$14,'Paramètres (1)'!$A$1:$I$88,3,0)*0.475*44/12</f>
        <v>#REF!</v>
      </c>
      <c r="EB70" s="142" t="str">
        <f>EXP(-LN(2)/25)*EB69+(1-EXP(-LN(2)/25))/(LN(2)/25)*'Calculateur (1)'!DW70*'Calculateur (1)'!DY70*VLOOKUP('Données projet (1)'!$B$14,'Paramètres (1)'!$A$1:$I$88,3,0)*0.475*44/12</f>
        <v>#REF!</v>
      </c>
      <c r="EC70" s="142" t="str">
        <f>EXP(-LN(2)/2)*EC69+(1-EXP(-LN(2)/2))/(LN(2)/2)*DW70*DZ70*VLOOKUP('Données projet (1)'!$B$14,'Paramètres (1)'!$A$1:$I$88,3,0)*0.475*44/12</f>
        <v>#REF!</v>
      </c>
      <c r="ED70" s="143" t="str">
        <f t="shared" si="65"/>
        <v>#REF!</v>
      </c>
      <c r="EE70" s="139" t="str">
        <f t="shared" si="66"/>
        <v>#REF!</v>
      </c>
      <c r="EF70" s="131">
        <f t="shared" si="67"/>
        <v>10</v>
      </c>
      <c r="EG70" s="131" t="str">
        <f t="shared" si="132"/>
        <v>#REF!</v>
      </c>
      <c r="EH70" s="131" t="str">
        <f t="shared" si="68"/>
        <v>#REF!</v>
      </c>
      <c r="EI70" s="131" t="str">
        <f t="array" ref="EI70">INDEX(EH:EH,MIN(IF(ISNUMBER(EH70:EH266),ROW(EH70:EH266),"")))</f>
        <v/>
      </c>
      <c r="EJ70" s="131" t="str">
        <f t="shared" si="133"/>
        <v>#REF!</v>
      </c>
      <c r="EK70" s="138" t="str">
        <f>EJ70*VLOOKUP('Données projet (1)'!$B$15,'Paramètres (1)'!$A$1:$I$88,3,0)*VLOOKUP('Données projet (1)'!$B$15,'Paramètres (1)'!$A$1:$I$88,5,0)</f>
        <v>#REF!</v>
      </c>
      <c r="EL70" s="130" t="str">
        <f t="shared" si="134"/>
        <v>#REF!</v>
      </c>
      <c r="EM70" s="141" t="str">
        <f t="shared" si="69"/>
        <v>#REF!</v>
      </c>
      <c r="EN70" s="133" t="str">
        <f t="shared" si="70"/>
        <v>#REF!</v>
      </c>
      <c r="EO70" s="133" t="str">
        <f t="shared" si="71"/>
        <v>#REF!</v>
      </c>
      <c r="EP70" s="133" t="str">
        <f t="shared" si="135"/>
        <v>#REF!</v>
      </c>
      <c r="EQ70" s="134" t="str">
        <f t="shared" si="72"/>
        <v>#REF!</v>
      </c>
      <c r="ER70" s="134" t="str">
        <f t="shared" si="73"/>
        <v>#REF!</v>
      </c>
      <c r="ES70" s="135" t="str">
        <f>IF(ISNA(VLOOKUP(A70,'Données projet (1)'!$A$191:$I$211,5,0)),0%,VLOOKUP(A70,'Données projet (1)'!$A$191:$I$211,5,0)*VLOOKUP('Données projet (1)'!$B$15,'Paramètres (1)'!$A$1:$I$88,7,0))</f>
        <v>#REF!</v>
      </c>
      <c r="ET70" s="135" t="str">
        <f>IF(ISNA(VLOOKUP(A70,'Données projet (1)'!$A$191:$I$211,6,0)),0%,VLOOKUP(A70,'Données projet (1)'!$A$191:$I$211,6,0)*VLOOKUP('Données projet (1)'!$B$15,'Paramètres (1)'!$A$1:$I$88,7,0))</f>
        <v>#REF!</v>
      </c>
      <c r="EU70" s="135" t="str">
        <f t="shared" si="74"/>
        <v>#REF!</v>
      </c>
      <c r="EV70" s="142" t="str">
        <f>EXP(-LN(2)/35)*EV69+(1-EXP(-LN(2)/35))/(LN(2)/35)*ER70*ES70*VLOOKUP('Données projet (1)'!$B$15,'Paramètres (1)'!$A$1:$I$88,3,0)*0.475*44/12</f>
        <v>#REF!</v>
      </c>
      <c r="EW70" s="142" t="str">
        <f>EXP(-LN(2)/25)*EW69+(1-EXP(-LN(2)/25))/(LN(2)/25)*'Calculateur (1)'!ER70*'Calculateur (1)'!ET70*VLOOKUP('Données projet (1)'!$B$15,'Paramètres (1)'!$A$1:$I$88,3,0)*0.475*44/12</f>
        <v>#REF!</v>
      </c>
      <c r="EX70" s="142" t="str">
        <f>EXP(-LN(2)/2)*EX69+(1-EXP(-LN(2)/2))/(LN(2)/2)*ER70*EU70*VLOOKUP('Données projet (1)'!$B$15,'Paramètres (1)'!$A$1:$I$88,3,0)*0.475*44/12</f>
        <v>#REF!</v>
      </c>
      <c r="EY70" s="143" t="str">
        <f t="shared" si="75"/>
        <v>#REF!</v>
      </c>
      <c r="EZ70" s="139" t="str">
        <f t="shared" si="76"/>
        <v>#REF!</v>
      </c>
      <c r="FA70" s="131">
        <f t="shared" si="77"/>
        <v>10</v>
      </c>
      <c r="FB70" s="131" t="str">
        <f t="shared" si="136"/>
        <v>#REF!</v>
      </c>
      <c r="FC70" s="131" t="str">
        <f t="shared" si="78"/>
        <v>#REF!</v>
      </c>
      <c r="FD70" s="131" t="str">
        <f t="array" ref="FD70">INDEX(FC:FC,MIN(IF(ISNUMBER(FC70:FC266),ROW(FC70:FC266),"")))</f>
        <v/>
      </c>
      <c r="FE70" s="131" t="str">
        <f t="shared" si="137"/>
        <v>#REF!</v>
      </c>
      <c r="FF70" s="138" t="str">
        <f>FE70*VLOOKUP('Données projet (1)'!$B$16,'Paramètres (1)'!$A$1:$I$88,3,0)*VLOOKUP('Données projet (1)'!$B$16,'Paramètres (1)'!$A$1:$I$88,5,0)</f>
        <v>#REF!</v>
      </c>
      <c r="FG70" s="130" t="str">
        <f t="shared" si="138"/>
        <v>#REF!</v>
      </c>
      <c r="FH70" s="141" t="str">
        <f t="shared" si="79"/>
        <v>#REF!</v>
      </c>
      <c r="FI70" s="133" t="str">
        <f t="shared" si="80"/>
        <v>#REF!</v>
      </c>
      <c r="FJ70" s="133" t="str">
        <f t="shared" si="81"/>
        <v>#REF!</v>
      </c>
      <c r="FK70" s="133" t="str">
        <f t="shared" si="139"/>
        <v>#REF!</v>
      </c>
      <c r="FL70" s="134" t="str">
        <f t="shared" si="82"/>
        <v>#REF!</v>
      </c>
      <c r="FM70" s="134" t="str">
        <f t="shared" si="83"/>
        <v>#REF!</v>
      </c>
      <c r="FN70" s="135" t="str">
        <f>IF(ISNA(VLOOKUP(A70,'Données projet (1)'!$A$217:$I$237,5,0)),0%,VLOOKUP(A70,'Données projet (1)'!$A$217:$I$237,5,0)*VLOOKUP('Données projet (1)'!$B$16,'Paramètres (1)'!$A$1:$I$88,7,0))</f>
        <v>#REF!</v>
      </c>
      <c r="FO70" s="135" t="str">
        <f>IF(ISNA(VLOOKUP(A70,'Données projet (1)'!$A$217:$I$237,6,0)),0%,VLOOKUP(A70,'Données projet (1)'!$A$217:$I$237,6,0)*VLOOKUP('Données projet (1)'!$B$16,'Paramètres (1)'!$A$1:$I$88,7,0))</f>
        <v>#REF!</v>
      </c>
      <c r="FP70" s="135" t="str">
        <f t="shared" si="84"/>
        <v>#REF!</v>
      </c>
      <c r="FQ70" s="142" t="str">
        <f>EXP(-LN(2)/35)*FQ69+(1-EXP(-LN(2)/35))/(LN(2)/35)*FM70*FN70*VLOOKUP('Données projet (1)'!$B$16,'Paramètres (1)'!$A$1:$I$88,3,0)*0.475*44/12</f>
        <v>#REF!</v>
      </c>
      <c r="FR70" s="142" t="str">
        <f>EXP(-LN(2)/25)*FR69+(1-EXP(-LN(2)/25))/(LN(2)/25)*'Calculateur (1)'!FM70*'Calculateur (1)'!FO70*VLOOKUP('Données projet (1)'!$B$16,'Paramètres (1)'!$A$1:$I$88,3,0)*0.475*44/12</f>
        <v>#REF!</v>
      </c>
      <c r="FS70" s="142" t="str">
        <f>EXP(-LN(2)/2)*FS69+(1-EXP(-LN(2)/2))/(LN(2)/2)*FM70*FP70*VLOOKUP('Données projet (1)'!$B$16,'Paramètres (1)'!$A$1:$I$88,3,0)*0.475*44/12</f>
        <v>#REF!</v>
      </c>
      <c r="FT70" s="143" t="str">
        <f t="shared" si="85"/>
        <v>#REF!</v>
      </c>
      <c r="FU70" s="139" t="str">
        <f t="shared" si="86"/>
        <v>#REF!</v>
      </c>
      <c r="FV70" s="131">
        <f t="shared" si="87"/>
        <v>10</v>
      </c>
      <c r="FW70" s="131" t="str">
        <f t="shared" si="140"/>
        <v>#REF!</v>
      </c>
      <c r="FX70" s="131" t="str">
        <f t="shared" si="88"/>
        <v>#REF!</v>
      </c>
      <c r="FY70" s="131" t="str">
        <f t="array" ref="FY70">INDEX(FX:FX,MIN(IF(ISNUMBER(FX70:FX266),ROW(FX70:FX266),"")))</f>
        <v/>
      </c>
      <c r="FZ70" s="131" t="str">
        <f t="shared" si="141"/>
        <v>#REF!</v>
      </c>
      <c r="GA70" s="138" t="str">
        <f>FZ70*VLOOKUP('Données projet (1)'!$B$17,'Paramètres (1)'!$A$1:$I$88,3,0)*VLOOKUP('Données projet (1)'!$B$17,'Paramètres (1)'!$A$1:$I$88,5,0)</f>
        <v>#REF!</v>
      </c>
      <c r="GB70" s="130" t="str">
        <f t="shared" si="142"/>
        <v>#REF!</v>
      </c>
      <c r="GC70" s="141" t="str">
        <f t="shared" si="89"/>
        <v>#REF!</v>
      </c>
      <c r="GD70" s="133" t="str">
        <f t="shared" si="90"/>
        <v>#REF!</v>
      </c>
      <c r="GE70" s="133" t="str">
        <f t="shared" si="91"/>
        <v>#REF!</v>
      </c>
      <c r="GF70" s="133" t="str">
        <f t="shared" si="143"/>
        <v>#REF!</v>
      </c>
      <c r="GG70" s="134" t="str">
        <f t="shared" si="92"/>
        <v>#REF!</v>
      </c>
      <c r="GH70" s="134" t="str">
        <f t="shared" si="93"/>
        <v>#REF!</v>
      </c>
      <c r="GI70" s="135" t="str">
        <f>IF(ISNA(VLOOKUP(A70,'Données projet (1)'!$A$243:$I$263,5,0)),0%,VLOOKUP(A70,'Données projet (1)'!$A$243:$I$263,5,0)*VLOOKUP('Données projet (1)'!$B$17,'Paramètres (1)'!$A$1:$I$88,7,0))</f>
        <v>#REF!</v>
      </c>
      <c r="GJ70" s="135" t="str">
        <f>IF(ISNA(VLOOKUP(A70,'Données projet (1)'!$A$243:$I$263,6,0)),0%,VLOOKUP(A70,'Données projet (1)'!$A$243:$I$263,6,0)*VLOOKUP('Données projet (1)'!$B$17,'Paramètres (1)'!$A$1:$I$88,7,0))</f>
        <v>#REF!</v>
      </c>
      <c r="GK70" s="135" t="str">
        <f t="shared" si="94"/>
        <v>#REF!</v>
      </c>
      <c r="GL70" s="142" t="str">
        <f>EXP(-LN(2)/35)*GL69+(1-EXP(-LN(2)/35))/(LN(2)/35)*GH70*GI70*VLOOKUP('Données projet (1)'!$B$17,'Paramètres (1)'!$A$1:$I$88,3,0)*0.475*44/12</f>
        <v>#REF!</v>
      </c>
      <c r="GM70" s="142" t="str">
        <f>EXP(-LN(2)/25)*GM69+(1-EXP(-LN(2)/25))/(LN(2)/25)*'Calculateur (1)'!GH70*'Calculateur (1)'!GJ70*VLOOKUP('Données projet (1)'!$B$17,'Paramètres (1)'!$A$1:$I$88,3,0)*0.475*44/12</f>
        <v>#REF!</v>
      </c>
      <c r="GN70" s="142" t="str">
        <f>EXP(-LN(2)/2)*GN69+(1-EXP(-LN(2)/2))/(LN(2)/2)*GH70*GK70*VLOOKUP('Données projet (1)'!$B$17,'Paramètres (1)'!$A$1:$I$88,3,0)*0.475*44/12</f>
        <v>#REF!</v>
      </c>
      <c r="GO70" s="142" t="str">
        <f t="shared" si="95"/>
        <v>#REF!</v>
      </c>
      <c r="GP70" s="139" t="str">
        <f t="shared" si="96"/>
        <v>#REF!</v>
      </c>
      <c r="GQ70" s="131">
        <f t="shared" si="97"/>
        <v>10</v>
      </c>
      <c r="GR70" s="131" t="str">
        <f t="shared" si="144"/>
        <v>#REF!</v>
      </c>
      <c r="GS70" s="131" t="str">
        <f t="shared" si="98"/>
        <v>#REF!</v>
      </c>
      <c r="GT70" s="131" t="str">
        <f t="array" ref="GT70">INDEX(GS:GS,MIN(IF(ISNUMBER(GS70:GS266),ROW(GS70:GS266),"")))</f>
        <v/>
      </c>
      <c r="GU70" s="131" t="str">
        <f t="shared" si="145"/>
        <v>#REF!</v>
      </c>
      <c r="GV70" s="138" t="str">
        <f>GU70*VLOOKUP('Données projet (1)'!$B$18,'Paramètres (1)'!$A$1:$I$88,3,0)*VLOOKUP('Données projet (1)'!$B$18,'Paramètres (1)'!$A$1:$I$88,5,0)</f>
        <v>#REF!</v>
      </c>
      <c r="GW70" s="130" t="str">
        <f t="shared" si="146"/>
        <v>#REF!</v>
      </c>
      <c r="GX70" s="141" t="str">
        <f t="shared" si="99"/>
        <v>#REF!</v>
      </c>
      <c r="GY70" s="133" t="str">
        <f t="shared" si="100"/>
        <v>#REF!</v>
      </c>
      <c r="GZ70" s="133" t="str">
        <f t="shared" si="101"/>
        <v>#REF!</v>
      </c>
      <c r="HA70" s="133" t="str">
        <f t="shared" si="147"/>
        <v>#REF!</v>
      </c>
      <c r="HB70" s="134" t="str">
        <f t="shared" si="102"/>
        <v>#REF!</v>
      </c>
      <c r="HC70" s="134" t="str">
        <f t="shared" si="103"/>
        <v>#REF!</v>
      </c>
      <c r="HD70" s="135" t="str">
        <f>IF(ISNA(VLOOKUP(A70,'Données projet (1)'!$A$269:$I$289,5,0)),0%,VLOOKUP(A70,'Données projet (1)'!$A$269:$I$289,5,0)*VLOOKUP('Données projet (1)'!$B$18,'Paramètres (1)'!$A$1:$I$88,7,0))</f>
        <v>#REF!</v>
      </c>
      <c r="HE70" s="135" t="str">
        <f>IF(ISNA(VLOOKUP(A70,'Données projet (1)'!$A$269:$I$289,6,0)),0%,VLOOKUP(A70,'Données projet (1)'!$A$269:$I$289,6,0)*VLOOKUP('Données projet (1)'!$B$18,'Paramètres (1)'!$A$1:$I$88,7,0))</f>
        <v>#REF!</v>
      </c>
      <c r="HF70" s="135" t="str">
        <f t="shared" si="104"/>
        <v>#REF!</v>
      </c>
      <c r="HG70" s="142" t="str">
        <f>EXP(-LN(2)/35)*HG69+(1-EXP(-LN(2)/35))/(LN(2)/35)*HC70*HD70*VLOOKUP('Données projet (1)'!$B$18,'Paramètres (1)'!$A$1:$I$88,3,0)*0.475*44/12</f>
        <v>#REF!</v>
      </c>
      <c r="HH70" s="142" t="str">
        <f>EXP(-LN(2)/25)*HH69+(1-EXP(-LN(2)/25))/(LN(2)/25)*'Calculateur (1)'!HC70*'Calculateur (1)'!HE70*VLOOKUP('Données projet (1)'!$B$18,'Paramètres (1)'!$A$1:$I$88,3,0)*0.475*44/12</f>
        <v>#REF!</v>
      </c>
      <c r="HI70" s="142" t="str">
        <f>EXP(-LN(2)/2)*HI69+(1-EXP(-LN(2)/2))/(LN(2)/2)*HC70*HF70*VLOOKUP('Données projet (1)'!$B$18,'Paramètres (1)'!$A$1:$I$88,3,0)*0.475*44/12</f>
        <v>#REF!</v>
      </c>
      <c r="HJ70" s="143" t="str">
        <f t="shared" si="105"/>
        <v>#REF!</v>
      </c>
    </row>
    <row r="71" ht="14.25" customHeight="1">
      <c r="A71" s="125">
        <f t="shared" si="106"/>
        <v>68</v>
      </c>
      <c r="B71" s="126" t="str">
        <f t="shared" si="1"/>
        <v>#REF!</v>
      </c>
      <c r="C71" s="140" t="str">
        <f>'Calculateur (1)'!C70+'Scénario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1" s="127">
        <f t="shared" si="107"/>
        <v>0</v>
      </c>
      <c r="E71" s="127" t="str">
        <f t="shared" si="2"/>
        <v>#REF!</v>
      </c>
      <c r="F71" s="127" t="str">
        <f t="shared" si="3"/>
        <v>#REF!</v>
      </c>
      <c r="G71" s="127" t="str">
        <f t="shared" si="4"/>
        <v>#REF!</v>
      </c>
      <c r="H71" s="128" t="str">
        <f t="shared" si="5"/>
        <v>#REF!</v>
      </c>
      <c r="I71" s="129" t="str">
        <f t="shared" si="6"/>
        <v>#REF!</v>
      </c>
      <c r="J71" s="130">
        <f t="shared" si="7"/>
        <v>10</v>
      </c>
      <c r="K71" s="131" t="str">
        <f t="shared" si="108"/>
        <v>#REF!</v>
      </c>
      <c r="L71" s="131" t="str">
        <f t="shared" si="8"/>
        <v>#REF!</v>
      </c>
      <c r="M71" s="131" t="str">
        <f t="array" ref="M71">INDEX(L:L,MIN(IF(ISNUMBER(L71:L267),ROW(L71:L267),"")))</f>
        <v/>
      </c>
      <c r="N71" s="130" t="str">
        <f t="shared" si="109"/>
        <v>#REF!</v>
      </c>
      <c r="O71" s="130" t="str">
        <f>N71*VLOOKUP('Données projet (1)'!$B$9,'Paramètres (1)'!$A$1:$I$88,3,0)*VLOOKUP('Données projet (1)'!$B$9,'Paramètres (1)'!$A$1:$I$88,5,0)</f>
        <v>#REF!</v>
      </c>
      <c r="P71" s="130" t="str">
        <f t="shared" si="110"/>
        <v>#REF!</v>
      </c>
      <c r="Q71" s="141" t="str">
        <f t="shared" si="9"/>
        <v>#REF!</v>
      </c>
      <c r="R71" s="133" t="str">
        <f t="shared" si="10"/>
        <v>#REF!</v>
      </c>
      <c r="S71" s="133" t="str">
        <f t="shared" si="11"/>
        <v>#REF!</v>
      </c>
      <c r="T71" s="133" t="str">
        <f t="shared" si="111"/>
        <v>#REF!</v>
      </c>
      <c r="U71" s="134" t="str">
        <f t="shared" si="12"/>
        <v>#REF!</v>
      </c>
      <c r="V71" s="134" t="str">
        <f t="shared" si="13"/>
        <v>#REF!</v>
      </c>
      <c r="W71" s="135" t="str">
        <f>IF(ISNA(VLOOKUP(A71,'Données projet (1)'!$A$35:$I$55,5,0)),0%,VLOOKUP(A71,'Données projet (1)'!$A$35:$I$55,5,0)*VLOOKUP('Données projet (1)'!$B$9,'Paramètres (1)'!$A$1:$I$88,7,0))</f>
        <v>#REF!</v>
      </c>
      <c r="X71" s="135" t="str">
        <f>IF(ISNA(VLOOKUP(A71,'Données projet (1)'!$A$35:$I$55,6,0)),0%,VLOOKUP(A71,'Données projet (1)'!$A$35:$I$55,6,0)*VLOOKUP('Données projet (1)'!$B$9,'Paramètres (1)'!$A$1:$I$88,7,0))</f>
        <v>#REF!</v>
      </c>
      <c r="Y71" s="135" t="str">
        <f t="shared" si="14"/>
        <v>#REF!</v>
      </c>
      <c r="Z71" s="142" t="str">
        <f>EXP(-LN(2)/35)*Z70+(1-EXP(-LN(2)/35))/(LN(2)/35)*V71*W71*VLOOKUP('Données projet (1)'!$B$9,'Paramètres (1)'!$A$1:$I$88,3,0)*0.475*44/12</f>
        <v>#REF!</v>
      </c>
      <c r="AA71" s="142" t="str">
        <f>EXP(-LN(2)/25)*AA70+(1-EXP(-LN(2)/25))/(LN(2)/25)*'Calculateur (1)'!V71*'Calculateur (1)'!X71*VLOOKUP('Données projet (1)'!$B$9,'Paramètres (1)'!$A$1:$I$88,3,0)*0.475*44/12</f>
        <v>#REF!</v>
      </c>
      <c r="AB71" s="142" t="str">
        <f>EXP(-LN(2)/2)*AB70+(1-EXP(-LN(2)/2))/(LN(2)/2)*V71*Y71*VLOOKUP('Données projet (1)'!$B$9,'Paramètres (1)'!$A$1:$I$88,3,0)*0.475*44/12</f>
        <v>#REF!</v>
      </c>
      <c r="AC71" s="143" t="str">
        <f t="shared" si="15"/>
        <v>#REF!</v>
      </c>
      <c r="AD71" s="130" t="str">
        <f t="shared" si="16"/>
        <v>#REF!</v>
      </c>
      <c r="AE71" s="130">
        <f t="shared" si="17"/>
        <v>10</v>
      </c>
      <c r="AF71" s="131" t="str">
        <f t="shared" si="112"/>
        <v>#REF!</v>
      </c>
      <c r="AG71" s="131" t="str">
        <f t="shared" si="18"/>
        <v>#REF!</v>
      </c>
      <c r="AH71" s="131" t="str">
        <f t="array" ref="AH71">INDEX(AG:AG,MIN(IF(ISNUMBER(AG71:AG267),ROW(AG71:AG267),"")))</f>
        <v/>
      </c>
      <c r="AI71" s="130" t="str">
        <f t="shared" si="113"/>
        <v>#REF!</v>
      </c>
      <c r="AJ71" s="130" t="str">
        <f>AI71*VLOOKUP('Données projet (1)'!$B$10,'Paramètres (1)'!$A$1:$I$88,3,0)*VLOOKUP('Données projet (1)'!$B$10,'Paramètres (1)'!$A$1:$I$88,5,0)</f>
        <v>#REF!</v>
      </c>
      <c r="AK71" s="130" t="str">
        <f t="shared" si="114"/>
        <v>#REF!</v>
      </c>
      <c r="AL71" s="141" t="str">
        <f t="shared" si="19"/>
        <v>#REF!</v>
      </c>
      <c r="AM71" s="133" t="str">
        <f t="shared" si="20"/>
        <v>#REF!</v>
      </c>
      <c r="AN71" s="133" t="str">
        <f t="shared" si="21"/>
        <v>#REF!</v>
      </c>
      <c r="AO71" s="133" t="str">
        <f t="shared" si="115"/>
        <v>#REF!</v>
      </c>
      <c r="AP71" s="134" t="str">
        <f t="shared" si="22"/>
        <v>#REF!</v>
      </c>
      <c r="AQ71" s="134" t="str">
        <f t="shared" si="23"/>
        <v>#REF!</v>
      </c>
      <c r="AR71" s="135" t="str">
        <f>IF(ISNA(VLOOKUP(A71,'Données projet (1)'!$A$61:$I$81,5,0)),0%,VLOOKUP(A71,'Données projet (1)'!$A$61:$I$81,5,0)*VLOOKUP('Données projet (1)'!$B$10,'Paramètres (1)'!$A$1:$I$88,7,0))</f>
        <v>#REF!</v>
      </c>
      <c r="AS71" s="135" t="str">
        <f>IF(ISNA(VLOOKUP(A71,'Données projet (1)'!$A$61:$I$81,6,0)),0%,VLOOKUP(A71,'Données projet (1)'!$A$61:$I$81,6,0)*VLOOKUP('Données projet (1)'!$B$10,'Paramètres (1)'!$A$1:$I$88,7,0))</f>
        <v>#REF!</v>
      </c>
      <c r="AT71" s="135" t="str">
        <f t="shared" si="24"/>
        <v>#REF!</v>
      </c>
      <c r="AU71" s="142" t="str">
        <f>EXP(-LN(2)/35)*AU70+(1-EXP(-LN(2)/35))/(LN(2)/35)*AQ71*AR71*VLOOKUP('Données projet (1)'!$B$10,'Paramètres (1)'!$A$1:$I$88,3,0)*0.475*44/12</f>
        <v>#REF!</v>
      </c>
      <c r="AV71" s="142" t="str">
        <f>EXP(-LN(2)/25)*AV70+(1-EXP(-LN(2)/25))/(LN(2)/25)*'Calculateur (1)'!AQ71*'Calculateur (1)'!AS71*VLOOKUP('Données projet (1)'!$B$10,'Paramètres (1)'!$A$1:$I$88,3,0)*0.475*44/12</f>
        <v>#REF!</v>
      </c>
      <c r="AW71" s="142" t="str">
        <f>EXP(-LN(2)/2)*AW70+(1-EXP(-LN(2)/2))/(LN(2)/2)*AQ71*AT71*VLOOKUP('Données projet (1)'!$B$10,'Paramètres (1)'!$A$1:$I$88,3,0)*0.475*44/12</f>
        <v>#REF!</v>
      </c>
      <c r="AX71" s="142" t="str">
        <f t="shared" si="25"/>
        <v>#REF!</v>
      </c>
      <c r="AY71" s="137" t="str">
        <f t="shared" si="26"/>
        <v>#REF!</v>
      </c>
      <c r="AZ71" s="131">
        <f t="shared" si="27"/>
        <v>10</v>
      </c>
      <c r="BA71" s="131" t="str">
        <f t="shared" si="116"/>
        <v>#REF!</v>
      </c>
      <c r="BB71" s="131" t="str">
        <f t="shared" si="28"/>
        <v>#REF!</v>
      </c>
      <c r="BC71" s="131" t="str">
        <f t="array" ref="BC71">INDEX(BB:BB,MIN(IF(ISNUMBER(BB71:BB267),ROW(BB71:BB267),"")))</f>
        <v/>
      </c>
      <c r="BD71" s="131" t="str">
        <f t="shared" si="117"/>
        <v>#REF!</v>
      </c>
      <c r="BE71" s="130" t="str">
        <f>BD71*VLOOKUP('Données projet (1)'!$B$11,'Paramètres (1)'!$A$1:$I$88,3,0)*VLOOKUP('Données projet (1)'!$B$11,'Paramètres (1)'!$A$1:$I$88,5,0)</f>
        <v>#REF!</v>
      </c>
      <c r="BF71" s="130" t="str">
        <f t="shared" si="118"/>
        <v>#REF!</v>
      </c>
      <c r="BG71" s="141" t="str">
        <f t="shared" si="29"/>
        <v>#REF!</v>
      </c>
      <c r="BH71" s="133" t="str">
        <f t="shared" si="30"/>
        <v>#REF!</v>
      </c>
      <c r="BI71" s="133" t="str">
        <f t="shared" si="31"/>
        <v>#REF!</v>
      </c>
      <c r="BJ71" s="133" t="str">
        <f t="shared" si="119"/>
        <v>#REF!</v>
      </c>
      <c r="BK71" s="134" t="str">
        <f t="shared" si="32"/>
        <v>#REF!</v>
      </c>
      <c r="BL71" s="134" t="str">
        <f t="shared" si="33"/>
        <v>#REF!</v>
      </c>
      <c r="BM71" s="135" t="str">
        <f>IF(ISNA(VLOOKUP(A71,'Données projet (1)'!$A$87:$I$107,5,0)),0%,VLOOKUP(A71,'Données projet (1)'!$A$87:$I$107,5,0)*VLOOKUP('Données projet (1)'!$B$11,'Paramètres (1)'!$A$1:$I$88,7,0))</f>
        <v>#REF!</v>
      </c>
      <c r="BN71" s="135" t="str">
        <f>IF(ISNA(VLOOKUP(A71,'Données projet (1)'!$A$87:$I$107,6,0)),0%,VLOOKUP(A71,'Données projet (1)'!$A$87:$I$107,6,0)*VLOOKUP('Données projet (1)'!$B$11,'Paramètres (1)'!$A$1:$I$88,7,0))</f>
        <v>#REF!</v>
      </c>
      <c r="BO71" s="135" t="str">
        <f t="shared" si="34"/>
        <v>#REF!</v>
      </c>
      <c r="BP71" s="142" t="str">
        <f>EXP(-LN(2)/35)*BP70+(1-EXP(-LN(2)/35))/(LN(2)/35)*BL71*BM71*VLOOKUP('Données projet (1)'!$B$11,'Paramètres (1)'!$A$1:$I$88,3,0)*0.475*44/12</f>
        <v>#REF!</v>
      </c>
      <c r="BQ71" s="142" t="str">
        <f>EXP(-LN(2)/25)*BQ70+(1-EXP(-LN(2)/25))/(LN(2)/25)*'Calculateur (1)'!BL71*'Calculateur (1)'!BN71*VLOOKUP('Données projet (1)'!$B$11,'Paramètres (1)'!$A$1:$I$88,3,0)*0.475*44/12</f>
        <v>#REF!</v>
      </c>
      <c r="BR71" s="142" t="str">
        <f>EXP(-LN(2)/2)*BR70+(1-EXP(-LN(2)/2))/(LN(2)/2)*BL71*BO71*VLOOKUP('Données projet (1)'!$B$11,'Paramètres (1)'!$A$1:$I$88,3,0)*0.475*44/12</f>
        <v>#REF!</v>
      </c>
      <c r="BS71" s="143" t="str">
        <f t="shared" si="35"/>
        <v>#REF!</v>
      </c>
      <c r="BT71" s="139" t="str">
        <f t="shared" si="36"/>
        <v>#REF!</v>
      </c>
      <c r="BU71" s="131">
        <f t="shared" si="37"/>
        <v>10</v>
      </c>
      <c r="BV71" s="131" t="str">
        <f t="shared" si="120"/>
        <v>#REF!</v>
      </c>
      <c r="BW71" s="131" t="str">
        <f t="shared" si="38"/>
        <v>#REF!</v>
      </c>
      <c r="BX71" s="131" t="str">
        <f t="array" ref="BX71">INDEX(BW:BW,MIN(IF(ISNUMBER(BW71:BW267),ROW(BW71:BW267),"")))</f>
        <v/>
      </c>
      <c r="BY71" s="131" t="str">
        <f t="shared" si="121"/>
        <v>#REF!</v>
      </c>
      <c r="BZ71" s="130" t="str">
        <f>BY71*VLOOKUP('Données projet (1)'!$B$12,'Paramètres (1)'!$A$1:$I$88,3,0)*VLOOKUP('Données projet (1)'!$B$12,'Paramètres (1)'!$A$1:$I$88,5,0)</f>
        <v>#REF!</v>
      </c>
      <c r="CA71" s="130" t="str">
        <f t="shared" si="122"/>
        <v>#REF!</v>
      </c>
      <c r="CB71" s="141" t="str">
        <f t="shared" si="39"/>
        <v>#REF!</v>
      </c>
      <c r="CC71" s="133" t="str">
        <f t="shared" si="40"/>
        <v>#REF!</v>
      </c>
      <c r="CD71" s="133" t="str">
        <f t="shared" si="41"/>
        <v>#REF!</v>
      </c>
      <c r="CE71" s="133" t="str">
        <f t="shared" si="123"/>
        <v>#REF!</v>
      </c>
      <c r="CF71" s="134" t="str">
        <f t="shared" si="42"/>
        <v>#REF!</v>
      </c>
      <c r="CG71" s="134" t="str">
        <f t="shared" si="43"/>
        <v>#REF!</v>
      </c>
      <c r="CH71" s="135" t="str">
        <f>IF(ISNA(VLOOKUP(A71,'Données projet (1)'!$A$113:$I$133,5,0)),0%,VLOOKUP(A71,'Données projet (1)'!$A$113:$I$133,5,0)*VLOOKUP('Données projet (1)'!$B$12,'Paramètres (1)'!$A$1:$I$88,7,0))</f>
        <v>#REF!</v>
      </c>
      <c r="CI71" s="135" t="str">
        <f>IF(ISNA(VLOOKUP(A71,'Données projet (1)'!$A$113:$I$133,6,0)),0%,VLOOKUP(A71,'Données projet (1)'!$A$113:$I$133,6,0)*VLOOKUP('Données projet (1)'!$B$12,'Paramètres (1)'!$A$1:$I$88,7,0))</f>
        <v>#REF!</v>
      </c>
      <c r="CJ71" s="135" t="str">
        <f t="shared" si="44"/>
        <v>#REF!</v>
      </c>
      <c r="CK71" s="142" t="str">
        <f>EXP(-LN(2)/35)*CK70+(1-EXP(-LN(2)/35))/(LN(2)/35)*CG71*CH71*VLOOKUP('Données projet (1)'!$B$12,'Paramètres (1)'!$A$1:$I$88,3,0)*0.475*44/12</f>
        <v>#REF!</v>
      </c>
      <c r="CL71" s="142" t="str">
        <f>EXP(-LN(2)/25)*CL70+(1-EXP(-LN(2)/25))/(LN(2)/25)*'Calculateur (1)'!CG71*'Calculateur (1)'!CI71*VLOOKUP('Données projet (1)'!$B$12,'Paramètres (1)'!$A$1:$I$88,3,0)*0.475*44/12</f>
        <v>#REF!</v>
      </c>
      <c r="CM71" s="142" t="str">
        <f>EXP(-LN(2)/2)*CM70+(1-EXP(-LN(2)/2))/(LN(2)/2)*CG71*CJ71*VLOOKUP('Données projet (1)'!$B$12,'Paramètres (1)'!$A$1:$I$88,3,0)*0.475*44/12</f>
        <v>#REF!</v>
      </c>
      <c r="CN71" s="143" t="str">
        <f t="shared" si="45"/>
        <v>#REF!</v>
      </c>
      <c r="CO71" s="139" t="str">
        <f t="shared" si="46"/>
        <v>#REF!</v>
      </c>
      <c r="CP71" s="131">
        <f t="shared" si="47"/>
        <v>10</v>
      </c>
      <c r="CQ71" s="131" t="str">
        <f t="shared" si="124"/>
        <v>#REF!</v>
      </c>
      <c r="CR71" s="131" t="str">
        <f t="shared" si="48"/>
        <v>#REF!</v>
      </c>
      <c r="CS71" s="131" t="str">
        <f t="array" ref="CS71">INDEX(CR:CR,MIN(IF(ISNUMBER(CR71:CR267),ROW(CR71:CR267),"")))</f>
        <v/>
      </c>
      <c r="CT71" s="131" t="str">
        <f t="shared" si="125"/>
        <v>#REF!</v>
      </c>
      <c r="CU71" s="138" t="str">
        <f>CT71*VLOOKUP('Données projet (1)'!$B$13,'Paramètres (1)'!$A$1:$I$88,3,0)*VLOOKUP('Données projet (1)'!$B$13,'Paramètres (1)'!$A$1:$I$88,5,0)</f>
        <v>#REF!</v>
      </c>
      <c r="CV71" s="130" t="str">
        <f t="shared" si="126"/>
        <v>#REF!</v>
      </c>
      <c r="CW71" s="141" t="str">
        <f t="shared" si="49"/>
        <v>#REF!</v>
      </c>
      <c r="CX71" s="133" t="str">
        <f t="shared" si="50"/>
        <v>#REF!</v>
      </c>
      <c r="CY71" s="133" t="str">
        <f t="shared" si="51"/>
        <v>#REF!</v>
      </c>
      <c r="CZ71" s="133" t="str">
        <f t="shared" si="127"/>
        <v>#REF!</v>
      </c>
      <c r="DA71" s="134" t="str">
        <f t="shared" si="52"/>
        <v>#REF!</v>
      </c>
      <c r="DB71" s="134" t="str">
        <f t="shared" si="53"/>
        <v>#REF!</v>
      </c>
      <c r="DC71" s="135" t="str">
        <f>IF(ISNA(VLOOKUP(A71,'Données projet (1)'!$A$139:$I$159,5,0)),0%,VLOOKUP(A71,'Données projet (1)'!$A$139:$I$159,5,0)*VLOOKUP('Données projet (1)'!$B$13,'Paramètres (1)'!$A$1:$I$88,7,0))</f>
        <v>#REF!</v>
      </c>
      <c r="DD71" s="135" t="str">
        <f>IF(ISNA(VLOOKUP(A71,'Données projet (1)'!$A$139:$I$159,6,0)),0%,VLOOKUP(A71,'Données projet (1)'!$A$139:$I$159,6,0)*VLOOKUP('Données projet (1)'!$B$13,'Paramètres (1)'!$A$1:$I$88,7,0))</f>
        <v>#REF!</v>
      </c>
      <c r="DE71" s="135" t="str">
        <f t="shared" si="54"/>
        <v>#REF!</v>
      </c>
      <c r="DF71" s="142" t="str">
        <f>EXP(-LN(2)/35)*DF70+(1-EXP(-LN(2)/35))/(LN(2)/35)*DB71*DC71*VLOOKUP('Données projet (1)'!$B$13,'Paramètres (1)'!$A$1:$I$88,3,0)*0.475*44/12</f>
        <v>#REF!</v>
      </c>
      <c r="DG71" s="142" t="str">
        <f>EXP(-LN(2)/25)*DG70+(1-EXP(-LN(2)/25))/(LN(2)/25)*'Calculateur (1)'!DB71*'Calculateur (1)'!DD71*VLOOKUP('Données projet (1)'!$B$13,'Paramètres (1)'!$A$1:$I$88,3,0)*0.475*44/12</f>
        <v>#REF!</v>
      </c>
      <c r="DH71" s="142" t="str">
        <f>EXP(-LN(2)/2)*DH70+(1-EXP(-LN(2)/2))/(LN(2)/2)*DB71*DE71*VLOOKUP('Données projet (1)'!$B$13,'Paramètres (1)'!$A$1:$I$88,3,0)*0.475*44/12</f>
        <v>#REF!</v>
      </c>
      <c r="DI71" s="143" t="str">
        <f t="shared" si="55"/>
        <v>#REF!</v>
      </c>
      <c r="DJ71" s="139" t="str">
        <f t="shared" si="56"/>
        <v>#REF!</v>
      </c>
      <c r="DK71" s="131">
        <f t="shared" si="57"/>
        <v>10</v>
      </c>
      <c r="DL71" s="131" t="str">
        <f t="shared" si="128"/>
        <v>#REF!</v>
      </c>
      <c r="DM71" s="131" t="str">
        <f t="shared" si="58"/>
        <v>#REF!</v>
      </c>
      <c r="DN71" s="131" t="str">
        <f t="array" ref="DN71">INDEX(DM:DM,MIN(IF(ISNUMBER(DM71:DM267),ROW(DM71:DM267),"")))</f>
        <v/>
      </c>
      <c r="DO71" s="131" t="str">
        <f t="shared" si="129"/>
        <v>#REF!</v>
      </c>
      <c r="DP71" s="138" t="str">
        <f>DO71*VLOOKUP('Données projet (1)'!$B$14,'Paramètres (1)'!$A$1:$I$88,3,0)*VLOOKUP('Données projet (1)'!$B$14,'Paramètres (1)'!$A$1:$I$88,5,0)</f>
        <v>#REF!</v>
      </c>
      <c r="DQ71" s="130" t="str">
        <f t="shared" si="130"/>
        <v>#REF!</v>
      </c>
      <c r="DR71" s="141" t="str">
        <f t="shared" si="59"/>
        <v>#REF!</v>
      </c>
      <c r="DS71" s="133" t="str">
        <f t="shared" si="60"/>
        <v>#REF!</v>
      </c>
      <c r="DT71" s="133" t="str">
        <f t="shared" si="61"/>
        <v>#REF!</v>
      </c>
      <c r="DU71" s="133" t="str">
        <f t="shared" si="131"/>
        <v>#REF!</v>
      </c>
      <c r="DV71" s="134" t="str">
        <f t="shared" si="62"/>
        <v>#REF!</v>
      </c>
      <c r="DW71" s="134" t="str">
        <f t="shared" si="63"/>
        <v>#REF!</v>
      </c>
      <c r="DX71" s="135" t="str">
        <f>IF(ISNA(VLOOKUP(A71,'Données projet (1)'!$A$165:$I$185,5,0)),0%,VLOOKUP(A71,'Données projet (1)'!$A$165:$I$185,5,0)*VLOOKUP('Données projet (1)'!$B$14,'Paramètres (1)'!$A$1:$I$88,7,0))</f>
        <v>#REF!</v>
      </c>
      <c r="DY71" s="135" t="str">
        <f>IF(ISNA(VLOOKUP(A71,'Données projet (1)'!$A$165:$I$185,6,0)),0%,VLOOKUP(A71,'Données projet (1)'!$A$165:$I$185,6,0)*VLOOKUP('Données projet (1)'!$B$14,'Paramètres (1)'!$A$1:$I$88,7,0))</f>
        <v>#REF!</v>
      </c>
      <c r="DZ71" s="135" t="str">
        <f t="shared" si="64"/>
        <v>#REF!</v>
      </c>
      <c r="EA71" s="142" t="str">
        <f>EXP(-LN(2)/35)*EA70+(1-EXP(-LN(2)/35))/(LN(2)/35)*DW71*DX71*VLOOKUP('Données projet (1)'!$B$14,'Paramètres (1)'!$A$1:$I$88,3,0)*0.475*44/12</f>
        <v>#REF!</v>
      </c>
      <c r="EB71" s="142" t="str">
        <f>EXP(-LN(2)/25)*EB70+(1-EXP(-LN(2)/25))/(LN(2)/25)*'Calculateur (1)'!DW71*'Calculateur (1)'!DY71*VLOOKUP('Données projet (1)'!$B$14,'Paramètres (1)'!$A$1:$I$88,3,0)*0.475*44/12</f>
        <v>#REF!</v>
      </c>
      <c r="EC71" s="142" t="str">
        <f>EXP(-LN(2)/2)*EC70+(1-EXP(-LN(2)/2))/(LN(2)/2)*DW71*DZ71*VLOOKUP('Données projet (1)'!$B$14,'Paramètres (1)'!$A$1:$I$88,3,0)*0.475*44/12</f>
        <v>#REF!</v>
      </c>
      <c r="ED71" s="143" t="str">
        <f t="shared" si="65"/>
        <v>#REF!</v>
      </c>
      <c r="EE71" s="139" t="str">
        <f t="shared" si="66"/>
        <v>#REF!</v>
      </c>
      <c r="EF71" s="131">
        <f t="shared" si="67"/>
        <v>10</v>
      </c>
      <c r="EG71" s="131" t="str">
        <f t="shared" si="132"/>
        <v>#REF!</v>
      </c>
      <c r="EH71" s="131" t="str">
        <f t="shared" si="68"/>
        <v>#REF!</v>
      </c>
      <c r="EI71" s="131" t="str">
        <f t="array" ref="EI71">INDEX(EH:EH,MIN(IF(ISNUMBER(EH71:EH267),ROW(EH71:EH267),"")))</f>
        <v/>
      </c>
      <c r="EJ71" s="131" t="str">
        <f t="shared" si="133"/>
        <v>#REF!</v>
      </c>
      <c r="EK71" s="138" t="str">
        <f>EJ71*VLOOKUP('Données projet (1)'!$B$15,'Paramètres (1)'!$A$1:$I$88,3,0)*VLOOKUP('Données projet (1)'!$B$15,'Paramètres (1)'!$A$1:$I$88,5,0)</f>
        <v>#REF!</v>
      </c>
      <c r="EL71" s="130" t="str">
        <f t="shared" si="134"/>
        <v>#REF!</v>
      </c>
      <c r="EM71" s="141" t="str">
        <f t="shared" si="69"/>
        <v>#REF!</v>
      </c>
      <c r="EN71" s="133" t="str">
        <f t="shared" si="70"/>
        <v>#REF!</v>
      </c>
      <c r="EO71" s="133" t="str">
        <f t="shared" si="71"/>
        <v>#REF!</v>
      </c>
      <c r="EP71" s="133" t="str">
        <f t="shared" si="135"/>
        <v>#REF!</v>
      </c>
      <c r="EQ71" s="134" t="str">
        <f t="shared" si="72"/>
        <v>#REF!</v>
      </c>
      <c r="ER71" s="134" t="str">
        <f t="shared" si="73"/>
        <v>#REF!</v>
      </c>
      <c r="ES71" s="135" t="str">
        <f>IF(ISNA(VLOOKUP(A71,'Données projet (1)'!$A$191:$I$211,5,0)),0%,VLOOKUP(A71,'Données projet (1)'!$A$191:$I$211,5,0)*VLOOKUP('Données projet (1)'!$B$15,'Paramètres (1)'!$A$1:$I$88,7,0))</f>
        <v>#REF!</v>
      </c>
      <c r="ET71" s="135" t="str">
        <f>IF(ISNA(VLOOKUP(A71,'Données projet (1)'!$A$191:$I$211,6,0)),0%,VLOOKUP(A71,'Données projet (1)'!$A$191:$I$211,6,0)*VLOOKUP('Données projet (1)'!$B$15,'Paramètres (1)'!$A$1:$I$88,7,0))</f>
        <v>#REF!</v>
      </c>
      <c r="EU71" s="135" t="str">
        <f t="shared" si="74"/>
        <v>#REF!</v>
      </c>
      <c r="EV71" s="142" t="str">
        <f>EXP(-LN(2)/35)*EV70+(1-EXP(-LN(2)/35))/(LN(2)/35)*ER71*ES71*VLOOKUP('Données projet (1)'!$B$15,'Paramètres (1)'!$A$1:$I$88,3,0)*0.475*44/12</f>
        <v>#REF!</v>
      </c>
      <c r="EW71" s="142" t="str">
        <f>EXP(-LN(2)/25)*EW70+(1-EXP(-LN(2)/25))/(LN(2)/25)*'Calculateur (1)'!ER71*'Calculateur (1)'!ET71*VLOOKUP('Données projet (1)'!$B$15,'Paramètres (1)'!$A$1:$I$88,3,0)*0.475*44/12</f>
        <v>#REF!</v>
      </c>
      <c r="EX71" s="142" t="str">
        <f>EXP(-LN(2)/2)*EX70+(1-EXP(-LN(2)/2))/(LN(2)/2)*ER71*EU71*VLOOKUP('Données projet (1)'!$B$15,'Paramètres (1)'!$A$1:$I$88,3,0)*0.475*44/12</f>
        <v>#REF!</v>
      </c>
      <c r="EY71" s="143" t="str">
        <f t="shared" si="75"/>
        <v>#REF!</v>
      </c>
      <c r="EZ71" s="139" t="str">
        <f t="shared" si="76"/>
        <v>#REF!</v>
      </c>
      <c r="FA71" s="131">
        <f t="shared" si="77"/>
        <v>10</v>
      </c>
      <c r="FB71" s="131" t="str">
        <f t="shared" si="136"/>
        <v>#REF!</v>
      </c>
      <c r="FC71" s="131" t="str">
        <f t="shared" si="78"/>
        <v>#REF!</v>
      </c>
      <c r="FD71" s="131" t="str">
        <f t="array" ref="FD71">INDEX(FC:FC,MIN(IF(ISNUMBER(FC71:FC267),ROW(FC71:FC267),"")))</f>
        <v/>
      </c>
      <c r="FE71" s="131" t="str">
        <f t="shared" si="137"/>
        <v>#REF!</v>
      </c>
      <c r="FF71" s="138" t="str">
        <f>FE71*VLOOKUP('Données projet (1)'!$B$16,'Paramètres (1)'!$A$1:$I$88,3,0)*VLOOKUP('Données projet (1)'!$B$16,'Paramètres (1)'!$A$1:$I$88,5,0)</f>
        <v>#REF!</v>
      </c>
      <c r="FG71" s="130" t="str">
        <f t="shared" si="138"/>
        <v>#REF!</v>
      </c>
      <c r="FH71" s="141" t="str">
        <f t="shared" si="79"/>
        <v>#REF!</v>
      </c>
      <c r="FI71" s="133" t="str">
        <f t="shared" si="80"/>
        <v>#REF!</v>
      </c>
      <c r="FJ71" s="133" t="str">
        <f t="shared" si="81"/>
        <v>#REF!</v>
      </c>
      <c r="FK71" s="133" t="str">
        <f t="shared" si="139"/>
        <v>#REF!</v>
      </c>
      <c r="FL71" s="134" t="str">
        <f t="shared" si="82"/>
        <v>#REF!</v>
      </c>
      <c r="FM71" s="134" t="str">
        <f t="shared" si="83"/>
        <v>#REF!</v>
      </c>
      <c r="FN71" s="135" t="str">
        <f>IF(ISNA(VLOOKUP(A71,'Données projet (1)'!$A$217:$I$237,5,0)),0%,VLOOKUP(A71,'Données projet (1)'!$A$217:$I$237,5,0)*VLOOKUP('Données projet (1)'!$B$16,'Paramètres (1)'!$A$1:$I$88,7,0))</f>
        <v>#REF!</v>
      </c>
      <c r="FO71" s="135" t="str">
        <f>IF(ISNA(VLOOKUP(A71,'Données projet (1)'!$A$217:$I$237,6,0)),0%,VLOOKUP(A71,'Données projet (1)'!$A$217:$I$237,6,0)*VLOOKUP('Données projet (1)'!$B$16,'Paramètres (1)'!$A$1:$I$88,7,0))</f>
        <v>#REF!</v>
      </c>
      <c r="FP71" s="135" t="str">
        <f t="shared" si="84"/>
        <v>#REF!</v>
      </c>
      <c r="FQ71" s="142" t="str">
        <f>EXP(-LN(2)/35)*FQ70+(1-EXP(-LN(2)/35))/(LN(2)/35)*FM71*FN71*VLOOKUP('Données projet (1)'!$B$16,'Paramètres (1)'!$A$1:$I$88,3,0)*0.475*44/12</f>
        <v>#REF!</v>
      </c>
      <c r="FR71" s="142" t="str">
        <f>EXP(-LN(2)/25)*FR70+(1-EXP(-LN(2)/25))/(LN(2)/25)*'Calculateur (1)'!FM71*'Calculateur (1)'!FO71*VLOOKUP('Données projet (1)'!$B$16,'Paramètres (1)'!$A$1:$I$88,3,0)*0.475*44/12</f>
        <v>#REF!</v>
      </c>
      <c r="FS71" s="142" t="str">
        <f>EXP(-LN(2)/2)*FS70+(1-EXP(-LN(2)/2))/(LN(2)/2)*FM71*FP71*VLOOKUP('Données projet (1)'!$B$16,'Paramètres (1)'!$A$1:$I$88,3,0)*0.475*44/12</f>
        <v>#REF!</v>
      </c>
      <c r="FT71" s="143" t="str">
        <f t="shared" si="85"/>
        <v>#REF!</v>
      </c>
      <c r="FU71" s="139" t="str">
        <f t="shared" si="86"/>
        <v>#REF!</v>
      </c>
      <c r="FV71" s="131">
        <f t="shared" si="87"/>
        <v>10</v>
      </c>
      <c r="FW71" s="131" t="str">
        <f t="shared" si="140"/>
        <v>#REF!</v>
      </c>
      <c r="FX71" s="131" t="str">
        <f t="shared" si="88"/>
        <v>#REF!</v>
      </c>
      <c r="FY71" s="131" t="str">
        <f t="array" ref="FY71">INDEX(FX:FX,MIN(IF(ISNUMBER(FX71:FX267),ROW(FX71:FX267),"")))</f>
        <v/>
      </c>
      <c r="FZ71" s="131" t="str">
        <f t="shared" si="141"/>
        <v>#REF!</v>
      </c>
      <c r="GA71" s="138" t="str">
        <f>FZ71*VLOOKUP('Données projet (1)'!$B$17,'Paramètres (1)'!$A$1:$I$88,3,0)*VLOOKUP('Données projet (1)'!$B$17,'Paramètres (1)'!$A$1:$I$88,5,0)</f>
        <v>#REF!</v>
      </c>
      <c r="GB71" s="130" t="str">
        <f t="shared" si="142"/>
        <v>#REF!</v>
      </c>
      <c r="GC71" s="141" t="str">
        <f t="shared" si="89"/>
        <v>#REF!</v>
      </c>
      <c r="GD71" s="133" t="str">
        <f t="shared" si="90"/>
        <v>#REF!</v>
      </c>
      <c r="GE71" s="133" t="str">
        <f t="shared" si="91"/>
        <v>#REF!</v>
      </c>
      <c r="GF71" s="133" t="str">
        <f t="shared" si="143"/>
        <v>#REF!</v>
      </c>
      <c r="GG71" s="134" t="str">
        <f t="shared" si="92"/>
        <v>#REF!</v>
      </c>
      <c r="GH71" s="134" t="str">
        <f t="shared" si="93"/>
        <v>#REF!</v>
      </c>
      <c r="GI71" s="135" t="str">
        <f>IF(ISNA(VLOOKUP(A71,'Données projet (1)'!$A$243:$I$263,5,0)),0%,VLOOKUP(A71,'Données projet (1)'!$A$243:$I$263,5,0)*VLOOKUP('Données projet (1)'!$B$17,'Paramètres (1)'!$A$1:$I$88,7,0))</f>
        <v>#REF!</v>
      </c>
      <c r="GJ71" s="135" t="str">
        <f>IF(ISNA(VLOOKUP(A71,'Données projet (1)'!$A$243:$I$263,6,0)),0%,VLOOKUP(A71,'Données projet (1)'!$A$243:$I$263,6,0)*VLOOKUP('Données projet (1)'!$B$17,'Paramètres (1)'!$A$1:$I$88,7,0))</f>
        <v>#REF!</v>
      </c>
      <c r="GK71" s="135" t="str">
        <f t="shared" si="94"/>
        <v>#REF!</v>
      </c>
      <c r="GL71" s="142" t="str">
        <f>EXP(-LN(2)/35)*GL70+(1-EXP(-LN(2)/35))/(LN(2)/35)*GH71*GI71*VLOOKUP('Données projet (1)'!$B$17,'Paramètres (1)'!$A$1:$I$88,3,0)*0.475*44/12</f>
        <v>#REF!</v>
      </c>
      <c r="GM71" s="142" t="str">
        <f>EXP(-LN(2)/25)*GM70+(1-EXP(-LN(2)/25))/(LN(2)/25)*'Calculateur (1)'!GH71*'Calculateur (1)'!GJ71*VLOOKUP('Données projet (1)'!$B$17,'Paramètres (1)'!$A$1:$I$88,3,0)*0.475*44/12</f>
        <v>#REF!</v>
      </c>
      <c r="GN71" s="142" t="str">
        <f>EXP(-LN(2)/2)*GN70+(1-EXP(-LN(2)/2))/(LN(2)/2)*GH71*GK71*VLOOKUP('Données projet (1)'!$B$17,'Paramètres (1)'!$A$1:$I$88,3,0)*0.475*44/12</f>
        <v>#REF!</v>
      </c>
      <c r="GO71" s="142" t="str">
        <f t="shared" si="95"/>
        <v>#REF!</v>
      </c>
      <c r="GP71" s="139" t="str">
        <f t="shared" si="96"/>
        <v>#REF!</v>
      </c>
      <c r="GQ71" s="131">
        <f t="shared" si="97"/>
        <v>10</v>
      </c>
      <c r="GR71" s="131" t="str">
        <f t="shared" si="144"/>
        <v>#REF!</v>
      </c>
      <c r="GS71" s="131" t="str">
        <f t="shared" si="98"/>
        <v>#REF!</v>
      </c>
      <c r="GT71" s="131" t="str">
        <f t="array" ref="GT71">INDEX(GS:GS,MIN(IF(ISNUMBER(GS71:GS267),ROW(GS71:GS267),"")))</f>
        <v/>
      </c>
      <c r="GU71" s="131" t="str">
        <f t="shared" si="145"/>
        <v>#REF!</v>
      </c>
      <c r="GV71" s="138" t="str">
        <f>GU71*VLOOKUP('Données projet (1)'!$B$18,'Paramètres (1)'!$A$1:$I$88,3,0)*VLOOKUP('Données projet (1)'!$B$18,'Paramètres (1)'!$A$1:$I$88,5,0)</f>
        <v>#REF!</v>
      </c>
      <c r="GW71" s="130" t="str">
        <f t="shared" si="146"/>
        <v>#REF!</v>
      </c>
      <c r="GX71" s="141" t="str">
        <f t="shared" si="99"/>
        <v>#REF!</v>
      </c>
      <c r="GY71" s="133" t="str">
        <f t="shared" si="100"/>
        <v>#REF!</v>
      </c>
      <c r="GZ71" s="133" t="str">
        <f t="shared" si="101"/>
        <v>#REF!</v>
      </c>
      <c r="HA71" s="133" t="str">
        <f t="shared" si="147"/>
        <v>#REF!</v>
      </c>
      <c r="HB71" s="134" t="str">
        <f t="shared" si="102"/>
        <v>#REF!</v>
      </c>
      <c r="HC71" s="134" t="str">
        <f t="shared" si="103"/>
        <v>#REF!</v>
      </c>
      <c r="HD71" s="135" t="str">
        <f>IF(ISNA(VLOOKUP(A71,'Données projet (1)'!$A$269:$I$289,5,0)),0%,VLOOKUP(A71,'Données projet (1)'!$A$269:$I$289,5,0)*VLOOKUP('Données projet (1)'!$B$18,'Paramètres (1)'!$A$1:$I$88,7,0))</f>
        <v>#REF!</v>
      </c>
      <c r="HE71" s="135" t="str">
        <f>IF(ISNA(VLOOKUP(A71,'Données projet (1)'!$A$269:$I$289,6,0)),0%,VLOOKUP(A71,'Données projet (1)'!$A$269:$I$289,6,0)*VLOOKUP('Données projet (1)'!$B$18,'Paramètres (1)'!$A$1:$I$88,7,0))</f>
        <v>#REF!</v>
      </c>
      <c r="HF71" s="135" t="str">
        <f t="shared" si="104"/>
        <v>#REF!</v>
      </c>
      <c r="HG71" s="142" t="str">
        <f>EXP(-LN(2)/35)*HG70+(1-EXP(-LN(2)/35))/(LN(2)/35)*HC71*HD71*VLOOKUP('Données projet (1)'!$B$18,'Paramètres (1)'!$A$1:$I$88,3,0)*0.475*44/12</f>
        <v>#REF!</v>
      </c>
      <c r="HH71" s="142" t="str">
        <f>EXP(-LN(2)/25)*HH70+(1-EXP(-LN(2)/25))/(LN(2)/25)*'Calculateur (1)'!HC71*'Calculateur (1)'!HE71*VLOOKUP('Données projet (1)'!$B$18,'Paramètres (1)'!$A$1:$I$88,3,0)*0.475*44/12</f>
        <v>#REF!</v>
      </c>
      <c r="HI71" s="142" t="str">
        <f>EXP(-LN(2)/2)*HI70+(1-EXP(-LN(2)/2))/(LN(2)/2)*HC71*HF71*VLOOKUP('Données projet (1)'!$B$18,'Paramètres (1)'!$A$1:$I$88,3,0)*0.475*44/12</f>
        <v>#REF!</v>
      </c>
      <c r="HJ71" s="143" t="str">
        <f t="shared" si="105"/>
        <v>#REF!</v>
      </c>
    </row>
    <row r="72" ht="14.25" customHeight="1">
      <c r="A72" s="125">
        <f t="shared" si="106"/>
        <v>69</v>
      </c>
      <c r="B72" s="126" t="str">
        <f t="shared" si="1"/>
        <v>#REF!</v>
      </c>
      <c r="C72" s="140" t="str">
        <f>'Calculateur (1)'!C71+'Scénario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2" s="127">
        <f t="shared" si="107"/>
        <v>0</v>
      </c>
      <c r="E72" s="127" t="str">
        <f t="shared" si="2"/>
        <v>#REF!</v>
      </c>
      <c r="F72" s="127" t="str">
        <f t="shared" si="3"/>
        <v>#REF!</v>
      </c>
      <c r="G72" s="127" t="str">
        <f t="shared" si="4"/>
        <v>#REF!</v>
      </c>
      <c r="H72" s="128" t="str">
        <f t="shared" si="5"/>
        <v>#REF!</v>
      </c>
      <c r="I72" s="129" t="str">
        <f t="shared" si="6"/>
        <v>#REF!</v>
      </c>
      <c r="J72" s="130">
        <f t="shared" si="7"/>
        <v>10</v>
      </c>
      <c r="K72" s="131" t="str">
        <f t="shared" si="108"/>
        <v>#REF!</v>
      </c>
      <c r="L72" s="131" t="str">
        <f t="shared" si="8"/>
        <v>#REF!</v>
      </c>
      <c r="M72" s="131" t="str">
        <f t="array" ref="M72">INDEX(L:L,MIN(IF(ISNUMBER(L72:L268),ROW(L72:L268),"")))</f>
        <v/>
      </c>
      <c r="N72" s="130" t="str">
        <f t="shared" si="109"/>
        <v>#REF!</v>
      </c>
      <c r="O72" s="130" t="str">
        <f>N72*VLOOKUP('Données projet (1)'!$B$9,'Paramètres (1)'!$A$1:$I$88,3,0)*VLOOKUP('Données projet (1)'!$B$9,'Paramètres (1)'!$A$1:$I$88,5,0)</f>
        <v>#REF!</v>
      </c>
      <c r="P72" s="130" t="str">
        <f t="shared" si="110"/>
        <v>#REF!</v>
      </c>
      <c r="Q72" s="141" t="str">
        <f t="shared" si="9"/>
        <v>#REF!</v>
      </c>
      <c r="R72" s="133" t="str">
        <f t="shared" si="10"/>
        <v>#REF!</v>
      </c>
      <c r="S72" s="133" t="str">
        <f t="shared" si="11"/>
        <v>#REF!</v>
      </c>
      <c r="T72" s="133" t="str">
        <f t="shared" si="111"/>
        <v>#REF!</v>
      </c>
      <c r="U72" s="134" t="str">
        <f t="shared" si="12"/>
        <v>#REF!</v>
      </c>
      <c r="V72" s="134" t="str">
        <f t="shared" si="13"/>
        <v>#REF!</v>
      </c>
      <c r="W72" s="135" t="str">
        <f>IF(ISNA(VLOOKUP(A72,'Données projet (1)'!$A$35:$I$55,5,0)),0%,VLOOKUP(A72,'Données projet (1)'!$A$35:$I$55,5,0)*VLOOKUP('Données projet (1)'!$B$9,'Paramètres (1)'!$A$1:$I$88,7,0))</f>
        <v>#REF!</v>
      </c>
      <c r="X72" s="135" t="str">
        <f>IF(ISNA(VLOOKUP(A72,'Données projet (1)'!$A$35:$I$55,6,0)),0%,VLOOKUP(A72,'Données projet (1)'!$A$35:$I$55,6,0)*VLOOKUP('Données projet (1)'!$B$9,'Paramètres (1)'!$A$1:$I$88,7,0))</f>
        <v>#REF!</v>
      </c>
      <c r="Y72" s="135" t="str">
        <f t="shared" si="14"/>
        <v>#REF!</v>
      </c>
      <c r="Z72" s="142" t="str">
        <f>EXP(-LN(2)/35)*Z71+(1-EXP(-LN(2)/35))/(LN(2)/35)*V72*W72*VLOOKUP('Données projet (1)'!$B$9,'Paramètres (1)'!$A$1:$I$88,3,0)*0.475*44/12</f>
        <v>#REF!</v>
      </c>
      <c r="AA72" s="142" t="str">
        <f>EXP(-LN(2)/25)*AA71+(1-EXP(-LN(2)/25))/(LN(2)/25)*'Calculateur (1)'!V72*'Calculateur (1)'!X72*VLOOKUP('Données projet (1)'!$B$9,'Paramètres (1)'!$A$1:$I$88,3,0)*0.475*44/12</f>
        <v>#REF!</v>
      </c>
      <c r="AB72" s="142" t="str">
        <f>EXP(-LN(2)/2)*AB71+(1-EXP(-LN(2)/2))/(LN(2)/2)*V72*Y72*VLOOKUP('Données projet (1)'!$B$9,'Paramètres (1)'!$A$1:$I$88,3,0)*0.475*44/12</f>
        <v>#REF!</v>
      </c>
      <c r="AC72" s="143" t="str">
        <f t="shared" si="15"/>
        <v>#REF!</v>
      </c>
      <c r="AD72" s="130" t="str">
        <f t="shared" si="16"/>
        <v>#REF!</v>
      </c>
      <c r="AE72" s="130">
        <f t="shared" si="17"/>
        <v>10</v>
      </c>
      <c r="AF72" s="131" t="str">
        <f t="shared" si="112"/>
        <v>#REF!</v>
      </c>
      <c r="AG72" s="131" t="str">
        <f t="shared" si="18"/>
        <v>#REF!</v>
      </c>
      <c r="AH72" s="131" t="str">
        <f t="array" ref="AH72">INDEX(AG:AG,MIN(IF(ISNUMBER(AG72:AG268),ROW(AG72:AG268),"")))</f>
        <v/>
      </c>
      <c r="AI72" s="130" t="str">
        <f t="shared" si="113"/>
        <v>#REF!</v>
      </c>
      <c r="AJ72" s="130" t="str">
        <f>AI72*VLOOKUP('Données projet (1)'!$B$10,'Paramètres (1)'!$A$1:$I$88,3,0)*VLOOKUP('Données projet (1)'!$B$10,'Paramètres (1)'!$A$1:$I$88,5,0)</f>
        <v>#REF!</v>
      </c>
      <c r="AK72" s="130" t="str">
        <f t="shared" si="114"/>
        <v>#REF!</v>
      </c>
      <c r="AL72" s="141" t="str">
        <f t="shared" si="19"/>
        <v>#REF!</v>
      </c>
      <c r="AM72" s="133" t="str">
        <f t="shared" si="20"/>
        <v>#REF!</v>
      </c>
      <c r="AN72" s="133" t="str">
        <f t="shared" si="21"/>
        <v>#REF!</v>
      </c>
      <c r="AO72" s="133" t="str">
        <f t="shared" si="115"/>
        <v>#REF!</v>
      </c>
      <c r="AP72" s="134" t="str">
        <f t="shared" si="22"/>
        <v>#REF!</v>
      </c>
      <c r="AQ72" s="134" t="str">
        <f t="shared" si="23"/>
        <v>#REF!</v>
      </c>
      <c r="AR72" s="135" t="str">
        <f>IF(ISNA(VLOOKUP(A72,'Données projet (1)'!$A$61:$I$81,5,0)),0%,VLOOKUP(A72,'Données projet (1)'!$A$61:$I$81,5,0)*VLOOKUP('Données projet (1)'!$B$10,'Paramètres (1)'!$A$1:$I$88,7,0))</f>
        <v>#REF!</v>
      </c>
      <c r="AS72" s="135" t="str">
        <f>IF(ISNA(VLOOKUP(A72,'Données projet (1)'!$A$61:$I$81,6,0)),0%,VLOOKUP(A72,'Données projet (1)'!$A$61:$I$81,6,0)*VLOOKUP('Données projet (1)'!$B$10,'Paramètres (1)'!$A$1:$I$88,7,0))</f>
        <v>#REF!</v>
      </c>
      <c r="AT72" s="135" t="str">
        <f t="shared" si="24"/>
        <v>#REF!</v>
      </c>
      <c r="AU72" s="142" t="str">
        <f>EXP(-LN(2)/35)*AU71+(1-EXP(-LN(2)/35))/(LN(2)/35)*AQ72*AR72*VLOOKUP('Données projet (1)'!$B$10,'Paramètres (1)'!$A$1:$I$88,3,0)*0.475*44/12</f>
        <v>#REF!</v>
      </c>
      <c r="AV72" s="142" t="str">
        <f>EXP(-LN(2)/25)*AV71+(1-EXP(-LN(2)/25))/(LN(2)/25)*'Calculateur (1)'!AQ72*'Calculateur (1)'!AS72*VLOOKUP('Données projet (1)'!$B$10,'Paramètres (1)'!$A$1:$I$88,3,0)*0.475*44/12</f>
        <v>#REF!</v>
      </c>
      <c r="AW72" s="142" t="str">
        <f>EXP(-LN(2)/2)*AW71+(1-EXP(-LN(2)/2))/(LN(2)/2)*AQ72*AT72*VLOOKUP('Données projet (1)'!$B$10,'Paramètres (1)'!$A$1:$I$88,3,0)*0.475*44/12</f>
        <v>#REF!</v>
      </c>
      <c r="AX72" s="142" t="str">
        <f t="shared" si="25"/>
        <v>#REF!</v>
      </c>
      <c r="AY72" s="137" t="str">
        <f t="shared" si="26"/>
        <v>#REF!</v>
      </c>
      <c r="AZ72" s="131">
        <f t="shared" si="27"/>
        <v>10</v>
      </c>
      <c r="BA72" s="131" t="str">
        <f t="shared" si="116"/>
        <v>#REF!</v>
      </c>
      <c r="BB72" s="131" t="str">
        <f t="shared" si="28"/>
        <v>#REF!</v>
      </c>
      <c r="BC72" s="131" t="str">
        <f t="array" ref="BC72">INDEX(BB:BB,MIN(IF(ISNUMBER(BB72:BB268),ROW(BB72:BB268),"")))</f>
        <v/>
      </c>
      <c r="BD72" s="131" t="str">
        <f t="shared" si="117"/>
        <v>#REF!</v>
      </c>
      <c r="BE72" s="130" t="str">
        <f>BD72*VLOOKUP('Données projet (1)'!$B$11,'Paramètres (1)'!$A$1:$I$88,3,0)*VLOOKUP('Données projet (1)'!$B$11,'Paramètres (1)'!$A$1:$I$88,5,0)</f>
        <v>#REF!</v>
      </c>
      <c r="BF72" s="130" t="str">
        <f t="shared" si="118"/>
        <v>#REF!</v>
      </c>
      <c r="BG72" s="141" t="str">
        <f t="shared" si="29"/>
        <v>#REF!</v>
      </c>
      <c r="BH72" s="133" t="str">
        <f t="shared" si="30"/>
        <v>#REF!</v>
      </c>
      <c r="BI72" s="133" t="str">
        <f t="shared" si="31"/>
        <v>#REF!</v>
      </c>
      <c r="BJ72" s="133" t="str">
        <f t="shared" si="119"/>
        <v>#REF!</v>
      </c>
      <c r="BK72" s="134" t="str">
        <f t="shared" si="32"/>
        <v>#REF!</v>
      </c>
      <c r="BL72" s="134" t="str">
        <f t="shared" si="33"/>
        <v>#REF!</v>
      </c>
      <c r="BM72" s="135" t="str">
        <f>IF(ISNA(VLOOKUP(A72,'Données projet (1)'!$A$87:$I$107,5,0)),0%,VLOOKUP(A72,'Données projet (1)'!$A$87:$I$107,5,0)*VLOOKUP('Données projet (1)'!$B$11,'Paramètres (1)'!$A$1:$I$88,7,0))</f>
        <v>#REF!</v>
      </c>
      <c r="BN72" s="135" t="str">
        <f>IF(ISNA(VLOOKUP(A72,'Données projet (1)'!$A$87:$I$107,6,0)),0%,VLOOKUP(A72,'Données projet (1)'!$A$87:$I$107,6,0)*VLOOKUP('Données projet (1)'!$B$11,'Paramètres (1)'!$A$1:$I$88,7,0))</f>
        <v>#REF!</v>
      </c>
      <c r="BO72" s="135" t="str">
        <f t="shared" si="34"/>
        <v>#REF!</v>
      </c>
      <c r="BP72" s="142" t="str">
        <f>EXP(-LN(2)/35)*BP71+(1-EXP(-LN(2)/35))/(LN(2)/35)*BL72*BM72*VLOOKUP('Données projet (1)'!$B$11,'Paramètres (1)'!$A$1:$I$88,3,0)*0.475*44/12</f>
        <v>#REF!</v>
      </c>
      <c r="BQ72" s="142" t="str">
        <f>EXP(-LN(2)/25)*BQ71+(1-EXP(-LN(2)/25))/(LN(2)/25)*'Calculateur (1)'!BL72*'Calculateur (1)'!BN72*VLOOKUP('Données projet (1)'!$B$11,'Paramètres (1)'!$A$1:$I$88,3,0)*0.475*44/12</f>
        <v>#REF!</v>
      </c>
      <c r="BR72" s="142" t="str">
        <f>EXP(-LN(2)/2)*BR71+(1-EXP(-LN(2)/2))/(LN(2)/2)*BL72*BO72*VLOOKUP('Données projet (1)'!$B$11,'Paramètres (1)'!$A$1:$I$88,3,0)*0.475*44/12</f>
        <v>#REF!</v>
      </c>
      <c r="BS72" s="143" t="str">
        <f t="shared" si="35"/>
        <v>#REF!</v>
      </c>
      <c r="BT72" s="139" t="str">
        <f t="shared" si="36"/>
        <v>#REF!</v>
      </c>
      <c r="BU72" s="131">
        <f t="shared" si="37"/>
        <v>10</v>
      </c>
      <c r="BV72" s="131" t="str">
        <f t="shared" si="120"/>
        <v>#REF!</v>
      </c>
      <c r="BW72" s="131" t="str">
        <f t="shared" si="38"/>
        <v>#REF!</v>
      </c>
      <c r="BX72" s="131" t="str">
        <f t="array" ref="BX72">INDEX(BW:BW,MIN(IF(ISNUMBER(BW72:BW268),ROW(BW72:BW268),"")))</f>
        <v/>
      </c>
      <c r="BY72" s="131" t="str">
        <f t="shared" si="121"/>
        <v>#REF!</v>
      </c>
      <c r="BZ72" s="130" t="str">
        <f>BY72*VLOOKUP('Données projet (1)'!$B$12,'Paramètres (1)'!$A$1:$I$88,3,0)*VLOOKUP('Données projet (1)'!$B$12,'Paramètres (1)'!$A$1:$I$88,5,0)</f>
        <v>#REF!</v>
      </c>
      <c r="CA72" s="130" t="str">
        <f t="shared" si="122"/>
        <v>#REF!</v>
      </c>
      <c r="CB72" s="141" t="str">
        <f t="shared" si="39"/>
        <v>#REF!</v>
      </c>
      <c r="CC72" s="133" t="str">
        <f t="shared" si="40"/>
        <v>#REF!</v>
      </c>
      <c r="CD72" s="133" t="str">
        <f t="shared" si="41"/>
        <v>#REF!</v>
      </c>
      <c r="CE72" s="133" t="str">
        <f t="shared" si="123"/>
        <v>#REF!</v>
      </c>
      <c r="CF72" s="134" t="str">
        <f t="shared" si="42"/>
        <v>#REF!</v>
      </c>
      <c r="CG72" s="134" t="str">
        <f t="shared" si="43"/>
        <v>#REF!</v>
      </c>
      <c r="CH72" s="135" t="str">
        <f>IF(ISNA(VLOOKUP(A72,'Données projet (1)'!$A$113:$I$133,5,0)),0%,VLOOKUP(A72,'Données projet (1)'!$A$113:$I$133,5,0)*VLOOKUP('Données projet (1)'!$B$12,'Paramètres (1)'!$A$1:$I$88,7,0))</f>
        <v>#REF!</v>
      </c>
      <c r="CI72" s="135" t="str">
        <f>IF(ISNA(VLOOKUP(A72,'Données projet (1)'!$A$113:$I$133,6,0)),0%,VLOOKUP(A72,'Données projet (1)'!$A$113:$I$133,6,0)*VLOOKUP('Données projet (1)'!$B$12,'Paramètres (1)'!$A$1:$I$88,7,0))</f>
        <v>#REF!</v>
      </c>
      <c r="CJ72" s="135" t="str">
        <f t="shared" si="44"/>
        <v>#REF!</v>
      </c>
      <c r="CK72" s="142" t="str">
        <f>EXP(-LN(2)/35)*CK71+(1-EXP(-LN(2)/35))/(LN(2)/35)*CG72*CH72*VLOOKUP('Données projet (1)'!$B$12,'Paramètres (1)'!$A$1:$I$88,3,0)*0.475*44/12</f>
        <v>#REF!</v>
      </c>
      <c r="CL72" s="142" t="str">
        <f>EXP(-LN(2)/25)*CL71+(1-EXP(-LN(2)/25))/(LN(2)/25)*'Calculateur (1)'!CG72*'Calculateur (1)'!CI72*VLOOKUP('Données projet (1)'!$B$12,'Paramètres (1)'!$A$1:$I$88,3,0)*0.475*44/12</f>
        <v>#REF!</v>
      </c>
      <c r="CM72" s="142" t="str">
        <f>EXP(-LN(2)/2)*CM71+(1-EXP(-LN(2)/2))/(LN(2)/2)*CG72*CJ72*VLOOKUP('Données projet (1)'!$B$12,'Paramètres (1)'!$A$1:$I$88,3,0)*0.475*44/12</f>
        <v>#REF!</v>
      </c>
      <c r="CN72" s="143" t="str">
        <f t="shared" si="45"/>
        <v>#REF!</v>
      </c>
      <c r="CO72" s="139" t="str">
        <f t="shared" si="46"/>
        <v>#REF!</v>
      </c>
      <c r="CP72" s="131">
        <f t="shared" si="47"/>
        <v>10</v>
      </c>
      <c r="CQ72" s="131" t="str">
        <f t="shared" si="124"/>
        <v>#REF!</v>
      </c>
      <c r="CR72" s="131" t="str">
        <f t="shared" si="48"/>
        <v>#REF!</v>
      </c>
      <c r="CS72" s="131" t="str">
        <f t="array" ref="CS72">INDEX(CR:CR,MIN(IF(ISNUMBER(CR72:CR268),ROW(CR72:CR268),"")))</f>
        <v/>
      </c>
      <c r="CT72" s="131" t="str">
        <f t="shared" si="125"/>
        <v>#REF!</v>
      </c>
      <c r="CU72" s="138" t="str">
        <f>CT72*VLOOKUP('Données projet (1)'!$B$13,'Paramètres (1)'!$A$1:$I$88,3,0)*VLOOKUP('Données projet (1)'!$B$13,'Paramètres (1)'!$A$1:$I$88,5,0)</f>
        <v>#REF!</v>
      </c>
      <c r="CV72" s="130" t="str">
        <f t="shared" si="126"/>
        <v>#REF!</v>
      </c>
      <c r="CW72" s="141" t="str">
        <f t="shared" si="49"/>
        <v>#REF!</v>
      </c>
      <c r="CX72" s="133" t="str">
        <f t="shared" si="50"/>
        <v>#REF!</v>
      </c>
      <c r="CY72" s="133" t="str">
        <f t="shared" si="51"/>
        <v>#REF!</v>
      </c>
      <c r="CZ72" s="133" t="str">
        <f t="shared" si="127"/>
        <v>#REF!</v>
      </c>
      <c r="DA72" s="134" t="str">
        <f t="shared" si="52"/>
        <v>#REF!</v>
      </c>
      <c r="DB72" s="134" t="str">
        <f t="shared" si="53"/>
        <v>#REF!</v>
      </c>
      <c r="DC72" s="135" t="str">
        <f>IF(ISNA(VLOOKUP(A72,'Données projet (1)'!$A$139:$I$159,5,0)),0%,VLOOKUP(A72,'Données projet (1)'!$A$139:$I$159,5,0)*VLOOKUP('Données projet (1)'!$B$13,'Paramètres (1)'!$A$1:$I$88,7,0))</f>
        <v>#REF!</v>
      </c>
      <c r="DD72" s="135" t="str">
        <f>IF(ISNA(VLOOKUP(A72,'Données projet (1)'!$A$139:$I$159,6,0)),0%,VLOOKUP(A72,'Données projet (1)'!$A$139:$I$159,6,0)*VLOOKUP('Données projet (1)'!$B$13,'Paramètres (1)'!$A$1:$I$88,7,0))</f>
        <v>#REF!</v>
      </c>
      <c r="DE72" s="135" t="str">
        <f t="shared" si="54"/>
        <v>#REF!</v>
      </c>
      <c r="DF72" s="142" t="str">
        <f>EXP(-LN(2)/35)*DF71+(1-EXP(-LN(2)/35))/(LN(2)/35)*DB72*DC72*VLOOKUP('Données projet (1)'!$B$13,'Paramètres (1)'!$A$1:$I$88,3,0)*0.475*44/12</f>
        <v>#REF!</v>
      </c>
      <c r="DG72" s="142" t="str">
        <f>EXP(-LN(2)/25)*DG71+(1-EXP(-LN(2)/25))/(LN(2)/25)*'Calculateur (1)'!DB72*'Calculateur (1)'!DD72*VLOOKUP('Données projet (1)'!$B$13,'Paramètres (1)'!$A$1:$I$88,3,0)*0.475*44/12</f>
        <v>#REF!</v>
      </c>
      <c r="DH72" s="142" t="str">
        <f>EXP(-LN(2)/2)*DH71+(1-EXP(-LN(2)/2))/(LN(2)/2)*DB72*DE72*VLOOKUP('Données projet (1)'!$B$13,'Paramètres (1)'!$A$1:$I$88,3,0)*0.475*44/12</f>
        <v>#REF!</v>
      </c>
      <c r="DI72" s="143" t="str">
        <f t="shared" si="55"/>
        <v>#REF!</v>
      </c>
      <c r="DJ72" s="139" t="str">
        <f t="shared" si="56"/>
        <v>#REF!</v>
      </c>
      <c r="DK72" s="131">
        <f t="shared" si="57"/>
        <v>10</v>
      </c>
      <c r="DL72" s="131" t="str">
        <f t="shared" si="128"/>
        <v>#REF!</v>
      </c>
      <c r="DM72" s="131" t="str">
        <f t="shared" si="58"/>
        <v>#REF!</v>
      </c>
      <c r="DN72" s="131" t="str">
        <f t="array" ref="DN72">INDEX(DM:DM,MIN(IF(ISNUMBER(DM72:DM268),ROW(DM72:DM268),"")))</f>
        <v/>
      </c>
      <c r="DO72" s="131" t="str">
        <f t="shared" si="129"/>
        <v>#REF!</v>
      </c>
      <c r="DP72" s="138" t="str">
        <f>DO72*VLOOKUP('Données projet (1)'!$B$14,'Paramètres (1)'!$A$1:$I$88,3,0)*VLOOKUP('Données projet (1)'!$B$14,'Paramètres (1)'!$A$1:$I$88,5,0)</f>
        <v>#REF!</v>
      </c>
      <c r="DQ72" s="130" t="str">
        <f t="shared" si="130"/>
        <v>#REF!</v>
      </c>
      <c r="DR72" s="141" t="str">
        <f t="shared" si="59"/>
        <v>#REF!</v>
      </c>
      <c r="DS72" s="133" t="str">
        <f t="shared" si="60"/>
        <v>#REF!</v>
      </c>
      <c r="DT72" s="133" t="str">
        <f t="shared" si="61"/>
        <v>#REF!</v>
      </c>
      <c r="DU72" s="133" t="str">
        <f t="shared" si="131"/>
        <v>#REF!</v>
      </c>
      <c r="DV72" s="134" t="str">
        <f t="shared" si="62"/>
        <v>#REF!</v>
      </c>
      <c r="DW72" s="134" t="str">
        <f t="shared" si="63"/>
        <v>#REF!</v>
      </c>
      <c r="DX72" s="135" t="str">
        <f>IF(ISNA(VLOOKUP(A72,'Données projet (1)'!$A$165:$I$185,5,0)),0%,VLOOKUP(A72,'Données projet (1)'!$A$165:$I$185,5,0)*VLOOKUP('Données projet (1)'!$B$14,'Paramètres (1)'!$A$1:$I$88,7,0))</f>
        <v>#REF!</v>
      </c>
      <c r="DY72" s="135" t="str">
        <f>IF(ISNA(VLOOKUP(A72,'Données projet (1)'!$A$165:$I$185,6,0)),0%,VLOOKUP(A72,'Données projet (1)'!$A$165:$I$185,6,0)*VLOOKUP('Données projet (1)'!$B$14,'Paramètres (1)'!$A$1:$I$88,7,0))</f>
        <v>#REF!</v>
      </c>
      <c r="DZ72" s="135" t="str">
        <f t="shared" si="64"/>
        <v>#REF!</v>
      </c>
      <c r="EA72" s="142" t="str">
        <f>EXP(-LN(2)/35)*EA71+(1-EXP(-LN(2)/35))/(LN(2)/35)*DW72*DX72*VLOOKUP('Données projet (1)'!$B$14,'Paramètres (1)'!$A$1:$I$88,3,0)*0.475*44/12</f>
        <v>#REF!</v>
      </c>
      <c r="EB72" s="142" t="str">
        <f>EXP(-LN(2)/25)*EB71+(1-EXP(-LN(2)/25))/(LN(2)/25)*'Calculateur (1)'!DW72*'Calculateur (1)'!DY72*VLOOKUP('Données projet (1)'!$B$14,'Paramètres (1)'!$A$1:$I$88,3,0)*0.475*44/12</f>
        <v>#REF!</v>
      </c>
      <c r="EC72" s="142" t="str">
        <f>EXP(-LN(2)/2)*EC71+(1-EXP(-LN(2)/2))/(LN(2)/2)*DW72*DZ72*VLOOKUP('Données projet (1)'!$B$14,'Paramètres (1)'!$A$1:$I$88,3,0)*0.475*44/12</f>
        <v>#REF!</v>
      </c>
      <c r="ED72" s="143" t="str">
        <f t="shared" si="65"/>
        <v>#REF!</v>
      </c>
      <c r="EE72" s="139" t="str">
        <f t="shared" si="66"/>
        <v>#REF!</v>
      </c>
      <c r="EF72" s="131">
        <f t="shared" si="67"/>
        <v>10</v>
      </c>
      <c r="EG72" s="131" t="str">
        <f t="shared" si="132"/>
        <v>#REF!</v>
      </c>
      <c r="EH72" s="131" t="str">
        <f t="shared" si="68"/>
        <v>#REF!</v>
      </c>
      <c r="EI72" s="131" t="str">
        <f t="array" ref="EI72">INDEX(EH:EH,MIN(IF(ISNUMBER(EH72:EH268),ROW(EH72:EH268),"")))</f>
        <v/>
      </c>
      <c r="EJ72" s="131" t="str">
        <f t="shared" si="133"/>
        <v>#REF!</v>
      </c>
      <c r="EK72" s="138" t="str">
        <f>EJ72*VLOOKUP('Données projet (1)'!$B$15,'Paramètres (1)'!$A$1:$I$88,3,0)*VLOOKUP('Données projet (1)'!$B$15,'Paramètres (1)'!$A$1:$I$88,5,0)</f>
        <v>#REF!</v>
      </c>
      <c r="EL72" s="130" t="str">
        <f t="shared" si="134"/>
        <v>#REF!</v>
      </c>
      <c r="EM72" s="141" t="str">
        <f t="shared" si="69"/>
        <v>#REF!</v>
      </c>
      <c r="EN72" s="133" t="str">
        <f t="shared" si="70"/>
        <v>#REF!</v>
      </c>
      <c r="EO72" s="133" t="str">
        <f t="shared" si="71"/>
        <v>#REF!</v>
      </c>
      <c r="EP72" s="133" t="str">
        <f t="shared" si="135"/>
        <v>#REF!</v>
      </c>
      <c r="EQ72" s="134" t="str">
        <f t="shared" si="72"/>
        <v>#REF!</v>
      </c>
      <c r="ER72" s="134" t="str">
        <f t="shared" si="73"/>
        <v>#REF!</v>
      </c>
      <c r="ES72" s="135" t="str">
        <f>IF(ISNA(VLOOKUP(A72,'Données projet (1)'!$A$191:$I$211,5,0)),0%,VLOOKUP(A72,'Données projet (1)'!$A$191:$I$211,5,0)*VLOOKUP('Données projet (1)'!$B$15,'Paramètres (1)'!$A$1:$I$88,7,0))</f>
        <v>#REF!</v>
      </c>
      <c r="ET72" s="135" t="str">
        <f>IF(ISNA(VLOOKUP(A72,'Données projet (1)'!$A$191:$I$211,6,0)),0%,VLOOKUP(A72,'Données projet (1)'!$A$191:$I$211,6,0)*VLOOKUP('Données projet (1)'!$B$15,'Paramètres (1)'!$A$1:$I$88,7,0))</f>
        <v>#REF!</v>
      </c>
      <c r="EU72" s="135" t="str">
        <f t="shared" si="74"/>
        <v>#REF!</v>
      </c>
      <c r="EV72" s="142" t="str">
        <f>EXP(-LN(2)/35)*EV71+(1-EXP(-LN(2)/35))/(LN(2)/35)*ER72*ES72*VLOOKUP('Données projet (1)'!$B$15,'Paramètres (1)'!$A$1:$I$88,3,0)*0.475*44/12</f>
        <v>#REF!</v>
      </c>
      <c r="EW72" s="142" t="str">
        <f>EXP(-LN(2)/25)*EW71+(1-EXP(-LN(2)/25))/(LN(2)/25)*'Calculateur (1)'!ER72*'Calculateur (1)'!ET72*VLOOKUP('Données projet (1)'!$B$15,'Paramètres (1)'!$A$1:$I$88,3,0)*0.475*44/12</f>
        <v>#REF!</v>
      </c>
      <c r="EX72" s="142" t="str">
        <f>EXP(-LN(2)/2)*EX71+(1-EXP(-LN(2)/2))/(LN(2)/2)*ER72*EU72*VLOOKUP('Données projet (1)'!$B$15,'Paramètres (1)'!$A$1:$I$88,3,0)*0.475*44/12</f>
        <v>#REF!</v>
      </c>
      <c r="EY72" s="143" t="str">
        <f t="shared" si="75"/>
        <v>#REF!</v>
      </c>
      <c r="EZ72" s="139" t="str">
        <f t="shared" si="76"/>
        <v>#REF!</v>
      </c>
      <c r="FA72" s="131">
        <f t="shared" si="77"/>
        <v>10</v>
      </c>
      <c r="FB72" s="131" t="str">
        <f t="shared" si="136"/>
        <v>#REF!</v>
      </c>
      <c r="FC72" s="131" t="str">
        <f t="shared" si="78"/>
        <v>#REF!</v>
      </c>
      <c r="FD72" s="131" t="str">
        <f t="array" ref="FD72">INDEX(FC:FC,MIN(IF(ISNUMBER(FC72:FC268),ROW(FC72:FC268),"")))</f>
        <v/>
      </c>
      <c r="FE72" s="131" t="str">
        <f t="shared" si="137"/>
        <v>#REF!</v>
      </c>
      <c r="FF72" s="138" t="str">
        <f>FE72*VLOOKUP('Données projet (1)'!$B$16,'Paramètres (1)'!$A$1:$I$88,3,0)*VLOOKUP('Données projet (1)'!$B$16,'Paramètres (1)'!$A$1:$I$88,5,0)</f>
        <v>#REF!</v>
      </c>
      <c r="FG72" s="130" t="str">
        <f t="shared" si="138"/>
        <v>#REF!</v>
      </c>
      <c r="FH72" s="141" t="str">
        <f t="shared" si="79"/>
        <v>#REF!</v>
      </c>
      <c r="FI72" s="133" t="str">
        <f t="shared" si="80"/>
        <v>#REF!</v>
      </c>
      <c r="FJ72" s="133" t="str">
        <f t="shared" si="81"/>
        <v>#REF!</v>
      </c>
      <c r="FK72" s="133" t="str">
        <f t="shared" si="139"/>
        <v>#REF!</v>
      </c>
      <c r="FL72" s="134" t="str">
        <f t="shared" si="82"/>
        <v>#REF!</v>
      </c>
      <c r="FM72" s="134" t="str">
        <f t="shared" si="83"/>
        <v>#REF!</v>
      </c>
      <c r="FN72" s="135" t="str">
        <f>IF(ISNA(VLOOKUP(A72,'Données projet (1)'!$A$217:$I$237,5,0)),0%,VLOOKUP(A72,'Données projet (1)'!$A$217:$I$237,5,0)*VLOOKUP('Données projet (1)'!$B$16,'Paramètres (1)'!$A$1:$I$88,7,0))</f>
        <v>#REF!</v>
      </c>
      <c r="FO72" s="135" t="str">
        <f>IF(ISNA(VLOOKUP(A72,'Données projet (1)'!$A$217:$I$237,6,0)),0%,VLOOKUP(A72,'Données projet (1)'!$A$217:$I$237,6,0)*VLOOKUP('Données projet (1)'!$B$16,'Paramètres (1)'!$A$1:$I$88,7,0))</f>
        <v>#REF!</v>
      </c>
      <c r="FP72" s="135" t="str">
        <f t="shared" si="84"/>
        <v>#REF!</v>
      </c>
      <c r="FQ72" s="142" t="str">
        <f>EXP(-LN(2)/35)*FQ71+(1-EXP(-LN(2)/35))/(LN(2)/35)*FM72*FN72*VLOOKUP('Données projet (1)'!$B$16,'Paramètres (1)'!$A$1:$I$88,3,0)*0.475*44/12</f>
        <v>#REF!</v>
      </c>
      <c r="FR72" s="142" t="str">
        <f>EXP(-LN(2)/25)*FR71+(1-EXP(-LN(2)/25))/(LN(2)/25)*'Calculateur (1)'!FM72*'Calculateur (1)'!FO72*VLOOKUP('Données projet (1)'!$B$16,'Paramètres (1)'!$A$1:$I$88,3,0)*0.475*44/12</f>
        <v>#REF!</v>
      </c>
      <c r="FS72" s="142" t="str">
        <f>EXP(-LN(2)/2)*FS71+(1-EXP(-LN(2)/2))/(LN(2)/2)*FM72*FP72*VLOOKUP('Données projet (1)'!$B$16,'Paramètres (1)'!$A$1:$I$88,3,0)*0.475*44/12</f>
        <v>#REF!</v>
      </c>
      <c r="FT72" s="143" t="str">
        <f t="shared" si="85"/>
        <v>#REF!</v>
      </c>
      <c r="FU72" s="139" t="str">
        <f t="shared" si="86"/>
        <v>#REF!</v>
      </c>
      <c r="FV72" s="131">
        <f t="shared" si="87"/>
        <v>10</v>
      </c>
      <c r="FW72" s="131" t="str">
        <f t="shared" si="140"/>
        <v>#REF!</v>
      </c>
      <c r="FX72" s="131" t="str">
        <f t="shared" si="88"/>
        <v>#REF!</v>
      </c>
      <c r="FY72" s="131" t="str">
        <f t="array" ref="FY72">INDEX(FX:FX,MIN(IF(ISNUMBER(FX72:FX268),ROW(FX72:FX268),"")))</f>
        <v/>
      </c>
      <c r="FZ72" s="131" t="str">
        <f t="shared" si="141"/>
        <v>#REF!</v>
      </c>
      <c r="GA72" s="138" t="str">
        <f>FZ72*VLOOKUP('Données projet (1)'!$B$17,'Paramètres (1)'!$A$1:$I$88,3,0)*VLOOKUP('Données projet (1)'!$B$17,'Paramètres (1)'!$A$1:$I$88,5,0)</f>
        <v>#REF!</v>
      </c>
      <c r="GB72" s="130" t="str">
        <f t="shared" si="142"/>
        <v>#REF!</v>
      </c>
      <c r="GC72" s="141" t="str">
        <f t="shared" si="89"/>
        <v>#REF!</v>
      </c>
      <c r="GD72" s="133" t="str">
        <f t="shared" si="90"/>
        <v>#REF!</v>
      </c>
      <c r="GE72" s="133" t="str">
        <f t="shared" si="91"/>
        <v>#REF!</v>
      </c>
      <c r="GF72" s="133" t="str">
        <f t="shared" si="143"/>
        <v>#REF!</v>
      </c>
      <c r="GG72" s="134" t="str">
        <f t="shared" si="92"/>
        <v>#REF!</v>
      </c>
      <c r="GH72" s="134" t="str">
        <f t="shared" si="93"/>
        <v>#REF!</v>
      </c>
      <c r="GI72" s="135" t="str">
        <f>IF(ISNA(VLOOKUP(A72,'Données projet (1)'!$A$243:$I$263,5,0)),0%,VLOOKUP(A72,'Données projet (1)'!$A$243:$I$263,5,0)*VLOOKUP('Données projet (1)'!$B$17,'Paramètres (1)'!$A$1:$I$88,7,0))</f>
        <v>#REF!</v>
      </c>
      <c r="GJ72" s="135" t="str">
        <f>IF(ISNA(VLOOKUP(A72,'Données projet (1)'!$A$243:$I$263,6,0)),0%,VLOOKUP(A72,'Données projet (1)'!$A$243:$I$263,6,0)*VLOOKUP('Données projet (1)'!$B$17,'Paramètres (1)'!$A$1:$I$88,7,0))</f>
        <v>#REF!</v>
      </c>
      <c r="GK72" s="135" t="str">
        <f t="shared" si="94"/>
        <v>#REF!</v>
      </c>
      <c r="GL72" s="142" t="str">
        <f>EXP(-LN(2)/35)*GL71+(1-EXP(-LN(2)/35))/(LN(2)/35)*GH72*GI72*VLOOKUP('Données projet (1)'!$B$17,'Paramètres (1)'!$A$1:$I$88,3,0)*0.475*44/12</f>
        <v>#REF!</v>
      </c>
      <c r="GM72" s="142" t="str">
        <f>EXP(-LN(2)/25)*GM71+(1-EXP(-LN(2)/25))/(LN(2)/25)*'Calculateur (1)'!GH72*'Calculateur (1)'!GJ72*VLOOKUP('Données projet (1)'!$B$17,'Paramètres (1)'!$A$1:$I$88,3,0)*0.475*44/12</f>
        <v>#REF!</v>
      </c>
      <c r="GN72" s="142" t="str">
        <f>EXP(-LN(2)/2)*GN71+(1-EXP(-LN(2)/2))/(LN(2)/2)*GH72*GK72*VLOOKUP('Données projet (1)'!$B$17,'Paramètres (1)'!$A$1:$I$88,3,0)*0.475*44/12</f>
        <v>#REF!</v>
      </c>
      <c r="GO72" s="142" t="str">
        <f t="shared" si="95"/>
        <v>#REF!</v>
      </c>
      <c r="GP72" s="139" t="str">
        <f t="shared" si="96"/>
        <v>#REF!</v>
      </c>
      <c r="GQ72" s="131">
        <f t="shared" si="97"/>
        <v>10</v>
      </c>
      <c r="GR72" s="131" t="str">
        <f t="shared" si="144"/>
        <v>#REF!</v>
      </c>
      <c r="GS72" s="131" t="str">
        <f t="shared" si="98"/>
        <v>#REF!</v>
      </c>
      <c r="GT72" s="131" t="str">
        <f t="array" ref="GT72">INDEX(GS:GS,MIN(IF(ISNUMBER(GS72:GS268),ROW(GS72:GS268),"")))</f>
        <v/>
      </c>
      <c r="GU72" s="131" t="str">
        <f t="shared" si="145"/>
        <v>#REF!</v>
      </c>
      <c r="GV72" s="138" t="str">
        <f>GU72*VLOOKUP('Données projet (1)'!$B$18,'Paramètres (1)'!$A$1:$I$88,3,0)*VLOOKUP('Données projet (1)'!$B$18,'Paramètres (1)'!$A$1:$I$88,5,0)</f>
        <v>#REF!</v>
      </c>
      <c r="GW72" s="130" t="str">
        <f t="shared" si="146"/>
        <v>#REF!</v>
      </c>
      <c r="GX72" s="141" t="str">
        <f t="shared" si="99"/>
        <v>#REF!</v>
      </c>
      <c r="GY72" s="133" t="str">
        <f t="shared" si="100"/>
        <v>#REF!</v>
      </c>
      <c r="GZ72" s="133" t="str">
        <f t="shared" si="101"/>
        <v>#REF!</v>
      </c>
      <c r="HA72" s="133" t="str">
        <f t="shared" si="147"/>
        <v>#REF!</v>
      </c>
      <c r="HB72" s="134" t="str">
        <f t="shared" si="102"/>
        <v>#REF!</v>
      </c>
      <c r="HC72" s="134" t="str">
        <f t="shared" si="103"/>
        <v>#REF!</v>
      </c>
      <c r="HD72" s="135" t="str">
        <f>IF(ISNA(VLOOKUP(A72,'Données projet (1)'!$A$269:$I$289,5,0)),0%,VLOOKUP(A72,'Données projet (1)'!$A$269:$I$289,5,0)*VLOOKUP('Données projet (1)'!$B$18,'Paramètres (1)'!$A$1:$I$88,7,0))</f>
        <v>#REF!</v>
      </c>
      <c r="HE72" s="135" t="str">
        <f>IF(ISNA(VLOOKUP(A72,'Données projet (1)'!$A$269:$I$289,6,0)),0%,VLOOKUP(A72,'Données projet (1)'!$A$269:$I$289,6,0)*VLOOKUP('Données projet (1)'!$B$18,'Paramètres (1)'!$A$1:$I$88,7,0))</f>
        <v>#REF!</v>
      </c>
      <c r="HF72" s="135" t="str">
        <f t="shared" si="104"/>
        <v>#REF!</v>
      </c>
      <c r="HG72" s="142" t="str">
        <f>EXP(-LN(2)/35)*HG71+(1-EXP(-LN(2)/35))/(LN(2)/35)*HC72*HD72*VLOOKUP('Données projet (1)'!$B$18,'Paramètres (1)'!$A$1:$I$88,3,0)*0.475*44/12</f>
        <v>#REF!</v>
      </c>
      <c r="HH72" s="142" t="str">
        <f>EXP(-LN(2)/25)*HH71+(1-EXP(-LN(2)/25))/(LN(2)/25)*'Calculateur (1)'!HC72*'Calculateur (1)'!HE72*VLOOKUP('Données projet (1)'!$B$18,'Paramètres (1)'!$A$1:$I$88,3,0)*0.475*44/12</f>
        <v>#REF!</v>
      </c>
      <c r="HI72" s="142" t="str">
        <f>EXP(-LN(2)/2)*HI71+(1-EXP(-LN(2)/2))/(LN(2)/2)*HC72*HF72*VLOOKUP('Données projet (1)'!$B$18,'Paramètres (1)'!$A$1:$I$88,3,0)*0.475*44/12</f>
        <v>#REF!</v>
      </c>
      <c r="HJ72" s="143" t="str">
        <f t="shared" si="105"/>
        <v>#REF!</v>
      </c>
    </row>
    <row r="73" ht="14.25" customHeight="1">
      <c r="A73" s="125">
        <f t="shared" si="106"/>
        <v>70</v>
      </c>
      <c r="B73" s="126" t="str">
        <f t="shared" si="1"/>
        <v>#REF!</v>
      </c>
      <c r="C73" s="140" t="str">
        <f>'Calculateur (1)'!C72+'Scénario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3" s="127">
        <f t="shared" si="107"/>
        <v>0</v>
      </c>
      <c r="E73" s="127" t="str">
        <f t="shared" si="2"/>
        <v>#REF!</v>
      </c>
      <c r="F73" s="127" t="str">
        <f t="shared" si="3"/>
        <v>#REF!</v>
      </c>
      <c r="G73" s="127" t="str">
        <f t="shared" si="4"/>
        <v>#REF!</v>
      </c>
      <c r="H73" s="128" t="str">
        <f t="shared" si="5"/>
        <v>#REF!</v>
      </c>
      <c r="I73" s="129" t="str">
        <f t="shared" si="6"/>
        <v>#REF!</v>
      </c>
      <c r="J73" s="130">
        <f t="shared" si="7"/>
        <v>10</v>
      </c>
      <c r="K73" s="131" t="str">
        <f t="shared" si="108"/>
        <v>#REF!</v>
      </c>
      <c r="L73" s="131" t="str">
        <f t="shared" si="8"/>
        <v>#REF!</v>
      </c>
      <c r="M73" s="131" t="str">
        <f t="array" ref="M73">INDEX(L:L,MIN(IF(ISNUMBER(L73:L269),ROW(L73:L269),"")))</f>
        <v/>
      </c>
      <c r="N73" s="130" t="str">
        <f t="shared" si="109"/>
        <v>#REF!</v>
      </c>
      <c r="O73" s="130" t="str">
        <f>N73*VLOOKUP('Données projet (1)'!$B$9,'Paramètres (1)'!$A$1:$I$88,3,0)*VLOOKUP('Données projet (1)'!$B$9,'Paramètres (1)'!$A$1:$I$88,5,0)</f>
        <v>#REF!</v>
      </c>
      <c r="P73" s="130" t="str">
        <f t="shared" si="110"/>
        <v>#REF!</v>
      </c>
      <c r="Q73" s="141" t="str">
        <f t="shared" si="9"/>
        <v>#REF!</v>
      </c>
      <c r="R73" s="133" t="str">
        <f t="shared" si="10"/>
        <v>#REF!</v>
      </c>
      <c r="S73" s="133" t="str">
        <f t="shared" si="11"/>
        <v>#REF!</v>
      </c>
      <c r="T73" s="133" t="str">
        <f t="shared" si="111"/>
        <v>#REF!</v>
      </c>
      <c r="U73" s="134" t="str">
        <f t="shared" si="12"/>
        <v>#REF!</v>
      </c>
      <c r="V73" s="134" t="str">
        <f t="shared" si="13"/>
        <v>#REF!</v>
      </c>
      <c r="W73" s="135" t="str">
        <f>IF(ISNA(VLOOKUP(A73,'Données projet (1)'!$A$35:$I$55,5,0)),0%,VLOOKUP(A73,'Données projet (1)'!$A$35:$I$55,5,0)*VLOOKUP('Données projet (1)'!$B$9,'Paramètres (1)'!$A$1:$I$88,7,0))</f>
        <v>#REF!</v>
      </c>
      <c r="X73" s="135" t="str">
        <f>IF(ISNA(VLOOKUP(A73,'Données projet (1)'!$A$35:$I$55,6,0)),0%,VLOOKUP(A73,'Données projet (1)'!$A$35:$I$55,6,0)*VLOOKUP('Données projet (1)'!$B$9,'Paramètres (1)'!$A$1:$I$88,7,0))</f>
        <v>#REF!</v>
      </c>
      <c r="Y73" s="135" t="str">
        <f t="shared" si="14"/>
        <v>#REF!</v>
      </c>
      <c r="Z73" s="142" t="str">
        <f>EXP(-LN(2)/35)*Z72+(1-EXP(-LN(2)/35))/(LN(2)/35)*V73*W73*VLOOKUP('Données projet (1)'!$B$9,'Paramètres (1)'!$A$1:$I$88,3,0)*0.475*44/12</f>
        <v>#REF!</v>
      </c>
      <c r="AA73" s="142" t="str">
        <f>EXP(-LN(2)/25)*AA72+(1-EXP(-LN(2)/25))/(LN(2)/25)*'Calculateur (1)'!V73*'Calculateur (1)'!X73*VLOOKUP('Données projet (1)'!$B$9,'Paramètres (1)'!$A$1:$I$88,3,0)*0.475*44/12</f>
        <v>#REF!</v>
      </c>
      <c r="AB73" s="142" t="str">
        <f>EXP(-LN(2)/2)*AB72+(1-EXP(-LN(2)/2))/(LN(2)/2)*V73*Y73*VLOOKUP('Données projet (1)'!$B$9,'Paramètres (1)'!$A$1:$I$88,3,0)*0.475*44/12</f>
        <v>#REF!</v>
      </c>
      <c r="AC73" s="143" t="str">
        <f t="shared" si="15"/>
        <v>#REF!</v>
      </c>
      <c r="AD73" s="130" t="str">
        <f t="shared" si="16"/>
        <v>#REF!</v>
      </c>
      <c r="AE73" s="130">
        <f t="shared" si="17"/>
        <v>10</v>
      </c>
      <c r="AF73" s="131" t="str">
        <f t="shared" si="112"/>
        <v>#REF!</v>
      </c>
      <c r="AG73" s="131" t="str">
        <f t="shared" si="18"/>
        <v>#REF!</v>
      </c>
      <c r="AH73" s="131" t="str">
        <f t="array" ref="AH73">INDEX(AG:AG,MIN(IF(ISNUMBER(AG73:AG269),ROW(AG73:AG269),"")))</f>
        <v/>
      </c>
      <c r="AI73" s="130" t="str">
        <f t="shared" si="113"/>
        <v>#REF!</v>
      </c>
      <c r="AJ73" s="130" t="str">
        <f>AI73*VLOOKUP('Données projet (1)'!$B$10,'Paramètres (1)'!$A$1:$I$88,3,0)*VLOOKUP('Données projet (1)'!$B$10,'Paramètres (1)'!$A$1:$I$88,5,0)</f>
        <v>#REF!</v>
      </c>
      <c r="AK73" s="130" t="str">
        <f t="shared" si="114"/>
        <v>#REF!</v>
      </c>
      <c r="AL73" s="141" t="str">
        <f t="shared" si="19"/>
        <v>#REF!</v>
      </c>
      <c r="AM73" s="133" t="str">
        <f t="shared" si="20"/>
        <v>#REF!</v>
      </c>
      <c r="AN73" s="133" t="str">
        <f t="shared" si="21"/>
        <v>#REF!</v>
      </c>
      <c r="AO73" s="133" t="str">
        <f t="shared" si="115"/>
        <v>#REF!</v>
      </c>
      <c r="AP73" s="134" t="str">
        <f t="shared" si="22"/>
        <v>#REF!</v>
      </c>
      <c r="AQ73" s="134" t="str">
        <f t="shared" si="23"/>
        <v>#REF!</v>
      </c>
      <c r="AR73" s="135" t="str">
        <f>IF(ISNA(VLOOKUP(A73,'Données projet (1)'!$A$61:$I$81,5,0)),0%,VLOOKUP(A73,'Données projet (1)'!$A$61:$I$81,5,0)*VLOOKUP('Données projet (1)'!$B$10,'Paramètres (1)'!$A$1:$I$88,7,0))</f>
        <v>#REF!</v>
      </c>
      <c r="AS73" s="135" t="str">
        <f>IF(ISNA(VLOOKUP(A73,'Données projet (1)'!$A$61:$I$81,6,0)),0%,VLOOKUP(A73,'Données projet (1)'!$A$61:$I$81,6,0)*VLOOKUP('Données projet (1)'!$B$10,'Paramètres (1)'!$A$1:$I$88,7,0))</f>
        <v>#REF!</v>
      </c>
      <c r="AT73" s="135" t="str">
        <f t="shared" si="24"/>
        <v>#REF!</v>
      </c>
      <c r="AU73" s="142" t="str">
        <f>EXP(-LN(2)/35)*AU72+(1-EXP(-LN(2)/35))/(LN(2)/35)*AQ73*AR73*VLOOKUP('Données projet (1)'!$B$10,'Paramètres (1)'!$A$1:$I$88,3,0)*0.475*44/12</f>
        <v>#REF!</v>
      </c>
      <c r="AV73" s="142" t="str">
        <f>EXP(-LN(2)/25)*AV72+(1-EXP(-LN(2)/25))/(LN(2)/25)*'Calculateur (1)'!AQ73*'Calculateur (1)'!AS73*VLOOKUP('Données projet (1)'!$B$10,'Paramètres (1)'!$A$1:$I$88,3,0)*0.475*44/12</f>
        <v>#REF!</v>
      </c>
      <c r="AW73" s="142" t="str">
        <f>EXP(-LN(2)/2)*AW72+(1-EXP(-LN(2)/2))/(LN(2)/2)*AQ73*AT73*VLOOKUP('Données projet (1)'!$B$10,'Paramètres (1)'!$A$1:$I$88,3,0)*0.475*44/12</f>
        <v>#REF!</v>
      </c>
      <c r="AX73" s="142" t="str">
        <f t="shared" si="25"/>
        <v>#REF!</v>
      </c>
      <c r="AY73" s="137" t="str">
        <f t="shared" si="26"/>
        <v>#REF!</v>
      </c>
      <c r="AZ73" s="131">
        <f t="shared" si="27"/>
        <v>10</v>
      </c>
      <c r="BA73" s="131" t="str">
        <f t="shared" si="116"/>
        <v>#REF!</v>
      </c>
      <c r="BB73" s="131" t="str">
        <f t="shared" si="28"/>
        <v>#REF!</v>
      </c>
      <c r="BC73" s="131" t="str">
        <f t="array" ref="BC73">INDEX(BB:BB,MIN(IF(ISNUMBER(BB73:BB269),ROW(BB73:BB269),"")))</f>
        <v/>
      </c>
      <c r="BD73" s="131" t="str">
        <f t="shared" si="117"/>
        <v>#REF!</v>
      </c>
      <c r="BE73" s="130" t="str">
        <f>BD73*VLOOKUP('Données projet (1)'!$B$11,'Paramètres (1)'!$A$1:$I$88,3,0)*VLOOKUP('Données projet (1)'!$B$11,'Paramètres (1)'!$A$1:$I$88,5,0)</f>
        <v>#REF!</v>
      </c>
      <c r="BF73" s="130" t="str">
        <f t="shared" si="118"/>
        <v>#REF!</v>
      </c>
      <c r="BG73" s="141" t="str">
        <f t="shared" si="29"/>
        <v>#REF!</v>
      </c>
      <c r="BH73" s="133" t="str">
        <f t="shared" si="30"/>
        <v>#REF!</v>
      </c>
      <c r="BI73" s="133" t="str">
        <f t="shared" si="31"/>
        <v>#REF!</v>
      </c>
      <c r="BJ73" s="133" t="str">
        <f t="shared" si="119"/>
        <v>#REF!</v>
      </c>
      <c r="BK73" s="134" t="str">
        <f t="shared" si="32"/>
        <v>#REF!</v>
      </c>
      <c r="BL73" s="134" t="str">
        <f t="shared" si="33"/>
        <v>#REF!</v>
      </c>
      <c r="BM73" s="135" t="str">
        <f>IF(ISNA(VLOOKUP(A73,'Données projet (1)'!$A$87:$I$107,5,0)),0%,VLOOKUP(A73,'Données projet (1)'!$A$87:$I$107,5,0)*VLOOKUP('Données projet (1)'!$B$11,'Paramètres (1)'!$A$1:$I$88,7,0))</f>
        <v>#REF!</v>
      </c>
      <c r="BN73" s="135" t="str">
        <f>IF(ISNA(VLOOKUP(A73,'Données projet (1)'!$A$87:$I$107,6,0)),0%,VLOOKUP(A73,'Données projet (1)'!$A$87:$I$107,6,0)*VLOOKUP('Données projet (1)'!$B$11,'Paramètres (1)'!$A$1:$I$88,7,0))</f>
        <v>#REF!</v>
      </c>
      <c r="BO73" s="135" t="str">
        <f t="shared" si="34"/>
        <v>#REF!</v>
      </c>
      <c r="BP73" s="142" t="str">
        <f>EXP(-LN(2)/35)*BP72+(1-EXP(-LN(2)/35))/(LN(2)/35)*BL73*BM73*VLOOKUP('Données projet (1)'!$B$11,'Paramètres (1)'!$A$1:$I$88,3,0)*0.475*44/12</f>
        <v>#REF!</v>
      </c>
      <c r="BQ73" s="142" t="str">
        <f>EXP(-LN(2)/25)*BQ72+(1-EXP(-LN(2)/25))/(LN(2)/25)*'Calculateur (1)'!BL73*'Calculateur (1)'!BN73*VLOOKUP('Données projet (1)'!$B$11,'Paramètres (1)'!$A$1:$I$88,3,0)*0.475*44/12</f>
        <v>#REF!</v>
      </c>
      <c r="BR73" s="142" t="str">
        <f>EXP(-LN(2)/2)*BR72+(1-EXP(-LN(2)/2))/(LN(2)/2)*BL73*BO73*VLOOKUP('Données projet (1)'!$B$11,'Paramètres (1)'!$A$1:$I$88,3,0)*0.475*44/12</f>
        <v>#REF!</v>
      </c>
      <c r="BS73" s="143" t="str">
        <f t="shared" si="35"/>
        <v>#REF!</v>
      </c>
      <c r="BT73" s="139" t="str">
        <f t="shared" si="36"/>
        <v>#REF!</v>
      </c>
      <c r="BU73" s="131">
        <f t="shared" si="37"/>
        <v>10</v>
      </c>
      <c r="BV73" s="131" t="str">
        <f t="shared" si="120"/>
        <v>#REF!</v>
      </c>
      <c r="BW73" s="131" t="str">
        <f t="shared" si="38"/>
        <v>#REF!</v>
      </c>
      <c r="BX73" s="131" t="str">
        <f t="array" ref="BX73">INDEX(BW:BW,MIN(IF(ISNUMBER(BW73:BW269),ROW(BW73:BW269),"")))</f>
        <v/>
      </c>
      <c r="BY73" s="131" t="str">
        <f t="shared" si="121"/>
        <v>#REF!</v>
      </c>
      <c r="BZ73" s="130" t="str">
        <f>BY73*VLOOKUP('Données projet (1)'!$B$12,'Paramètres (1)'!$A$1:$I$88,3,0)*VLOOKUP('Données projet (1)'!$B$12,'Paramètres (1)'!$A$1:$I$88,5,0)</f>
        <v>#REF!</v>
      </c>
      <c r="CA73" s="130" t="str">
        <f t="shared" si="122"/>
        <v>#REF!</v>
      </c>
      <c r="CB73" s="141" t="str">
        <f t="shared" si="39"/>
        <v>#REF!</v>
      </c>
      <c r="CC73" s="133" t="str">
        <f t="shared" si="40"/>
        <v>#REF!</v>
      </c>
      <c r="CD73" s="133" t="str">
        <f t="shared" si="41"/>
        <v>#REF!</v>
      </c>
      <c r="CE73" s="133" t="str">
        <f t="shared" si="123"/>
        <v>#REF!</v>
      </c>
      <c r="CF73" s="134" t="str">
        <f t="shared" si="42"/>
        <v>#REF!</v>
      </c>
      <c r="CG73" s="134" t="str">
        <f t="shared" si="43"/>
        <v>#REF!</v>
      </c>
      <c r="CH73" s="135" t="str">
        <f>IF(ISNA(VLOOKUP(A73,'Données projet (1)'!$A$113:$I$133,5,0)),0%,VLOOKUP(A73,'Données projet (1)'!$A$113:$I$133,5,0)*VLOOKUP('Données projet (1)'!$B$12,'Paramètres (1)'!$A$1:$I$88,7,0))</f>
        <v>#REF!</v>
      </c>
      <c r="CI73" s="135" t="str">
        <f>IF(ISNA(VLOOKUP(A73,'Données projet (1)'!$A$113:$I$133,6,0)),0%,VLOOKUP(A73,'Données projet (1)'!$A$113:$I$133,6,0)*VLOOKUP('Données projet (1)'!$B$12,'Paramètres (1)'!$A$1:$I$88,7,0))</f>
        <v>#REF!</v>
      </c>
      <c r="CJ73" s="135" t="str">
        <f t="shared" si="44"/>
        <v>#REF!</v>
      </c>
      <c r="CK73" s="142" t="str">
        <f>EXP(-LN(2)/35)*CK72+(1-EXP(-LN(2)/35))/(LN(2)/35)*CG73*CH73*VLOOKUP('Données projet (1)'!$B$12,'Paramètres (1)'!$A$1:$I$88,3,0)*0.475*44/12</f>
        <v>#REF!</v>
      </c>
      <c r="CL73" s="142" t="str">
        <f>EXP(-LN(2)/25)*CL72+(1-EXP(-LN(2)/25))/(LN(2)/25)*'Calculateur (1)'!CG73*'Calculateur (1)'!CI73*VLOOKUP('Données projet (1)'!$B$12,'Paramètres (1)'!$A$1:$I$88,3,0)*0.475*44/12</f>
        <v>#REF!</v>
      </c>
      <c r="CM73" s="142" t="str">
        <f>EXP(-LN(2)/2)*CM72+(1-EXP(-LN(2)/2))/(LN(2)/2)*CG73*CJ73*VLOOKUP('Données projet (1)'!$B$12,'Paramètres (1)'!$A$1:$I$88,3,0)*0.475*44/12</f>
        <v>#REF!</v>
      </c>
      <c r="CN73" s="143" t="str">
        <f t="shared" si="45"/>
        <v>#REF!</v>
      </c>
      <c r="CO73" s="139" t="str">
        <f t="shared" si="46"/>
        <v>#REF!</v>
      </c>
      <c r="CP73" s="131">
        <f t="shared" si="47"/>
        <v>10</v>
      </c>
      <c r="CQ73" s="131" t="str">
        <f t="shared" si="124"/>
        <v>#REF!</v>
      </c>
      <c r="CR73" s="131" t="str">
        <f t="shared" si="48"/>
        <v>#REF!</v>
      </c>
      <c r="CS73" s="131" t="str">
        <f t="array" ref="CS73">INDEX(CR:CR,MIN(IF(ISNUMBER(CR73:CR269),ROW(CR73:CR269),"")))</f>
        <v/>
      </c>
      <c r="CT73" s="131" t="str">
        <f t="shared" si="125"/>
        <v>#REF!</v>
      </c>
      <c r="CU73" s="138" t="str">
        <f>CT73*VLOOKUP('Données projet (1)'!$B$13,'Paramètres (1)'!$A$1:$I$88,3,0)*VLOOKUP('Données projet (1)'!$B$13,'Paramètres (1)'!$A$1:$I$88,5,0)</f>
        <v>#REF!</v>
      </c>
      <c r="CV73" s="130" t="str">
        <f t="shared" si="126"/>
        <v>#REF!</v>
      </c>
      <c r="CW73" s="141" t="str">
        <f t="shared" si="49"/>
        <v>#REF!</v>
      </c>
      <c r="CX73" s="133" t="str">
        <f t="shared" si="50"/>
        <v>#REF!</v>
      </c>
      <c r="CY73" s="133" t="str">
        <f t="shared" si="51"/>
        <v>#REF!</v>
      </c>
      <c r="CZ73" s="133" t="str">
        <f t="shared" si="127"/>
        <v>#REF!</v>
      </c>
      <c r="DA73" s="134" t="str">
        <f t="shared" si="52"/>
        <v>#REF!</v>
      </c>
      <c r="DB73" s="134" t="str">
        <f t="shared" si="53"/>
        <v>#REF!</v>
      </c>
      <c r="DC73" s="135" t="str">
        <f>IF(ISNA(VLOOKUP(A73,'Données projet (1)'!$A$139:$I$159,5,0)),0%,VLOOKUP(A73,'Données projet (1)'!$A$139:$I$159,5,0)*VLOOKUP('Données projet (1)'!$B$13,'Paramètres (1)'!$A$1:$I$88,7,0))</f>
        <v>#REF!</v>
      </c>
      <c r="DD73" s="135" t="str">
        <f>IF(ISNA(VLOOKUP(A73,'Données projet (1)'!$A$139:$I$159,6,0)),0%,VLOOKUP(A73,'Données projet (1)'!$A$139:$I$159,6,0)*VLOOKUP('Données projet (1)'!$B$13,'Paramètres (1)'!$A$1:$I$88,7,0))</f>
        <v>#REF!</v>
      </c>
      <c r="DE73" s="135" t="str">
        <f t="shared" si="54"/>
        <v>#REF!</v>
      </c>
      <c r="DF73" s="142" t="str">
        <f>EXP(-LN(2)/35)*DF72+(1-EXP(-LN(2)/35))/(LN(2)/35)*DB73*DC73*VLOOKUP('Données projet (1)'!$B$13,'Paramètres (1)'!$A$1:$I$88,3,0)*0.475*44/12</f>
        <v>#REF!</v>
      </c>
      <c r="DG73" s="142" t="str">
        <f>EXP(-LN(2)/25)*DG72+(1-EXP(-LN(2)/25))/(LN(2)/25)*'Calculateur (1)'!DB73*'Calculateur (1)'!DD73*VLOOKUP('Données projet (1)'!$B$13,'Paramètres (1)'!$A$1:$I$88,3,0)*0.475*44/12</f>
        <v>#REF!</v>
      </c>
      <c r="DH73" s="142" t="str">
        <f>EXP(-LN(2)/2)*DH72+(1-EXP(-LN(2)/2))/(LN(2)/2)*DB73*DE73*VLOOKUP('Données projet (1)'!$B$13,'Paramètres (1)'!$A$1:$I$88,3,0)*0.475*44/12</f>
        <v>#REF!</v>
      </c>
      <c r="DI73" s="143" t="str">
        <f t="shared" si="55"/>
        <v>#REF!</v>
      </c>
      <c r="DJ73" s="139" t="str">
        <f t="shared" si="56"/>
        <v>#REF!</v>
      </c>
      <c r="DK73" s="131">
        <f t="shared" si="57"/>
        <v>10</v>
      </c>
      <c r="DL73" s="131" t="str">
        <f t="shared" si="128"/>
        <v>#REF!</v>
      </c>
      <c r="DM73" s="131" t="str">
        <f t="shared" si="58"/>
        <v>#REF!</v>
      </c>
      <c r="DN73" s="131" t="str">
        <f t="array" ref="DN73">INDEX(DM:DM,MIN(IF(ISNUMBER(DM73:DM269),ROW(DM73:DM269),"")))</f>
        <v/>
      </c>
      <c r="DO73" s="131" t="str">
        <f t="shared" si="129"/>
        <v>#REF!</v>
      </c>
      <c r="DP73" s="138" t="str">
        <f>DO73*VLOOKUP('Données projet (1)'!$B$14,'Paramètres (1)'!$A$1:$I$88,3,0)*VLOOKUP('Données projet (1)'!$B$14,'Paramètres (1)'!$A$1:$I$88,5,0)</f>
        <v>#REF!</v>
      </c>
      <c r="DQ73" s="130" t="str">
        <f t="shared" si="130"/>
        <v>#REF!</v>
      </c>
      <c r="DR73" s="141" t="str">
        <f t="shared" si="59"/>
        <v>#REF!</v>
      </c>
      <c r="DS73" s="133" t="str">
        <f t="shared" si="60"/>
        <v>#REF!</v>
      </c>
      <c r="DT73" s="133" t="str">
        <f t="shared" si="61"/>
        <v>#REF!</v>
      </c>
      <c r="DU73" s="133" t="str">
        <f t="shared" si="131"/>
        <v>#REF!</v>
      </c>
      <c r="DV73" s="134" t="str">
        <f t="shared" si="62"/>
        <v>#REF!</v>
      </c>
      <c r="DW73" s="134" t="str">
        <f t="shared" si="63"/>
        <v>#REF!</v>
      </c>
      <c r="DX73" s="135" t="str">
        <f>IF(ISNA(VLOOKUP(A73,'Données projet (1)'!$A$165:$I$185,5,0)),0%,VLOOKUP(A73,'Données projet (1)'!$A$165:$I$185,5,0)*VLOOKUP('Données projet (1)'!$B$14,'Paramètres (1)'!$A$1:$I$88,7,0))</f>
        <v>#REF!</v>
      </c>
      <c r="DY73" s="135" t="str">
        <f>IF(ISNA(VLOOKUP(A73,'Données projet (1)'!$A$165:$I$185,6,0)),0%,VLOOKUP(A73,'Données projet (1)'!$A$165:$I$185,6,0)*VLOOKUP('Données projet (1)'!$B$14,'Paramètres (1)'!$A$1:$I$88,7,0))</f>
        <v>#REF!</v>
      </c>
      <c r="DZ73" s="135" t="str">
        <f t="shared" si="64"/>
        <v>#REF!</v>
      </c>
      <c r="EA73" s="142" t="str">
        <f>EXP(-LN(2)/35)*EA72+(1-EXP(-LN(2)/35))/(LN(2)/35)*DW73*DX73*VLOOKUP('Données projet (1)'!$B$14,'Paramètres (1)'!$A$1:$I$88,3,0)*0.475*44/12</f>
        <v>#REF!</v>
      </c>
      <c r="EB73" s="142" t="str">
        <f>EXP(-LN(2)/25)*EB72+(1-EXP(-LN(2)/25))/(LN(2)/25)*'Calculateur (1)'!DW73*'Calculateur (1)'!DY73*VLOOKUP('Données projet (1)'!$B$14,'Paramètres (1)'!$A$1:$I$88,3,0)*0.475*44/12</f>
        <v>#REF!</v>
      </c>
      <c r="EC73" s="142" t="str">
        <f>EXP(-LN(2)/2)*EC72+(1-EXP(-LN(2)/2))/(LN(2)/2)*DW73*DZ73*VLOOKUP('Données projet (1)'!$B$14,'Paramètres (1)'!$A$1:$I$88,3,0)*0.475*44/12</f>
        <v>#REF!</v>
      </c>
      <c r="ED73" s="143" t="str">
        <f t="shared" si="65"/>
        <v>#REF!</v>
      </c>
      <c r="EE73" s="139" t="str">
        <f t="shared" si="66"/>
        <v>#REF!</v>
      </c>
      <c r="EF73" s="131">
        <f t="shared" si="67"/>
        <v>10</v>
      </c>
      <c r="EG73" s="131" t="str">
        <f t="shared" si="132"/>
        <v>#REF!</v>
      </c>
      <c r="EH73" s="131" t="str">
        <f t="shared" si="68"/>
        <v>#REF!</v>
      </c>
      <c r="EI73" s="131" t="str">
        <f t="array" ref="EI73">INDEX(EH:EH,MIN(IF(ISNUMBER(EH73:EH269),ROW(EH73:EH269),"")))</f>
        <v/>
      </c>
      <c r="EJ73" s="131" t="str">
        <f t="shared" si="133"/>
        <v>#REF!</v>
      </c>
      <c r="EK73" s="138" t="str">
        <f>EJ73*VLOOKUP('Données projet (1)'!$B$15,'Paramètres (1)'!$A$1:$I$88,3,0)*VLOOKUP('Données projet (1)'!$B$15,'Paramètres (1)'!$A$1:$I$88,5,0)</f>
        <v>#REF!</v>
      </c>
      <c r="EL73" s="130" t="str">
        <f t="shared" si="134"/>
        <v>#REF!</v>
      </c>
      <c r="EM73" s="141" t="str">
        <f t="shared" si="69"/>
        <v>#REF!</v>
      </c>
      <c r="EN73" s="133" t="str">
        <f t="shared" si="70"/>
        <v>#REF!</v>
      </c>
      <c r="EO73" s="133" t="str">
        <f t="shared" si="71"/>
        <v>#REF!</v>
      </c>
      <c r="EP73" s="133" t="str">
        <f t="shared" si="135"/>
        <v>#REF!</v>
      </c>
      <c r="EQ73" s="134" t="str">
        <f t="shared" si="72"/>
        <v>#REF!</v>
      </c>
      <c r="ER73" s="134" t="str">
        <f t="shared" si="73"/>
        <v>#REF!</v>
      </c>
      <c r="ES73" s="135" t="str">
        <f>IF(ISNA(VLOOKUP(A73,'Données projet (1)'!$A$191:$I$211,5,0)),0%,VLOOKUP(A73,'Données projet (1)'!$A$191:$I$211,5,0)*VLOOKUP('Données projet (1)'!$B$15,'Paramètres (1)'!$A$1:$I$88,7,0))</f>
        <v>#REF!</v>
      </c>
      <c r="ET73" s="135" t="str">
        <f>IF(ISNA(VLOOKUP(A73,'Données projet (1)'!$A$191:$I$211,6,0)),0%,VLOOKUP(A73,'Données projet (1)'!$A$191:$I$211,6,0)*VLOOKUP('Données projet (1)'!$B$15,'Paramètres (1)'!$A$1:$I$88,7,0))</f>
        <v>#REF!</v>
      </c>
      <c r="EU73" s="135" t="str">
        <f t="shared" si="74"/>
        <v>#REF!</v>
      </c>
      <c r="EV73" s="142" t="str">
        <f>EXP(-LN(2)/35)*EV72+(1-EXP(-LN(2)/35))/(LN(2)/35)*ER73*ES73*VLOOKUP('Données projet (1)'!$B$15,'Paramètres (1)'!$A$1:$I$88,3,0)*0.475*44/12</f>
        <v>#REF!</v>
      </c>
      <c r="EW73" s="142" t="str">
        <f>EXP(-LN(2)/25)*EW72+(1-EXP(-LN(2)/25))/(LN(2)/25)*'Calculateur (1)'!ER73*'Calculateur (1)'!ET73*VLOOKUP('Données projet (1)'!$B$15,'Paramètres (1)'!$A$1:$I$88,3,0)*0.475*44/12</f>
        <v>#REF!</v>
      </c>
      <c r="EX73" s="142" t="str">
        <f>EXP(-LN(2)/2)*EX72+(1-EXP(-LN(2)/2))/(LN(2)/2)*ER73*EU73*VLOOKUP('Données projet (1)'!$B$15,'Paramètres (1)'!$A$1:$I$88,3,0)*0.475*44/12</f>
        <v>#REF!</v>
      </c>
      <c r="EY73" s="143" t="str">
        <f t="shared" si="75"/>
        <v>#REF!</v>
      </c>
      <c r="EZ73" s="139" t="str">
        <f t="shared" si="76"/>
        <v>#REF!</v>
      </c>
      <c r="FA73" s="131">
        <f t="shared" si="77"/>
        <v>10</v>
      </c>
      <c r="FB73" s="131" t="str">
        <f t="shared" si="136"/>
        <v>#REF!</v>
      </c>
      <c r="FC73" s="131" t="str">
        <f t="shared" si="78"/>
        <v>#REF!</v>
      </c>
      <c r="FD73" s="131" t="str">
        <f t="array" ref="FD73">INDEX(FC:FC,MIN(IF(ISNUMBER(FC73:FC269),ROW(FC73:FC269),"")))</f>
        <v/>
      </c>
      <c r="FE73" s="131" t="str">
        <f t="shared" si="137"/>
        <v>#REF!</v>
      </c>
      <c r="FF73" s="138" t="str">
        <f>FE73*VLOOKUP('Données projet (1)'!$B$16,'Paramètres (1)'!$A$1:$I$88,3,0)*VLOOKUP('Données projet (1)'!$B$16,'Paramètres (1)'!$A$1:$I$88,5,0)</f>
        <v>#REF!</v>
      </c>
      <c r="FG73" s="130" t="str">
        <f t="shared" si="138"/>
        <v>#REF!</v>
      </c>
      <c r="FH73" s="141" t="str">
        <f t="shared" si="79"/>
        <v>#REF!</v>
      </c>
      <c r="FI73" s="133" t="str">
        <f t="shared" si="80"/>
        <v>#REF!</v>
      </c>
      <c r="FJ73" s="133" t="str">
        <f t="shared" si="81"/>
        <v>#REF!</v>
      </c>
      <c r="FK73" s="133" t="str">
        <f t="shared" si="139"/>
        <v>#REF!</v>
      </c>
      <c r="FL73" s="134" t="str">
        <f t="shared" si="82"/>
        <v>#REF!</v>
      </c>
      <c r="FM73" s="134" t="str">
        <f t="shared" si="83"/>
        <v>#REF!</v>
      </c>
      <c r="FN73" s="135" t="str">
        <f>IF(ISNA(VLOOKUP(A73,'Données projet (1)'!$A$217:$I$237,5,0)),0%,VLOOKUP(A73,'Données projet (1)'!$A$217:$I$237,5,0)*VLOOKUP('Données projet (1)'!$B$16,'Paramètres (1)'!$A$1:$I$88,7,0))</f>
        <v>#REF!</v>
      </c>
      <c r="FO73" s="135" t="str">
        <f>IF(ISNA(VLOOKUP(A73,'Données projet (1)'!$A$217:$I$237,6,0)),0%,VLOOKUP(A73,'Données projet (1)'!$A$217:$I$237,6,0)*VLOOKUP('Données projet (1)'!$B$16,'Paramètres (1)'!$A$1:$I$88,7,0))</f>
        <v>#REF!</v>
      </c>
      <c r="FP73" s="135" t="str">
        <f t="shared" si="84"/>
        <v>#REF!</v>
      </c>
      <c r="FQ73" s="142" t="str">
        <f>EXP(-LN(2)/35)*FQ72+(1-EXP(-LN(2)/35))/(LN(2)/35)*FM73*FN73*VLOOKUP('Données projet (1)'!$B$16,'Paramètres (1)'!$A$1:$I$88,3,0)*0.475*44/12</f>
        <v>#REF!</v>
      </c>
      <c r="FR73" s="142" t="str">
        <f>EXP(-LN(2)/25)*FR72+(1-EXP(-LN(2)/25))/(LN(2)/25)*'Calculateur (1)'!FM73*'Calculateur (1)'!FO73*VLOOKUP('Données projet (1)'!$B$16,'Paramètres (1)'!$A$1:$I$88,3,0)*0.475*44/12</f>
        <v>#REF!</v>
      </c>
      <c r="FS73" s="142" t="str">
        <f>EXP(-LN(2)/2)*FS72+(1-EXP(-LN(2)/2))/(LN(2)/2)*FM73*FP73*VLOOKUP('Données projet (1)'!$B$16,'Paramètres (1)'!$A$1:$I$88,3,0)*0.475*44/12</f>
        <v>#REF!</v>
      </c>
      <c r="FT73" s="143" t="str">
        <f t="shared" si="85"/>
        <v>#REF!</v>
      </c>
      <c r="FU73" s="139" t="str">
        <f t="shared" si="86"/>
        <v>#REF!</v>
      </c>
      <c r="FV73" s="131">
        <f t="shared" si="87"/>
        <v>10</v>
      </c>
      <c r="FW73" s="131" t="str">
        <f t="shared" si="140"/>
        <v>#REF!</v>
      </c>
      <c r="FX73" s="131" t="str">
        <f t="shared" si="88"/>
        <v>#REF!</v>
      </c>
      <c r="FY73" s="131" t="str">
        <f t="array" ref="FY73">INDEX(FX:FX,MIN(IF(ISNUMBER(FX73:FX269),ROW(FX73:FX269),"")))</f>
        <v/>
      </c>
      <c r="FZ73" s="131" t="str">
        <f t="shared" si="141"/>
        <v>#REF!</v>
      </c>
      <c r="GA73" s="138" t="str">
        <f>FZ73*VLOOKUP('Données projet (1)'!$B$17,'Paramètres (1)'!$A$1:$I$88,3,0)*VLOOKUP('Données projet (1)'!$B$17,'Paramètres (1)'!$A$1:$I$88,5,0)</f>
        <v>#REF!</v>
      </c>
      <c r="GB73" s="130" t="str">
        <f t="shared" si="142"/>
        <v>#REF!</v>
      </c>
      <c r="GC73" s="141" t="str">
        <f t="shared" si="89"/>
        <v>#REF!</v>
      </c>
      <c r="GD73" s="133" t="str">
        <f t="shared" si="90"/>
        <v>#REF!</v>
      </c>
      <c r="GE73" s="133" t="str">
        <f t="shared" si="91"/>
        <v>#REF!</v>
      </c>
      <c r="GF73" s="133" t="str">
        <f t="shared" si="143"/>
        <v>#REF!</v>
      </c>
      <c r="GG73" s="134" t="str">
        <f t="shared" si="92"/>
        <v>#REF!</v>
      </c>
      <c r="GH73" s="134" t="str">
        <f t="shared" si="93"/>
        <v>#REF!</v>
      </c>
      <c r="GI73" s="135" t="str">
        <f>IF(ISNA(VLOOKUP(A73,'Données projet (1)'!$A$243:$I$263,5,0)),0%,VLOOKUP(A73,'Données projet (1)'!$A$243:$I$263,5,0)*VLOOKUP('Données projet (1)'!$B$17,'Paramètres (1)'!$A$1:$I$88,7,0))</f>
        <v>#REF!</v>
      </c>
      <c r="GJ73" s="135" t="str">
        <f>IF(ISNA(VLOOKUP(A73,'Données projet (1)'!$A$243:$I$263,6,0)),0%,VLOOKUP(A73,'Données projet (1)'!$A$243:$I$263,6,0)*VLOOKUP('Données projet (1)'!$B$17,'Paramètres (1)'!$A$1:$I$88,7,0))</f>
        <v>#REF!</v>
      </c>
      <c r="GK73" s="135" t="str">
        <f t="shared" si="94"/>
        <v>#REF!</v>
      </c>
      <c r="GL73" s="142" t="str">
        <f>EXP(-LN(2)/35)*GL72+(1-EXP(-LN(2)/35))/(LN(2)/35)*GH73*GI73*VLOOKUP('Données projet (1)'!$B$17,'Paramètres (1)'!$A$1:$I$88,3,0)*0.475*44/12</f>
        <v>#REF!</v>
      </c>
      <c r="GM73" s="142" t="str">
        <f>EXP(-LN(2)/25)*GM72+(1-EXP(-LN(2)/25))/(LN(2)/25)*'Calculateur (1)'!GH73*'Calculateur (1)'!GJ73*VLOOKUP('Données projet (1)'!$B$17,'Paramètres (1)'!$A$1:$I$88,3,0)*0.475*44/12</f>
        <v>#REF!</v>
      </c>
      <c r="GN73" s="142" t="str">
        <f>EXP(-LN(2)/2)*GN72+(1-EXP(-LN(2)/2))/(LN(2)/2)*GH73*GK73*VLOOKUP('Données projet (1)'!$B$17,'Paramètres (1)'!$A$1:$I$88,3,0)*0.475*44/12</f>
        <v>#REF!</v>
      </c>
      <c r="GO73" s="142" t="str">
        <f t="shared" si="95"/>
        <v>#REF!</v>
      </c>
      <c r="GP73" s="139" t="str">
        <f t="shared" si="96"/>
        <v>#REF!</v>
      </c>
      <c r="GQ73" s="131">
        <f t="shared" si="97"/>
        <v>10</v>
      </c>
      <c r="GR73" s="131" t="str">
        <f t="shared" si="144"/>
        <v>#REF!</v>
      </c>
      <c r="GS73" s="131" t="str">
        <f t="shared" si="98"/>
        <v>#REF!</v>
      </c>
      <c r="GT73" s="131" t="str">
        <f t="array" ref="GT73">INDEX(GS:GS,MIN(IF(ISNUMBER(GS73:GS269),ROW(GS73:GS269),"")))</f>
        <v/>
      </c>
      <c r="GU73" s="131" t="str">
        <f t="shared" si="145"/>
        <v>#REF!</v>
      </c>
      <c r="GV73" s="138" t="str">
        <f>GU73*VLOOKUP('Données projet (1)'!$B$18,'Paramètres (1)'!$A$1:$I$88,3,0)*VLOOKUP('Données projet (1)'!$B$18,'Paramètres (1)'!$A$1:$I$88,5,0)</f>
        <v>#REF!</v>
      </c>
      <c r="GW73" s="130" t="str">
        <f t="shared" si="146"/>
        <v>#REF!</v>
      </c>
      <c r="GX73" s="141" t="str">
        <f t="shared" si="99"/>
        <v>#REF!</v>
      </c>
      <c r="GY73" s="133" t="str">
        <f t="shared" si="100"/>
        <v>#REF!</v>
      </c>
      <c r="GZ73" s="133" t="str">
        <f t="shared" si="101"/>
        <v>#REF!</v>
      </c>
      <c r="HA73" s="133" t="str">
        <f t="shared" si="147"/>
        <v>#REF!</v>
      </c>
      <c r="HB73" s="134" t="str">
        <f t="shared" si="102"/>
        <v>#REF!</v>
      </c>
      <c r="HC73" s="134" t="str">
        <f t="shared" si="103"/>
        <v>#REF!</v>
      </c>
      <c r="HD73" s="135" t="str">
        <f>IF(ISNA(VLOOKUP(A73,'Données projet (1)'!$A$269:$I$289,5,0)),0%,VLOOKUP(A73,'Données projet (1)'!$A$269:$I$289,5,0)*VLOOKUP('Données projet (1)'!$B$18,'Paramètres (1)'!$A$1:$I$88,7,0))</f>
        <v>#REF!</v>
      </c>
      <c r="HE73" s="135" t="str">
        <f>IF(ISNA(VLOOKUP(A73,'Données projet (1)'!$A$269:$I$289,6,0)),0%,VLOOKUP(A73,'Données projet (1)'!$A$269:$I$289,6,0)*VLOOKUP('Données projet (1)'!$B$18,'Paramètres (1)'!$A$1:$I$88,7,0))</f>
        <v>#REF!</v>
      </c>
      <c r="HF73" s="135" t="str">
        <f t="shared" si="104"/>
        <v>#REF!</v>
      </c>
      <c r="HG73" s="142" t="str">
        <f>EXP(-LN(2)/35)*HG72+(1-EXP(-LN(2)/35))/(LN(2)/35)*HC73*HD73*VLOOKUP('Données projet (1)'!$B$18,'Paramètres (1)'!$A$1:$I$88,3,0)*0.475*44/12</f>
        <v>#REF!</v>
      </c>
      <c r="HH73" s="142" t="str">
        <f>EXP(-LN(2)/25)*HH72+(1-EXP(-LN(2)/25))/(LN(2)/25)*'Calculateur (1)'!HC73*'Calculateur (1)'!HE73*VLOOKUP('Données projet (1)'!$B$18,'Paramètres (1)'!$A$1:$I$88,3,0)*0.475*44/12</f>
        <v>#REF!</v>
      </c>
      <c r="HI73" s="142" t="str">
        <f>EXP(-LN(2)/2)*HI72+(1-EXP(-LN(2)/2))/(LN(2)/2)*HC73*HF73*VLOOKUP('Données projet (1)'!$B$18,'Paramètres (1)'!$A$1:$I$88,3,0)*0.475*44/12</f>
        <v>#REF!</v>
      </c>
      <c r="HJ73" s="143" t="str">
        <f t="shared" si="105"/>
        <v>#REF!</v>
      </c>
    </row>
    <row r="74" ht="14.25" customHeight="1">
      <c r="A74" s="125">
        <f t="shared" si="106"/>
        <v>71</v>
      </c>
      <c r="B74" s="126" t="str">
        <f t="shared" si="1"/>
        <v>#REF!</v>
      </c>
      <c r="C74" s="140" t="str">
        <f>'Calculateur (1)'!C73+'Scénario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4" s="127">
        <f t="shared" si="107"/>
        <v>0</v>
      </c>
      <c r="E74" s="127" t="str">
        <f t="shared" si="2"/>
        <v>#REF!</v>
      </c>
      <c r="F74" s="127" t="str">
        <f t="shared" si="3"/>
        <v>#REF!</v>
      </c>
      <c r="G74" s="127" t="str">
        <f t="shared" si="4"/>
        <v>#REF!</v>
      </c>
      <c r="H74" s="128" t="str">
        <f t="shared" si="5"/>
        <v>#REF!</v>
      </c>
      <c r="I74" s="129" t="str">
        <f t="shared" si="6"/>
        <v>#REF!</v>
      </c>
      <c r="J74" s="130">
        <f t="shared" si="7"/>
        <v>10</v>
      </c>
      <c r="K74" s="131" t="str">
        <f t="shared" si="108"/>
        <v>#REF!</v>
      </c>
      <c r="L74" s="131" t="str">
        <f t="shared" si="8"/>
        <v>#REF!</v>
      </c>
      <c r="M74" s="131" t="str">
        <f t="array" ref="M74">INDEX(L:L,MIN(IF(ISNUMBER(L74:L270),ROW(L74:L270),"")))</f>
        <v/>
      </c>
      <c r="N74" s="130" t="str">
        <f t="shared" si="109"/>
        <v>#REF!</v>
      </c>
      <c r="O74" s="130" t="str">
        <f>N74*VLOOKUP('Données projet (1)'!$B$9,'Paramètres (1)'!$A$1:$I$88,3,0)*VLOOKUP('Données projet (1)'!$B$9,'Paramètres (1)'!$A$1:$I$88,5,0)</f>
        <v>#REF!</v>
      </c>
      <c r="P74" s="130" t="str">
        <f t="shared" si="110"/>
        <v>#REF!</v>
      </c>
      <c r="Q74" s="141" t="str">
        <f t="shared" si="9"/>
        <v>#REF!</v>
      </c>
      <c r="R74" s="133" t="str">
        <f t="shared" si="10"/>
        <v>#REF!</v>
      </c>
      <c r="S74" s="133" t="str">
        <f t="shared" si="11"/>
        <v>#REF!</v>
      </c>
      <c r="T74" s="133" t="str">
        <f t="shared" si="111"/>
        <v>#REF!</v>
      </c>
      <c r="U74" s="134" t="str">
        <f t="shared" si="12"/>
        <v>#REF!</v>
      </c>
      <c r="V74" s="134" t="str">
        <f t="shared" si="13"/>
        <v>#REF!</v>
      </c>
      <c r="W74" s="135" t="str">
        <f>IF(ISNA(VLOOKUP(A74,'Données projet (1)'!$A$35:$I$55,5,0)),0%,VLOOKUP(A74,'Données projet (1)'!$A$35:$I$55,5,0)*VLOOKUP('Données projet (1)'!$B$9,'Paramètres (1)'!$A$1:$I$88,7,0))</f>
        <v>#REF!</v>
      </c>
      <c r="X74" s="135" t="str">
        <f>IF(ISNA(VLOOKUP(A74,'Données projet (1)'!$A$35:$I$55,6,0)),0%,VLOOKUP(A74,'Données projet (1)'!$A$35:$I$55,6,0)*VLOOKUP('Données projet (1)'!$B$9,'Paramètres (1)'!$A$1:$I$88,7,0))</f>
        <v>#REF!</v>
      </c>
      <c r="Y74" s="135" t="str">
        <f t="shared" si="14"/>
        <v>#REF!</v>
      </c>
      <c r="Z74" s="142" t="str">
        <f>EXP(-LN(2)/35)*Z73+(1-EXP(-LN(2)/35))/(LN(2)/35)*V74*W74*VLOOKUP('Données projet (1)'!$B$9,'Paramètres (1)'!$A$1:$I$88,3,0)*0.475*44/12</f>
        <v>#REF!</v>
      </c>
      <c r="AA74" s="142" t="str">
        <f>EXP(-LN(2)/25)*AA73+(1-EXP(-LN(2)/25))/(LN(2)/25)*'Calculateur (1)'!V74*'Calculateur (1)'!X74*VLOOKUP('Données projet (1)'!$B$9,'Paramètres (1)'!$A$1:$I$88,3,0)*0.475*44/12</f>
        <v>#REF!</v>
      </c>
      <c r="AB74" s="142" t="str">
        <f>EXP(-LN(2)/2)*AB73+(1-EXP(-LN(2)/2))/(LN(2)/2)*V74*Y74*VLOOKUP('Données projet (1)'!$B$9,'Paramètres (1)'!$A$1:$I$88,3,0)*0.475*44/12</f>
        <v>#REF!</v>
      </c>
      <c r="AC74" s="143" t="str">
        <f t="shared" si="15"/>
        <v>#REF!</v>
      </c>
      <c r="AD74" s="130" t="str">
        <f t="shared" si="16"/>
        <v>#REF!</v>
      </c>
      <c r="AE74" s="130">
        <f t="shared" si="17"/>
        <v>10</v>
      </c>
      <c r="AF74" s="131" t="str">
        <f t="shared" si="112"/>
        <v>#REF!</v>
      </c>
      <c r="AG74" s="131" t="str">
        <f t="shared" si="18"/>
        <v>#REF!</v>
      </c>
      <c r="AH74" s="131" t="str">
        <f t="array" ref="AH74">INDEX(AG:AG,MIN(IF(ISNUMBER(AG74:AG270),ROW(AG74:AG270),"")))</f>
        <v/>
      </c>
      <c r="AI74" s="130" t="str">
        <f t="shared" si="113"/>
        <v>#REF!</v>
      </c>
      <c r="AJ74" s="130" t="str">
        <f>AI74*VLOOKUP('Données projet (1)'!$B$10,'Paramètres (1)'!$A$1:$I$88,3,0)*VLOOKUP('Données projet (1)'!$B$10,'Paramètres (1)'!$A$1:$I$88,5,0)</f>
        <v>#REF!</v>
      </c>
      <c r="AK74" s="130" t="str">
        <f t="shared" si="114"/>
        <v>#REF!</v>
      </c>
      <c r="AL74" s="141" t="str">
        <f t="shared" si="19"/>
        <v>#REF!</v>
      </c>
      <c r="AM74" s="133" t="str">
        <f t="shared" si="20"/>
        <v>#REF!</v>
      </c>
      <c r="AN74" s="133" t="str">
        <f t="shared" si="21"/>
        <v>#REF!</v>
      </c>
      <c r="AO74" s="133" t="str">
        <f t="shared" si="115"/>
        <v>#REF!</v>
      </c>
      <c r="AP74" s="134" t="str">
        <f t="shared" si="22"/>
        <v>#REF!</v>
      </c>
      <c r="AQ74" s="134" t="str">
        <f t="shared" si="23"/>
        <v>#REF!</v>
      </c>
      <c r="AR74" s="135" t="str">
        <f>IF(ISNA(VLOOKUP(A74,'Données projet (1)'!$A$61:$I$81,5,0)),0%,VLOOKUP(A74,'Données projet (1)'!$A$61:$I$81,5,0)*VLOOKUP('Données projet (1)'!$B$10,'Paramètres (1)'!$A$1:$I$88,7,0))</f>
        <v>#REF!</v>
      </c>
      <c r="AS74" s="135" t="str">
        <f>IF(ISNA(VLOOKUP(A74,'Données projet (1)'!$A$61:$I$81,6,0)),0%,VLOOKUP(A74,'Données projet (1)'!$A$61:$I$81,6,0)*VLOOKUP('Données projet (1)'!$B$10,'Paramètres (1)'!$A$1:$I$88,7,0))</f>
        <v>#REF!</v>
      </c>
      <c r="AT74" s="135" t="str">
        <f t="shared" si="24"/>
        <v>#REF!</v>
      </c>
      <c r="AU74" s="142" t="str">
        <f>EXP(-LN(2)/35)*AU73+(1-EXP(-LN(2)/35))/(LN(2)/35)*AQ74*AR74*VLOOKUP('Données projet (1)'!$B$10,'Paramètres (1)'!$A$1:$I$88,3,0)*0.475*44/12</f>
        <v>#REF!</v>
      </c>
      <c r="AV74" s="142" t="str">
        <f>EXP(-LN(2)/25)*AV73+(1-EXP(-LN(2)/25))/(LN(2)/25)*'Calculateur (1)'!AQ74*'Calculateur (1)'!AS74*VLOOKUP('Données projet (1)'!$B$10,'Paramètres (1)'!$A$1:$I$88,3,0)*0.475*44/12</f>
        <v>#REF!</v>
      </c>
      <c r="AW74" s="142" t="str">
        <f>EXP(-LN(2)/2)*AW73+(1-EXP(-LN(2)/2))/(LN(2)/2)*AQ74*AT74*VLOOKUP('Données projet (1)'!$B$10,'Paramètres (1)'!$A$1:$I$88,3,0)*0.475*44/12</f>
        <v>#REF!</v>
      </c>
      <c r="AX74" s="142" t="str">
        <f t="shared" si="25"/>
        <v>#REF!</v>
      </c>
      <c r="AY74" s="137" t="str">
        <f t="shared" si="26"/>
        <v>#REF!</v>
      </c>
      <c r="AZ74" s="131">
        <f t="shared" si="27"/>
        <v>10</v>
      </c>
      <c r="BA74" s="131" t="str">
        <f t="shared" si="116"/>
        <v>#REF!</v>
      </c>
      <c r="BB74" s="131" t="str">
        <f t="shared" si="28"/>
        <v>#REF!</v>
      </c>
      <c r="BC74" s="131" t="str">
        <f t="array" ref="BC74">INDEX(BB:BB,MIN(IF(ISNUMBER(BB74:BB270),ROW(BB74:BB270),"")))</f>
        <v/>
      </c>
      <c r="BD74" s="131" t="str">
        <f t="shared" si="117"/>
        <v>#REF!</v>
      </c>
      <c r="BE74" s="130" t="str">
        <f>BD74*VLOOKUP('Données projet (1)'!$B$11,'Paramètres (1)'!$A$1:$I$88,3,0)*VLOOKUP('Données projet (1)'!$B$11,'Paramètres (1)'!$A$1:$I$88,5,0)</f>
        <v>#REF!</v>
      </c>
      <c r="BF74" s="130" t="str">
        <f t="shared" si="118"/>
        <v>#REF!</v>
      </c>
      <c r="BG74" s="141" t="str">
        <f t="shared" si="29"/>
        <v>#REF!</v>
      </c>
      <c r="BH74" s="133" t="str">
        <f t="shared" si="30"/>
        <v>#REF!</v>
      </c>
      <c r="BI74" s="133" t="str">
        <f t="shared" si="31"/>
        <v>#REF!</v>
      </c>
      <c r="BJ74" s="133" t="str">
        <f t="shared" si="119"/>
        <v>#REF!</v>
      </c>
      <c r="BK74" s="134" t="str">
        <f t="shared" si="32"/>
        <v>#REF!</v>
      </c>
      <c r="BL74" s="134" t="str">
        <f t="shared" si="33"/>
        <v>#REF!</v>
      </c>
      <c r="BM74" s="135" t="str">
        <f>IF(ISNA(VLOOKUP(A74,'Données projet (1)'!$A$87:$I$107,5,0)),0%,VLOOKUP(A74,'Données projet (1)'!$A$87:$I$107,5,0)*VLOOKUP('Données projet (1)'!$B$11,'Paramètres (1)'!$A$1:$I$88,7,0))</f>
        <v>#REF!</v>
      </c>
      <c r="BN74" s="135" t="str">
        <f>IF(ISNA(VLOOKUP(A74,'Données projet (1)'!$A$87:$I$107,6,0)),0%,VLOOKUP(A74,'Données projet (1)'!$A$87:$I$107,6,0)*VLOOKUP('Données projet (1)'!$B$11,'Paramètres (1)'!$A$1:$I$88,7,0))</f>
        <v>#REF!</v>
      </c>
      <c r="BO74" s="135" t="str">
        <f t="shared" si="34"/>
        <v>#REF!</v>
      </c>
      <c r="BP74" s="142" t="str">
        <f>EXP(-LN(2)/35)*BP73+(1-EXP(-LN(2)/35))/(LN(2)/35)*BL74*BM74*VLOOKUP('Données projet (1)'!$B$11,'Paramètres (1)'!$A$1:$I$88,3,0)*0.475*44/12</f>
        <v>#REF!</v>
      </c>
      <c r="BQ74" s="142" t="str">
        <f>EXP(-LN(2)/25)*BQ73+(1-EXP(-LN(2)/25))/(LN(2)/25)*'Calculateur (1)'!BL74*'Calculateur (1)'!BN74*VLOOKUP('Données projet (1)'!$B$11,'Paramètres (1)'!$A$1:$I$88,3,0)*0.475*44/12</f>
        <v>#REF!</v>
      </c>
      <c r="BR74" s="142" t="str">
        <f>EXP(-LN(2)/2)*BR73+(1-EXP(-LN(2)/2))/(LN(2)/2)*BL74*BO74*VLOOKUP('Données projet (1)'!$B$11,'Paramètres (1)'!$A$1:$I$88,3,0)*0.475*44/12</f>
        <v>#REF!</v>
      </c>
      <c r="BS74" s="143" t="str">
        <f t="shared" si="35"/>
        <v>#REF!</v>
      </c>
      <c r="BT74" s="139" t="str">
        <f t="shared" si="36"/>
        <v>#REF!</v>
      </c>
      <c r="BU74" s="131">
        <f t="shared" si="37"/>
        <v>10</v>
      </c>
      <c r="BV74" s="131" t="str">
        <f t="shared" si="120"/>
        <v>#REF!</v>
      </c>
      <c r="BW74" s="131" t="str">
        <f t="shared" si="38"/>
        <v>#REF!</v>
      </c>
      <c r="BX74" s="131" t="str">
        <f t="array" ref="BX74">INDEX(BW:BW,MIN(IF(ISNUMBER(BW74:BW270),ROW(BW74:BW270),"")))</f>
        <v/>
      </c>
      <c r="BY74" s="131" t="str">
        <f t="shared" si="121"/>
        <v>#REF!</v>
      </c>
      <c r="BZ74" s="130" t="str">
        <f>BY74*VLOOKUP('Données projet (1)'!$B$12,'Paramètres (1)'!$A$1:$I$88,3,0)*VLOOKUP('Données projet (1)'!$B$12,'Paramètres (1)'!$A$1:$I$88,5,0)</f>
        <v>#REF!</v>
      </c>
      <c r="CA74" s="130" t="str">
        <f t="shared" si="122"/>
        <v>#REF!</v>
      </c>
      <c r="CB74" s="141" t="str">
        <f t="shared" si="39"/>
        <v>#REF!</v>
      </c>
      <c r="CC74" s="133" t="str">
        <f t="shared" si="40"/>
        <v>#REF!</v>
      </c>
      <c r="CD74" s="133" t="str">
        <f t="shared" si="41"/>
        <v>#REF!</v>
      </c>
      <c r="CE74" s="133" t="str">
        <f t="shared" si="123"/>
        <v>#REF!</v>
      </c>
      <c r="CF74" s="134" t="str">
        <f t="shared" si="42"/>
        <v>#REF!</v>
      </c>
      <c r="CG74" s="134" t="str">
        <f t="shared" si="43"/>
        <v>#REF!</v>
      </c>
      <c r="CH74" s="135" t="str">
        <f>IF(ISNA(VLOOKUP(A74,'Données projet (1)'!$A$113:$I$133,5,0)),0%,VLOOKUP(A74,'Données projet (1)'!$A$113:$I$133,5,0)*VLOOKUP('Données projet (1)'!$B$12,'Paramètres (1)'!$A$1:$I$88,7,0))</f>
        <v>#REF!</v>
      </c>
      <c r="CI74" s="135" t="str">
        <f>IF(ISNA(VLOOKUP(A74,'Données projet (1)'!$A$113:$I$133,6,0)),0%,VLOOKUP(A74,'Données projet (1)'!$A$113:$I$133,6,0)*VLOOKUP('Données projet (1)'!$B$12,'Paramètres (1)'!$A$1:$I$88,7,0))</f>
        <v>#REF!</v>
      </c>
      <c r="CJ74" s="135" t="str">
        <f t="shared" si="44"/>
        <v>#REF!</v>
      </c>
      <c r="CK74" s="142" t="str">
        <f>EXP(-LN(2)/35)*CK73+(1-EXP(-LN(2)/35))/(LN(2)/35)*CG74*CH74*VLOOKUP('Données projet (1)'!$B$12,'Paramètres (1)'!$A$1:$I$88,3,0)*0.475*44/12</f>
        <v>#REF!</v>
      </c>
      <c r="CL74" s="142" t="str">
        <f>EXP(-LN(2)/25)*CL73+(1-EXP(-LN(2)/25))/(LN(2)/25)*'Calculateur (1)'!CG74*'Calculateur (1)'!CI74*VLOOKUP('Données projet (1)'!$B$12,'Paramètres (1)'!$A$1:$I$88,3,0)*0.475*44/12</f>
        <v>#REF!</v>
      </c>
      <c r="CM74" s="142" t="str">
        <f>EXP(-LN(2)/2)*CM73+(1-EXP(-LN(2)/2))/(LN(2)/2)*CG74*CJ74*VLOOKUP('Données projet (1)'!$B$12,'Paramètres (1)'!$A$1:$I$88,3,0)*0.475*44/12</f>
        <v>#REF!</v>
      </c>
      <c r="CN74" s="143" t="str">
        <f t="shared" si="45"/>
        <v>#REF!</v>
      </c>
      <c r="CO74" s="139" t="str">
        <f t="shared" si="46"/>
        <v>#REF!</v>
      </c>
      <c r="CP74" s="131">
        <f t="shared" si="47"/>
        <v>10</v>
      </c>
      <c r="CQ74" s="131" t="str">
        <f t="shared" si="124"/>
        <v>#REF!</v>
      </c>
      <c r="CR74" s="131" t="str">
        <f t="shared" si="48"/>
        <v>#REF!</v>
      </c>
      <c r="CS74" s="131" t="str">
        <f t="array" ref="CS74">INDEX(CR:CR,MIN(IF(ISNUMBER(CR74:CR270),ROW(CR74:CR270),"")))</f>
        <v/>
      </c>
      <c r="CT74" s="131" t="str">
        <f t="shared" si="125"/>
        <v>#REF!</v>
      </c>
      <c r="CU74" s="138" t="str">
        <f>CT74*VLOOKUP('Données projet (1)'!$B$13,'Paramètres (1)'!$A$1:$I$88,3,0)*VLOOKUP('Données projet (1)'!$B$13,'Paramètres (1)'!$A$1:$I$88,5,0)</f>
        <v>#REF!</v>
      </c>
      <c r="CV74" s="130" t="str">
        <f t="shared" si="126"/>
        <v>#REF!</v>
      </c>
      <c r="CW74" s="141" t="str">
        <f t="shared" si="49"/>
        <v>#REF!</v>
      </c>
      <c r="CX74" s="133" t="str">
        <f t="shared" si="50"/>
        <v>#REF!</v>
      </c>
      <c r="CY74" s="133" t="str">
        <f t="shared" si="51"/>
        <v>#REF!</v>
      </c>
      <c r="CZ74" s="133" t="str">
        <f t="shared" si="127"/>
        <v>#REF!</v>
      </c>
      <c r="DA74" s="134" t="str">
        <f t="shared" si="52"/>
        <v>#REF!</v>
      </c>
      <c r="DB74" s="134" t="str">
        <f t="shared" si="53"/>
        <v>#REF!</v>
      </c>
      <c r="DC74" s="135" t="str">
        <f>IF(ISNA(VLOOKUP(A74,'Données projet (1)'!$A$139:$I$159,5,0)),0%,VLOOKUP(A74,'Données projet (1)'!$A$139:$I$159,5,0)*VLOOKUP('Données projet (1)'!$B$13,'Paramètres (1)'!$A$1:$I$88,7,0))</f>
        <v>#REF!</v>
      </c>
      <c r="DD74" s="135" t="str">
        <f>IF(ISNA(VLOOKUP(A74,'Données projet (1)'!$A$139:$I$159,6,0)),0%,VLOOKUP(A74,'Données projet (1)'!$A$139:$I$159,6,0)*VLOOKUP('Données projet (1)'!$B$13,'Paramètres (1)'!$A$1:$I$88,7,0))</f>
        <v>#REF!</v>
      </c>
      <c r="DE74" s="135" t="str">
        <f t="shared" si="54"/>
        <v>#REF!</v>
      </c>
      <c r="DF74" s="142" t="str">
        <f>EXP(-LN(2)/35)*DF73+(1-EXP(-LN(2)/35))/(LN(2)/35)*DB74*DC74*VLOOKUP('Données projet (1)'!$B$13,'Paramètres (1)'!$A$1:$I$88,3,0)*0.475*44/12</f>
        <v>#REF!</v>
      </c>
      <c r="DG74" s="142" t="str">
        <f>EXP(-LN(2)/25)*DG73+(1-EXP(-LN(2)/25))/(LN(2)/25)*'Calculateur (1)'!DB74*'Calculateur (1)'!DD74*VLOOKUP('Données projet (1)'!$B$13,'Paramètres (1)'!$A$1:$I$88,3,0)*0.475*44/12</f>
        <v>#REF!</v>
      </c>
      <c r="DH74" s="142" t="str">
        <f>EXP(-LN(2)/2)*DH73+(1-EXP(-LN(2)/2))/(LN(2)/2)*DB74*DE74*VLOOKUP('Données projet (1)'!$B$13,'Paramètres (1)'!$A$1:$I$88,3,0)*0.475*44/12</f>
        <v>#REF!</v>
      </c>
      <c r="DI74" s="143" t="str">
        <f t="shared" si="55"/>
        <v>#REF!</v>
      </c>
      <c r="DJ74" s="139" t="str">
        <f t="shared" si="56"/>
        <v>#REF!</v>
      </c>
      <c r="DK74" s="131">
        <f t="shared" si="57"/>
        <v>10</v>
      </c>
      <c r="DL74" s="131" t="str">
        <f t="shared" si="128"/>
        <v>#REF!</v>
      </c>
      <c r="DM74" s="131" t="str">
        <f t="shared" si="58"/>
        <v>#REF!</v>
      </c>
      <c r="DN74" s="131" t="str">
        <f t="array" ref="DN74">INDEX(DM:DM,MIN(IF(ISNUMBER(DM74:DM270),ROW(DM74:DM270),"")))</f>
        <v/>
      </c>
      <c r="DO74" s="131" t="str">
        <f t="shared" si="129"/>
        <v>#REF!</v>
      </c>
      <c r="DP74" s="138" t="str">
        <f>DO74*VLOOKUP('Données projet (1)'!$B$14,'Paramètres (1)'!$A$1:$I$88,3,0)*VLOOKUP('Données projet (1)'!$B$14,'Paramètres (1)'!$A$1:$I$88,5,0)</f>
        <v>#REF!</v>
      </c>
      <c r="DQ74" s="130" t="str">
        <f t="shared" si="130"/>
        <v>#REF!</v>
      </c>
      <c r="DR74" s="141" t="str">
        <f t="shared" si="59"/>
        <v>#REF!</v>
      </c>
      <c r="DS74" s="133" t="str">
        <f t="shared" si="60"/>
        <v>#REF!</v>
      </c>
      <c r="DT74" s="133" t="str">
        <f t="shared" si="61"/>
        <v>#REF!</v>
      </c>
      <c r="DU74" s="133" t="str">
        <f t="shared" si="131"/>
        <v>#REF!</v>
      </c>
      <c r="DV74" s="134" t="str">
        <f t="shared" si="62"/>
        <v>#REF!</v>
      </c>
      <c r="DW74" s="134" t="str">
        <f t="shared" si="63"/>
        <v>#REF!</v>
      </c>
      <c r="DX74" s="135" t="str">
        <f>IF(ISNA(VLOOKUP(A74,'Données projet (1)'!$A$165:$I$185,5,0)),0%,VLOOKUP(A74,'Données projet (1)'!$A$165:$I$185,5,0)*VLOOKUP('Données projet (1)'!$B$14,'Paramètres (1)'!$A$1:$I$88,7,0))</f>
        <v>#REF!</v>
      </c>
      <c r="DY74" s="135" t="str">
        <f>IF(ISNA(VLOOKUP(A74,'Données projet (1)'!$A$165:$I$185,6,0)),0%,VLOOKUP(A74,'Données projet (1)'!$A$165:$I$185,6,0)*VLOOKUP('Données projet (1)'!$B$14,'Paramètres (1)'!$A$1:$I$88,7,0))</f>
        <v>#REF!</v>
      </c>
      <c r="DZ74" s="135" t="str">
        <f t="shared" si="64"/>
        <v>#REF!</v>
      </c>
      <c r="EA74" s="142" t="str">
        <f>EXP(-LN(2)/35)*EA73+(1-EXP(-LN(2)/35))/(LN(2)/35)*DW74*DX74*VLOOKUP('Données projet (1)'!$B$14,'Paramètres (1)'!$A$1:$I$88,3,0)*0.475*44/12</f>
        <v>#REF!</v>
      </c>
      <c r="EB74" s="142" t="str">
        <f>EXP(-LN(2)/25)*EB73+(1-EXP(-LN(2)/25))/(LN(2)/25)*'Calculateur (1)'!DW74*'Calculateur (1)'!DY74*VLOOKUP('Données projet (1)'!$B$14,'Paramètres (1)'!$A$1:$I$88,3,0)*0.475*44/12</f>
        <v>#REF!</v>
      </c>
      <c r="EC74" s="142" t="str">
        <f>EXP(-LN(2)/2)*EC73+(1-EXP(-LN(2)/2))/(LN(2)/2)*DW74*DZ74*VLOOKUP('Données projet (1)'!$B$14,'Paramètres (1)'!$A$1:$I$88,3,0)*0.475*44/12</f>
        <v>#REF!</v>
      </c>
      <c r="ED74" s="143" t="str">
        <f t="shared" si="65"/>
        <v>#REF!</v>
      </c>
      <c r="EE74" s="139" t="str">
        <f t="shared" si="66"/>
        <v>#REF!</v>
      </c>
      <c r="EF74" s="131">
        <f t="shared" si="67"/>
        <v>10</v>
      </c>
      <c r="EG74" s="131" t="str">
        <f t="shared" si="132"/>
        <v>#REF!</v>
      </c>
      <c r="EH74" s="131" t="str">
        <f t="shared" si="68"/>
        <v>#REF!</v>
      </c>
      <c r="EI74" s="131" t="str">
        <f t="array" ref="EI74">INDEX(EH:EH,MIN(IF(ISNUMBER(EH74:EH270),ROW(EH74:EH270),"")))</f>
        <v/>
      </c>
      <c r="EJ74" s="131" t="str">
        <f t="shared" si="133"/>
        <v>#REF!</v>
      </c>
      <c r="EK74" s="138" t="str">
        <f>EJ74*VLOOKUP('Données projet (1)'!$B$15,'Paramètres (1)'!$A$1:$I$88,3,0)*VLOOKUP('Données projet (1)'!$B$15,'Paramètres (1)'!$A$1:$I$88,5,0)</f>
        <v>#REF!</v>
      </c>
      <c r="EL74" s="130" t="str">
        <f t="shared" si="134"/>
        <v>#REF!</v>
      </c>
      <c r="EM74" s="141" t="str">
        <f t="shared" si="69"/>
        <v>#REF!</v>
      </c>
      <c r="EN74" s="133" t="str">
        <f t="shared" si="70"/>
        <v>#REF!</v>
      </c>
      <c r="EO74" s="133" t="str">
        <f t="shared" si="71"/>
        <v>#REF!</v>
      </c>
      <c r="EP74" s="133" t="str">
        <f t="shared" si="135"/>
        <v>#REF!</v>
      </c>
      <c r="EQ74" s="134" t="str">
        <f t="shared" si="72"/>
        <v>#REF!</v>
      </c>
      <c r="ER74" s="134" t="str">
        <f t="shared" si="73"/>
        <v>#REF!</v>
      </c>
      <c r="ES74" s="135" t="str">
        <f>IF(ISNA(VLOOKUP(A74,'Données projet (1)'!$A$191:$I$211,5,0)),0%,VLOOKUP(A74,'Données projet (1)'!$A$191:$I$211,5,0)*VLOOKUP('Données projet (1)'!$B$15,'Paramètres (1)'!$A$1:$I$88,7,0))</f>
        <v>#REF!</v>
      </c>
      <c r="ET74" s="135" t="str">
        <f>IF(ISNA(VLOOKUP(A74,'Données projet (1)'!$A$191:$I$211,6,0)),0%,VLOOKUP(A74,'Données projet (1)'!$A$191:$I$211,6,0)*VLOOKUP('Données projet (1)'!$B$15,'Paramètres (1)'!$A$1:$I$88,7,0))</f>
        <v>#REF!</v>
      </c>
      <c r="EU74" s="135" t="str">
        <f t="shared" si="74"/>
        <v>#REF!</v>
      </c>
      <c r="EV74" s="142" t="str">
        <f>EXP(-LN(2)/35)*EV73+(1-EXP(-LN(2)/35))/(LN(2)/35)*ER74*ES74*VLOOKUP('Données projet (1)'!$B$15,'Paramètres (1)'!$A$1:$I$88,3,0)*0.475*44/12</f>
        <v>#REF!</v>
      </c>
      <c r="EW74" s="142" t="str">
        <f>EXP(-LN(2)/25)*EW73+(1-EXP(-LN(2)/25))/(LN(2)/25)*'Calculateur (1)'!ER74*'Calculateur (1)'!ET74*VLOOKUP('Données projet (1)'!$B$15,'Paramètres (1)'!$A$1:$I$88,3,0)*0.475*44/12</f>
        <v>#REF!</v>
      </c>
      <c r="EX74" s="142" t="str">
        <f>EXP(-LN(2)/2)*EX73+(1-EXP(-LN(2)/2))/(LN(2)/2)*ER74*EU74*VLOOKUP('Données projet (1)'!$B$15,'Paramètres (1)'!$A$1:$I$88,3,0)*0.475*44/12</f>
        <v>#REF!</v>
      </c>
      <c r="EY74" s="143" t="str">
        <f t="shared" si="75"/>
        <v>#REF!</v>
      </c>
      <c r="EZ74" s="139" t="str">
        <f t="shared" si="76"/>
        <v>#REF!</v>
      </c>
      <c r="FA74" s="131">
        <f t="shared" si="77"/>
        <v>10</v>
      </c>
      <c r="FB74" s="131" t="str">
        <f t="shared" si="136"/>
        <v>#REF!</v>
      </c>
      <c r="FC74" s="131" t="str">
        <f t="shared" si="78"/>
        <v>#REF!</v>
      </c>
      <c r="FD74" s="131" t="str">
        <f t="array" ref="FD74">INDEX(FC:FC,MIN(IF(ISNUMBER(FC74:FC270),ROW(FC74:FC270),"")))</f>
        <v/>
      </c>
      <c r="FE74" s="131" t="str">
        <f t="shared" si="137"/>
        <v>#REF!</v>
      </c>
      <c r="FF74" s="138" t="str">
        <f>FE74*VLOOKUP('Données projet (1)'!$B$16,'Paramètres (1)'!$A$1:$I$88,3,0)*VLOOKUP('Données projet (1)'!$B$16,'Paramètres (1)'!$A$1:$I$88,5,0)</f>
        <v>#REF!</v>
      </c>
      <c r="FG74" s="130" t="str">
        <f t="shared" si="138"/>
        <v>#REF!</v>
      </c>
      <c r="FH74" s="141" t="str">
        <f t="shared" si="79"/>
        <v>#REF!</v>
      </c>
      <c r="FI74" s="133" t="str">
        <f t="shared" si="80"/>
        <v>#REF!</v>
      </c>
      <c r="FJ74" s="133" t="str">
        <f t="shared" si="81"/>
        <v>#REF!</v>
      </c>
      <c r="FK74" s="133" t="str">
        <f t="shared" si="139"/>
        <v>#REF!</v>
      </c>
      <c r="FL74" s="134" t="str">
        <f t="shared" si="82"/>
        <v>#REF!</v>
      </c>
      <c r="FM74" s="134" t="str">
        <f t="shared" si="83"/>
        <v>#REF!</v>
      </c>
      <c r="FN74" s="135" t="str">
        <f>IF(ISNA(VLOOKUP(A74,'Données projet (1)'!$A$217:$I$237,5,0)),0%,VLOOKUP(A74,'Données projet (1)'!$A$217:$I$237,5,0)*VLOOKUP('Données projet (1)'!$B$16,'Paramètres (1)'!$A$1:$I$88,7,0))</f>
        <v>#REF!</v>
      </c>
      <c r="FO74" s="135" t="str">
        <f>IF(ISNA(VLOOKUP(A74,'Données projet (1)'!$A$217:$I$237,6,0)),0%,VLOOKUP(A74,'Données projet (1)'!$A$217:$I$237,6,0)*VLOOKUP('Données projet (1)'!$B$16,'Paramètres (1)'!$A$1:$I$88,7,0))</f>
        <v>#REF!</v>
      </c>
      <c r="FP74" s="135" t="str">
        <f t="shared" si="84"/>
        <v>#REF!</v>
      </c>
      <c r="FQ74" s="142" t="str">
        <f>EXP(-LN(2)/35)*FQ73+(1-EXP(-LN(2)/35))/(LN(2)/35)*FM74*FN74*VLOOKUP('Données projet (1)'!$B$16,'Paramètres (1)'!$A$1:$I$88,3,0)*0.475*44/12</f>
        <v>#REF!</v>
      </c>
      <c r="FR74" s="142" t="str">
        <f>EXP(-LN(2)/25)*FR73+(1-EXP(-LN(2)/25))/(LN(2)/25)*'Calculateur (1)'!FM74*'Calculateur (1)'!FO74*VLOOKUP('Données projet (1)'!$B$16,'Paramètres (1)'!$A$1:$I$88,3,0)*0.475*44/12</f>
        <v>#REF!</v>
      </c>
      <c r="FS74" s="142" t="str">
        <f>EXP(-LN(2)/2)*FS73+(1-EXP(-LN(2)/2))/(LN(2)/2)*FM74*FP74*VLOOKUP('Données projet (1)'!$B$16,'Paramètres (1)'!$A$1:$I$88,3,0)*0.475*44/12</f>
        <v>#REF!</v>
      </c>
      <c r="FT74" s="143" t="str">
        <f t="shared" si="85"/>
        <v>#REF!</v>
      </c>
      <c r="FU74" s="139" t="str">
        <f t="shared" si="86"/>
        <v>#REF!</v>
      </c>
      <c r="FV74" s="131">
        <f t="shared" si="87"/>
        <v>10</v>
      </c>
      <c r="FW74" s="131" t="str">
        <f t="shared" si="140"/>
        <v>#REF!</v>
      </c>
      <c r="FX74" s="131" t="str">
        <f t="shared" si="88"/>
        <v>#REF!</v>
      </c>
      <c r="FY74" s="131" t="str">
        <f t="array" ref="FY74">INDEX(FX:FX,MIN(IF(ISNUMBER(FX74:FX270),ROW(FX74:FX270),"")))</f>
        <v/>
      </c>
      <c r="FZ74" s="131" t="str">
        <f t="shared" si="141"/>
        <v>#REF!</v>
      </c>
      <c r="GA74" s="138" t="str">
        <f>FZ74*VLOOKUP('Données projet (1)'!$B$17,'Paramètres (1)'!$A$1:$I$88,3,0)*VLOOKUP('Données projet (1)'!$B$17,'Paramètres (1)'!$A$1:$I$88,5,0)</f>
        <v>#REF!</v>
      </c>
      <c r="GB74" s="130" t="str">
        <f t="shared" si="142"/>
        <v>#REF!</v>
      </c>
      <c r="GC74" s="141" t="str">
        <f t="shared" si="89"/>
        <v>#REF!</v>
      </c>
      <c r="GD74" s="133" t="str">
        <f t="shared" si="90"/>
        <v>#REF!</v>
      </c>
      <c r="GE74" s="133" t="str">
        <f t="shared" si="91"/>
        <v>#REF!</v>
      </c>
      <c r="GF74" s="133" t="str">
        <f t="shared" si="143"/>
        <v>#REF!</v>
      </c>
      <c r="GG74" s="134" t="str">
        <f t="shared" si="92"/>
        <v>#REF!</v>
      </c>
      <c r="GH74" s="134" t="str">
        <f t="shared" si="93"/>
        <v>#REF!</v>
      </c>
      <c r="GI74" s="135" t="str">
        <f>IF(ISNA(VLOOKUP(A74,'Données projet (1)'!$A$243:$I$263,5,0)),0%,VLOOKUP(A74,'Données projet (1)'!$A$243:$I$263,5,0)*VLOOKUP('Données projet (1)'!$B$17,'Paramètres (1)'!$A$1:$I$88,7,0))</f>
        <v>#REF!</v>
      </c>
      <c r="GJ74" s="135" t="str">
        <f>IF(ISNA(VLOOKUP(A74,'Données projet (1)'!$A$243:$I$263,6,0)),0%,VLOOKUP(A74,'Données projet (1)'!$A$243:$I$263,6,0)*VLOOKUP('Données projet (1)'!$B$17,'Paramètres (1)'!$A$1:$I$88,7,0))</f>
        <v>#REF!</v>
      </c>
      <c r="GK74" s="135" t="str">
        <f t="shared" si="94"/>
        <v>#REF!</v>
      </c>
      <c r="GL74" s="142" t="str">
        <f>EXP(-LN(2)/35)*GL73+(1-EXP(-LN(2)/35))/(LN(2)/35)*GH74*GI74*VLOOKUP('Données projet (1)'!$B$17,'Paramètres (1)'!$A$1:$I$88,3,0)*0.475*44/12</f>
        <v>#REF!</v>
      </c>
      <c r="GM74" s="142" t="str">
        <f>EXP(-LN(2)/25)*GM73+(1-EXP(-LN(2)/25))/(LN(2)/25)*'Calculateur (1)'!GH74*'Calculateur (1)'!GJ74*VLOOKUP('Données projet (1)'!$B$17,'Paramètres (1)'!$A$1:$I$88,3,0)*0.475*44/12</f>
        <v>#REF!</v>
      </c>
      <c r="GN74" s="142" t="str">
        <f>EXP(-LN(2)/2)*GN73+(1-EXP(-LN(2)/2))/(LN(2)/2)*GH74*GK74*VLOOKUP('Données projet (1)'!$B$17,'Paramètres (1)'!$A$1:$I$88,3,0)*0.475*44/12</f>
        <v>#REF!</v>
      </c>
      <c r="GO74" s="142" t="str">
        <f t="shared" si="95"/>
        <v>#REF!</v>
      </c>
      <c r="GP74" s="139" t="str">
        <f t="shared" si="96"/>
        <v>#REF!</v>
      </c>
      <c r="GQ74" s="131">
        <f t="shared" si="97"/>
        <v>10</v>
      </c>
      <c r="GR74" s="131" t="str">
        <f t="shared" si="144"/>
        <v>#REF!</v>
      </c>
      <c r="GS74" s="131" t="str">
        <f t="shared" si="98"/>
        <v>#REF!</v>
      </c>
      <c r="GT74" s="131" t="str">
        <f t="array" ref="GT74">INDEX(GS:GS,MIN(IF(ISNUMBER(GS74:GS270),ROW(GS74:GS270),"")))</f>
        <v/>
      </c>
      <c r="GU74" s="131" t="str">
        <f t="shared" si="145"/>
        <v>#REF!</v>
      </c>
      <c r="GV74" s="138" t="str">
        <f>GU74*VLOOKUP('Données projet (1)'!$B$18,'Paramètres (1)'!$A$1:$I$88,3,0)*VLOOKUP('Données projet (1)'!$B$18,'Paramètres (1)'!$A$1:$I$88,5,0)</f>
        <v>#REF!</v>
      </c>
      <c r="GW74" s="130" t="str">
        <f t="shared" si="146"/>
        <v>#REF!</v>
      </c>
      <c r="GX74" s="141" t="str">
        <f t="shared" si="99"/>
        <v>#REF!</v>
      </c>
      <c r="GY74" s="133" t="str">
        <f t="shared" si="100"/>
        <v>#REF!</v>
      </c>
      <c r="GZ74" s="133" t="str">
        <f t="shared" si="101"/>
        <v>#REF!</v>
      </c>
      <c r="HA74" s="133" t="str">
        <f t="shared" si="147"/>
        <v>#REF!</v>
      </c>
      <c r="HB74" s="134" t="str">
        <f t="shared" si="102"/>
        <v>#REF!</v>
      </c>
      <c r="HC74" s="134" t="str">
        <f t="shared" si="103"/>
        <v>#REF!</v>
      </c>
      <c r="HD74" s="135" t="str">
        <f>IF(ISNA(VLOOKUP(A74,'Données projet (1)'!$A$269:$I$289,5,0)),0%,VLOOKUP(A74,'Données projet (1)'!$A$269:$I$289,5,0)*VLOOKUP('Données projet (1)'!$B$18,'Paramètres (1)'!$A$1:$I$88,7,0))</f>
        <v>#REF!</v>
      </c>
      <c r="HE74" s="135" t="str">
        <f>IF(ISNA(VLOOKUP(A74,'Données projet (1)'!$A$269:$I$289,6,0)),0%,VLOOKUP(A74,'Données projet (1)'!$A$269:$I$289,6,0)*VLOOKUP('Données projet (1)'!$B$18,'Paramètres (1)'!$A$1:$I$88,7,0))</f>
        <v>#REF!</v>
      </c>
      <c r="HF74" s="135" t="str">
        <f t="shared" si="104"/>
        <v>#REF!</v>
      </c>
      <c r="HG74" s="142" t="str">
        <f>EXP(-LN(2)/35)*HG73+(1-EXP(-LN(2)/35))/(LN(2)/35)*HC74*HD74*VLOOKUP('Données projet (1)'!$B$18,'Paramètres (1)'!$A$1:$I$88,3,0)*0.475*44/12</f>
        <v>#REF!</v>
      </c>
      <c r="HH74" s="142" t="str">
        <f>EXP(-LN(2)/25)*HH73+(1-EXP(-LN(2)/25))/(LN(2)/25)*'Calculateur (1)'!HC74*'Calculateur (1)'!HE74*VLOOKUP('Données projet (1)'!$B$18,'Paramètres (1)'!$A$1:$I$88,3,0)*0.475*44/12</f>
        <v>#REF!</v>
      </c>
      <c r="HI74" s="142" t="str">
        <f>EXP(-LN(2)/2)*HI73+(1-EXP(-LN(2)/2))/(LN(2)/2)*HC74*HF74*VLOOKUP('Données projet (1)'!$B$18,'Paramètres (1)'!$A$1:$I$88,3,0)*0.475*44/12</f>
        <v>#REF!</v>
      </c>
      <c r="HJ74" s="143" t="str">
        <f t="shared" si="105"/>
        <v>#REF!</v>
      </c>
    </row>
    <row r="75" ht="14.25" customHeight="1">
      <c r="A75" s="125">
        <f t="shared" si="106"/>
        <v>72</v>
      </c>
      <c r="B75" s="126" t="str">
        <f t="shared" si="1"/>
        <v>#REF!</v>
      </c>
      <c r="C75" s="140" t="str">
        <f>'Calculateur (1)'!C74+'Scénario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5" s="127">
        <f t="shared" si="107"/>
        <v>0</v>
      </c>
      <c r="E75" s="127" t="str">
        <f t="shared" si="2"/>
        <v>#REF!</v>
      </c>
      <c r="F75" s="127" t="str">
        <f t="shared" si="3"/>
        <v>#REF!</v>
      </c>
      <c r="G75" s="127" t="str">
        <f t="shared" si="4"/>
        <v>#REF!</v>
      </c>
      <c r="H75" s="128" t="str">
        <f t="shared" si="5"/>
        <v>#REF!</v>
      </c>
      <c r="I75" s="129" t="str">
        <f t="shared" si="6"/>
        <v>#REF!</v>
      </c>
      <c r="J75" s="130">
        <f t="shared" si="7"/>
        <v>10</v>
      </c>
      <c r="K75" s="131" t="str">
        <f t="shared" si="108"/>
        <v>#REF!</v>
      </c>
      <c r="L75" s="131" t="str">
        <f t="shared" si="8"/>
        <v>#REF!</v>
      </c>
      <c r="M75" s="131" t="str">
        <f t="array" ref="M75">INDEX(L:L,MIN(IF(ISNUMBER(L75:L271),ROW(L75:L271),"")))</f>
        <v/>
      </c>
      <c r="N75" s="130" t="str">
        <f t="shared" si="109"/>
        <v>#REF!</v>
      </c>
      <c r="O75" s="130" t="str">
        <f>N75*VLOOKUP('Données projet (1)'!$B$9,'Paramètres (1)'!$A$1:$I$88,3,0)*VLOOKUP('Données projet (1)'!$B$9,'Paramètres (1)'!$A$1:$I$88,5,0)</f>
        <v>#REF!</v>
      </c>
      <c r="P75" s="130" t="str">
        <f t="shared" si="110"/>
        <v>#REF!</v>
      </c>
      <c r="Q75" s="141" t="str">
        <f t="shared" si="9"/>
        <v>#REF!</v>
      </c>
      <c r="R75" s="133" t="str">
        <f t="shared" si="10"/>
        <v>#REF!</v>
      </c>
      <c r="S75" s="133" t="str">
        <f t="shared" si="11"/>
        <v>#REF!</v>
      </c>
      <c r="T75" s="133" t="str">
        <f t="shared" si="111"/>
        <v>#REF!</v>
      </c>
      <c r="U75" s="134" t="str">
        <f t="shared" si="12"/>
        <v>#REF!</v>
      </c>
      <c r="V75" s="134" t="str">
        <f t="shared" si="13"/>
        <v>#REF!</v>
      </c>
      <c r="W75" s="135" t="str">
        <f>IF(ISNA(VLOOKUP(A75,'Données projet (1)'!$A$35:$I$55,5,0)),0%,VLOOKUP(A75,'Données projet (1)'!$A$35:$I$55,5,0)*VLOOKUP('Données projet (1)'!$B$9,'Paramètres (1)'!$A$1:$I$88,7,0))</f>
        <v>#REF!</v>
      </c>
      <c r="X75" s="135" t="str">
        <f>IF(ISNA(VLOOKUP(A75,'Données projet (1)'!$A$35:$I$55,6,0)),0%,VLOOKUP(A75,'Données projet (1)'!$A$35:$I$55,6,0)*VLOOKUP('Données projet (1)'!$B$9,'Paramètres (1)'!$A$1:$I$88,7,0))</f>
        <v>#REF!</v>
      </c>
      <c r="Y75" s="135" t="str">
        <f t="shared" si="14"/>
        <v>#REF!</v>
      </c>
      <c r="Z75" s="142" t="str">
        <f>EXP(-LN(2)/35)*Z74+(1-EXP(-LN(2)/35))/(LN(2)/35)*V75*W75*VLOOKUP('Données projet (1)'!$B$9,'Paramètres (1)'!$A$1:$I$88,3,0)*0.475*44/12</f>
        <v>#REF!</v>
      </c>
      <c r="AA75" s="142" t="str">
        <f>EXP(-LN(2)/25)*AA74+(1-EXP(-LN(2)/25))/(LN(2)/25)*'Calculateur (1)'!V75*'Calculateur (1)'!X75*VLOOKUP('Données projet (1)'!$B$9,'Paramètres (1)'!$A$1:$I$88,3,0)*0.475*44/12</f>
        <v>#REF!</v>
      </c>
      <c r="AB75" s="142" t="str">
        <f>EXP(-LN(2)/2)*AB74+(1-EXP(-LN(2)/2))/(LN(2)/2)*V75*Y75*VLOOKUP('Données projet (1)'!$B$9,'Paramètres (1)'!$A$1:$I$88,3,0)*0.475*44/12</f>
        <v>#REF!</v>
      </c>
      <c r="AC75" s="143" t="str">
        <f t="shared" si="15"/>
        <v>#REF!</v>
      </c>
      <c r="AD75" s="130" t="str">
        <f t="shared" si="16"/>
        <v>#REF!</v>
      </c>
      <c r="AE75" s="130">
        <f t="shared" si="17"/>
        <v>10</v>
      </c>
      <c r="AF75" s="131" t="str">
        <f t="shared" si="112"/>
        <v>#REF!</v>
      </c>
      <c r="AG75" s="131" t="str">
        <f t="shared" si="18"/>
        <v>#REF!</v>
      </c>
      <c r="AH75" s="131" t="str">
        <f t="array" ref="AH75">INDEX(AG:AG,MIN(IF(ISNUMBER(AG75:AG271),ROW(AG75:AG271),"")))</f>
        <v/>
      </c>
      <c r="AI75" s="130" t="str">
        <f t="shared" si="113"/>
        <v>#REF!</v>
      </c>
      <c r="AJ75" s="130" t="str">
        <f>AI75*VLOOKUP('Données projet (1)'!$B$10,'Paramètres (1)'!$A$1:$I$88,3,0)*VLOOKUP('Données projet (1)'!$B$10,'Paramètres (1)'!$A$1:$I$88,5,0)</f>
        <v>#REF!</v>
      </c>
      <c r="AK75" s="130" t="str">
        <f t="shared" si="114"/>
        <v>#REF!</v>
      </c>
      <c r="AL75" s="141" t="str">
        <f t="shared" si="19"/>
        <v>#REF!</v>
      </c>
      <c r="AM75" s="133" t="str">
        <f t="shared" si="20"/>
        <v>#REF!</v>
      </c>
      <c r="AN75" s="133" t="str">
        <f t="shared" si="21"/>
        <v>#REF!</v>
      </c>
      <c r="AO75" s="133" t="str">
        <f t="shared" si="115"/>
        <v>#REF!</v>
      </c>
      <c r="AP75" s="134" t="str">
        <f t="shared" si="22"/>
        <v>#REF!</v>
      </c>
      <c r="AQ75" s="134" t="str">
        <f t="shared" si="23"/>
        <v>#REF!</v>
      </c>
      <c r="AR75" s="135" t="str">
        <f>IF(ISNA(VLOOKUP(A75,'Données projet (1)'!$A$61:$I$81,5,0)),0%,VLOOKUP(A75,'Données projet (1)'!$A$61:$I$81,5,0)*VLOOKUP('Données projet (1)'!$B$10,'Paramètres (1)'!$A$1:$I$88,7,0))</f>
        <v>#REF!</v>
      </c>
      <c r="AS75" s="135" t="str">
        <f>IF(ISNA(VLOOKUP(A75,'Données projet (1)'!$A$61:$I$81,6,0)),0%,VLOOKUP(A75,'Données projet (1)'!$A$61:$I$81,6,0)*VLOOKUP('Données projet (1)'!$B$10,'Paramètres (1)'!$A$1:$I$88,7,0))</f>
        <v>#REF!</v>
      </c>
      <c r="AT75" s="135" t="str">
        <f t="shared" si="24"/>
        <v>#REF!</v>
      </c>
      <c r="AU75" s="142" t="str">
        <f>EXP(-LN(2)/35)*AU74+(1-EXP(-LN(2)/35))/(LN(2)/35)*AQ75*AR75*VLOOKUP('Données projet (1)'!$B$10,'Paramètres (1)'!$A$1:$I$88,3,0)*0.475*44/12</f>
        <v>#REF!</v>
      </c>
      <c r="AV75" s="142" t="str">
        <f>EXP(-LN(2)/25)*AV74+(1-EXP(-LN(2)/25))/(LN(2)/25)*'Calculateur (1)'!AQ75*'Calculateur (1)'!AS75*VLOOKUP('Données projet (1)'!$B$10,'Paramètres (1)'!$A$1:$I$88,3,0)*0.475*44/12</f>
        <v>#REF!</v>
      </c>
      <c r="AW75" s="142" t="str">
        <f>EXP(-LN(2)/2)*AW74+(1-EXP(-LN(2)/2))/(LN(2)/2)*AQ75*AT75*VLOOKUP('Données projet (1)'!$B$10,'Paramètres (1)'!$A$1:$I$88,3,0)*0.475*44/12</f>
        <v>#REF!</v>
      </c>
      <c r="AX75" s="142" t="str">
        <f t="shared" si="25"/>
        <v>#REF!</v>
      </c>
      <c r="AY75" s="137" t="str">
        <f t="shared" si="26"/>
        <v>#REF!</v>
      </c>
      <c r="AZ75" s="131">
        <f t="shared" si="27"/>
        <v>10</v>
      </c>
      <c r="BA75" s="131" t="str">
        <f t="shared" si="116"/>
        <v>#REF!</v>
      </c>
      <c r="BB75" s="131" t="str">
        <f t="shared" si="28"/>
        <v>#REF!</v>
      </c>
      <c r="BC75" s="131" t="str">
        <f t="array" ref="BC75">INDEX(BB:BB,MIN(IF(ISNUMBER(BB75:BB271),ROW(BB75:BB271),"")))</f>
        <v/>
      </c>
      <c r="BD75" s="131" t="str">
        <f t="shared" si="117"/>
        <v>#REF!</v>
      </c>
      <c r="BE75" s="130" t="str">
        <f>BD75*VLOOKUP('Données projet (1)'!$B$11,'Paramètres (1)'!$A$1:$I$88,3,0)*VLOOKUP('Données projet (1)'!$B$11,'Paramètres (1)'!$A$1:$I$88,5,0)</f>
        <v>#REF!</v>
      </c>
      <c r="BF75" s="130" t="str">
        <f t="shared" si="118"/>
        <v>#REF!</v>
      </c>
      <c r="BG75" s="141" t="str">
        <f t="shared" si="29"/>
        <v>#REF!</v>
      </c>
      <c r="BH75" s="133" t="str">
        <f t="shared" si="30"/>
        <v>#REF!</v>
      </c>
      <c r="BI75" s="133" t="str">
        <f t="shared" si="31"/>
        <v>#REF!</v>
      </c>
      <c r="BJ75" s="133" t="str">
        <f t="shared" si="119"/>
        <v>#REF!</v>
      </c>
      <c r="BK75" s="134" t="str">
        <f t="shared" si="32"/>
        <v>#REF!</v>
      </c>
      <c r="BL75" s="134" t="str">
        <f t="shared" si="33"/>
        <v>#REF!</v>
      </c>
      <c r="BM75" s="135" t="str">
        <f>IF(ISNA(VLOOKUP(A75,'Données projet (1)'!$A$87:$I$107,5,0)),0%,VLOOKUP(A75,'Données projet (1)'!$A$87:$I$107,5,0)*VLOOKUP('Données projet (1)'!$B$11,'Paramètres (1)'!$A$1:$I$88,7,0))</f>
        <v>#REF!</v>
      </c>
      <c r="BN75" s="135" t="str">
        <f>IF(ISNA(VLOOKUP(A75,'Données projet (1)'!$A$87:$I$107,6,0)),0%,VLOOKUP(A75,'Données projet (1)'!$A$87:$I$107,6,0)*VLOOKUP('Données projet (1)'!$B$11,'Paramètres (1)'!$A$1:$I$88,7,0))</f>
        <v>#REF!</v>
      </c>
      <c r="BO75" s="135" t="str">
        <f t="shared" si="34"/>
        <v>#REF!</v>
      </c>
      <c r="BP75" s="142" t="str">
        <f>EXP(-LN(2)/35)*BP74+(1-EXP(-LN(2)/35))/(LN(2)/35)*BL75*BM75*VLOOKUP('Données projet (1)'!$B$11,'Paramètres (1)'!$A$1:$I$88,3,0)*0.475*44/12</f>
        <v>#REF!</v>
      </c>
      <c r="BQ75" s="142" t="str">
        <f>EXP(-LN(2)/25)*BQ74+(1-EXP(-LN(2)/25))/(LN(2)/25)*'Calculateur (1)'!BL75*'Calculateur (1)'!BN75*VLOOKUP('Données projet (1)'!$B$11,'Paramètres (1)'!$A$1:$I$88,3,0)*0.475*44/12</f>
        <v>#REF!</v>
      </c>
      <c r="BR75" s="142" t="str">
        <f>EXP(-LN(2)/2)*BR74+(1-EXP(-LN(2)/2))/(LN(2)/2)*BL75*BO75*VLOOKUP('Données projet (1)'!$B$11,'Paramètres (1)'!$A$1:$I$88,3,0)*0.475*44/12</f>
        <v>#REF!</v>
      </c>
      <c r="BS75" s="143" t="str">
        <f t="shared" si="35"/>
        <v>#REF!</v>
      </c>
      <c r="BT75" s="139" t="str">
        <f t="shared" si="36"/>
        <v>#REF!</v>
      </c>
      <c r="BU75" s="131">
        <f t="shared" si="37"/>
        <v>10</v>
      </c>
      <c r="BV75" s="131" t="str">
        <f t="shared" si="120"/>
        <v>#REF!</v>
      </c>
      <c r="BW75" s="131" t="str">
        <f t="shared" si="38"/>
        <v>#REF!</v>
      </c>
      <c r="BX75" s="131" t="str">
        <f t="array" ref="BX75">INDEX(BW:BW,MIN(IF(ISNUMBER(BW75:BW271),ROW(BW75:BW271),"")))</f>
        <v/>
      </c>
      <c r="BY75" s="131" t="str">
        <f t="shared" si="121"/>
        <v>#REF!</v>
      </c>
      <c r="BZ75" s="130" t="str">
        <f>BY75*VLOOKUP('Données projet (1)'!$B$12,'Paramètres (1)'!$A$1:$I$88,3,0)*VLOOKUP('Données projet (1)'!$B$12,'Paramètres (1)'!$A$1:$I$88,5,0)</f>
        <v>#REF!</v>
      </c>
      <c r="CA75" s="130" t="str">
        <f t="shared" si="122"/>
        <v>#REF!</v>
      </c>
      <c r="CB75" s="141" t="str">
        <f t="shared" si="39"/>
        <v>#REF!</v>
      </c>
      <c r="CC75" s="133" t="str">
        <f t="shared" si="40"/>
        <v>#REF!</v>
      </c>
      <c r="CD75" s="133" t="str">
        <f t="shared" si="41"/>
        <v>#REF!</v>
      </c>
      <c r="CE75" s="133" t="str">
        <f t="shared" si="123"/>
        <v>#REF!</v>
      </c>
      <c r="CF75" s="134" t="str">
        <f t="shared" si="42"/>
        <v>#REF!</v>
      </c>
      <c r="CG75" s="134" t="str">
        <f t="shared" si="43"/>
        <v>#REF!</v>
      </c>
      <c r="CH75" s="135" t="str">
        <f>IF(ISNA(VLOOKUP(A75,'Données projet (1)'!$A$113:$I$133,5,0)),0%,VLOOKUP(A75,'Données projet (1)'!$A$113:$I$133,5,0)*VLOOKUP('Données projet (1)'!$B$12,'Paramètres (1)'!$A$1:$I$88,7,0))</f>
        <v>#REF!</v>
      </c>
      <c r="CI75" s="135" t="str">
        <f>IF(ISNA(VLOOKUP(A75,'Données projet (1)'!$A$113:$I$133,6,0)),0%,VLOOKUP(A75,'Données projet (1)'!$A$113:$I$133,6,0)*VLOOKUP('Données projet (1)'!$B$12,'Paramètres (1)'!$A$1:$I$88,7,0))</f>
        <v>#REF!</v>
      </c>
      <c r="CJ75" s="135" t="str">
        <f t="shared" si="44"/>
        <v>#REF!</v>
      </c>
      <c r="CK75" s="142" t="str">
        <f>EXP(-LN(2)/35)*CK74+(1-EXP(-LN(2)/35))/(LN(2)/35)*CG75*CH75*VLOOKUP('Données projet (1)'!$B$12,'Paramètres (1)'!$A$1:$I$88,3,0)*0.475*44/12</f>
        <v>#REF!</v>
      </c>
      <c r="CL75" s="142" t="str">
        <f>EXP(-LN(2)/25)*CL74+(1-EXP(-LN(2)/25))/(LN(2)/25)*'Calculateur (1)'!CG75*'Calculateur (1)'!CI75*VLOOKUP('Données projet (1)'!$B$12,'Paramètres (1)'!$A$1:$I$88,3,0)*0.475*44/12</f>
        <v>#REF!</v>
      </c>
      <c r="CM75" s="142" t="str">
        <f>EXP(-LN(2)/2)*CM74+(1-EXP(-LN(2)/2))/(LN(2)/2)*CG75*CJ75*VLOOKUP('Données projet (1)'!$B$12,'Paramètres (1)'!$A$1:$I$88,3,0)*0.475*44/12</f>
        <v>#REF!</v>
      </c>
      <c r="CN75" s="143" t="str">
        <f t="shared" si="45"/>
        <v>#REF!</v>
      </c>
      <c r="CO75" s="139" t="str">
        <f t="shared" si="46"/>
        <v>#REF!</v>
      </c>
      <c r="CP75" s="131">
        <f t="shared" si="47"/>
        <v>10</v>
      </c>
      <c r="CQ75" s="131" t="str">
        <f t="shared" si="124"/>
        <v>#REF!</v>
      </c>
      <c r="CR75" s="131" t="str">
        <f t="shared" si="48"/>
        <v>#REF!</v>
      </c>
      <c r="CS75" s="131" t="str">
        <f t="array" ref="CS75">INDEX(CR:CR,MIN(IF(ISNUMBER(CR75:CR271),ROW(CR75:CR271),"")))</f>
        <v/>
      </c>
      <c r="CT75" s="131" t="str">
        <f t="shared" si="125"/>
        <v>#REF!</v>
      </c>
      <c r="CU75" s="138" t="str">
        <f>CT75*VLOOKUP('Données projet (1)'!$B$13,'Paramètres (1)'!$A$1:$I$88,3,0)*VLOOKUP('Données projet (1)'!$B$13,'Paramètres (1)'!$A$1:$I$88,5,0)</f>
        <v>#REF!</v>
      </c>
      <c r="CV75" s="130" t="str">
        <f t="shared" si="126"/>
        <v>#REF!</v>
      </c>
      <c r="CW75" s="141" t="str">
        <f t="shared" si="49"/>
        <v>#REF!</v>
      </c>
      <c r="CX75" s="133" t="str">
        <f t="shared" si="50"/>
        <v>#REF!</v>
      </c>
      <c r="CY75" s="133" t="str">
        <f t="shared" si="51"/>
        <v>#REF!</v>
      </c>
      <c r="CZ75" s="133" t="str">
        <f t="shared" si="127"/>
        <v>#REF!</v>
      </c>
      <c r="DA75" s="134" t="str">
        <f t="shared" si="52"/>
        <v>#REF!</v>
      </c>
      <c r="DB75" s="134" t="str">
        <f t="shared" si="53"/>
        <v>#REF!</v>
      </c>
      <c r="DC75" s="135" t="str">
        <f>IF(ISNA(VLOOKUP(A75,'Données projet (1)'!$A$139:$I$159,5,0)),0%,VLOOKUP(A75,'Données projet (1)'!$A$139:$I$159,5,0)*VLOOKUP('Données projet (1)'!$B$13,'Paramètres (1)'!$A$1:$I$88,7,0))</f>
        <v>#REF!</v>
      </c>
      <c r="DD75" s="135" t="str">
        <f>IF(ISNA(VLOOKUP(A75,'Données projet (1)'!$A$139:$I$159,6,0)),0%,VLOOKUP(A75,'Données projet (1)'!$A$139:$I$159,6,0)*VLOOKUP('Données projet (1)'!$B$13,'Paramètres (1)'!$A$1:$I$88,7,0))</f>
        <v>#REF!</v>
      </c>
      <c r="DE75" s="135" t="str">
        <f t="shared" si="54"/>
        <v>#REF!</v>
      </c>
      <c r="DF75" s="142" t="str">
        <f>EXP(-LN(2)/35)*DF74+(1-EXP(-LN(2)/35))/(LN(2)/35)*DB75*DC75*VLOOKUP('Données projet (1)'!$B$13,'Paramètres (1)'!$A$1:$I$88,3,0)*0.475*44/12</f>
        <v>#REF!</v>
      </c>
      <c r="DG75" s="142" t="str">
        <f>EXP(-LN(2)/25)*DG74+(1-EXP(-LN(2)/25))/(LN(2)/25)*'Calculateur (1)'!DB75*'Calculateur (1)'!DD75*VLOOKUP('Données projet (1)'!$B$13,'Paramètres (1)'!$A$1:$I$88,3,0)*0.475*44/12</f>
        <v>#REF!</v>
      </c>
      <c r="DH75" s="142" t="str">
        <f>EXP(-LN(2)/2)*DH74+(1-EXP(-LN(2)/2))/(LN(2)/2)*DB75*DE75*VLOOKUP('Données projet (1)'!$B$13,'Paramètres (1)'!$A$1:$I$88,3,0)*0.475*44/12</f>
        <v>#REF!</v>
      </c>
      <c r="DI75" s="143" t="str">
        <f t="shared" si="55"/>
        <v>#REF!</v>
      </c>
      <c r="DJ75" s="139" t="str">
        <f t="shared" si="56"/>
        <v>#REF!</v>
      </c>
      <c r="DK75" s="131">
        <f t="shared" si="57"/>
        <v>10</v>
      </c>
      <c r="DL75" s="131" t="str">
        <f t="shared" si="128"/>
        <v>#REF!</v>
      </c>
      <c r="DM75" s="131" t="str">
        <f t="shared" si="58"/>
        <v>#REF!</v>
      </c>
      <c r="DN75" s="131" t="str">
        <f t="array" ref="DN75">INDEX(DM:DM,MIN(IF(ISNUMBER(DM75:DM271),ROW(DM75:DM271),"")))</f>
        <v/>
      </c>
      <c r="DO75" s="131" t="str">
        <f t="shared" si="129"/>
        <v>#REF!</v>
      </c>
      <c r="DP75" s="138" t="str">
        <f>DO75*VLOOKUP('Données projet (1)'!$B$14,'Paramètres (1)'!$A$1:$I$88,3,0)*VLOOKUP('Données projet (1)'!$B$14,'Paramètres (1)'!$A$1:$I$88,5,0)</f>
        <v>#REF!</v>
      </c>
      <c r="DQ75" s="130" t="str">
        <f t="shared" si="130"/>
        <v>#REF!</v>
      </c>
      <c r="DR75" s="141" t="str">
        <f t="shared" si="59"/>
        <v>#REF!</v>
      </c>
      <c r="DS75" s="133" t="str">
        <f t="shared" si="60"/>
        <v>#REF!</v>
      </c>
      <c r="DT75" s="133" t="str">
        <f t="shared" si="61"/>
        <v>#REF!</v>
      </c>
      <c r="DU75" s="133" t="str">
        <f t="shared" si="131"/>
        <v>#REF!</v>
      </c>
      <c r="DV75" s="134" t="str">
        <f t="shared" si="62"/>
        <v>#REF!</v>
      </c>
      <c r="DW75" s="134" t="str">
        <f t="shared" si="63"/>
        <v>#REF!</v>
      </c>
      <c r="DX75" s="135" t="str">
        <f>IF(ISNA(VLOOKUP(A75,'Données projet (1)'!$A$165:$I$185,5,0)),0%,VLOOKUP(A75,'Données projet (1)'!$A$165:$I$185,5,0)*VLOOKUP('Données projet (1)'!$B$14,'Paramètres (1)'!$A$1:$I$88,7,0))</f>
        <v>#REF!</v>
      </c>
      <c r="DY75" s="135" t="str">
        <f>IF(ISNA(VLOOKUP(A75,'Données projet (1)'!$A$165:$I$185,6,0)),0%,VLOOKUP(A75,'Données projet (1)'!$A$165:$I$185,6,0)*VLOOKUP('Données projet (1)'!$B$14,'Paramètres (1)'!$A$1:$I$88,7,0))</f>
        <v>#REF!</v>
      </c>
      <c r="DZ75" s="135" t="str">
        <f t="shared" si="64"/>
        <v>#REF!</v>
      </c>
      <c r="EA75" s="142" t="str">
        <f>EXP(-LN(2)/35)*EA74+(1-EXP(-LN(2)/35))/(LN(2)/35)*DW75*DX75*VLOOKUP('Données projet (1)'!$B$14,'Paramètres (1)'!$A$1:$I$88,3,0)*0.475*44/12</f>
        <v>#REF!</v>
      </c>
      <c r="EB75" s="142" t="str">
        <f>EXP(-LN(2)/25)*EB74+(1-EXP(-LN(2)/25))/(LN(2)/25)*'Calculateur (1)'!DW75*'Calculateur (1)'!DY75*VLOOKUP('Données projet (1)'!$B$14,'Paramètres (1)'!$A$1:$I$88,3,0)*0.475*44/12</f>
        <v>#REF!</v>
      </c>
      <c r="EC75" s="142" t="str">
        <f>EXP(-LN(2)/2)*EC74+(1-EXP(-LN(2)/2))/(LN(2)/2)*DW75*DZ75*VLOOKUP('Données projet (1)'!$B$14,'Paramètres (1)'!$A$1:$I$88,3,0)*0.475*44/12</f>
        <v>#REF!</v>
      </c>
      <c r="ED75" s="143" t="str">
        <f t="shared" si="65"/>
        <v>#REF!</v>
      </c>
      <c r="EE75" s="139" t="str">
        <f t="shared" si="66"/>
        <v>#REF!</v>
      </c>
      <c r="EF75" s="131">
        <f t="shared" si="67"/>
        <v>10</v>
      </c>
      <c r="EG75" s="131" t="str">
        <f t="shared" si="132"/>
        <v>#REF!</v>
      </c>
      <c r="EH75" s="131" t="str">
        <f t="shared" si="68"/>
        <v>#REF!</v>
      </c>
      <c r="EI75" s="131" t="str">
        <f t="array" ref="EI75">INDEX(EH:EH,MIN(IF(ISNUMBER(EH75:EH271),ROW(EH75:EH271),"")))</f>
        <v/>
      </c>
      <c r="EJ75" s="131" t="str">
        <f t="shared" si="133"/>
        <v>#REF!</v>
      </c>
      <c r="EK75" s="138" t="str">
        <f>EJ75*VLOOKUP('Données projet (1)'!$B$15,'Paramètres (1)'!$A$1:$I$88,3,0)*VLOOKUP('Données projet (1)'!$B$15,'Paramètres (1)'!$A$1:$I$88,5,0)</f>
        <v>#REF!</v>
      </c>
      <c r="EL75" s="130" t="str">
        <f t="shared" si="134"/>
        <v>#REF!</v>
      </c>
      <c r="EM75" s="141" t="str">
        <f t="shared" si="69"/>
        <v>#REF!</v>
      </c>
      <c r="EN75" s="133" t="str">
        <f t="shared" si="70"/>
        <v>#REF!</v>
      </c>
      <c r="EO75" s="133" t="str">
        <f t="shared" si="71"/>
        <v>#REF!</v>
      </c>
      <c r="EP75" s="133" t="str">
        <f t="shared" si="135"/>
        <v>#REF!</v>
      </c>
      <c r="EQ75" s="134" t="str">
        <f t="shared" si="72"/>
        <v>#REF!</v>
      </c>
      <c r="ER75" s="134" t="str">
        <f t="shared" si="73"/>
        <v>#REF!</v>
      </c>
      <c r="ES75" s="135" t="str">
        <f>IF(ISNA(VLOOKUP(A75,'Données projet (1)'!$A$191:$I$211,5,0)),0%,VLOOKUP(A75,'Données projet (1)'!$A$191:$I$211,5,0)*VLOOKUP('Données projet (1)'!$B$15,'Paramètres (1)'!$A$1:$I$88,7,0))</f>
        <v>#REF!</v>
      </c>
      <c r="ET75" s="135" t="str">
        <f>IF(ISNA(VLOOKUP(A75,'Données projet (1)'!$A$191:$I$211,6,0)),0%,VLOOKUP(A75,'Données projet (1)'!$A$191:$I$211,6,0)*VLOOKUP('Données projet (1)'!$B$15,'Paramètres (1)'!$A$1:$I$88,7,0))</f>
        <v>#REF!</v>
      </c>
      <c r="EU75" s="135" t="str">
        <f t="shared" si="74"/>
        <v>#REF!</v>
      </c>
      <c r="EV75" s="142" t="str">
        <f>EXP(-LN(2)/35)*EV74+(1-EXP(-LN(2)/35))/(LN(2)/35)*ER75*ES75*VLOOKUP('Données projet (1)'!$B$15,'Paramètres (1)'!$A$1:$I$88,3,0)*0.475*44/12</f>
        <v>#REF!</v>
      </c>
      <c r="EW75" s="142" t="str">
        <f>EXP(-LN(2)/25)*EW74+(1-EXP(-LN(2)/25))/(LN(2)/25)*'Calculateur (1)'!ER75*'Calculateur (1)'!ET75*VLOOKUP('Données projet (1)'!$B$15,'Paramètres (1)'!$A$1:$I$88,3,0)*0.475*44/12</f>
        <v>#REF!</v>
      </c>
      <c r="EX75" s="142" t="str">
        <f>EXP(-LN(2)/2)*EX74+(1-EXP(-LN(2)/2))/(LN(2)/2)*ER75*EU75*VLOOKUP('Données projet (1)'!$B$15,'Paramètres (1)'!$A$1:$I$88,3,0)*0.475*44/12</f>
        <v>#REF!</v>
      </c>
      <c r="EY75" s="143" t="str">
        <f t="shared" si="75"/>
        <v>#REF!</v>
      </c>
      <c r="EZ75" s="139" t="str">
        <f t="shared" si="76"/>
        <v>#REF!</v>
      </c>
      <c r="FA75" s="131">
        <f t="shared" si="77"/>
        <v>10</v>
      </c>
      <c r="FB75" s="131" t="str">
        <f t="shared" si="136"/>
        <v>#REF!</v>
      </c>
      <c r="FC75" s="131" t="str">
        <f t="shared" si="78"/>
        <v>#REF!</v>
      </c>
      <c r="FD75" s="131" t="str">
        <f t="array" ref="FD75">INDEX(FC:FC,MIN(IF(ISNUMBER(FC75:FC271),ROW(FC75:FC271),"")))</f>
        <v/>
      </c>
      <c r="FE75" s="131" t="str">
        <f t="shared" si="137"/>
        <v>#REF!</v>
      </c>
      <c r="FF75" s="138" t="str">
        <f>FE75*VLOOKUP('Données projet (1)'!$B$16,'Paramètres (1)'!$A$1:$I$88,3,0)*VLOOKUP('Données projet (1)'!$B$16,'Paramètres (1)'!$A$1:$I$88,5,0)</f>
        <v>#REF!</v>
      </c>
      <c r="FG75" s="130" t="str">
        <f t="shared" si="138"/>
        <v>#REF!</v>
      </c>
      <c r="FH75" s="141" t="str">
        <f t="shared" si="79"/>
        <v>#REF!</v>
      </c>
      <c r="FI75" s="133" t="str">
        <f t="shared" si="80"/>
        <v>#REF!</v>
      </c>
      <c r="FJ75" s="133" t="str">
        <f t="shared" si="81"/>
        <v>#REF!</v>
      </c>
      <c r="FK75" s="133" t="str">
        <f t="shared" si="139"/>
        <v>#REF!</v>
      </c>
      <c r="FL75" s="134" t="str">
        <f t="shared" si="82"/>
        <v>#REF!</v>
      </c>
      <c r="FM75" s="134" t="str">
        <f t="shared" si="83"/>
        <v>#REF!</v>
      </c>
      <c r="FN75" s="135" t="str">
        <f>IF(ISNA(VLOOKUP(A75,'Données projet (1)'!$A$217:$I$237,5,0)),0%,VLOOKUP(A75,'Données projet (1)'!$A$217:$I$237,5,0)*VLOOKUP('Données projet (1)'!$B$16,'Paramètres (1)'!$A$1:$I$88,7,0))</f>
        <v>#REF!</v>
      </c>
      <c r="FO75" s="135" t="str">
        <f>IF(ISNA(VLOOKUP(A75,'Données projet (1)'!$A$217:$I$237,6,0)),0%,VLOOKUP(A75,'Données projet (1)'!$A$217:$I$237,6,0)*VLOOKUP('Données projet (1)'!$B$16,'Paramètres (1)'!$A$1:$I$88,7,0))</f>
        <v>#REF!</v>
      </c>
      <c r="FP75" s="135" t="str">
        <f t="shared" si="84"/>
        <v>#REF!</v>
      </c>
      <c r="FQ75" s="142" t="str">
        <f>EXP(-LN(2)/35)*FQ74+(1-EXP(-LN(2)/35))/(LN(2)/35)*FM75*FN75*VLOOKUP('Données projet (1)'!$B$16,'Paramètres (1)'!$A$1:$I$88,3,0)*0.475*44/12</f>
        <v>#REF!</v>
      </c>
      <c r="FR75" s="142" t="str">
        <f>EXP(-LN(2)/25)*FR74+(1-EXP(-LN(2)/25))/(LN(2)/25)*'Calculateur (1)'!FM75*'Calculateur (1)'!FO75*VLOOKUP('Données projet (1)'!$B$16,'Paramètres (1)'!$A$1:$I$88,3,0)*0.475*44/12</f>
        <v>#REF!</v>
      </c>
      <c r="FS75" s="142" t="str">
        <f>EXP(-LN(2)/2)*FS74+(1-EXP(-LN(2)/2))/(LN(2)/2)*FM75*FP75*VLOOKUP('Données projet (1)'!$B$16,'Paramètres (1)'!$A$1:$I$88,3,0)*0.475*44/12</f>
        <v>#REF!</v>
      </c>
      <c r="FT75" s="143" t="str">
        <f t="shared" si="85"/>
        <v>#REF!</v>
      </c>
      <c r="FU75" s="139" t="str">
        <f t="shared" si="86"/>
        <v>#REF!</v>
      </c>
      <c r="FV75" s="131">
        <f t="shared" si="87"/>
        <v>10</v>
      </c>
      <c r="FW75" s="131" t="str">
        <f t="shared" si="140"/>
        <v>#REF!</v>
      </c>
      <c r="FX75" s="131" t="str">
        <f t="shared" si="88"/>
        <v>#REF!</v>
      </c>
      <c r="FY75" s="131" t="str">
        <f t="array" ref="FY75">INDEX(FX:FX,MIN(IF(ISNUMBER(FX75:FX271),ROW(FX75:FX271),"")))</f>
        <v/>
      </c>
      <c r="FZ75" s="131" t="str">
        <f t="shared" si="141"/>
        <v>#REF!</v>
      </c>
      <c r="GA75" s="138" t="str">
        <f>FZ75*VLOOKUP('Données projet (1)'!$B$17,'Paramètres (1)'!$A$1:$I$88,3,0)*VLOOKUP('Données projet (1)'!$B$17,'Paramètres (1)'!$A$1:$I$88,5,0)</f>
        <v>#REF!</v>
      </c>
      <c r="GB75" s="130" t="str">
        <f t="shared" si="142"/>
        <v>#REF!</v>
      </c>
      <c r="GC75" s="141" t="str">
        <f t="shared" si="89"/>
        <v>#REF!</v>
      </c>
      <c r="GD75" s="133" t="str">
        <f t="shared" si="90"/>
        <v>#REF!</v>
      </c>
      <c r="GE75" s="133" t="str">
        <f t="shared" si="91"/>
        <v>#REF!</v>
      </c>
      <c r="GF75" s="133" t="str">
        <f t="shared" si="143"/>
        <v>#REF!</v>
      </c>
      <c r="GG75" s="134" t="str">
        <f t="shared" si="92"/>
        <v>#REF!</v>
      </c>
      <c r="GH75" s="134" t="str">
        <f t="shared" si="93"/>
        <v>#REF!</v>
      </c>
      <c r="GI75" s="135" t="str">
        <f>IF(ISNA(VLOOKUP(A75,'Données projet (1)'!$A$243:$I$263,5,0)),0%,VLOOKUP(A75,'Données projet (1)'!$A$243:$I$263,5,0)*VLOOKUP('Données projet (1)'!$B$17,'Paramètres (1)'!$A$1:$I$88,7,0))</f>
        <v>#REF!</v>
      </c>
      <c r="GJ75" s="135" t="str">
        <f>IF(ISNA(VLOOKUP(A75,'Données projet (1)'!$A$243:$I$263,6,0)),0%,VLOOKUP(A75,'Données projet (1)'!$A$243:$I$263,6,0)*VLOOKUP('Données projet (1)'!$B$17,'Paramètres (1)'!$A$1:$I$88,7,0))</f>
        <v>#REF!</v>
      </c>
      <c r="GK75" s="135" t="str">
        <f t="shared" si="94"/>
        <v>#REF!</v>
      </c>
      <c r="GL75" s="142" t="str">
        <f>EXP(-LN(2)/35)*GL74+(1-EXP(-LN(2)/35))/(LN(2)/35)*GH75*GI75*VLOOKUP('Données projet (1)'!$B$17,'Paramètres (1)'!$A$1:$I$88,3,0)*0.475*44/12</f>
        <v>#REF!</v>
      </c>
      <c r="GM75" s="142" t="str">
        <f>EXP(-LN(2)/25)*GM74+(1-EXP(-LN(2)/25))/(LN(2)/25)*'Calculateur (1)'!GH75*'Calculateur (1)'!GJ75*VLOOKUP('Données projet (1)'!$B$17,'Paramètres (1)'!$A$1:$I$88,3,0)*0.475*44/12</f>
        <v>#REF!</v>
      </c>
      <c r="GN75" s="142" t="str">
        <f>EXP(-LN(2)/2)*GN74+(1-EXP(-LN(2)/2))/(LN(2)/2)*GH75*GK75*VLOOKUP('Données projet (1)'!$B$17,'Paramètres (1)'!$A$1:$I$88,3,0)*0.475*44/12</f>
        <v>#REF!</v>
      </c>
      <c r="GO75" s="142" t="str">
        <f t="shared" si="95"/>
        <v>#REF!</v>
      </c>
      <c r="GP75" s="139" t="str">
        <f t="shared" si="96"/>
        <v>#REF!</v>
      </c>
      <c r="GQ75" s="131">
        <f t="shared" si="97"/>
        <v>10</v>
      </c>
      <c r="GR75" s="131" t="str">
        <f t="shared" si="144"/>
        <v>#REF!</v>
      </c>
      <c r="GS75" s="131" t="str">
        <f t="shared" si="98"/>
        <v>#REF!</v>
      </c>
      <c r="GT75" s="131" t="str">
        <f t="array" ref="GT75">INDEX(GS:GS,MIN(IF(ISNUMBER(GS75:GS271),ROW(GS75:GS271),"")))</f>
        <v/>
      </c>
      <c r="GU75" s="131" t="str">
        <f t="shared" si="145"/>
        <v>#REF!</v>
      </c>
      <c r="GV75" s="138" t="str">
        <f>GU75*VLOOKUP('Données projet (1)'!$B$18,'Paramètres (1)'!$A$1:$I$88,3,0)*VLOOKUP('Données projet (1)'!$B$18,'Paramètres (1)'!$A$1:$I$88,5,0)</f>
        <v>#REF!</v>
      </c>
      <c r="GW75" s="130" t="str">
        <f t="shared" si="146"/>
        <v>#REF!</v>
      </c>
      <c r="GX75" s="141" t="str">
        <f t="shared" si="99"/>
        <v>#REF!</v>
      </c>
      <c r="GY75" s="133" t="str">
        <f t="shared" si="100"/>
        <v>#REF!</v>
      </c>
      <c r="GZ75" s="133" t="str">
        <f t="shared" si="101"/>
        <v>#REF!</v>
      </c>
      <c r="HA75" s="133" t="str">
        <f t="shared" si="147"/>
        <v>#REF!</v>
      </c>
      <c r="HB75" s="134" t="str">
        <f t="shared" si="102"/>
        <v>#REF!</v>
      </c>
      <c r="HC75" s="134" t="str">
        <f t="shared" si="103"/>
        <v>#REF!</v>
      </c>
      <c r="HD75" s="135" t="str">
        <f>IF(ISNA(VLOOKUP(A75,'Données projet (1)'!$A$269:$I$289,5,0)),0%,VLOOKUP(A75,'Données projet (1)'!$A$269:$I$289,5,0)*VLOOKUP('Données projet (1)'!$B$18,'Paramètres (1)'!$A$1:$I$88,7,0))</f>
        <v>#REF!</v>
      </c>
      <c r="HE75" s="135" t="str">
        <f>IF(ISNA(VLOOKUP(A75,'Données projet (1)'!$A$269:$I$289,6,0)),0%,VLOOKUP(A75,'Données projet (1)'!$A$269:$I$289,6,0)*VLOOKUP('Données projet (1)'!$B$18,'Paramètres (1)'!$A$1:$I$88,7,0))</f>
        <v>#REF!</v>
      </c>
      <c r="HF75" s="135" t="str">
        <f t="shared" si="104"/>
        <v>#REF!</v>
      </c>
      <c r="HG75" s="142" t="str">
        <f>EXP(-LN(2)/35)*HG74+(1-EXP(-LN(2)/35))/(LN(2)/35)*HC75*HD75*VLOOKUP('Données projet (1)'!$B$18,'Paramètres (1)'!$A$1:$I$88,3,0)*0.475*44/12</f>
        <v>#REF!</v>
      </c>
      <c r="HH75" s="142" t="str">
        <f>EXP(-LN(2)/25)*HH74+(1-EXP(-LN(2)/25))/(LN(2)/25)*'Calculateur (1)'!HC75*'Calculateur (1)'!HE75*VLOOKUP('Données projet (1)'!$B$18,'Paramètres (1)'!$A$1:$I$88,3,0)*0.475*44/12</f>
        <v>#REF!</v>
      </c>
      <c r="HI75" s="142" t="str">
        <f>EXP(-LN(2)/2)*HI74+(1-EXP(-LN(2)/2))/(LN(2)/2)*HC75*HF75*VLOOKUP('Données projet (1)'!$B$18,'Paramètres (1)'!$A$1:$I$88,3,0)*0.475*44/12</f>
        <v>#REF!</v>
      </c>
      <c r="HJ75" s="143" t="str">
        <f t="shared" si="105"/>
        <v>#REF!</v>
      </c>
    </row>
    <row r="76" ht="14.25" customHeight="1">
      <c r="A76" s="125">
        <f t="shared" si="106"/>
        <v>73</v>
      </c>
      <c r="B76" s="126" t="str">
        <f t="shared" si="1"/>
        <v>#REF!</v>
      </c>
      <c r="C76" s="140" t="str">
        <f>'Calculateur (1)'!C75+'Scénario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6" s="127">
        <f t="shared" si="107"/>
        <v>0</v>
      </c>
      <c r="E76" s="127" t="str">
        <f t="shared" si="2"/>
        <v>#REF!</v>
      </c>
      <c r="F76" s="127" t="str">
        <f t="shared" si="3"/>
        <v>#REF!</v>
      </c>
      <c r="G76" s="127" t="str">
        <f t="shared" si="4"/>
        <v>#REF!</v>
      </c>
      <c r="H76" s="128" t="str">
        <f t="shared" si="5"/>
        <v>#REF!</v>
      </c>
      <c r="I76" s="129" t="str">
        <f t="shared" si="6"/>
        <v>#REF!</v>
      </c>
      <c r="J76" s="130">
        <f t="shared" si="7"/>
        <v>10</v>
      </c>
      <c r="K76" s="131" t="str">
        <f t="shared" si="108"/>
        <v>#REF!</v>
      </c>
      <c r="L76" s="131" t="str">
        <f t="shared" si="8"/>
        <v>#REF!</v>
      </c>
      <c r="M76" s="131" t="str">
        <f t="array" ref="M76">INDEX(L:L,MIN(IF(ISNUMBER(L76:L272),ROW(L76:L272),"")))</f>
        <v/>
      </c>
      <c r="N76" s="130" t="str">
        <f t="shared" si="109"/>
        <v>#REF!</v>
      </c>
      <c r="O76" s="130" t="str">
        <f>N76*VLOOKUP('Données projet (1)'!$B$9,'Paramètres (1)'!$A$1:$I$88,3,0)*VLOOKUP('Données projet (1)'!$B$9,'Paramètres (1)'!$A$1:$I$88,5,0)</f>
        <v>#REF!</v>
      </c>
      <c r="P76" s="130" t="str">
        <f t="shared" si="110"/>
        <v>#REF!</v>
      </c>
      <c r="Q76" s="141" t="str">
        <f t="shared" si="9"/>
        <v>#REF!</v>
      </c>
      <c r="R76" s="133" t="str">
        <f t="shared" si="10"/>
        <v>#REF!</v>
      </c>
      <c r="S76" s="133" t="str">
        <f t="shared" si="11"/>
        <v>#REF!</v>
      </c>
      <c r="T76" s="133" t="str">
        <f t="shared" si="111"/>
        <v>#REF!</v>
      </c>
      <c r="U76" s="134" t="str">
        <f t="shared" si="12"/>
        <v>#REF!</v>
      </c>
      <c r="V76" s="134" t="str">
        <f t="shared" si="13"/>
        <v>#REF!</v>
      </c>
      <c r="W76" s="135" t="str">
        <f>IF(ISNA(VLOOKUP(A76,'Données projet (1)'!$A$35:$I$55,5,0)),0%,VLOOKUP(A76,'Données projet (1)'!$A$35:$I$55,5,0)*VLOOKUP('Données projet (1)'!$B$9,'Paramètres (1)'!$A$1:$I$88,7,0))</f>
        <v>#REF!</v>
      </c>
      <c r="X76" s="135" t="str">
        <f>IF(ISNA(VLOOKUP(A76,'Données projet (1)'!$A$35:$I$55,6,0)),0%,VLOOKUP(A76,'Données projet (1)'!$A$35:$I$55,6,0)*VLOOKUP('Données projet (1)'!$B$9,'Paramètres (1)'!$A$1:$I$88,7,0))</f>
        <v>#REF!</v>
      </c>
      <c r="Y76" s="135" t="str">
        <f t="shared" si="14"/>
        <v>#REF!</v>
      </c>
      <c r="Z76" s="142" t="str">
        <f>EXP(-LN(2)/35)*Z75+(1-EXP(-LN(2)/35))/(LN(2)/35)*V76*W76*VLOOKUP('Données projet (1)'!$B$9,'Paramètres (1)'!$A$1:$I$88,3,0)*0.475*44/12</f>
        <v>#REF!</v>
      </c>
      <c r="AA76" s="142" t="str">
        <f>EXP(-LN(2)/25)*AA75+(1-EXP(-LN(2)/25))/(LN(2)/25)*'Calculateur (1)'!V76*'Calculateur (1)'!X76*VLOOKUP('Données projet (1)'!$B$9,'Paramètres (1)'!$A$1:$I$88,3,0)*0.475*44/12</f>
        <v>#REF!</v>
      </c>
      <c r="AB76" s="142" t="str">
        <f>EXP(-LN(2)/2)*AB75+(1-EXP(-LN(2)/2))/(LN(2)/2)*V76*Y76*VLOOKUP('Données projet (1)'!$B$9,'Paramètres (1)'!$A$1:$I$88,3,0)*0.475*44/12</f>
        <v>#REF!</v>
      </c>
      <c r="AC76" s="143" t="str">
        <f t="shared" si="15"/>
        <v>#REF!</v>
      </c>
      <c r="AD76" s="130" t="str">
        <f t="shared" si="16"/>
        <v>#REF!</v>
      </c>
      <c r="AE76" s="130">
        <f t="shared" si="17"/>
        <v>10</v>
      </c>
      <c r="AF76" s="131" t="str">
        <f t="shared" si="112"/>
        <v>#REF!</v>
      </c>
      <c r="AG76" s="131" t="str">
        <f t="shared" si="18"/>
        <v>#REF!</v>
      </c>
      <c r="AH76" s="131" t="str">
        <f t="array" ref="AH76">INDEX(AG:AG,MIN(IF(ISNUMBER(AG76:AG272),ROW(AG76:AG272),"")))</f>
        <v/>
      </c>
      <c r="AI76" s="130" t="str">
        <f t="shared" si="113"/>
        <v>#REF!</v>
      </c>
      <c r="AJ76" s="130" t="str">
        <f>AI76*VLOOKUP('Données projet (1)'!$B$10,'Paramètres (1)'!$A$1:$I$88,3,0)*VLOOKUP('Données projet (1)'!$B$10,'Paramètres (1)'!$A$1:$I$88,5,0)</f>
        <v>#REF!</v>
      </c>
      <c r="AK76" s="130" t="str">
        <f t="shared" si="114"/>
        <v>#REF!</v>
      </c>
      <c r="AL76" s="141" t="str">
        <f t="shared" si="19"/>
        <v>#REF!</v>
      </c>
      <c r="AM76" s="133" t="str">
        <f t="shared" si="20"/>
        <v>#REF!</v>
      </c>
      <c r="AN76" s="133" t="str">
        <f t="shared" si="21"/>
        <v>#REF!</v>
      </c>
      <c r="AO76" s="133" t="str">
        <f t="shared" si="115"/>
        <v>#REF!</v>
      </c>
      <c r="AP76" s="134" t="str">
        <f t="shared" si="22"/>
        <v>#REF!</v>
      </c>
      <c r="AQ76" s="134" t="str">
        <f t="shared" si="23"/>
        <v>#REF!</v>
      </c>
      <c r="AR76" s="135" t="str">
        <f>IF(ISNA(VLOOKUP(A76,'Données projet (1)'!$A$61:$I$81,5,0)),0%,VLOOKUP(A76,'Données projet (1)'!$A$61:$I$81,5,0)*VLOOKUP('Données projet (1)'!$B$10,'Paramètres (1)'!$A$1:$I$88,7,0))</f>
        <v>#REF!</v>
      </c>
      <c r="AS76" s="135" t="str">
        <f>IF(ISNA(VLOOKUP(A76,'Données projet (1)'!$A$61:$I$81,6,0)),0%,VLOOKUP(A76,'Données projet (1)'!$A$61:$I$81,6,0)*VLOOKUP('Données projet (1)'!$B$10,'Paramètres (1)'!$A$1:$I$88,7,0))</f>
        <v>#REF!</v>
      </c>
      <c r="AT76" s="135" t="str">
        <f t="shared" si="24"/>
        <v>#REF!</v>
      </c>
      <c r="AU76" s="142" t="str">
        <f>EXP(-LN(2)/35)*AU75+(1-EXP(-LN(2)/35))/(LN(2)/35)*AQ76*AR76*VLOOKUP('Données projet (1)'!$B$10,'Paramètres (1)'!$A$1:$I$88,3,0)*0.475*44/12</f>
        <v>#REF!</v>
      </c>
      <c r="AV76" s="142" t="str">
        <f>EXP(-LN(2)/25)*AV75+(1-EXP(-LN(2)/25))/(LN(2)/25)*'Calculateur (1)'!AQ76*'Calculateur (1)'!AS76*VLOOKUP('Données projet (1)'!$B$10,'Paramètres (1)'!$A$1:$I$88,3,0)*0.475*44/12</f>
        <v>#REF!</v>
      </c>
      <c r="AW76" s="142" t="str">
        <f>EXP(-LN(2)/2)*AW75+(1-EXP(-LN(2)/2))/(LN(2)/2)*AQ76*AT76*VLOOKUP('Données projet (1)'!$B$10,'Paramètres (1)'!$A$1:$I$88,3,0)*0.475*44/12</f>
        <v>#REF!</v>
      </c>
      <c r="AX76" s="142" t="str">
        <f t="shared" si="25"/>
        <v>#REF!</v>
      </c>
      <c r="AY76" s="137" t="str">
        <f t="shared" si="26"/>
        <v>#REF!</v>
      </c>
      <c r="AZ76" s="131">
        <f t="shared" si="27"/>
        <v>10</v>
      </c>
      <c r="BA76" s="131" t="str">
        <f t="shared" si="116"/>
        <v>#REF!</v>
      </c>
      <c r="BB76" s="131" t="str">
        <f t="shared" si="28"/>
        <v>#REF!</v>
      </c>
      <c r="BC76" s="131" t="str">
        <f t="array" ref="BC76">INDEX(BB:BB,MIN(IF(ISNUMBER(BB76:BB272),ROW(BB76:BB272),"")))</f>
        <v/>
      </c>
      <c r="BD76" s="131" t="str">
        <f t="shared" si="117"/>
        <v>#REF!</v>
      </c>
      <c r="BE76" s="130" t="str">
        <f>BD76*VLOOKUP('Données projet (1)'!$B$11,'Paramètres (1)'!$A$1:$I$88,3,0)*VLOOKUP('Données projet (1)'!$B$11,'Paramètres (1)'!$A$1:$I$88,5,0)</f>
        <v>#REF!</v>
      </c>
      <c r="BF76" s="130" t="str">
        <f t="shared" si="118"/>
        <v>#REF!</v>
      </c>
      <c r="BG76" s="141" t="str">
        <f t="shared" si="29"/>
        <v>#REF!</v>
      </c>
      <c r="BH76" s="133" t="str">
        <f t="shared" si="30"/>
        <v>#REF!</v>
      </c>
      <c r="BI76" s="133" t="str">
        <f t="shared" si="31"/>
        <v>#REF!</v>
      </c>
      <c r="BJ76" s="133" t="str">
        <f t="shared" si="119"/>
        <v>#REF!</v>
      </c>
      <c r="BK76" s="134" t="str">
        <f t="shared" si="32"/>
        <v>#REF!</v>
      </c>
      <c r="BL76" s="134" t="str">
        <f t="shared" si="33"/>
        <v>#REF!</v>
      </c>
      <c r="BM76" s="135" t="str">
        <f>IF(ISNA(VLOOKUP(A76,'Données projet (1)'!$A$87:$I$107,5,0)),0%,VLOOKUP(A76,'Données projet (1)'!$A$87:$I$107,5,0)*VLOOKUP('Données projet (1)'!$B$11,'Paramètres (1)'!$A$1:$I$88,7,0))</f>
        <v>#REF!</v>
      </c>
      <c r="BN76" s="135" t="str">
        <f>IF(ISNA(VLOOKUP(A76,'Données projet (1)'!$A$87:$I$107,6,0)),0%,VLOOKUP(A76,'Données projet (1)'!$A$87:$I$107,6,0)*VLOOKUP('Données projet (1)'!$B$11,'Paramètres (1)'!$A$1:$I$88,7,0))</f>
        <v>#REF!</v>
      </c>
      <c r="BO76" s="135" t="str">
        <f t="shared" si="34"/>
        <v>#REF!</v>
      </c>
      <c r="BP76" s="142" t="str">
        <f>EXP(-LN(2)/35)*BP75+(1-EXP(-LN(2)/35))/(LN(2)/35)*BL76*BM76*VLOOKUP('Données projet (1)'!$B$11,'Paramètres (1)'!$A$1:$I$88,3,0)*0.475*44/12</f>
        <v>#REF!</v>
      </c>
      <c r="BQ76" s="142" t="str">
        <f>EXP(-LN(2)/25)*BQ75+(1-EXP(-LN(2)/25))/(LN(2)/25)*'Calculateur (1)'!BL76*'Calculateur (1)'!BN76*VLOOKUP('Données projet (1)'!$B$11,'Paramètres (1)'!$A$1:$I$88,3,0)*0.475*44/12</f>
        <v>#REF!</v>
      </c>
      <c r="BR76" s="142" t="str">
        <f>EXP(-LN(2)/2)*BR75+(1-EXP(-LN(2)/2))/(LN(2)/2)*BL76*BO76*VLOOKUP('Données projet (1)'!$B$11,'Paramètres (1)'!$A$1:$I$88,3,0)*0.475*44/12</f>
        <v>#REF!</v>
      </c>
      <c r="BS76" s="143" t="str">
        <f t="shared" si="35"/>
        <v>#REF!</v>
      </c>
      <c r="BT76" s="139" t="str">
        <f t="shared" si="36"/>
        <v>#REF!</v>
      </c>
      <c r="BU76" s="131">
        <f t="shared" si="37"/>
        <v>10</v>
      </c>
      <c r="BV76" s="131" t="str">
        <f t="shared" si="120"/>
        <v>#REF!</v>
      </c>
      <c r="BW76" s="131" t="str">
        <f t="shared" si="38"/>
        <v>#REF!</v>
      </c>
      <c r="BX76" s="131" t="str">
        <f t="array" ref="BX76">INDEX(BW:BW,MIN(IF(ISNUMBER(BW76:BW272),ROW(BW76:BW272),"")))</f>
        <v/>
      </c>
      <c r="BY76" s="131" t="str">
        <f t="shared" si="121"/>
        <v>#REF!</v>
      </c>
      <c r="BZ76" s="130" t="str">
        <f>BY76*VLOOKUP('Données projet (1)'!$B$12,'Paramètres (1)'!$A$1:$I$88,3,0)*VLOOKUP('Données projet (1)'!$B$12,'Paramètres (1)'!$A$1:$I$88,5,0)</f>
        <v>#REF!</v>
      </c>
      <c r="CA76" s="130" t="str">
        <f t="shared" si="122"/>
        <v>#REF!</v>
      </c>
      <c r="CB76" s="141" t="str">
        <f t="shared" si="39"/>
        <v>#REF!</v>
      </c>
      <c r="CC76" s="133" t="str">
        <f t="shared" si="40"/>
        <v>#REF!</v>
      </c>
      <c r="CD76" s="133" t="str">
        <f t="shared" si="41"/>
        <v>#REF!</v>
      </c>
      <c r="CE76" s="133" t="str">
        <f t="shared" si="123"/>
        <v>#REF!</v>
      </c>
      <c r="CF76" s="134" t="str">
        <f t="shared" si="42"/>
        <v>#REF!</v>
      </c>
      <c r="CG76" s="134" t="str">
        <f t="shared" si="43"/>
        <v>#REF!</v>
      </c>
      <c r="CH76" s="135" t="str">
        <f>IF(ISNA(VLOOKUP(A76,'Données projet (1)'!$A$113:$I$133,5,0)),0%,VLOOKUP(A76,'Données projet (1)'!$A$113:$I$133,5,0)*VLOOKUP('Données projet (1)'!$B$12,'Paramètres (1)'!$A$1:$I$88,7,0))</f>
        <v>#REF!</v>
      </c>
      <c r="CI76" s="135" t="str">
        <f>IF(ISNA(VLOOKUP(A76,'Données projet (1)'!$A$113:$I$133,6,0)),0%,VLOOKUP(A76,'Données projet (1)'!$A$113:$I$133,6,0)*VLOOKUP('Données projet (1)'!$B$12,'Paramètres (1)'!$A$1:$I$88,7,0))</f>
        <v>#REF!</v>
      </c>
      <c r="CJ76" s="135" t="str">
        <f t="shared" si="44"/>
        <v>#REF!</v>
      </c>
      <c r="CK76" s="142" t="str">
        <f>EXP(-LN(2)/35)*CK75+(1-EXP(-LN(2)/35))/(LN(2)/35)*CG76*CH76*VLOOKUP('Données projet (1)'!$B$12,'Paramètres (1)'!$A$1:$I$88,3,0)*0.475*44/12</f>
        <v>#REF!</v>
      </c>
      <c r="CL76" s="142" t="str">
        <f>EXP(-LN(2)/25)*CL75+(1-EXP(-LN(2)/25))/(LN(2)/25)*'Calculateur (1)'!CG76*'Calculateur (1)'!CI76*VLOOKUP('Données projet (1)'!$B$12,'Paramètres (1)'!$A$1:$I$88,3,0)*0.475*44/12</f>
        <v>#REF!</v>
      </c>
      <c r="CM76" s="142" t="str">
        <f>EXP(-LN(2)/2)*CM75+(1-EXP(-LN(2)/2))/(LN(2)/2)*CG76*CJ76*VLOOKUP('Données projet (1)'!$B$12,'Paramètres (1)'!$A$1:$I$88,3,0)*0.475*44/12</f>
        <v>#REF!</v>
      </c>
      <c r="CN76" s="143" t="str">
        <f t="shared" si="45"/>
        <v>#REF!</v>
      </c>
      <c r="CO76" s="139" t="str">
        <f t="shared" si="46"/>
        <v>#REF!</v>
      </c>
      <c r="CP76" s="131">
        <f t="shared" si="47"/>
        <v>10</v>
      </c>
      <c r="CQ76" s="131" t="str">
        <f t="shared" si="124"/>
        <v>#REF!</v>
      </c>
      <c r="CR76" s="131" t="str">
        <f t="shared" si="48"/>
        <v>#REF!</v>
      </c>
      <c r="CS76" s="131" t="str">
        <f t="array" ref="CS76">INDEX(CR:CR,MIN(IF(ISNUMBER(CR76:CR272),ROW(CR76:CR272),"")))</f>
        <v/>
      </c>
      <c r="CT76" s="131" t="str">
        <f t="shared" si="125"/>
        <v>#REF!</v>
      </c>
      <c r="CU76" s="138" t="str">
        <f>CT76*VLOOKUP('Données projet (1)'!$B$13,'Paramètres (1)'!$A$1:$I$88,3,0)*VLOOKUP('Données projet (1)'!$B$13,'Paramètres (1)'!$A$1:$I$88,5,0)</f>
        <v>#REF!</v>
      </c>
      <c r="CV76" s="130" t="str">
        <f t="shared" si="126"/>
        <v>#REF!</v>
      </c>
      <c r="CW76" s="141" t="str">
        <f t="shared" si="49"/>
        <v>#REF!</v>
      </c>
      <c r="CX76" s="133" t="str">
        <f t="shared" si="50"/>
        <v>#REF!</v>
      </c>
      <c r="CY76" s="133" t="str">
        <f t="shared" si="51"/>
        <v>#REF!</v>
      </c>
      <c r="CZ76" s="133" t="str">
        <f t="shared" si="127"/>
        <v>#REF!</v>
      </c>
      <c r="DA76" s="134" t="str">
        <f t="shared" si="52"/>
        <v>#REF!</v>
      </c>
      <c r="DB76" s="134" t="str">
        <f t="shared" si="53"/>
        <v>#REF!</v>
      </c>
      <c r="DC76" s="135" t="str">
        <f>IF(ISNA(VLOOKUP(A76,'Données projet (1)'!$A$139:$I$159,5,0)),0%,VLOOKUP(A76,'Données projet (1)'!$A$139:$I$159,5,0)*VLOOKUP('Données projet (1)'!$B$13,'Paramètres (1)'!$A$1:$I$88,7,0))</f>
        <v>#REF!</v>
      </c>
      <c r="DD76" s="135" t="str">
        <f>IF(ISNA(VLOOKUP(A76,'Données projet (1)'!$A$139:$I$159,6,0)),0%,VLOOKUP(A76,'Données projet (1)'!$A$139:$I$159,6,0)*VLOOKUP('Données projet (1)'!$B$13,'Paramètres (1)'!$A$1:$I$88,7,0))</f>
        <v>#REF!</v>
      </c>
      <c r="DE76" s="135" t="str">
        <f t="shared" si="54"/>
        <v>#REF!</v>
      </c>
      <c r="DF76" s="142" t="str">
        <f>EXP(-LN(2)/35)*DF75+(1-EXP(-LN(2)/35))/(LN(2)/35)*DB76*DC76*VLOOKUP('Données projet (1)'!$B$13,'Paramètres (1)'!$A$1:$I$88,3,0)*0.475*44/12</f>
        <v>#REF!</v>
      </c>
      <c r="DG76" s="142" t="str">
        <f>EXP(-LN(2)/25)*DG75+(1-EXP(-LN(2)/25))/(LN(2)/25)*'Calculateur (1)'!DB76*'Calculateur (1)'!DD76*VLOOKUP('Données projet (1)'!$B$13,'Paramètres (1)'!$A$1:$I$88,3,0)*0.475*44/12</f>
        <v>#REF!</v>
      </c>
      <c r="DH76" s="142" t="str">
        <f>EXP(-LN(2)/2)*DH75+(1-EXP(-LN(2)/2))/(LN(2)/2)*DB76*DE76*VLOOKUP('Données projet (1)'!$B$13,'Paramètres (1)'!$A$1:$I$88,3,0)*0.475*44/12</f>
        <v>#REF!</v>
      </c>
      <c r="DI76" s="143" t="str">
        <f t="shared" si="55"/>
        <v>#REF!</v>
      </c>
      <c r="DJ76" s="139" t="str">
        <f t="shared" si="56"/>
        <v>#REF!</v>
      </c>
      <c r="DK76" s="131">
        <f t="shared" si="57"/>
        <v>10</v>
      </c>
      <c r="DL76" s="131" t="str">
        <f t="shared" si="128"/>
        <v>#REF!</v>
      </c>
      <c r="DM76" s="131" t="str">
        <f t="shared" si="58"/>
        <v>#REF!</v>
      </c>
      <c r="DN76" s="131" t="str">
        <f t="array" ref="DN76">INDEX(DM:DM,MIN(IF(ISNUMBER(DM76:DM272),ROW(DM76:DM272),"")))</f>
        <v/>
      </c>
      <c r="DO76" s="131" t="str">
        <f t="shared" si="129"/>
        <v>#REF!</v>
      </c>
      <c r="DP76" s="138" t="str">
        <f>DO76*VLOOKUP('Données projet (1)'!$B$14,'Paramètres (1)'!$A$1:$I$88,3,0)*VLOOKUP('Données projet (1)'!$B$14,'Paramètres (1)'!$A$1:$I$88,5,0)</f>
        <v>#REF!</v>
      </c>
      <c r="DQ76" s="130" t="str">
        <f t="shared" si="130"/>
        <v>#REF!</v>
      </c>
      <c r="DR76" s="141" t="str">
        <f t="shared" si="59"/>
        <v>#REF!</v>
      </c>
      <c r="DS76" s="133" t="str">
        <f t="shared" si="60"/>
        <v>#REF!</v>
      </c>
      <c r="DT76" s="133" t="str">
        <f t="shared" si="61"/>
        <v>#REF!</v>
      </c>
      <c r="DU76" s="133" t="str">
        <f t="shared" si="131"/>
        <v>#REF!</v>
      </c>
      <c r="DV76" s="134" t="str">
        <f t="shared" si="62"/>
        <v>#REF!</v>
      </c>
      <c r="DW76" s="134" t="str">
        <f t="shared" si="63"/>
        <v>#REF!</v>
      </c>
      <c r="DX76" s="135" t="str">
        <f>IF(ISNA(VLOOKUP(A76,'Données projet (1)'!$A$165:$I$185,5,0)),0%,VLOOKUP(A76,'Données projet (1)'!$A$165:$I$185,5,0)*VLOOKUP('Données projet (1)'!$B$14,'Paramètres (1)'!$A$1:$I$88,7,0))</f>
        <v>#REF!</v>
      </c>
      <c r="DY76" s="135" t="str">
        <f>IF(ISNA(VLOOKUP(A76,'Données projet (1)'!$A$165:$I$185,6,0)),0%,VLOOKUP(A76,'Données projet (1)'!$A$165:$I$185,6,0)*VLOOKUP('Données projet (1)'!$B$14,'Paramètres (1)'!$A$1:$I$88,7,0))</f>
        <v>#REF!</v>
      </c>
      <c r="DZ76" s="135" t="str">
        <f t="shared" si="64"/>
        <v>#REF!</v>
      </c>
      <c r="EA76" s="142" t="str">
        <f>EXP(-LN(2)/35)*EA75+(1-EXP(-LN(2)/35))/(LN(2)/35)*DW76*DX76*VLOOKUP('Données projet (1)'!$B$14,'Paramètres (1)'!$A$1:$I$88,3,0)*0.475*44/12</f>
        <v>#REF!</v>
      </c>
      <c r="EB76" s="142" t="str">
        <f>EXP(-LN(2)/25)*EB75+(1-EXP(-LN(2)/25))/(LN(2)/25)*'Calculateur (1)'!DW76*'Calculateur (1)'!DY76*VLOOKUP('Données projet (1)'!$B$14,'Paramètres (1)'!$A$1:$I$88,3,0)*0.475*44/12</f>
        <v>#REF!</v>
      </c>
      <c r="EC76" s="142" t="str">
        <f>EXP(-LN(2)/2)*EC75+(1-EXP(-LN(2)/2))/(LN(2)/2)*DW76*DZ76*VLOOKUP('Données projet (1)'!$B$14,'Paramètres (1)'!$A$1:$I$88,3,0)*0.475*44/12</f>
        <v>#REF!</v>
      </c>
      <c r="ED76" s="143" t="str">
        <f t="shared" si="65"/>
        <v>#REF!</v>
      </c>
      <c r="EE76" s="139" t="str">
        <f t="shared" si="66"/>
        <v>#REF!</v>
      </c>
      <c r="EF76" s="131">
        <f t="shared" si="67"/>
        <v>10</v>
      </c>
      <c r="EG76" s="131" t="str">
        <f t="shared" si="132"/>
        <v>#REF!</v>
      </c>
      <c r="EH76" s="131" t="str">
        <f t="shared" si="68"/>
        <v>#REF!</v>
      </c>
      <c r="EI76" s="131" t="str">
        <f t="array" ref="EI76">INDEX(EH:EH,MIN(IF(ISNUMBER(EH76:EH272),ROW(EH76:EH272),"")))</f>
        <v/>
      </c>
      <c r="EJ76" s="131" t="str">
        <f t="shared" si="133"/>
        <v>#REF!</v>
      </c>
      <c r="EK76" s="138" t="str">
        <f>EJ76*VLOOKUP('Données projet (1)'!$B$15,'Paramètres (1)'!$A$1:$I$88,3,0)*VLOOKUP('Données projet (1)'!$B$15,'Paramètres (1)'!$A$1:$I$88,5,0)</f>
        <v>#REF!</v>
      </c>
      <c r="EL76" s="130" t="str">
        <f t="shared" si="134"/>
        <v>#REF!</v>
      </c>
      <c r="EM76" s="141" t="str">
        <f t="shared" si="69"/>
        <v>#REF!</v>
      </c>
      <c r="EN76" s="133" t="str">
        <f t="shared" si="70"/>
        <v>#REF!</v>
      </c>
      <c r="EO76" s="133" t="str">
        <f t="shared" si="71"/>
        <v>#REF!</v>
      </c>
      <c r="EP76" s="133" t="str">
        <f t="shared" si="135"/>
        <v>#REF!</v>
      </c>
      <c r="EQ76" s="134" t="str">
        <f t="shared" si="72"/>
        <v>#REF!</v>
      </c>
      <c r="ER76" s="134" t="str">
        <f t="shared" si="73"/>
        <v>#REF!</v>
      </c>
      <c r="ES76" s="135" t="str">
        <f>IF(ISNA(VLOOKUP(A76,'Données projet (1)'!$A$191:$I$211,5,0)),0%,VLOOKUP(A76,'Données projet (1)'!$A$191:$I$211,5,0)*VLOOKUP('Données projet (1)'!$B$15,'Paramètres (1)'!$A$1:$I$88,7,0))</f>
        <v>#REF!</v>
      </c>
      <c r="ET76" s="135" t="str">
        <f>IF(ISNA(VLOOKUP(A76,'Données projet (1)'!$A$191:$I$211,6,0)),0%,VLOOKUP(A76,'Données projet (1)'!$A$191:$I$211,6,0)*VLOOKUP('Données projet (1)'!$B$15,'Paramètres (1)'!$A$1:$I$88,7,0))</f>
        <v>#REF!</v>
      </c>
      <c r="EU76" s="135" t="str">
        <f t="shared" si="74"/>
        <v>#REF!</v>
      </c>
      <c r="EV76" s="142" t="str">
        <f>EXP(-LN(2)/35)*EV75+(1-EXP(-LN(2)/35))/(LN(2)/35)*ER76*ES76*VLOOKUP('Données projet (1)'!$B$15,'Paramètres (1)'!$A$1:$I$88,3,0)*0.475*44/12</f>
        <v>#REF!</v>
      </c>
      <c r="EW76" s="142" t="str">
        <f>EXP(-LN(2)/25)*EW75+(1-EXP(-LN(2)/25))/(LN(2)/25)*'Calculateur (1)'!ER76*'Calculateur (1)'!ET76*VLOOKUP('Données projet (1)'!$B$15,'Paramètres (1)'!$A$1:$I$88,3,0)*0.475*44/12</f>
        <v>#REF!</v>
      </c>
      <c r="EX76" s="142" t="str">
        <f>EXP(-LN(2)/2)*EX75+(1-EXP(-LN(2)/2))/(LN(2)/2)*ER76*EU76*VLOOKUP('Données projet (1)'!$B$15,'Paramètres (1)'!$A$1:$I$88,3,0)*0.475*44/12</f>
        <v>#REF!</v>
      </c>
      <c r="EY76" s="143" t="str">
        <f t="shared" si="75"/>
        <v>#REF!</v>
      </c>
      <c r="EZ76" s="139" t="str">
        <f t="shared" si="76"/>
        <v>#REF!</v>
      </c>
      <c r="FA76" s="131">
        <f t="shared" si="77"/>
        <v>10</v>
      </c>
      <c r="FB76" s="131" t="str">
        <f t="shared" si="136"/>
        <v>#REF!</v>
      </c>
      <c r="FC76" s="131" t="str">
        <f t="shared" si="78"/>
        <v>#REF!</v>
      </c>
      <c r="FD76" s="131" t="str">
        <f t="array" ref="FD76">INDEX(FC:FC,MIN(IF(ISNUMBER(FC76:FC272),ROW(FC76:FC272),"")))</f>
        <v/>
      </c>
      <c r="FE76" s="131" t="str">
        <f t="shared" si="137"/>
        <v>#REF!</v>
      </c>
      <c r="FF76" s="138" t="str">
        <f>FE76*VLOOKUP('Données projet (1)'!$B$16,'Paramètres (1)'!$A$1:$I$88,3,0)*VLOOKUP('Données projet (1)'!$B$16,'Paramètres (1)'!$A$1:$I$88,5,0)</f>
        <v>#REF!</v>
      </c>
      <c r="FG76" s="130" t="str">
        <f t="shared" si="138"/>
        <v>#REF!</v>
      </c>
      <c r="FH76" s="141" t="str">
        <f t="shared" si="79"/>
        <v>#REF!</v>
      </c>
      <c r="FI76" s="133" t="str">
        <f t="shared" si="80"/>
        <v>#REF!</v>
      </c>
      <c r="FJ76" s="133" t="str">
        <f t="shared" si="81"/>
        <v>#REF!</v>
      </c>
      <c r="FK76" s="133" t="str">
        <f t="shared" si="139"/>
        <v>#REF!</v>
      </c>
      <c r="FL76" s="134" t="str">
        <f t="shared" si="82"/>
        <v>#REF!</v>
      </c>
      <c r="FM76" s="134" t="str">
        <f t="shared" si="83"/>
        <v>#REF!</v>
      </c>
      <c r="FN76" s="135" t="str">
        <f>IF(ISNA(VLOOKUP(A76,'Données projet (1)'!$A$217:$I$237,5,0)),0%,VLOOKUP(A76,'Données projet (1)'!$A$217:$I$237,5,0)*VLOOKUP('Données projet (1)'!$B$16,'Paramètres (1)'!$A$1:$I$88,7,0))</f>
        <v>#REF!</v>
      </c>
      <c r="FO76" s="135" t="str">
        <f>IF(ISNA(VLOOKUP(A76,'Données projet (1)'!$A$217:$I$237,6,0)),0%,VLOOKUP(A76,'Données projet (1)'!$A$217:$I$237,6,0)*VLOOKUP('Données projet (1)'!$B$16,'Paramètres (1)'!$A$1:$I$88,7,0))</f>
        <v>#REF!</v>
      </c>
      <c r="FP76" s="135" t="str">
        <f t="shared" si="84"/>
        <v>#REF!</v>
      </c>
      <c r="FQ76" s="142" t="str">
        <f>EXP(-LN(2)/35)*FQ75+(1-EXP(-LN(2)/35))/(LN(2)/35)*FM76*FN76*VLOOKUP('Données projet (1)'!$B$16,'Paramètres (1)'!$A$1:$I$88,3,0)*0.475*44/12</f>
        <v>#REF!</v>
      </c>
      <c r="FR76" s="142" t="str">
        <f>EXP(-LN(2)/25)*FR75+(1-EXP(-LN(2)/25))/(LN(2)/25)*'Calculateur (1)'!FM76*'Calculateur (1)'!FO76*VLOOKUP('Données projet (1)'!$B$16,'Paramètres (1)'!$A$1:$I$88,3,0)*0.475*44/12</f>
        <v>#REF!</v>
      </c>
      <c r="FS76" s="142" t="str">
        <f>EXP(-LN(2)/2)*FS75+(1-EXP(-LN(2)/2))/(LN(2)/2)*FM76*FP76*VLOOKUP('Données projet (1)'!$B$16,'Paramètres (1)'!$A$1:$I$88,3,0)*0.475*44/12</f>
        <v>#REF!</v>
      </c>
      <c r="FT76" s="143" t="str">
        <f t="shared" si="85"/>
        <v>#REF!</v>
      </c>
      <c r="FU76" s="139" t="str">
        <f t="shared" si="86"/>
        <v>#REF!</v>
      </c>
      <c r="FV76" s="131">
        <f t="shared" si="87"/>
        <v>10</v>
      </c>
      <c r="FW76" s="131" t="str">
        <f t="shared" si="140"/>
        <v>#REF!</v>
      </c>
      <c r="FX76" s="131" t="str">
        <f t="shared" si="88"/>
        <v>#REF!</v>
      </c>
      <c r="FY76" s="131" t="str">
        <f t="array" ref="FY76">INDEX(FX:FX,MIN(IF(ISNUMBER(FX76:FX272),ROW(FX76:FX272),"")))</f>
        <v/>
      </c>
      <c r="FZ76" s="131" t="str">
        <f t="shared" si="141"/>
        <v>#REF!</v>
      </c>
      <c r="GA76" s="138" t="str">
        <f>FZ76*VLOOKUP('Données projet (1)'!$B$17,'Paramètres (1)'!$A$1:$I$88,3,0)*VLOOKUP('Données projet (1)'!$B$17,'Paramètres (1)'!$A$1:$I$88,5,0)</f>
        <v>#REF!</v>
      </c>
      <c r="GB76" s="130" t="str">
        <f t="shared" si="142"/>
        <v>#REF!</v>
      </c>
      <c r="GC76" s="141" t="str">
        <f t="shared" si="89"/>
        <v>#REF!</v>
      </c>
      <c r="GD76" s="133" t="str">
        <f t="shared" si="90"/>
        <v>#REF!</v>
      </c>
      <c r="GE76" s="133" t="str">
        <f t="shared" si="91"/>
        <v>#REF!</v>
      </c>
      <c r="GF76" s="133" t="str">
        <f t="shared" si="143"/>
        <v>#REF!</v>
      </c>
      <c r="GG76" s="134" t="str">
        <f t="shared" si="92"/>
        <v>#REF!</v>
      </c>
      <c r="GH76" s="134" t="str">
        <f t="shared" si="93"/>
        <v>#REF!</v>
      </c>
      <c r="GI76" s="135" t="str">
        <f>IF(ISNA(VLOOKUP(A76,'Données projet (1)'!$A$243:$I$263,5,0)),0%,VLOOKUP(A76,'Données projet (1)'!$A$243:$I$263,5,0)*VLOOKUP('Données projet (1)'!$B$17,'Paramètres (1)'!$A$1:$I$88,7,0))</f>
        <v>#REF!</v>
      </c>
      <c r="GJ76" s="135" t="str">
        <f>IF(ISNA(VLOOKUP(A76,'Données projet (1)'!$A$243:$I$263,6,0)),0%,VLOOKUP(A76,'Données projet (1)'!$A$243:$I$263,6,0)*VLOOKUP('Données projet (1)'!$B$17,'Paramètres (1)'!$A$1:$I$88,7,0))</f>
        <v>#REF!</v>
      </c>
      <c r="GK76" s="135" t="str">
        <f t="shared" si="94"/>
        <v>#REF!</v>
      </c>
      <c r="GL76" s="142" t="str">
        <f>EXP(-LN(2)/35)*GL75+(1-EXP(-LN(2)/35))/(LN(2)/35)*GH76*GI76*VLOOKUP('Données projet (1)'!$B$17,'Paramètres (1)'!$A$1:$I$88,3,0)*0.475*44/12</f>
        <v>#REF!</v>
      </c>
      <c r="GM76" s="142" t="str">
        <f>EXP(-LN(2)/25)*GM75+(1-EXP(-LN(2)/25))/(LN(2)/25)*'Calculateur (1)'!GH76*'Calculateur (1)'!GJ76*VLOOKUP('Données projet (1)'!$B$17,'Paramètres (1)'!$A$1:$I$88,3,0)*0.475*44/12</f>
        <v>#REF!</v>
      </c>
      <c r="GN76" s="142" t="str">
        <f>EXP(-LN(2)/2)*GN75+(1-EXP(-LN(2)/2))/(LN(2)/2)*GH76*GK76*VLOOKUP('Données projet (1)'!$B$17,'Paramètres (1)'!$A$1:$I$88,3,0)*0.475*44/12</f>
        <v>#REF!</v>
      </c>
      <c r="GO76" s="142" t="str">
        <f t="shared" si="95"/>
        <v>#REF!</v>
      </c>
      <c r="GP76" s="139" t="str">
        <f t="shared" si="96"/>
        <v>#REF!</v>
      </c>
      <c r="GQ76" s="131">
        <f t="shared" si="97"/>
        <v>10</v>
      </c>
      <c r="GR76" s="131" t="str">
        <f t="shared" si="144"/>
        <v>#REF!</v>
      </c>
      <c r="GS76" s="131" t="str">
        <f t="shared" si="98"/>
        <v>#REF!</v>
      </c>
      <c r="GT76" s="131" t="str">
        <f t="array" ref="GT76">INDEX(GS:GS,MIN(IF(ISNUMBER(GS76:GS272),ROW(GS76:GS272),"")))</f>
        <v/>
      </c>
      <c r="GU76" s="131" t="str">
        <f t="shared" si="145"/>
        <v>#REF!</v>
      </c>
      <c r="GV76" s="138" t="str">
        <f>GU76*VLOOKUP('Données projet (1)'!$B$18,'Paramètres (1)'!$A$1:$I$88,3,0)*VLOOKUP('Données projet (1)'!$B$18,'Paramètres (1)'!$A$1:$I$88,5,0)</f>
        <v>#REF!</v>
      </c>
      <c r="GW76" s="130" t="str">
        <f t="shared" si="146"/>
        <v>#REF!</v>
      </c>
      <c r="GX76" s="141" t="str">
        <f t="shared" si="99"/>
        <v>#REF!</v>
      </c>
      <c r="GY76" s="133" t="str">
        <f t="shared" si="100"/>
        <v>#REF!</v>
      </c>
      <c r="GZ76" s="133" t="str">
        <f t="shared" si="101"/>
        <v>#REF!</v>
      </c>
      <c r="HA76" s="133" t="str">
        <f t="shared" si="147"/>
        <v>#REF!</v>
      </c>
      <c r="HB76" s="134" t="str">
        <f t="shared" si="102"/>
        <v>#REF!</v>
      </c>
      <c r="HC76" s="134" t="str">
        <f t="shared" si="103"/>
        <v>#REF!</v>
      </c>
      <c r="HD76" s="135" t="str">
        <f>IF(ISNA(VLOOKUP(A76,'Données projet (1)'!$A$269:$I$289,5,0)),0%,VLOOKUP(A76,'Données projet (1)'!$A$269:$I$289,5,0)*VLOOKUP('Données projet (1)'!$B$18,'Paramètres (1)'!$A$1:$I$88,7,0))</f>
        <v>#REF!</v>
      </c>
      <c r="HE76" s="135" t="str">
        <f>IF(ISNA(VLOOKUP(A76,'Données projet (1)'!$A$269:$I$289,6,0)),0%,VLOOKUP(A76,'Données projet (1)'!$A$269:$I$289,6,0)*VLOOKUP('Données projet (1)'!$B$18,'Paramètres (1)'!$A$1:$I$88,7,0))</f>
        <v>#REF!</v>
      </c>
      <c r="HF76" s="135" t="str">
        <f t="shared" si="104"/>
        <v>#REF!</v>
      </c>
      <c r="HG76" s="142" t="str">
        <f>EXP(-LN(2)/35)*HG75+(1-EXP(-LN(2)/35))/(LN(2)/35)*HC76*HD76*VLOOKUP('Données projet (1)'!$B$18,'Paramètres (1)'!$A$1:$I$88,3,0)*0.475*44/12</f>
        <v>#REF!</v>
      </c>
      <c r="HH76" s="142" t="str">
        <f>EXP(-LN(2)/25)*HH75+(1-EXP(-LN(2)/25))/(LN(2)/25)*'Calculateur (1)'!HC76*'Calculateur (1)'!HE76*VLOOKUP('Données projet (1)'!$B$18,'Paramètres (1)'!$A$1:$I$88,3,0)*0.475*44/12</f>
        <v>#REF!</v>
      </c>
      <c r="HI76" s="142" t="str">
        <f>EXP(-LN(2)/2)*HI75+(1-EXP(-LN(2)/2))/(LN(2)/2)*HC76*HF76*VLOOKUP('Données projet (1)'!$B$18,'Paramètres (1)'!$A$1:$I$88,3,0)*0.475*44/12</f>
        <v>#REF!</v>
      </c>
      <c r="HJ76" s="143" t="str">
        <f t="shared" si="105"/>
        <v>#REF!</v>
      </c>
    </row>
    <row r="77" ht="14.25" customHeight="1">
      <c r="A77" s="125">
        <f t="shared" si="106"/>
        <v>74</v>
      </c>
      <c r="B77" s="126" t="str">
        <f t="shared" si="1"/>
        <v>#REF!</v>
      </c>
      <c r="C77" s="140" t="str">
        <f>'Calculateur (1)'!C76+'Scénario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7" s="127">
        <f t="shared" si="107"/>
        <v>0</v>
      </c>
      <c r="E77" s="127" t="str">
        <f t="shared" si="2"/>
        <v>#REF!</v>
      </c>
      <c r="F77" s="127" t="str">
        <f t="shared" si="3"/>
        <v>#REF!</v>
      </c>
      <c r="G77" s="127" t="str">
        <f t="shared" si="4"/>
        <v>#REF!</v>
      </c>
      <c r="H77" s="128" t="str">
        <f t="shared" si="5"/>
        <v>#REF!</v>
      </c>
      <c r="I77" s="129" t="str">
        <f t="shared" si="6"/>
        <v>#REF!</v>
      </c>
      <c r="J77" s="130">
        <f t="shared" si="7"/>
        <v>10</v>
      </c>
      <c r="K77" s="131" t="str">
        <f t="shared" si="108"/>
        <v>#REF!</v>
      </c>
      <c r="L77" s="131" t="str">
        <f t="shared" si="8"/>
        <v>#REF!</v>
      </c>
      <c r="M77" s="131" t="str">
        <f t="array" ref="M77">INDEX(L:L,MIN(IF(ISNUMBER(L77:L273),ROW(L77:L273),"")))</f>
        <v/>
      </c>
      <c r="N77" s="130" t="str">
        <f t="shared" si="109"/>
        <v>#REF!</v>
      </c>
      <c r="O77" s="130" t="str">
        <f>N77*VLOOKUP('Données projet (1)'!$B$9,'Paramètres (1)'!$A$1:$I$88,3,0)*VLOOKUP('Données projet (1)'!$B$9,'Paramètres (1)'!$A$1:$I$88,5,0)</f>
        <v>#REF!</v>
      </c>
      <c r="P77" s="130" t="str">
        <f t="shared" si="110"/>
        <v>#REF!</v>
      </c>
      <c r="Q77" s="141" t="str">
        <f t="shared" si="9"/>
        <v>#REF!</v>
      </c>
      <c r="R77" s="133" t="str">
        <f t="shared" si="10"/>
        <v>#REF!</v>
      </c>
      <c r="S77" s="133" t="str">
        <f t="shared" si="11"/>
        <v>#REF!</v>
      </c>
      <c r="T77" s="133" t="str">
        <f t="shared" si="111"/>
        <v>#REF!</v>
      </c>
      <c r="U77" s="134" t="str">
        <f t="shared" si="12"/>
        <v>#REF!</v>
      </c>
      <c r="V77" s="134" t="str">
        <f t="shared" si="13"/>
        <v>#REF!</v>
      </c>
      <c r="W77" s="135" t="str">
        <f>IF(ISNA(VLOOKUP(A77,'Données projet (1)'!$A$35:$I$55,5,0)),0%,VLOOKUP(A77,'Données projet (1)'!$A$35:$I$55,5,0)*VLOOKUP('Données projet (1)'!$B$9,'Paramètres (1)'!$A$1:$I$88,7,0))</f>
        <v>#REF!</v>
      </c>
      <c r="X77" s="135" t="str">
        <f>IF(ISNA(VLOOKUP(A77,'Données projet (1)'!$A$35:$I$55,6,0)),0%,VLOOKUP(A77,'Données projet (1)'!$A$35:$I$55,6,0)*VLOOKUP('Données projet (1)'!$B$9,'Paramètres (1)'!$A$1:$I$88,7,0))</f>
        <v>#REF!</v>
      </c>
      <c r="Y77" s="135" t="str">
        <f t="shared" si="14"/>
        <v>#REF!</v>
      </c>
      <c r="Z77" s="142" t="str">
        <f>EXP(-LN(2)/35)*Z76+(1-EXP(-LN(2)/35))/(LN(2)/35)*V77*W77*VLOOKUP('Données projet (1)'!$B$9,'Paramètres (1)'!$A$1:$I$88,3,0)*0.475*44/12</f>
        <v>#REF!</v>
      </c>
      <c r="AA77" s="142" t="str">
        <f>EXP(-LN(2)/25)*AA76+(1-EXP(-LN(2)/25))/(LN(2)/25)*'Calculateur (1)'!V77*'Calculateur (1)'!X77*VLOOKUP('Données projet (1)'!$B$9,'Paramètres (1)'!$A$1:$I$88,3,0)*0.475*44/12</f>
        <v>#REF!</v>
      </c>
      <c r="AB77" s="142" t="str">
        <f>EXP(-LN(2)/2)*AB76+(1-EXP(-LN(2)/2))/(LN(2)/2)*V77*Y77*VLOOKUP('Données projet (1)'!$B$9,'Paramètres (1)'!$A$1:$I$88,3,0)*0.475*44/12</f>
        <v>#REF!</v>
      </c>
      <c r="AC77" s="143" t="str">
        <f t="shared" si="15"/>
        <v>#REF!</v>
      </c>
      <c r="AD77" s="130" t="str">
        <f t="shared" si="16"/>
        <v>#REF!</v>
      </c>
      <c r="AE77" s="130">
        <f t="shared" si="17"/>
        <v>10</v>
      </c>
      <c r="AF77" s="131" t="str">
        <f t="shared" si="112"/>
        <v>#REF!</v>
      </c>
      <c r="AG77" s="131" t="str">
        <f t="shared" si="18"/>
        <v>#REF!</v>
      </c>
      <c r="AH77" s="131" t="str">
        <f t="array" ref="AH77">INDEX(AG:AG,MIN(IF(ISNUMBER(AG77:AG273),ROW(AG77:AG273),"")))</f>
        <v/>
      </c>
      <c r="AI77" s="130" t="str">
        <f t="shared" si="113"/>
        <v>#REF!</v>
      </c>
      <c r="AJ77" s="130" t="str">
        <f>AI77*VLOOKUP('Données projet (1)'!$B$10,'Paramètres (1)'!$A$1:$I$88,3,0)*VLOOKUP('Données projet (1)'!$B$10,'Paramètres (1)'!$A$1:$I$88,5,0)</f>
        <v>#REF!</v>
      </c>
      <c r="AK77" s="130" t="str">
        <f t="shared" si="114"/>
        <v>#REF!</v>
      </c>
      <c r="AL77" s="141" t="str">
        <f t="shared" si="19"/>
        <v>#REF!</v>
      </c>
      <c r="AM77" s="133" t="str">
        <f t="shared" si="20"/>
        <v>#REF!</v>
      </c>
      <c r="AN77" s="133" t="str">
        <f t="shared" si="21"/>
        <v>#REF!</v>
      </c>
      <c r="AO77" s="133" t="str">
        <f t="shared" si="115"/>
        <v>#REF!</v>
      </c>
      <c r="AP77" s="134" t="str">
        <f t="shared" si="22"/>
        <v>#REF!</v>
      </c>
      <c r="AQ77" s="134" t="str">
        <f t="shared" si="23"/>
        <v>#REF!</v>
      </c>
      <c r="AR77" s="135" t="str">
        <f>IF(ISNA(VLOOKUP(A77,'Données projet (1)'!$A$61:$I$81,5,0)),0%,VLOOKUP(A77,'Données projet (1)'!$A$61:$I$81,5,0)*VLOOKUP('Données projet (1)'!$B$10,'Paramètres (1)'!$A$1:$I$88,7,0))</f>
        <v>#REF!</v>
      </c>
      <c r="AS77" s="135" t="str">
        <f>IF(ISNA(VLOOKUP(A77,'Données projet (1)'!$A$61:$I$81,6,0)),0%,VLOOKUP(A77,'Données projet (1)'!$A$61:$I$81,6,0)*VLOOKUP('Données projet (1)'!$B$10,'Paramètres (1)'!$A$1:$I$88,7,0))</f>
        <v>#REF!</v>
      </c>
      <c r="AT77" s="135" t="str">
        <f t="shared" si="24"/>
        <v>#REF!</v>
      </c>
      <c r="AU77" s="142" t="str">
        <f>EXP(-LN(2)/35)*AU76+(1-EXP(-LN(2)/35))/(LN(2)/35)*AQ77*AR77*VLOOKUP('Données projet (1)'!$B$10,'Paramètres (1)'!$A$1:$I$88,3,0)*0.475*44/12</f>
        <v>#REF!</v>
      </c>
      <c r="AV77" s="142" t="str">
        <f>EXP(-LN(2)/25)*AV76+(1-EXP(-LN(2)/25))/(LN(2)/25)*'Calculateur (1)'!AQ77*'Calculateur (1)'!AS77*VLOOKUP('Données projet (1)'!$B$10,'Paramètres (1)'!$A$1:$I$88,3,0)*0.475*44/12</f>
        <v>#REF!</v>
      </c>
      <c r="AW77" s="142" t="str">
        <f>EXP(-LN(2)/2)*AW76+(1-EXP(-LN(2)/2))/(LN(2)/2)*AQ77*AT77*VLOOKUP('Données projet (1)'!$B$10,'Paramètres (1)'!$A$1:$I$88,3,0)*0.475*44/12</f>
        <v>#REF!</v>
      </c>
      <c r="AX77" s="142" t="str">
        <f t="shared" si="25"/>
        <v>#REF!</v>
      </c>
      <c r="AY77" s="137" t="str">
        <f t="shared" si="26"/>
        <v>#REF!</v>
      </c>
      <c r="AZ77" s="131">
        <f t="shared" si="27"/>
        <v>10</v>
      </c>
      <c r="BA77" s="131" t="str">
        <f t="shared" si="116"/>
        <v>#REF!</v>
      </c>
      <c r="BB77" s="131" t="str">
        <f t="shared" si="28"/>
        <v>#REF!</v>
      </c>
      <c r="BC77" s="131" t="str">
        <f t="array" ref="BC77">INDEX(BB:BB,MIN(IF(ISNUMBER(BB77:BB273),ROW(BB77:BB273),"")))</f>
        <v/>
      </c>
      <c r="BD77" s="131" t="str">
        <f t="shared" si="117"/>
        <v>#REF!</v>
      </c>
      <c r="BE77" s="130" t="str">
        <f>BD77*VLOOKUP('Données projet (1)'!$B$11,'Paramètres (1)'!$A$1:$I$88,3,0)*VLOOKUP('Données projet (1)'!$B$11,'Paramètres (1)'!$A$1:$I$88,5,0)</f>
        <v>#REF!</v>
      </c>
      <c r="BF77" s="130" t="str">
        <f t="shared" si="118"/>
        <v>#REF!</v>
      </c>
      <c r="BG77" s="141" t="str">
        <f t="shared" si="29"/>
        <v>#REF!</v>
      </c>
      <c r="BH77" s="133" t="str">
        <f t="shared" si="30"/>
        <v>#REF!</v>
      </c>
      <c r="BI77" s="133" t="str">
        <f t="shared" si="31"/>
        <v>#REF!</v>
      </c>
      <c r="BJ77" s="133" t="str">
        <f t="shared" si="119"/>
        <v>#REF!</v>
      </c>
      <c r="BK77" s="134" t="str">
        <f t="shared" si="32"/>
        <v>#REF!</v>
      </c>
      <c r="BL77" s="134" t="str">
        <f t="shared" si="33"/>
        <v>#REF!</v>
      </c>
      <c r="BM77" s="135" t="str">
        <f>IF(ISNA(VLOOKUP(A77,'Données projet (1)'!$A$87:$I$107,5,0)),0%,VLOOKUP(A77,'Données projet (1)'!$A$87:$I$107,5,0)*VLOOKUP('Données projet (1)'!$B$11,'Paramètres (1)'!$A$1:$I$88,7,0))</f>
        <v>#REF!</v>
      </c>
      <c r="BN77" s="135" t="str">
        <f>IF(ISNA(VLOOKUP(A77,'Données projet (1)'!$A$87:$I$107,6,0)),0%,VLOOKUP(A77,'Données projet (1)'!$A$87:$I$107,6,0)*VLOOKUP('Données projet (1)'!$B$11,'Paramètres (1)'!$A$1:$I$88,7,0))</f>
        <v>#REF!</v>
      </c>
      <c r="BO77" s="135" t="str">
        <f t="shared" si="34"/>
        <v>#REF!</v>
      </c>
      <c r="BP77" s="142" t="str">
        <f>EXP(-LN(2)/35)*BP76+(1-EXP(-LN(2)/35))/(LN(2)/35)*BL77*BM77*VLOOKUP('Données projet (1)'!$B$11,'Paramètres (1)'!$A$1:$I$88,3,0)*0.475*44/12</f>
        <v>#REF!</v>
      </c>
      <c r="BQ77" s="142" t="str">
        <f>EXP(-LN(2)/25)*BQ76+(1-EXP(-LN(2)/25))/(LN(2)/25)*'Calculateur (1)'!BL77*'Calculateur (1)'!BN77*VLOOKUP('Données projet (1)'!$B$11,'Paramètres (1)'!$A$1:$I$88,3,0)*0.475*44/12</f>
        <v>#REF!</v>
      </c>
      <c r="BR77" s="142" t="str">
        <f>EXP(-LN(2)/2)*BR76+(1-EXP(-LN(2)/2))/(LN(2)/2)*BL77*BO77*VLOOKUP('Données projet (1)'!$B$11,'Paramètres (1)'!$A$1:$I$88,3,0)*0.475*44/12</f>
        <v>#REF!</v>
      </c>
      <c r="BS77" s="143" t="str">
        <f t="shared" si="35"/>
        <v>#REF!</v>
      </c>
      <c r="BT77" s="139" t="str">
        <f t="shared" si="36"/>
        <v>#REF!</v>
      </c>
      <c r="BU77" s="131">
        <f t="shared" si="37"/>
        <v>10</v>
      </c>
      <c r="BV77" s="131" t="str">
        <f t="shared" si="120"/>
        <v>#REF!</v>
      </c>
      <c r="BW77" s="131" t="str">
        <f t="shared" si="38"/>
        <v>#REF!</v>
      </c>
      <c r="BX77" s="131" t="str">
        <f t="array" ref="BX77">INDEX(BW:BW,MIN(IF(ISNUMBER(BW77:BW273),ROW(BW77:BW273),"")))</f>
        <v/>
      </c>
      <c r="BY77" s="131" t="str">
        <f t="shared" si="121"/>
        <v>#REF!</v>
      </c>
      <c r="BZ77" s="130" t="str">
        <f>BY77*VLOOKUP('Données projet (1)'!$B$12,'Paramètres (1)'!$A$1:$I$88,3,0)*VLOOKUP('Données projet (1)'!$B$12,'Paramètres (1)'!$A$1:$I$88,5,0)</f>
        <v>#REF!</v>
      </c>
      <c r="CA77" s="130" t="str">
        <f t="shared" si="122"/>
        <v>#REF!</v>
      </c>
      <c r="CB77" s="141" t="str">
        <f t="shared" si="39"/>
        <v>#REF!</v>
      </c>
      <c r="CC77" s="133" t="str">
        <f t="shared" si="40"/>
        <v>#REF!</v>
      </c>
      <c r="CD77" s="133" t="str">
        <f t="shared" si="41"/>
        <v>#REF!</v>
      </c>
      <c r="CE77" s="133" t="str">
        <f t="shared" si="123"/>
        <v>#REF!</v>
      </c>
      <c r="CF77" s="134" t="str">
        <f t="shared" si="42"/>
        <v>#REF!</v>
      </c>
      <c r="CG77" s="134" t="str">
        <f t="shared" si="43"/>
        <v>#REF!</v>
      </c>
      <c r="CH77" s="135" t="str">
        <f>IF(ISNA(VLOOKUP(A77,'Données projet (1)'!$A$113:$I$133,5,0)),0%,VLOOKUP(A77,'Données projet (1)'!$A$113:$I$133,5,0)*VLOOKUP('Données projet (1)'!$B$12,'Paramètres (1)'!$A$1:$I$88,7,0))</f>
        <v>#REF!</v>
      </c>
      <c r="CI77" s="135" t="str">
        <f>IF(ISNA(VLOOKUP(A77,'Données projet (1)'!$A$113:$I$133,6,0)),0%,VLOOKUP(A77,'Données projet (1)'!$A$113:$I$133,6,0)*VLOOKUP('Données projet (1)'!$B$12,'Paramètres (1)'!$A$1:$I$88,7,0))</f>
        <v>#REF!</v>
      </c>
      <c r="CJ77" s="135" t="str">
        <f t="shared" si="44"/>
        <v>#REF!</v>
      </c>
      <c r="CK77" s="142" t="str">
        <f>EXP(-LN(2)/35)*CK76+(1-EXP(-LN(2)/35))/(LN(2)/35)*CG77*CH77*VLOOKUP('Données projet (1)'!$B$12,'Paramètres (1)'!$A$1:$I$88,3,0)*0.475*44/12</f>
        <v>#REF!</v>
      </c>
      <c r="CL77" s="142" t="str">
        <f>EXP(-LN(2)/25)*CL76+(1-EXP(-LN(2)/25))/(LN(2)/25)*'Calculateur (1)'!CG77*'Calculateur (1)'!CI77*VLOOKUP('Données projet (1)'!$B$12,'Paramètres (1)'!$A$1:$I$88,3,0)*0.475*44/12</f>
        <v>#REF!</v>
      </c>
      <c r="CM77" s="142" t="str">
        <f>EXP(-LN(2)/2)*CM76+(1-EXP(-LN(2)/2))/(LN(2)/2)*CG77*CJ77*VLOOKUP('Données projet (1)'!$B$12,'Paramètres (1)'!$A$1:$I$88,3,0)*0.475*44/12</f>
        <v>#REF!</v>
      </c>
      <c r="CN77" s="143" t="str">
        <f t="shared" si="45"/>
        <v>#REF!</v>
      </c>
      <c r="CO77" s="139" t="str">
        <f t="shared" si="46"/>
        <v>#REF!</v>
      </c>
      <c r="CP77" s="131">
        <f t="shared" si="47"/>
        <v>10</v>
      </c>
      <c r="CQ77" s="131" t="str">
        <f t="shared" si="124"/>
        <v>#REF!</v>
      </c>
      <c r="CR77" s="131" t="str">
        <f t="shared" si="48"/>
        <v>#REF!</v>
      </c>
      <c r="CS77" s="131" t="str">
        <f t="array" ref="CS77">INDEX(CR:CR,MIN(IF(ISNUMBER(CR77:CR273),ROW(CR77:CR273),"")))</f>
        <v/>
      </c>
      <c r="CT77" s="131" t="str">
        <f t="shared" si="125"/>
        <v>#REF!</v>
      </c>
      <c r="CU77" s="138" t="str">
        <f>CT77*VLOOKUP('Données projet (1)'!$B$13,'Paramètres (1)'!$A$1:$I$88,3,0)*VLOOKUP('Données projet (1)'!$B$13,'Paramètres (1)'!$A$1:$I$88,5,0)</f>
        <v>#REF!</v>
      </c>
      <c r="CV77" s="130" t="str">
        <f t="shared" si="126"/>
        <v>#REF!</v>
      </c>
      <c r="CW77" s="141" t="str">
        <f t="shared" si="49"/>
        <v>#REF!</v>
      </c>
      <c r="CX77" s="133" t="str">
        <f t="shared" si="50"/>
        <v>#REF!</v>
      </c>
      <c r="CY77" s="133" t="str">
        <f t="shared" si="51"/>
        <v>#REF!</v>
      </c>
      <c r="CZ77" s="133" t="str">
        <f t="shared" si="127"/>
        <v>#REF!</v>
      </c>
      <c r="DA77" s="134" t="str">
        <f t="shared" si="52"/>
        <v>#REF!</v>
      </c>
      <c r="DB77" s="134" t="str">
        <f t="shared" si="53"/>
        <v>#REF!</v>
      </c>
      <c r="DC77" s="135" t="str">
        <f>IF(ISNA(VLOOKUP(A77,'Données projet (1)'!$A$139:$I$159,5,0)),0%,VLOOKUP(A77,'Données projet (1)'!$A$139:$I$159,5,0)*VLOOKUP('Données projet (1)'!$B$13,'Paramètres (1)'!$A$1:$I$88,7,0))</f>
        <v>#REF!</v>
      </c>
      <c r="DD77" s="135" t="str">
        <f>IF(ISNA(VLOOKUP(A77,'Données projet (1)'!$A$139:$I$159,6,0)),0%,VLOOKUP(A77,'Données projet (1)'!$A$139:$I$159,6,0)*VLOOKUP('Données projet (1)'!$B$13,'Paramètres (1)'!$A$1:$I$88,7,0))</f>
        <v>#REF!</v>
      </c>
      <c r="DE77" s="135" t="str">
        <f t="shared" si="54"/>
        <v>#REF!</v>
      </c>
      <c r="DF77" s="142" t="str">
        <f>EXP(-LN(2)/35)*DF76+(1-EXP(-LN(2)/35))/(LN(2)/35)*DB77*DC77*VLOOKUP('Données projet (1)'!$B$13,'Paramètres (1)'!$A$1:$I$88,3,0)*0.475*44/12</f>
        <v>#REF!</v>
      </c>
      <c r="DG77" s="142" t="str">
        <f>EXP(-LN(2)/25)*DG76+(1-EXP(-LN(2)/25))/(LN(2)/25)*'Calculateur (1)'!DB77*'Calculateur (1)'!DD77*VLOOKUP('Données projet (1)'!$B$13,'Paramètres (1)'!$A$1:$I$88,3,0)*0.475*44/12</f>
        <v>#REF!</v>
      </c>
      <c r="DH77" s="142" t="str">
        <f>EXP(-LN(2)/2)*DH76+(1-EXP(-LN(2)/2))/(LN(2)/2)*DB77*DE77*VLOOKUP('Données projet (1)'!$B$13,'Paramètres (1)'!$A$1:$I$88,3,0)*0.475*44/12</f>
        <v>#REF!</v>
      </c>
      <c r="DI77" s="143" t="str">
        <f t="shared" si="55"/>
        <v>#REF!</v>
      </c>
      <c r="DJ77" s="139" t="str">
        <f t="shared" si="56"/>
        <v>#REF!</v>
      </c>
      <c r="DK77" s="131">
        <f t="shared" si="57"/>
        <v>10</v>
      </c>
      <c r="DL77" s="131" t="str">
        <f t="shared" si="128"/>
        <v>#REF!</v>
      </c>
      <c r="DM77" s="131" t="str">
        <f t="shared" si="58"/>
        <v>#REF!</v>
      </c>
      <c r="DN77" s="131" t="str">
        <f t="array" ref="DN77">INDEX(DM:DM,MIN(IF(ISNUMBER(DM77:DM273),ROW(DM77:DM273),"")))</f>
        <v/>
      </c>
      <c r="DO77" s="131" t="str">
        <f t="shared" si="129"/>
        <v>#REF!</v>
      </c>
      <c r="DP77" s="138" t="str">
        <f>DO77*VLOOKUP('Données projet (1)'!$B$14,'Paramètres (1)'!$A$1:$I$88,3,0)*VLOOKUP('Données projet (1)'!$B$14,'Paramètres (1)'!$A$1:$I$88,5,0)</f>
        <v>#REF!</v>
      </c>
      <c r="DQ77" s="130" t="str">
        <f t="shared" si="130"/>
        <v>#REF!</v>
      </c>
      <c r="DR77" s="141" t="str">
        <f t="shared" si="59"/>
        <v>#REF!</v>
      </c>
      <c r="DS77" s="133" t="str">
        <f t="shared" si="60"/>
        <v>#REF!</v>
      </c>
      <c r="DT77" s="133" t="str">
        <f t="shared" si="61"/>
        <v>#REF!</v>
      </c>
      <c r="DU77" s="133" t="str">
        <f t="shared" si="131"/>
        <v>#REF!</v>
      </c>
      <c r="DV77" s="134" t="str">
        <f t="shared" si="62"/>
        <v>#REF!</v>
      </c>
      <c r="DW77" s="134" t="str">
        <f t="shared" si="63"/>
        <v>#REF!</v>
      </c>
      <c r="DX77" s="135" t="str">
        <f>IF(ISNA(VLOOKUP(A77,'Données projet (1)'!$A$165:$I$185,5,0)),0%,VLOOKUP(A77,'Données projet (1)'!$A$165:$I$185,5,0)*VLOOKUP('Données projet (1)'!$B$14,'Paramètres (1)'!$A$1:$I$88,7,0))</f>
        <v>#REF!</v>
      </c>
      <c r="DY77" s="135" t="str">
        <f>IF(ISNA(VLOOKUP(A77,'Données projet (1)'!$A$165:$I$185,6,0)),0%,VLOOKUP(A77,'Données projet (1)'!$A$165:$I$185,6,0)*VLOOKUP('Données projet (1)'!$B$14,'Paramètres (1)'!$A$1:$I$88,7,0))</f>
        <v>#REF!</v>
      </c>
      <c r="DZ77" s="135" t="str">
        <f t="shared" si="64"/>
        <v>#REF!</v>
      </c>
      <c r="EA77" s="142" t="str">
        <f>EXP(-LN(2)/35)*EA76+(1-EXP(-LN(2)/35))/(LN(2)/35)*DW77*DX77*VLOOKUP('Données projet (1)'!$B$14,'Paramètres (1)'!$A$1:$I$88,3,0)*0.475*44/12</f>
        <v>#REF!</v>
      </c>
      <c r="EB77" s="142" t="str">
        <f>EXP(-LN(2)/25)*EB76+(1-EXP(-LN(2)/25))/(LN(2)/25)*'Calculateur (1)'!DW77*'Calculateur (1)'!DY77*VLOOKUP('Données projet (1)'!$B$14,'Paramètres (1)'!$A$1:$I$88,3,0)*0.475*44/12</f>
        <v>#REF!</v>
      </c>
      <c r="EC77" s="142" t="str">
        <f>EXP(-LN(2)/2)*EC76+(1-EXP(-LN(2)/2))/(LN(2)/2)*DW77*DZ77*VLOOKUP('Données projet (1)'!$B$14,'Paramètres (1)'!$A$1:$I$88,3,0)*0.475*44/12</f>
        <v>#REF!</v>
      </c>
      <c r="ED77" s="143" t="str">
        <f t="shared" si="65"/>
        <v>#REF!</v>
      </c>
      <c r="EE77" s="139" t="str">
        <f t="shared" si="66"/>
        <v>#REF!</v>
      </c>
      <c r="EF77" s="131">
        <f t="shared" si="67"/>
        <v>10</v>
      </c>
      <c r="EG77" s="131" t="str">
        <f t="shared" si="132"/>
        <v>#REF!</v>
      </c>
      <c r="EH77" s="131" t="str">
        <f t="shared" si="68"/>
        <v>#REF!</v>
      </c>
      <c r="EI77" s="131" t="str">
        <f t="array" ref="EI77">INDEX(EH:EH,MIN(IF(ISNUMBER(EH77:EH273),ROW(EH77:EH273),"")))</f>
        <v/>
      </c>
      <c r="EJ77" s="131" t="str">
        <f t="shared" si="133"/>
        <v>#REF!</v>
      </c>
      <c r="EK77" s="138" t="str">
        <f>EJ77*VLOOKUP('Données projet (1)'!$B$15,'Paramètres (1)'!$A$1:$I$88,3,0)*VLOOKUP('Données projet (1)'!$B$15,'Paramètres (1)'!$A$1:$I$88,5,0)</f>
        <v>#REF!</v>
      </c>
      <c r="EL77" s="130" t="str">
        <f t="shared" si="134"/>
        <v>#REF!</v>
      </c>
      <c r="EM77" s="141" t="str">
        <f t="shared" si="69"/>
        <v>#REF!</v>
      </c>
      <c r="EN77" s="133" t="str">
        <f t="shared" si="70"/>
        <v>#REF!</v>
      </c>
      <c r="EO77" s="133" t="str">
        <f t="shared" si="71"/>
        <v>#REF!</v>
      </c>
      <c r="EP77" s="133" t="str">
        <f t="shared" si="135"/>
        <v>#REF!</v>
      </c>
      <c r="EQ77" s="134" t="str">
        <f t="shared" si="72"/>
        <v>#REF!</v>
      </c>
      <c r="ER77" s="134" t="str">
        <f t="shared" si="73"/>
        <v>#REF!</v>
      </c>
      <c r="ES77" s="135" t="str">
        <f>IF(ISNA(VLOOKUP(A77,'Données projet (1)'!$A$191:$I$211,5,0)),0%,VLOOKUP(A77,'Données projet (1)'!$A$191:$I$211,5,0)*VLOOKUP('Données projet (1)'!$B$15,'Paramètres (1)'!$A$1:$I$88,7,0))</f>
        <v>#REF!</v>
      </c>
      <c r="ET77" s="135" t="str">
        <f>IF(ISNA(VLOOKUP(A77,'Données projet (1)'!$A$191:$I$211,6,0)),0%,VLOOKUP(A77,'Données projet (1)'!$A$191:$I$211,6,0)*VLOOKUP('Données projet (1)'!$B$15,'Paramètres (1)'!$A$1:$I$88,7,0))</f>
        <v>#REF!</v>
      </c>
      <c r="EU77" s="135" t="str">
        <f t="shared" si="74"/>
        <v>#REF!</v>
      </c>
      <c r="EV77" s="142" t="str">
        <f>EXP(-LN(2)/35)*EV76+(1-EXP(-LN(2)/35))/(LN(2)/35)*ER77*ES77*VLOOKUP('Données projet (1)'!$B$15,'Paramètres (1)'!$A$1:$I$88,3,0)*0.475*44/12</f>
        <v>#REF!</v>
      </c>
      <c r="EW77" s="142" t="str">
        <f>EXP(-LN(2)/25)*EW76+(1-EXP(-LN(2)/25))/(LN(2)/25)*'Calculateur (1)'!ER77*'Calculateur (1)'!ET77*VLOOKUP('Données projet (1)'!$B$15,'Paramètres (1)'!$A$1:$I$88,3,0)*0.475*44/12</f>
        <v>#REF!</v>
      </c>
      <c r="EX77" s="142" t="str">
        <f>EXP(-LN(2)/2)*EX76+(1-EXP(-LN(2)/2))/(LN(2)/2)*ER77*EU77*VLOOKUP('Données projet (1)'!$B$15,'Paramètres (1)'!$A$1:$I$88,3,0)*0.475*44/12</f>
        <v>#REF!</v>
      </c>
      <c r="EY77" s="143" t="str">
        <f t="shared" si="75"/>
        <v>#REF!</v>
      </c>
      <c r="EZ77" s="139" t="str">
        <f t="shared" si="76"/>
        <v>#REF!</v>
      </c>
      <c r="FA77" s="131">
        <f t="shared" si="77"/>
        <v>10</v>
      </c>
      <c r="FB77" s="131" t="str">
        <f t="shared" si="136"/>
        <v>#REF!</v>
      </c>
      <c r="FC77" s="131" t="str">
        <f t="shared" si="78"/>
        <v>#REF!</v>
      </c>
      <c r="FD77" s="131" t="str">
        <f t="array" ref="FD77">INDEX(FC:FC,MIN(IF(ISNUMBER(FC77:FC273),ROW(FC77:FC273),"")))</f>
        <v/>
      </c>
      <c r="FE77" s="131" t="str">
        <f t="shared" si="137"/>
        <v>#REF!</v>
      </c>
      <c r="FF77" s="138" t="str">
        <f>FE77*VLOOKUP('Données projet (1)'!$B$16,'Paramètres (1)'!$A$1:$I$88,3,0)*VLOOKUP('Données projet (1)'!$B$16,'Paramètres (1)'!$A$1:$I$88,5,0)</f>
        <v>#REF!</v>
      </c>
      <c r="FG77" s="130" t="str">
        <f t="shared" si="138"/>
        <v>#REF!</v>
      </c>
      <c r="FH77" s="141" t="str">
        <f t="shared" si="79"/>
        <v>#REF!</v>
      </c>
      <c r="FI77" s="133" t="str">
        <f t="shared" si="80"/>
        <v>#REF!</v>
      </c>
      <c r="FJ77" s="133" t="str">
        <f t="shared" si="81"/>
        <v>#REF!</v>
      </c>
      <c r="FK77" s="133" t="str">
        <f t="shared" si="139"/>
        <v>#REF!</v>
      </c>
      <c r="FL77" s="134" t="str">
        <f t="shared" si="82"/>
        <v>#REF!</v>
      </c>
      <c r="FM77" s="134" t="str">
        <f t="shared" si="83"/>
        <v>#REF!</v>
      </c>
      <c r="FN77" s="135" t="str">
        <f>IF(ISNA(VLOOKUP(A77,'Données projet (1)'!$A$217:$I$237,5,0)),0%,VLOOKUP(A77,'Données projet (1)'!$A$217:$I$237,5,0)*VLOOKUP('Données projet (1)'!$B$16,'Paramètres (1)'!$A$1:$I$88,7,0))</f>
        <v>#REF!</v>
      </c>
      <c r="FO77" s="135" t="str">
        <f>IF(ISNA(VLOOKUP(A77,'Données projet (1)'!$A$217:$I$237,6,0)),0%,VLOOKUP(A77,'Données projet (1)'!$A$217:$I$237,6,0)*VLOOKUP('Données projet (1)'!$B$16,'Paramètres (1)'!$A$1:$I$88,7,0))</f>
        <v>#REF!</v>
      </c>
      <c r="FP77" s="135" t="str">
        <f t="shared" si="84"/>
        <v>#REF!</v>
      </c>
      <c r="FQ77" s="142" t="str">
        <f>EXP(-LN(2)/35)*FQ76+(1-EXP(-LN(2)/35))/(LN(2)/35)*FM77*FN77*VLOOKUP('Données projet (1)'!$B$16,'Paramètres (1)'!$A$1:$I$88,3,0)*0.475*44/12</f>
        <v>#REF!</v>
      </c>
      <c r="FR77" s="142" t="str">
        <f>EXP(-LN(2)/25)*FR76+(1-EXP(-LN(2)/25))/(LN(2)/25)*'Calculateur (1)'!FM77*'Calculateur (1)'!FO77*VLOOKUP('Données projet (1)'!$B$16,'Paramètres (1)'!$A$1:$I$88,3,0)*0.475*44/12</f>
        <v>#REF!</v>
      </c>
      <c r="FS77" s="142" t="str">
        <f>EXP(-LN(2)/2)*FS76+(1-EXP(-LN(2)/2))/(LN(2)/2)*FM77*FP77*VLOOKUP('Données projet (1)'!$B$16,'Paramètres (1)'!$A$1:$I$88,3,0)*0.475*44/12</f>
        <v>#REF!</v>
      </c>
      <c r="FT77" s="143" t="str">
        <f t="shared" si="85"/>
        <v>#REF!</v>
      </c>
      <c r="FU77" s="139" t="str">
        <f t="shared" si="86"/>
        <v>#REF!</v>
      </c>
      <c r="FV77" s="131">
        <f t="shared" si="87"/>
        <v>10</v>
      </c>
      <c r="FW77" s="131" t="str">
        <f t="shared" si="140"/>
        <v>#REF!</v>
      </c>
      <c r="FX77" s="131" t="str">
        <f t="shared" si="88"/>
        <v>#REF!</v>
      </c>
      <c r="FY77" s="131" t="str">
        <f t="array" ref="FY77">INDEX(FX:FX,MIN(IF(ISNUMBER(FX77:FX273),ROW(FX77:FX273),"")))</f>
        <v/>
      </c>
      <c r="FZ77" s="131" t="str">
        <f t="shared" si="141"/>
        <v>#REF!</v>
      </c>
      <c r="GA77" s="138" t="str">
        <f>FZ77*VLOOKUP('Données projet (1)'!$B$17,'Paramètres (1)'!$A$1:$I$88,3,0)*VLOOKUP('Données projet (1)'!$B$17,'Paramètres (1)'!$A$1:$I$88,5,0)</f>
        <v>#REF!</v>
      </c>
      <c r="GB77" s="130" t="str">
        <f t="shared" si="142"/>
        <v>#REF!</v>
      </c>
      <c r="GC77" s="141" t="str">
        <f t="shared" si="89"/>
        <v>#REF!</v>
      </c>
      <c r="GD77" s="133" t="str">
        <f t="shared" si="90"/>
        <v>#REF!</v>
      </c>
      <c r="GE77" s="133" t="str">
        <f t="shared" si="91"/>
        <v>#REF!</v>
      </c>
      <c r="GF77" s="133" t="str">
        <f t="shared" si="143"/>
        <v>#REF!</v>
      </c>
      <c r="GG77" s="134" t="str">
        <f t="shared" si="92"/>
        <v>#REF!</v>
      </c>
      <c r="GH77" s="134" t="str">
        <f t="shared" si="93"/>
        <v>#REF!</v>
      </c>
      <c r="GI77" s="135" t="str">
        <f>IF(ISNA(VLOOKUP(A77,'Données projet (1)'!$A$243:$I$263,5,0)),0%,VLOOKUP(A77,'Données projet (1)'!$A$243:$I$263,5,0)*VLOOKUP('Données projet (1)'!$B$17,'Paramètres (1)'!$A$1:$I$88,7,0))</f>
        <v>#REF!</v>
      </c>
      <c r="GJ77" s="135" t="str">
        <f>IF(ISNA(VLOOKUP(A77,'Données projet (1)'!$A$243:$I$263,6,0)),0%,VLOOKUP(A77,'Données projet (1)'!$A$243:$I$263,6,0)*VLOOKUP('Données projet (1)'!$B$17,'Paramètres (1)'!$A$1:$I$88,7,0))</f>
        <v>#REF!</v>
      </c>
      <c r="GK77" s="135" t="str">
        <f t="shared" si="94"/>
        <v>#REF!</v>
      </c>
      <c r="GL77" s="142" t="str">
        <f>EXP(-LN(2)/35)*GL76+(1-EXP(-LN(2)/35))/(LN(2)/35)*GH77*GI77*VLOOKUP('Données projet (1)'!$B$17,'Paramètres (1)'!$A$1:$I$88,3,0)*0.475*44/12</f>
        <v>#REF!</v>
      </c>
      <c r="GM77" s="142" t="str">
        <f>EXP(-LN(2)/25)*GM76+(1-EXP(-LN(2)/25))/(LN(2)/25)*'Calculateur (1)'!GH77*'Calculateur (1)'!GJ77*VLOOKUP('Données projet (1)'!$B$17,'Paramètres (1)'!$A$1:$I$88,3,0)*0.475*44/12</f>
        <v>#REF!</v>
      </c>
      <c r="GN77" s="142" t="str">
        <f>EXP(-LN(2)/2)*GN76+(1-EXP(-LN(2)/2))/(LN(2)/2)*GH77*GK77*VLOOKUP('Données projet (1)'!$B$17,'Paramètres (1)'!$A$1:$I$88,3,0)*0.475*44/12</f>
        <v>#REF!</v>
      </c>
      <c r="GO77" s="142" t="str">
        <f t="shared" si="95"/>
        <v>#REF!</v>
      </c>
      <c r="GP77" s="139" t="str">
        <f t="shared" si="96"/>
        <v>#REF!</v>
      </c>
      <c r="GQ77" s="131">
        <f t="shared" si="97"/>
        <v>10</v>
      </c>
      <c r="GR77" s="131" t="str">
        <f t="shared" si="144"/>
        <v>#REF!</v>
      </c>
      <c r="GS77" s="131" t="str">
        <f t="shared" si="98"/>
        <v>#REF!</v>
      </c>
      <c r="GT77" s="131" t="str">
        <f t="array" ref="GT77">INDEX(GS:GS,MIN(IF(ISNUMBER(GS77:GS273),ROW(GS77:GS273),"")))</f>
        <v/>
      </c>
      <c r="GU77" s="131" t="str">
        <f t="shared" si="145"/>
        <v>#REF!</v>
      </c>
      <c r="GV77" s="138" t="str">
        <f>GU77*VLOOKUP('Données projet (1)'!$B$18,'Paramètres (1)'!$A$1:$I$88,3,0)*VLOOKUP('Données projet (1)'!$B$18,'Paramètres (1)'!$A$1:$I$88,5,0)</f>
        <v>#REF!</v>
      </c>
      <c r="GW77" s="130" t="str">
        <f t="shared" si="146"/>
        <v>#REF!</v>
      </c>
      <c r="GX77" s="141" t="str">
        <f t="shared" si="99"/>
        <v>#REF!</v>
      </c>
      <c r="GY77" s="133" t="str">
        <f t="shared" si="100"/>
        <v>#REF!</v>
      </c>
      <c r="GZ77" s="133" t="str">
        <f t="shared" si="101"/>
        <v>#REF!</v>
      </c>
      <c r="HA77" s="133" t="str">
        <f t="shared" si="147"/>
        <v>#REF!</v>
      </c>
      <c r="HB77" s="134" t="str">
        <f t="shared" si="102"/>
        <v>#REF!</v>
      </c>
      <c r="HC77" s="134" t="str">
        <f t="shared" si="103"/>
        <v>#REF!</v>
      </c>
      <c r="HD77" s="135" t="str">
        <f>IF(ISNA(VLOOKUP(A77,'Données projet (1)'!$A$269:$I$289,5,0)),0%,VLOOKUP(A77,'Données projet (1)'!$A$269:$I$289,5,0)*VLOOKUP('Données projet (1)'!$B$18,'Paramètres (1)'!$A$1:$I$88,7,0))</f>
        <v>#REF!</v>
      </c>
      <c r="HE77" s="135" t="str">
        <f>IF(ISNA(VLOOKUP(A77,'Données projet (1)'!$A$269:$I$289,6,0)),0%,VLOOKUP(A77,'Données projet (1)'!$A$269:$I$289,6,0)*VLOOKUP('Données projet (1)'!$B$18,'Paramètres (1)'!$A$1:$I$88,7,0))</f>
        <v>#REF!</v>
      </c>
      <c r="HF77" s="135" t="str">
        <f t="shared" si="104"/>
        <v>#REF!</v>
      </c>
      <c r="HG77" s="142" t="str">
        <f>EXP(-LN(2)/35)*HG76+(1-EXP(-LN(2)/35))/(LN(2)/35)*HC77*HD77*VLOOKUP('Données projet (1)'!$B$18,'Paramètres (1)'!$A$1:$I$88,3,0)*0.475*44/12</f>
        <v>#REF!</v>
      </c>
      <c r="HH77" s="142" t="str">
        <f>EXP(-LN(2)/25)*HH76+(1-EXP(-LN(2)/25))/(LN(2)/25)*'Calculateur (1)'!HC77*'Calculateur (1)'!HE77*VLOOKUP('Données projet (1)'!$B$18,'Paramètres (1)'!$A$1:$I$88,3,0)*0.475*44/12</f>
        <v>#REF!</v>
      </c>
      <c r="HI77" s="142" t="str">
        <f>EXP(-LN(2)/2)*HI76+(1-EXP(-LN(2)/2))/(LN(2)/2)*HC77*HF77*VLOOKUP('Données projet (1)'!$B$18,'Paramètres (1)'!$A$1:$I$88,3,0)*0.475*44/12</f>
        <v>#REF!</v>
      </c>
      <c r="HJ77" s="143" t="str">
        <f t="shared" si="105"/>
        <v>#REF!</v>
      </c>
    </row>
    <row r="78" ht="14.25" customHeight="1">
      <c r="A78" s="125">
        <f t="shared" si="106"/>
        <v>75</v>
      </c>
      <c r="B78" s="126" t="str">
        <f t="shared" si="1"/>
        <v>#REF!</v>
      </c>
      <c r="C78" s="140" t="str">
        <f>'Calculateur (1)'!C77+'Scénario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8" s="127">
        <f t="shared" si="107"/>
        <v>0</v>
      </c>
      <c r="E78" s="127" t="str">
        <f t="shared" si="2"/>
        <v>#REF!</v>
      </c>
      <c r="F78" s="127" t="str">
        <f t="shared" si="3"/>
        <v>#REF!</v>
      </c>
      <c r="G78" s="127" t="str">
        <f t="shared" si="4"/>
        <v>#REF!</v>
      </c>
      <c r="H78" s="128" t="str">
        <f t="shared" si="5"/>
        <v>#REF!</v>
      </c>
      <c r="I78" s="129" t="str">
        <f t="shared" si="6"/>
        <v>#REF!</v>
      </c>
      <c r="J78" s="130">
        <f t="shared" si="7"/>
        <v>10</v>
      </c>
      <c r="K78" s="131" t="str">
        <f t="shared" si="108"/>
        <v>#REF!</v>
      </c>
      <c r="L78" s="131" t="str">
        <f t="shared" si="8"/>
        <v>#REF!</v>
      </c>
      <c r="M78" s="131" t="str">
        <f t="array" ref="M78">INDEX(L:L,MIN(IF(ISNUMBER(L78:L274),ROW(L78:L274),"")))</f>
        <v/>
      </c>
      <c r="N78" s="130" t="str">
        <f t="shared" si="109"/>
        <v>#REF!</v>
      </c>
      <c r="O78" s="130" t="str">
        <f>N78*VLOOKUP('Données projet (1)'!$B$9,'Paramètres (1)'!$A$1:$I$88,3,0)*VLOOKUP('Données projet (1)'!$B$9,'Paramètres (1)'!$A$1:$I$88,5,0)</f>
        <v>#REF!</v>
      </c>
      <c r="P78" s="130" t="str">
        <f t="shared" si="110"/>
        <v>#REF!</v>
      </c>
      <c r="Q78" s="141" t="str">
        <f t="shared" si="9"/>
        <v>#REF!</v>
      </c>
      <c r="R78" s="133" t="str">
        <f t="shared" si="10"/>
        <v>#REF!</v>
      </c>
      <c r="S78" s="133" t="str">
        <f t="shared" si="11"/>
        <v>#REF!</v>
      </c>
      <c r="T78" s="133" t="str">
        <f t="shared" si="111"/>
        <v>#REF!</v>
      </c>
      <c r="U78" s="134" t="str">
        <f t="shared" si="12"/>
        <v>#REF!</v>
      </c>
      <c r="V78" s="134" t="str">
        <f t="shared" si="13"/>
        <v>#REF!</v>
      </c>
      <c r="W78" s="135" t="str">
        <f>IF(ISNA(VLOOKUP(A78,'Données projet (1)'!$A$35:$I$55,5,0)),0%,VLOOKUP(A78,'Données projet (1)'!$A$35:$I$55,5,0)*VLOOKUP('Données projet (1)'!$B$9,'Paramètres (1)'!$A$1:$I$88,7,0))</f>
        <v>#REF!</v>
      </c>
      <c r="X78" s="135" t="str">
        <f>IF(ISNA(VLOOKUP(A78,'Données projet (1)'!$A$35:$I$55,6,0)),0%,VLOOKUP(A78,'Données projet (1)'!$A$35:$I$55,6,0)*VLOOKUP('Données projet (1)'!$B$9,'Paramètres (1)'!$A$1:$I$88,7,0))</f>
        <v>#REF!</v>
      </c>
      <c r="Y78" s="135" t="str">
        <f t="shared" si="14"/>
        <v>#REF!</v>
      </c>
      <c r="Z78" s="142" t="str">
        <f>EXP(-LN(2)/35)*Z77+(1-EXP(-LN(2)/35))/(LN(2)/35)*V78*W78*VLOOKUP('Données projet (1)'!$B$9,'Paramètres (1)'!$A$1:$I$88,3,0)*0.475*44/12</f>
        <v>#REF!</v>
      </c>
      <c r="AA78" s="142" t="str">
        <f>EXP(-LN(2)/25)*AA77+(1-EXP(-LN(2)/25))/(LN(2)/25)*'Calculateur (1)'!V78*'Calculateur (1)'!X78*VLOOKUP('Données projet (1)'!$B$9,'Paramètres (1)'!$A$1:$I$88,3,0)*0.475*44/12</f>
        <v>#REF!</v>
      </c>
      <c r="AB78" s="142" t="str">
        <f>EXP(-LN(2)/2)*AB77+(1-EXP(-LN(2)/2))/(LN(2)/2)*V78*Y78*VLOOKUP('Données projet (1)'!$B$9,'Paramètres (1)'!$A$1:$I$88,3,0)*0.475*44/12</f>
        <v>#REF!</v>
      </c>
      <c r="AC78" s="143" t="str">
        <f t="shared" si="15"/>
        <v>#REF!</v>
      </c>
      <c r="AD78" s="130" t="str">
        <f t="shared" si="16"/>
        <v>#REF!</v>
      </c>
      <c r="AE78" s="130">
        <f t="shared" si="17"/>
        <v>10</v>
      </c>
      <c r="AF78" s="131" t="str">
        <f t="shared" si="112"/>
        <v>#REF!</v>
      </c>
      <c r="AG78" s="131" t="str">
        <f t="shared" si="18"/>
        <v>#REF!</v>
      </c>
      <c r="AH78" s="131" t="str">
        <f t="array" ref="AH78">INDEX(AG:AG,MIN(IF(ISNUMBER(AG78:AG274),ROW(AG78:AG274),"")))</f>
        <v/>
      </c>
      <c r="AI78" s="130" t="str">
        <f t="shared" si="113"/>
        <v>#REF!</v>
      </c>
      <c r="AJ78" s="130" t="str">
        <f>AI78*VLOOKUP('Données projet (1)'!$B$10,'Paramètres (1)'!$A$1:$I$88,3,0)*VLOOKUP('Données projet (1)'!$B$10,'Paramètres (1)'!$A$1:$I$88,5,0)</f>
        <v>#REF!</v>
      </c>
      <c r="AK78" s="130" t="str">
        <f t="shared" si="114"/>
        <v>#REF!</v>
      </c>
      <c r="AL78" s="141" t="str">
        <f t="shared" si="19"/>
        <v>#REF!</v>
      </c>
      <c r="AM78" s="133" t="str">
        <f t="shared" si="20"/>
        <v>#REF!</v>
      </c>
      <c r="AN78" s="133" t="str">
        <f t="shared" si="21"/>
        <v>#REF!</v>
      </c>
      <c r="AO78" s="133" t="str">
        <f t="shared" si="115"/>
        <v>#REF!</v>
      </c>
      <c r="AP78" s="134" t="str">
        <f t="shared" si="22"/>
        <v>#REF!</v>
      </c>
      <c r="AQ78" s="134" t="str">
        <f t="shared" si="23"/>
        <v>#REF!</v>
      </c>
      <c r="AR78" s="135" t="str">
        <f>IF(ISNA(VLOOKUP(A78,'Données projet (1)'!$A$61:$I$81,5,0)),0%,VLOOKUP(A78,'Données projet (1)'!$A$61:$I$81,5,0)*VLOOKUP('Données projet (1)'!$B$10,'Paramètres (1)'!$A$1:$I$88,7,0))</f>
        <v>#REF!</v>
      </c>
      <c r="AS78" s="135" t="str">
        <f>IF(ISNA(VLOOKUP(A78,'Données projet (1)'!$A$61:$I$81,6,0)),0%,VLOOKUP(A78,'Données projet (1)'!$A$61:$I$81,6,0)*VLOOKUP('Données projet (1)'!$B$10,'Paramètres (1)'!$A$1:$I$88,7,0))</f>
        <v>#REF!</v>
      </c>
      <c r="AT78" s="135" t="str">
        <f t="shared" si="24"/>
        <v>#REF!</v>
      </c>
      <c r="AU78" s="142" t="str">
        <f>EXP(-LN(2)/35)*AU77+(1-EXP(-LN(2)/35))/(LN(2)/35)*AQ78*AR78*VLOOKUP('Données projet (1)'!$B$10,'Paramètres (1)'!$A$1:$I$88,3,0)*0.475*44/12</f>
        <v>#REF!</v>
      </c>
      <c r="AV78" s="142" t="str">
        <f>EXP(-LN(2)/25)*AV77+(1-EXP(-LN(2)/25))/(LN(2)/25)*'Calculateur (1)'!AQ78*'Calculateur (1)'!AS78*VLOOKUP('Données projet (1)'!$B$10,'Paramètres (1)'!$A$1:$I$88,3,0)*0.475*44/12</f>
        <v>#REF!</v>
      </c>
      <c r="AW78" s="142" t="str">
        <f>EXP(-LN(2)/2)*AW77+(1-EXP(-LN(2)/2))/(LN(2)/2)*AQ78*AT78*VLOOKUP('Données projet (1)'!$B$10,'Paramètres (1)'!$A$1:$I$88,3,0)*0.475*44/12</f>
        <v>#REF!</v>
      </c>
      <c r="AX78" s="142" t="str">
        <f t="shared" si="25"/>
        <v>#REF!</v>
      </c>
      <c r="AY78" s="137" t="str">
        <f t="shared" si="26"/>
        <v>#REF!</v>
      </c>
      <c r="AZ78" s="131">
        <f t="shared" si="27"/>
        <v>10</v>
      </c>
      <c r="BA78" s="131" t="str">
        <f t="shared" si="116"/>
        <v>#REF!</v>
      </c>
      <c r="BB78" s="131" t="str">
        <f t="shared" si="28"/>
        <v>#REF!</v>
      </c>
      <c r="BC78" s="131" t="str">
        <f t="array" ref="BC78">INDEX(BB:BB,MIN(IF(ISNUMBER(BB78:BB274),ROW(BB78:BB274),"")))</f>
        <v/>
      </c>
      <c r="BD78" s="131" t="str">
        <f t="shared" si="117"/>
        <v>#REF!</v>
      </c>
      <c r="BE78" s="130" t="str">
        <f>BD78*VLOOKUP('Données projet (1)'!$B$11,'Paramètres (1)'!$A$1:$I$88,3,0)*VLOOKUP('Données projet (1)'!$B$11,'Paramètres (1)'!$A$1:$I$88,5,0)</f>
        <v>#REF!</v>
      </c>
      <c r="BF78" s="130" t="str">
        <f t="shared" si="118"/>
        <v>#REF!</v>
      </c>
      <c r="BG78" s="141" t="str">
        <f t="shared" si="29"/>
        <v>#REF!</v>
      </c>
      <c r="BH78" s="133" t="str">
        <f t="shared" si="30"/>
        <v>#REF!</v>
      </c>
      <c r="BI78" s="133" t="str">
        <f t="shared" si="31"/>
        <v>#REF!</v>
      </c>
      <c r="BJ78" s="133" t="str">
        <f t="shared" si="119"/>
        <v>#REF!</v>
      </c>
      <c r="BK78" s="134" t="str">
        <f t="shared" si="32"/>
        <v>#REF!</v>
      </c>
      <c r="BL78" s="134" t="str">
        <f t="shared" si="33"/>
        <v>#REF!</v>
      </c>
      <c r="BM78" s="135" t="str">
        <f>IF(ISNA(VLOOKUP(A78,'Données projet (1)'!$A$87:$I$107,5,0)),0%,VLOOKUP(A78,'Données projet (1)'!$A$87:$I$107,5,0)*VLOOKUP('Données projet (1)'!$B$11,'Paramètres (1)'!$A$1:$I$88,7,0))</f>
        <v>#REF!</v>
      </c>
      <c r="BN78" s="135" t="str">
        <f>IF(ISNA(VLOOKUP(A78,'Données projet (1)'!$A$87:$I$107,6,0)),0%,VLOOKUP(A78,'Données projet (1)'!$A$87:$I$107,6,0)*VLOOKUP('Données projet (1)'!$B$11,'Paramètres (1)'!$A$1:$I$88,7,0))</f>
        <v>#REF!</v>
      </c>
      <c r="BO78" s="135" t="str">
        <f t="shared" si="34"/>
        <v>#REF!</v>
      </c>
      <c r="BP78" s="142" t="str">
        <f>EXP(-LN(2)/35)*BP77+(1-EXP(-LN(2)/35))/(LN(2)/35)*BL78*BM78*VLOOKUP('Données projet (1)'!$B$11,'Paramètres (1)'!$A$1:$I$88,3,0)*0.475*44/12</f>
        <v>#REF!</v>
      </c>
      <c r="BQ78" s="142" t="str">
        <f>EXP(-LN(2)/25)*BQ77+(1-EXP(-LN(2)/25))/(LN(2)/25)*'Calculateur (1)'!BL78*'Calculateur (1)'!BN78*VLOOKUP('Données projet (1)'!$B$11,'Paramètres (1)'!$A$1:$I$88,3,0)*0.475*44/12</f>
        <v>#REF!</v>
      </c>
      <c r="BR78" s="142" t="str">
        <f>EXP(-LN(2)/2)*BR77+(1-EXP(-LN(2)/2))/(LN(2)/2)*BL78*BO78*VLOOKUP('Données projet (1)'!$B$11,'Paramètres (1)'!$A$1:$I$88,3,0)*0.475*44/12</f>
        <v>#REF!</v>
      </c>
      <c r="BS78" s="143" t="str">
        <f t="shared" si="35"/>
        <v>#REF!</v>
      </c>
      <c r="BT78" s="139" t="str">
        <f t="shared" si="36"/>
        <v>#REF!</v>
      </c>
      <c r="BU78" s="131">
        <f t="shared" si="37"/>
        <v>10</v>
      </c>
      <c r="BV78" s="131" t="str">
        <f t="shared" si="120"/>
        <v>#REF!</v>
      </c>
      <c r="BW78" s="131" t="str">
        <f t="shared" si="38"/>
        <v>#REF!</v>
      </c>
      <c r="BX78" s="131" t="str">
        <f t="array" ref="BX78">INDEX(BW:BW,MIN(IF(ISNUMBER(BW78:BW274),ROW(BW78:BW274),"")))</f>
        <v/>
      </c>
      <c r="BY78" s="131" t="str">
        <f t="shared" si="121"/>
        <v>#REF!</v>
      </c>
      <c r="BZ78" s="130" t="str">
        <f>BY78*VLOOKUP('Données projet (1)'!$B$12,'Paramètres (1)'!$A$1:$I$88,3,0)*VLOOKUP('Données projet (1)'!$B$12,'Paramètres (1)'!$A$1:$I$88,5,0)</f>
        <v>#REF!</v>
      </c>
      <c r="CA78" s="130" t="str">
        <f t="shared" si="122"/>
        <v>#REF!</v>
      </c>
      <c r="CB78" s="141" t="str">
        <f t="shared" si="39"/>
        <v>#REF!</v>
      </c>
      <c r="CC78" s="133" t="str">
        <f t="shared" si="40"/>
        <v>#REF!</v>
      </c>
      <c r="CD78" s="133" t="str">
        <f t="shared" si="41"/>
        <v>#REF!</v>
      </c>
      <c r="CE78" s="133" t="str">
        <f t="shared" si="123"/>
        <v>#REF!</v>
      </c>
      <c r="CF78" s="134" t="str">
        <f t="shared" si="42"/>
        <v>#REF!</v>
      </c>
      <c r="CG78" s="134" t="str">
        <f t="shared" si="43"/>
        <v>#REF!</v>
      </c>
      <c r="CH78" s="135" t="str">
        <f>IF(ISNA(VLOOKUP(A78,'Données projet (1)'!$A$113:$I$133,5,0)),0%,VLOOKUP(A78,'Données projet (1)'!$A$113:$I$133,5,0)*VLOOKUP('Données projet (1)'!$B$12,'Paramètres (1)'!$A$1:$I$88,7,0))</f>
        <v>#REF!</v>
      </c>
      <c r="CI78" s="135" t="str">
        <f>IF(ISNA(VLOOKUP(A78,'Données projet (1)'!$A$113:$I$133,6,0)),0%,VLOOKUP(A78,'Données projet (1)'!$A$113:$I$133,6,0)*VLOOKUP('Données projet (1)'!$B$12,'Paramètres (1)'!$A$1:$I$88,7,0))</f>
        <v>#REF!</v>
      </c>
      <c r="CJ78" s="135" t="str">
        <f t="shared" si="44"/>
        <v>#REF!</v>
      </c>
      <c r="CK78" s="142" t="str">
        <f>EXP(-LN(2)/35)*CK77+(1-EXP(-LN(2)/35))/(LN(2)/35)*CG78*CH78*VLOOKUP('Données projet (1)'!$B$12,'Paramètres (1)'!$A$1:$I$88,3,0)*0.475*44/12</f>
        <v>#REF!</v>
      </c>
      <c r="CL78" s="142" t="str">
        <f>EXP(-LN(2)/25)*CL77+(1-EXP(-LN(2)/25))/(LN(2)/25)*'Calculateur (1)'!CG78*'Calculateur (1)'!CI78*VLOOKUP('Données projet (1)'!$B$12,'Paramètres (1)'!$A$1:$I$88,3,0)*0.475*44/12</f>
        <v>#REF!</v>
      </c>
      <c r="CM78" s="142" t="str">
        <f>EXP(-LN(2)/2)*CM77+(1-EXP(-LN(2)/2))/(LN(2)/2)*CG78*CJ78*VLOOKUP('Données projet (1)'!$B$12,'Paramètres (1)'!$A$1:$I$88,3,0)*0.475*44/12</f>
        <v>#REF!</v>
      </c>
      <c r="CN78" s="143" t="str">
        <f t="shared" si="45"/>
        <v>#REF!</v>
      </c>
      <c r="CO78" s="139" t="str">
        <f t="shared" si="46"/>
        <v>#REF!</v>
      </c>
      <c r="CP78" s="131">
        <f t="shared" si="47"/>
        <v>10</v>
      </c>
      <c r="CQ78" s="131" t="str">
        <f t="shared" si="124"/>
        <v>#REF!</v>
      </c>
      <c r="CR78" s="131" t="str">
        <f t="shared" si="48"/>
        <v>#REF!</v>
      </c>
      <c r="CS78" s="131" t="str">
        <f t="array" ref="CS78">INDEX(CR:CR,MIN(IF(ISNUMBER(CR78:CR274),ROW(CR78:CR274),"")))</f>
        <v/>
      </c>
      <c r="CT78" s="131" t="str">
        <f t="shared" si="125"/>
        <v>#REF!</v>
      </c>
      <c r="CU78" s="138" t="str">
        <f>CT78*VLOOKUP('Données projet (1)'!$B$13,'Paramètres (1)'!$A$1:$I$88,3,0)*VLOOKUP('Données projet (1)'!$B$13,'Paramètres (1)'!$A$1:$I$88,5,0)</f>
        <v>#REF!</v>
      </c>
      <c r="CV78" s="130" t="str">
        <f t="shared" si="126"/>
        <v>#REF!</v>
      </c>
      <c r="CW78" s="141" t="str">
        <f t="shared" si="49"/>
        <v>#REF!</v>
      </c>
      <c r="CX78" s="133" t="str">
        <f t="shared" si="50"/>
        <v>#REF!</v>
      </c>
      <c r="CY78" s="133" t="str">
        <f t="shared" si="51"/>
        <v>#REF!</v>
      </c>
      <c r="CZ78" s="133" t="str">
        <f t="shared" si="127"/>
        <v>#REF!</v>
      </c>
      <c r="DA78" s="134" t="str">
        <f t="shared" si="52"/>
        <v>#REF!</v>
      </c>
      <c r="DB78" s="134" t="str">
        <f t="shared" si="53"/>
        <v>#REF!</v>
      </c>
      <c r="DC78" s="135" t="str">
        <f>IF(ISNA(VLOOKUP(A78,'Données projet (1)'!$A$139:$I$159,5,0)),0%,VLOOKUP(A78,'Données projet (1)'!$A$139:$I$159,5,0)*VLOOKUP('Données projet (1)'!$B$13,'Paramètres (1)'!$A$1:$I$88,7,0))</f>
        <v>#REF!</v>
      </c>
      <c r="DD78" s="135" t="str">
        <f>IF(ISNA(VLOOKUP(A78,'Données projet (1)'!$A$139:$I$159,6,0)),0%,VLOOKUP(A78,'Données projet (1)'!$A$139:$I$159,6,0)*VLOOKUP('Données projet (1)'!$B$13,'Paramètres (1)'!$A$1:$I$88,7,0))</f>
        <v>#REF!</v>
      </c>
      <c r="DE78" s="135" t="str">
        <f t="shared" si="54"/>
        <v>#REF!</v>
      </c>
      <c r="DF78" s="142" t="str">
        <f>EXP(-LN(2)/35)*DF77+(1-EXP(-LN(2)/35))/(LN(2)/35)*DB78*DC78*VLOOKUP('Données projet (1)'!$B$13,'Paramètres (1)'!$A$1:$I$88,3,0)*0.475*44/12</f>
        <v>#REF!</v>
      </c>
      <c r="DG78" s="142" t="str">
        <f>EXP(-LN(2)/25)*DG77+(1-EXP(-LN(2)/25))/(LN(2)/25)*'Calculateur (1)'!DB78*'Calculateur (1)'!DD78*VLOOKUP('Données projet (1)'!$B$13,'Paramètres (1)'!$A$1:$I$88,3,0)*0.475*44/12</f>
        <v>#REF!</v>
      </c>
      <c r="DH78" s="142" t="str">
        <f>EXP(-LN(2)/2)*DH77+(1-EXP(-LN(2)/2))/(LN(2)/2)*DB78*DE78*VLOOKUP('Données projet (1)'!$B$13,'Paramètres (1)'!$A$1:$I$88,3,0)*0.475*44/12</f>
        <v>#REF!</v>
      </c>
      <c r="DI78" s="143" t="str">
        <f t="shared" si="55"/>
        <v>#REF!</v>
      </c>
      <c r="DJ78" s="139" t="str">
        <f t="shared" si="56"/>
        <v>#REF!</v>
      </c>
      <c r="DK78" s="131">
        <f t="shared" si="57"/>
        <v>10</v>
      </c>
      <c r="DL78" s="131" t="str">
        <f t="shared" si="128"/>
        <v>#REF!</v>
      </c>
      <c r="DM78" s="131" t="str">
        <f t="shared" si="58"/>
        <v>#REF!</v>
      </c>
      <c r="DN78" s="131" t="str">
        <f t="array" ref="DN78">INDEX(DM:DM,MIN(IF(ISNUMBER(DM78:DM274),ROW(DM78:DM274),"")))</f>
        <v/>
      </c>
      <c r="DO78" s="131" t="str">
        <f t="shared" si="129"/>
        <v>#REF!</v>
      </c>
      <c r="DP78" s="138" t="str">
        <f>DO78*VLOOKUP('Données projet (1)'!$B$14,'Paramètres (1)'!$A$1:$I$88,3,0)*VLOOKUP('Données projet (1)'!$B$14,'Paramètres (1)'!$A$1:$I$88,5,0)</f>
        <v>#REF!</v>
      </c>
      <c r="DQ78" s="130" t="str">
        <f t="shared" si="130"/>
        <v>#REF!</v>
      </c>
      <c r="DR78" s="141" t="str">
        <f t="shared" si="59"/>
        <v>#REF!</v>
      </c>
      <c r="DS78" s="133" t="str">
        <f t="shared" si="60"/>
        <v>#REF!</v>
      </c>
      <c r="DT78" s="133" t="str">
        <f t="shared" si="61"/>
        <v>#REF!</v>
      </c>
      <c r="DU78" s="133" t="str">
        <f t="shared" si="131"/>
        <v>#REF!</v>
      </c>
      <c r="DV78" s="134" t="str">
        <f t="shared" si="62"/>
        <v>#REF!</v>
      </c>
      <c r="DW78" s="134" t="str">
        <f t="shared" si="63"/>
        <v>#REF!</v>
      </c>
      <c r="DX78" s="135" t="str">
        <f>IF(ISNA(VLOOKUP(A78,'Données projet (1)'!$A$165:$I$185,5,0)),0%,VLOOKUP(A78,'Données projet (1)'!$A$165:$I$185,5,0)*VLOOKUP('Données projet (1)'!$B$14,'Paramètres (1)'!$A$1:$I$88,7,0))</f>
        <v>#REF!</v>
      </c>
      <c r="DY78" s="135" t="str">
        <f>IF(ISNA(VLOOKUP(A78,'Données projet (1)'!$A$165:$I$185,6,0)),0%,VLOOKUP(A78,'Données projet (1)'!$A$165:$I$185,6,0)*VLOOKUP('Données projet (1)'!$B$14,'Paramètres (1)'!$A$1:$I$88,7,0))</f>
        <v>#REF!</v>
      </c>
      <c r="DZ78" s="135" t="str">
        <f t="shared" si="64"/>
        <v>#REF!</v>
      </c>
      <c r="EA78" s="142" t="str">
        <f>EXP(-LN(2)/35)*EA77+(1-EXP(-LN(2)/35))/(LN(2)/35)*DW78*DX78*VLOOKUP('Données projet (1)'!$B$14,'Paramètres (1)'!$A$1:$I$88,3,0)*0.475*44/12</f>
        <v>#REF!</v>
      </c>
      <c r="EB78" s="142" t="str">
        <f>EXP(-LN(2)/25)*EB77+(1-EXP(-LN(2)/25))/(LN(2)/25)*'Calculateur (1)'!DW78*'Calculateur (1)'!DY78*VLOOKUP('Données projet (1)'!$B$14,'Paramètres (1)'!$A$1:$I$88,3,0)*0.475*44/12</f>
        <v>#REF!</v>
      </c>
      <c r="EC78" s="142" t="str">
        <f>EXP(-LN(2)/2)*EC77+(1-EXP(-LN(2)/2))/(LN(2)/2)*DW78*DZ78*VLOOKUP('Données projet (1)'!$B$14,'Paramètres (1)'!$A$1:$I$88,3,0)*0.475*44/12</f>
        <v>#REF!</v>
      </c>
      <c r="ED78" s="143" t="str">
        <f t="shared" si="65"/>
        <v>#REF!</v>
      </c>
      <c r="EE78" s="139" t="str">
        <f t="shared" si="66"/>
        <v>#REF!</v>
      </c>
      <c r="EF78" s="131">
        <f t="shared" si="67"/>
        <v>10</v>
      </c>
      <c r="EG78" s="131" t="str">
        <f t="shared" si="132"/>
        <v>#REF!</v>
      </c>
      <c r="EH78" s="131" t="str">
        <f t="shared" si="68"/>
        <v>#REF!</v>
      </c>
      <c r="EI78" s="131" t="str">
        <f t="array" ref="EI78">INDEX(EH:EH,MIN(IF(ISNUMBER(EH78:EH274),ROW(EH78:EH274),"")))</f>
        <v/>
      </c>
      <c r="EJ78" s="131" t="str">
        <f t="shared" si="133"/>
        <v>#REF!</v>
      </c>
      <c r="EK78" s="138" t="str">
        <f>EJ78*VLOOKUP('Données projet (1)'!$B$15,'Paramètres (1)'!$A$1:$I$88,3,0)*VLOOKUP('Données projet (1)'!$B$15,'Paramètres (1)'!$A$1:$I$88,5,0)</f>
        <v>#REF!</v>
      </c>
      <c r="EL78" s="130" t="str">
        <f t="shared" si="134"/>
        <v>#REF!</v>
      </c>
      <c r="EM78" s="141" t="str">
        <f t="shared" si="69"/>
        <v>#REF!</v>
      </c>
      <c r="EN78" s="133" t="str">
        <f t="shared" si="70"/>
        <v>#REF!</v>
      </c>
      <c r="EO78" s="133" t="str">
        <f t="shared" si="71"/>
        <v>#REF!</v>
      </c>
      <c r="EP78" s="133" t="str">
        <f t="shared" si="135"/>
        <v>#REF!</v>
      </c>
      <c r="EQ78" s="134" t="str">
        <f t="shared" si="72"/>
        <v>#REF!</v>
      </c>
      <c r="ER78" s="134" t="str">
        <f t="shared" si="73"/>
        <v>#REF!</v>
      </c>
      <c r="ES78" s="135" t="str">
        <f>IF(ISNA(VLOOKUP(A78,'Données projet (1)'!$A$191:$I$211,5,0)),0%,VLOOKUP(A78,'Données projet (1)'!$A$191:$I$211,5,0)*VLOOKUP('Données projet (1)'!$B$15,'Paramètres (1)'!$A$1:$I$88,7,0))</f>
        <v>#REF!</v>
      </c>
      <c r="ET78" s="135" t="str">
        <f>IF(ISNA(VLOOKUP(A78,'Données projet (1)'!$A$191:$I$211,6,0)),0%,VLOOKUP(A78,'Données projet (1)'!$A$191:$I$211,6,0)*VLOOKUP('Données projet (1)'!$B$15,'Paramètres (1)'!$A$1:$I$88,7,0))</f>
        <v>#REF!</v>
      </c>
      <c r="EU78" s="135" t="str">
        <f t="shared" si="74"/>
        <v>#REF!</v>
      </c>
      <c r="EV78" s="142" t="str">
        <f>EXP(-LN(2)/35)*EV77+(1-EXP(-LN(2)/35))/(LN(2)/35)*ER78*ES78*VLOOKUP('Données projet (1)'!$B$15,'Paramètres (1)'!$A$1:$I$88,3,0)*0.475*44/12</f>
        <v>#REF!</v>
      </c>
      <c r="EW78" s="142" t="str">
        <f>EXP(-LN(2)/25)*EW77+(1-EXP(-LN(2)/25))/(LN(2)/25)*'Calculateur (1)'!ER78*'Calculateur (1)'!ET78*VLOOKUP('Données projet (1)'!$B$15,'Paramètres (1)'!$A$1:$I$88,3,0)*0.475*44/12</f>
        <v>#REF!</v>
      </c>
      <c r="EX78" s="142" t="str">
        <f>EXP(-LN(2)/2)*EX77+(1-EXP(-LN(2)/2))/(LN(2)/2)*ER78*EU78*VLOOKUP('Données projet (1)'!$B$15,'Paramètres (1)'!$A$1:$I$88,3,0)*0.475*44/12</f>
        <v>#REF!</v>
      </c>
      <c r="EY78" s="143" t="str">
        <f t="shared" si="75"/>
        <v>#REF!</v>
      </c>
      <c r="EZ78" s="139" t="str">
        <f t="shared" si="76"/>
        <v>#REF!</v>
      </c>
      <c r="FA78" s="131">
        <f t="shared" si="77"/>
        <v>10</v>
      </c>
      <c r="FB78" s="131" t="str">
        <f t="shared" si="136"/>
        <v>#REF!</v>
      </c>
      <c r="FC78" s="131" t="str">
        <f t="shared" si="78"/>
        <v>#REF!</v>
      </c>
      <c r="FD78" s="131" t="str">
        <f t="array" ref="FD78">INDEX(FC:FC,MIN(IF(ISNUMBER(FC78:FC274),ROW(FC78:FC274),"")))</f>
        <v/>
      </c>
      <c r="FE78" s="131" t="str">
        <f t="shared" si="137"/>
        <v>#REF!</v>
      </c>
      <c r="FF78" s="138" t="str">
        <f>FE78*VLOOKUP('Données projet (1)'!$B$16,'Paramètres (1)'!$A$1:$I$88,3,0)*VLOOKUP('Données projet (1)'!$B$16,'Paramètres (1)'!$A$1:$I$88,5,0)</f>
        <v>#REF!</v>
      </c>
      <c r="FG78" s="130" t="str">
        <f t="shared" si="138"/>
        <v>#REF!</v>
      </c>
      <c r="FH78" s="141" t="str">
        <f t="shared" si="79"/>
        <v>#REF!</v>
      </c>
      <c r="FI78" s="133" t="str">
        <f t="shared" si="80"/>
        <v>#REF!</v>
      </c>
      <c r="FJ78" s="133" t="str">
        <f t="shared" si="81"/>
        <v>#REF!</v>
      </c>
      <c r="FK78" s="133" t="str">
        <f t="shared" si="139"/>
        <v>#REF!</v>
      </c>
      <c r="FL78" s="134" t="str">
        <f t="shared" si="82"/>
        <v>#REF!</v>
      </c>
      <c r="FM78" s="134" t="str">
        <f t="shared" si="83"/>
        <v>#REF!</v>
      </c>
      <c r="FN78" s="135" t="str">
        <f>IF(ISNA(VLOOKUP(A78,'Données projet (1)'!$A$217:$I$237,5,0)),0%,VLOOKUP(A78,'Données projet (1)'!$A$217:$I$237,5,0)*VLOOKUP('Données projet (1)'!$B$16,'Paramètres (1)'!$A$1:$I$88,7,0))</f>
        <v>#REF!</v>
      </c>
      <c r="FO78" s="135" t="str">
        <f>IF(ISNA(VLOOKUP(A78,'Données projet (1)'!$A$217:$I$237,6,0)),0%,VLOOKUP(A78,'Données projet (1)'!$A$217:$I$237,6,0)*VLOOKUP('Données projet (1)'!$B$16,'Paramètres (1)'!$A$1:$I$88,7,0))</f>
        <v>#REF!</v>
      </c>
      <c r="FP78" s="135" t="str">
        <f t="shared" si="84"/>
        <v>#REF!</v>
      </c>
      <c r="FQ78" s="142" t="str">
        <f>EXP(-LN(2)/35)*FQ77+(1-EXP(-LN(2)/35))/(LN(2)/35)*FM78*FN78*VLOOKUP('Données projet (1)'!$B$16,'Paramètres (1)'!$A$1:$I$88,3,0)*0.475*44/12</f>
        <v>#REF!</v>
      </c>
      <c r="FR78" s="142" t="str">
        <f>EXP(-LN(2)/25)*FR77+(1-EXP(-LN(2)/25))/(LN(2)/25)*'Calculateur (1)'!FM78*'Calculateur (1)'!FO78*VLOOKUP('Données projet (1)'!$B$16,'Paramètres (1)'!$A$1:$I$88,3,0)*0.475*44/12</f>
        <v>#REF!</v>
      </c>
      <c r="FS78" s="142" t="str">
        <f>EXP(-LN(2)/2)*FS77+(1-EXP(-LN(2)/2))/(LN(2)/2)*FM78*FP78*VLOOKUP('Données projet (1)'!$B$16,'Paramètres (1)'!$A$1:$I$88,3,0)*0.475*44/12</f>
        <v>#REF!</v>
      </c>
      <c r="FT78" s="143" t="str">
        <f t="shared" si="85"/>
        <v>#REF!</v>
      </c>
      <c r="FU78" s="139" t="str">
        <f t="shared" si="86"/>
        <v>#REF!</v>
      </c>
      <c r="FV78" s="131">
        <f t="shared" si="87"/>
        <v>10</v>
      </c>
      <c r="FW78" s="131" t="str">
        <f t="shared" si="140"/>
        <v>#REF!</v>
      </c>
      <c r="FX78" s="131" t="str">
        <f t="shared" si="88"/>
        <v>#REF!</v>
      </c>
      <c r="FY78" s="131" t="str">
        <f t="array" ref="FY78">INDEX(FX:FX,MIN(IF(ISNUMBER(FX78:FX274),ROW(FX78:FX274),"")))</f>
        <v/>
      </c>
      <c r="FZ78" s="131" t="str">
        <f t="shared" si="141"/>
        <v>#REF!</v>
      </c>
      <c r="GA78" s="138" t="str">
        <f>FZ78*VLOOKUP('Données projet (1)'!$B$17,'Paramètres (1)'!$A$1:$I$88,3,0)*VLOOKUP('Données projet (1)'!$B$17,'Paramètres (1)'!$A$1:$I$88,5,0)</f>
        <v>#REF!</v>
      </c>
      <c r="GB78" s="130" t="str">
        <f t="shared" si="142"/>
        <v>#REF!</v>
      </c>
      <c r="GC78" s="141" t="str">
        <f t="shared" si="89"/>
        <v>#REF!</v>
      </c>
      <c r="GD78" s="133" t="str">
        <f t="shared" si="90"/>
        <v>#REF!</v>
      </c>
      <c r="GE78" s="133" t="str">
        <f t="shared" si="91"/>
        <v>#REF!</v>
      </c>
      <c r="GF78" s="133" t="str">
        <f t="shared" si="143"/>
        <v>#REF!</v>
      </c>
      <c r="GG78" s="134" t="str">
        <f t="shared" si="92"/>
        <v>#REF!</v>
      </c>
      <c r="GH78" s="134" t="str">
        <f t="shared" si="93"/>
        <v>#REF!</v>
      </c>
      <c r="GI78" s="135" t="str">
        <f>IF(ISNA(VLOOKUP(A78,'Données projet (1)'!$A$243:$I$263,5,0)),0%,VLOOKUP(A78,'Données projet (1)'!$A$243:$I$263,5,0)*VLOOKUP('Données projet (1)'!$B$17,'Paramètres (1)'!$A$1:$I$88,7,0))</f>
        <v>#REF!</v>
      </c>
      <c r="GJ78" s="135" t="str">
        <f>IF(ISNA(VLOOKUP(A78,'Données projet (1)'!$A$243:$I$263,6,0)),0%,VLOOKUP(A78,'Données projet (1)'!$A$243:$I$263,6,0)*VLOOKUP('Données projet (1)'!$B$17,'Paramètres (1)'!$A$1:$I$88,7,0))</f>
        <v>#REF!</v>
      </c>
      <c r="GK78" s="135" t="str">
        <f t="shared" si="94"/>
        <v>#REF!</v>
      </c>
      <c r="GL78" s="142" t="str">
        <f>EXP(-LN(2)/35)*GL77+(1-EXP(-LN(2)/35))/(LN(2)/35)*GH78*GI78*VLOOKUP('Données projet (1)'!$B$17,'Paramètres (1)'!$A$1:$I$88,3,0)*0.475*44/12</f>
        <v>#REF!</v>
      </c>
      <c r="GM78" s="142" t="str">
        <f>EXP(-LN(2)/25)*GM77+(1-EXP(-LN(2)/25))/(LN(2)/25)*'Calculateur (1)'!GH78*'Calculateur (1)'!GJ78*VLOOKUP('Données projet (1)'!$B$17,'Paramètres (1)'!$A$1:$I$88,3,0)*0.475*44/12</f>
        <v>#REF!</v>
      </c>
      <c r="GN78" s="142" t="str">
        <f>EXP(-LN(2)/2)*GN77+(1-EXP(-LN(2)/2))/(LN(2)/2)*GH78*GK78*VLOOKUP('Données projet (1)'!$B$17,'Paramètres (1)'!$A$1:$I$88,3,0)*0.475*44/12</f>
        <v>#REF!</v>
      </c>
      <c r="GO78" s="142" t="str">
        <f t="shared" si="95"/>
        <v>#REF!</v>
      </c>
      <c r="GP78" s="139" t="str">
        <f t="shared" si="96"/>
        <v>#REF!</v>
      </c>
      <c r="GQ78" s="131">
        <f t="shared" si="97"/>
        <v>10</v>
      </c>
      <c r="GR78" s="131" t="str">
        <f t="shared" si="144"/>
        <v>#REF!</v>
      </c>
      <c r="GS78" s="131" t="str">
        <f t="shared" si="98"/>
        <v>#REF!</v>
      </c>
      <c r="GT78" s="131" t="str">
        <f t="array" ref="GT78">INDEX(GS:GS,MIN(IF(ISNUMBER(GS78:GS274),ROW(GS78:GS274),"")))</f>
        <v/>
      </c>
      <c r="GU78" s="131" t="str">
        <f t="shared" si="145"/>
        <v>#REF!</v>
      </c>
      <c r="GV78" s="138" t="str">
        <f>GU78*VLOOKUP('Données projet (1)'!$B$18,'Paramètres (1)'!$A$1:$I$88,3,0)*VLOOKUP('Données projet (1)'!$B$18,'Paramètres (1)'!$A$1:$I$88,5,0)</f>
        <v>#REF!</v>
      </c>
      <c r="GW78" s="130" t="str">
        <f t="shared" si="146"/>
        <v>#REF!</v>
      </c>
      <c r="GX78" s="141" t="str">
        <f t="shared" si="99"/>
        <v>#REF!</v>
      </c>
      <c r="GY78" s="133" t="str">
        <f t="shared" si="100"/>
        <v>#REF!</v>
      </c>
      <c r="GZ78" s="133" t="str">
        <f t="shared" si="101"/>
        <v>#REF!</v>
      </c>
      <c r="HA78" s="133" t="str">
        <f t="shared" si="147"/>
        <v>#REF!</v>
      </c>
      <c r="HB78" s="134" t="str">
        <f t="shared" si="102"/>
        <v>#REF!</v>
      </c>
      <c r="HC78" s="134" t="str">
        <f t="shared" si="103"/>
        <v>#REF!</v>
      </c>
      <c r="HD78" s="135" t="str">
        <f>IF(ISNA(VLOOKUP(A78,'Données projet (1)'!$A$269:$I$289,5,0)),0%,VLOOKUP(A78,'Données projet (1)'!$A$269:$I$289,5,0)*VLOOKUP('Données projet (1)'!$B$18,'Paramètres (1)'!$A$1:$I$88,7,0))</f>
        <v>#REF!</v>
      </c>
      <c r="HE78" s="135" t="str">
        <f>IF(ISNA(VLOOKUP(A78,'Données projet (1)'!$A$269:$I$289,6,0)),0%,VLOOKUP(A78,'Données projet (1)'!$A$269:$I$289,6,0)*VLOOKUP('Données projet (1)'!$B$18,'Paramètres (1)'!$A$1:$I$88,7,0))</f>
        <v>#REF!</v>
      </c>
      <c r="HF78" s="135" t="str">
        <f t="shared" si="104"/>
        <v>#REF!</v>
      </c>
      <c r="HG78" s="142" t="str">
        <f>EXP(-LN(2)/35)*HG77+(1-EXP(-LN(2)/35))/(LN(2)/35)*HC78*HD78*VLOOKUP('Données projet (1)'!$B$18,'Paramètres (1)'!$A$1:$I$88,3,0)*0.475*44/12</f>
        <v>#REF!</v>
      </c>
      <c r="HH78" s="142" t="str">
        <f>EXP(-LN(2)/25)*HH77+(1-EXP(-LN(2)/25))/(LN(2)/25)*'Calculateur (1)'!HC78*'Calculateur (1)'!HE78*VLOOKUP('Données projet (1)'!$B$18,'Paramètres (1)'!$A$1:$I$88,3,0)*0.475*44/12</f>
        <v>#REF!</v>
      </c>
      <c r="HI78" s="142" t="str">
        <f>EXP(-LN(2)/2)*HI77+(1-EXP(-LN(2)/2))/(LN(2)/2)*HC78*HF78*VLOOKUP('Données projet (1)'!$B$18,'Paramètres (1)'!$A$1:$I$88,3,0)*0.475*44/12</f>
        <v>#REF!</v>
      </c>
      <c r="HJ78" s="143" t="str">
        <f t="shared" si="105"/>
        <v>#REF!</v>
      </c>
    </row>
    <row r="79" ht="14.25" customHeight="1">
      <c r="A79" s="125">
        <f t="shared" si="106"/>
        <v>76</v>
      </c>
      <c r="B79" s="126" t="str">
        <f t="shared" si="1"/>
        <v>#REF!</v>
      </c>
      <c r="C79" s="140" t="str">
        <f>'Calculateur (1)'!C78+'Scénario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9" s="127">
        <f t="shared" si="107"/>
        <v>0</v>
      </c>
      <c r="E79" s="127" t="str">
        <f t="shared" si="2"/>
        <v>#REF!</v>
      </c>
      <c r="F79" s="127" t="str">
        <f t="shared" si="3"/>
        <v>#REF!</v>
      </c>
      <c r="G79" s="127" t="str">
        <f t="shared" si="4"/>
        <v>#REF!</v>
      </c>
      <c r="H79" s="128" t="str">
        <f t="shared" si="5"/>
        <v>#REF!</v>
      </c>
      <c r="I79" s="129" t="str">
        <f t="shared" si="6"/>
        <v>#REF!</v>
      </c>
      <c r="J79" s="130">
        <f t="shared" si="7"/>
        <v>10</v>
      </c>
      <c r="K79" s="131" t="str">
        <f t="shared" si="108"/>
        <v>#REF!</v>
      </c>
      <c r="L79" s="131" t="str">
        <f t="shared" si="8"/>
        <v>#REF!</v>
      </c>
      <c r="M79" s="131" t="str">
        <f t="array" ref="M79">INDEX(L:L,MIN(IF(ISNUMBER(L79:L275),ROW(L79:L275),"")))</f>
        <v/>
      </c>
      <c r="N79" s="130" t="str">
        <f t="shared" si="109"/>
        <v>#REF!</v>
      </c>
      <c r="O79" s="130" t="str">
        <f>N79*VLOOKUP('Données projet (1)'!$B$9,'Paramètres (1)'!$A$1:$I$88,3,0)*VLOOKUP('Données projet (1)'!$B$9,'Paramètres (1)'!$A$1:$I$88,5,0)</f>
        <v>#REF!</v>
      </c>
      <c r="P79" s="130" t="str">
        <f t="shared" si="110"/>
        <v>#REF!</v>
      </c>
      <c r="Q79" s="141" t="str">
        <f t="shared" si="9"/>
        <v>#REF!</v>
      </c>
      <c r="R79" s="133" t="str">
        <f t="shared" si="10"/>
        <v>#REF!</v>
      </c>
      <c r="S79" s="133" t="str">
        <f t="shared" si="11"/>
        <v>#REF!</v>
      </c>
      <c r="T79" s="133" t="str">
        <f t="shared" si="111"/>
        <v>#REF!</v>
      </c>
      <c r="U79" s="134" t="str">
        <f t="shared" si="12"/>
        <v>#REF!</v>
      </c>
      <c r="V79" s="134" t="str">
        <f t="shared" si="13"/>
        <v>#REF!</v>
      </c>
      <c r="W79" s="135" t="str">
        <f>IF(ISNA(VLOOKUP(A79,'Données projet (1)'!$A$35:$I$55,5,0)),0%,VLOOKUP(A79,'Données projet (1)'!$A$35:$I$55,5,0)*VLOOKUP('Données projet (1)'!$B$9,'Paramètres (1)'!$A$1:$I$88,7,0))</f>
        <v>#REF!</v>
      </c>
      <c r="X79" s="135" t="str">
        <f>IF(ISNA(VLOOKUP(A79,'Données projet (1)'!$A$35:$I$55,6,0)),0%,VLOOKUP(A79,'Données projet (1)'!$A$35:$I$55,6,0)*VLOOKUP('Données projet (1)'!$B$9,'Paramètres (1)'!$A$1:$I$88,7,0))</f>
        <v>#REF!</v>
      </c>
      <c r="Y79" s="135" t="str">
        <f t="shared" si="14"/>
        <v>#REF!</v>
      </c>
      <c r="Z79" s="142" t="str">
        <f>EXP(-LN(2)/35)*Z78+(1-EXP(-LN(2)/35))/(LN(2)/35)*V79*W79*VLOOKUP('Données projet (1)'!$B$9,'Paramètres (1)'!$A$1:$I$88,3,0)*0.475*44/12</f>
        <v>#REF!</v>
      </c>
      <c r="AA79" s="142" t="str">
        <f>EXP(-LN(2)/25)*AA78+(1-EXP(-LN(2)/25))/(LN(2)/25)*'Calculateur (1)'!V79*'Calculateur (1)'!X79*VLOOKUP('Données projet (1)'!$B$9,'Paramètres (1)'!$A$1:$I$88,3,0)*0.475*44/12</f>
        <v>#REF!</v>
      </c>
      <c r="AB79" s="142" t="str">
        <f>EXP(-LN(2)/2)*AB78+(1-EXP(-LN(2)/2))/(LN(2)/2)*V79*Y79*VLOOKUP('Données projet (1)'!$B$9,'Paramètres (1)'!$A$1:$I$88,3,0)*0.475*44/12</f>
        <v>#REF!</v>
      </c>
      <c r="AC79" s="143" t="str">
        <f t="shared" si="15"/>
        <v>#REF!</v>
      </c>
      <c r="AD79" s="130" t="str">
        <f t="shared" si="16"/>
        <v>#REF!</v>
      </c>
      <c r="AE79" s="130">
        <f t="shared" si="17"/>
        <v>10</v>
      </c>
      <c r="AF79" s="131" t="str">
        <f t="shared" si="112"/>
        <v>#REF!</v>
      </c>
      <c r="AG79" s="131" t="str">
        <f t="shared" si="18"/>
        <v>#REF!</v>
      </c>
      <c r="AH79" s="131" t="str">
        <f t="array" ref="AH79">INDEX(AG:AG,MIN(IF(ISNUMBER(AG79:AG275),ROW(AG79:AG275),"")))</f>
        <v/>
      </c>
      <c r="AI79" s="130" t="str">
        <f t="shared" si="113"/>
        <v>#REF!</v>
      </c>
      <c r="AJ79" s="130" t="str">
        <f>AI79*VLOOKUP('Données projet (1)'!$B$10,'Paramètres (1)'!$A$1:$I$88,3,0)*VLOOKUP('Données projet (1)'!$B$10,'Paramètres (1)'!$A$1:$I$88,5,0)</f>
        <v>#REF!</v>
      </c>
      <c r="AK79" s="130" t="str">
        <f t="shared" si="114"/>
        <v>#REF!</v>
      </c>
      <c r="AL79" s="141" t="str">
        <f t="shared" si="19"/>
        <v>#REF!</v>
      </c>
      <c r="AM79" s="133" t="str">
        <f t="shared" si="20"/>
        <v>#REF!</v>
      </c>
      <c r="AN79" s="133" t="str">
        <f t="shared" si="21"/>
        <v>#REF!</v>
      </c>
      <c r="AO79" s="133" t="str">
        <f t="shared" si="115"/>
        <v>#REF!</v>
      </c>
      <c r="AP79" s="134" t="str">
        <f t="shared" si="22"/>
        <v>#REF!</v>
      </c>
      <c r="AQ79" s="134" t="str">
        <f t="shared" si="23"/>
        <v>#REF!</v>
      </c>
      <c r="AR79" s="135" t="str">
        <f>IF(ISNA(VLOOKUP(A79,'Données projet (1)'!$A$61:$I$81,5,0)),0%,VLOOKUP(A79,'Données projet (1)'!$A$61:$I$81,5,0)*VLOOKUP('Données projet (1)'!$B$10,'Paramètres (1)'!$A$1:$I$88,7,0))</f>
        <v>#REF!</v>
      </c>
      <c r="AS79" s="135" t="str">
        <f>IF(ISNA(VLOOKUP(A79,'Données projet (1)'!$A$61:$I$81,6,0)),0%,VLOOKUP(A79,'Données projet (1)'!$A$61:$I$81,6,0)*VLOOKUP('Données projet (1)'!$B$10,'Paramètres (1)'!$A$1:$I$88,7,0))</f>
        <v>#REF!</v>
      </c>
      <c r="AT79" s="135" t="str">
        <f t="shared" si="24"/>
        <v>#REF!</v>
      </c>
      <c r="AU79" s="142" t="str">
        <f>EXP(-LN(2)/35)*AU78+(1-EXP(-LN(2)/35))/(LN(2)/35)*AQ79*AR79*VLOOKUP('Données projet (1)'!$B$10,'Paramètres (1)'!$A$1:$I$88,3,0)*0.475*44/12</f>
        <v>#REF!</v>
      </c>
      <c r="AV79" s="142" t="str">
        <f>EXP(-LN(2)/25)*AV78+(1-EXP(-LN(2)/25))/(LN(2)/25)*'Calculateur (1)'!AQ79*'Calculateur (1)'!AS79*VLOOKUP('Données projet (1)'!$B$10,'Paramètres (1)'!$A$1:$I$88,3,0)*0.475*44/12</f>
        <v>#REF!</v>
      </c>
      <c r="AW79" s="142" t="str">
        <f>EXP(-LN(2)/2)*AW78+(1-EXP(-LN(2)/2))/(LN(2)/2)*AQ79*AT79*VLOOKUP('Données projet (1)'!$B$10,'Paramètres (1)'!$A$1:$I$88,3,0)*0.475*44/12</f>
        <v>#REF!</v>
      </c>
      <c r="AX79" s="142" t="str">
        <f t="shared" si="25"/>
        <v>#REF!</v>
      </c>
      <c r="AY79" s="137" t="str">
        <f t="shared" si="26"/>
        <v>#REF!</v>
      </c>
      <c r="AZ79" s="131">
        <f t="shared" si="27"/>
        <v>10</v>
      </c>
      <c r="BA79" s="131" t="str">
        <f t="shared" si="116"/>
        <v>#REF!</v>
      </c>
      <c r="BB79" s="131" t="str">
        <f t="shared" si="28"/>
        <v>#REF!</v>
      </c>
      <c r="BC79" s="131" t="str">
        <f t="array" ref="BC79">INDEX(BB:BB,MIN(IF(ISNUMBER(BB79:BB275),ROW(BB79:BB275),"")))</f>
        <v/>
      </c>
      <c r="BD79" s="131" t="str">
        <f t="shared" si="117"/>
        <v>#REF!</v>
      </c>
      <c r="BE79" s="130" t="str">
        <f>BD79*VLOOKUP('Données projet (1)'!$B$11,'Paramètres (1)'!$A$1:$I$88,3,0)*VLOOKUP('Données projet (1)'!$B$11,'Paramètres (1)'!$A$1:$I$88,5,0)</f>
        <v>#REF!</v>
      </c>
      <c r="BF79" s="130" t="str">
        <f t="shared" si="118"/>
        <v>#REF!</v>
      </c>
      <c r="BG79" s="141" t="str">
        <f t="shared" si="29"/>
        <v>#REF!</v>
      </c>
      <c r="BH79" s="133" t="str">
        <f t="shared" si="30"/>
        <v>#REF!</v>
      </c>
      <c r="BI79" s="133" t="str">
        <f t="shared" si="31"/>
        <v>#REF!</v>
      </c>
      <c r="BJ79" s="133" t="str">
        <f t="shared" si="119"/>
        <v>#REF!</v>
      </c>
      <c r="BK79" s="134" t="str">
        <f t="shared" si="32"/>
        <v>#REF!</v>
      </c>
      <c r="BL79" s="134" t="str">
        <f t="shared" si="33"/>
        <v>#REF!</v>
      </c>
      <c r="BM79" s="135" t="str">
        <f>IF(ISNA(VLOOKUP(A79,'Données projet (1)'!$A$87:$I$107,5,0)),0%,VLOOKUP(A79,'Données projet (1)'!$A$87:$I$107,5,0)*VLOOKUP('Données projet (1)'!$B$11,'Paramètres (1)'!$A$1:$I$88,7,0))</f>
        <v>#REF!</v>
      </c>
      <c r="BN79" s="135" t="str">
        <f>IF(ISNA(VLOOKUP(A79,'Données projet (1)'!$A$87:$I$107,6,0)),0%,VLOOKUP(A79,'Données projet (1)'!$A$87:$I$107,6,0)*VLOOKUP('Données projet (1)'!$B$11,'Paramètres (1)'!$A$1:$I$88,7,0))</f>
        <v>#REF!</v>
      </c>
      <c r="BO79" s="135" t="str">
        <f t="shared" si="34"/>
        <v>#REF!</v>
      </c>
      <c r="BP79" s="142" t="str">
        <f>EXP(-LN(2)/35)*BP78+(1-EXP(-LN(2)/35))/(LN(2)/35)*BL79*BM79*VLOOKUP('Données projet (1)'!$B$11,'Paramètres (1)'!$A$1:$I$88,3,0)*0.475*44/12</f>
        <v>#REF!</v>
      </c>
      <c r="BQ79" s="142" t="str">
        <f>EXP(-LN(2)/25)*BQ78+(1-EXP(-LN(2)/25))/(LN(2)/25)*'Calculateur (1)'!BL79*'Calculateur (1)'!BN79*VLOOKUP('Données projet (1)'!$B$11,'Paramètres (1)'!$A$1:$I$88,3,0)*0.475*44/12</f>
        <v>#REF!</v>
      </c>
      <c r="BR79" s="142" t="str">
        <f>EXP(-LN(2)/2)*BR78+(1-EXP(-LN(2)/2))/(LN(2)/2)*BL79*BO79*VLOOKUP('Données projet (1)'!$B$11,'Paramètres (1)'!$A$1:$I$88,3,0)*0.475*44/12</f>
        <v>#REF!</v>
      </c>
      <c r="BS79" s="143" t="str">
        <f t="shared" si="35"/>
        <v>#REF!</v>
      </c>
      <c r="BT79" s="139" t="str">
        <f t="shared" si="36"/>
        <v>#REF!</v>
      </c>
      <c r="BU79" s="131">
        <f t="shared" si="37"/>
        <v>10</v>
      </c>
      <c r="BV79" s="131" t="str">
        <f t="shared" si="120"/>
        <v>#REF!</v>
      </c>
      <c r="BW79" s="131" t="str">
        <f t="shared" si="38"/>
        <v>#REF!</v>
      </c>
      <c r="BX79" s="131" t="str">
        <f t="array" ref="BX79">INDEX(BW:BW,MIN(IF(ISNUMBER(BW79:BW275),ROW(BW79:BW275),"")))</f>
        <v/>
      </c>
      <c r="BY79" s="131" t="str">
        <f t="shared" si="121"/>
        <v>#REF!</v>
      </c>
      <c r="BZ79" s="130" t="str">
        <f>BY79*VLOOKUP('Données projet (1)'!$B$12,'Paramètres (1)'!$A$1:$I$88,3,0)*VLOOKUP('Données projet (1)'!$B$12,'Paramètres (1)'!$A$1:$I$88,5,0)</f>
        <v>#REF!</v>
      </c>
      <c r="CA79" s="130" t="str">
        <f t="shared" si="122"/>
        <v>#REF!</v>
      </c>
      <c r="CB79" s="141" t="str">
        <f t="shared" si="39"/>
        <v>#REF!</v>
      </c>
      <c r="CC79" s="133" t="str">
        <f t="shared" si="40"/>
        <v>#REF!</v>
      </c>
      <c r="CD79" s="133" t="str">
        <f t="shared" si="41"/>
        <v>#REF!</v>
      </c>
      <c r="CE79" s="133" t="str">
        <f t="shared" si="123"/>
        <v>#REF!</v>
      </c>
      <c r="CF79" s="134" t="str">
        <f t="shared" si="42"/>
        <v>#REF!</v>
      </c>
      <c r="CG79" s="134" t="str">
        <f t="shared" si="43"/>
        <v>#REF!</v>
      </c>
      <c r="CH79" s="135" t="str">
        <f>IF(ISNA(VLOOKUP(A79,'Données projet (1)'!$A$113:$I$133,5,0)),0%,VLOOKUP(A79,'Données projet (1)'!$A$113:$I$133,5,0)*VLOOKUP('Données projet (1)'!$B$12,'Paramètres (1)'!$A$1:$I$88,7,0))</f>
        <v>#REF!</v>
      </c>
      <c r="CI79" s="135" t="str">
        <f>IF(ISNA(VLOOKUP(A79,'Données projet (1)'!$A$113:$I$133,6,0)),0%,VLOOKUP(A79,'Données projet (1)'!$A$113:$I$133,6,0)*VLOOKUP('Données projet (1)'!$B$12,'Paramètres (1)'!$A$1:$I$88,7,0))</f>
        <v>#REF!</v>
      </c>
      <c r="CJ79" s="135" t="str">
        <f t="shared" si="44"/>
        <v>#REF!</v>
      </c>
      <c r="CK79" s="142" t="str">
        <f>EXP(-LN(2)/35)*CK78+(1-EXP(-LN(2)/35))/(LN(2)/35)*CG79*CH79*VLOOKUP('Données projet (1)'!$B$12,'Paramètres (1)'!$A$1:$I$88,3,0)*0.475*44/12</f>
        <v>#REF!</v>
      </c>
      <c r="CL79" s="142" t="str">
        <f>EXP(-LN(2)/25)*CL78+(1-EXP(-LN(2)/25))/(LN(2)/25)*'Calculateur (1)'!CG79*'Calculateur (1)'!CI79*VLOOKUP('Données projet (1)'!$B$12,'Paramètres (1)'!$A$1:$I$88,3,0)*0.475*44/12</f>
        <v>#REF!</v>
      </c>
      <c r="CM79" s="142" t="str">
        <f>EXP(-LN(2)/2)*CM78+(1-EXP(-LN(2)/2))/(LN(2)/2)*CG79*CJ79*VLOOKUP('Données projet (1)'!$B$12,'Paramètres (1)'!$A$1:$I$88,3,0)*0.475*44/12</f>
        <v>#REF!</v>
      </c>
      <c r="CN79" s="143" t="str">
        <f t="shared" si="45"/>
        <v>#REF!</v>
      </c>
      <c r="CO79" s="139" t="str">
        <f t="shared" si="46"/>
        <v>#REF!</v>
      </c>
      <c r="CP79" s="131">
        <f t="shared" si="47"/>
        <v>10</v>
      </c>
      <c r="CQ79" s="131" t="str">
        <f t="shared" si="124"/>
        <v>#REF!</v>
      </c>
      <c r="CR79" s="131" t="str">
        <f t="shared" si="48"/>
        <v>#REF!</v>
      </c>
      <c r="CS79" s="131" t="str">
        <f t="array" ref="CS79">INDEX(CR:CR,MIN(IF(ISNUMBER(CR79:CR275),ROW(CR79:CR275),"")))</f>
        <v/>
      </c>
      <c r="CT79" s="131" t="str">
        <f t="shared" si="125"/>
        <v>#REF!</v>
      </c>
      <c r="CU79" s="138" t="str">
        <f>CT79*VLOOKUP('Données projet (1)'!$B$13,'Paramètres (1)'!$A$1:$I$88,3,0)*VLOOKUP('Données projet (1)'!$B$13,'Paramètres (1)'!$A$1:$I$88,5,0)</f>
        <v>#REF!</v>
      </c>
      <c r="CV79" s="130" t="str">
        <f t="shared" si="126"/>
        <v>#REF!</v>
      </c>
      <c r="CW79" s="141" t="str">
        <f t="shared" si="49"/>
        <v>#REF!</v>
      </c>
      <c r="CX79" s="133" t="str">
        <f t="shared" si="50"/>
        <v>#REF!</v>
      </c>
      <c r="CY79" s="133" t="str">
        <f t="shared" si="51"/>
        <v>#REF!</v>
      </c>
      <c r="CZ79" s="133" t="str">
        <f t="shared" si="127"/>
        <v>#REF!</v>
      </c>
      <c r="DA79" s="134" t="str">
        <f t="shared" si="52"/>
        <v>#REF!</v>
      </c>
      <c r="DB79" s="134" t="str">
        <f t="shared" si="53"/>
        <v>#REF!</v>
      </c>
      <c r="DC79" s="135" t="str">
        <f>IF(ISNA(VLOOKUP(A79,'Données projet (1)'!$A$139:$I$159,5,0)),0%,VLOOKUP(A79,'Données projet (1)'!$A$139:$I$159,5,0)*VLOOKUP('Données projet (1)'!$B$13,'Paramètres (1)'!$A$1:$I$88,7,0))</f>
        <v>#REF!</v>
      </c>
      <c r="DD79" s="135" t="str">
        <f>IF(ISNA(VLOOKUP(A79,'Données projet (1)'!$A$139:$I$159,6,0)),0%,VLOOKUP(A79,'Données projet (1)'!$A$139:$I$159,6,0)*VLOOKUP('Données projet (1)'!$B$13,'Paramètres (1)'!$A$1:$I$88,7,0))</f>
        <v>#REF!</v>
      </c>
      <c r="DE79" s="135" t="str">
        <f t="shared" si="54"/>
        <v>#REF!</v>
      </c>
      <c r="DF79" s="142" t="str">
        <f>EXP(-LN(2)/35)*DF78+(1-EXP(-LN(2)/35))/(LN(2)/35)*DB79*DC79*VLOOKUP('Données projet (1)'!$B$13,'Paramètres (1)'!$A$1:$I$88,3,0)*0.475*44/12</f>
        <v>#REF!</v>
      </c>
      <c r="DG79" s="142" t="str">
        <f>EXP(-LN(2)/25)*DG78+(1-EXP(-LN(2)/25))/(LN(2)/25)*'Calculateur (1)'!DB79*'Calculateur (1)'!DD79*VLOOKUP('Données projet (1)'!$B$13,'Paramètres (1)'!$A$1:$I$88,3,0)*0.475*44/12</f>
        <v>#REF!</v>
      </c>
      <c r="DH79" s="142" t="str">
        <f>EXP(-LN(2)/2)*DH78+(1-EXP(-LN(2)/2))/(LN(2)/2)*DB79*DE79*VLOOKUP('Données projet (1)'!$B$13,'Paramètres (1)'!$A$1:$I$88,3,0)*0.475*44/12</f>
        <v>#REF!</v>
      </c>
      <c r="DI79" s="143" t="str">
        <f t="shared" si="55"/>
        <v>#REF!</v>
      </c>
      <c r="DJ79" s="139" t="str">
        <f t="shared" si="56"/>
        <v>#REF!</v>
      </c>
      <c r="DK79" s="131">
        <f t="shared" si="57"/>
        <v>10</v>
      </c>
      <c r="DL79" s="131" t="str">
        <f t="shared" si="128"/>
        <v>#REF!</v>
      </c>
      <c r="DM79" s="131" t="str">
        <f t="shared" si="58"/>
        <v>#REF!</v>
      </c>
      <c r="DN79" s="131" t="str">
        <f t="array" ref="DN79">INDEX(DM:DM,MIN(IF(ISNUMBER(DM79:DM275),ROW(DM79:DM275),"")))</f>
        <v/>
      </c>
      <c r="DO79" s="131" t="str">
        <f t="shared" si="129"/>
        <v>#REF!</v>
      </c>
      <c r="DP79" s="138" t="str">
        <f>DO79*VLOOKUP('Données projet (1)'!$B$14,'Paramètres (1)'!$A$1:$I$88,3,0)*VLOOKUP('Données projet (1)'!$B$14,'Paramètres (1)'!$A$1:$I$88,5,0)</f>
        <v>#REF!</v>
      </c>
      <c r="DQ79" s="130" t="str">
        <f t="shared" si="130"/>
        <v>#REF!</v>
      </c>
      <c r="DR79" s="141" t="str">
        <f t="shared" si="59"/>
        <v>#REF!</v>
      </c>
      <c r="DS79" s="133" t="str">
        <f t="shared" si="60"/>
        <v>#REF!</v>
      </c>
      <c r="DT79" s="133" t="str">
        <f t="shared" si="61"/>
        <v>#REF!</v>
      </c>
      <c r="DU79" s="133" t="str">
        <f t="shared" si="131"/>
        <v>#REF!</v>
      </c>
      <c r="DV79" s="134" t="str">
        <f t="shared" si="62"/>
        <v>#REF!</v>
      </c>
      <c r="DW79" s="134" t="str">
        <f t="shared" si="63"/>
        <v>#REF!</v>
      </c>
      <c r="DX79" s="135" t="str">
        <f>IF(ISNA(VLOOKUP(A79,'Données projet (1)'!$A$165:$I$185,5,0)),0%,VLOOKUP(A79,'Données projet (1)'!$A$165:$I$185,5,0)*VLOOKUP('Données projet (1)'!$B$14,'Paramètres (1)'!$A$1:$I$88,7,0))</f>
        <v>#REF!</v>
      </c>
      <c r="DY79" s="135" t="str">
        <f>IF(ISNA(VLOOKUP(A79,'Données projet (1)'!$A$165:$I$185,6,0)),0%,VLOOKUP(A79,'Données projet (1)'!$A$165:$I$185,6,0)*VLOOKUP('Données projet (1)'!$B$14,'Paramètres (1)'!$A$1:$I$88,7,0))</f>
        <v>#REF!</v>
      </c>
      <c r="DZ79" s="135" t="str">
        <f t="shared" si="64"/>
        <v>#REF!</v>
      </c>
      <c r="EA79" s="142" t="str">
        <f>EXP(-LN(2)/35)*EA78+(1-EXP(-LN(2)/35))/(LN(2)/35)*DW79*DX79*VLOOKUP('Données projet (1)'!$B$14,'Paramètres (1)'!$A$1:$I$88,3,0)*0.475*44/12</f>
        <v>#REF!</v>
      </c>
      <c r="EB79" s="142" t="str">
        <f>EXP(-LN(2)/25)*EB78+(1-EXP(-LN(2)/25))/(LN(2)/25)*'Calculateur (1)'!DW79*'Calculateur (1)'!DY79*VLOOKUP('Données projet (1)'!$B$14,'Paramètres (1)'!$A$1:$I$88,3,0)*0.475*44/12</f>
        <v>#REF!</v>
      </c>
      <c r="EC79" s="142" t="str">
        <f>EXP(-LN(2)/2)*EC78+(1-EXP(-LN(2)/2))/(LN(2)/2)*DW79*DZ79*VLOOKUP('Données projet (1)'!$B$14,'Paramètres (1)'!$A$1:$I$88,3,0)*0.475*44/12</f>
        <v>#REF!</v>
      </c>
      <c r="ED79" s="143" t="str">
        <f t="shared" si="65"/>
        <v>#REF!</v>
      </c>
      <c r="EE79" s="139" t="str">
        <f t="shared" si="66"/>
        <v>#REF!</v>
      </c>
      <c r="EF79" s="131">
        <f t="shared" si="67"/>
        <v>10</v>
      </c>
      <c r="EG79" s="131" t="str">
        <f t="shared" si="132"/>
        <v>#REF!</v>
      </c>
      <c r="EH79" s="131" t="str">
        <f t="shared" si="68"/>
        <v>#REF!</v>
      </c>
      <c r="EI79" s="131" t="str">
        <f t="array" ref="EI79">INDEX(EH:EH,MIN(IF(ISNUMBER(EH79:EH275),ROW(EH79:EH275),"")))</f>
        <v/>
      </c>
      <c r="EJ79" s="131" t="str">
        <f t="shared" si="133"/>
        <v>#REF!</v>
      </c>
      <c r="EK79" s="138" t="str">
        <f>EJ79*VLOOKUP('Données projet (1)'!$B$15,'Paramètres (1)'!$A$1:$I$88,3,0)*VLOOKUP('Données projet (1)'!$B$15,'Paramètres (1)'!$A$1:$I$88,5,0)</f>
        <v>#REF!</v>
      </c>
      <c r="EL79" s="130" t="str">
        <f t="shared" si="134"/>
        <v>#REF!</v>
      </c>
      <c r="EM79" s="141" t="str">
        <f t="shared" si="69"/>
        <v>#REF!</v>
      </c>
      <c r="EN79" s="133" t="str">
        <f t="shared" si="70"/>
        <v>#REF!</v>
      </c>
      <c r="EO79" s="133" t="str">
        <f t="shared" si="71"/>
        <v>#REF!</v>
      </c>
      <c r="EP79" s="133" t="str">
        <f t="shared" si="135"/>
        <v>#REF!</v>
      </c>
      <c r="EQ79" s="134" t="str">
        <f t="shared" si="72"/>
        <v>#REF!</v>
      </c>
      <c r="ER79" s="134" t="str">
        <f t="shared" si="73"/>
        <v>#REF!</v>
      </c>
      <c r="ES79" s="135" t="str">
        <f>IF(ISNA(VLOOKUP(A79,'Données projet (1)'!$A$191:$I$211,5,0)),0%,VLOOKUP(A79,'Données projet (1)'!$A$191:$I$211,5,0)*VLOOKUP('Données projet (1)'!$B$15,'Paramètres (1)'!$A$1:$I$88,7,0))</f>
        <v>#REF!</v>
      </c>
      <c r="ET79" s="135" t="str">
        <f>IF(ISNA(VLOOKUP(A79,'Données projet (1)'!$A$191:$I$211,6,0)),0%,VLOOKUP(A79,'Données projet (1)'!$A$191:$I$211,6,0)*VLOOKUP('Données projet (1)'!$B$15,'Paramètres (1)'!$A$1:$I$88,7,0))</f>
        <v>#REF!</v>
      </c>
      <c r="EU79" s="135" t="str">
        <f t="shared" si="74"/>
        <v>#REF!</v>
      </c>
      <c r="EV79" s="142" t="str">
        <f>EXP(-LN(2)/35)*EV78+(1-EXP(-LN(2)/35))/(LN(2)/35)*ER79*ES79*VLOOKUP('Données projet (1)'!$B$15,'Paramètres (1)'!$A$1:$I$88,3,0)*0.475*44/12</f>
        <v>#REF!</v>
      </c>
      <c r="EW79" s="142" t="str">
        <f>EXP(-LN(2)/25)*EW78+(1-EXP(-LN(2)/25))/(LN(2)/25)*'Calculateur (1)'!ER79*'Calculateur (1)'!ET79*VLOOKUP('Données projet (1)'!$B$15,'Paramètres (1)'!$A$1:$I$88,3,0)*0.475*44/12</f>
        <v>#REF!</v>
      </c>
      <c r="EX79" s="142" t="str">
        <f>EXP(-LN(2)/2)*EX78+(1-EXP(-LN(2)/2))/(LN(2)/2)*ER79*EU79*VLOOKUP('Données projet (1)'!$B$15,'Paramètres (1)'!$A$1:$I$88,3,0)*0.475*44/12</f>
        <v>#REF!</v>
      </c>
      <c r="EY79" s="143" t="str">
        <f t="shared" si="75"/>
        <v>#REF!</v>
      </c>
      <c r="EZ79" s="139" t="str">
        <f t="shared" si="76"/>
        <v>#REF!</v>
      </c>
      <c r="FA79" s="131">
        <f t="shared" si="77"/>
        <v>10</v>
      </c>
      <c r="FB79" s="131" t="str">
        <f t="shared" si="136"/>
        <v>#REF!</v>
      </c>
      <c r="FC79" s="131" t="str">
        <f t="shared" si="78"/>
        <v>#REF!</v>
      </c>
      <c r="FD79" s="131" t="str">
        <f t="array" ref="FD79">INDEX(FC:FC,MIN(IF(ISNUMBER(FC79:FC275),ROW(FC79:FC275),"")))</f>
        <v/>
      </c>
      <c r="FE79" s="131" t="str">
        <f t="shared" si="137"/>
        <v>#REF!</v>
      </c>
      <c r="FF79" s="138" t="str">
        <f>FE79*VLOOKUP('Données projet (1)'!$B$16,'Paramètres (1)'!$A$1:$I$88,3,0)*VLOOKUP('Données projet (1)'!$B$16,'Paramètres (1)'!$A$1:$I$88,5,0)</f>
        <v>#REF!</v>
      </c>
      <c r="FG79" s="130" t="str">
        <f t="shared" si="138"/>
        <v>#REF!</v>
      </c>
      <c r="FH79" s="141" t="str">
        <f t="shared" si="79"/>
        <v>#REF!</v>
      </c>
      <c r="FI79" s="133" t="str">
        <f t="shared" si="80"/>
        <v>#REF!</v>
      </c>
      <c r="FJ79" s="133" t="str">
        <f t="shared" si="81"/>
        <v>#REF!</v>
      </c>
      <c r="FK79" s="133" t="str">
        <f t="shared" si="139"/>
        <v>#REF!</v>
      </c>
      <c r="FL79" s="134" t="str">
        <f t="shared" si="82"/>
        <v>#REF!</v>
      </c>
      <c r="FM79" s="134" t="str">
        <f t="shared" si="83"/>
        <v>#REF!</v>
      </c>
      <c r="FN79" s="135" t="str">
        <f>IF(ISNA(VLOOKUP(A79,'Données projet (1)'!$A$217:$I$237,5,0)),0%,VLOOKUP(A79,'Données projet (1)'!$A$217:$I$237,5,0)*VLOOKUP('Données projet (1)'!$B$16,'Paramètres (1)'!$A$1:$I$88,7,0))</f>
        <v>#REF!</v>
      </c>
      <c r="FO79" s="135" t="str">
        <f>IF(ISNA(VLOOKUP(A79,'Données projet (1)'!$A$217:$I$237,6,0)),0%,VLOOKUP(A79,'Données projet (1)'!$A$217:$I$237,6,0)*VLOOKUP('Données projet (1)'!$B$16,'Paramètres (1)'!$A$1:$I$88,7,0))</f>
        <v>#REF!</v>
      </c>
      <c r="FP79" s="135" t="str">
        <f t="shared" si="84"/>
        <v>#REF!</v>
      </c>
      <c r="FQ79" s="142" t="str">
        <f>EXP(-LN(2)/35)*FQ78+(1-EXP(-LN(2)/35))/(LN(2)/35)*FM79*FN79*VLOOKUP('Données projet (1)'!$B$16,'Paramètres (1)'!$A$1:$I$88,3,0)*0.475*44/12</f>
        <v>#REF!</v>
      </c>
      <c r="FR79" s="142" t="str">
        <f>EXP(-LN(2)/25)*FR78+(1-EXP(-LN(2)/25))/(LN(2)/25)*'Calculateur (1)'!FM79*'Calculateur (1)'!FO79*VLOOKUP('Données projet (1)'!$B$16,'Paramètres (1)'!$A$1:$I$88,3,0)*0.475*44/12</f>
        <v>#REF!</v>
      </c>
      <c r="FS79" s="142" t="str">
        <f>EXP(-LN(2)/2)*FS78+(1-EXP(-LN(2)/2))/(LN(2)/2)*FM79*FP79*VLOOKUP('Données projet (1)'!$B$16,'Paramètres (1)'!$A$1:$I$88,3,0)*0.475*44/12</f>
        <v>#REF!</v>
      </c>
      <c r="FT79" s="143" t="str">
        <f t="shared" si="85"/>
        <v>#REF!</v>
      </c>
      <c r="FU79" s="139" t="str">
        <f t="shared" si="86"/>
        <v>#REF!</v>
      </c>
      <c r="FV79" s="131">
        <f t="shared" si="87"/>
        <v>10</v>
      </c>
      <c r="FW79" s="131" t="str">
        <f t="shared" si="140"/>
        <v>#REF!</v>
      </c>
      <c r="FX79" s="131" t="str">
        <f t="shared" si="88"/>
        <v>#REF!</v>
      </c>
      <c r="FY79" s="131" t="str">
        <f t="array" ref="FY79">INDEX(FX:FX,MIN(IF(ISNUMBER(FX79:FX275),ROW(FX79:FX275),"")))</f>
        <v/>
      </c>
      <c r="FZ79" s="131" t="str">
        <f t="shared" si="141"/>
        <v>#REF!</v>
      </c>
      <c r="GA79" s="138" t="str">
        <f>FZ79*VLOOKUP('Données projet (1)'!$B$17,'Paramètres (1)'!$A$1:$I$88,3,0)*VLOOKUP('Données projet (1)'!$B$17,'Paramètres (1)'!$A$1:$I$88,5,0)</f>
        <v>#REF!</v>
      </c>
      <c r="GB79" s="130" t="str">
        <f t="shared" si="142"/>
        <v>#REF!</v>
      </c>
      <c r="GC79" s="141" t="str">
        <f t="shared" si="89"/>
        <v>#REF!</v>
      </c>
      <c r="GD79" s="133" t="str">
        <f t="shared" si="90"/>
        <v>#REF!</v>
      </c>
      <c r="GE79" s="133" t="str">
        <f t="shared" si="91"/>
        <v>#REF!</v>
      </c>
      <c r="GF79" s="133" t="str">
        <f t="shared" si="143"/>
        <v>#REF!</v>
      </c>
      <c r="GG79" s="134" t="str">
        <f t="shared" si="92"/>
        <v>#REF!</v>
      </c>
      <c r="GH79" s="134" t="str">
        <f t="shared" si="93"/>
        <v>#REF!</v>
      </c>
      <c r="GI79" s="135" t="str">
        <f>IF(ISNA(VLOOKUP(A79,'Données projet (1)'!$A$243:$I$263,5,0)),0%,VLOOKUP(A79,'Données projet (1)'!$A$243:$I$263,5,0)*VLOOKUP('Données projet (1)'!$B$17,'Paramètres (1)'!$A$1:$I$88,7,0))</f>
        <v>#REF!</v>
      </c>
      <c r="GJ79" s="135" t="str">
        <f>IF(ISNA(VLOOKUP(A79,'Données projet (1)'!$A$243:$I$263,6,0)),0%,VLOOKUP(A79,'Données projet (1)'!$A$243:$I$263,6,0)*VLOOKUP('Données projet (1)'!$B$17,'Paramètres (1)'!$A$1:$I$88,7,0))</f>
        <v>#REF!</v>
      </c>
      <c r="GK79" s="135" t="str">
        <f t="shared" si="94"/>
        <v>#REF!</v>
      </c>
      <c r="GL79" s="142" t="str">
        <f>EXP(-LN(2)/35)*GL78+(1-EXP(-LN(2)/35))/(LN(2)/35)*GH79*GI79*VLOOKUP('Données projet (1)'!$B$17,'Paramètres (1)'!$A$1:$I$88,3,0)*0.475*44/12</f>
        <v>#REF!</v>
      </c>
      <c r="GM79" s="142" t="str">
        <f>EXP(-LN(2)/25)*GM78+(1-EXP(-LN(2)/25))/(LN(2)/25)*'Calculateur (1)'!GH79*'Calculateur (1)'!GJ79*VLOOKUP('Données projet (1)'!$B$17,'Paramètres (1)'!$A$1:$I$88,3,0)*0.475*44/12</f>
        <v>#REF!</v>
      </c>
      <c r="GN79" s="142" t="str">
        <f>EXP(-LN(2)/2)*GN78+(1-EXP(-LN(2)/2))/(LN(2)/2)*GH79*GK79*VLOOKUP('Données projet (1)'!$B$17,'Paramètres (1)'!$A$1:$I$88,3,0)*0.475*44/12</f>
        <v>#REF!</v>
      </c>
      <c r="GO79" s="142" t="str">
        <f t="shared" si="95"/>
        <v>#REF!</v>
      </c>
      <c r="GP79" s="139" t="str">
        <f t="shared" si="96"/>
        <v>#REF!</v>
      </c>
      <c r="GQ79" s="131">
        <f t="shared" si="97"/>
        <v>10</v>
      </c>
      <c r="GR79" s="131" t="str">
        <f t="shared" si="144"/>
        <v>#REF!</v>
      </c>
      <c r="GS79" s="131" t="str">
        <f t="shared" si="98"/>
        <v>#REF!</v>
      </c>
      <c r="GT79" s="131" t="str">
        <f t="array" ref="GT79">INDEX(GS:GS,MIN(IF(ISNUMBER(GS79:GS275),ROW(GS79:GS275),"")))</f>
        <v/>
      </c>
      <c r="GU79" s="131" t="str">
        <f t="shared" si="145"/>
        <v>#REF!</v>
      </c>
      <c r="GV79" s="138" t="str">
        <f>GU79*VLOOKUP('Données projet (1)'!$B$18,'Paramètres (1)'!$A$1:$I$88,3,0)*VLOOKUP('Données projet (1)'!$B$18,'Paramètres (1)'!$A$1:$I$88,5,0)</f>
        <v>#REF!</v>
      </c>
      <c r="GW79" s="130" t="str">
        <f t="shared" si="146"/>
        <v>#REF!</v>
      </c>
      <c r="GX79" s="141" t="str">
        <f t="shared" si="99"/>
        <v>#REF!</v>
      </c>
      <c r="GY79" s="133" t="str">
        <f t="shared" si="100"/>
        <v>#REF!</v>
      </c>
      <c r="GZ79" s="133" t="str">
        <f t="shared" si="101"/>
        <v>#REF!</v>
      </c>
      <c r="HA79" s="133" t="str">
        <f t="shared" si="147"/>
        <v>#REF!</v>
      </c>
      <c r="HB79" s="134" t="str">
        <f t="shared" si="102"/>
        <v>#REF!</v>
      </c>
      <c r="HC79" s="134" t="str">
        <f t="shared" si="103"/>
        <v>#REF!</v>
      </c>
      <c r="HD79" s="135" t="str">
        <f>IF(ISNA(VLOOKUP(A79,'Données projet (1)'!$A$269:$I$289,5,0)),0%,VLOOKUP(A79,'Données projet (1)'!$A$269:$I$289,5,0)*VLOOKUP('Données projet (1)'!$B$18,'Paramètres (1)'!$A$1:$I$88,7,0))</f>
        <v>#REF!</v>
      </c>
      <c r="HE79" s="135" t="str">
        <f>IF(ISNA(VLOOKUP(A79,'Données projet (1)'!$A$269:$I$289,6,0)),0%,VLOOKUP(A79,'Données projet (1)'!$A$269:$I$289,6,0)*VLOOKUP('Données projet (1)'!$B$18,'Paramètres (1)'!$A$1:$I$88,7,0))</f>
        <v>#REF!</v>
      </c>
      <c r="HF79" s="135" t="str">
        <f t="shared" si="104"/>
        <v>#REF!</v>
      </c>
      <c r="HG79" s="142" t="str">
        <f>EXP(-LN(2)/35)*HG78+(1-EXP(-LN(2)/35))/(LN(2)/35)*HC79*HD79*VLOOKUP('Données projet (1)'!$B$18,'Paramètres (1)'!$A$1:$I$88,3,0)*0.475*44/12</f>
        <v>#REF!</v>
      </c>
      <c r="HH79" s="142" t="str">
        <f>EXP(-LN(2)/25)*HH78+(1-EXP(-LN(2)/25))/(LN(2)/25)*'Calculateur (1)'!HC79*'Calculateur (1)'!HE79*VLOOKUP('Données projet (1)'!$B$18,'Paramètres (1)'!$A$1:$I$88,3,0)*0.475*44/12</f>
        <v>#REF!</v>
      </c>
      <c r="HI79" s="142" t="str">
        <f>EXP(-LN(2)/2)*HI78+(1-EXP(-LN(2)/2))/(LN(2)/2)*HC79*HF79*VLOOKUP('Données projet (1)'!$B$18,'Paramètres (1)'!$A$1:$I$88,3,0)*0.475*44/12</f>
        <v>#REF!</v>
      </c>
      <c r="HJ79" s="143" t="str">
        <f t="shared" si="105"/>
        <v>#REF!</v>
      </c>
    </row>
    <row r="80" ht="14.25" customHeight="1">
      <c r="A80" s="125">
        <f t="shared" si="106"/>
        <v>77</v>
      </c>
      <c r="B80" s="126" t="str">
        <f t="shared" si="1"/>
        <v>#REF!</v>
      </c>
      <c r="C80" s="140" t="str">
        <f>'Calculateur (1)'!C79+'Scénario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0" s="127">
        <f t="shared" si="107"/>
        <v>0</v>
      </c>
      <c r="E80" s="127" t="str">
        <f t="shared" si="2"/>
        <v>#REF!</v>
      </c>
      <c r="F80" s="127" t="str">
        <f t="shared" si="3"/>
        <v>#REF!</v>
      </c>
      <c r="G80" s="127" t="str">
        <f t="shared" si="4"/>
        <v>#REF!</v>
      </c>
      <c r="H80" s="128" t="str">
        <f t="shared" si="5"/>
        <v>#REF!</v>
      </c>
      <c r="I80" s="129" t="str">
        <f t="shared" si="6"/>
        <v>#REF!</v>
      </c>
      <c r="J80" s="130">
        <f t="shared" si="7"/>
        <v>10</v>
      </c>
      <c r="K80" s="131" t="str">
        <f t="shared" si="108"/>
        <v>#REF!</v>
      </c>
      <c r="L80" s="131" t="str">
        <f t="shared" si="8"/>
        <v>#REF!</v>
      </c>
      <c r="M80" s="131" t="str">
        <f t="array" ref="M80">INDEX(L:L,MIN(IF(ISNUMBER(L80:L276),ROW(L80:L276),"")))</f>
        <v/>
      </c>
      <c r="N80" s="130" t="str">
        <f t="shared" si="109"/>
        <v>#REF!</v>
      </c>
      <c r="O80" s="130" t="str">
        <f>N80*VLOOKUP('Données projet (1)'!$B$9,'Paramètres (1)'!$A$1:$I$88,3,0)*VLOOKUP('Données projet (1)'!$B$9,'Paramètres (1)'!$A$1:$I$88,5,0)</f>
        <v>#REF!</v>
      </c>
      <c r="P80" s="130" t="str">
        <f t="shared" si="110"/>
        <v>#REF!</v>
      </c>
      <c r="Q80" s="141" t="str">
        <f t="shared" si="9"/>
        <v>#REF!</v>
      </c>
      <c r="R80" s="133" t="str">
        <f t="shared" si="10"/>
        <v>#REF!</v>
      </c>
      <c r="S80" s="133" t="str">
        <f t="shared" si="11"/>
        <v>#REF!</v>
      </c>
      <c r="T80" s="133" t="str">
        <f t="shared" si="111"/>
        <v>#REF!</v>
      </c>
      <c r="U80" s="134" t="str">
        <f t="shared" si="12"/>
        <v>#REF!</v>
      </c>
      <c r="V80" s="134" t="str">
        <f t="shared" si="13"/>
        <v>#REF!</v>
      </c>
      <c r="W80" s="135" t="str">
        <f>IF(ISNA(VLOOKUP(A80,'Données projet (1)'!$A$35:$I$55,5,0)),0%,VLOOKUP(A80,'Données projet (1)'!$A$35:$I$55,5,0)*VLOOKUP('Données projet (1)'!$B$9,'Paramètres (1)'!$A$1:$I$88,7,0))</f>
        <v>#REF!</v>
      </c>
      <c r="X80" s="135" t="str">
        <f>IF(ISNA(VLOOKUP(A80,'Données projet (1)'!$A$35:$I$55,6,0)),0%,VLOOKUP(A80,'Données projet (1)'!$A$35:$I$55,6,0)*VLOOKUP('Données projet (1)'!$B$9,'Paramètres (1)'!$A$1:$I$88,7,0))</f>
        <v>#REF!</v>
      </c>
      <c r="Y80" s="135" t="str">
        <f t="shared" si="14"/>
        <v>#REF!</v>
      </c>
      <c r="Z80" s="142" t="str">
        <f>EXP(-LN(2)/35)*Z79+(1-EXP(-LN(2)/35))/(LN(2)/35)*V80*W80*VLOOKUP('Données projet (1)'!$B$9,'Paramètres (1)'!$A$1:$I$88,3,0)*0.475*44/12</f>
        <v>#REF!</v>
      </c>
      <c r="AA80" s="142" t="str">
        <f>EXP(-LN(2)/25)*AA79+(1-EXP(-LN(2)/25))/(LN(2)/25)*'Calculateur (1)'!V80*'Calculateur (1)'!X80*VLOOKUP('Données projet (1)'!$B$9,'Paramètres (1)'!$A$1:$I$88,3,0)*0.475*44/12</f>
        <v>#REF!</v>
      </c>
      <c r="AB80" s="142" t="str">
        <f>EXP(-LN(2)/2)*AB79+(1-EXP(-LN(2)/2))/(LN(2)/2)*V80*Y80*VLOOKUP('Données projet (1)'!$B$9,'Paramètres (1)'!$A$1:$I$88,3,0)*0.475*44/12</f>
        <v>#REF!</v>
      </c>
      <c r="AC80" s="143" t="str">
        <f t="shared" si="15"/>
        <v>#REF!</v>
      </c>
      <c r="AD80" s="130" t="str">
        <f t="shared" si="16"/>
        <v>#REF!</v>
      </c>
      <c r="AE80" s="130">
        <f t="shared" si="17"/>
        <v>10</v>
      </c>
      <c r="AF80" s="131" t="str">
        <f t="shared" si="112"/>
        <v>#REF!</v>
      </c>
      <c r="AG80" s="131" t="str">
        <f t="shared" si="18"/>
        <v>#REF!</v>
      </c>
      <c r="AH80" s="131" t="str">
        <f t="array" ref="AH80">INDEX(AG:AG,MIN(IF(ISNUMBER(AG80:AG276),ROW(AG80:AG276),"")))</f>
        <v/>
      </c>
      <c r="AI80" s="130" t="str">
        <f t="shared" si="113"/>
        <v>#REF!</v>
      </c>
      <c r="AJ80" s="130" t="str">
        <f>AI80*VLOOKUP('Données projet (1)'!$B$10,'Paramètres (1)'!$A$1:$I$88,3,0)*VLOOKUP('Données projet (1)'!$B$10,'Paramètres (1)'!$A$1:$I$88,5,0)</f>
        <v>#REF!</v>
      </c>
      <c r="AK80" s="130" t="str">
        <f t="shared" si="114"/>
        <v>#REF!</v>
      </c>
      <c r="AL80" s="141" t="str">
        <f t="shared" si="19"/>
        <v>#REF!</v>
      </c>
      <c r="AM80" s="133" t="str">
        <f t="shared" si="20"/>
        <v>#REF!</v>
      </c>
      <c r="AN80" s="133" t="str">
        <f t="shared" si="21"/>
        <v>#REF!</v>
      </c>
      <c r="AO80" s="133" t="str">
        <f t="shared" si="115"/>
        <v>#REF!</v>
      </c>
      <c r="AP80" s="134" t="str">
        <f t="shared" si="22"/>
        <v>#REF!</v>
      </c>
      <c r="AQ80" s="134" t="str">
        <f t="shared" si="23"/>
        <v>#REF!</v>
      </c>
      <c r="AR80" s="135" t="str">
        <f>IF(ISNA(VLOOKUP(A80,'Données projet (1)'!$A$61:$I$81,5,0)),0%,VLOOKUP(A80,'Données projet (1)'!$A$61:$I$81,5,0)*VLOOKUP('Données projet (1)'!$B$10,'Paramètres (1)'!$A$1:$I$88,7,0))</f>
        <v>#REF!</v>
      </c>
      <c r="AS80" s="135" t="str">
        <f>IF(ISNA(VLOOKUP(A80,'Données projet (1)'!$A$61:$I$81,6,0)),0%,VLOOKUP(A80,'Données projet (1)'!$A$61:$I$81,6,0)*VLOOKUP('Données projet (1)'!$B$10,'Paramètres (1)'!$A$1:$I$88,7,0))</f>
        <v>#REF!</v>
      </c>
      <c r="AT80" s="135" t="str">
        <f t="shared" si="24"/>
        <v>#REF!</v>
      </c>
      <c r="AU80" s="142" t="str">
        <f>EXP(-LN(2)/35)*AU79+(1-EXP(-LN(2)/35))/(LN(2)/35)*AQ80*AR80*VLOOKUP('Données projet (1)'!$B$10,'Paramètres (1)'!$A$1:$I$88,3,0)*0.475*44/12</f>
        <v>#REF!</v>
      </c>
      <c r="AV80" s="142" t="str">
        <f>EXP(-LN(2)/25)*AV79+(1-EXP(-LN(2)/25))/(LN(2)/25)*'Calculateur (1)'!AQ80*'Calculateur (1)'!AS80*VLOOKUP('Données projet (1)'!$B$10,'Paramètres (1)'!$A$1:$I$88,3,0)*0.475*44/12</f>
        <v>#REF!</v>
      </c>
      <c r="AW80" s="142" t="str">
        <f>EXP(-LN(2)/2)*AW79+(1-EXP(-LN(2)/2))/(LN(2)/2)*AQ80*AT80*VLOOKUP('Données projet (1)'!$B$10,'Paramètres (1)'!$A$1:$I$88,3,0)*0.475*44/12</f>
        <v>#REF!</v>
      </c>
      <c r="AX80" s="142" t="str">
        <f t="shared" si="25"/>
        <v>#REF!</v>
      </c>
      <c r="AY80" s="137" t="str">
        <f t="shared" si="26"/>
        <v>#REF!</v>
      </c>
      <c r="AZ80" s="131">
        <f t="shared" si="27"/>
        <v>10</v>
      </c>
      <c r="BA80" s="131" t="str">
        <f t="shared" si="116"/>
        <v>#REF!</v>
      </c>
      <c r="BB80" s="131" t="str">
        <f t="shared" si="28"/>
        <v>#REF!</v>
      </c>
      <c r="BC80" s="131" t="str">
        <f t="array" ref="BC80">INDEX(BB:BB,MIN(IF(ISNUMBER(BB80:BB276),ROW(BB80:BB276),"")))</f>
        <v/>
      </c>
      <c r="BD80" s="131" t="str">
        <f t="shared" si="117"/>
        <v>#REF!</v>
      </c>
      <c r="BE80" s="130" t="str">
        <f>BD80*VLOOKUP('Données projet (1)'!$B$11,'Paramètres (1)'!$A$1:$I$88,3,0)*VLOOKUP('Données projet (1)'!$B$11,'Paramètres (1)'!$A$1:$I$88,5,0)</f>
        <v>#REF!</v>
      </c>
      <c r="BF80" s="130" t="str">
        <f t="shared" si="118"/>
        <v>#REF!</v>
      </c>
      <c r="BG80" s="141" t="str">
        <f t="shared" si="29"/>
        <v>#REF!</v>
      </c>
      <c r="BH80" s="133" t="str">
        <f t="shared" si="30"/>
        <v>#REF!</v>
      </c>
      <c r="BI80" s="133" t="str">
        <f t="shared" si="31"/>
        <v>#REF!</v>
      </c>
      <c r="BJ80" s="133" t="str">
        <f t="shared" si="119"/>
        <v>#REF!</v>
      </c>
      <c r="BK80" s="134" t="str">
        <f t="shared" si="32"/>
        <v>#REF!</v>
      </c>
      <c r="BL80" s="134" t="str">
        <f t="shared" si="33"/>
        <v>#REF!</v>
      </c>
      <c r="BM80" s="135" t="str">
        <f>IF(ISNA(VLOOKUP(A80,'Données projet (1)'!$A$87:$I$107,5,0)),0%,VLOOKUP(A80,'Données projet (1)'!$A$87:$I$107,5,0)*VLOOKUP('Données projet (1)'!$B$11,'Paramètres (1)'!$A$1:$I$88,7,0))</f>
        <v>#REF!</v>
      </c>
      <c r="BN80" s="135" t="str">
        <f>IF(ISNA(VLOOKUP(A80,'Données projet (1)'!$A$87:$I$107,6,0)),0%,VLOOKUP(A80,'Données projet (1)'!$A$87:$I$107,6,0)*VLOOKUP('Données projet (1)'!$B$11,'Paramètres (1)'!$A$1:$I$88,7,0))</f>
        <v>#REF!</v>
      </c>
      <c r="BO80" s="135" t="str">
        <f t="shared" si="34"/>
        <v>#REF!</v>
      </c>
      <c r="BP80" s="142" t="str">
        <f>EXP(-LN(2)/35)*BP79+(1-EXP(-LN(2)/35))/(LN(2)/35)*BL80*BM80*VLOOKUP('Données projet (1)'!$B$11,'Paramètres (1)'!$A$1:$I$88,3,0)*0.475*44/12</f>
        <v>#REF!</v>
      </c>
      <c r="BQ80" s="142" t="str">
        <f>EXP(-LN(2)/25)*BQ79+(1-EXP(-LN(2)/25))/(LN(2)/25)*'Calculateur (1)'!BL80*'Calculateur (1)'!BN80*VLOOKUP('Données projet (1)'!$B$11,'Paramètres (1)'!$A$1:$I$88,3,0)*0.475*44/12</f>
        <v>#REF!</v>
      </c>
      <c r="BR80" s="142" t="str">
        <f>EXP(-LN(2)/2)*BR79+(1-EXP(-LN(2)/2))/(LN(2)/2)*BL80*BO80*VLOOKUP('Données projet (1)'!$B$11,'Paramètres (1)'!$A$1:$I$88,3,0)*0.475*44/12</f>
        <v>#REF!</v>
      </c>
      <c r="BS80" s="143" t="str">
        <f t="shared" si="35"/>
        <v>#REF!</v>
      </c>
      <c r="BT80" s="139" t="str">
        <f t="shared" si="36"/>
        <v>#REF!</v>
      </c>
      <c r="BU80" s="131">
        <f t="shared" si="37"/>
        <v>10</v>
      </c>
      <c r="BV80" s="131" t="str">
        <f t="shared" si="120"/>
        <v>#REF!</v>
      </c>
      <c r="BW80" s="131" t="str">
        <f t="shared" si="38"/>
        <v>#REF!</v>
      </c>
      <c r="BX80" s="131" t="str">
        <f t="array" ref="BX80">INDEX(BW:BW,MIN(IF(ISNUMBER(BW80:BW276),ROW(BW80:BW276),"")))</f>
        <v/>
      </c>
      <c r="BY80" s="131" t="str">
        <f t="shared" si="121"/>
        <v>#REF!</v>
      </c>
      <c r="BZ80" s="130" t="str">
        <f>BY80*VLOOKUP('Données projet (1)'!$B$12,'Paramètres (1)'!$A$1:$I$88,3,0)*VLOOKUP('Données projet (1)'!$B$12,'Paramètres (1)'!$A$1:$I$88,5,0)</f>
        <v>#REF!</v>
      </c>
      <c r="CA80" s="130" t="str">
        <f t="shared" si="122"/>
        <v>#REF!</v>
      </c>
      <c r="CB80" s="141" t="str">
        <f t="shared" si="39"/>
        <v>#REF!</v>
      </c>
      <c r="CC80" s="133" t="str">
        <f t="shared" si="40"/>
        <v>#REF!</v>
      </c>
      <c r="CD80" s="133" t="str">
        <f t="shared" si="41"/>
        <v>#REF!</v>
      </c>
      <c r="CE80" s="133" t="str">
        <f t="shared" si="123"/>
        <v>#REF!</v>
      </c>
      <c r="CF80" s="134" t="str">
        <f t="shared" si="42"/>
        <v>#REF!</v>
      </c>
      <c r="CG80" s="134" t="str">
        <f t="shared" si="43"/>
        <v>#REF!</v>
      </c>
      <c r="CH80" s="135" t="str">
        <f>IF(ISNA(VLOOKUP(A80,'Données projet (1)'!$A$113:$I$133,5,0)),0%,VLOOKUP(A80,'Données projet (1)'!$A$113:$I$133,5,0)*VLOOKUP('Données projet (1)'!$B$12,'Paramètres (1)'!$A$1:$I$88,7,0))</f>
        <v>#REF!</v>
      </c>
      <c r="CI80" s="135" t="str">
        <f>IF(ISNA(VLOOKUP(A80,'Données projet (1)'!$A$113:$I$133,6,0)),0%,VLOOKUP(A80,'Données projet (1)'!$A$113:$I$133,6,0)*VLOOKUP('Données projet (1)'!$B$12,'Paramètres (1)'!$A$1:$I$88,7,0))</f>
        <v>#REF!</v>
      </c>
      <c r="CJ80" s="135" t="str">
        <f t="shared" si="44"/>
        <v>#REF!</v>
      </c>
      <c r="CK80" s="142" t="str">
        <f>EXP(-LN(2)/35)*CK79+(1-EXP(-LN(2)/35))/(LN(2)/35)*CG80*CH80*VLOOKUP('Données projet (1)'!$B$12,'Paramètres (1)'!$A$1:$I$88,3,0)*0.475*44/12</f>
        <v>#REF!</v>
      </c>
      <c r="CL80" s="142" t="str">
        <f>EXP(-LN(2)/25)*CL79+(1-EXP(-LN(2)/25))/(LN(2)/25)*'Calculateur (1)'!CG80*'Calculateur (1)'!CI80*VLOOKUP('Données projet (1)'!$B$12,'Paramètres (1)'!$A$1:$I$88,3,0)*0.475*44/12</f>
        <v>#REF!</v>
      </c>
      <c r="CM80" s="142" t="str">
        <f>EXP(-LN(2)/2)*CM79+(1-EXP(-LN(2)/2))/(LN(2)/2)*CG80*CJ80*VLOOKUP('Données projet (1)'!$B$12,'Paramètres (1)'!$A$1:$I$88,3,0)*0.475*44/12</f>
        <v>#REF!</v>
      </c>
      <c r="CN80" s="143" t="str">
        <f t="shared" si="45"/>
        <v>#REF!</v>
      </c>
      <c r="CO80" s="139" t="str">
        <f t="shared" si="46"/>
        <v>#REF!</v>
      </c>
      <c r="CP80" s="131">
        <f t="shared" si="47"/>
        <v>10</v>
      </c>
      <c r="CQ80" s="131" t="str">
        <f t="shared" si="124"/>
        <v>#REF!</v>
      </c>
      <c r="CR80" s="131" t="str">
        <f t="shared" si="48"/>
        <v>#REF!</v>
      </c>
      <c r="CS80" s="131" t="str">
        <f t="array" ref="CS80">INDEX(CR:CR,MIN(IF(ISNUMBER(CR80:CR276),ROW(CR80:CR276),"")))</f>
        <v/>
      </c>
      <c r="CT80" s="131" t="str">
        <f t="shared" si="125"/>
        <v>#REF!</v>
      </c>
      <c r="CU80" s="138" t="str">
        <f>CT80*VLOOKUP('Données projet (1)'!$B$13,'Paramètres (1)'!$A$1:$I$88,3,0)*VLOOKUP('Données projet (1)'!$B$13,'Paramètres (1)'!$A$1:$I$88,5,0)</f>
        <v>#REF!</v>
      </c>
      <c r="CV80" s="130" t="str">
        <f t="shared" si="126"/>
        <v>#REF!</v>
      </c>
      <c r="CW80" s="141" t="str">
        <f t="shared" si="49"/>
        <v>#REF!</v>
      </c>
      <c r="CX80" s="133" t="str">
        <f t="shared" si="50"/>
        <v>#REF!</v>
      </c>
      <c r="CY80" s="133" t="str">
        <f t="shared" si="51"/>
        <v>#REF!</v>
      </c>
      <c r="CZ80" s="133" t="str">
        <f t="shared" si="127"/>
        <v>#REF!</v>
      </c>
      <c r="DA80" s="134" t="str">
        <f t="shared" si="52"/>
        <v>#REF!</v>
      </c>
      <c r="DB80" s="134" t="str">
        <f t="shared" si="53"/>
        <v>#REF!</v>
      </c>
      <c r="DC80" s="135" t="str">
        <f>IF(ISNA(VLOOKUP(A80,'Données projet (1)'!$A$139:$I$159,5,0)),0%,VLOOKUP(A80,'Données projet (1)'!$A$139:$I$159,5,0)*VLOOKUP('Données projet (1)'!$B$13,'Paramètres (1)'!$A$1:$I$88,7,0))</f>
        <v>#REF!</v>
      </c>
      <c r="DD80" s="135" t="str">
        <f>IF(ISNA(VLOOKUP(A80,'Données projet (1)'!$A$139:$I$159,6,0)),0%,VLOOKUP(A80,'Données projet (1)'!$A$139:$I$159,6,0)*VLOOKUP('Données projet (1)'!$B$13,'Paramètres (1)'!$A$1:$I$88,7,0))</f>
        <v>#REF!</v>
      </c>
      <c r="DE80" s="135" t="str">
        <f t="shared" si="54"/>
        <v>#REF!</v>
      </c>
      <c r="DF80" s="142" t="str">
        <f>EXP(-LN(2)/35)*DF79+(1-EXP(-LN(2)/35))/(LN(2)/35)*DB80*DC80*VLOOKUP('Données projet (1)'!$B$13,'Paramètres (1)'!$A$1:$I$88,3,0)*0.475*44/12</f>
        <v>#REF!</v>
      </c>
      <c r="DG80" s="142" t="str">
        <f>EXP(-LN(2)/25)*DG79+(1-EXP(-LN(2)/25))/(LN(2)/25)*'Calculateur (1)'!DB80*'Calculateur (1)'!DD80*VLOOKUP('Données projet (1)'!$B$13,'Paramètres (1)'!$A$1:$I$88,3,0)*0.475*44/12</f>
        <v>#REF!</v>
      </c>
      <c r="DH80" s="142" t="str">
        <f>EXP(-LN(2)/2)*DH79+(1-EXP(-LN(2)/2))/(LN(2)/2)*DB80*DE80*VLOOKUP('Données projet (1)'!$B$13,'Paramètres (1)'!$A$1:$I$88,3,0)*0.475*44/12</f>
        <v>#REF!</v>
      </c>
      <c r="DI80" s="143" t="str">
        <f t="shared" si="55"/>
        <v>#REF!</v>
      </c>
      <c r="DJ80" s="139" t="str">
        <f t="shared" si="56"/>
        <v>#REF!</v>
      </c>
      <c r="DK80" s="131">
        <f t="shared" si="57"/>
        <v>10</v>
      </c>
      <c r="DL80" s="131" t="str">
        <f t="shared" si="128"/>
        <v>#REF!</v>
      </c>
      <c r="DM80" s="131" t="str">
        <f t="shared" si="58"/>
        <v>#REF!</v>
      </c>
      <c r="DN80" s="131" t="str">
        <f t="array" ref="DN80">INDEX(DM:DM,MIN(IF(ISNUMBER(DM80:DM276),ROW(DM80:DM276),"")))</f>
        <v/>
      </c>
      <c r="DO80" s="131" t="str">
        <f t="shared" si="129"/>
        <v>#REF!</v>
      </c>
      <c r="DP80" s="138" t="str">
        <f>DO80*VLOOKUP('Données projet (1)'!$B$14,'Paramètres (1)'!$A$1:$I$88,3,0)*VLOOKUP('Données projet (1)'!$B$14,'Paramètres (1)'!$A$1:$I$88,5,0)</f>
        <v>#REF!</v>
      </c>
      <c r="DQ80" s="130" t="str">
        <f t="shared" si="130"/>
        <v>#REF!</v>
      </c>
      <c r="DR80" s="141" t="str">
        <f t="shared" si="59"/>
        <v>#REF!</v>
      </c>
      <c r="DS80" s="133" t="str">
        <f t="shared" si="60"/>
        <v>#REF!</v>
      </c>
      <c r="DT80" s="133" t="str">
        <f t="shared" si="61"/>
        <v>#REF!</v>
      </c>
      <c r="DU80" s="133" t="str">
        <f t="shared" si="131"/>
        <v>#REF!</v>
      </c>
      <c r="DV80" s="134" t="str">
        <f t="shared" si="62"/>
        <v>#REF!</v>
      </c>
      <c r="DW80" s="134" t="str">
        <f t="shared" si="63"/>
        <v>#REF!</v>
      </c>
      <c r="DX80" s="135" t="str">
        <f>IF(ISNA(VLOOKUP(A80,'Données projet (1)'!$A$165:$I$185,5,0)),0%,VLOOKUP(A80,'Données projet (1)'!$A$165:$I$185,5,0)*VLOOKUP('Données projet (1)'!$B$14,'Paramètres (1)'!$A$1:$I$88,7,0))</f>
        <v>#REF!</v>
      </c>
      <c r="DY80" s="135" t="str">
        <f>IF(ISNA(VLOOKUP(A80,'Données projet (1)'!$A$165:$I$185,6,0)),0%,VLOOKUP(A80,'Données projet (1)'!$A$165:$I$185,6,0)*VLOOKUP('Données projet (1)'!$B$14,'Paramètres (1)'!$A$1:$I$88,7,0))</f>
        <v>#REF!</v>
      </c>
      <c r="DZ80" s="135" t="str">
        <f t="shared" si="64"/>
        <v>#REF!</v>
      </c>
      <c r="EA80" s="142" t="str">
        <f>EXP(-LN(2)/35)*EA79+(1-EXP(-LN(2)/35))/(LN(2)/35)*DW80*DX80*VLOOKUP('Données projet (1)'!$B$14,'Paramètres (1)'!$A$1:$I$88,3,0)*0.475*44/12</f>
        <v>#REF!</v>
      </c>
      <c r="EB80" s="142" t="str">
        <f>EXP(-LN(2)/25)*EB79+(1-EXP(-LN(2)/25))/(LN(2)/25)*'Calculateur (1)'!DW80*'Calculateur (1)'!DY80*VLOOKUP('Données projet (1)'!$B$14,'Paramètres (1)'!$A$1:$I$88,3,0)*0.475*44/12</f>
        <v>#REF!</v>
      </c>
      <c r="EC80" s="142" t="str">
        <f>EXP(-LN(2)/2)*EC79+(1-EXP(-LN(2)/2))/(LN(2)/2)*DW80*DZ80*VLOOKUP('Données projet (1)'!$B$14,'Paramètres (1)'!$A$1:$I$88,3,0)*0.475*44/12</f>
        <v>#REF!</v>
      </c>
      <c r="ED80" s="143" t="str">
        <f t="shared" si="65"/>
        <v>#REF!</v>
      </c>
      <c r="EE80" s="139" t="str">
        <f t="shared" si="66"/>
        <v>#REF!</v>
      </c>
      <c r="EF80" s="131">
        <f t="shared" si="67"/>
        <v>10</v>
      </c>
      <c r="EG80" s="131" t="str">
        <f t="shared" si="132"/>
        <v>#REF!</v>
      </c>
      <c r="EH80" s="131" t="str">
        <f t="shared" si="68"/>
        <v>#REF!</v>
      </c>
      <c r="EI80" s="131" t="str">
        <f t="array" ref="EI80">INDEX(EH:EH,MIN(IF(ISNUMBER(EH80:EH276),ROW(EH80:EH276),"")))</f>
        <v/>
      </c>
      <c r="EJ80" s="131" t="str">
        <f t="shared" si="133"/>
        <v>#REF!</v>
      </c>
      <c r="EK80" s="138" t="str">
        <f>EJ80*VLOOKUP('Données projet (1)'!$B$15,'Paramètres (1)'!$A$1:$I$88,3,0)*VLOOKUP('Données projet (1)'!$B$15,'Paramètres (1)'!$A$1:$I$88,5,0)</f>
        <v>#REF!</v>
      </c>
      <c r="EL80" s="130" t="str">
        <f t="shared" si="134"/>
        <v>#REF!</v>
      </c>
      <c r="EM80" s="141" t="str">
        <f t="shared" si="69"/>
        <v>#REF!</v>
      </c>
      <c r="EN80" s="133" t="str">
        <f t="shared" si="70"/>
        <v>#REF!</v>
      </c>
      <c r="EO80" s="133" t="str">
        <f t="shared" si="71"/>
        <v>#REF!</v>
      </c>
      <c r="EP80" s="133" t="str">
        <f t="shared" si="135"/>
        <v>#REF!</v>
      </c>
      <c r="EQ80" s="134" t="str">
        <f t="shared" si="72"/>
        <v>#REF!</v>
      </c>
      <c r="ER80" s="134" t="str">
        <f t="shared" si="73"/>
        <v>#REF!</v>
      </c>
      <c r="ES80" s="135" t="str">
        <f>IF(ISNA(VLOOKUP(A80,'Données projet (1)'!$A$191:$I$211,5,0)),0%,VLOOKUP(A80,'Données projet (1)'!$A$191:$I$211,5,0)*VLOOKUP('Données projet (1)'!$B$15,'Paramètres (1)'!$A$1:$I$88,7,0))</f>
        <v>#REF!</v>
      </c>
      <c r="ET80" s="135" t="str">
        <f>IF(ISNA(VLOOKUP(A80,'Données projet (1)'!$A$191:$I$211,6,0)),0%,VLOOKUP(A80,'Données projet (1)'!$A$191:$I$211,6,0)*VLOOKUP('Données projet (1)'!$B$15,'Paramètres (1)'!$A$1:$I$88,7,0))</f>
        <v>#REF!</v>
      </c>
      <c r="EU80" s="135" t="str">
        <f t="shared" si="74"/>
        <v>#REF!</v>
      </c>
      <c r="EV80" s="142" t="str">
        <f>EXP(-LN(2)/35)*EV79+(1-EXP(-LN(2)/35))/(LN(2)/35)*ER80*ES80*VLOOKUP('Données projet (1)'!$B$15,'Paramètres (1)'!$A$1:$I$88,3,0)*0.475*44/12</f>
        <v>#REF!</v>
      </c>
      <c r="EW80" s="142" t="str">
        <f>EXP(-LN(2)/25)*EW79+(1-EXP(-LN(2)/25))/(LN(2)/25)*'Calculateur (1)'!ER80*'Calculateur (1)'!ET80*VLOOKUP('Données projet (1)'!$B$15,'Paramètres (1)'!$A$1:$I$88,3,0)*0.475*44/12</f>
        <v>#REF!</v>
      </c>
      <c r="EX80" s="142" t="str">
        <f>EXP(-LN(2)/2)*EX79+(1-EXP(-LN(2)/2))/(LN(2)/2)*ER80*EU80*VLOOKUP('Données projet (1)'!$B$15,'Paramètres (1)'!$A$1:$I$88,3,0)*0.475*44/12</f>
        <v>#REF!</v>
      </c>
      <c r="EY80" s="143" t="str">
        <f t="shared" si="75"/>
        <v>#REF!</v>
      </c>
      <c r="EZ80" s="139" t="str">
        <f t="shared" si="76"/>
        <v>#REF!</v>
      </c>
      <c r="FA80" s="131">
        <f t="shared" si="77"/>
        <v>10</v>
      </c>
      <c r="FB80" s="131" t="str">
        <f t="shared" si="136"/>
        <v>#REF!</v>
      </c>
      <c r="FC80" s="131" t="str">
        <f t="shared" si="78"/>
        <v>#REF!</v>
      </c>
      <c r="FD80" s="131" t="str">
        <f t="array" ref="FD80">INDEX(FC:FC,MIN(IF(ISNUMBER(FC80:FC276),ROW(FC80:FC276),"")))</f>
        <v/>
      </c>
      <c r="FE80" s="131" t="str">
        <f t="shared" si="137"/>
        <v>#REF!</v>
      </c>
      <c r="FF80" s="138" t="str">
        <f>FE80*VLOOKUP('Données projet (1)'!$B$16,'Paramètres (1)'!$A$1:$I$88,3,0)*VLOOKUP('Données projet (1)'!$B$16,'Paramètres (1)'!$A$1:$I$88,5,0)</f>
        <v>#REF!</v>
      </c>
      <c r="FG80" s="130" t="str">
        <f t="shared" si="138"/>
        <v>#REF!</v>
      </c>
      <c r="FH80" s="141" t="str">
        <f t="shared" si="79"/>
        <v>#REF!</v>
      </c>
      <c r="FI80" s="133" t="str">
        <f t="shared" si="80"/>
        <v>#REF!</v>
      </c>
      <c r="FJ80" s="133" t="str">
        <f t="shared" si="81"/>
        <v>#REF!</v>
      </c>
      <c r="FK80" s="133" t="str">
        <f t="shared" si="139"/>
        <v>#REF!</v>
      </c>
      <c r="FL80" s="134" t="str">
        <f t="shared" si="82"/>
        <v>#REF!</v>
      </c>
      <c r="FM80" s="134" t="str">
        <f t="shared" si="83"/>
        <v>#REF!</v>
      </c>
      <c r="FN80" s="135" t="str">
        <f>IF(ISNA(VLOOKUP(A80,'Données projet (1)'!$A$217:$I$237,5,0)),0%,VLOOKUP(A80,'Données projet (1)'!$A$217:$I$237,5,0)*VLOOKUP('Données projet (1)'!$B$16,'Paramètres (1)'!$A$1:$I$88,7,0))</f>
        <v>#REF!</v>
      </c>
      <c r="FO80" s="135" t="str">
        <f>IF(ISNA(VLOOKUP(A80,'Données projet (1)'!$A$217:$I$237,6,0)),0%,VLOOKUP(A80,'Données projet (1)'!$A$217:$I$237,6,0)*VLOOKUP('Données projet (1)'!$B$16,'Paramètres (1)'!$A$1:$I$88,7,0))</f>
        <v>#REF!</v>
      </c>
      <c r="FP80" s="135" t="str">
        <f t="shared" si="84"/>
        <v>#REF!</v>
      </c>
      <c r="FQ80" s="142" t="str">
        <f>EXP(-LN(2)/35)*FQ79+(1-EXP(-LN(2)/35))/(LN(2)/35)*FM80*FN80*VLOOKUP('Données projet (1)'!$B$16,'Paramètres (1)'!$A$1:$I$88,3,0)*0.475*44/12</f>
        <v>#REF!</v>
      </c>
      <c r="FR80" s="142" t="str">
        <f>EXP(-LN(2)/25)*FR79+(1-EXP(-LN(2)/25))/(LN(2)/25)*'Calculateur (1)'!FM80*'Calculateur (1)'!FO80*VLOOKUP('Données projet (1)'!$B$16,'Paramètres (1)'!$A$1:$I$88,3,0)*0.475*44/12</f>
        <v>#REF!</v>
      </c>
      <c r="FS80" s="142" t="str">
        <f>EXP(-LN(2)/2)*FS79+(1-EXP(-LN(2)/2))/(LN(2)/2)*FM80*FP80*VLOOKUP('Données projet (1)'!$B$16,'Paramètres (1)'!$A$1:$I$88,3,0)*0.475*44/12</f>
        <v>#REF!</v>
      </c>
      <c r="FT80" s="143" t="str">
        <f t="shared" si="85"/>
        <v>#REF!</v>
      </c>
      <c r="FU80" s="139" t="str">
        <f t="shared" si="86"/>
        <v>#REF!</v>
      </c>
      <c r="FV80" s="131">
        <f t="shared" si="87"/>
        <v>10</v>
      </c>
      <c r="FW80" s="131" t="str">
        <f t="shared" si="140"/>
        <v>#REF!</v>
      </c>
      <c r="FX80" s="131" t="str">
        <f t="shared" si="88"/>
        <v>#REF!</v>
      </c>
      <c r="FY80" s="131" t="str">
        <f t="array" ref="FY80">INDEX(FX:FX,MIN(IF(ISNUMBER(FX80:FX276),ROW(FX80:FX276),"")))</f>
        <v/>
      </c>
      <c r="FZ80" s="131" t="str">
        <f t="shared" si="141"/>
        <v>#REF!</v>
      </c>
      <c r="GA80" s="138" t="str">
        <f>FZ80*VLOOKUP('Données projet (1)'!$B$17,'Paramètres (1)'!$A$1:$I$88,3,0)*VLOOKUP('Données projet (1)'!$B$17,'Paramètres (1)'!$A$1:$I$88,5,0)</f>
        <v>#REF!</v>
      </c>
      <c r="GB80" s="130" t="str">
        <f t="shared" si="142"/>
        <v>#REF!</v>
      </c>
      <c r="GC80" s="141" t="str">
        <f t="shared" si="89"/>
        <v>#REF!</v>
      </c>
      <c r="GD80" s="133" t="str">
        <f t="shared" si="90"/>
        <v>#REF!</v>
      </c>
      <c r="GE80" s="133" t="str">
        <f t="shared" si="91"/>
        <v>#REF!</v>
      </c>
      <c r="GF80" s="133" t="str">
        <f t="shared" si="143"/>
        <v>#REF!</v>
      </c>
      <c r="GG80" s="134" t="str">
        <f t="shared" si="92"/>
        <v>#REF!</v>
      </c>
      <c r="GH80" s="134" t="str">
        <f t="shared" si="93"/>
        <v>#REF!</v>
      </c>
      <c r="GI80" s="135" t="str">
        <f>IF(ISNA(VLOOKUP(A80,'Données projet (1)'!$A$243:$I$263,5,0)),0%,VLOOKUP(A80,'Données projet (1)'!$A$243:$I$263,5,0)*VLOOKUP('Données projet (1)'!$B$17,'Paramètres (1)'!$A$1:$I$88,7,0))</f>
        <v>#REF!</v>
      </c>
      <c r="GJ80" s="135" t="str">
        <f>IF(ISNA(VLOOKUP(A80,'Données projet (1)'!$A$243:$I$263,6,0)),0%,VLOOKUP(A80,'Données projet (1)'!$A$243:$I$263,6,0)*VLOOKUP('Données projet (1)'!$B$17,'Paramètres (1)'!$A$1:$I$88,7,0))</f>
        <v>#REF!</v>
      </c>
      <c r="GK80" s="135" t="str">
        <f t="shared" si="94"/>
        <v>#REF!</v>
      </c>
      <c r="GL80" s="142" t="str">
        <f>EXP(-LN(2)/35)*GL79+(1-EXP(-LN(2)/35))/(LN(2)/35)*GH80*GI80*VLOOKUP('Données projet (1)'!$B$17,'Paramètres (1)'!$A$1:$I$88,3,0)*0.475*44/12</f>
        <v>#REF!</v>
      </c>
      <c r="GM80" s="142" t="str">
        <f>EXP(-LN(2)/25)*GM79+(1-EXP(-LN(2)/25))/(LN(2)/25)*'Calculateur (1)'!GH80*'Calculateur (1)'!GJ80*VLOOKUP('Données projet (1)'!$B$17,'Paramètres (1)'!$A$1:$I$88,3,0)*0.475*44/12</f>
        <v>#REF!</v>
      </c>
      <c r="GN80" s="142" t="str">
        <f>EXP(-LN(2)/2)*GN79+(1-EXP(-LN(2)/2))/(LN(2)/2)*GH80*GK80*VLOOKUP('Données projet (1)'!$B$17,'Paramètres (1)'!$A$1:$I$88,3,0)*0.475*44/12</f>
        <v>#REF!</v>
      </c>
      <c r="GO80" s="142" t="str">
        <f t="shared" si="95"/>
        <v>#REF!</v>
      </c>
      <c r="GP80" s="139" t="str">
        <f t="shared" si="96"/>
        <v>#REF!</v>
      </c>
      <c r="GQ80" s="131">
        <f t="shared" si="97"/>
        <v>10</v>
      </c>
      <c r="GR80" s="131" t="str">
        <f t="shared" si="144"/>
        <v>#REF!</v>
      </c>
      <c r="GS80" s="131" t="str">
        <f t="shared" si="98"/>
        <v>#REF!</v>
      </c>
      <c r="GT80" s="131" t="str">
        <f t="array" ref="GT80">INDEX(GS:GS,MIN(IF(ISNUMBER(GS80:GS276),ROW(GS80:GS276),"")))</f>
        <v/>
      </c>
      <c r="GU80" s="131" t="str">
        <f t="shared" si="145"/>
        <v>#REF!</v>
      </c>
      <c r="GV80" s="138" t="str">
        <f>GU80*VLOOKUP('Données projet (1)'!$B$18,'Paramètres (1)'!$A$1:$I$88,3,0)*VLOOKUP('Données projet (1)'!$B$18,'Paramètres (1)'!$A$1:$I$88,5,0)</f>
        <v>#REF!</v>
      </c>
      <c r="GW80" s="130" t="str">
        <f t="shared" si="146"/>
        <v>#REF!</v>
      </c>
      <c r="GX80" s="141" t="str">
        <f t="shared" si="99"/>
        <v>#REF!</v>
      </c>
      <c r="GY80" s="133" t="str">
        <f t="shared" si="100"/>
        <v>#REF!</v>
      </c>
      <c r="GZ80" s="133" t="str">
        <f t="shared" si="101"/>
        <v>#REF!</v>
      </c>
      <c r="HA80" s="133" t="str">
        <f t="shared" si="147"/>
        <v>#REF!</v>
      </c>
      <c r="HB80" s="134" t="str">
        <f t="shared" si="102"/>
        <v>#REF!</v>
      </c>
      <c r="HC80" s="134" t="str">
        <f t="shared" si="103"/>
        <v>#REF!</v>
      </c>
      <c r="HD80" s="135" t="str">
        <f>IF(ISNA(VLOOKUP(A80,'Données projet (1)'!$A$269:$I$289,5,0)),0%,VLOOKUP(A80,'Données projet (1)'!$A$269:$I$289,5,0)*VLOOKUP('Données projet (1)'!$B$18,'Paramètres (1)'!$A$1:$I$88,7,0))</f>
        <v>#REF!</v>
      </c>
      <c r="HE80" s="135" t="str">
        <f>IF(ISNA(VLOOKUP(A80,'Données projet (1)'!$A$269:$I$289,6,0)),0%,VLOOKUP(A80,'Données projet (1)'!$A$269:$I$289,6,0)*VLOOKUP('Données projet (1)'!$B$18,'Paramètres (1)'!$A$1:$I$88,7,0))</f>
        <v>#REF!</v>
      </c>
      <c r="HF80" s="135" t="str">
        <f t="shared" si="104"/>
        <v>#REF!</v>
      </c>
      <c r="HG80" s="142" t="str">
        <f>EXP(-LN(2)/35)*HG79+(1-EXP(-LN(2)/35))/(LN(2)/35)*HC80*HD80*VLOOKUP('Données projet (1)'!$B$18,'Paramètres (1)'!$A$1:$I$88,3,0)*0.475*44/12</f>
        <v>#REF!</v>
      </c>
      <c r="HH80" s="142" t="str">
        <f>EXP(-LN(2)/25)*HH79+(1-EXP(-LN(2)/25))/(LN(2)/25)*'Calculateur (1)'!HC80*'Calculateur (1)'!HE80*VLOOKUP('Données projet (1)'!$B$18,'Paramètres (1)'!$A$1:$I$88,3,0)*0.475*44/12</f>
        <v>#REF!</v>
      </c>
      <c r="HI80" s="142" t="str">
        <f>EXP(-LN(2)/2)*HI79+(1-EXP(-LN(2)/2))/(LN(2)/2)*HC80*HF80*VLOOKUP('Données projet (1)'!$B$18,'Paramètres (1)'!$A$1:$I$88,3,0)*0.475*44/12</f>
        <v>#REF!</v>
      </c>
      <c r="HJ80" s="143" t="str">
        <f t="shared" si="105"/>
        <v>#REF!</v>
      </c>
    </row>
    <row r="81" ht="14.25" customHeight="1">
      <c r="A81" s="125">
        <f t="shared" si="106"/>
        <v>78</v>
      </c>
      <c r="B81" s="126" t="str">
        <f t="shared" si="1"/>
        <v>#REF!</v>
      </c>
      <c r="C81" s="140" t="str">
        <f>'Calculateur (1)'!C80+'Scénario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1" s="127">
        <f t="shared" si="107"/>
        <v>0</v>
      </c>
      <c r="E81" s="127" t="str">
        <f t="shared" si="2"/>
        <v>#REF!</v>
      </c>
      <c r="F81" s="127" t="str">
        <f t="shared" si="3"/>
        <v>#REF!</v>
      </c>
      <c r="G81" s="127" t="str">
        <f t="shared" si="4"/>
        <v>#REF!</v>
      </c>
      <c r="H81" s="128" t="str">
        <f t="shared" si="5"/>
        <v>#REF!</v>
      </c>
      <c r="I81" s="129" t="str">
        <f t="shared" si="6"/>
        <v>#REF!</v>
      </c>
      <c r="J81" s="130">
        <f t="shared" si="7"/>
        <v>10</v>
      </c>
      <c r="K81" s="131" t="str">
        <f t="shared" si="108"/>
        <v>#REF!</v>
      </c>
      <c r="L81" s="131" t="str">
        <f t="shared" si="8"/>
        <v>#REF!</v>
      </c>
      <c r="M81" s="131" t="str">
        <f t="array" ref="M81">INDEX(L:L,MIN(IF(ISNUMBER(L81:L277),ROW(L81:L277),"")))</f>
        <v/>
      </c>
      <c r="N81" s="130" t="str">
        <f t="shared" si="109"/>
        <v>#REF!</v>
      </c>
      <c r="O81" s="130" t="str">
        <f>N81*VLOOKUP('Données projet (1)'!$B$9,'Paramètres (1)'!$A$1:$I$88,3,0)*VLOOKUP('Données projet (1)'!$B$9,'Paramètres (1)'!$A$1:$I$88,5,0)</f>
        <v>#REF!</v>
      </c>
      <c r="P81" s="130" t="str">
        <f t="shared" si="110"/>
        <v>#REF!</v>
      </c>
      <c r="Q81" s="141" t="str">
        <f t="shared" si="9"/>
        <v>#REF!</v>
      </c>
      <c r="R81" s="133" t="str">
        <f t="shared" si="10"/>
        <v>#REF!</v>
      </c>
      <c r="S81" s="133" t="str">
        <f t="shared" si="11"/>
        <v>#REF!</v>
      </c>
      <c r="T81" s="133" t="str">
        <f t="shared" si="111"/>
        <v>#REF!</v>
      </c>
      <c r="U81" s="134" t="str">
        <f t="shared" si="12"/>
        <v>#REF!</v>
      </c>
      <c r="V81" s="134" t="str">
        <f t="shared" si="13"/>
        <v>#REF!</v>
      </c>
      <c r="W81" s="135" t="str">
        <f>IF(ISNA(VLOOKUP(A81,'Données projet (1)'!$A$35:$I$55,5,0)),0%,VLOOKUP(A81,'Données projet (1)'!$A$35:$I$55,5,0)*VLOOKUP('Données projet (1)'!$B$9,'Paramètres (1)'!$A$1:$I$88,7,0))</f>
        <v>#REF!</v>
      </c>
      <c r="X81" s="135" t="str">
        <f>IF(ISNA(VLOOKUP(A81,'Données projet (1)'!$A$35:$I$55,6,0)),0%,VLOOKUP(A81,'Données projet (1)'!$A$35:$I$55,6,0)*VLOOKUP('Données projet (1)'!$B$9,'Paramètres (1)'!$A$1:$I$88,7,0))</f>
        <v>#REF!</v>
      </c>
      <c r="Y81" s="135" t="str">
        <f t="shared" si="14"/>
        <v>#REF!</v>
      </c>
      <c r="Z81" s="142" t="str">
        <f>EXP(-LN(2)/35)*Z80+(1-EXP(-LN(2)/35))/(LN(2)/35)*V81*W81*VLOOKUP('Données projet (1)'!$B$9,'Paramètres (1)'!$A$1:$I$88,3,0)*0.475*44/12</f>
        <v>#REF!</v>
      </c>
      <c r="AA81" s="142" t="str">
        <f>EXP(-LN(2)/25)*AA80+(1-EXP(-LN(2)/25))/(LN(2)/25)*'Calculateur (1)'!V81*'Calculateur (1)'!X81*VLOOKUP('Données projet (1)'!$B$9,'Paramètres (1)'!$A$1:$I$88,3,0)*0.475*44/12</f>
        <v>#REF!</v>
      </c>
      <c r="AB81" s="142" t="str">
        <f>EXP(-LN(2)/2)*AB80+(1-EXP(-LN(2)/2))/(LN(2)/2)*V81*Y81*VLOOKUP('Données projet (1)'!$B$9,'Paramètres (1)'!$A$1:$I$88,3,0)*0.475*44/12</f>
        <v>#REF!</v>
      </c>
      <c r="AC81" s="143" t="str">
        <f t="shared" si="15"/>
        <v>#REF!</v>
      </c>
      <c r="AD81" s="130" t="str">
        <f t="shared" si="16"/>
        <v>#REF!</v>
      </c>
      <c r="AE81" s="130">
        <f t="shared" si="17"/>
        <v>10</v>
      </c>
      <c r="AF81" s="131" t="str">
        <f t="shared" si="112"/>
        <v>#REF!</v>
      </c>
      <c r="AG81" s="131" t="str">
        <f t="shared" si="18"/>
        <v>#REF!</v>
      </c>
      <c r="AH81" s="131" t="str">
        <f t="array" ref="AH81">INDEX(AG:AG,MIN(IF(ISNUMBER(AG81:AG277),ROW(AG81:AG277),"")))</f>
        <v/>
      </c>
      <c r="AI81" s="130" t="str">
        <f t="shared" si="113"/>
        <v>#REF!</v>
      </c>
      <c r="AJ81" s="130" t="str">
        <f>AI81*VLOOKUP('Données projet (1)'!$B$10,'Paramètres (1)'!$A$1:$I$88,3,0)*VLOOKUP('Données projet (1)'!$B$10,'Paramètres (1)'!$A$1:$I$88,5,0)</f>
        <v>#REF!</v>
      </c>
      <c r="AK81" s="130" t="str">
        <f t="shared" si="114"/>
        <v>#REF!</v>
      </c>
      <c r="AL81" s="141" t="str">
        <f t="shared" si="19"/>
        <v>#REF!</v>
      </c>
      <c r="AM81" s="133" t="str">
        <f t="shared" si="20"/>
        <v>#REF!</v>
      </c>
      <c r="AN81" s="133" t="str">
        <f t="shared" si="21"/>
        <v>#REF!</v>
      </c>
      <c r="AO81" s="133" t="str">
        <f t="shared" si="115"/>
        <v>#REF!</v>
      </c>
      <c r="AP81" s="134" t="str">
        <f t="shared" si="22"/>
        <v>#REF!</v>
      </c>
      <c r="AQ81" s="134" t="str">
        <f t="shared" si="23"/>
        <v>#REF!</v>
      </c>
      <c r="AR81" s="135" t="str">
        <f>IF(ISNA(VLOOKUP(A81,'Données projet (1)'!$A$61:$I$81,5,0)),0%,VLOOKUP(A81,'Données projet (1)'!$A$61:$I$81,5,0)*VLOOKUP('Données projet (1)'!$B$10,'Paramètres (1)'!$A$1:$I$88,7,0))</f>
        <v>#REF!</v>
      </c>
      <c r="AS81" s="135" t="str">
        <f>IF(ISNA(VLOOKUP(A81,'Données projet (1)'!$A$61:$I$81,6,0)),0%,VLOOKUP(A81,'Données projet (1)'!$A$61:$I$81,6,0)*VLOOKUP('Données projet (1)'!$B$10,'Paramètres (1)'!$A$1:$I$88,7,0))</f>
        <v>#REF!</v>
      </c>
      <c r="AT81" s="135" t="str">
        <f t="shared" si="24"/>
        <v>#REF!</v>
      </c>
      <c r="AU81" s="142" t="str">
        <f>EXP(-LN(2)/35)*AU80+(1-EXP(-LN(2)/35))/(LN(2)/35)*AQ81*AR81*VLOOKUP('Données projet (1)'!$B$10,'Paramètres (1)'!$A$1:$I$88,3,0)*0.475*44/12</f>
        <v>#REF!</v>
      </c>
      <c r="AV81" s="142" t="str">
        <f>EXP(-LN(2)/25)*AV80+(1-EXP(-LN(2)/25))/(LN(2)/25)*'Calculateur (1)'!AQ81*'Calculateur (1)'!AS81*VLOOKUP('Données projet (1)'!$B$10,'Paramètres (1)'!$A$1:$I$88,3,0)*0.475*44/12</f>
        <v>#REF!</v>
      </c>
      <c r="AW81" s="142" t="str">
        <f>EXP(-LN(2)/2)*AW80+(1-EXP(-LN(2)/2))/(LN(2)/2)*AQ81*AT81*VLOOKUP('Données projet (1)'!$B$10,'Paramètres (1)'!$A$1:$I$88,3,0)*0.475*44/12</f>
        <v>#REF!</v>
      </c>
      <c r="AX81" s="142" t="str">
        <f t="shared" si="25"/>
        <v>#REF!</v>
      </c>
      <c r="AY81" s="137" t="str">
        <f t="shared" si="26"/>
        <v>#REF!</v>
      </c>
      <c r="AZ81" s="131">
        <f t="shared" si="27"/>
        <v>10</v>
      </c>
      <c r="BA81" s="131" t="str">
        <f t="shared" si="116"/>
        <v>#REF!</v>
      </c>
      <c r="BB81" s="131" t="str">
        <f t="shared" si="28"/>
        <v>#REF!</v>
      </c>
      <c r="BC81" s="131" t="str">
        <f t="array" ref="BC81">INDEX(BB:BB,MIN(IF(ISNUMBER(BB81:BB277),ROW(BB81:BB277),"")))</f>
        <v/>
      </c>
      <c r="BD81" s="131" t="str">
        <f t="shared" si="117"/>
        <v>#REF!</v>
      </c>
      <c r="BE81" s="130" t="str">
        <f>BD81*VLOOKUP('Données projet (1)'!$B$11,'Paramètres (1)'!$A$1:$I$88,3,0)*VLOOKUP('Données projet (1)'!$B$11,'Paramètres (1)'!$A$1:$I$88,5,0)</f>
        <v>#REF!</v>
      </c>
      <c r="BF81" s="130" t="str">
        <f t="shared" si="118"/>
        <v>#REF!</v>
      </c>
      <c r="BG81" s="141" t="str">
        <f t="shared" si="29"/>
        <v>#REF!</v>
      </c>
      <c r="BH81" s="133" t="str">
        <f t="shared" si="30"/>
        <v>#REF!</v>
      </c>
      <c r="BI81" s="133" t="str">
        <f t="shared" si="31"/>
        <v>#REF!</v>
      </c>
      <c r="BJ81" s="133" t="str">
        <f t="shared" si="119"/>
        <v>#REF!</v>
      </c>
      <c r="BK81" s="134" t="str">
        <f t="shared" si="32"/>
        <v>#REF!</v>
      </c>
      <c r="BL81" s="134" t="str">
        <f t="shared" si="33"/>
        <v>#REF!</v>
      </c>
      <c r="BM81" s="135" t="str">
        <f>IF(ISNA(VLOOKUP(A81,'Données projet (1)'!$A$87:$I$107,5,0)),0%,VLOOKUP(A81,'Données projet (1)'!$A$87:$I$107,5,0)*VLOOKUP('Données projet (1)'!$B$11,'Paramètres (1)'!$A$1:$I$88,7,0))</f>
        <v>#REF!</v>
      </c>
      <c r="BN81" s="135" t="str">
        <f>IF(ISNA(VLOOKUP(A81,'Données projet (1)'!$A$87:$I$107,6,0)),0%,VLOOKUP(A81,'Données projet (1)'!$A$87:$I$107,6,0)*VLOOKUP('Données projet (1)'!$B$11,'Paramètres (1)'!$A$1:$I$88,7,0))</f>
        <v>#REF!</v>
      </c>
      <c r="BO81" s="135" t="str">
        <f t="shared" si="34"/>
        <v>#REF!</v>
      </c>
      <c r="BP81" s="142" t="str">
        <f>EXP(-LN(2)/35)*BP80+(1-EXP(-LN(2)/35))/(LN(2)/35)*BL81*BM81*VLOOKUP('Données projet (1)'!$B$11,'Paramètres (1)'!$A$1:$I$88,3,0)*0.475*44/12</f>
        <v>#REF!</v>
      </c>
      <c r="BQ81" s="142" t="str">
        <f>EXP(-LN(2)/25)*BQ80+(1-EXP(-LN(2)/25))/(LN(2)/25)*'Calculateur (1)'!BL81*'Calculateur (1)'!BN81*VLOOKUP('Données projet (1)'!$B$11,'Paramètres (1)'!$A$1:$I$88,3,0)*0.475*44/12</f>
        <v>#REF!</v>
      </c>
      <c r="BR81" s="142" t="str">
        <f>EXP(-LN(2)/2)*BR80+(1-EXP(-LN(2)/2))/(LN(2)/2)*BL81*BO81*VLOOKUP('Données projet (1)'!$B$11,'Paramètres (1)'!$A$1:$I$88,3,0)*0.475*44/12</f>
        <v>#REF!</v>
      </c>
      <c r="BS81" s="143" t="str">
        <f t="shared" si="35"/>
        <v>#REF!</v>
      </c>
      <c r="BT81" s="139" t="str">
        <f t="shared" si="36"/>
        <v>#REF!</v>
      </c>
      <c r="BU81" s="131">
        <f t="shared" si="37"/>
        <v>10</v>
      </c>
      <c r="BV81" s="131" t="str">
        <f t="shared" si="120"/>
        <v>#REF!</v>
      </c>
      <c r="BW81" s="131" t="str">
        <f t="shared" si="38"/>
        <v>#REF!</v>
      </c>
      <c r="BX81" s="131" t="str">
        <f t="array" ref="BX81">INDEX(BW:BW,MIN(IF(ISNUMBER(BW81:BW277),ROW(BW81:BW277),"")))</f>
        <v/>
      </c>
      <c r="BY81" s="131" t="str">
        <f t="shared" si="121"/>
        <v>#REF!</v>
      </c>
      <c r="BZ81" s="130" t="str">
        <f>BY81*VLOOKUP('Données projet (1)'!$B$12,'Paramètres (1)'!$A$1:$I$88,3,0)*VLOOKUP('Données projet (1)'!$B$12,'Paramètres (1)'!$A$1:$I$88,5,0)</f>
        <v>#REF!</v>
      </c>
      <c r="CA81" s="130" t="str">
        <f t="shared" si="122"/>
        <v>#REF!</v>
      </c>
      <c r="CB81" s="141" t="str">
        <f t="shared" si="39"/>
        <v>#REF!</v>
      </c>
      <c r="CC81" s="133" t="str">
        <f t="shared" si="40"/>
        <v>#REF!</v>
      </c>
      <c r="CD81" s="133" t="str">
        <f t="shared" si="41"/>
        <v>#REF!</v>
      </c>
      <c r="CE81" s="133" t="str">
        <f t="shared" si="123"/>
        <v>#REF!</v>
      </c>
      <c r="CF81" s="134" t="str">
        <f t="shared" si="42"/>
        <v>#REF!</v>
      </c>
      <c r="CG81" s="134" t="str">
        <f t="shared" si="43"/>
        <v>#REF!</v>
      </c>
      <c r="CH81" s="135" t="str">
        <f>IF(ISNA(VLOOKUP(A81,'Données projet (1)'!$A$113:$I$133,5,0)),0%,VLOOKUP(A81,'Données projet (1)'!$A$113:$I$133,5,0)*VLOOKUP('Données projet (1)'!$B$12,'Paramètres (1)'!$A$1:$I$88,7,0))</f>
        <v>#REF!</v>
      </c>
      <c r="CI81" s="135" t="str">
        <f>IF(ISNA(VLOOKUP(A81,'Données projet (1)'!$A$113:$I$133,6,0)),0%,VLOOKUP(A81,'Données projet (1)'!$A$113:$I$133,6,0)*VLOOKUP('Données projet (1)'!$B$12,'Paramètres (1)'!$A$1:$I$88,7,0))</f>
        <v>#REF!</v>
      </c>
      <c r="CJ81" s="135" t="str">
        <f t="shared" si="44"/>
        <v>#REF!</v>
      </c>
      <c r="CK81" s="142" t="str">
        <f>EXP(-LN(2)/35)*CK80+(1-EXP(-LN(2)/35))/(LN(2)/35)*CG81*CH81*VLOOKUP('Données projet (1)'!$B$12,'Paramètres (1)'!$A$1:$I$88,3,0)*0.475*44/12</f>
        <v>#REF!</v>
      </c>
      <c r="CL81" s="142" t="str">
        <f>EXP(-LN(2)/25)*CL80+(1-EXP(-LN(2)/25))/(LN(2)/25)*'Calculateur (1)'!CG81*'Calculateur (1)'!CI81*VLOOKUP('Données projet (1)'!$B$12,'Paramètres (1)'!$A$1:$I$88,3,0)*0.475*44/12</f>
        <v>#REF!</v>
      </c>
      <c r="CM81" s="142" t="str">
        <f>EXP(-LN(2)/2)*CM80+(1-EXP(-LN(2)/2))/(LN(2)/2)*CG81*CJ81*VLOOKUP('Données projet (1)'!$B$12,'Paramètres (1)'!$A$1:$I$88,3,0)*0.475*44/12</f>
        <v>#REF!</v>
      </c>
      <c r="CN81" s="143" t="str">
        <f t="shared" si="45"/>
        <v>#REF!</v>
      </c>
      <c r="CO81" s="139" t="str">
        <f t="shared" si="46"/>
        <v>#REF!</v>
      </c>
      <c r="CP81" s="131">
        <f t="shared" si="47"/>
        <v>10</v>
      </c>
      <c r="CQ81" s="131" t="str">
        <f t="shared" si="124"/>
        <v>#REF!</v>
      </c>
      <c r="CR81" s="131" t="str">
        <f t="shared" si="48"/>
        <v>#REF!</v>
      </c>
      <c r="CS81" s="131" t="str">
        <f t="array" ref="CS81">INDEX(CR:CR,MIN(IF(ISNUMBER(CR81:CR277),ROW(CR81:CR277),"")))</f>
        <v/>
      </c>
      <c r="CT81" s="131" t="str">
        <f t="shared" si="125"/>
        <v>#REF!</v>
      </c>
      <c r="CU81" s="138" t="str">
        <f>CT81*VLOOKUP('Données projet (1)'!$B$13,'Paramètres (1)'!$A$1:$I$88,3,0)*VLOOKUP('Données projet (1)'!$B$13,'Paramètres (1)'!$A$1:$I$88,5,0)</f>
        <v>#REF!</v>
      </c>
      <c r="CV81" s="130" t="str">
        <f t="shared" si="126"/>
        <v>#REF!</v>
      </c>
      <c r="CW81" s="141" t="str">
        <f t="shared" si="49"/>
        <v>#REF!</v>
      </c>
      <c r="CX81" s="133" t="str">
        <f t="shared" si="50"/>
        <v>#REF!</v>
      </c>
      <c r="CY81" s="133" t="str">
        <f t="shared" si="51"/>
        <v>#REF!</v>
      </c>
      <c r="CZ81" s="133" t="str">
        <f t="shared" si="127"/>
        <v>#REF!</v>
      </c>
      <c r="DA81" s="134" t="str">
        <f t="shared" si="52"/>
        <v>#REF!</v>
      </c>
      <c r="DB81" s="134" t="str">
        <f t="shared" si="53"/>
        <v>#REF!</v>
      </c>
      <c r="DC81" s="135" t="str">
        <f>IF(ISNA(VLOOKUP(A81,'Données projet (1)'!$A$139:$I$159,5,0)),0%,VLOOKUP(A81,'Données projet (1)'!$A$139:$I$159,5,0)*VLOOKUP('Données projet (1)'!$B$13,'Paramètres (1)'!$A$1:$I$88,7,0))</f>
        <v>#REF!</v>
      </c>
      <c r="DD81" s="135" t="str">
        <f>IF(ISNA(VLOOKUP(A81,'Données projet (1)'!$A$139:$I$159,6,0)),0%,VLOOKUP(A81,'Données projet (1)'!$A$139:$I$159,6,0)*VLOOKUP('Données projet (1)'!$B$13,'Paramètres (1)'!$A$1:$I$88,7,0))</f>
        <v>#REF!</v>
      </c>
      <c r="DE81" s="135" t="str">
        <f t="shared" si="54"/>
        <v>#REF!</v>
      </c>
      <c r="DF81" s="142" t="str">
        <f>EXP(-LN(2)/35)*DF80+(1-EXP(-LN(2)/35))/(LN(2)/35)*DB81*DC81*VLOOKUP('Données projet (1)'!$B$13,'Paramètres (1)'!$A$1:$I$88,3,0)*0.475*44/12</f>
        <v>#REF!</v>
      </c>
      <c r="DG81" s="142" t="str">
        <f>EXP(-LN(2)/25)*DG80+(1-EXP(-LN(2)/25))/(LN(2)/25)*'Calculateur (1)'!DB81*'Calculateur (1)'!DD81*VLOOKUP('Données projet (1)'!$B$13,'Paramètres (1)'!$A$1:$I$88,3,0)*0.475*44/12</f>
        <v>#REF!</v>
      </c>
      <c r="DH81" s="142" t="str">
        <f>EXP(-LN(2)/2)*DH80+(1-EXP(-LN(2)/2))/(LN(2)/2)*DB81*DE81*VLOOKUP('Données projet (1)'!$B$13,'Paramètres (1)'!$A$1:$I$88,3,0)*0.475*44/12</f>
        <v>#REF!</v>
      </c>
      <c r="DI81" s="143" t="str">
        <f t="shared" si="55"/>
        <v>#REF!</v>
      </c>
      <c r="DJ81" s="139" t="str">
        <f t="shared" si="56"/>
        <v>#REF!</v>
      </c>
      <c r="DK81" s="131">
        <f t="shared" si="57"/>
        <v>10</v>
      </c>
      <c r="DL81" s="131" t="str">
        <f t="shared" si="128"/>
        <v>#REF!</v>
      </c>
      <c r="DM81" s="131" t="str">
        <f t="shared" si="58"/>
        <v>#REF!</v>
      </c>
      <c r="DN81" s="131" t="str">
        <f t="array" ref="DN81">INDEX(DM:DM,MIN(IF(ISNUMBER(DM81:DM277),ROW(DM81:DM277),"")))</f>
        <v/>
      </c>
      <c r="DO81" s="131" t="str">
        <f t="shared" si="129"/>
        <v>#REF!</v>
      </c>
      <c r="DP81" s="138" t="str">
        <f>DO81*VLOOKUP('Données projet (1)'!$B$14,'Paramètres (1)'!$A$1:$I$88,3,0)*VLOOKUP('Données projet (1)'!$B$14,'Paramètres (1)'!$A$1:$I$88,5,0)</f>
        <v>#REF!</v>
      </c>
      <c r="DQ81" s="130" t="str">
        <f t="shared" si="130"/>
        <v>#REF!</v>
      </c>
      <c r="DR81" s="141" t="str">
        <f t="shared" si="59"/>
        <v>#REF!</v>
      </c>
      <c r="DS81" s="133" t="str">
        <f t="shared" si="60"/>
        <v>#REF!</v>
      </c>
      <c r="DT81" s="133" t="str">
        <f t="shared" si="61"/>
        <v>#REF!</v>
      </c>
      <c r="DU81" s="133" t="str">
        <f t="shared" si="131"/>
        <v>#REF!</v>
      </c>
      <c r="DV81" s="134" t="str">
        <f t="shared" si="62"/>
        <v>#REF!</v>
      </c>
      <c r="DW81" s="134" t="str">
        <f t="shared" si="63"/>
        <v>#REF!</v>
      </c>
      <c r="DX81" s="135" t="str">
        <f>IF(ISNA(VLOOKUP(A81,'Données projet (1)'!$A$165:$I$185,5,0)),0%,VLOOKUP(A81,'Données projet (1)'!$A$165:$I$185,5,0)*VLOOKUP('Données projet (1)'!$B$14,'Paramètres (1)'!$A$1:$I$88,7,0))</f>
        <v>#REF!</v>
      </c>
      <c r="DY81" s="135" t="str">
        <f>IF(ISNA(VLOOKUP(A81,'Données projet (1)'!$A$165:$I$185,6,0)),0%,VLOOKUP(A81,'Données projet (1)'!$A$165:$I$185,6,0)*VLOOKUP('Données projet (1)'!$B$14,'Paramètres (1)'!$A$1:$I$88,7,0))</f>
        <v>#REF!</v>
      </c>
      <c r="DZ81" s="135" t="str">
        <f t="shared" si="64"/>
        <v>#REF!</v>
      </c>
      <c r="EA81" s="142" t="str">
        <f>EXP(-LN(2)/35)*EA80+(1-EXP(-LN(2)/35))/(LN(2)/35)*DW81*DX81*VLOOKUP('Données projet (1)'!$B$14,'Paramètres (1)'!$A$1:$I$88,3,0)*0.475*44/12</f>
        <v>#REF!</v>
      </c>
      <c r="EB81" s="142" t="str">
        <f>EXP(-LN(2)/25)*EB80+(1-EXP(-LN(2)/25))/(LN(2)/25)*'Calculateur (1)'!DW81*'Calculateur (1)'!DY81*VLOOKUP('Données projet (1)'!$B$14,'Paramètres (1)'!$A$1:$I$88,3,0)*0.475*44/12</f>
        <v>#REF!</v>
      </c>
      <c r="EC81" s="142" t="str">
        <f>EXP(-LN(2)/2)*EC80+(1-EXP(-LN(2)/2))/(LN(2)/2)*DW81*DZ81*VLOOKUP('Données projet (1)'!$B$14,'Paramètres (1)'!$A$1:$I$88,3,0)*0.475*44/12</f>
        <v>#REF!</v>
      </c>
      <c r="ED81" s="143" t="str">
        <f t="shared" si="65"/>
        <v>#REF!</v>
      </c>
      <c r="EE81" s="139" t="str">
        <f t="shared" si="66"/>
        <v>#REF!</v>
      </c>
      <c r="EF81" s="131">
        <f t="shared" si="67"/>
        <v>10</v>
      </c>
      <c r="EG81" s="131" t="str">
        <f t="shared" si="132"/>
        <v>#REF!</v>
      </c>
      <c r="EH81" s="131" t="str">
        <f t="shared" si="68"/>
        <v>#REF!</v>
      </c>
      <c r="EI81" s="131" t="str">
        <f t="array" ref="EI81">INDEX(EH:EH,MIN(IF(ISNUMBER(EH81:EH277),ROW(EH81:EH277),"")))</f>
        <v/>
      </c>
      <c r="EJ81" s="131" t="str">
        <f t="shared" si="133"/>
        <v>#REF!</v>
      </c>
      <c r="EK81" s="138" t="str">
        <f>EJ81*VLOOKUP('Données projet (1)'!$B$15,'Paramètres (1)'!$A$1:$I$88,3,0)*VLOOKUP('Données projet (1)'!$B$15,'Paramètres (1)'!$A$1:$I$88,5,0)</f>
        <v>#REF!</v>
      </c>
      <c r="EL81" s="130" t="str">
        <f t="shared" si="134"/>
        <v>#REF!</v>
      </c>
      <c r="EM81" s="141" t="str">
        <f t="shared" si="69"/>
        <v>#REF!</v>
      </c>
      <c r="EN81" s="133" t="str">
        <f t="shared" si="70"/>
        <v>#REF!</v>
      </c>
      <c r="EO81" s="133" t="str">
        <f t="shared" si="71"/>
        <v>#REF!</v>
      </c>
      <c r="EP81" s="133" t="str">
        <f t="shared" si="135"/>
        <v>#REF!</v>
      </c>
      <c r="EQ81" s="134" t="str">
        <f t="shared" si="72"/>
        <v>#REF!</v>
      </c>
      <c r="ER81" s="134" t="str">
        <f t="shared" si="73"/>
        <v>#REF!</v>
      </c>
      <c r="ES81" s="135" t="str">
        <f>IF(ISNA(VLOOKUP(A81,'Données projet (1)'!$A$191:$I$211,5,0)),0%,VLOOKUP(A81,'Données projet (1)'!$A$191:$I$211,5,0)*VLOOKUP('Données projet (1)'!$B$15,'Paramètres (1)'!$A$1:$I$88,7,0))</f>
        <v>#REF!</v>
      </c>
      <c r="ET81" s="135" t="str">
        <f>IF(ISNA(VLOOKUP(A81,'Données projet (1)'!$A$191:$I$211,6,0)),0%,VLOOKUP(A81,'Données projet (1)'!$A$191:$I$211,6,0)*VLOOKUP('Données projet (1)'!$B$15,'Paramètres (1)'!$A$1:$I$88,7,0))</f>
        <v>#REF!</v>
      </c>
      <c r="EU81" s="135" t="str">
        <f t="shared" si="74"/>
        <v>#REF!</v>
      </c>
      <c r="EV81" s="142" t="str">
        <f>EXP(-LN(2)/35)*EV80+(1-EXP(-LN(2)/35))/(LN(2)/35)*ER81*ES81*VLOOKUP('Données projet (1)'!$B$15,'Paramètres (1)'!$A$1:$I$88,3,0)*0.475*44/12</f>
        <v>#REF!</v>
      </c>
      <c r="EW81" s="142" t="str">
        <f>EXP(-LN(2)/25)*EW80+(1-EXP(-LN(2)/25))/(LN(2)/25)*'Calculateur (1)'!ER81*'Calculateur (1)'!ET81*VLOOKUP('Données projet (1)'!$B$15,'Paramètres (1)'!$A$1:$I$88,3,0)*0.475*44/12</f>
        <v>#REF!</v>
      </c>
      <c r="EX81" s="142" t="str">
        <f>EXP(-LN(2)/2)*EX80+(1-EXP(-LN(2)/2))/(LN(2)/2)*ER81*EU81*VLOOKUP('Données projet (1)'!$B$15,'Paramètres (1)'!$A$1:$I$88,3,0)*0.475*44/12</f>
        <v>#REF!</v>
      </c>
      <c r="EY81" s="143" t="str">
        <f t="shared" si="75"/>
        <v>#REF!</v>
      </c>
      <c r="EZ81" s="139" t="str">
        <f t="shared" si="76"/>
        <v>#REF!</v>
      </c>
      <c r="FA81" s="131">
        <f t="shared" si="77"/>
        <v>10</v>
      </c>
      <c r="FB81" s="131" t="str">
        <f t="shared" si="136"/>
        <v>#REF!</v>
      </c>
      <c r="FC81" s="131" t="str">
        <f t="shared" si="78"/>
        <v>#REF!</v>
      </c>
      <c r="FD81" s="131" t="str">
        <f t="array" ref="FD81">INDEX(FC:FC,MIN(IF(ISNUMBER(FC81:FC277),ROW(FC81:FC277),"")))</f>
        <v/>
      </c>
      <c r="FE81" s="131" t="str">
        <f t="shared" si="137"/>
        <v>#REF!</v>
      </c>
      <c r="FF81" s="138" t="str">
        <f>FE81*VLOOKUP('Données projet (1)'!$B$16,'Paramètres (1)'!$A$1:$I$88,3,0)*VLOOKUP('Données projet (1)'!$B$16,'Paramètres (1)'!$A$1:$I$88,5,0)</f>
        <v>#REF!</v>
      </c>
      <c r="FG81" s="130" t="str">
        <f t="shared" si="138"/>
        <v>#REF!</v>
      </c>
      <c r="FH81" s="141" t="str">
        <f t="shared" si="79"/>
        <v>#REF!</v>
      </c>
      <c r="FI81" s="133" t="str">
        <f t="shared" si="80"/>
        <v>#REF!</v>
      </c>
      <c r="FJ81" s="133" t="str">
        <f t="shared" si="81"/>
        <v>#REF!</v>
      </c>
      <c r="FK81" s="133" t="str">
        <f t="shared" si="139"/>
        <v>#REF!</v>
      </c>
      <c r="FL81" s="134" t="str">
        <f t="shared" si="82"/>
        <v>#REF!</v>
      </c>
      <c r="FM81" s="134" t="str">
        <f t="shared" si="83"/>
        <v>#REF!</v>
      </c>
      <c r="FN81" s="135" t="str">
        <f>IF(ISNA(VLOOKUP(A81,'Données projet (1)'!$A$217:$I$237,5,0)),0%,VLOOKUP(A81,'Données projet (1)'!$A$217:$I$237,5,0)*VLOOKUP('Données projet (1)'!$B$16,'Paramètres (1)'!$A$1:$I$88,7,0))</f>
        <v>#REF!</v>
      </c>
      <c r="FO81" s="135" t="str">
        <f>IF(ISNA(VLOOKUP(A81,'Données projet (1)'!$A$217:$I$237,6,0)),0%,VLOOKUP(A81,'Données projet (1)'!$A$217:$I$237,6,0)*VLOOKUP('Données projet (1)'!$B$16,'Paramètres (1)'!$A$1:$I$88,7,0))</f>
        <v>#REF!</v>
      </c>
      <c r="FP81" s="135" t="str">
        <f t="shared" si="84"/>
        <v>#REF!</v>
      </c>
      <c r="FQ81" s="142" t="str">
        <f>EXP(-LN(2)/35)*FQ80+(1-EXP(-LN(2)/35))/(LN(2)/35)*FM81*FN81*VLOOKUP('Données projet (1)'!$B$16,'Paramètres (1)'!$A$1:$I$88,3,0)*0.475*44/12</f>
        <v>#REF!</v>
      </c>
      <c r="FR81" s="142" t="str">
        <f>EXP(-LN(2)/25)*FR80+(1-EXP(-LN(2)/25))/(LN(2)/25)*'Calculateur (1)'!FM81*'Calculateur (1)'!FO81*VLOOKUP('Données projet (1)'!$B$16,'Paramètres (1)'!$A$1:$I$88,3,0)*0.475*44/12</f>
        <v>#REF!</v>
      </c>
      <c r="FS81" s="142" t="str">
        <f>EXP(-LN(2)/2)*FS80+(1-EXP(-LN(2)/2))/(LN(2)/2)*FM81*FP81*VLOOKUP('Données projet (1)'!$B$16,'Paramètres (1)'!$A$1:$I$88,3,0)*0.475*44/12</f>
        <v>#REF!</v>
      </c>
      <c r="FT81" s="143" t="str">
        <f t="shared" si="85"/>
        <v>#REF!</v>
      </c>
      <c r="FU81" s="139" t="str">
        <f t="shared" si="86"/>
        <v>#REF!</v>
      </c>
      <c r="FV81" s="131">
        <f t="shared" si="87"/>
        <v>10</v>
      </c>
      <c r="FW81" s="131" t="str">
        <f t="shared" si="140"/>
        <v>#REF!</v>
      </c>
      <c r="FX81" s="131" t="str">
        <f t="shared" si="88"/>
        <v>#REF!</v>
      </c>
      <c r="FY81" s="131" t="str">
        <f t="array" ref="FY81">INDEX(FX:FX,MIN(IF(ISNUMBER(FX81:FX277),ROW(FX81:FX277),"")))</f>
        <v/>
      </c>
      <c r="FZ81" s="131" t="str">
        <f t="shared" si="141"/>
        <v>#REF!</v>
      </c>
      <c r="GA81" s="138" t="str">
        <f>FZ81*VLOOKUP('Données projet (1)'!$B$17,'Paramètres (1)'!$A$1:$I$88,3,0)*VLOOKUP('Données projet (1)'!$B$17,'Paramètres (1)'!$A$1:$I$88,5,0)</f>
        <v>#REF!</v>
      </c>
      <c r="GB81" s="130" t="str">
        <f t="shared" si="142"/>
        <v>#REF!</v>
      </c>
      <c r="GC81" s="141" t="str">
        <f t="shared" si="89"/>
        <v>#REF!</v>
      </c>
      <c r="GD81" s="133" t="str">
        <f t="shared" si="90"/>
        <v>#REF!</v>
      </c>
      <c r="GE81" s="133" t="str">
        <f t="shared" si="91"/>
        <v>#REF!</v>
      </c>
      <c r="GF81" s="133" t="str">
        <f t="shared" si="143"/>
        <v>#REF!</v>
      </c>
      <c r="GG81" s="134" t="str">
        <f t="shared" si="92"/>
        <v>#REF!</v>
      </c>
      <c r="GH81" s="134" t="str">
        <f t="shared" si="93"/>
        <v>#REF!</v>
      </c>
      <c r="GI81" s="135" t="str">
        <f>IF(ISNA(VLOOKUP(A81,'Données projet (1)'!$A$243:$I$263,5,0)),0%,VLOOKUP(A81,'Données projet (1)'!$A$243:$I$263,5,0)*VLOOKUP('Données projet (1)'!$B$17,'Paramètres (1)'!$A$1:$I$88,7,0))</f>
        <v>#REF!</v>
      </c>
      <c r="GJ81" s="135" t="str">
        <f>IF(ISNA(VLOOKUP(A81,'Données projet (1)'!$A$243:$I$263,6,0)),0%,VLOOKUP(A81,'Données projet (1)'!$A$243:$I$263,6,0)*VLOOKUP('Données projet (1)'!$B$17,'Paramètres (1)'!$A$1:$I$88,7,0))</f>
        <v>#REF!</v>
      </c>
      <c r="GK81" s="135" t="str">
        <f t="shared" si="94"/>
        <v>#REF!</v>
      </c>
      <c r="GL81" s="142" t="str">
        <f>EXP(-LN(2)/35)*GL80+(1-EXP(-LN(2)/35))/(LN(2)/35)*GH81*GI81*VLOOKUP('Données projet (1)'!$B$17,'Paramètres (1)'!$A$1:$I$88,3,0)*0.475*44/12</f>
        <v>#REF!</v>
      </c>
      <c r="GM81" s="142" t="str">
        <f>EXP(-LN(2)/25)*GM80+(1-EXP(-LN(2)/25))/(LN(2)/25)*'Calculateur (1)'!GH81*'Calculateur (1)'!GJ81*VLOOKUP('Données projet (1)'!$B$17,'Paramètres (1)'!$A$1:$I$88,3,0)*0.475*44/12</f>
        <v>#REF!</v>
      </c>
      <c r="GN81" s="142" t="str">
        <f>EXP(-LN(2)/2)*GN80+(1-EXP(-LN(2)/2))/(LN(2)/2)*GH81*GK81*VLOOKUP('Données projet (1)'!$B$17,'Paramètres (1)'!$A$1:$I$88,3,0)*0.475*44/12</f>
        <v>#REF!</v>
      </c>
      <c r="GO81" s="142" t="str">
        <f t="shared" si="95"/>
        <v>#REF!</v>
      </c>
      <c r="GP81" s="139" t="str">
        <f t="shared" si="96"/>
        <v>#REF!</v>
      </c>
      <c r="GQ81" s="131">
        <f t="shared" si="97"/>
        <v>10</v>
      </c>
      <c r="GR81" s="131" t="str">
        <f t="shared" si="144"/>
        <v>#REF!</v>
      </c>
      <c r="GS81" s="131" t="str">
        <f t="shared" si="98"/>
        <v>#REF!</v>
      </c>
      <c r="GT81" s="131" t="str">
        <f t="array" ref="GT81">INDEX(GS:GS,MIN(IF(ISNUMBER(GS81:GS277),ROW(GS81:GS277),"")))</f>
        <v/>
      </c>
      <c r="GU81" s="131" t="str">
        <f t="shared" si="145"/>
        <v>#REF!</v>
      </c>
      <c r="GV81" s="138" t="str">
        <f>GU81*VLOOKUP('Données projet (1)'!$B$18,'Paramètres (1)'!$A$1:$I$88,3,0)*VLOOKUP('Données projet (1)'!$B$18,'Paramètres (1)'!$A$1:$I$88,5,0)</f>
        <v>#REF!</v>
      </c>
      <c r="GW81" s="130" t="str">
        <f t="shared" si="146"/>
        <v>#REF!</v>
      </c>
      <c r="GX81" s="141" t="str">
        <f t="shared" si="99"/>
        <v>#REF!</v>
      </c>
      <c r="GY81" s="133" t="str">
        <f t="shared" si="100"/>
        <v>#REF!</v>
      </c>
      <c r="GZ81" s="133" t="str">
        <f t="shared" si="101"/>
        <v>#REF!</v>
      </c>
      <c r="HA81" s="133" t="str">
        <f t="shared" si="147"/>
        <v>#REF!</v>
      </c>
      <c r="HB81" s="134" t="str">
        <f t="shared" si="102"/>
        <v>#REF!</v>
      </c>
      <c r="HC81" s="134" t="str">
        <f t="shared" si="103"/>
        <v>#REF!</v>
      </c>
      <c r="HD81" s="135" t="str">
        <f>IF(ISNA(VLOOKUP(A81,'Données projet (1)'!$A$269:$I$289,5,0)),0%,VLOOKUP(A81,'Données projet (1)'!$A$269:$I$289,5,0)*VLOOKUP('Données projet (1)'!$B$18,'Paramètres (1)'!$A$1:$I$88,7,0))</f>
        <v>#REF!</v>
      </c>
      <c r="HE81" s="135" t="str">
        <f>IF(ISNA(VLOOKUP(A81,'Données projet (1)'!$A$269:$I$289,6,0)),0%,VLOOKUP(A81,'Données projet (1)'!$A$269:$I$289,6,0)*VLOOKUP('Données projet (1)'!$B$18,'Paramètres (1)'!$A$1:$I$88,7,0))</f>
        <v>#REF!</v>
      </c>
      <c r="HF81" s="135" t="str">
        <f t="shared" si="104"/>
        <v>#REF!</v>
      </c>
      <c r="HG81" s="142" t="str">
        <f>EXP(-LN(2)/35)*HG80+(1-EXP(-LN(2)/35))/(LN(2)/35)*HC81*HD81*VLOOKUP('Données projet (1)'!$B$18,'Paramètres (1)'!$A$1:$I$88,3,0)*0.475*44/12</f>
        <v>#REF!</v>
      </c>
      <c r="HH81" s="142" t="str">
        <f>EXP(-LN(2)/25)*HH80+(1-EXP(-LN(2)/25))/(LN(2)/25)*'Calculateur (1)'!HC81*'Calculateur (1)'!HE81*VLOOKUP('Données projet (1)'!$B$18,'Paramètres (1)'!$A$1:$I$88,3,0)*0.475*44/12</f>
        <v>#REF!</v>
      </c>
      <c r="HI81" s="142" t="str">
        <f>EXP(-LN(2)/2)*HI80+(1-EXP(-LN(2)/2))/(LN(2)/2)*HC81*HF81*VLOOKUP('Données projet (1)'!$B$18,'Paramètres (1)'!$A$1:$I$88,3,0)*0.475*44/12</f>
        <v>#REF!</v>
      </c>
      <c r="HJ81" s="143" t="str">
        <f t="shared" si="105"/>
        <v>#REF!</v>
      </c>
    </row>
    <row r="82" ht="14.25" customHeight="1">
      <c r="A82" s="125">
        <f t="shared" si="106"/>
        <v>79</v>
      </c>
      <c r="B82" s="126" t="str">
        <f t="shared" si="1"/>
        <v>#REF!</v>
      </c>
      <c r="C82" s="140" t="str">
        <f>'Calculateur (1)'!C81+'Scénario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2" s="127">
        <f t="shared" si="107"/>
        <v>0</v>
      </c>
      <c r="E82" s="127" t="str">
        <f t="shared" si="2"/>
        <v>#REF!</v>
      </c>
      <c r="F82" s="127" t="str">
        <f t="shared" si="3"/>
        <v>#REF!</v>
      </c>
      <c r="G82" s="127" t="str">
        <f t="shared" si="4"/>
        <v>#REF!</v>
      </c>
      <c r="H82" s="128" t="str">
        <f t="shared" si="5"/>
        <v>#REF!</v>
      </c>
      <c r="I82" s="129" t="str">
        <f t="shared" si="6"/>
        <v>#REF!</v>
      </c>
      <c r="J82" s="130">
        <f t="shared" si="7"/>
        <v>10</v>
      </c>
      <c r="K82" s="131" t="str">
        <f t="shared" si="108"/>
        <v>#REF!</v>
      </c>
      <c r="L82" s="131" t="str">
        <f t="shared" si="8"/>
        <v>#REF!</v>
      </c>
      <c r="M82" s="131" t="str">
        <f t="array" ref="M82">INDEX(L:L,MIN(IF(ISNUMBER(L82:L278),ROW(L82:L278),"")))</f>
        <v/>
      </c>
      <c r="N82" s="130" t="str">
        <f t="shared" si="109"/>
        <v>#REF!</v>
      </c>
      <c r="O82" s="130" t="str">
        <f>N82*VLOOKUP('Données projet (1)'!$B$9,'Paramètres (1)'!$A$1:$I$88,3,0)*VLOOKUP('Données projet (1)'!$B$9,'Paramètres (1)'!$A$1:$I$88,5,0)</f>
        <v>#REF!</v>
      </c>
      <c r="P82" s="130" t="str">
        <f t="shared" si="110"/>
        <v>#REF!</v>
      </c>
      <c r="Q82" s="141" t="str">
        <f t="shared" si="9"/>
        <v>#REF!</v>
      </c>
      <c r="R82" s="133" t="str">
        <f t="shared" si="10"/>
        <v>#REF!</v>
      </c>
      <c r="S82" s="133" t="str">
        <f t="shared" si="11"/>
        <v>#REF!</v>
      </c>
      <c r="T82" s="133" t="str">
        <f t="shared" si="111"/>
        <v>#REF!</v>
      </c>
      <c r="U82" s="134" t="str">
        <f t="shared" si="12"/>
        <v>#REF!</v>
      </c>
      <c r="V82" s="134" t="str">
        <f t="shared" si="13"/>
        <v>#REF!</v>
      </c>
      <c r="W82" s="135" t="str">
        <f>IF(ISNA(VLOOKUP(A82,'Données projet (1)'!$A$35:$I$55,5,0)),0%,VLOOKUP(A82,'Données projet (1)'!$A$35:$I$55,5,0)*VLOOKUP('Données projet (1)'!$B$9,'Paramètres (1)'!$A$1:$I$88,7,0))</f>
        <v>#REF!</v>
      </c>
      <c r="X82" s="135" t="str">
        <f>IF(ISNA(VLOOKUP(A82,'Données projet (1)'!$A$35:$I$55,6,0)),0%,VLOOKUP(A82,'Données projet (1)'!$A$35:$I$55,6,0)*VLOOKUP('Données projet (1)'!$B$9,'Paramètres (1)'!$A$1:$I$88,7,0))</f>
        <v>#REF!</v>
      </c>
      <c r="Y82" s="135" t="str">
        <f t="shared" si="14"/>
        <v>#REF!</v>
      </c>
      <c r="Z82" s="142" t="str">
        <f>EXP(-LN(2)/35)*Z81+(1-EXP(-LN(2)/35))/(LN(2)/35)*V82*W82*VLOOKUP('Données projet (1)'!$B$9,'Paramètres (1)'!$A$1:$I$88,3,0)*0.475*44/12</f>
        <v>#REF!</v>
      </c>
      <c r="AA82" s="142" t="str">
        <f>EXP(-LN(2)/25)*AA81+(1-EXP(-LN(2)/25))/(LN(2)/25)*'Calculateur (1)'!V82*'Calculateur (1)'!X82*VLOOKUP('Données projet (1)'!$B$9,'Paramètres (1)'!$A$1:$I$88,3,0)*0.475*44/12</f>
        <v>#REF!</v>
      </c>
      <c r="AB82" s="142" t="str">
        <f>EXP(-LN(2)/2)*AB81+(1-EXP(-LN(2)/2))/(LN(2)/2)*V82*Y82*VLOOKUP('Données projet (1)'!$B$9,'Paramètres (1)'!$A$1:$I$88,3,0)*0.475*44/12</f>
        <v>#REF!</v>
      </c>
      <c r="AC82" s="143" t="str">
        <f t="shared" si="15"/>
        <v>#REF!</v>
      </c>
      <c r="AD82" s="130" t="str">
        <f t="shared" si="16"/>
        <v>#REF!</v>
      </c>
      <c r="AE82" s="130">
        <f t="shared" si="17"/>
        <v>10</v>
      </c>
      <c r="AF82" s="131" t="str">
        <f t="shared" si="112"/>
        <v>#REF!</v>
      </c>
      <c r="AG82" s="131" t="str">
        <f t="shared" si="18"/>
        <v>#REF!</v>
      </c>
      <c r="AH82" s="131" t="str">
        <f t="array" ref="AH82">INDEX(AG:AG,MIN(IF(ISNUMBER(AG82:AG278),ROW(AG82:AG278),"")))</f>
        <v/>
      </c>
      <c r="AI82" s="130" t="str">
        <f t="shared" si="113"/>
        <v>#REF!</v>
      </c>
      <c r="AJ82" s="130" t="str">
        <f>AI82*VLOOKUP('Données projet (1)'!$B$10,'Paramètres (1)'!$A$1:$I$88,3,0)*VLOOKUP('Données projet (1)'!$B$10,'Paramètres (1)'!$A$1:$I$88,5,0)</f>
        <v>#REF!</v>
      </c>
      <c r="AK82" s="130" t="str">
        <f t="shared" si="114"/>
        <v>#REF!</v>
      </c>
      <c r="AL82" s="141" t="str">
        <f t="shared" si="19"/>
        <v>#REF!</v>
      </c>
      <c r="AM82" s="133" t="str">
        <f t="shared" si="20"/>
        <v>#REF!</v>
      </c>
      <c r="AN82" s="133" t="str">
        <f t="shared" si="21"/>
        <v>#REF!</v>
      </c>
      <c r="AO82" s="133" t="str">
        <f t="shared" si="115"/>
        <v>#REF!</v>
      </c>
      <c r="AP82" s="134" t="str">
        <f t="shared" si="22"/>
        <v>#REF!</v>
      </c>
      <c r="AQ82" s="134" t="str">
        <f t="shared" si="23"/>
        <v>#REF!</v>
      </c>
      <c r="AR82" s="135" t="str">
        <f>IF(ISNA(VLOOKUP(A82,'Données projet (1)'!$A$61:$I$81,5,0)),0%,VLOOKUP(A82,'Données projet (1)'!$A$61:$I$81,5,0)*VLOOKUP('Données projet (1)'!$B$10,'Paramètres (1)'!$A$1:$I$88,7,0))</f>
        <v>#REF!</v>
      </c>
      <c r="AS82" s="135" t="str">
        <f>IF(ISNA(VLOOKUP(A82,'Données projet (1)'!$A$61:$I$81,6,0)),0%,VLOOKUP(A82,'Données projet (1)'!$A$61:$I$81,6,0)*VLOOKUP('Données projet (1)'!$B$10,'Paramètres (1)'!$A$1:$I$88,7,0))</f>
        <v>#REF!</v>
      </c>
      <c r="AT82" s="135" t="str">
        <f t="shared" si="24"/>
        <v>#REF!</v>
      </c>
      <c r="AU82" s="142" t="str">
        <f>EXP(-LN(2)/35)*AU81+(1-EXP(-LN(2)/35))/(LN(2)/35)*AQ82*AR82*VLOOKUP('Données projet (1)'!$B$10,'Paramètres (1)'!$A$1:$I$88,3,0)*0.475*44/12</f>
        <v>#REF!</v>
      </c>
      <c r="AV82" s="142" t="str">
        <f>EXP(-LN(2)/25)*AV81+(1-EXP(-LN(2)/25))/(LN(2)/25)*'Calculateur (1)'!AQ82*'Calculateur (1)'!AS82*VLOOKUP('Données projet (1)'!$B$10,'Paramètres (1)'!$A$1:$I$88,3,0)*0.475*44/12</f>
        <v>#REF!</v>
      </c>
      <c r="AW82" s="142" t="str">
        <f>EXP(-LN(2)/2)*AW81+(1-EXP(-LN(2)/2))/(LN(2)/2)*AQ82*AT82*VLOOKUP('Données projet (1)'!$B$10,'Paramètres (1)'!$A$1:$I$88,3,0)*0.475*44/12</f>
        <v>#REF!</v>
      </c>
      <c r="AX82" s="142" t="str">
        <f t="shared" si="25"/>
        <v>#REF!</v>
      </c>
      <c r="AY82" s="137" t="str">
        <f t="shared" si="26"/>
        <v>#REF!</v>
      </c>
      <c r="AZ82" s="131">
        <f t="shared" si="27"/>
        <v>10</v>
      </c>
      <c r="BA82" s="131" t="str">
        <f t="shared" si="116"/>
        <v>#REF!</v>
      </c>
      <c r="BB82" s="131" t="str">
        <f t="shared" si="28"/>
        <v>#REF!</v>
      </c>
      <c r="BC82" s="131" t="str">
        <f t="array" ref="BC82">INDEX(BB:BB,MIN(IF(ISNUMBER(BB82:BB278),ROW(BB82:BB278),"")))</f>
        <v/>
      </c>
      <c r="BD82" s="131" t="str">
        <f t="shared" si="117"/>
        <v>#REF!</v>
      </c>
      <c r="BE82" s="130" t="str">
        <f>BD82*VLOOKUP('Données projet (1)'!$B$11,'Paramètres (1)'!$A$1:$I$88,3,0)*VLOOKUP('Données projet (1)'!$B$11,'Paramètres (1)'!$A$1:$I$88,5,0)</f>
        <v>#REF!</v>
      </c>
      <c r="BF82" s="130" t="str">
        <f t="shared" si="118"/>
        <v>#REF!</v>
      </c>
      <c r="BG82" s="141" t="str">
        <f t="shared" si="29"/>
        <v>#REF!</v>
      </c>
      <c r="BH82" s="133" t="str">
        <f t="shared" si="30"/>
        <v>#REF!</v>
      </c>
      <c r="BI82" s="133" t="str">
        <f t="shared" si="31"/>
        <v>#REF!</v>
      </c>
      <c r="BJ82" s="133" t="str">
        <f t="shared" si="119"/>
        <v>#REF!</v>
      </c>
      <c r="BK82" s="134" t="str">
        <f t="shared" si="32"/>
        <v>#REF!</v>
      </c>
      <c r="BL82" s="134" t="str">
        <f t="shared" si="33"/>
        <v>#REF!</v>
      </c>
      <c r="BM82" s="135" t="str">
        <f>IF(ISNA(VLOOKUP(A82,'Données projet (1)'!$A$87:$I$107,5,0)),0%,VLOOKUP(A82,'Données projet (1)'!$A$87:$I$107,5,0)*VLOOKUP('Données projet (1)'!$B$11,'Paramètres (1)'!$A$1:$I$88,7,0))</f>
        <v>#REF!</v>
      </c>
      <c r="BN82" s="135" t="str">
        <f>IF(ISNA(VLOOKUP(A82,'Données projet (1)'!$A$87:$I$107,6,0)),0%,VLOOKUP(A82,'Données projet (1)'!$A$87:$I$107,6,0)*VLOOKUP('Données projet (1)'!$B$11,'Paramètres (1)'!$A$1:$I$88,7,0))</f>
        <v>#REF!</v>
      </c>
      <c r="BO82" s="135" t="str">
        <f t="shared" si="34"/>
        <v>#REF!</v>
      </c>
      <c r="BP82" s="142" t="str">
        <f>EXP(-LN(2)/35)*BP81+(1-EXP(-LN(2)/35))/(LN(2)/35)*BL82*BM82*VLOOKUP('Données projet (1)'!$B$11,'Paramètres (1)'!$A$1:$I$88,3,0)*0.475*44/12</f>
        <v>#REF!</v>
      </c>
      <c r="BQ82" s="142" t="str">
        <f>EXP(-LN(2)/25)*BQ81+(1-EXP(-LN(2)/25))/(LN(2)/25)*'Calculateur (1)'!BL82*'Calculateur (1)'!BN82*VLOOKUP('Données projet (1)'!$B$11,'Paramètres (1)'!$A$1:$I$88,3,0)*0.475*44/12</f>
        <v>#REF!</v>
      </c>
      <c r="BR82" s="142" t="str">
        <f>EXP(-LN(2)/2)*BR81+(1-EXP(-LN(2)/2))/(LN(2)/2)*BL82*BO82*VLOOKUP('Données projet (1)'!$B$11,'Paramètres (1)'!$A$1:$I$88,3,0)*0.475*44/12</f>
        <v>#REF!</v>
      </c>
      <c r="BS82" s="143" t="str">
        <f t="shared" si="35"/>
        <v>#REF!</v>
      </c>
      <c r="BT82" s="139" t="str">
        <f t="shared" si="36"/>
        <v>#REF!</v>
      </c>
      <c r="BU82" s="131">
        <f t="shared" si="37"/>
        <v>10</v>
      </c>
      <c r="BV82" s="131" t="str">
        <f t="shared" si="120"/>
        <v>#REF!</v>
      </c>
      <c r="BW82" s="131" t="str">
        <f t="shared" si="38"/>
        <v>#REF!</v>
      </c>
      <c r="BX82" s="131" t="str">
        <f t="array" ref="BX82">INDEX(BW:BW,MIN(IF(ISNUMBER(BW82:BW278),ROW(BW82:BW278),"")))</f>
        <v/>
      </c>
      <c r="BY82" s="131" t="str">
        <f t="shared" si="121"/>
        <v>#REF!</v>
      </c>
      <c r="BZ82" s="130" t="str">
        <f>BY82*VLOOKUP('Données projet (1)'!$B$12,'Paramètres (1)'!$A$1:$I$88,3,0)*VLOOKUP('Données projet (1)'!$B$12,'Paramètres (1)'!$A$1:$I$88,5,0)</f>
        <v>#REF!</v>
      </c>
      <c r="CA82" s="130" t="str">
        <f t="shared" si="122"/>
        <v>#REF!</v>
      </c>
      <c r="CB82" s="141" t="str">
        <f t="shared" si="39"/>
        <v>#REF!</v>
      </c>
      <c r="CC82" s="133" t="str">
        <f t="shared" si="40"/>
        <v>#REF!</v>
      </c>
      <c r="CD82" s="133" t="str">
        <f t="shared" si="41"/>
        <v>#REF!</v>
      </c>
      <c r="CE82" s="133" t="str">
        <f t="shared" si="123"/>
        <v>#REF!</v>
      </c>
      <c r="CF82" s="134" t="str">
        <f t="shared" si="42"/>
        <v>#REF!</v>
      </c>
      <c r="CG82" s="134" t="str">
        <f t="shared" si="43"/>
        <v>#REF!</v>
      </c>
      <c r="CH82" s="135" t="str">
        <f>IF(ISNA(VLOOKUP(A82,'Données projet (1)'!$A$113:$I$133,5,0)),0%,VLOOKUP(A82,'Données projet (1)'!$A$113:$I$133,5,0)*VLOOKUP('Données projet (1)'!$B$12,'Paramètres (1)'!$A$1:$I$88,7,0))</f>
        <v>#REF!</v>
      </c>
      <c r="CI82" s="135" t="str">
        <f>IF(ISNA(VLOOKUP(A82,'Données projet (1)'!$A$113:$I$133,6,0)),0%,VLOOKUP(A82,'Données projet (1)'!$A$113:$I$133,6,0)*VLOOKUP('Données projet (1)'!$B$12,'Paramètres (1)'!$A$1:$I$88,7,0))</f>
        <v>#REF!</v>
      </c>
      <c r="CJ82" s="135" t="str">
        <f t="shared" si="44"/>
        <v>#REF!</v>
      </c>
      <c r="CK82" s="142" t="str">
        <f>EXP(-LN(2)/35)*CK81+(1-EXP(-LN(2)/35))/(LN(2)/35)*CG82*CH82*VLOOKUP('Données projet (1)'!$B$12,'Paramètres (1)'!$A$1:$I$88,3,0)*0.475*44/12</f>
        <v>#REF!</v>
      </c>
      <c r="CL82" s="142" t="str">
        <f>EXP(-LN(2)/25)*CL81+(1-EXP(-LN(2)/25))/(LN(2)/25)*'Calculateur (1)'!CG82*'Calculateur (1)'!CI82*VLOOKUP('Données projet (1)'!$B$12,'Paramètres (1)'!$A$1:$I$88,3,0)*0.475*44/12</f>
        <v>#REF!</v>
      </c>
      <c r="CM82" s="142" t="str">
        <f>EXP(-LN(2)/2)*CM81+(1-EXP(-LN(2)/2))/(LN(2)/2)*CG82*CJ82*VLOOKUP('Données projet (1)'!$B$12,'Paramètres (1)'!$A$1:$I$88,3,0)*0.475*44/12</f>
        <v>#REF!</v>
      </c>
      <c r="CN82" s="143" t="str">
        <f t="shared" si="45"/>
        <v>#REF!</v>
      </c>
      <c r="CO82" s="139" t="str">
        <f t="shared" si="46"/>
        <v>#REF!</v>
      </c>
      <c r="CP82" s="131">
        <f t="shared" si="47"/>
        <v>10</v>
      </c>
      <c r="CQ82" s="131" t="str">
        <f t="shared" si="124"/>
        <v>#REF!</v>
      </c>
      <c r="CR82" s="131" t="str">
        <f t="shared" si="48"/>
        <v>#REF!</v>
      </c>
      <c r="CS82" s="131" t="str">
        <f t="array" ref="CS82">INDEX(CR:CR,MIN(IF(ISNUMBER(CR82:CR278),ROW(CR82:CR278),"")))</f>
        <v/>
      </c>
      <c r="CT82" s="131" t="str">
        <f t="shared" si="125"/>
        <v>#REF!</v>
      </c>
      <c r="CU82" s="138" t="str">
        <f>CT82*VLOOKUP('Données projet (1)'!$B$13,'Paramètres (1)'!$A$1:$I$88,3,0)*VLOOKUP('Données projet (1)'!$B$13,'Paramètres (1)'!$A$1:$I$88,5,0)</f>
        <v>#REF!</v>
      </c>
      <c r="CV82" s="130" t="str">
        <f t="shared" si="126"/>
        <v>#REF!</v>
      </c>
      <c r="CW82" s="141" t="str">
        <f t="shared" si="49"/>
        <v>#REF!</v>
      </c>
      <c r="CX82" s="133" t="str">
        <f t="shared" si="50"/>
        <v>#REF!</v>
      </c>
      <c r="CY82" s="133" t="str">
        <f t="shared" si="51"/>
        <v>#REF!</v>
      </c>
      <c r="CZ82" s="133" t="str">
        <f t="shared" si="127"/>
        <v>#REF!</v>
      </c>
      <c r="DA82" s="134" t="str">
        <f t="shared" si="52"/>
        <v>#REF!</v>
      </c>
      <c r="DB82" s="134" t="str">
        <f t="shared" si="53"/>
        <v>#REF!</v>
      </c>
      <c r="DC82" s="135" t="str">
        <f>IF(ISNA(VLOOKUP(A82,'Données projet (1)'!$A$139:$I$159,5,0)),0%,VLOOKUP(A82,'Données projet (1)'!$A$139:$I$159,5,0)*VLOOKUP('Données projet (1)'!$B$13,'Paramètres (1)'!$A$1:$I$88,7,0))</f>
        <v>#REF!</v>
      </c>
      <c r="DD82" s="135" t="str">
        <f>IF(ISNA(VLOOKUP(A82,'Données projet (1)'!$A$139:$I$159,6,0)),0%,VLOOKUP(A82,'Données projet (1)'!$A$139:$I$159,6,0)*VLOOKUP('Données projet (1)'!$B$13,'Paramètres (1)'!$A$1:$I$88,7,0))</f>
        <v>#REF!</v>
      </c>
      <c r="DE82" s="135" t="str">
        <f t="shared" si="54"/>
        <v>#REF!</v>
      </c>
      <c r="DF82" s="142" t="str">
        <f>EXP(-LN(2)/35)*DF81+(1-EXP(-LN(2)/35))/(LN(2)/35)*DB82*DC82*VLOOKUP('Données projet (1)'!$B$13,'Paramètres (1)'!$A$1:$I$88,3,0)*0.475*44/12</f>
        <v>#REF!</v>
      </c>
      <c r="DG82" s="142" t="str">
        <f>EXP(-LN(2)/25)*DG81+(1-EXP(-LN(2)/25))/(LN(2)/25)*'Calculateur (1)'!DB82*'Calculateur (1)'!DD82*VLOOKUP('Données projet (1)'!$B$13,'Paramètres (1)'!$A$1:$I$88,3,0)*0.475*44/12</f>
        <v>#REF!</v>
      </c>
      <c r="DH82" s="142" t="str">
        <f>EXP(-LN(2)/2)*DH81+(1-EXP(-LN(2)/2))/(LN(2)/2)*DB82*DE82*VLOOKUP('Données projet (1)'!$B$13,'Paramètres (1)'!$A$1:$I$88,3,0)*0.475*44/12</f>
        <v>#REF!</v>
      </c>
      <c r="DI82" s="143" t="str">
        <f t="shared" si="55"/>
        <v>#REF!</v>
      </c>
      <c r="DJ82" s="139" t="str">
        <f t="shared" si="56"/>
        <v>#REF!</v>
      </c>
      <c r="DK82" s="131">
        <f t="shared" si="57"/>
        <v>10</v>
      </c>
      <c r="DL82" s="131" t="str">
        <f t="shared" si="128"/>
        <v>#REF!</v>
      </c>
      <c r="DM82" s="131" t="str">
        <f t="shared" si="58"/>
        <v>#REF!</v>
      </c>
      <c r="DN82" s="131" t="str">
        <f t="array" ref="DN82">INDEX(DM:DM,MIN(IF(ISNUMBER(DM82:DM278),ROW(DM82:DM278),"")))</f>
        <v/>
      </c>
      <c r="DO82" s="131" t="str">
        <f t="shared" si="129"/>
        <v>#REF!</v>
      </c>
      <c r="DP82" s="138" t="str">
        <f>DO82*VLOOKUP('Données projet (1)'!$B$14,'Paramètres (1)'!$A$1:$I$88,3,0)*VLOOKUP('Données projet (1)'!$B$14,'Paramètres (1)'!$A$1:$I$88,5,0)</f>
        <v>#REF!</v>
      </c>
      <c r="DQ82" s="130" t="str">
        <f t="shared" si="130"/>
        <v>#REF!</v>
      </c>
      <c r="DR82" s="141" t="str">
        <f t="shared" si="59"/>
        <v>#REF!</v>
      </c>
      <c r="DS82" s="133" t="str">
        <f t="shared" si="60"/>
        <v>#REF!</v>
      </c>
      <c r="DT82" s="133" t="str">
        <f t="shared" si="61"/>
        <v>#REF!</v>
      </c>
      <c r="DU82" s="133" t="str">
        <f t="shared" si="131"/>
        <v>#REF!</v>
      </c>
      <c r="DV82" s="134" t="str">
        <f t="shared" si="62"/>
        <v>#REF!</v>
      </c>
      <c r="DW82" s="134" t="str">
        <f t="shared" si="63"/>
        <v>#REF!</v>
      </c>
      <c r="DX82" s="135" t="str">
        <f>IF(ISNA(VLOOKUP(A82,'Données projet (1)'!$A$165:$I$185,5,0)),0%,VLOOKUP(A82,'Données projet (1)'!$A$165:$I$185,5,0)*VLOOKUP('Données projet (1)'!$B$14,'Paramètres (1)'!$A$1:$I$88,7,0))</f>
        <v>#REF!</v>
      </c>
      <c r="DY82" s="135" t="str">
        <f>IF(ISNA(VLOOKUP(A82,'Données projet (1)'!$A$165:$I$185,6,0)),0%,VLOOKUP(A82,'Données projet (1)'!$A$165:$I$185,6,0)*VLOOKUP('Données projet (1)'!$B$14,'Paramètres (1)'!$A$1:$I$88,7,0))</f>
        <v>#REF!</v>
      </c>
      <c r="DZ82" s="135" t="str">
        <f t="shared" si="64"/>
        <v>#REF!</v>
      </c>
      <c r="EA82" s="142" t="str">
        <f>EXP(-LN(2)/35)*EA81+(1-EXP(-LN(2)/35))/(LN(2)/35)*DW82*DX82*VLOOKUP('Données projet (1)'!$B$14,'Paramètres (1)'!$A$1:$I$88,3,0)*0.475*44/12</f>
        <v>#REF!</v>
      </c>
      <c r="EB82" s="142" t="str">
        <f>EXP(-LN(2)/25)*EB81+(1-EXP(-LN(2)/25))/(LN(2)/25)*'Calculateur (1)'!DW82*'Calculateur (1)'!DY82*VLOOKUP('Données projet (1)'!$B$14,'Paramètres (1)'!$A$1:$I$88,3,0)*0.475*44/12</f>
        <v>#REF!</v>
      </c>
      <c r="EC82" s="142" t="str">
        <f>EXP(-LN(2)/2)*EC81+(1-EXP(-LN(2)/2))/(LN(2)/2)*DW82*DZ82*VLOOKUP('Données projet (1)'!$B$14,'Paramètres (1)'!$A$1:$I$88,3,0)*0.475*44/12</f>
        <v>#REF!</v>
      </c>
      <c r="ED82" s="143" t="str">
        <f t="shared" si="65"/>
        <v>#REF!</v>
      </c>
      <c r="EE82" s="139" t="str">
        <f t="shared" si="66"/>
        <v>#REF!</v>
      </c>
      <c r="EF82" s="131">
        <f t="shared" si="67"/>
        <v>10</v>
      </c>
      <c r="EG82" s="131" t="str">
        <f t="shared" si="132"/>
        <v>#REF!</v>
      </c>
      <c r="EH82" s="131" t="str">
        <f t="shared" si="68"/>
        <v>#REF!</v>
      </c>
      <c r="EI82" s="131" t="str">
        <f t="array" ref="EI82">INDEX(EH:EH,MIN(IF(ISNUMBER(EH82:EH278),ROW(EH82:EH278),"")))</f>
        <v/>
      </c>
      <c r="EJ82" s="131" t="str">
        <f t="shared" si="133"/>
        <v>#REF!</v>
      </c>
      <c r="EK82" s="138" t="str">
        <f>EJ82*VLOOKUP('Données projet (1)'!$B$15,'Paramètres (1)'!$A$1:$I$88,3,0)*VLOOKUP('Données projet (1)'!$B$15,'Paramètres (1)'!$A$1:$I$88,5,0)</f>
        <v>#REF!</v>
      </c>
      <c r="EL82" s="130" t="str">
        <f t="shared" si="134"/>
        <v>#REF!</v>
      </c>
      <c r="EM82" s="141" t="str">
        <f t="shared" si="69"/>
        <v>#REF!</v>
      </c>
      <c r="EN82" s="133" t="str">
        <f t="shared" si="70"/>
        <v>#REF!</v>
      </c>
      <c r="EO82" s="133" t="str">
        <f t="shared" si="71"/>
        <v>#REF!</v>
      </c>
      <c r="EP82" s="133" t="str">
        <f t="shared" si="135"/>
        <v>#REF!</v>
      </c>
      <c r="EQ82" s="134" t="str">
        <f t="shared" si="72"/>
        <v>#REF!</v>
      </c>
      <c r="ER82" s="134" t="str">
        <f t="shared" si="73"/>
        <v>#REF!</v>
      </c>
      <c r="ES82" s="135" t="str">
        <f>IF(ISNA(VLOOKUP(A82,'Données projet (1)'!$A$191:$I$211,5,0)),0%,VLOOKUP(A82,'Données projet (1)'!$A$191:$I$211,5,0)*VLOOKUP('Données projet (1)'!$B$15,'Paramètres (1)'!$A$1:$I$88,7,0))</f>
        <v>#REF!</v>
      </c>
      <c r="ET82" s="135" t="str">
        <f>IF(ISNA(VLOOKUP(A82,'Données projet (1)'!$A$191:$I$211,6,0)),0%,VLOOKUP(A82,'Données projet (1)'!$A$191:$I$211,6,0)*VLOOKUP('Données projet (1)'!$B$15,'Paramètres (1)'!$A$1:$I$88,7,0))</f>
        <v>#REF!</v>
      </c>
      <c r="EU82" s="135" t="str">
        <f t="shared" si="74"/>
        <v>#REF!</v>
      </c>
      <c r="EV82" s="142" t="str">
        <f>EXP(-LN(2)/35)*EV81+(1-EXP(-LN(2)/35))/(LN(2)/35)*ER82*ES82*VLOOKUP('Données projet (1)'!$B$15,'Paramètres (1)'!$A$1:$I$88,3,0)*0.475*44/12</f>
        <v>#REF!</v>
      </c>
      <c r="EW82" s="142" t="str">
        <f>EXP(-LN(2)/25)*EW81+(1-EXP(-LN(2)/25))/(LN(2)/25)*'Calculateur (1)'!ER82*'Calculateur (1)'!ET82*VLOOKUP('Données projet (1)'!$B$15,'Paramètres (1)'!$A$1:$I$88,3,0)*0.475*44/12</f>
        <v>#REF!</v>
      </c>
      <c r="EX82" s="142" t="str">
        <f>EXP(-LN(2)/2)*EX81+(1-EXP(-LN(2)/2))/(LN(2)/2)*ER82*EU82*VLOOKUP('Données projet (1)'!$B$15,'Paramètres (1)'!$A$1:$I$88,3,0)*0.475*44/12</f>
        <v>#REF!</v>
      </c>
      <c r="EY82" s="143" t="str">
        <f t="shared" si="75"/>
        <v>#REF!</v>
      </c>
      <c r="EZ82" s="139" t="str">
        <f t="shared" si="76"/>
        <v>#REF!</v>
      </c>
      <c r="FA82" s="131">
        <f t="shared" si="77"/>
        <v>10</v>
      </c>
      <c r="FB82" s="131" t="str">
        <f t="shared" si="136"/>
        <v>#REF!</v>
      </c>
      <c r="FC82" s="131" t="str">
        <f t="shared" si="78"/>
        <v>#REF!</v>
      </c>
      <c r="FD82" s="131" t="str">
        <f t="array" ref="FD82">INDEX(FC:FC,MIN(IF(ISNUMBER(FC82:FC278),ROW(FC82:FC278),"")))</f>
        <v/>
      </c>
      <c r="FE82" s="131" t="str">
        <f t="shared" si="137"/>
        <v>#REF!</v>
      </c>
      <c r="FF82" s="138" t="str">
        <f>FE82*VLOOKUP('Données projet (1)'!$B$16,'Paramètres (1)'!$A$1:$I$88,3,0)*VLOOKUP('Données projet (1)'!$B$16,'Paramètres (1)'!$A$1:$I$88,5,0)</f>
        <v>#REF!</v>
      </c>
      <c r="FG82" s="130" t="str">
        <f t="shared" si="138"/>
        <v>#REF!</v>
      </c>
      <c r="FH82" s="141" t="str">
        <f t="shared" si="79"/>
        <v>#REF!</v>
      </c>
      <c r="FI82" s="133" t="str">
        <f t="shared" si="80"/>
        <v>#REF!</v>
      </c>
      <c r="FJ82" s="133" t="str">
        <f t="shared" si="81"/>
        <v>#REF!</v>
      </c>
      <c r="FK82" s="133" t="str">
        <f t="shared" si="139"/>
        <v>#REF!</v>
      </c>
      <c r="FL82" s="134" t="str">
        <f t="shared" si="82"/>
        <v>#REF!</v>
      </c>
      <c r="FM82" s="134" t="str">
        <f t="shared" si="83"/>
        <v>#REF!</v>
      </c>
      <c r="FN82" s="135" t="str">
        <f>IF(ISNA(VLOOKUP(A82,'Données projet (1)'!$A$217:$I$237,5,0)),0%,VLOOKUP(A82,'Données projet (1)'!$A$217:$I$237,5,0)*VLOOKUP('Données projet (1)'!$B$16,'Paramètres (1)'!$A$1:$I$88,7,0))</f>
        <v>#REF!</v>
      </c>
      <c r="FO82" s="135" t="str">
        <f>IF(ISNA(VLOOKUP(A82,'Données projet (1)'!$A$217:$I$237,6,0)),0%,VLOOKUP(A82,'Données projet (1)'!$A$217:$I$237,6,0)*VLOOKUP('Données projet (1)'!$B$16,'Paramètres (1)'!$A$1:$I$88,7,0))</f>
        <v>#REF!</v>
      </c>
      <c r="FP82" s="135" t="str">
        <f t="shared" si="84"/>
        <v>#REF!</v>
      </c>
      <c r="FQ82" s="142" t="str">
        <f>EXP(-LN(2)/35)*FQ81+(1-EXP(-LN(2)/35))/(LN(2)/35)*FM82*FN82*VLOOKUP('Données projet (1)'!$B$16,'Paramètres (1)'!$A$1:$I$88,3,0)*0.475*44/12</f>
        <v>#REF!</v>
      </c>
      <c r="FR82" s="142" t="str">
        <f>EXP(-LN(2)/25)*FR81+(1-EXP(-LN(2)/25))/(LN(2)/25)*'Calculateur (1)'!FM82*'Calculateur (1)'!FO82*VLOOKUP('Données projet (1)'!$B$16,'Paramètres (1)'!$A$1:$I$88,3,0)*0.475*44/12</f>
        <v>#REF!</v>
      </c>
      <c r="FS82" s="142" t="str">
        <f>EXP(-LN(2)/2)*FS81+(1-EXP(-LN(2)/2))/(LN(2)/2)*FM82*FP82*VLOOKUP('Données projet (1)'!$B$16,'Paramètres (1)'!$A$1:$I$88,3,0)*0.475*44/12</f>
        <v>#REF!</v>
      </c>
      <c r="FT82" s="143" t="str">
        <f t="shared" si="85"/>
        <v>#REF!</v>
      </c>
      <c r="FU82" s="139" t="str">
        <f t="shared" si="86"/>
        <v>#REF!</v>
      </c>
      <c r="FV82" s="131">
        <f t="shared" si="87"/>
        <v>10</v>
      </c>
      <c r="FW82" s="131" t="str">
        <f t="shared" si="140"/>
        <v>#REF!</v>
      </c>
      <c r="FX82" s="131" t="str">
        <f t="shared" si="88"/>
        <v>#REF!</v>
      </c>
      <c r="FY82" s="131" t="str">
        <f t="array" ref="FY82">INDEX(FX:FX,MIN(IF(ISNUMBER(FX82:FX278),ROW(FX82:FX278),"")))</f>
        <v/>
      </c>
      <c r="FZ82" s="131" t="str">
        <f t="shared" si="141"/>
        <v>#REF!</v>
      </c>
      <c r="GA82" s="138" t="str">
        <f>FZ82*VLOOKUP('Données projet (1)'!$B$17,'Paramètres (1)'!$A$1:$I$88,3,0)*VLOOKUP('Données projet (1)'!$B$17,'Paramètres (1)'!$A$1:$I$88,5,0)</f>
        <v>#REF!</v>
      </c>
      <c r="GB82" s="130" t="str">
        <f t="shared" si="142"/>
        <v>#REF!</v>
      </c>
      <c r="GC82" s="141" t="str">
        <f t="shared" si="89"/>
        <v>#REF!</v>
      </c>
      <c r="GD82" s="133" t="str">
        <f t="shared" si="90"/>
        <v>#REF!</v>
      </c>
      <c r="GE82" s="133" t="str">
        <f t="shared" si="91"/>
        <v>#REF!</v>
      </c>
      <c r="GF82" s="133" t="str">
        <f t="shared" si="143"/>
        <v>#REF!</v>
      </c>
      <c r="GG82" s="134" t="str">
        <f t="shared" si="92"/>
        <v>#REF!</v>
      </c>
      <c r="GH82" s="134" t="str">
        <f t="shared" si="93"/>
        <v>#REF!</v>
      </c>
      <c r="GI82" s="135" t="str">
        <f>IF(ISNA(VLOOKUP(A82,'Données projet (1)'!$A$243:$I$263,5,0)),0%,VLOOKUP(A82,'Données projet (1)'!$A$243:$I$263,5,0)*VLOOKUP('Données projet (1)'!$B$17,'Paramètres (1)'!$A$1:$I$88,7,0))</f>
        <v>#REF!</v>
      </c>
      <c r="GJ82" s="135" t="str">
        <f>IF(ISNA(VLOOKUP(A82,'Données projet (1)'!$A$243:$I$263,6,0)),0%,VLOOKUP(A82,'Données projet (1)'!$A$243:$I$263,6,0)*VLOOKUP('Données projet (1)'!$B$17,'Paramètres (1)'!$A$1:$I$88,7,0))</f>
        <v>#REF!</v>
      </c>
      <c r="GK82" s="135" t="str">
        <f t="shared" si="94"/>
        <v>#REF!</v>
      </c>
      <c r="GL82" s="142" t="str">
        <f>EXP(-LN(2)/35)*GL81+(1-EXP(-LN(2)/35))/(LN(2)/35)*GH82*GI82*VLOOKUP('Données projet (1)'!$B$17,'Paramètres (1)'!$A$1:$I$88,3,0)*0.475*44/12</f>
        <v>#REF!</v>
      </c>
      <c r="GM82" s="142" t="str">
        <f>EXP(-LN(2)/25)*GM81+(1-EXP(-LN(2)/25))/(LN(2)/25)*'Calculateur (1)'!GH82*'Calculateur (1)'!GJ82*VLOOKUP('Données projet (1)'!$B$17,'Paramètres (1)'!$A$1:$I$88,3,0)*0.475*44/12</f>
        <v>#REF!</v>
      </c>
      <c r="GN82" s="142" t="str">
        <f>EXP(-LN(2)/2)*GN81+(1-EXP(-LN(2)/2))/(LN(2)/2)*GH82*GK82*VLOOKUP('Données projet (1)'!$B$17,'Paramètres (1)'!$A$1:$I$88,3,0)*0.475*44/12</f>
        <v>#REF!</v>
      </c>
      <c r="GO82" s="142" t="str">
        <f t="shared" si="95"/>
        <v>#REF!</v>
      </c>
      <c r="GP82" s="139" t="str">
        <f t="shared" si="96"/>
        <v>#REF!</v>
      </c>
      <c r="GQ82" s="131">
        <f t="shared" si="97"/>
        <v>10</v>
      </c>
      <c r="GR82" s="131" t="str">
        <f t="shared" si="144"/>
        <v>#REF!</v>
      </c>
      <c r="GS82" s="131" t="str">
        <f t="shared" si="98"/>
        <v>#REF!</v>
      </c>
      <c r="GT82" s="131" t="str">
        <f t="array" ref="GT82">INDEX(GS:GS,MIN(IF(ISNUMBER(GS82:GS278),ROW(GS82:GS278),"")))</f>
        <v/>
      </c>
      <c r="GU82" s="131" t="str">
        <f t="shared" si="145"/>
        <v>#REF!</v>
      </c>
      <c r="GV82" s="138" t="str">
        <f>GU82*VLOOKUP('Données projet (1)'!$B$18,'Paramètres (1)'!$A$1:$I$88,3,0)*VLOOKUP('Données projet (1)'!$B$18,'Paramètres (1)'!$A$1:$I$88,5,0)</f>
        <v>#REF!</v>
      </c>
      <c r="GW82" s="130" t="str">
        <f t="shared" si="146"/>
        <v>#REF!</v>
      </c>
      <c r="GX82" s="141" t="str">
        <f t="shared" si="99"/>
        <v>#REF!</v>
      </c>
      <c r="GY82" s="133" t="str">
        <f t="shared" si="100"/>
        <v>#REF!</v>
      </c>
      <c r="GZ82" s="133" t="str">
        <f t="shared" si="101"/>
        <v>#REF!</v>
      </c>
      <c r="HA82" s="133" t="str">
        <f t="shared" si="147"/>
        <v>#REF!</v>
      </c>
      <c r="HB82" s="134" t="str">
        <f t="shared" si="102"/>
        <v>#REF!</v>
      </c>
      <c r="HC82" s="134" t="str">
        <f t="shared" si="103"/>
        <v>#REF!</v>
      </c>
      <c r="HD82" s="135" t="str">
        <f>IF(ISNA(VLOOKUP(A82,'Données projet (1)'!$A$269:$I$289,5,0)),0%,VLOOKUP(A82,'Données projet (1)'!$A$269:$I$289,5,0)*VLOOKUP('Données projet (1)'!$B$18,'Paramètres (1)'!$A$1:$I$88,7,0))</f>
        <v>#REF!</v>
      </c>
      <c r="HE82" s="135" t="str">
        <f>IF(ISNA(VLOOKUP(A82,'Données projet (1)'!$A$269:$I$289,6,0)),0%,VLOOKUP(A82,'Données projet (1)'!$A$269:$I$289,6,0)*VLOOKUP('Données projet (1)'!$B$18,'Paramètres (1)'!$A$1:$I$88,7,0))</f>
        <v>#REF!</v>
      </c>
      <c r="HF82" s="135" t="str">
        <f t="shared" si="104"/>
        <v>#REF!</v>
      </c>
      <c r="HG82" s="142" t="str">
        <f>EXP(-LN(2)/35)*HG81+(1-EXP(-LN(2)/35))/(LN(2)/35)*HC82*HD82*VLOOKUP('Données projet (1)'!$B$18,'Paramètres (1)'!$A$1:$I$88,3,0)*0.475*44/12</f>
        <v>#REF!</v>
      </c>
      <c r="HH82" s="142" t="str">
        <f>EXP(-LN(2)/25)*HH81+(1-EXP(-LN(2)/25))/(LN(2)/25)*'Calculateur (1)'!HC82*'Calculateur (1)'!HE82*VLOOKUP('Données projet (1)'!$B$18,'Paramètres (1)'!$A$1:$I$88,3,0)*0.475*44/12</f>
        <v>#REF!</v>
      </c>
      <c r="HI82" s="142" t="str">
        <f>EXP(-LN(2)/2)*HI81+(1-EXP(-LN(2)/2))/(LN(2)/2)*HC82*HF82*VLOOKUP('Données projet (1)'!$B$18,'Paramètres (1)'!$A$1:$I$88,3,0)*0.475*44/12</f>
        <v>#REF!</v>
      </c>
      <c r="HJ82" s="143" t="str">
        <f t="shared" si="105"/>
        <v>#REF!</v>
      </c>
    </row>
    <row r="83" ht="14.25" customHeight="1">
      <c r="A83" s="125">
        <f t="shared" si="106"/>
        <v>80</v>
      </c>
      <c r="B83" s="126" t="str">
        <f t="shared" si="1"/>
        <v>#REF!</v>
      </c>
      <c r="C83" s="140" t="str">
        <f>'Calculateur (1)'!C82+'Scénario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3" s="127">
        <f t="shared" si="107"/>
        <v>0</v>
      </c>
      <c r="E83" s="127" t="str">
        <f t="shared" si="2"/>
        <v>#REF!</v>
      </c>
      <c r="F83" s="127" t="str">
        <f t="shared" si="3"/>
        <v>#REF!</v>
      </c>
      <c r="G83" s="127" t="str">
        <f t="shared" si="4"/>
        <v>#REF!</v>
      </c>
      <c r="H83" s="128" t="str">
        <f t="shared" si="5"/>
        <v>#REF!</v>
      </c>
      <c r="I83" s="129" t="str">
        <f t="shared" si="6"/>
        <v>#REF!</v>
      </c>
      <c r="J83" s="130">
        <f t="shared" si="7"/>
        <v>10</v>
      </c>
      <c r="K83" s="131" t="str">
        <f t="shared" si="108"/>
        <v>#REF!</v>
      </c>
      <c r="L83" s="131" t="str">
        <f t="shared" si="8"/>
        <v>#REF!</v>
      </c>
      <c r="M83" s="131" t="str">
        <f t="array" ref="M83">INDEX(L:L,MIN(IF(ISNUMBER(L83:L279),ROW(L83:L279),"")))</f>
        <v/>
      </c>
      <c r="N83" s="130" t="str">
        <f t="shared" si="109"/>
        <v>#REF!</v>
      </c>
      <c r="O83" s="130" t="str">
        <f>N83*VLOOKUP('Données projet (1)'!$B$9,'Paramètres (1)'!$A$1:$I$88,3,0)*VLOOKUP('Données projet (1)'!$B$9,'Paramètres (1)'!$A$1:$I$88,5,0)</f>
        <v>#REF!</v>
      </c>
      <c r="P83" s="130" t="str">
        <f t="shared" si="110"/>
        <v>#REF!</v>
      </c>
      <c r="Q83" s="141" t="str">
        <f t="shared" si="9"/>
        <v>#REF!</v>
      </c>
      <c r="R83" s="133" t="str">
        <f t="shared" si="10"/>
        <v>#REF!</v>
      </c>
      <c r="S83" s="133" t="str">
        <f t="shared" si="11"/>
        <v>#REF!</v>
      </c>
      <c r="T83" s="133" t="str">
        <f t="shared" si="111"/>
        <v>#REF!</v>
      </c>
      <c r="U83" s="134" t="str">
        <f t="shared" si="12"/>
        <v>#REF!</v>
      </c>
      <c r="V83" s="134" t="str">
        <f t="shared" si="13"/>
        <v>#REF!</v>
      </c>
      <c r="W83" s="135" t="str">
        <f>IF(ISNA(VLOOKUP(A83,'Données projet (1)'!$A$35:$I$55,5,0)),0%,VLOOKUP(A83,'Données projet (1)'!$A$35:$I$55,5,0)*VLOOKUP('Données projet (1)'!$B$9,'Paramètres (1)'!$A$1:$I$88,7,0))</f>
        <v>#REF!</v>
      </c>
      <c r="X83" s="135" t="str">
        <f>IF(ISNA(VLOOKUP(A83,'Données projet (1)'!$A$35:$I$55,6,0)),0%,VLOOKUP(A83,'Données projet (1)'!$A$35:$I$55,6,0)*VLOOKUP('Données projet (1)'!$B$9,'Paramètres (1)'!$A$1:$I$88,7,0))</f>
        <v>#REF!</v>
      </c>
      <c r="Y83" s="135" t="str">
        <f t="shared" si="14"/>
        <v>#REF!</v>
      </c>
      <c r="Z83" s="142" t="str">
        <f>EXP(-LN(2)/35)*Z82+(1-EXP(-LN(2)/35))/(LN(2)/35)*V83*W83*VLOOKUP('Données projet (1)'!$B$9,'Paramètres (1)'!$A$1:$I$88,3,0)*0.475*44/12</f>
        <v>#REF!</v>
      </c>
      <c r="AA83" s="142" t="str">
        <f>EXP(-LN(2)/25)*AA82+(1-EXP(-LN(2)/25))/(LN(2)/25)*'Calculateur (1)'!V83*'Calculateur (1)'!X83*VLOOKUP('Données projet (1)'!$B$9,'Paramètres (1)'!$A$1:$I$88,3,0)*0.475*44/12</f>
        <v>#REF!</v>
      </c>
      <c r="AB83" s="142" t="str">
        <f>EXP(-LN(2)/2)*AB82+(1-EXP(-LN(2)/2))/(LN(2)/2)*V83*Y83*VLOOKUP('Données projet (1)'!$B$9,'Paramètres (1)'!$A$1:$I$88,3,0)*0.475*44/12</f>
        <v>#REF!</v>
      </c>
      <c r="AC83" s="143" t="str">
        <f t="shared" si="15"/>
        <v>#REF!</v>
      </c>
      <c r="AD83" s="130" t="str">
        <f t="shared" si="16"/>
        <v>#REF!</v>
      </c>
      <c r="AE83" s="130">
        <f t="shared" si="17"/>
        <v>10</v>
      </c>
      <c r="AF83" s="131" t="str">
        <f t="shared" si="112"/>
        <v>#REF!</v>
      </c>
      <c r="AG83" s="131" t="str">
        <f t="shared" si="18"/>
        <v>#REF!</v>
      </c>
      <c r="AH83" s="131" t="str">
        <f t="array" ref="AH83">INDEX(AG:AG,MIN(IF(ISNUMBER(AG83:AG279),ROW(AG83:AG279),"")))</f>
        <v/>
      </c>
      <c r="AI83" s="130" t="str">
        <f t="shared" si="113"/>
        <v>#REF!</v>
      </c>
      <c r="AJ83" s="130" t="str">
        <f>AI83*VLOOKUP('Données projet (1)'!$B$10,'Paramètres (1)'!$A$1:$I$88,3,0)*VLOOKUP('Données projet (1)'!$B$10,'Paramètres (1)'!$A$1:$I$88,5,0)</f>
        <v>#REF!</v>
      </c>
      <c r="AK83" s="130" t="str">
        <f t="shared" si="114"/>
        <v>#REF!</v>
      </c>
      <c r="AL83" s="141" t="str">
        <f t="shared" si="19"/>
        <v>#REF!</v>
      </c>
      <c r="AM83" s="133" t="str">
        <f t="shared" si="20"/>
        <v>#REF!</v>
      </c>
      <c r="AN83" s="133" t="str">
        <f t="shared" si="21"/>
        <v>#REF!</v>
      </c>
      <c r="AO83" s="133" t="str">
        <f t="shared" si="115"/>
        <v>#REF!</v>
      </c>
      <c r="AP83" s="134" t="str">
        <f t="shared" si="22"/>
        <v>#REF!</v>
      </c>
      <c r="AQ83" s="134" t="str">
        <f t="shared" si="23"/>
        <v>#REF!</v>
      </c>
      <c r="AR83" s="135" t="str">
        <f>IF(ISNA(VLOOKUP(A83,'Données projet (1)'!$A$61:$I$81,5,0)),0%,VLOOKUP(A83,'Données projet (1)'!$A$61:$I$81,5,0)*VLOOKUP('Données projet (1)'!$B$10,'Paramètres (1)'!$A$1:$I$88,7,0))</f>
        <v>#REF!</v>
      </c>
      <c r="AS83" s="135" t="str">
        <f>IF(ISNA(VLOOKUP(A83,'Données projet (1)'!$A$61:$I$81,6,0)),0%,VLOOKUP(A83,'Données projet (1)'!$A$61:$I$81,6,0)*VLOOKUP('Données projet (1)'!$B$10,'Paramètres (1)'!$A$1:$I$88,7,0))</f>
        <v>#REF!</v>
      </c>
      <c r="AT83" s="135" t="str">
        <f t="shared" si="24"/>
        <v>#REF!</v>
      </c>
      <c r="AU83" s="142" t="str">
        <f>EXP(-LN(2)/35)*AU82+(1-EXP(-LN(2)/35))/(LN(2)/35)*AQ83*AR83*VLOOKUP('Données projet (1)'!$B$10,'Paramètres (1)'!$A$1:$I$88,3,0)*0.475*44/12</f>
        <v>#REF!</v>
      </c>
      <c r="AV83" s="142" t="str">
        <f>EXP(-LN(2)/25)*AV82+(1-EXP(-LN(2)/25))/(LN(2)/25)*'Calculateur (1)'!AQ83*'Calculateur (1)'!AS83*VLOOKUP('Données projet (1)'!$B$10,'Paramètres (1)'!$A$1:$I$88,3,0)*0.475*44/12</f>
        <v>#REF!</v>
      </c>
      <c r="AW83" s="142" t="str">
        <f>EXP(-LN(2)/2)*AW82+(1-EXP(-LN(2)/2))/(LN(2)/2)*AQ83*AT83*VLOOKUP('Données projet (1)'!$B$10,'Paramètres (1)'!$A$1:$I$88,3,0)*0.475*44/12</f>
        <v>#REF!</v>
      </c>
      <c r="AX83" s="142" t="str">
        <f t="shared" si="25"/>
        <v>#REF!</v>
      </c>
      <c r="AY83" s="137" t="str">
        <f t="shared" si="26"/>
        <v>#REF!</v>
      </c>
      <c r="AZ83" s="131">
        <f t="shared" si="27"/>
        <v>10</v>
      </c>
      <c r="BA83" s="131" t="str">
        <f t="shared" si="116"/>
        <v>#REF!</v>
      </c>
      <c r="BB83" s="131" t="str">
        <f t="shared" si="28"/>
        <v>#REF!</v>
      </c>
      <c r="BC83" s="131" t="str">
        <f t="array" ref="BC83">INDEX(BB:BB,MIN(IF(ISNUMBER(BB83:BB279),ROW(BB83:BB279),"")))</f>
        <v/>
      </c>
      <c r="BD83" s="131" t="str">
        <f t="shared" si="117"/>
        <v>#REF!</v>
      </c>
      <c r="BE83" s="130" t="str">
        <f>BD83*VLOOKUP('Données projet (1)'!$B$11,'Paramètres (1)'!$A$1:$I$88,3,0)*VLOOKUP('Données projet (1)'!$B$11,'Paramètres (1)'!$A$1:$I$88,5,0)</f>
        <v>#REF!</v>
      </c>
      <c r="BF83" s="130" t="str">
        <f t="shared" si="118"/>
        <v>#REF!</v>
      </c>
      <c r="BG83" s="141" t="str">
        <f t="shared" si="29"/>
        <v>#REF!</v>
      </c>
      <c r="BH83" s="133" t="str">
        <f t="shared" si="30"/>
        <v>#REF!</v>
      </c>
      <c r="BI83" s="133" t="str">
        <f t="shared" si="31"/>
        <v>#REF!</v>
      </c>
      <c r="BJ83" s="133" t="str">
        <f t="shared" si="119"/>
        <v>#REF!</v>
      </c>
      <c r="BK83" s="134" t="str">
        <f t="shared" si="32"/>
        <v>#REF!</v>
      </c>
      <c r="BL83" s="142" t="str">
        <f t="shared" si="33"/>
        <v>#REF!</v>
      </c>
      <c r="BM83" s="135" t="str">
        <f>IF(ISNA(VLOOKUP(A83,'Données projet (1)'!$A$87:$I$107,5,0)),0%,VLOOKUP(A83,'Données projet (1)'!$A$87:$I$107,5,0)*VLOOKUP('Données projet (1)'!$B$11,'Paramètres (1)'!$A$1:$I$88,7,0))</f>
        <v>#REF!</v>
      </c>
      <c r="BN83" s="135" t="str">
        <f>IF(ISNA(VLOOKUP(A83,'Données projet (1)'!$A$87:$I$107,6,0)),0%,VLOOKUP(A83,'Données projet (1)'!$A$87:$I$107,6,0)*VLOOKUP('Données projet (1)'!$B$11,'Paramètres (1)'!$A$1:$I$88,7,0))</f>
        <v>#REF!</v>
      </c>
      <c r="BO83" s="135" t="str">
        <f t="shared" si="34"/>
        <v>#REF!</v>
      </c>
      <c r="BP83" s="142" t="str">
        <f>EXP(-LN(2)/35)*BP82+(1-EXP(-LN(2)/35))/(LN(2)/35)*BL83*BM83*VLOOKUP('Données projet (1)'!$B$11,'Paramètres (1)'!$A$1:$I$88,3,0)*0.475*44/12</f>
        <v>#REF!</v>
      </c>
      <c r="BQ83" s="142" t="str">
        <f>EXP(-LN(2)/25)*BQ82+(1-EXP(-LN(2)/25))/(LN(2)/25)*'Calculateur (1)'!BL83*'Calculateur (1)'!BN83*VLOOKUP('Données projet (1)'!$B$11,'Paramètres (1)'!$A$1:$I$88,3,0)*0.475*44/12</f>
        <v>#REF!</v>
      </c>
      <c r="BR83" s="142" t="str">
        <f>EXP(-LN(2)/2)*BR82+(1-EXP(-LN(2)/2))/(LN(2)/2)*BL83*BO83*VLOOKUP('Données projet (1)'!$B$11,'Paramètres (1)'!$A$1:$I$88,3,0)*0.475*44/12</f>
        <v>#REF!</v>
      </c>
      <c r="BS83" s="143" t="str">
        <f t="shared" si="35"/>
        <v>#REF!</v>
      </c>
      <c r="BT83" s="139" t="str">
        <f t="shared" si="36"/>
        <v>#REF!</v>
      </c>
      <c r="BU83" s="131">
        <f t="shared" si="37"/>
        <v>10</v>
      </c>
      <c r="BV83" s="131" t="str">
        <f t="shared" si="120"/>
        <v>#REF!</v>
      </c>
      <c r="BW83" s="131" t="str">
        <f t="shared" si="38"/>
        <v>#REF!</v>
      </c>
      <c r="BX83" s="131" t="str">
        <f t="array" ref="BX83">INDEX(BW:BW,MIN(IF(ISNUMBER(BW83:BW279),ROW(BW83:BW279),"")))</f>
        <v/>
      </c>
      <c r="BY83" s="131" t="str">
        <f t="shared" si="121"/>
        <v>#REF!</v>
      </c>
      <c r="BZ83" s="130" t="str">
        <f>BY83*VLOOKUP('Données projet (1)'!$B$12,'Paramètres (1)'!$A$1:$I$88,3,0)*VLOOKUP('Données projet (1)'!$B$12,'Paramètres (1)'!$A$1:$I$88,5,0)</f>
        <v>#REF!</v>
      </c>
      <c r="CA83" s="130" t="str">
        <f t="shared" si="122"/>
        <v>#REF!</v>
      </c>
      <c r="CB83" s="141" t="str">
        <f t="shared" si="39"/>
        <v>#REF!</v>
      </c>
      <c r="CC83" s="133" t="str">
        <f t="shared" si="40"/>
        <v>#REF!</v>
      </c>
      <c r="CD83" s="133" t="str">
        <f t="shared" si="41"/>
        <v>#REF!</v>
      </c>
      <c r="CE83" s="133" t="str">
        <f t="shared" si="123"/>
        <v>#REF!</v>
      </c>
      <c r="CF83" s="134" t="str">
        <f t="shared" si="42"/>
        <v>#REF!</v>
      </c>
      <c r="CG83" s="134" t="str">
        <f t="shared" si="43"/>
        <v>#REF!</v>
      </c>
      <c r="CH83" s="135" t="str">
        <f>IF(ISNA(VLOOKUP(A83,'Données projet (1)'!$A$113:$I$133,5,0)),0%,VLOOKUP(A83,'Données projet (1)'!$A$113:$I$133,5,0)*VLOOKUP('Données projet (1)'!$B$12,'Paramètres (1)'!$A$1:$I$88,7,0))</f>
        <v>#REF!</v>
      </c>
      <c r="CI83" s="135" t="str">
        <f>IF(ISNA(VLOOKUP(A83,'Données projet (1)'!$A$113:$I$133,6,0)),0%,VLOOKUP(A83,'Données projet (1)'!$A$113:$I$133,6,0)*VLOOKUP('Données projet (1)'!$B$12,'Paramètres (1)'!$A$1:$I$88,7,0))</f>
        <v>#REF!</v>
      </c>
      <c r="CJ83" s="135" t="str">
        <f t="shared" si="44"/>
        <v>#REF!</v>
      </c>
      <c r="CK83" s="142" t="str">
        <f>EXP(-LN(2)/35)*CK82+(1-EXP(-LN(2)/35))/(LN(2)/35)*CG83*CH83*VLOOKUP('Données projet (1)'!$B$12,'Paramètres (1)'!$A$1:$I$88,3,0)*0.475*44/12</f>
        <v>#REF!</v>
      </c>
      <c r="CL83" s="142" t="str">
        <f>EXP(-LN(2)/25)*CL82+(1-EXP(-LN(2)/25))/(LN(2)/25)*'Calculateur (1)'!CG83*'Calculateur (1)'!CI83*VLOOKUP('Données projet (1)'!$B$12,'Paramètres (1)'!$A$1:$I$88,3,0)*0.475*44/12</f>
        <v>#REF!</v>
      </c>
      <c r="CM83" s="142" t="str">
        <f>EXP(-LN(2)/2)*CM82+(1-EXP(-LN(2)/2))/(LN(2)/2)*CG83*CJ83*VLOOKUP('Données projet (1)'!$B$12,'Paramètres (1)'!$A$1:$I$88,3,0)*0.475*44/12</f>
        <v>#REF!</v>
      </c>
      <c r="CN83" s="143" t="str">
        <f t="shared" si="45"/>
        <v>#REF!</v>
      </c>
      <c r="CO83" s="139" t="str">
        <f t="shared" si="46"/>
        <v>#REF!</v>
      </c>
      <c r="CP83" s="131">
        <f t="shared" si="47"/>
        <v>10</v>
      </c>
      <c r="CQ83" s="131" t="str">
        <f t="shared" si="124"/>
        <v>#REF!</v>
      </c>
      <c r="CR83" s="131" t="str">
        <f t="shared" si="48"/>
        <v>#REF!</v>
      </c>
      <c r="CS83" s="131" t="str">
        <f t="array" ref="CS83">INDEX(CR:CR,MIN(IF(ISNUMBER(CR83:CR279),ROW(CR83:CR279),"")))</f>
        <v/>
      </c>
      <c r="CT83" s="131" t="str">
        <f t="shared" si="125"/>
        <v>#REF!</v>
      </c>
      <c r="CU83" s="138" t="str">
        <f>CT83*VLOOKUP('Données projet (1)'!$B$13,'Paramètres (1)'!$A$1:$I$88,3,0)*VLOOKUP('Données projet (1)'!$B$13,'Paramètres (1)'!$A$1:$I$88,5,0)</f>
        <v>#REF!</v>
      </c>
      <c r="CV83" s="130" t="str">
        <f t="shared" si="126"/>
        <v>#REF!</v>
      </c>
      <c r="CW83" s="141" t="str">
        <f t="shared" si="49"/>
        <v>#REF!</v>
      </c>
      <c r="CX83" s="133" t="str">
        <f t="shared" si="50"/>
        <v>#REF!</v>
      </c>
      <c r="CY83" s="133" t="str">
        <f t="shared" si="51"/>
        <v>#REF!</v>
      </c>
      <c r="CZ83" s="133" t="str">
        <f t="shared" si="127"/>
        <v>#REF!</v>
      </c>
      <c r="DA83" s="134" t="str">
        <f t="shared" si="52"/>
        <v>#REF!</v>
      </c>
      <c r="DB83" s="134" t="str">
        <f t="shared" si="53"/>
        <v>#REF!</v>
      </c>
      <c r="DC83" s="135" t="str">
        <f>IF(ISNA(VLOOKUP(A83,'Données projet (1)'!$A$139:$I$159,5,0)),0%,VLOOKUP(A83,'Données projet (1)'!$A$139:$I$159,5,0)*VLOOKUP('Données projet (1)'!$B$13,'Paramètres (1)'!$A$1:$I$88,7,0))</f>
        <v>#REF!</v>
      </c>
      <c r="DD83" s="135" t="str">
        <f>IF(ISNA(VLOOKUP(A83,'Données projet (1)'!$A$139:$I$159,6,0)),0%,VLOOKUP(A83,'Données projet (1)'!$A$139:$I$159,6,0)*VLOOKUP('Données projet (1)'!$B$13,'Paramètres (1)'!$A$1:$I$88,7,0))</f>
        <v>#REF!</v>
      </c>
      <c r="DE83" s="135" t="str">
        <f t="shared" si="54"/>
        <v>#REF!</v>
      </c>
      <c r="DF83" s="142" t="str">
        <f>EXP(-LN(2)/35)*DF82+(1-EXP(-LN(2)/35))/(LN(2)/35)*DB83*DC83*VLOOKUP('Données projet (1)'!$B$13,'Paramètres (1)'!$A$1:$I$88,3,0)*0.475*44/12</f>
        <v>#REF!</v>
      </c>
      <c r="DG83" s="142" t="str">
        <f>EXP(-LN(2)/25)*DG82+(1-EXP(-LN(2)/25))/(LN(2)/25)*'Calculateur (1)'!DB83*'Calculateur (1)'!DD83*VLOOKUP('Données projet (1)'!$B$13,'Paramètres (1)'!$A$1:$I$88,3,0)*0.475*44/12</f>
        <v>#REF!</v>
      </c>
      <c r="DH83" s="142" t="str">
        <f>EXP(-LN(2)/2)*DH82+(1-EXP(-LN(2)/2))/(LN(2)/2)*DB83*DE83*VLOOKUP('Données projet (1)'!$B$13,'Paramètres (1)'!$A$1:$I$88,3,0)*0.475*44/12</f>
        <v>#REF!</v>
      </c>
      <c r="DI83" s="143" t="str">
        <f t="shared" si="55"/>
        <v>#REF!</v>
      </c>
      <c r="DJ83" s="139" t="str">
        <f t="shared" si="56"/>
        <v>#REF!</v>
      </c>
      <c r="DK83" s="131">
        <f t="shared" si="57"/>
        <v>10</v>
      </c>
      <c r="DL83" s="131" t="str">
        <f t="shared" si="128"/>
        <v>#REF!</v>
      </c>
      <c r="DM83" s="131" t="str">
        <f t="shared" si="58"/>
        <v>#REF!</v>
      </c>
      <c r="DN83" s="131" t="str">
        <f t="array" ref="DN83">INDEX(DM:DM,MIN(IF(ISNUMBER(DM83:DM279),ROW(DM83:DM279),"")))</f>
        <v/>
      </c>
      <c r="DO83" s="131" t="str">
        <f t="shared" si="129"/>
        <v>#REF!</v>
      </c>
      <c r="DP83" s="138" t="str">
        <f>DO83*VLOOKUP('Données projet (1)'!$B$14,'Paramètres (1)'!$A$1:$I$88,3,0)*VLOOKUP('Données projet (1)'!$B$14,'Paramètres (1)'!$A$1:$I$88,5,0)</f>
        <v>#REF!</v>
      </c>
      <c r="DQ83" s="130" t="str">
        <f t="shared" si="130"/>
        <v>#REF!</v>
      </c>
      <c r="DR83" s="141" t="str">
        <f t="shared" si="59"/>
        <v>#REF!</v>
      </c>
      <c r="DS83" s="133" t="str">
        <f t="shared" si="60"/>
        <v>#REF!</v>
      </c>
      <c r="DT83" s="133" t="str">
        <f t="shared" si="61"/>
        <v>#REF!</v>
      </c>
      <c r="DU83" s="133" t="str">
        <f t="shared" si="131"/>
        <v>#REF!</v>
      </c>
      <c r="DV83" s="134" t="str">
        <f t="shared" si="62"/>
        <v>#REF!</v>
      </c>
      <c r="DW83" s="134" t="str">
        <f t="shared" si="63"/>
        <v>#REF!</v>
      </c>
      <c r="DX83" s="135" t="str">
        <f>IF(ISNA(VLOOKUP(A83,'Données projet (1)'!$A$165:$I$185,5,0)),0%,VLOOKUP(A83,'Données projet (1)'!$A$165:$I$185,5,0)*VLOOKUP('Données projet (1)'!$B$14,'Paramètres (1)'!$A$1:$I$88,7,0))</f>
        <v>#REF!</v>
      </c>
      <c r="DY83" s="135" t="str">
        <f>IF(ISNA(VLOOKUP(A83,'Données projet (1)'!$A$165:$I$185,6,0)),0%,VLOOKUP(A83,'Données projet (1)'!$A$165:$I$185,6,0)*VLOOKUP('Données projet (1)'!$B$14,'Paramètres (1)'!$A$1:$I$88,7,0))</f>
        <v>#REF!</v>
      </c>
      <c r="DZ83" s="135" t="str">
        <f t="shared" si="64"/>
        <v>#REF!</v>
      </c>
      <c r="EA83" s="142" t="str">
        <f>EXP(-LN(2)/35)*EA82+(1-EXP(-LN(2)/35))/(LN(2)/35)*DW83*DX83*VLOOKUP('Données projet (1)'!$B$14,'Paramètres (1)'!$A$1:$I$88,3,0)*0.475*44/12</f>
        <v>#REF!</v>
      </c>
      <c r="EB83" s="142" t="str">
        <f>EXP(-LN(2)/25)*EB82+(1-EXP(-LN(2)/25))/(LN(2)/25)*'Calculateur (1)'!DW83*'Calculateur (1)'!DY83*VLOOKUP('Données projet (1)'!$B$14,'Paramètres (1)'!$A$1:$I$88,3,0)*0.475*44/12</f>
        <v>#REF!</v>
      </c>
      <c r="EC83" s="142" t="str">
        <f>EXP(-LN(2)/2)*EC82+(1-EXP(-LN(2)/2))/(LN(2)/2)*DW83*DZ83*VLOOKUP('Données projet (1)'!$B$14,'Paramètres (1)'!$A$1:$I$88,3,0)*0.475*44/12</f>
        <v>#REF!</v>
      </c>
      <c r="ED83" s="143" t="str">
        <f t="shared" si="65"/>
        <v>#REF!</v>
      </c>
      <c r="EE83" s="139" t="str">
        <f t="shared" si="66"/>
        <v>#REF!</v>
      </c>
      <c r="EF83" s="131">
        <f t="shared" si="67"/>
        <v>10</v>
      </c>
      <c r="EG83" s="131" t="str">
        <f t="shared" si="132"/>
        <v>#REF!</v>
      </c>
      <c r="EH83" s="131" t="str">
        <f t="shared" si="68"/>
        <v>#REF!</v>
      </c>
      <c r="EI83" s="131" t="str">
        <f t="array" ref="EI83">INDEX(EH:EH,MIN(IF(ISNUMBER(EH83:EH279),ROW(EH83:EH279),"")))</f>
        <v/>
      </c>
      <c r="EJ83" s="131" t="str">
        <f t="shared" si="133"/>
        <v>#REF!</v>
      </c>
      <c r="EK83" s="138" t="str">
        <f>EJ83*VLOOKUP('Données projet (1)'!$B$15,'Paramètres (1)'!$A$1:$I$88,3,0)*VLOOKUP('Données projet (1)'!$B$15,'Paramètres (1)'!$A$1:$I$88,5,0)</f>
        <v>#REF!</v>
      </c>
      <c r="EL83" s="130" t="str">
        <f t="shared" si="134"/>
        <v>#REF!</v>
      </c>
      <c r="EM83" s="141" t="str">
        <f t="shared" si="69"/>
        <v>#REF!</v>
      </c>
      <c r="EN83" s="133" t="str">
        <f t="shared" si="70"/>
        <v>#REF!</v>
      </c>
      <c r="EO83" s="133" t="str">
        <f t="shared" si="71"/>
        <v>#REF!</v>
      </c>
      <c r="EP83" s="133" t="str">
        <f t="shared" si="135"/>
        <v>#REF!</v>
      </c>
      <c r="EQ83" s="134" t="str">
        <f t="shared" si="72"/>
        <v>#REF!</v>
      </c>
      <c r="ER83" s="134" t="str">
        <f t="shared" si="73"/>
        <v>#REF!</v>
      </c>
      <c r="ES83" s="135" t="str">
        <f>IF(ISNA(VLOOKUP(A83,'Données projet (1)'!$A$191:$I$211,5,0)),0%,VLOOKUP(A83,'Données projet (1)'!$A$191:$I$211,5,0)*VLOOKUP('Données projet (1)'!$B$15,'Paramètres (1)'!$A$1:$I$88,7,0))</f>
        <v>#REF!</v>
      </c>
      <c r="ET83" s="135" t="str">
        <f>IF(ISNA(VLOOKUP(A83,'Données projet (1)'!$A$191:$I$211,6,0)),0%,VLOOKUP(A83,'Données projet (1)'!$A$191:$I$211,6,0)*VLOOKUP('Données projet (1)'!$B$15,'Paramètres (1)'!$A$1:$I$88,7,0))</f>
        <v>#REF!</v>
      </c>
      <c r="EU83" s="135" t="str">
        <f t="shared" si="74"/>
        <v>#REF!</v>
      </c>
      <c r="EV83" s="142" t="str">
        <f>EXP(-LN(2)/35)*EV82+(1-EXP(-LN(2)/35))/(LN(2)/35)*ER83*ES83*VLOOKUP('Données projet (1)'!$B$15,'Paramètres (1)'!$A$1:$I$88,3,0)*0.475*44/12</f>
        <v>#REF!</v>
      </c>
      <c r="EW83" s="142" t="str">
        <f>EXP(-LN(2)/25)*EW82+(1-EXP(-LN(2)/25))/(LN(2)/25)*'Calculateur (1)'!ER83*'Calculateur (1)'!ET83*VLOOKUP('Données projet (1)'!$B$15,'Paramètres (1)'!$A$1:$I$88,3,0)*0.475*44/12</f>
        <v>#REF!</v>
      </c>
      <c r="EX83" s="142" t="str">
        <f>EXP(-LN(2)/2)*EX82+(1-EXP(-LN(2)/2))/(LN(2)/2)*ER83*EU83*VLOOKUP('Données projet (1)'!$B$15,'Paramètres (1)'!$A$1:$I$88,3,0)*0.475*44/12</f>
        <v>#REF!</v>
      </c>
      <c r="EY83" s="143" t="str">
        <f t="shared" si="75"/>
        <v>#REF!</v>
      </c>
      <c r="EZ83" s="139" t="str">
        <f t="shared" si="76"/>
        <v>#REF!</v>
      </c>
      <c r="FA83" s="131">
        <f t="shared" si="77"/>
        <v>10</v>
      </c>
      <c r="FB83" s="131" t="str">
        <f t="shared" si="136"/>
        <v>#REF!</v>
      </c>
      <c r="FC83" s="131" t="str">
        <f t="shared" si="78"/>
        <v>#REF!</v>
      </c>
      <c r="FD83" s="131" t="str">
        <f t="array" ref="FD83">INDEX(FC:FC,MIN(IF(ISNUMBER(FC83:FC279),ROW(FC83:FC279),"")))</f>
        <v/>
      </c>
      <c r="FE83" s="131" t="str">
        <f t="shared" si="137"/>
        <v>#REF!</v>
      </c>
      <c r="FF83" s="138" t="str">
        <f>FE83*VLOOKUP('Données projet (1)'!$B$16,'Paramètres (1)'!$A$1:$I$88,3,0)*VLOOKUP('Données projet (1)'!$B$16,'Paramètres (1)'!$A$1:$I$88,5,0)</f>
        <v>#REF!</v>
      </c>
      <c r="FG83" s="130" t="str">
        <f t="shared" si="138"/>
        <v>#REF!</v>
      </c>
      <c r="FH83" s="141" t="str">
        <f t="shared" si="79"/>
        <v>#REF!</v>
      </c>
      <c r="FI83" s="133" t="str">
        <f t="shared" si="80"/>
        <v>#REF!</v>
      </c>
      <c r="FJ83" s="133" t="str">
        <f t="shared" si="81"/>
        <v>#REF!</v>
      </c>
      <c r="FK83" s="133" t="str">
        <f t="shared" si="139"/>
        <v>#REF!</v>
      </c>
      <c r="FL83" s="134" t="str">
        <f t="shared" si="82"/>
        <v>#REF!</v>
      </c>
      <c r="FM83" s="134" t="str">
        <f t="shared" si="83"/>
        <v>#REF!</v>
      </c>
      <c r="FN83" s="135" t="str">
        <f>IF(ISNA(VLOOKUP(A83,'Données projet (1)'!$A$217:$I$237,5,0)),0%,VLOOKUP(A83,'Données projet (1)'!$A$217:$I$237,5,0)*VLOOKUP('Données projet (1)'!$B$16,'Paramètres (1)'!$A$1:$I$88,7,0))</f>
        <v>#REF!</v>
      </c>
      <c r="FO83" s="135" t="str">
        <f>IF(ISNA(VLOOKUP(A83,'Données projet (1)'!$A$217:$I$237,6,0)),0%,VLOOKUP(A83,'Données projet (1)'!$A$217:$I$237,6,0)*VLOOKUP('Données projet (1)'!$B$16,'Paramètres (1)'!$A$1:$I$88,7,0))</f>
        <v>#REF!</v>
      </c>
      <c r="FP83" s="135" t="str">
        <f t="shared" si="84"/>
        <v>#REF!</v>
      </c>
      <c r="FQ83" s="142" t="str">
        <f>EXP(-LN(2)/35)*FQ82+(1-EXP(-LN(2)/35))/(LN(2)/35)*FM83*FN83*VLOOKUP('Données projet (1)'!$B$16,'Paramètres (1)'!$A$1:$I$88,3,0)*0.475*44/12</f>
        <v>#REF!</v>
      </c>
      <c r="FR83" s="142" t="str">
        <f>EXP(-LN(2)/25)*FR82+(1-EXP(-LN(2)/25))/(LN(2)/25)*'Calculateur (1)'!FM83*'Calculateur (1)'!FO83*VLOOKUP('Données projet (1)'!$B$16,'Paramètres (1)'!$A$1:$I$88,3,0)*0.475*44/12</f>
        <v>#REF!</v>
      </c>
      <c r="FS83" s="142" t="str">
        <f>EXP(-LN(2)/2)*FS82+(1-EXP(-LN(2)/2))/(LN(2)/2)*FM83*FP83*VLOOKUP('Données projet (1)'!$B$16,'Paramètres (1)'!$A$1:$I$88,3,0)*0.475*44/12</f>
        <v>#REF!</v>
      </c>
      <c r="FT83" s="143" t="str">
        <f t="shared" si="85"/>
        <v>#REF!</v>
      </c>
      <c r="FU83" s="139" t="str">
        <f t="shared" si="86"/>
        <v>#REF!</v>
      </c>
      <c r="FV83" s="131">
        <f t="shared" si="87"/>
        <v>10</v>
      </c>
      <c r="FW83" s="131" t="str">
        <f t="shared" si="140"/>
        <v>#REF!</v>
      </c>
      <c r="FX83" s="131" t="str">
        <f t="shared" si="88"/>
        <v>#REF!</v>
      </c>
      <c r="FY83" s="131" t="str">
        <f t="array" ref="FY83">INDEX(FX:FX,MIN(IF(ISNUMBER(FX83:FX279),ROW(FX83:FX279),"")))</f>
        <v/>
      </c>
      <c r="FZ83" s="131" t="str">
        <f t="shared" si="141"/>
        <v>#REF!</v>
      </c>
      <c r="GA83" s="138" t="str">
        <f>FZ83*VLOOKUP('Données projet (1)'!$B$17,'Paramètres (1)'!$A$1:$I$88,3,0)*VLOOKUP('Données projet (1)'!$B$17,'Paramètres (1)'!$A$1:$I$88,5,0)</f>
        <v>#REF!</v>
      </c>
      <c r="GB83" s="130" t="str">
        <f t="shared" si="142"/>
        <v>#REF!</v>
      </c>
      <c r="GC83" s="141" t="str">
        <f t="shared" si="89"/>
        <v>#REF!</v>
      </c>
      <c r="GD83" s="133" t="str">
        <f t="shared" si="90"/>
        <v>#REF!</v>
      </c>
      <c r="GE83" s="133" t="str">
        <f t="shared" si="91"/>
        <v>#REF!</v>
      </c>
      <c r="GF83" s="133" t="str">
        <f t="shared" si="143"/>
        <v>#REF!</v>
      </c>
      <c r="GG83" s="134" t="str">
        <f t="shared" si="92"/>
        <v>#REF!</v>
      </c>
      <c r="GH83" s="134" t="str">
        <f t="shared" si="93"/>
        <v>#REF!</v>
      </c>
      <c r="GI83" s="135" t="str">
        <f>IF(ISNA(VLOOKUP(A83,'Données projet (1)'!$A$243:$I$263,5,0)),0%,VLOOKUP(A83,'Données projet (1)'!$A$243:$I$263,5,0)*VLOOKUP('Données projet (1)'!$B$17,'Paramètres (1)'!$A$1:$I$88,7,0))</f>
        <v>#REF!</v>
      </c>
      <c r="GJ83" s="135" t="str">
        <f>IF(ISNA(VLOOKUP(A83,'Données projet (1)'!$A$243:$I$263,6,0)),0%,VLOOKUP(A83,'Données projet (1)'!$A$243:$I$263,6,0)*VLOOKUP('Données projet (1)'!$B$17,'Paramètres (1)'!$A$1:$I$88,7,0))</f>
        <v>#REF!</v>
      </c>
      <c r="GK83" s="135" t="str">
        <f t="shared" si="94"/>
        <v>#REF!</v>
      </c>
      <c r="GL83" s="142" t="str">
        <f>EXP(-LN(2)/35)*GL82+(1-EXP(-LN(2)/35))/(LN(2)/35)*GH83*GI83*VLOOKUP('Données projet (1)'!$B$17,'Paramètres (1)'!$A$1:$I$88,3,0)*0.475*44/12</f>
        <v>#REF!</v>
      </c>
      <c r="GM83" s="142" t="str">
        <f>EXP(-LN(2)/25)*GM82+(1-EXP(-LN(2)/25))/(LN(2)/25)*'Calculateur (1)'!GH83*'Calculateur (1)'!GJ83*VLOOKUP('Données projet (1)'!$B$17,'Paramètres (1)'!$A$1:$I$88,3,0)*0.475*44/12</f>
        <v>#REF!</v>
      </c>
      <c r="GN83" s="142" t="str">
        <f>EXP(-LN(2)/2)*GN82+(1-EXP(-LN(2)/2))/(LN(2)/2)*GH83*GK83*VLOOKUP('Données projet (1)'!$B$17,'Paramètres (1)'!$A$1:$I$88,3,0)*0.475*44/12</f>
        <v>#REF!</v>
      </c>
      <c r="GO83" s="142" t="str">
        <f t="shared" si="95"/>
        <v>#REF!</v>
      </c>
      <c r="GP83" s="139" t="str">
        <f t="shared" si="96"/>
        <v>#REF!</v>
      </c>
      <c r="GQ83" s="131">
        <f t="shared" si="97"/>
        <v>10</v>
      </c>
      <c r="GR83" s="131" t="str">
        <f t="shared" si="144"/>
        <v>#REF!</v>
      </c>
      <c r="GS83" s="131" t="str">
        <f t="shared" si="98"/>
        <v>#REF!</v>
      </c>
      <c r="GT83" s="131" t="str">
        <f t="array" ref="GT83">INDEX(GS:GS,MIN(IF(ISNUMBER(GS83:GS279),ROW(GS83:GS279),"")))</f>
        <v/>
      </c>
      <c r="GU83" s="131" t="str">
        <f t="shared" si="145"/>
        <v>#REF!</v>
      </c>
      <c r="GV83" s="138" t="str">
        <f>GU83*VLOOKUP('Données projet (1)'!$B$18,'Paramètres (1)'!$A$1:$I$88,3,0)*VLOOKUP('Données projet (1)'!$B$18,'Paramètres (1)'!$A$1:$I$88,5,0)</f>
        <v>#REF!</v>
      </c>
      <c r="GW83" s="130" t="str">
        <f t="shared" si="146"/>
        <v>#REF!</v>
      </c>
      <c r="GX83" s="141" t="str">
        <f t="shared" si="99"/>
        <v>#REF!</v>
      </c>
      <c r="GY83" s="133" t="str">
        <f t="shared" si="100"/>
        <v>#REF!</v>
      </c>
      <c r="GZ83" s="133" t="str">
        <f t="shared" si="101"/>
        <v>#REF!</v>
      </c>
      <c r="HA83" s="133" t="str">
        <f t="shared" si="147"/>
        <v>#REF!</v>
      </c>
      <c r="HB83" s="134" t="str">
        <f t="shared" si="102"/>
        <v>#REF!</v>
      </c>
      <c r="HC83" s="134" t="str">
        <f t="shared" si="103"/>
        <v>#REF!</v>
      </c>
      <c r="HD83" s="135" t="str">
        <f>IF(ISNA(VLOOKUP(A83,'Données projet (1)'!$A$269:$I$289,5,0)),0%,VLOOKUP(A83,'Données projet (1)'!$A$269:$I$289,5,0)*VLOOKUP('Données projet (1)'!$B$18,'Paramètres (1)'!$A$1:$I$88,7,0))</f>
        <v>#REF!</v>
      </c>
      <c r="HE83" s="135" t="str">
        <f>IF(ISNA(VLOOKUP(A83,'Données projet (1)'!$A$269:$I$289,6,0)),0%,VLOOKUP(A83,'Données projet (1)'!$A$269:$I$289,6,0)*VLOOKUP('Données projet (1)'!$B$18,'Paramètres (1)'!$A$1:$I$88,7,0))</f>
        <v>#REF!</v>
      </c>
      <c r="HF83" s="135" t="str">
        <f t="shared" si="104"/>
        <v>#REF!</v>
      </c>
      <c r="HG83" s="142" t="str">
        <f>EXP(-LN(2)/35)*HG82+(1-EXP(-LN(2)/35))/(LN(2)/35)*HC83*HD83*VLOOKUP('Données projet (1)'!$B$18,'Paramètres (1)'!$A$1:$I$88,3,0)*0.475*44/12</f>
        <v>#REF!</v>
      </c>
      <c r="HH83" s="142" t="str">
        <f>EXP(-LN(2)/25)*HH82+(1-EXP(-LN(2)/25))/(LN(2)/25)*'Calculateur (1)'!HC83*'Calculateur (1)'!HE83*VLOOKUP('Données projet (1)'!$B$18,'Paramètres (1)'!$A$1:$I$88,3,0)*0.475*44/12</f>
        <v>#REF!</v>
      </c>
      <c r="HI83" s="142" t="str">
        <f>EXP(-LN(2)/2)*HI82+(1-EXP(-LN(2)/2))/(LN(2)/2)*HC83*HF83*VLOOKUP('Données projet (1)'!$B$18,'Paramètres (1)'!$A$1:$I$88,3,0)*0.475*44/12</f>
        <v>#REF!</v>
      </c>
      <c r="HJ83" s="143" t="str">
        <f t="shared" si="105"/>
        <v>#REF!</v>
      </c>
    </row>
    <row r="84" ht="14.25" customHeight="1">
      <c r="A84" s="125">
        <f t="shared" si="106"/>
        <v>81</v>
      </c>
      <c r="B84" s="126" t="str">
        <f t="shared" si="1"/>
        <v>#REF!</v>
      </c>
      <c r="C84" s="140" t="str">
        <f>'Calculateur (1)'!C83+'Scénario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4" s="127">
        <f t="shared" si="107"/>
        <v>0</v>
      </c>
      <c r="E84" s="127" t="str">
        <f t="shared" si="2"/>
        <v>#REF!</v>
      </c>
      <c r="F84" s="127" t="str">
        <f t="shared" si="3"/>
        <v>#REF!</v>
      </c>
      <c r="G84" s="127" t="str">
        <f t="shared" si="4"/>
        <v>#REF!</v>
      </c>
      <c r="H84" s="128" t="str">
        <f t="shared" si="5"/>
        <v>#REF!</v>
      </c>
      <c r="I84" s="129" t="str">
        <f t="shared" si="6"/>
        <v>#REF!</v>
      </c>
      <c r="J84" s="130">
        <f t="shared" si="7"/>
        <v>10</v>
      </c>
      <c r="K84" s="131" t="str">
        <f t="shared" si="108"/>
        <v>#REF!</v>
      </c>
      <c r="L84" s="131" t="str">
        <f t="shared" si="8"/>
        <v>#REF!</v>
      </c>
      <c r="M84" s="131" t="str">
        <f t="array" ref="M84">INDEX(L:L,MIN(IF(ISNUMBER(L84:L280),ROW(L84:L280),"")))</f>
        <v/>
      </c>
      <c r="N84" s="130" t="str">
        <f t="shared" si="109"/>
        <v>#REF!</v>
      </c>
      <c r="O84" s="130" t="str">
        <f>N84*VLOOKUP('Données projet (1)'!$B$9,'Paramètres (1)'!$A$1:$I$88,3,0)*VLOOKUP('Données projet (1)'!$B$9,'Paramètres (1)'!$A$1:$I$88,5,0)</f>
        <v>#REF!</v>
      </c>
      <c r="P84" s="130" t="str">
        <f t="shared" si="110"/>
        <v>#REF!</v>
      </c>
      <c r="Q84" s="141" t="str">
        <f t="shared" si="9"/>
        <v>#REF!</v>
      </c>
      <c r="R84" s="133" t="str">
        <f t="shared" si="10"/>
        <v>#REF!</v>
      </c>
      <c r="S84" s="133" t="str">
        <f t="shared" si="11"/>
        <v>#REF!</v>
      </c>
      <c r="T84" s="133" t="str">
        <f t="shared" si="111"/>
        <v>#REF!</v>
      </c>
      <c r="U84" s="134" t="str">
        <f t="shared" si="12"/>
        <v>#REF!</v>
      </c>
      <c r="V84" s="134" t="str">
        <f t="shared" si="13"/>
        <v>#REF!</v>
      </c>
      <c r="W84" s="135" t="str">
        <f>IF(ISNA(VLOOKUP(A84,'Données projet (1)'!$A$35:$I$55,5,0)),0%,VLOOKUP(A84,'Données projet (1)'!$A$35:$I$55,5,0)*VLOOKUP('Données projet (1)'!$B$9,'Paramètres (1)'!$A$1:$I$88,7,0))</f>
        <v>#REF!</v>
      </c>
      <c r="X84" s="135" t="str">
        <f>IF(ISNA(VLOOKUP(A84,'Données projet (1)'!$A$35:$I$55,6,0)),0%,VLOOKUP(A84,'Données projet (1)'!$A$35:$I$55,6,0)*VLOOKUP('Données projet (1)'!$B$9,'Paramètres (1)'!$A$1:$I$88,7,0))</f>
        <v>#REF!</v>
      </c>
      <c r="Y84" s="135" t="str">
        <f t="shared" si="14"/>
        <v>#REF!</v>
      </c>
      <c r="Z84" s="142" t="str">
        <f>EXP(-LN(2)/35)*Z83+(1-EXP(-LN(2)/35))/(LN(2)/35)*V84*W84*VLOOKUP('Données projet (1)'!$B$9,'Paramètres (1)'!$A$1:$I$88,3,0)*0.475*44/12</f>
        <v>#REF!</v>
      </c>
      <c r="AA84" s="142" t="str">
        <f>EXP(-LN(2)/25)*AA83+(1-EXP(-LN(2)/25))/(LN(2)/25)*'Calculateur (1)'!V84*'Calculateur (1)'!X84*VLOOKUP('Données projet (1)'!$B$9,'Paramètres (1)'!$A$1:$I$88,3,0)*0.475*44/12</f>
        <v>#REF!</v>
      </c>
      <c r="AB84" s="142" t="str">
        <f>EXP(-LN(2)/2)*AB83+(1-EXP(-LN(2)/2))/(LN(2)/2)*V84*Y84*VLOOKUP('Données projet (1)'!$B$9,'Paramètres (1)'!$A$1:$I$88,3,0)*0.475*44/12</f>
        <v>#REF!</v>
      </c>
      <c r="AC84" s="143" t="str">
        <f t="shared" si="15"/>
        <v>#REF!</v>
      </c>
      <c r="AD84" s="130" t="str">
        <f t="shared" si="16"/>
        <v>#REF!</v>
      </c>
      <c r="AE84" s="130">
        <f t="shared" si="17"/>
        <v>10</v>
      </c>
      <c r="AF84" s="131" t="str">
        <f t="shared" si="112"/>
        <v>#REF!</v>
      </c>
      <c r="AG84" s="131" t="str">
        <f t="shared" si="18"/>
        <v>#REF!</v>
      </c>
      <c r="AH84" s="131" t="str">
        <f t="array" ref="AH84">INDEX(AG:AG,MIN(IF(ISNUMBER(AG84:AG280),ROW(AG84:AG280),"")))</f>
        <v/>
      </c>
      <c r="AI84" s="130" t="str">
        <f t="shared" si="113"/>
        <v>#REF!</v>
      </c>
      <c r="AJ84" s="130" t="str">
        <f>AI84*VLOOKUP('Données projet (1)'!$B$10,'Paramètres (1)'!$A$1:$I$88,3,0)*VLOOKUP('Données projet (1)'!$B$10,'Paramètres (1)'!$A$1:$I$88,5,0)</f>
        <v>#REF!</v>
      </c>
      <c r="AK84" s="130" t="str">
        <f t="shared" si="114"/>
        <v>#REF!</v>
      </c>
      <c r="AL84" s="141" t="str">
        <f t="shared" si="19"/>
        <v>#REF!</v>
      </c>
      <c r="AM84" s="133" t="str">
        <f t="shared" si="20"/>
        <v>#REF!</v>
      </c>
      <c r="AN84" s="133" t="str">
        <f t="shared" si="21"/>
        <v>#REF!</v>
      </c>
      <c r="AO84" s="133" t="str">
        <f t="shared" si="115"/>
        <v>#REF!</v>
      </c>
      <c r="AP84" s="134" t="str">
        <f t="shared" si="22"/>
        <v>#REF!</v>
      </c>
      <c r="AQ84" s="134" t="str">
        <f t="shared" si="23"/>
        <v>#REF!</v>
      </c>
      <c r="AR84" s="135" t="str">
        <f>IF(ISNA(VLOOKUP(A84,'Données projet (1)'!$A$61:$I$81,5,0)),0%,VLOOKUP(A84,'Données projet (1)'!$A$61:$I$81,5,0)*VLOOKUP('Données projet (1)'!$B$10,'Paramètres (1)'!$A$1:$I$88,7,0))</f>
        <v>#REF!</v>
      </c>
      <c r="AS84" s="135" t="str">
        <f>IF(ISNA(VLOOKUP(A84,'Données projet (1)'!$A$61:$I$81,6,0)),0%,VLOOKUP(A84,'Données projet (1)'!$A$61:$I$81,6,0)*VLOOKUP('Données projet (1)'!$B$10,'Paramètres (1)'!$A$1:$I$88,7,0))</f>
        <v>#REF!</v>
      </c>
      <c r="AT84" s="135" t="str">
        <f t="shared" si="24"/>
        <v>#REF!</v>
      </c>
      <c r="AU84" s="142" t="str">
        <f>EXP(-LN(2)/35)*AU83+(1-EXP(-LN(2)/35))/(LN(2)/35)*AQ84*AR84*VLOOKUP('Données projet (1)'!$B$10,'Paramètres (1)'!$A$1:$I$88,3,0)*0.475*44/12</f>
        <v>#REF!</v>
      </c>
      <c r="AV84" s="142" t="str">
        <f>EXP(-LN(2)/25)*AV83+(1-EXP(-LN(2)/25))/(LN(2)/25)*'Calculateur (1)'!AQ84*'Calculateur (1)'!AS84*VLOOKUP('Données projet (1)'!$B$10,'Paramètres (1)'!$A$1:$I$88,3,0)*0.475*44/12</f>
        <v>#REF!</v>
      </c>
      <c r="AW84" s="142" t="str">
        <f>EXP(-LN(2)/2)*AW83+(1-EXP(-LN(2)/2))/(LN(2)/2)*AQ84*AT84*VLOOKUP('Données projet (1)'!$B$10,'Paramètres (1)'!$A$1:$I$88,3,0)*0.475*44/12</f>
        <v>#REF!</v>
      </c>
      <c r="AX84" s="142" t="str">
        <f t="shared" si="25"/>
        <v>#REF!</v>
      </c>
      <c r="AY84" s="137" t="str">
        <f t="shared" si="26"/>
        <v>#REF!</v>
      </c>
      <c r="AZ84" s="131">
        <f t="shared" si="27"/>
        <v>10</v>
      </c>
      <c r="BA84" s="131" t="str">
        <f t="shared" si="116"/>
        <v>#REF!</v>
      </c>
      <c r="BB84" s="131" t="str">
        <f t="shared" si="28"/>
        <v>#REF!</v>
      </c>
      <c r="BC84" s="131" t="str">
        <f t="array" ref="BC84">INDEX(BB:BB,MIN(IF(ISNUMBER(BB84:BB280),ROW(BB84:BB280),"")))</f>
        <v/>
      </c>
      <c r="BD84" s="131" t="str">
        <f t="shared" si="117"/>
        <v>#REF!</v>
      </c>
      <c r="BE84" s="130" t="str">
        <f>BD84*VLOOKUP('Données projet (1)'!$B$11,'Paramètres (1)'!$A$1:$I$88,3,0)*VLOOKUP('Données projet (1)'!$B$11,'Paramètres (1)'!$A$1:$I$88,5,0)</f>
        <v>#REF!</v>
      </c>
      <c r="BF84" s="130" t="str">
        <f t="shared" si="118"/>
        <v>#REF!</v>
      </c>
      <c r="BG84" s="141" t="str">
        <f t="shared" si="29"/>
        <v>#REF!</v>
      </c>
      <c r="BH84" s="133" t="str">
        <f t="shared" si="30"/>
        <v>#REF!</v>
      </c>
      <c r="BI84" s="133" t="str">
        <f t="shared" si="31"/>
        <v>#REF!</v>
      </c>
      <c r="BJ84" s="133" t="str">
        <f t="shared" si="119"/>
        <v>#REF!</v>
      </c>
      <c r="BK84" s="134" t="str">
        <f t="shared" si="32"/>
        <v>#REF!</v>
      </c>
      <c r="BL84" s="134" t="str">
        <f t="shared" si="33"/>
        <v>#REF!</v>
      </c>
      <c r="BM84" s="135" t="str">
        <f>IF(ISNA(VLOOKUP(A84,'Données projet (1)'!$A$87:$I$107,5,0)),0%,VLOOKUP(A84,'Données projet (1)'!$A$87:$I$107,5,0)*VLOOKUP('Données projet (1)'!$B$11,'Paramètres (1)'!$A$1:$I$88,7,0))</f>
        <v>#REF!</v>
      </c>
      <c r="BN84" s="135" t="str">
        <f>IF(ISNA(VLOOKUP(A84,'Données projet (1)'!$A$87:$I$107,6,0)),0%,VLOOKUP(A84,'Données projet (1)'!$A$87:$I$107,6,0)*VLOOKUP('Données projet (1)'!$B$11,'Paramètres (1)'!$A$1:$I$88,7,0))</f>
        <v>#REF!</v>
      </c>
      <c r="BO84" s="135" t="str">
        <f t="shared" si="34"/>
        <v>#REF!</v>
      </c>
      <c r="BP84" s="142" t="str">
        <f>EXP(-LN(2)/35)*BP83+(1-EXP(-LN(2)/35))/(LN(2)/35)*BL84*BM84*VLOOKUP('Données projet (1)'!$B$11,'Paramètres (1)'!$A$1:$I$88,3,0)*0.475*44/12</f>
        <v>#REF!</v>
      </c>
      <c r="BQ84" s="142" t="str">
        <f>EXP(-LN(2)/25)*BQ83+(1-EXP(-LN(2)/25))/(LN(2)/25)*'Calculateur (1)'!BL84*'Calculateur (1)'!BN84*VLOOKUP('Données projet (1)'!$B$11,'Paramètres (1)'!$A$1:$I$88,3,0)*0.475*44/12</f>
        <v>#REF!</v>
      </c>
      <c r="BR84" s="142" t="str">
        <f>EXP(-LN(2)/2)*BR83+(1-EXP(-LN(2)/2))/(LN(2)/2)*BL84*BO84*VLOOKUP('Données projet (1)'!$B$11,'Paramètres (1)'!$A$1:$I$88,3,0)*0.475*44/12</f>
        <v>#REF!</v>
      </c>
      <c r="BS84" s="143" t="str">
        <f t="shared" si="35"/>
        <v>#REF!</v>
      </c>
      <c r="BT84" s="139" t="str">
        <f t="shared" si="36"/>
        <v>#REF!</v>
      </c>
      <c r="BU84" s="131">
        <f t="shared" si="37"/>
        <v>10</v>
      </c>
      <c r="BV84" s="131" t="str">
        <f t="shared" si="120"/>
        <v>#REF!</v>
      </c>
      <c r="BW84" s="131" t="str">
        <f t="shared" si="38"/>
        <v>#REF!</v>
      </c>
      <c r="BX84" s="131" t="str">
        <f t="array" ref="BX84">INDEX(BW:BW,MIN(IF(ISNUMBER(BW84:BW280),ROW(BW84:BW280),"")))</f>
        <v/>
      </c>
      <c r="BY84" s="131" t="str">
        <f t="shared" si="121"/>
        <v>#REF!</v>
      </c>
      <c r="BZ84" s="130" t="str">
        <f>BY84*VLOOKUP('Données projet (1)'!$B$12,'Paramètres (1)'!$A$1:$I$88,3,0)*VLOOKUP('Données projet (1)'!$B$12,'Paramètres (1)'!$A$1:$I$88,5,0)</f>
        <v>#REF!</v>
      </c>
      <c r="CA84" s="130" t="str">
        <f t="shared" si="122"/>
        <v>#REF!</v>
      </c>
      <c r="CB84" s="141" t="str">
        <f t="shared" si="39"/>
        <v>#REF!</v>
      </c>
      <c r="CC84" s="133" t="str">
        <f t="shared" si="40"/>
        <v>#REF!</v>
      </c>
      <c r="CD84" s="133" t="str">
        <f t="shared" si="41"/>
        <v>#REF!</v>
      </c>
      <c r="CE84" s="133" t="str">
        <f t="shared" si="123"/>
        <v>#REF!</v>
      </c>
      <c r="CF84" s="134" t="str">
        <f t="shared" si="42"/>
        <v>#REF!</v>
      </c>
      <c r="CG84" s="134" t="str">
        <f t="shared" si="43"/>
        <v>#REF!</v>
      </c>
      <c r="CH84" s="135" t="str">
        <f>IF(ISNA(VLOOKUP(A84,'Données projet (1)'!$A$113:$I$133,5,0)),0%,VLOOKUP(A84,'Données projet (1)'!$A$113:$I$133,5,0)*VLOOKUP('Données projet (1)'!$B$12,'Paramètres (1)'!$A$1:$I$88,7,0))</f>
        <v>#REF!</v>
      </c>
      <c r="CI84" s="135" t="str">
        <f>IF(ISNA(VLOOKUP(A84,'Données projet (1)'!$A$113:$I$133,6,0)),0%,VLOOKUP(A84,'Données projet (1)'!$A$113:$I$133,6,0)*VLOOKUP('Données projet (1)'!$B$12,'Paramètres (1)'!$A$1:$I$88,7,0))</f>
        <v>#REF!</v>
      </c>
      <c r="CJ84" s="135" t="str">
        <f t="shared" si="44"/>
        <v>#REF!</v>
      </c>
      <c r="CK84" s="142" t="str">
        <f>EXP(-LN(2)/35)*CK83+(1-EXP(-LN(2)/35))/(LN(2)/35)*CG84*CH84*VLOOKUP('Données projet (1)'!$B$12,'Paramètres (1)'!$A$1:$I$88,3,0)*0.475*44/12</f>
        <v>#REF!</v>
      </c>
      <c r="CL84" s="142" t="str">
        <f>EXP(-LN(2)/25)*CL83+(1-EXP(-LN(2)/25))/(LN(2)/25)*'Calculateur (1)'!CG84*'Calculateur (1)'!CI84*VLOOKUP('Données projet (1)'!$B$12,'Paramètres (1)'!$A$1:$I$88,3,0)*0.475*44/12</f>
        <v>#REF!</v>
      </c>
      <c r="CM84" s="142" t="str">
        <f>EXP(-LN(2)/2)*CM83+(1-EXP(-LN(2)/2))/(LN(2)/2)*CG84*CJ84*VLOOKUP('Données projet (1)'!$B$12,'Paramètres (1)'!$A$1:$I$88,3,0)*0.475*44/12</f>
        <v>#REF!</v>
      </c>
      <c r="CN84" s="143" t="str">
        <f t="shared" si="45"/>
        <v>#REF!</v>
      </c>
      <c r="CO84" s="139" t="str">
        <f t="shared" si="46"/>
        <v>#REF!</v>
      </c>
      <c r="CP84" s="131">
        <f t="shared" si="47"/>
        <v>10</v>
      </c>
      <c r="CQ84" s="131" t="str">
        <f t="shared" si="124"/>
        <v>#REF!</v>
      </c>
      <c r="CR84" s="131" t="str">
        <f t="shared" si="48"/>
        <v>#REF!</v>
      </c>
      <c r="CS84" s="131" t="str">
        <f t="array" ref="CS84">INDEX(CR:CR,MIN(IF(ISNUMBER(CR84:CR280),ROW(CR84:CR280),"")))</f>
        <v/>
      </c>
      <c r="CT84" s="131" t="str">
        <f t="shared" si="125"/>
        <v>#REF!</v>
      </c>
      <c r="CU84" s="138" t="str">
        <f>CT84*VLOOKUP('Données projet (1)'!$B$13,'Paramètres (1)'!$A$1:$I$88,3,0)*VLOOKUP('Données projet (1)'!$B$13,'Paramètres (1)'!$A$1:$I$88,5,0)</f>
        <v>#REF!</v>
      </c>
      <c r="CV84" s="130" t="str">
        <f t="shared" si="126"/>
        <v>#REF!</v>
      </c>
      <c r="CW84" s="141" t="str">
        <f t="shared" si="49"/>
        <v>#REF!</v>
      </c>
      <c r="CX84" s="133" t="str">
        <f t="shared" si="50"/>
        <v>#REF!</v>
      </c>
      <c r="CY84" s="133" t="str">
        <f t="shared" si="51"/>
        <v>#REF!</v>
      </c>
      <c r="CZ84" s="133" t="str">
        <f t="shared" si="127"/>
        <v>#REF!</v>
      </c>
      <c r="DA84" s="134" t="str">
        <f t="shared" si="52"/>
        <v>#REF!</v>
      </c>
      <c r="DB84" s="134" t="str">
        <f t="shared" si="53"/>
        <v>#REF!</v>
      </c>
      <c r="DC84" s="135" t="str">
        <f>IF(ISNA(VLOOKUP(A84,'Données projet (1)'!$A$139:$I$159,5,0)),0%,VLOOKUP(A84,'Données projet (1)'!$A$139:$I$159,5,0)*VLOOKUP('Données projet (1)'!$B$13,'Paramètres (1)'!$A$1:$I$88,7,0))</f>
        <v>#REF!</v>
      </c>
      <c r="DD84" s="135" t="str">
        <f>IF(ISNA(VLOOKUP(A84,'Données projet (1)'!$A$139:$I$159,6,0)),0%,VLOOKUP(A84,'Données projet (1)'!$A$139:$I$159,6,0)*VLOOKUP('Données projet (1)'!$B$13,'Paramètres (1)'!$A$1:$I$88,7,0))</f>
        <v>#REF!</v>
      </c>
      <c r="DE84" s="135" t="str">
        <f t="shared" si="54"/>
        <v>#REF!</v>
      </c>
      <c r="DF84" s="142" t="str">
        <f>EXP(-LN(2)/35)*DF83+(1-EXP(-LN(2)/35))/(LN(2)/35)*DB84*DC84*VLOOKUP('Données projet (1)'!$B$13,'Paramètres (1)'!$A$1:$I$88,3,0)*0.475*44/12</f>
        <v>#REF!</v>
      </c>
      <c r="DG84" s="142" t="str">
        <f>EXP(-LN(2)/25)*DG83+(1-EXP(-LN(2)/25))/(LN(2)/25)*'Calculateur (1)'!DB84*'Calculateur (1)'!DD84*VLOOKUP('Données projet (1)'!$B$13,'Paramètres (1)'!$A$1:$I$88,3,0)*0.475*44/12</f>
        <v>#REF!</v>
      </c>
      <c r="DH84" s="142" t="str">
        <f>EXP(-LN(2)/2)*DH83+(1-EXP(-LN(2)/2))/(LN(2)/2)*DB84*DE84*VLOOKUP('Données projet (1)'!$B$13,'Paramètres (1)'!$A$1:$I$88,3,0)*0.475*44/12</f>
        <v>#REF!</v>
      </c>
      <c r="DI84" s="143" t="str">
        <f t="shared" si="55"/>
        <v>#REF!</v>
      </c>
      <c r="DJ84" s="139" t="str">
        <f t="shared" si="56"/>
        <v>#REF!</v>
      </c>
      <c r="DK84" s="131">
        <f t="shared" si="57"/>
        <v>10</v>
      </c>
      <c r="DL84" s="131" t="str">
        <f t="shared" si="128"/>
        <v>#REF!</v>
      </c>
      <c r="DM84" s="131" t="str">
        <f t="shared" si="58"/>
        <v>#REF!</v>
      </c>
      <c r="DN84" s="131" t="str">
        <f t="array" ref="DN84">INDEX(DM:DM,MIN(IF(ISNUMBER(DM84:DM280),ROW(DM84:DM280),"")))</f>
        <v/>
      </c>
      <c r="DO84" s="131" t="str">
        <f t="shared" si="129"/>
        <v>#REF!</v>
      </c>
      <c r="DP84" s="138" t="str">
        <f>DO84*VLOOKUP('Données projet (1)'!$B$14,'Paramètres (1)'!$A$1:$I$88,3,0)*VLOOKUP('Données projet (1)'!$B$14,'Paramètres (1)'!$A$1:$I$88,5,0)</f>
        <v>#REF!</v>
      </c>
      <c r="DQ84" s="130" t="str">
        <f t="shared" si="130"/>
        <v>#REF!</v>
      </c>
      <c r="DR84" s="141" t="str">
        <f t="shared" si="59"/>
        <v>#REF!</v>
      </c>
      <c r="DS84" s="133" t="str">
        <f t="shared" si="60"/>
        <v>#REF!</v>
      </c>
      <c r="DT84" s="133" t="str">
        <f t="shared" si="61"/>
        <v>#REF!</v>
      </c>
      <c r="DU84" s="133" t="str">
        <f t="shared" si="131"/>
        <v>#REF!</v>
      </c>
      <c r="DV84" s="134" t="str">
        <f t="shared" si="62"/>
        <v>#REF!</v>
      </c>
      <c r="DW84" s="134" t="str">
        <f t="shared" si="63"/>
        <v>#REF!</v>
      </c>
      <c r="DX84" s="135" t="str">
        <f>IF(ISNA(VLOOKUP(A84,'Données projet (1)'!$A$165:$I$185,5,0)),0%,VLOOKUP(A84,'Données projet (1)'!$A$165:$I$185,5,0)*VLOOKUP('Données projet (1)'!$B$14,'Paramètres (1)'!$A$1:$I$88,7,0))</f>
        <v>#REF!</v>
      </c>
      <c r="DY84" s="135" t="str">
        <f>IF(ISNA(VLOOKUP(A84,'Données projet (1)'!$A$165:$I$185,6,0)),0%,VLOOKUP(A84,'Données projet (1)'!$A$165:$I$185,6,0)*VLOOKUP('Données projet (1)'!$B$14,'Paramètres (1)'!$A$1:$I$88,7,0))</f>
        <v>#REF!</v>
      </c>
      <c r="DZ84" s="135" t="str">
        <f t="shared" si="64"/>
        <v>#REF!</v>
      </c>
      <c r="EA84" s="142" t="str">
        <f>EXP(-LN(2)/35)*EA83+(1-EXP(-LN(2)/35))/(LN(2)/35)*DW84*DX84*VLOOKUP('Données projet (1)'!$B$14,'Paramètres (1)'!$A$1:$I$88,3,0)*0.475*44/12</f>
        <v>#REF!</v>
      </c>
      <c r="EB84" s="142" t="str">
        <f>EXP(-LN(2)/25)*EB83+(1-EXP(-LN(2)/25))/(LN(2)/25)*'Calculateur (1)'!DW84*'Calculateur (1)'!DY84*VLOOKUP('Données projet (1)'!$B$14,'Paramètres (1)'!$A$1:$I$88,3,0)*0.475*44/12</f>
        <v>#REF!</v>
      </c>
      <c r="EC84" s="142" t="str">
        <f>EXP(-LN(2)/2)*EC83+(1-EXP(-LN(2)/2))/(LN(2)/2)*DW84*DZ84*VLOOKUP('Données projet (1)'!$B$14,'Paramètres (1)'!$A$1:$I$88,3,0)*0.475*44/12</f>
        <v>#REF!</v>
      </c>
      <c r="ED84" s="143" t="str">
        <f t="shared" si="65"/>
        <v>#REF!</v>
      </c>
      <c r="EE84" s="139" t="str">
        <f t="shared" si="66"/>
        <v>#REF!</v>
      </c>
      <c r="EF84" s="131">
        <f t="shared" si="67"/>
        <v>10</v>
      </c>
      <c r="EG84" s="131" t="str">
        <f t="shared" si="132"/>
        <v>#REF!</v>
      </c>
      <c r="EH84" s="131" t="str">
        <f t="shared" si="68"/>
        <v>#REF!</v>
      </c>
      <c r="EI84" s="131" t="str">
        <f t="array" ref="EI84">INDEX(EH:EH,MIN(IF(ISNUMBER(EH84:EH280),ROW(EH84:EH280),"")))</f>
        <v/>
      </c>
      <c r="EJ84" s="131" t="str">
        <f t="shared" si="133"/>
        <v>#REF!</v>
      </c>
      <c r="EK84" s="138" t="str">
        <f>EJ84*VLOOKUP('Données projet (1)'!$B$15,'Paramètres (1)'!$A$1:$I$88,3,0)*VLOOKUP('Données projet (1)'!$B$15,'Paramètres (1)'!$A$1:$I$88,5,0)</f>
        <v>#REF!</v>
      </c>
      <c r="EL84" s="130" t="str">
        <f t="shared" si="134"/>
        <v>#REF!</v>
      </c>
      <c r="EM84" s="141" t="str">
        <f t="shared" si="69"/>
        <v>#REF!</v>
      </c>
      <c r="EN84" s="133" t="str">
        <f t="shared" si="70"/>
        <v>#REF!</v>
      </c>
      <c r="EO84" s="133" t="str">
        <f t="shared" si="71"/>
        <v>#REF!</v>
      </c>
      <c r="EP84" s="133" t="str">
        <f t="shared" si="135"/>
        <v>#REF!</v>
      </c>
      <c r="EQ84" s="134" t="str">
        <f t="shared" si="72"/>
        <v>#REF!</v>
      </c>
      <c r="ER84" s="134" t="str">
        <f t="shared" si="73"/>
        <v>#REF!</v>
      </c>
      <c r="ES84" s="135" t="str">
        <f>IF(ISNA(VLOOKUP(A84,'Données projet (1)'!$A$191:$I$211,5,0)),0%,VLOOKUP(A84,'Données projet (1)'!$A$191:$I$211,5,0)*VLOOKUP('Données projet (1)'!$B$15,'Paramètres (1)'!$A$1:$I$88,7,0))</f>
        <v>#REF!</v>
      </c>
      <c r="ET84" s="135" t="str">
        <f>IF(ISNA(VLOOKUP(A84,'Données projet (1)'!$A$191:$I$211,6,0)),0%,VLOOKUP(A84,'Données projet (1)'!$A$191:$I$211,6,0)*VLOOKUP('Données projet (1)'!$B$15,'Paramètres (1)'!$A$1:$I$88,7,0))</f>
        <v>#REF!</v>
      </c>
      <c r="EU84" s="135" t="str">
        <f t="shared" si="74"/>
        <v>#REF!</v>
      </c>
      <c r="EV84" s="142" t="str">
        <f>EXP(-LN(2)/35)*EV83+(1-EXP(-LN(2)/35))/(LN(2)/35)*ER84*ES84*VLOOKUP('Données projet (1)'!$B$15,'Paramètres (1)'!$A$1:$I$88,3,0)*0.475*44/12</f>
        <v>#REF!</v>
      </c>
      <c r="EW84" s="142" t="str">
        <f>EXP(-LN(2)/25)*EW83+(1-EXP(-LN(2)/25))/(LN(2)/25)*'Calculateur (1)'!ER84*'Calculateur (1)'!ET84*VLOOKUP('Données projet (1)'!$B$15,'Paramètres (1)'!$A$1:$I$88,3,0)*0.475*44/12</f>
        <v>#REF!</v>
      </c>
      <c r="EX84" s="142" t="str">
        <f>EXP(-LN(2)/2)*EX83+(1-EXP(-LN(2)/2))/(LN(2)/2)*ER84*EU84*VLOOKUP('Données projet (1)'!$B$15,'Paramètres (1)'!$A$1:$I$88,3,0)*0.475*44/12</f>
        <v>#REF!</v>
      </c>
      <c r="EY84" s="143" t="str">
        <f t="shared" si="75"/>
        <v>#REF!</v>
      </c>
      <c r="EZ84" s="139" t="str">
        <f t="shared" si="76"/>
        <v>#REF!</v>
      </c>
      <c r="FA84" s="131">
        <f t="shared" si="77"/>
        <v>10</v>
      </c>
      <c r="FB84" s="131" t="str">
        <f t="shared" si="136"/>
        <v>#REF!</v>
      </c>
      <c r="FC84" s="131" t="str">
        <f t="shared" si="78"/>
        <v>#REF!</v>
      </c>
      <c r="FD84" s="131" t="str">
        <f t="array" ref="FD84">INDEX(FC:FC,MIN(IF(ISNUMBER(FC84:FC280),ROW(FC84:FC280),"")))</f>
        <v/>
      </c>
      <c r="FE84" s="131" t="str">
        <f t="shared" si="137"/>
        <v>#REF!</v>
      </c>
      <c r="FF84" s="138" t="str">
        <f>FE84*VLOOKUP('Données projet (1)'!$B$16,'Paramètres (1)'!$A$1:$I$88,3,0)*VLOOKUP('Données projet (1)'!$B$16,'Paramètres (1)'!$A$1:$I$88,5,0)</f>
        <v>#REF!</v>
      </c>
      <c r="FG84" s="130" t="str">
        <f t="shared" si="138"/>
        <v>#REF!</v>
      </c>
      <c r="FH84" s="141" t="str">
        <f t="shared" si="79"/>
        <v>#REF!</v>
      </c>
      <c r="FI84" s="133" t="str">
        <f t="shared" si="80"/>
        <v>#REF!</v>
      </c>
      <c r="FJ84" s="133" t="str">
        <f t="shared" si="81"/>
        <v>#REF!</v>
      </c>
      <c r="FK84" s="133" t="str">
        <f t="shared" si="139"/>
        <v>#REF!</v>
      </c>
      <c r="FL84" s="134" t="str">
        <f t="shared" si="82"/>
        <v>#REF!</v>
      </c>
      <c r="FM84" s="134" t="str">
        <f t="shared" si="83"/>
        <v>#REF!</v>
      </c>
      <c r="FN84" s="135" t="str">
        <f>IF(ISNA(VLOOKUP(A84,'Données projet (1)'!$A$217:$I$237,5,0)),0%,VLOOKUP(A84,'Données projet (1)'!$A$217:$I$237,5,0)*VLOOKUP('Données projet (1)'!$B$16,'Paramètres (1)'!$A$1:$I$88,7,0))</f>
        <v>#REF!</v>
      </c>
      <c r="FO84" s="135" t="str">
        <f>IF(ISNA(VLOOKUP(A84,'Données projet (1)'!$A$217:$I$237,6,0)),0%,VLOOKUP(A84,'Données projet (1)'!$A$217:$I$237,6,0)*VLOOKUP('Données projet (1)'!$B$16,'Paramètres (1)'!$A$1:$I$88,7,0))</f>
        <v>#REF!</v>
      </c>
      <c r="FP84" s="135" t="str">
        <f t="shared" si="84"/>
        <v>#REF!</v>
      </c>
      <c r="FQ84" s="142" t="str">
        <f>EXP(-LN(2)/35)*FQ83+(1-EXP(-LN(2)/35))/(LN(2)/35)*FM84*FN84*VLOOKUP('Données projet (1)'!$B$16,'Paramètres (1)'!$A$1:$I$88,3,0)*0.475*44/12</f>
        <v>#REF!</v>
      </c>
      <c r="FR84" s="142" t="str">
        <f>EXP(-LN(2)/25)*FR83+(1-EXP(-LN(2)/25))/(LN(2)/25)*'Calculateur (1)'!FM84*'Calculateur (1)'!FO84*VLOOKUP('Données projet (1)'!$B$16,'Paramètres (1)'!$A$1:$I$88,3,0)*0.475*44/12</f>
        <v>#REF!</v>
      </c>
      <c r="FS84" s="142" t="str">
        <f>EXP(-LN(2)/2)*FS83+(1-EXP(-LN(2)/2))/(LN(2)/2)*FM84*FP84*VLOOKUP('Données projet (1)'!$B$16,'Paramètres (1)'!$A$1:$I$88,3,0)*0.475*44/12</f>
        <v>#REF!</v>
      </c>
      <c r="FT84" s="143" t="str">
        <f t="shared" si="85"/>
        <v>#REF!</v>
      </c>
      <c r="FU84" s="139" t="str">
        <f t="shared" si="86"/>
        <v>#REF!</v>
      </c>
      <c r="FV84" s="131">
        <f t="shared" si="87"/>
        <v>10</v>
      </c>
      <c r="FW84" s="131" t="str">
        <f t="shared" si="140"/>
        <v>#REF!</v>
      </c>
      <c r="FX84" s="131" t="str">
        <f t="shared" si="88"/>
        <v>#REF!</v>
      </c>
      <c r="FY84" s="131" t="str">
        <f t="array" ref="FY84">INDEX(FX:FX,MIN(IF(ISNUMBER(FX84:FX280),ROW(FX84:FX280),"")))</f>
        <v/>
      </c>
      <c r="FZ84" s="131" t="str">
        <f t="shared" si="141"/>
        <v>#REF!</v>
      </c>
      <c r="GA84" s="138" t="str">
        <f>FZ84*VLOOKUP('Données projet (1)'!$B$17,'Paramètres (1)'!$A$1:$I$88,3,0)*VLOOKUP('Données projet (1)'!$B$17,'Paramètres (1)'!$A$1:$I$88,5,0)</f>
        <v>#REF!</v>
      </c>
      <c r="GB84" s="130" t="str">
        <f t="shared" si="142"/>
        <v>#REF!</v>
      </c>
      <c r="GC84" s="141" t="str">
        <f t="shared" si="89"/>
        <v>#REF!</v>
      </c>
      <c r="GD84" s="133" t="str">
        <f t="shared" si="90"/>
        <v>#REF!</v>
      </c>
      <c r="GE84" s="133" t="str">
        <f t="shared" si="91"/>
        <v>#REF!</v>
      </c>
      <c r="GF84" s="133" t="str">
        <f t="shared" si="143"/>
        <v>#REF!</v>
      </c>
      <c r="GG84" s="134" t="str">
        <f t="shared" si="92"/>
        <v>#REF!</v>
      </c>
      <c r="GH84" s="134" t="str">
        <f t="shared" si="93"/>
        <v>#REF!</v>
      </c>
      <c r="GI84" s="135" t="str">
        <f>IF(ISNA(VLOOKUP(A84,'Données projet (1)'!$A$243:$I$263,5,0)),0%,VLOOKUP(A84,'Données projet (1)'!$A$243:$I$263,5,0)*VLOOKUP('Données projet (1)'!$B$17,'Paramètres (1)'!$A$1:$I$88,7,0))</f>
        <v>#REF!</v>
      </c>
      <c r="GJ84" s="135" t="str">
        <f>IF(ISNA(VLOOKUP(A84,'Données projet (1)'!$A$243:$I$263,6,0)),0%,VLOOKUP(A84,'Données projet (1)'!$A$243:$I$263,6,0)*VLOOKUP('Données projet (1)'!$B$17,'Paramètres (1)'!$A$1:$I$88,7,0))</f>
        <v>#REF!</v>
      </c>
      <c r="GK84" s="135" t="str">
        <f t="shared" si="94"/>
        <v>#REF!</v>
      </c>
      <c r="GL84" s="142" t="str">
        <f>EXP(-LN(2)/35)*GL83+(1-EXP(-LN(2)/35))/(LN(2)/35)*GH84*GI84*VLOOKUP('Données projet (1)'!$B$17,'Paramètres (1)'!$A$1:$I$88,3,0)*0.475*44/12</f>
        <v>#REF!</v>
      </c>
      <c r="GM84" s="142" t="str">
        <f>EXP(-LN(2)/25)*GM83+(1-EXP(-LN(2)/25))/(LN(2)/25)*'Calculateur (1)'!GH84*'Calculateur (1)'!GJ84*VLOOKUP('Données projet (1)'!$B$17,'Paramètres (1)'!$A$1:$I$88,3,0)*0.475*44/12</f>
        <v>#REF!</v>
      </c>
      <c r="GN84" s="142" t="str">
        <f>EXP(-LN(2)/2)*GN83+(1-EXP(-LN(2)/2))/(LN(2)/2)*GH84*GK84*VLOOKUP('Données projet (1)'!$B$17,'Paramètres (1)'!$A$1:$I$88,3,0)*0.475*44/12</f>
        <v>#REF!</v>
      </c>
      <c r="GO84" s="142" t="str">
        <f t="shared" si="95"/>
        <v>#REF!</v>
      </c>
      <c r="GP84" s="139" t="str">
        <f t="shared" si="96"/>
        <v>#REF!</v>
      </c>
      <c r="GQ84" s="131">
        <f t="shared" si="97"/>
        <v>10</v>
      </c>
      <c r="GR84" s="131" t="str">
        <f t="shared" si="144"/>
        <v>#REF!</v>
      </c>
      <c r="GS84" s="131" t="str">
        <f t="shared" si="98"/>
        <v>#REF!</v>
      </c>
      <c r="GT84" s="131" t="str">
        <f t="array" ref="GT84">INDEX(GS:GS,MIN(IF(ISNUMBER(GS84:GS280),ROW(GS84:GS280),"")))</f>
        <v/>
      </c>
      <c r="GU84" s="131" t="str">
        <f t="shared" si="145"/>
        <v>#REF!</v>
      </c>
      <c r="GV84" s="138" t="str">
        <f>GU84*VLOOKUP('Données projet (1)'!$B$18,'Paramètres (1)'!$A$1:$I$88,3,0)*VLOOKUP('Données projet (1)'!$B$18,'Paramètres (1)'!$A$1:$I$88,5,0)</f>
        <v>#REF!</v>
      </c>
      <c r="GW84" s="130" t="str">
        <f t="shared" si="146"/>
        <v>#REF!</v>
      </c>
      <c r="GX84" s="141" t="str">
        <f t="shared" si="99"/>
        <v>#REF!</v>
      </c>
      <c r="GY84" s="133" t="str">
        <f t="shared" si="100"/>
        <v>#REF!</v>
      </c>
      <c r="GZ84" s="133" t="str">
        <f t="shared" si="101"/>
        <v>#REF!</v>
      </c>
      <c r="HA84" s="133" t="str">
        <f t="shared" si="147"/>
        <v>#REF!</v>
      </c>
      <c r="HB84" s="134" t="str">
        <f t="shared" si="102"/>
        <v>#REF!</v>
      </c>
      <c r="HC84" s="134" t="str">
        <f t="shared" si="103"/>
        <v>#REF!</v>
      </c>
      <c r="HD84" s="135" t="str">
        <f>IF(ISNA(VLOOKUP(A84,'Données projet (1)'!$A$269:$I$289,5,0)),0%,VLOOKUP(A84,'Données projet (1)'!$A$269:$I$289,5,0)*VLOOKUP('Données projet (1)'!$B$18,'Paramètres (1)'!$A$1:$I$88,7,0))</f>
        <v>#REF!</v>
      </c>
      <c r="HE84" s="135" t="str">
        <f>IF(ISNA(VLOOKUP(A84,'Données projet (1)'!$A$269:$I$289,6,0)),0%,VLOOKUP(A84,'Données projet (1)'!$A$269:$I$289,6,0)*VLOOKUP('Données projet (1)'!$B$18,'Paramètres (1)'!$A$1:$I$88,7,0))</f>
        <v>#REF!</v>
      </c>
      <c r="HF84" s="135" t="str">
        <f t="shared" si="104"/>
        <v>#REF!</v>
      </c>
      <c r="HG84" s="142" t="str">
        <f>EXP(-LN(2)/35)*HG83+(1-EXP(-LN(2)/35))/(LN(2)/35)*HC84*HD84*VLOOKUP('Données projet (1)'!$B$18,'Paramètres (1)'!$A$1:$I$88,3,0)*0.475*44/12</f>
        <v>#REF!</v>
      </c>
      <c r="HH84" s="142" t="str">
        <f>EXP(-LN(2)/25)*HH83+(1-EXP(-LN(2)/25))/(LN(2)/25)*'Calculateur (1)'!HC84*'Calculateur (1)'!HE84*VLOOKUP('Données projet (1)'!$B$18,'Paramètres (1)'!$A$1:$I$88,3,0)*0.475*44/12</f>
        <v>#REF!</v>
      </c>
      <c r="HI84" s="142" t="str">
        <f>EXP(-LN(2)/2)*HI83+(1-EXP(-LN(2)/2))/(LN(2)/2)*HC84*HF84*VLOOKUP('Données projet (1)'!$B$18,'Paramètres (1)'!$A$1:$I$88,3,0)*0.475*44/12</f>
        <v>#REF!</v>
      </c>
      <c r="HJ84" s="143" t="str">
        <f t="shared" si="105"/>
        <v>#REF!</v>
      </c>
    </row>
    <row r="85" ht="14.25" customHeight="1">
      <c r="A85" s="125">
        <f t="shared" si="106"/>
        <v>82</v>
      </c>
      <c r="B85" s="126" t="str">
        <f t="shared" si="1"/>
        <v>#REF!</v>
      </c>
      <c r="C85" s="140" t="str">
        <f>'Calculateur (1)'!C84+'Scénario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5" s="127">
        <f t="shared" si="107"/>
        <v>0</v>
      </c>
      <c r="E85" s="127" t="str">
        <f t="shared" si="2"/>
        <v>#REF!</v>
      </c>
      <c r="F85" s="127" t="str">
        <f t="shared" si="3"/>
        <v>#REF!</v>
      </c>
      <c r="G85" s="127" t="str">
        <f t="shared" si="4"/>
        <v>#REF!</v>
      </c>
      <c r="H85" s="128" t="str">
        <f t="shared" si="5"/>
        <v>#REF!</v>
      </c>
      <c r="I85" s="129" t="str">
        <f t="shared" si="6"/>
        <v>#REF!</v>
      </c>
      <c r="J85" s="130">
        <f t="shared" si="7"/>
        <v>10</v>
      </c>
      <c r="K85" s="131" t="str">
        <f t="shared" si="108"/>
        <v>#REF!</v>
      </c>
      <c r="L85" s="131" t="str">
        <f t="shared" si="8"/>
        <v>#REF!</v>
      </c>
      <c r="M85" s="131" t="str">
        <f t="array" ref="M85">INDEX(L:L,MIN(IF(ISNUMBER(L85:L281),ROW(L85:L281),"")))</f>
        <v/>
      </c>
      <c r="N85" s="130" t="str">
        <f t="shared" si="109"/>
        <v>#REF!</v>
      </c>
      <c r="O85" s="130" t="str">
        <f>N85*VLOOKUP('Données projet (1)'!$B$9,'Paramètres (1)'!$A$1:$I$88,3,0)*VLOOKUP('Données projet (1)'!$B$9,'Paramètres (1)'!$A$1:$I$88,5,0)</f>
        <v>#REF!</v>
      </c>
      <c r="P85" s="130" t="str">
        <f t="shared" si="110"/>
        <v>#REF!</v>
      </c>
      <c r="Q85" s="141" t="str">
        <f t="shared" si="9"/>
        <v>#REF!</v>
      </c>
      <c r="R85" s="133" t="str">
        <f t="shared" si="10"/>
        <v>#REF!</v>
      </c>
      <c r="S85" s="133" t="str">
        <f t="shared" si="11"/>
        <v>#REF!</v>
      </c>
      <c r="T85" s="133" t="str">
        <f t="shared" si="111"/>
        <v>#REF!</v>
      </c>
      <c r="U85" s="134" t="str">
        <f t="shared" si="12"/>
        <v>#REF!</v>
      </c>
      <c r="V85" s="134" t="str">
        <f t="shared" si="13"/>
        <v>#REF!</v>
      </c>
      <c r="W85" s="135" t="str">
        <f>IF(ISNA(VLOOKUP(A85,'Données projet (1)'!$A$35:$I$55,5,0)),0%,VLOOKUP(A85,'Données projet (1)'!$A$35:$I$55,5,0)*VLOOKUP('Données projet (1)'!$B$9,'Paramètres (1)'!$A$1:$I$88,7,0))</f>
        <v>#REF!</v>
      </c>
      <c r="X85" s="135" t="str">
        <f>IF(ISNA(VLOOKUP(A85,'Données projet (1)'!$A$35:$I$55,6,0)),0%,VLOOKUP(A85,'Données projet (1)'!$A$35:$I$55,6,0)*VLOOKUP('Données projet (1)'!$B$9,'Paramètres (1)'!$A$1:$I$88,7,0))</f>
        <v>#REF!</v>
      </c>
      <c r="Y85" s="135" t="str">
        <f t="shared" si="14"/>
        <v>#REF!</v>
      </c>
      <c r="Z85" s="142" t="str">
        <f>EXP(-LN(2)/35)*Z84+(1-EXP(-LN(2)/35))/(LN(2)/35)*V85*W85*VLOOKUP('Données projet (1)'!$B$9,'Paramètres (1)'!$A$1:$I$88,3,0)*0.475*44/12</f>
        <v>#REF!</v>
      </c>
      <c r="AA85" s="142" t="str">
        <f>EXP(-LN(2)/25)*AA84+(1-EXP(-LN(2)/25))/(LN(2)/25)*'Calculateur (1)'!V85*'Calculateur (1)'!X85*VLOOKUP('Données projet (1)'!$B$9,'Paramètres (1)'!$A$1:$I$88,3,0)*0.475*44/12</f>
        <v>#REF!</v>
      </c>
      <c r="AB85" s="142" t="str">
        <f>EXP(-LN(2)/2)*AB84+(1-EXP(-LN(2)/2))/(LN(2)/2)*V85*Y85*VLOOKUP('Données projet (1)'!$B$9,'Paramètres (1)'!$A$1:$I$88,3,0)*0.475*44/12</f>
        <v>#REF!</v>
      </c>
      <c r="AC85" s="143" t="str">
        <f t="shared" si="15"/>
        <v>#REF!</v>
      </c>
      <c r="AD85" s="130" t="str">
        <f t="shared" si="16"/>
        <v>#REF!</v>
      </c>
      <c r="AE85" s="130">
        <f t="shared" si="17"/>
        <v>10</v>
      </c>
      <c r="AF85" s="131" t="str">
        <f t="shared" si="112"/>
        <v>#REF!</v>
      </c>
      <c r="AG85" s="131" t="str">
        <f t="shared" si="18"/>
        <v>#REF!</v>
      </c>
      <c r="AH85" s="131" t="str">
        <f t="array" ref="AH85">INDEX(AG:AG,MIN(IF(ISNUMBER(AG85:AG281),ROW(AG85:AG281),"")))</f>
        <v/>
      </c>
      <c r="AI85" s="130" t="str">
        <f t="shared" si="113"/>
        <v>#REF!</v>
      </c>
      <c r="AJ85" s="130" t="str">
        <f>AI85*VLOOKUP('Données projet (1)'!$B$10,'Paramètres (1)'!$A$1:$I$88,3,0)*VLOOKUP('Données projet (1)'!$B$10,'Paramètres (1)'!$A$1:$I$88,5,0)</f>
        <v>#REF!</v>
      </c>
      <c r="AK85" s="130" t="str">
        <f t="shared" si="114"/>
        <v>#REF!</v>
      </c>
      <c r="AL85" s="141" t="str">
        <f t="shared" si="19"/>
        <v>#REF!</v>
      </c>
      <c r="AM85" s="133" t="str">
        <f t="shared" si="20"/>
        <v>#REF!</v>
      </c>
      <c r="AN85" s="133" t="str">
        <f t="shared" si="21"/>
        <v>#REF!</v>
      </c>
      <c r="AO85" s="133" t="str">
        <f t="shared" si="115"/>
        <v>#REF!</v>
      </c>
      <c r="AP85" s="134" t="str">
        <f t="shared" si="22"/>
        <v>#REF!</v>
      </c>
      <c r="AQ85" s="134" t="str">
        <f t="shared" si="23"/>
        <v>#REF!</v>
      </c>
      <c r="AR85" s="135" t="str">
        <f>IF(ISNA(VLOOKUP(A85,'Données projet (1)'!$A$61:$I$81,5,0)),0%,VLOOKUP(A85,'Données projet (1)'!$A$61:$I$81,5,0)*VLOOKUP('Données projet (1)'!$B$10,'Paramètres (1)'!$A$1:$I$88,7,0))</f>
        <v>#REF!</v>
      </c>
      <c r="AS85" s="135" t="str">
        <f>IF(ISNA(VLOOKUP(A85,'Données projet (1)'!$A$61:$I$81,6,0)),0%,VLOOKUP(A85,'Données projet (1)'!$A$61:$I$81,6,0)*VLOOKUP('Données projet (1)'!$B$10,'Paramètres (1)'!$A$1:$I$88,7,0))</f>
        <v>#REF!</v>
      </c>
      <c r="AT85" s="135" t="str">
        <f t="shared" si="24"/>
        <v>#REF!</v>
      </c>
      <c r="AU85" s="142" t="str">
        <f>EXP(-LN(2)/35)*AU84+(1-EXP(-LN(2)/35))/(LN(2)/35)*AQ85*AR85*VLOOKUP('Données projet (1)'!$B$10,'Paramètres (1)'!$A$1:$I$88,3,0)*0.475*44/12</f>
        <v>#REF!</v>
      </c>
      <c r="AV85" s="142" t="str">
        <f>EXP(-LN(2)/25)*AV84+(1-EXP(-LN(2)/25))/(LN(2)/25)*'Calculateur (1)'!AQ85*'Calculateur (1)'!AS85*VLOOKUP('Données projet (1)'!$B$10,'Paramètres (1)'!$A$1:$I$88,3,0)*0.475*44/12</f>
        <v>#REF!</v>
      </c>
      <c r="AW85" s="142" t="str">
        <f>EXP(-LN(2)/2)*AW84+(1-EXP(-LN(2)/2))/(LN(2)/2)*AQ85*AT85*VLOOKUP('Données projet (1)'!$B$10,'Paramètres (1)'!$A$1:$I$88,3,0)*0.475*44/12</f>
        <v>#REF!</v>
      </c>
      <c r="AX85" s="142" t="str">
        <f t="shared" si="25"/>
        <v>#REF!</v>
      </c>
      <c r="AY85" s="137" t="str">
        <f t="shared" si="26"/>
        <v>#REF!</v>
      </c>
      <c r="AZ85" s="131">
        <f t="shared" si="27"/>
        <v>10</v>
      </c>
      <c r="BA85" s="131" t="str">
        <f t="shared" si="116"/>
        <v>#REF!</v>
      </c>
      <c r="BB85" s="131" t="str">
        <f t="shared" si="28"/>
        <v>#REF!</v>
      </c>
      <c r="BC85" s="131" t="str">
        <f t="array" ref="BC85">INDEX(BB:BB,MIN(IF(ISNUMBER(BB85:BB281),ROW(BB85:BB281),"")))</f>
        <v/>
      </c>
      <c r="BD85" s="131" t="str">
        <f t="shared" si="117"/>
        <v>#REF!</v>
      </c>
      <c r="BE85" s="130" t="str">
        <f>BD85*VLOOKUP('Données projet (1)'!$B$11,'Paramètres (1)'!$A$1:$I$88,3,0)*VLOOKUP('Données projet (1)'!$B$11,'Paramètres (1)'!$A$1:$I$88,5,0)</f>
        <v>#REF!</v>
      </c>
      <c r="BF85" s="130" t="str">
        <f t="shared" si="118"/>
        <v>#REF!</v>
      </c>
      <c r="BG85" s="141" t="str">
        <f t="shared" si="29"/>
        <v>#REF!</v>
      </c>
      <c r="BH85" s="133" t="str">
        <f t="shared" si="30"/>
        <v>#REF!</v>
      </c>
      <c r="BI85" s="133" t="str">
        <f t="shared" si="31"/>
        <v>#REF!</v>
      </c>
      <c r="BJ85" s="133" t="str">
        <f t="shared" si="119"/>
        <v>#REF!</v>
      </c>
      <c r="BK85" s="134" t="str">
        <f t="shared" si="32"/>
        <v>#REF!</v>
      </c>
      <c r="BL85" s="134" t="str">
        <f t="shared" si="33"/>
        <v>#REF!</v>
      </c>
      <c r="BM85" s="135" t="str">
        <f>IF(ISNA(VLOOKUP(A85,'Données projet (1)'!$A$87:$I$107,5,0)),0%,VLOOKUP(A85,'Données projet (1)'!$A$87:$I$107,5,0)*VLOOKUP('Données projet (1)'!$B$11,'Paramètres (1)'!$A$1:$I$88,7,0))</f>
        <v>#REF!</v>
      </c>
      <c r="BN85" s="135" t="str">
        <f>IF(ISNA(VLOOKUP(A85,'Données projet (1)'!$A$87:$I$107,6,0)),0%,VLOOKUP(A85,'Données projet (1)'!$A$87:$I$107,6,0)*VLOOKUP('Données projet (1)'!$B$11,'Paramètres (1)'!$A$1:$I$88,7,0))</f>
        <v>#REF!</v>
      </c>
      <c r="BO85" s="135" t="str">
        <f t="shared" si="34"/>
        <v>#REF!</v>
      </c>
      <c r="BP85" s="142" t="str">
        <f>EXP(-LN(2)/35)*BP84+(1-EXP(-LN(2)/35))/(LN(2)/35)*BL85*BM85*VLOOKUP('Données projet (1)'!$B$11,'Paramètres (1)'!$A$1:$I$88,3,0)*0.475*44/12</f>
        <v>#REF!</v>
      </c>
      <c r="BQ85" s="142" t="str">
        <f>EXP(-LN(2)/25)*BQ84+(1-EXP(-LN(2)/25))/(LN(2)/25)*'Calculateur (1)'!BL85*'Calculateur (1)'!BN85*VLOOKUP('Données projet (1)'!$B$11,'Paramètres (1)'!$A$1:$I$88,3,0)*0.475*44/12</f>
        <v>#REF!</v>
      </c>
      <c r="BR85" s="142" t="str">
        <f>EXP(-LN(2)/2)*BR84+(1-EXP(-LN(2)/2))/(LN(2)/2)*BL85*BO85*VLOOKUP('Données projet (1)'!$B$11,'Paramètres (1)'!$A$1:$I$88,3,0)*0.475*44/12</f>
        <v>#REF!</v>
      </c>
      <c r="BS85" s="143" t="str">
        <f t="shared" si="35"/>
        <v>#REF!</v>
      </c>
      <c r="BT85" s="139" t="str">
        <f t="shared" si="36"/>
        <v>#REF!</v>
      </c>
      <c r="BU85" s="131">
        <f t="shared" si="37"/>
        <v>10</v>
      </c>
      <c r="BV85" s="131" t="str">
        <f t="shared" si="120"/>
        <v>#REF!</v>
      </c>
      <c r="BW85" s="131" t="str">
        <f t="shared" si="38"/>
        <v>#REF!</v>
      </c>
      <c r="BX85" s="131" t="str">
        <f t="array" ref="BX85">INDEX(BW:BW,MIN(IF(ISNUMBER(BW85:BW281),ROW(BW85:BW281),"")))</f>
        <v/>
      </c>
      <c r="BY85" s="131" t="str">
        <f t="shared" si="121"/>
        <v>#REF!</v>
      </c>
      <c r="BZ85" s="130" t="str">
        <f>BY85*VLOOKUP('Données projet (1)'!$B$12,'Paramètres (1)'!$A$1:$I$88,3,0)*VLOOKUP('Données projet (1)'!$B$12,'Paramètres (1)'!$A$1:$I$88,5,0)</f>
        <v>#REF!</v>
      </c>
      <c r="CA85" s="130" t="str">
        <f t="shared" si="122"/>
        <v>#REF!</v>
      </c>
      <c r="CB85" s="141" t="str">
        <f t="shared" si="39"/>
        <v>#REF!</v>
      </c>
      <c r="CC85" s="133" t="str">
        <f t="shared" si="40"/>
        <v>#REF!</v>
      </c>
      <c r="CD85" s="133" t="str">
        <f t="shared" si="41"/>
        <v>#REF!</v>
      </c>
      <c r="CE85" s="133" t="str">
        <f t="shared" si="123"/>
        <v>#REF!</v>
      </c>
      <c r="CF85" s="134" t="str">
        <f t="shared" si="42"/>
        <v>#REF!</v>
      </c>
      <c r="CG85" s="134" t="str">
        <f t="shared" si="43"/>
        <v>#REF!</v>
      </c>
      <c r="CH85" s="135" t="str">
        <f>IF(ISNA(VLOOKUP(A85,'Données projet (1)'!$A$113:$I$133,5,0)),0%,VLOOKUP(A85,'Données projet (1)'!$A$113:$I$133,5,0)*VLOOKUP('Données projet (1)'!$B$12,'Paramètres (1)'!$A$1:$I$88,7,0))</f>
        <v>#REF!</v>
      </c>
      <c r="CI85" s="135" t="str">
        <f>IF(ISNA(VLOOKUP(A85,'Données projet (1)'!$A$113:$I$133,6,0)),0%,VLOOKUP(A85,'Données projet (1)'!$A$113:$I$133,6,0)*VLOOKUP('Données projet (1)'!$B$12,'Paramètres (1)'!$A$1:$I$88,7,0))</f>
        <v>#REF!</v>
      </c>
      <c r="CJ85" s="135" t="str">
        <f t="shared" si="44"/>
        <v>#REF!</v>
      </c>
      <c r="CK85" s="142" t="str">
        <f>EXP(-LN(2)/35)*CK84+(1-EXP(-LN(2)/35))/(LN(2)/35)*CG85*CH85*VLOOKUP('Données projet (1)'!$B$12,'Paramètres (1)'!$A$1:$I$88,3,0)*0.475*44/12</f>
        <v>#REF!</v>
      </c>
      <c r="CL85" s="142" t="str">
        <f>EXP(-LN(2)/25)*CL84+(1-EXP(-LN(2)/25))/(LN(2)/25)*'Calculateur (1)'!CG85*'Calculateur (1)'!CI85*VLOOKUP('Données projet (1)'!$B$12,'Paramètres (1)'!$A$1:$I$88,3,0)*0.475*44/12</f>
        <v>#REF!</v>
      </c>
      <c r="CM85" s="142" t="str">
        <f>EXP(-LN(2)/2)*CM84+(1-EXP(-LN(2)/2))/(LN(2)/2)*CG85*CJ85*VLOOKUP('Données projet (1)'!$B$12,'Paramètres (1)'!$A$1:$I$88,3,0)*0.475*44/12</f>
        <v>#REF!</v>
      </c>
      <c r="CN85" s="143" t="str">
        <f t="shared" si="45"/>
        <v>#REF!</v>
      </c>
      <c r="CO85" s="139" t="str">
        <f t="shared" si="46"/>
        <v>#REF!</v>
      </c>
      <c r="CP85" s="131">
        <f t="shared" si="47"/>
        <v>10</v>
      </c>
      <c r="CQ85" s="131" t="str">
        <f t="shared" si="124"/>
        <v>#REF!</v>
      </c>
      <c r="CR85" s="131" t="str">
        <f t="shared" si="48"/>
        <v>#REF!</v>
      </c>
      <c r="CS85" s="131" t="str">
        <f t="array" ref="CS85">INDEX(CR:CR,MIN(IF(ISNUMBER(CR85:CR281),ROW(CR85:CR281),"")))</f>
        <v/>
      </c>
      <c r="CT85" s="131" t="str">
        <f t="shared" si="125"/>
        <v>#REF!</v>
      </c>
      <c r="CU85" s="138" t="str">
        <f>CT85*VLOOKUP('Données projet (1)'!$B$13,'Paramètres (1)'!$A$1:$I$88,3,0)*VLOOKUP('Données projet (1)'!$B$13,'Paramètres (1)'!$A$1:$I$88,5,0)</f>
        <v>#REF!</v>
      </c>
      <c r="CV85" s="130" t="str">
        <f t="shared" si="126"/>
        <v>#REF!</v>
      </c>
      <c r="CW85" s="141" t="str">
        <f t="shared" si="49"/>
        <v>#REF!</v>
      </c>
      <c r="CX85" s="133" t="str">
        <f t="shared" si="50"/>
        <v>#REF!</v>
      </c>
      <c r="CY85" s="133" t="str">
        <f t="shared" si="51"/>
        <v>#REF!</v>
      </c>
      <c r="CZ85" s="133" t="str">
        <f t="shared" si="127"/>
        <v>#REF!</v>
      </c>
      <c r="DA85" s="134" t="str">
        <f t="shared" si="52"/>
        <v>#REF!</v>
      </c>
      <c r="DB85" s="134" t="str">
        <f t="shared" si="53"/>
        <v>#REF!</v>
      </c>
      <c r="DC85" s="135" t="str">
        <f>IF(ISNA(VLOOKUP(A85,'Données projet (1)'!$A$139:$I$159,5,0)),0%,VLOOKUP(A85,'Données projet (1)'!$A$139:$I$159,5,0)*VLOOKUP('Données projet (1)'!$B$13,'Paramètres (1)'!$A$1:$I$88,7,0))</f>
        <v>#REF!</v>
      </c>
      <c r="DD85" s="135" t="str">
        <f>IF(ISNA(VLOOKUP(A85,'Données projet (1)'!$A$139:$I$159,6,0)),0%,VLOOKUP(A85,'Données projet (1)'!$A$139:$I$159,6,0)*VLOOKUP('Données projet (1)'!$B$13,'Paramètres (1)'!$A$1:$I$88,7,0))</f>
        <v>#REF!</v>
      </c>
      <c r="DE85" s="135" t="str">
        <f t="shared" si="54"/>
        <v>#REF!</v>
      </c>
      <c r="DF85" s="142" t="str">
        <f>EXP(-LN(2)/35)*DF84+(1-EXP(-LN(2)/35))/(LN(2)/35)*DB85*DC85*VLOOKUP('Données projet (1)'!$B$13,'Paramètres (1)'!$A$1:$I$88,3,0)*0.475*44/12</f>
        <v>#REF!</v>
      </c>
      <c r="DG85" s="142" t="str">
        <f>EXP(-LN(2)/25)*DG84+(1-EXP(-LN(2)/25))/(LN(2)/25)*'Calculateur (1)'!DB85*'Calculateur (1)'!DD85*VLOOKUP('Données projet (1)'!$B$13,'Paramètres (1)'!$A$1:$I$88,3,0)*0.475*44/12</f>
        <v>#REF!</v>
      </c>
      <c r="DH85" s="142" t="str">
        <f>EXP(-LN(2)/2)*DH84+(1-EXP(-LN(2)/2))/(LN(2)/2)*DB85*DE85*VLOOKUP('Données projet (1)'!$B$13,'Paramètres (1)'!$A$1:$I$88,3,0)*0.475*44/12</f>
        <v>#REF!</v>
      </c>
      <c r="DI85" s="143" t="str">
        <f t="shared" si="55"/>
        <v>#REF!</v>
      </c>
      <c r="DJ85" s="139" t="str">
        <f t="shared" si="56"/>
        <v>#REF!</v>
      </c>
      <c r="DK85" s="131">
        <f t="shared" si="57"/>
        <v>10</v>
      </c>
      <c r="DL85" s="131" t="str">
        <f t="shared" si="128"/>
        <v>#REF!</v>
      </c>
      <c r="DM85" s="131" t="str">
        <f t="shared" si="58"/>
        <v>#REF!</v>
      </c>
      <c r="DN85" s="131" t="str">
        <f t="array" ref="DN85">INDEX(DM:DM,MIN(IF(ISNUMBER(DM85:DM281),ROW(DM85:DM281),"")))</f>
        <v/>
      </c>
      <c r="DO85" s="131" t="str">
        <f t="shared" si="129"/>
        <v>#REF!</v>
      </c>
      <c r="DP85" s="138" t="str">
        <f>DO85*VLOOKUP('Données projet (1)'!$B$14,'Paramètres (1)'!$A$1:$I$88,3,0)*VLOOKUP('Données projet (1)'!$B$14,'Paramètres (1)'!$A$1:$I$88,5,0)</f>
        <v>#REF!</v>
      </c>
      <c r="DQ85" s="130" t="str">
        <f t="shared" si="130"/>
        <v>#REF!</v>
      </c>
      <c r="DR85" s="141" t="str">
        <f t="shared" si="59"/>
        <v>#REF!</v>
      </c>
      <c r="DS85" s="133" t="str">
        <f t="shared" si="60"/>
        <v>#REF!</v>
      </c>
      <c r="DT85" s="133" t="str">
        <f t="shared" si="61"/>
        <v>#REF!</v>
      </c>
      <c r="DU85" s="133" t="str">
        <f t="shared" si="131"/>
        <v>#REF!</v>
      </c>
      <c r="DV85" s="134" t="str">
        <f t="shared" si="62"/>
        <v>#REF!</v>
      </c>
      <c r="DW85" s="134" t="str">
        <f t="shared" si="63"/>
        <v>#REF!</v>
      </c>
      <c r="DX85" s="135" t="str">
        <f>IF(ISNA(VLOOKUP(A85,'Données projet (1)'!$A$165:$I$185,5,0)),0%,VLOOKUP(A85,'Données projet (1)'!$A$165:$I$185,5,0)*VLOOKUP('Données projet (1)'!$B$14,'Paramètres (1)'!$A$1:$I$88,7,0))</f>
        <v>#REF!</v>
      </c>
      <c r="DY85" s="135" t="str">
        <f>IF(ISNA(VLOOKUP(A85,'Données projet (1)'!$A$165:$I$185,6,0)),0%,VLOOKUP(A85,'Données projet (1)'!$A$165:$I$185,6,0)*VLOOKUP('Données projet (1)'!$B$14,'Paramètres (1)'!$A$1:$I$88,7,0))</f>
        <v>#REF!</v>
      </c>
      <c r="DZ85" s="135" t="str">
        <f t="shared" si="64"/>
        <v>#REF!</v>
      </c>
      <c r="EA85" s="142" t="str">
        <f>EXP(-LN(2)/35)*EA84+(1-EXP(-LN(2)/35))/(LN(2)/35)*DW85*DX85*VLOOKUP('Données projet (1)'!$B$14,'Paramètres (1)'!$A$1:$I$88,3,0)*0.475*44/12</f>
        <v>#REF!</v>
      </c>
      <c r="EB85" s="142" t="str">
        <f>EXP(-LN(2)/25)*EB84+(1-EXP(-LN(2)/25))/(LN(2)/25)*'Calculateur (1)'!DW85*'Calculateur (1)'!DY85*VLOOKUP('Données projet (1)'!$B$14,'Paramètres (1)'!$A$1:$I$88,3,0)*0.475*44/12</f>
        <v>#REF!</v>
      </c>
      <c r="EC85" s="142" t="str">
        <f>EXP(-LN(2)/2)*EC84+(1-EXP(-LN(2)/2))/(LN(2)/2)*DW85*DZ85*VLOOKUP('Données projet (1)'!$B$14,'Paramètres (1)'!$A$1:$I$88,3,0)*0.475*44/12</f>
        <v>#REF!</v>
      </c>
      <c r="ED85" s="143" t="str">
        <f t="shared" si="65"/>
        <v>#REF!</v>
      </c>
      <c r="EE85" s="139" t="str">
        <f t="shared" si="66"/>
        <v>#REF!</v>
      </c>
      <c r="EF85" s="131">
        <f t="shared" si="67"/>
        <v>10</v>
      </c>
      <c r="EG85" s="131" t="str">
        <f t="shared" si="132"/>
        <v>#REF!</v>
      </c>
      <c r="EH85" s="131" t="str">
        <f t="shared" si="68"/>
        <v>#REF!</v>
      </c>
      <c r="EI85" s="131" t="str">
        <f t="array" ref="EI85">INDEX(EH:EH,MIN(IF(ISNUMBER(EH85:EH281),ROW(EH85:EH281),"")))</f>
        <v/>
      </c>
      <c r="EJ85" s="131" t="str">
        <f t="shared" si="133"/>
        <v>#REF!</v>
      </c>
      <c r="EK85" s="138" t="str">
        <f>EJ85*VLOOKUP('Données projet (1)'!$B$15,'Paramètres (1)'!$A$1:$I$88,3,0)*VLOOKUP('Données projet (1)'!$B$15,'Paramètres (1)'!$A$1:$I$88,5,0)</f>
        <v>#REF!</v>
      </c>
      <c r="EL85" s="130" t="str">
        <f t="shared" si="134"/>
        <v>#REF!</v>
      </c>
      <c r="EM85" s="141" t="str">
        <f t="shared" si="69"/>
        <v>#REF!</v>
      </c>
      <c r="EN85" s="133" t="str">
        <f t="shared" si="70"/>
        <v>#REF!</v>
      </c>
      <c r="EO85" s="133" t="str">
        <f t="shared" si="71"/>
        <v>#REF!</v>
      </c>
      <c r="EP85" s="133" t="str">
        <f t="shared" si="135"/>
        <v>#REF!</v>
      </c>
      <c r="EQ85" s="134" t="str">
        <f t="shared" si="72"/>
        <v>#REF!</v>
      </c>
      <c r="ER85" s="134" t="str">
        <f t="shared" si="73"/>
        <v>#REF!</v>
      </c>
      <c r="ES85" s="135" t="str">
        <f>IF(ISNA(VLOOKUP(A85,'Données projet (1)'!$A$191:$I$211,5,0)),0%,VLOOKUP(A85,'Données projet (1)'!$A$191:$I$211,5,0)*VLOOKUP('Données projet (1)'!$B$15,'Paramètres (1)'!$A$1:$I$88,7,0))</f>
        <v>#REF!</v>
      </c>
      <c r="ET85" s="135" t="str">
        <f>IF(ISNA(VLOOKUP(A85,'Données projet (1)'!$A$191:$I$211,6,0)),0%,VLOOKUP(A85,'Données projet (1)'!$A$191:$I$211,6,0)*VLOOKUP('Données projet (1)'!$B$15,'Paramètres (1)'!$A$1:$I$88,7,0))</f>
        <v>#REF!</v>
      </c>
      <c r="EU85" s="135" t="str">
        <f t="shared" si="74"/>
        <v>#REF!</v>
      </c>
      <c r="EV85" s="142" t="str">
        <f>EXP(-LN(2)/35)*EV84+(1-EXP(-LN(2)/35))/(LN(2)/35)*ER85*ES85*VLOOKUP('Données projet (1)'!$B$15,'Paramètres (1)'!$A$1:$I$88,3,0)*0.475*44/12</f>
        <v>#REF!</v>
      </c>
      <c r="EW85" s="142" t="str">
        <f>EXP(-LN(2)/25)*EW84+(1-EXP(-LN(2)/25))/(LN(2)/25)*'Calculateur (1)'!ER85*'Calculateur (1)'!ET85*VLOOKUP('Données projet (1)'!$B$15,'Paramètres (1)'!$A$1:$I$88,3,0)*0.475*44/12</f>
        <v>#REF!</v>
      </c>
      <c r="EX85" s="142" t="str">
        <f>EXP(-LN(2)/2)*EX84+(1-EXP(-LN(2)/2))/(LN(2)/2)*ER85*EU85*VLOOKUP('Données projet (1)'!$B$15,'Paramètres (1)'!$A$1:$I$88,3,0)*0.475*44/12</f>
        <v>#REF!</v>
      </c>
      <c r="EY85" s="143" t="str">
        <f t="shared" si="75"/>
        <v>#REF!</v>
      </c>
      <c r="EZ85" s="139" t="str">
        <f t="shared" si="76"/>
        <v>#REF!</v>
      </c>
      <c r="FA85" s="131">
        <f t="shared" si="77"/>
        <v>10</v>
      </c>
      <c r="FB85" s="131" t="str">
        <f t="shared" si="136"/>
        <v>#REF!</v>
      </c>
      <c r="FC85" s="131" t="str">
        <f t="shared" si="78"/>
        <v>#REF!</v>
      </c>
      <c r="FD85" s="131" t="str">
        <f t="array" ref="FD85">INDEX(FC:FC,MIN(IF(ISNUMBER(FC85:FC281),ROW(FC85:FC281),"")))</f>
        <v/>
      </c>
      <c r="FE85" s="131" t="str">
        <f t="shared" si="137"/>
        <v>#REF!</v>
      </c>
      <c r="FF85" s="138" t="str">
        <f>FE85*VLOOKUP('Données projet (1)'!$B$16,'Paramètres (1)'!$A$1:$I$88,3,0)*VLOOKUP('Données projet (1)'!$B$16,'Paramètres (1)'!$A$1:$I$88,5,0)</f>
        <v>#REF!</v>
      </c>
      <c r="FG85" s="130" t="str">
        <f t="shared" si="138"/>
        <v>#REF!</v>
      </c>
      <c r="FH85" s="141" t="str">
        <f t="shared" si="79"/>
        <v>#REF!</v>
      </c>
      <c r="FI85" s="133" t="str">
        <f t="shared" si="80"/>
        <v>#REF!</v>
      </c>
      <c r="FJ85" s="133" t="str">
        <f t="shared" si="81"/>
        <v>#REF!</v>
      </c>
      <c r="FK85" s="133" t="str">
        <f t="shared" si="139"/>
        <v>#REF!</v>
      </c>
      <c r="FL85" s="134" t="str">
        <f t="shared" si="82"/>
        <v>#REF!</v>
      </c>
      <c r="FM85" s="134" t="str">
        <f t="shared" si="83"/>
        <v>#REF!</v>
      </c>
      <c r="FN85" s="135" t="str">
        <f>IF(ISNA(VLOOKUP(A85,'Données projet (1)'!$A$217:$I$237,5,0)),0%,VLOOKUP(A85,'Données projet (1)'!$A$217:$I$237,5,0)*VLOOKUP('Données projet (1)'!$B$16,'Paramètres (1)'!$A$1:$I$88,7,0))</f>
        <v>#REF!</v>
      </c>
      <c r="FO85" s="135" t="str">
        <f>IF(ISNA(VLOOKUP(A85,'Données projet (1)'!$A$217:$I$237,6,0)),0%,VLOOKUP(A85,'Données projet (1)'!$A$217:$I$237,6,0)*VLOOKUP('Données projet (1)'!$B$16,'Paramètres (1)'!$A$1:$I$88,7,0))</f>
        <v>#REF!</v>
      </c>
      <c r="FP85" s="135" t="str">
        <f t="shared" si="84"/>
        <v>#REF!</v>
      </c>
      <c r="FQ85" s="142" t="str">
        <f>EXP(-LN(2)/35)*FQ84+(1-EXP(-LN(2)/35))/(LN(2)/35)*FM85*FN85*VLOOKUP('Données projet (1)'!$B$16,'Paramètres (1)'!$A$1:$I$88,3,0)*0.475*44/12</f>
        <v>#REF!</v>
      </c>
      <c r="FR85" s="142" t="str">
        <f>EXP(-LN(2)/25)*FR84+(1-EXP(-LN(2)/25))/(LN(2)/25)*'Calculateur (1)'!FM85*'Calculateur (1)'!FO85*VLOOKUP('Données projet (1)'!$B$16,'Paramètres (1)'!$A$1:$I$88,3,0)*0.475*44/12</f>
        <v>#REF!</v>
      </c>
      <c r="FS85" s="142" t="str">
        <f>EXP(-LN(2)/2)*FS84+(1-EXP(-LN(2)/2))/(LN(2)/2)*FM85*FP85*VLOOKUP('Données projet (1)'!$B$16,'Paramètres (1)'!$A$1:$I$88,3,0)*0.475*44/12</f>
        <v>#REF!</v>
      </c>
      <c r="FT85" s="143" t="str">
        <f t="shared" si="85"/>
        <v>#REF!</v>
      </c>
      <c r="FU85" s="139" t="str">
        <f t="shared" si="86"/>
        <v>#REF!</v>
      </c>
      <c r="FV85" s="131">
        <f t="shared" si="87"/>
        <v>10</v>
      </c>
      <c r="FW85" s="131" t="str">
        <f t="shared" si="140"/>
        <v>#REF!</v>
      </c>
      <c r="FX85" s="131" t="str">
        <f t="shared" si="88"/>
        <v>#REF!</v>
      </c>
      <c r="FY85" s="131" t="str">
        <f t="array" ref="FY85">INDEX(FX:FX,MIN(IF(ISNUMBER(FX85:FX281),ROW(FX85:FX281),"")))</f>
        <v/>
      </c>
      <c r="FZ85" s="131" t="str">
        <f t="shared" si="141"/>
        <v>#REF!</v>
      </c>
      <c r="GA85" s="138" t="str">
        <f>FZ85*VLOOKUP('Données projet (1)'!$B$17,'Paramètres (1)'!$A$1:$I$88,3,0)*VLOOKUP('Données projet (1)'!$B$17,'Paramètres (1)'!$A$1:$I$88,5,0)</f>
        <v>#REF!</v>
      </c>
      <c r="GB85" s="130" t="str">
        <f t="shared" si="142"/>
        <v>#REF!</v>
      </c>
      <c r="GC85" s="141" t="str">
        <f t="shared" si="89"/>
        <v>#REF!</v>
      </c>
      <c r="GD85" s="133" t="str">
        <f t="shared" si="90"/>
        <v>#REF!</v>
      </c>
      <c r="GE85" s="133" t="str">
        <f t="shared" si="91"/>
        <v>#REF!</v>
      </c>
      <c r="GF85" s="133" t="str">
        <f t="shared" si="143"/>
        <v>#REF!</v>
      </c>
      <c r="GG85" s="134" t="str">
        <f t="shared" si="92"/>
        <v>#REF!</v>
      </c>
      <c r="GH85" s="134" t="str">
        <f t="shared" si="93"/>
        <v>#REF!</v>
      </c>
      <c r="GI85" s="135" t="str">
        <f>IF(ISNA(VLOOKUP(A85,'Données projet (1)'!$A$243:$I$263,5,0)),0%,VLOOKUP(A85,'Données projet (1)'!$A$243:$I$263,5,0)*VLOOKUP('Données projet (1)'!$B$17,'Paramètres (1)'!$A$1:$I$88,7,0))</f>
        <v>#REF!</v>
      </c>
      <c r="GJ85" s="135" t="str">
        <f>IF(ISNA(VLOOKUP(A85,'Données projet (1)'!$A$243:$I$263,6,0)),0%,VLOOKUP(A85,'Données projet (1)'!$A$243:$I$263,6,0)*VLOOKUP('Données projet (1)'!$B$17,'Paramètres (1)'!$A$1:$I$88,7,0))</f>
        <v>#REF!</v>
      </c>
      <c r="GK85" s="135" t="str">
        <f t="shared" si="94"/>
        <v>#REF!</v>
      </c>
      <c r="GL85" s="142" t="str">
        <f>EXP(-LN(2)/35)*GL84+(1-EXP(-LN(2)/35))/(LN(2)/35)*GH85*GI85*VLOOKUP('Données projet (1)'!$B$17,'Paramètres (1)'!$A$1:$I$88,3,0)*0.475*44/12</f>
        <v>#REF!</v>
      </c>
      <c r="GM85" s="142" t="str">
        <f>EXP(-LN(2)/25)*GM84+(1-EXP(-LN(2)/25))/(LN(2)/25)*'Calculateur (1)'!GH85*'Calculateur (1)'!GJ85*VLOOKUP('Données projet (1)'!$B$17,'Paramètres (1)'!$A$1:$I$88,3,0)*0.475*44/12</f>
        <v>#REF!</v>
      </c>
      <c r="GN85" s="142" t="str">
        <f>EXP(-LN(2)/2)*GN84+(1-EXP(-LN(2)/2))/(LN(2)/2)*GH85*GK85*VLOOKUP('Données projet (1)'!$B$17,'Paramètres (1)'!$A$1:$I$88,3,0)*0.475*44/12</f>
        <v>#REF!</v>
      </c>
      <c r="GO85" s="142" t="str">
        <f t="shared" si="95"/>
        <v>#REF!</v>
      </c>
      <c r="GP85" s="139" t="str">
        <f t="shared" si="96"/>
        <v>#REF!</v>
      </c>
      <c r="GQ85" s="131">
        <f t="shared" si="97"/>
        <v>10</v>
      </c>
      <c r="GR85" s="131" t="str">
        <f t="shared" si="144"/>
        <v>#REF!</v>
      </c>
      <c r="GS85" s="131" t="str">
        <f t="shared" si="98"/>
        <v>#REF!</v>
      </c>
      <c r="GT85" s="131" t="str">
        <f t="array" ref="GT85">INDEX(GS:GS,MIN(IF(ISNUMBER(GS85:GS281),ROW(GS85:GS281),"")))</f>
        <v/>
      </c>
      <c r="GU85" s="131" t="str">
        <f t="shared" si="145"/>
        <v>#REF!</v>
      </c>
      <c r="GV85" s="138" t="str">
        <f>GU85*VLOOKUP('Données projet (1)'!$B$18,'Paramètres (1)'!$A$1:$I$88,3,0)*VLOOKUP('Données projet (1)'!$B$18,'Paramètres (1)'!$A$1:$I$88,5,0)</f>
        <v>#REF!</v>
      </c>
      <c r="GW85" s="130" t="str">
        <f t="shared" si="146"/>
        <v>#REF!</v>
      </c>
      <c r="GX85" s="141" t="str">
        <f t="shared" si="99"/>
        <v>#REF!</v>
      </c>
      <c r="GY85" s="133" t="str">
        <f t="shared" si="100"/>
        <v>#REF!</v>
      </c>
      <c r="GZ85" s="133" t="str">
        <f t="shared" si="101"/>
        <v>#REF!</v>
      </c>
      <c r="HA85" s="133" t="str">
        <f t="shared" si="147"/>
        <v>#REF!</v>
      </c>
      <c r="HB85" s="134" t="str">
        <f t="shared" si="102"/>
        <v>#REF!</v>
      </c>
      <c r="HC85" s="134" t="str">
        <f t="shared" si="103"/>
        <v>#REF!</v>
      </c>
      <c r="HD85" s="135" t="str">
        <f>IF(ISNA(VLOOKUP(A85,'Données projet (1)'!$A$269:$I$289,5,0)),0%,VLOOKUP(A85,'Données projet (1)'!$A$269:$I$289,5,0)*VLOOKUP('Données projet (1)'!$B$18,'Paramètres (1)'!$A$1:$I$88,7,0))</f>
        <v>#REF!</v>
      </c>
      <c r="HE85" s="135" t="str">
        <f>IF(ISNA(VLOOKUP(A85,'Données projet (1)'!$A$269:$I$289,6,0)),0%,VLOOKUP(A85,'Données projet (1)'!$A$269:$I$289,6,0)*VLOOKUP('Données projet (1)'!$B$18,'Paramètres (1)'!$A$1:$I$88,7,0))</f>
        <v>#REF!</v>
      </c>
      <c r="HF85" s="135" t="str">
        <f t="shared" si="104"/>
        <v>#REF!</v>
      </c>
      <c r="HG85" s="142" t="str">
        <f>EXP(-LN(2)/35)*HG84+(1-EXP(-LN(2)/35))/(LN(2)/35)*HC85*HD85*VLOOKUP('Données projet (1)'!$B$18,'Paramètres (1)'!$A$1:$I$88,3,0)*0.475*44/12</f>
        <v>#REF!</v>
      </c>
      <c r="HH85" s="142" t="str">
        <f>EXP(-LN(2)/25)*HH84+(1-EXP(-LN(2)/25))/(LN(2)/25)*'Calculateur (1)'!HC85*'Calculateur (1)'!HE85*VLOOKUP('Données projet (1)'!$B$18,'Paramètres (1)'!$A$1:$I$88,3,0)*0.475*44/12</f>
        <v>#REF!</v>
      </c>
      <c r="HI85" s="142" t="str">
        <f>EXP(-LN(2)/2)*HI84+(1-EXP(-LN(2)/2))/(LN(2)/2)*HC85*HF85*VLOOKUP('Données projet (1)'!$B$18,'Paramètres (1)'!$A$1:$I$88,3,0)*0.475*44/12</f>
        <v>#REF!</v>
      </c>
      <c r="HJ85" s="143" t="str">
        <f t="shared" si="105"/>
        <v>#REF!</v>
      </c>
    </row>
    <row r="86" ht="14.25" customHeight="1">
      <c r="A86" s="125">
        <f t="shared" si="106"/>
        <v>83</v>
      </c>
      <c r="B86" s="126" t="str">
        <f t="shared" si="1"/>
        <v>#REF!</v>
      </c>
      <c r="C86" s="140" t="str">
        <f>'Calculateur (1)'!C85+'Scénario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6" s="127">
        <f t="shared" si="107"/>
        <v>0</v>
      </c>
      <c r="E86" s="127" t="str">
        <f t="shared" si="2"/>
        <v>#REF!</v>
      </c>
      <c r="F86" s="127" t="str">
        <f t="shared" si="3"/>
        <v>#REF!</v>
      </c>
      <c r="G86" s="127" t="str">
        <f t="shared" si="4"/>
        <v>#REF!</v>
      </c>
      <c r="H86" s="128" t="str">
        <f t="shared" si="5"/>
        <v>#REF!</v>
      </c>
      <c r="I86" s="129" t="str">
        <f t="shared" si="6"/>
        <v>#REF!</v>
      </c>
      <c r="J86" s="130">
        <f t="shared" si="7"/>
        <v>10</v>
      </c>
      <c r="K86" s="131" t="str">
        <f t="shared" si="108"/>
        <v>#REF!</v>
      </c>
      <c r="L86" s="131" t="str">
        <f t="shared" si="8"/>
        <v>#REF!</v>
      </c>
      <c r="M86" s="131" t="str">
        <f t="array" ref="M86">INDEX(L:L,MIN(IF(ISNUMBER(L86:L282),ROW(L86:L282),"")))</f>
        <v/>
      </c>
      <c r="N86" s="130" t="str">
        <f t="shared" si="109"/>
        <v>#REF!</v>
      </c>
      <c r="O86" s="130" t="str">
        <f>N86*VLOOKUP('Données projet (1)'!$B$9,'Paramètres (1)'!$A$1:$I$88,3,0)*VLOOKUP('Données projet (1)'!$B$9,'Paramètres (1)'!$A$1:$I$88,5,0)</f>
        <v>#REF!</v>
      </c>
      <c r="P86" s="130" t="str">
        <f t="shared" si="110"/>
        <v>#REF!</v>
      </c>
      <c r="Q86" s="141" t="str">
        <f t="shared" si="9"/>
        <v>#REF!</v>
      </c>
      <c r="R86" s="133" t="str">
        <f t="shared" si="10"/>
        <v>#REF!</v>
      </c>
      <c r="S86" s="133" t="str">
        <f t="shared" si="11"/>
        <v>#REF!</v>
      </c>
      <c r="T86" s="133" t="str">
        <f t="shared" si="111"/>
        <v>#REF!</v>
      </c>
      <c r="U86" s="134" t="str">
        <f t="shared" si="12"/>
        <v>#REF!</v>
      </c>
      <c r="V86" s="134" t="str">
        <f t="shared" si="13"/>
        <v>#REF!</v>
      </c>
      <c r="W86" s="135" t="str">
        <f>IF(ISNA(VLOOKUP(A86,'Données projet (1)'!$A$35:$I$55,5,0)),0%,VLOOKUP(A86,'Données projet (1)'!$A$35:$I$55,5,0)*VLOOKUP('Données projet (1)'!$B$9,'Paramètres (1)'!$A$1:$I$88,7,0))</f>
        <v>#REF!</v>
      </c>
      <c r="X86" s="135" t="str">
        <f>IF(ISNA(VLOOKUP(A86,'Données projet (1)'!$A$35:$I$55,6,0)),0%,VLOOKUP(A86,'Données projet (1)'!$A$35:$I$55,6,0)*VLOOKUP('Données projet (1)'!$B$9,'Paramètres (1)'!$A$1:$I$88,7,0))</f>
        <v>#REF!</v>
      </c>
      <c r="Y86" s="135" t="str">
        <f t="shared" si="14"/>
        <v>#REF!</v>
      </c>
      <c r="Z86" s="142" t="str">
        <f>EXP(-LN(2)/35)*Z85+(1-EXP(-LN(2)/35))/(LN(2)/35)*V86*W86*VLOOKUP('Données projet (1)'!$B$9,'Paramètres (1)'!$A$1:$I$88,3,0)*0.475*44/12</f>
        <v>#REF!</v>
      </c>
      <c r="AA86" s="142" t="str">
        <f>EXP(-LN(2)/25)*AA85+(1-EXP(-LN(2)/25))/(LN(2)/25)*'Calculateur (1)'!V86*'Calculateur (1)'!X86*VLOOKUP('Données projet (1)'!$B$9,'Paramètres (1)'!$A$1:$I$88,3,0)*0.475*44/12</f>
        <v>#REF!</v>
      </c>
      <c r="AB86" s="142" t="str">
        <f>EXP(-LN(2)/2)*AB85+(1-EXP(-LN(2)/2))/(LN(2)/2)*V86*Y86*VLOOKUP('Données projet (1)'!$B$9,'Paramètres (1)'!$A$1:$I$88,3,0)*0.475*44/12</f>
        <v>#REF!</v>
      </c>
      <c r="AC86" s="143" t="str">
        <f t="shared" si="15"/>
        <v>#REF!</v>
      </c>
      <c r="AD86" s="130" t="str">
        <f t="shared" si="16"/>
        <v>#REF!</v>
      </c>
      <c r="AE86" s="130">
        <f t="shared" si="17"/>
        <v>10</v>
      </c>
      <c r="AF86" s="131" t="str">
        <f t="shared" si="112"/>
        <v>#REF!</v>
      </c>
      <c r="AG86" s="131" t="str">
        <f t="shared" si="18"/>
        <v>#REF!</v>
      </c>
      <c r="AH86" s="131" t="str">
        <f t="array" ref="AH86">INDEX(AG:AG,MIN(IF(ISNUMBER(AG86:AG282),ROW(AG86:AG282),"")))</f>
        <v/>
      </c>
      <c r="AI86" s="130" t="str">
        <f t="shared" si="113"/>
        <v>#REF!</v>
      </c>
      <c r="AJ86" s="130" t="str">
        <f>AI86*VLOOKUP('Données projet (1)'!$B$10,'Paramètres (1)'!$A$1:$I$88,3,0)*VLOOKUP('Données projet (1)'!$B$10,'Paramètres (1)'!$A$1:$I$88,5,0)</f>
        <v>#REF!</v>
      </c>
      <c r="AK86" s="130" t="str">
        <f t="shared" si="114"/>
        <v>#REF!</v>
      </c>
      <c r="AL86" s="141" t="str">
        <f t="shared" si="19"/>
        <v>#REF!</v>
      </c>
      <c r="AM86" s="133" t="str">
        <f t="shared" si="20"/>
        <v>#REF!</v>
      </c>
      <c r="AN86" s="133" t="str">
        <f t="shared" si="21"/>
        <v>#REF!</v>
      </c>
      <c r="AO86" s="133" t="str">
        <f t="shared" si="115"/>
        <v>#REF!</v>
      </c>
      <c r="AP86" s="134" t="str">
        <f t="shared" si="22"/>
        <v>#REF!</v>
      </c>
      <c r="AQ86" s="134" t="str">
        <f t="shared" si="23"/>
        <v>#REF!</v>
      </c>
      <c r="AR86" s="135" t="str">
        <f>IF(ISNA(VLOOKUP(A86,'Données projet (1)'!$A$61:$I$81,5,0)),0%,VLOOKUP(A86,'Données projet (1)'!$A$61:$I$81,5,0)*VLOOKUP('Données projet (1)'!$B$10,'Paramètres (1)'!$A$1:$I$88,7,0))</f>
        <v>#REF!</v>
      </c>
      <c r="AS86" s="135" t="str">
        <f>IF(ISNA(VLOOKUP(A86,'Données projet (1)'!$A$61:$I$81,6,0)),0%,VLOOKUP(A86,'Données projet (1)'!$A$61:$I$81,6,0)*VLOOKUP('Données projet (1)'!$B$10,'Paramètres (1)'!$A$1:$I$88,7,0))</f>
        <v>#REF!</v>
      </c>
      <c r="AT86" s="135" t="str">
        <f t="shared" si="24"/>
        <v>#REF!</v>
      </c>
      <c r="AU86" s="142" t="str">
        <f>EXP(-LN(2)/35)*AU85+(1-EXP(-LN(2)/35))/(LN(2)/35)*AQ86*AR86*VLOOKUP('Données projet (1)'!$B$10,'Paramètres (1)'!$A$1:$I$88,3,0)*0.475*44/12</f>
        <v>#REF!</v>
      </c>
      <c r="AV86" s="142" t="str">
        <f>EXP(-LN(2)/25)*AV85+(1-EXP(-LN(2)/25))/(LN(2)/25)*'Calculateur (1)'!AQ86*'Calculateur (1)'!AS86*VLOOKUP('Données projet (1)'!$B$10,'Paramètres (1)'!$A$1:$I$88,3,0)*0.475*44/12</f>
        <v>#REF!</v>
      </c>
      <c r="AW86" s="142" t="str">
        <f>EXP(-LN(2)/2)*AW85+(1-EXP(-LN(2)/2))/(LN(2)/2)*AQ86*AT86*VLOOKUP('Données projet (1)'!$B$10,'Paramètres (1)'!$A$1:$I$88,3,0)*0.475*44/12</f>
        <v>#REF!</v>
      </c>
      <c r="AX86" s="142" t="str">
        <f t="shared" si="25"/>
        <v>#REF!</v>
      </c>
      <c r="AY86" s="137" t="str">
        <f t="shared" si="26"/>
        <v>#REF!</v>
      </c>
      <c r="AZ86" s="131">
        <f t="shared" si="27"/>
        <v>10</v>
      </c>
      <c r="BA86" s="131" t="str">
        <f t="shared" si="116"/>
        <v>#REF!</v>
      </c>
      <c r="BB86" s="131" t="str">
        <f t="shared" si="28"/>
        <v>#REF!</v>
      </c>
      <c r="BC86" s="131" t="str">
        <f t="array" ref="BC86">INDEX(BB:BB,MIN(IF(ISNUMBER(BB86:BB282),ROW(BB86:BB282),"")))</f>
        <v/>
      </c>
      <c r="BD86" s="131" t="str">
        <f t="shared" si="117"/>
        <v>#REF!</v>
      </c>
      <c r="BE86" s="130" t="str">
        <f>BD86*VLOOKUP('Données projet (1)'!$B$11,'Paramètres (1)'!$A$1:$I$88,3,0)*VLOOKUP('Données projet (1)'!$B$11,'Paramètres (1)'!$A$1:$I$88,5,0)</f>
        <v>#REF!</v>
      </c>
      <c r="BF86" s="130" t="str">
        <f t="shared" si="118"/>
        <v>#REF!</v>
      </c>
      <c r="BG86" s="141" t="str">
        <f t="shared" si="29"/>
        <v>#REF!</v>
      </c>
      <c r="BH86" s="133" t="str">
        <f t="shared" si="30"/>
        <v>#REF!</v>
      </c>
      <c r="BI86" s="133" t="str">
        <f t="shared" si="31"/>
        <v>#REF!</v>
      </c>
      <c r="BJ86" s="133" t="str">
        <f t="shared" si="119"/>
        <v>#REF!</v>
      </c>
      <c r="BK86" s="134" t="str">
        <f t="shared" si="32"/>
        <v>#REF!</v>
      </c>
      <c r="BL86" s="134" t="str">
        <f t="shared" si="33"/>
        <v>#REF!</v>
      </c>
      <c r="BM86" s="135" t="str">
        <f>IF(ISNA(VLOOKUP(A86,'Données projet (1)'!$A$87:$I$107,5,0)),0%,VLOOKUP(A86,'Données projet (1)'!$A$87:$I$107,5,0)*VLOOKUP('Données projet (1)'!$B$11,'Paramètres (1)'!$A$1:$I$88,7,0))</f>
        <v>#REF!</v>
      </c>
      <c r="BN86" s="135" t="str">
        <f>IF(ISNA(VLOOKUP(A86,'Données projet (1)'!$A$87:$I$107,6,0)),0%,VLOOKUP(A86,'Données projet (1)'!$A$87:$I$107,6,0)*VLOOKUP('Données projet (1)'!$B$11,'Paramètres (1)'!$A$1:$I$88,7,0))</f>
        <v>#REF!</v>
      </c>
      <c r="BO86" s="135" t="str">
        <f t="shared" si="34"/>
        <v>#REF!</v>
      </c>
      <c r="BP86" s="142" t="str">
        <f>EXP(-LN(2)/35)*BP85+(1-EXP(-LN(2)/35))/(LN(2)/35)*BL86*BM86*VLOOKUP('Données projet (1)'!$B$11,'Paramètres (1)'!$A$1:$I$88,3,0)*0.475*44/12</f>
        <v>#REF!</v>
      </c>
      <c r="BQ86" s="142" t="str">
        <f>EXP(-LN(2)/25)*BQ85+(1-EXP(-LN(2)/25))/(LN(2)/25)*'Calculateur (1)'!BL86*'Calculateur (1)'!BN86*VLOOKUP('Données projet (1)'!$B$11,'Paramètres (1)'!$A$1:$I$88,3,0)*0.475*44/12</f>
        <v>#REF!</v>
      </c>
      <c r="BR86" s="142" t="str">
        <f>EXP(-LN(2)/2)*BR85+(1-EXP(-LN(2)/2))/(LN(2)/2)*BL86*BO86*VLOOKUP('Données projet (1)'!$B$11,'Paramètres (1)'!$A$1:$I$88,3,0)*0.475*44/12</f>
        <v>#REF!</v>
      </c>
      <c r="BS86" s="143" t="str">
        <f t="shared" si="35"/>
        <v>#REF!</v>
      </c>
      <c r="BT86" s="139" t="str">
        <f t="shared" si="36"/>
        <v>#REF!</v>
      </c>
      <c r="BU86" s="131">
        <f t="shared" si="37"/>
        <v>10</v>
      </c>
      <c r="BV86" s="131" t="str">
        <f t="shared" si="120"/>
        <v>#REF!</v>
      </c>
      <c r="BW86" s="131" t="str">
        <f t="shared" si="38"/>
        <v>#REF!</v>
      </c>
      <c r="BX86" s="131" t="str">
        <f t="array" ref="BX86">INDEX(BW:BW,MIN(IF(ISNUMBER(BW86:BW282),ROW(BW86:BW282),"")))</f>
        <v/>
      </c>
      <c r="BY86" s="131" t="str">
        <f t="shared" si="121"/>
        <v>#REF!</v>
      </c>
      <c r="BZ86" s="130" t="str">
        <f>BY86*VLOOKUP('Données projet (1)'!$B$12,'Paramètres (1)'!$A$1:$I$88,3,0)*VLOOKUP('Données projet (1)'!$B$12,'Paramètres (1)'!$A$1:$I$88,5,0)</f>
        <v>#REF!</v>
      </c>
      <c r="CA86" s="130" t="str">
        <f t="shared" si="122"/>
        <v>#REF!</v>
      </c>
      <c r="CB86" s="141" t="str">
        <f t="shared" si="39"/>
        <v>#REF!</v>
      </c>
      <c r="CC86" s="133" t="str">
        <f t="shared" si="40"/>
        <v>#REF!</v>
      </c>
      <c r="CD86" s="133" t="str">
        <f t="shared" si="41"/>
        <v>#REF!</v>
      </c>
      <c r="CE86" s="133" t="str">
        <f t="shared" si="123"/>
        <v>#REF!</v>
      </c>
      <c r="CF86" s="134" t="str">
        <f t="shared" si="42"/>
        <v>#REF!</v>
      </c>
      <c r="CG86" s="134" t="str">
        <f t="shared" si="43"/>
        <v>#REF!</v>
      </c>
      <c r="CH86" s="135" t="str">
        <f>IF(ISNA(VLOOKUP(A86,'Données projet (1)'!$A$113:$I$133,5,0)),0%,VLOOKUP(A86,'Données projet (1)'!$A$113:$I$133,5,0)*VLOOKUP('Données projet (1)'!$B$12,'Paramètres (1)'!$A$1:$I$88,7,0))</f>
        <v>#REF!</v>
      </c>
      <c r="CI86" s="135" t="str">
        <f>IF(ISNA(VLOOKUP(A86,'Données projet (1)'!$A$113:$I$133,6,0)),0%,VLOOKUP(A86,'Données projet (1)'!$A$113:$I$133,6,0)*VLOOKUP('Données projet (1)'!$B$12,'Paramètres (1)'!$A$1:$I$88,7,0))</f>
        <v>#REF!</v>
      </c>
      <c r="CJ86" s="135" t="str">
        <f t="shared" si="44"/>
        <v>#REF!</v>
      </c>
      <c r="CK86" s="142" t="str">
        <f>EXP(-LN(2)/35)*CK85+(1-EXP(-LN(2)/35))/(LN(2)/35)*CG86*CH86*VLOOKUP('Données projet (1)'!$B$12,'Paramètres (1)'!$A$1:$I$88,3,0)*0.475*44/12</f>
        <v>#REF!</v>
      </c>
      <c r="CL86" s="142" t="str">
        <f>EXP(-LN(2)/25)*CL85+(1-EXP(-LN(2)/25))/(LN(2)/25)*'Calculateur (1)'!CG86*'Calculateur (1)'!CI86*VLOOKUP('Données projet (1)'!$B$12,'Paramètres (1)'!$A$1:$I$88,3,0)*0.475*44/12</f>
        <v>#REF!</v>
      </c>
      <c r="CM86" s="142" t="str">
        <f>EXP(-LN(2)/2)*CM85+(1-EXP(-LN(2)/2))/(LN(2)/2)*CG86*CJ86*VLOOKUP('Données projet (1)'!$B$12,'Paramètres (1)'!$A$1:$I$88,3,0)*0.475*44/12</f>
        <v>#REF!</v>
      </c>
      <c r="CN86" s="143" t="str">
        <f t="shared" si="45"/>
        <v>#REF!</v>
      </c>
      <c r="CO86" s="139" t="str">
        <f t="shared" si="46"/>
        <v>#REF!</v>
      </c>
      <c r="CP86" s="131">
        <f t="shared" si="47"/>
        <v>10</v>
      </c>
      <c r="CQ86" s="131" t="str">
        <f t="shared" si="124"/>
        <v>#REF!</v>
      </c>
      <c r="CR86" s="131" t="str">
        <f t="shared" si="48"/>
        <v>#REF!</v>
      </c>
      <c r="CS86" s="131" t="str">
        <f t="array" ref="CS86">INDEX(CR:CR,MIN(IF(ISNUMBER(CR86:CR282),ROW(CR86:CR282),"")))</f>
        <v/>
      </c>
      <c r="CT86" s="131" t="str">
        <f t="shared" si="125"/>
        <v>#REF!</v>
      </c>
      <c r="CU86" s="138" t="str">
        <f>CT86*VLOOKUP('Données projet (1)'!$B$13,'Paramètres (1)'!$A$1:$I$88,3,0)*VLOOKUP('Données projet (1)'!$B$13,'Paramètres (1)'!$A$1:$I$88,5,0)</f>
        <v>#REF!</v>
      </c>
      <c r="CV86" s="130" t="str">
        <f t="shared" si="126"/>
        <v>#REF!</v>
      </c>
      <c r="CW86" s="141" t="str">
        <f t="shared" si="49"/>
        <v>#REF!</v>
      </c>
      <c r="CX86" s="133" t="str">
        <f t="shared" si="50"/>
        <v>#REF!</v>
      </c>
      <c r="CY86" s="133" t="str">
        <f t="shared" si="51"/>
        <v>#REF!</v>
      </c>
      <c r="CZ86" s="133" t="str">
        <f t="shared" si="127"/>
        <v>#REF!</v>
      </c>
      <c r="DA86" s="134" t="str">
        <f t="shared" si="52"/>
        <v>#REF!</v>
      </c>
      <c r="DB86" s="134" t="str">
        <f t="shared" si="53"/>
        <v>#REF!</v>
      </c>
      <c r="DC86" s="135" t="str">
        <f>IF(ISNA(VLOOKUP(A86,'Données projet (1)'!$A$139:$I$159,5,0)),0%,VLOOKUP(A86,'Données projet (1)'!$A$139:$I$159,5,0)*VLOOKUP('Données projet (1)'!$B$13,'Paramètres (1)'!$A$1:$I$88,7,0))</f>
        <v>#REF!</v>
      </c>
      <c r="DD86" s="135" t="str">
        <f>IF(ISNA(VLOOKUP(A86,'Données projet (1)'!$A$139:$I$159,6,0)),0%,VLOOKUP(A86,'Données projet (1)'!$A$139:$I$159,6,0)*VLOOKUP('Données projet (1)'!$B$13,'Paramètres (1)'!$A$1:$I$88,7,0))</f>
        <v>#REF!</v>
      </c>
      <c r="DE86" s="135" t="str">
        <f t="shared" si="54"/>
        <v>#REF!</v>
      </c>
      <c r="DF86" s="142" t="str">
        <f>EXP(-LN(2)/35)*DF85+(1-EXP(-LN(2)/35))/(LN(2)/35)*DB86*DC86*VLOOKUP('Données projet (1)'!$B$13,'Paramètres (1)'!$A$1:$I$88,3,0)*0.475*44/12</f>
        <v>#REF!</v>
      </c>
      <c r="DG86" s="142" t="str">
        <f>EXP(-LN(2)/25)*DG85+(1-EXP(-LN(2)/25))/(LN(2)/25)*'Calculateur (1)'!DB86*'Calculateur (1)'!DD86*VLOOKUP('Données projet (1)'!$B$13,'Paramètres (1)'!$A$1:$I$88,3,0)*0.475*44/12</f>
        <v>#REF!</v>
      </c>
      <c r="DH86" s="142" t="str">
        <f>EXP(-LN(2)/2)*DH85+(1-EXP(-LN(2)/2))/(LN(2)/2)*DB86*DE86*VLOOKUP('Données projet (1)'!$B$13,'Paramètres (1)'!$A$1:$I$88,3,0)*0.475*44/12</f>
        <v>#REF!</v>
      </c>
      <c r="DI86" s="143" t="str">
        <f t="shared" si="55"/>
        <v>#REF!</v>
      </c>
      <c r="DJ86" s="139" t="str">
        <f t="shared" si="56"/>
        <v>#REF!</v>
      </c>
      <c r="DK86" s="131">
        <f t="shared" si="57"/>
        <v>10</v>
      </c>
      <c r="DL86" s="131" t="str">
        <f t="shared" si="128"/>
        <v>#REF!</v>
      </c>
      <c r="DM86" s="131" t="str">
        <f t="shared" si="58"/>
        <v>#REF!</v>
      </c>
      <c r="DN86" s="131" t="str">
        <f t="array" ref="DN86">INDEX(DM:DM,MIN(IF(ISNUMBER(DM86:DM282),ROW(DM86:DM282),"")))</f>
        <v/>
      </c>
      <c r="DO86" s="131" t="str">
        <f t="shared" si="129"/>
        <v>#REF!</v>
      </c>
      <c r="DP86" s="138" t="str">
        <f>DO86*VLOOKUP('Données projet (1)'!$B$14,'Paramètres (1)'!$A$1:$I$88,3,0)*VLOOKUP('Données projet (1)'!$B$14,'Paramètres (1)'!$A$1:$I$88,5,0)</f>
        <v>#REF!</v>
      </c>
      <c r="DQ86" s="130" t="str">
        <f t="shared" si="130"/>
        <v>#REF!</v>
      </c>
      <c r="DR86" s="141" t="str">
        <f t="shared" si="59"/>
        <v>#REF!</v>
      </c>
      <c r="DS86" s="133" t="str">
        <f t="shared" si="60"/>
        <v>#REF!</v>
      </c>
      <c r="DT86" s="133" t="str">
        <f t="shared" si="61"/>
        <v>#REF!</v>
      </c>
      <c r="DU86" s="133" t="str">
        <f t="shared" si="131"/>
        <v>#REF!</v>
      </c>
      <c r="DV86" s="134" t="str">
        <f t="shared" si="62"/>
        <v>#REF!</v>
      </c>
      <c r="DW86" s="134" t="str">
        <f t="shared" si="63"/>
        <v>#REF!</v>
      </c>
      <c r="DX86" s="135" t="str">
        <f>IF(ISNA(VLOOKUP(A86,'Données projet (1)'!$A$165:$I$185,5,0)),0%,VLOOKUP(A86,'Données projet (1)'!$A$165:$I$185,5,0)*VLOOKUP('Données projet (1)'!$B$14,'Paramètres (1)'!$A$1:$I$88,7,0))</f>
        <v>#REF!</v>
      </c>
      <c r="DY86" s="135" t="str">
        <f>IF(ISNA(VLOOKUP(A86,'Données projet (1)'!$A$165:$I$185,6,0)),0%,VLOOKUP(A86,'Données projet (1)'!$A$165:$I$185,6,0)*VLOOKUP('Données projet (1)'!$B$14,'Paramètres (1)'!$A$1:$I$88,7,0))</f>
        <v>#REF!</v>
      </c>
      <c r="DZ86" s="135" t="str">
        <f t="shared" si="64"/>
        <v>#REF!</v>
      </c>
      <c r="EA86" s="142" t="str">
        <f>EXP(-LN(2)/35)*EA85+(1-EXP(-LN(2)/35))/(LN(2)/35)*DW86*DX86*VLOOKUP('Données projet (1)'!$B$14,'Paramètres (1)'!$A$1:$I$88,3,0)*0.475*44/12</f>
        <v>#REF!</v>
      </c>
      <c r="EB86" s="142" t="str">
        <f>EXP(-LN(2)/25)*EB85+(1-EXP(-LN(2)/25))/(LN(2)/25)*'Calculateur (1)'!DW86*'Calculateur (1)'!DY86*VLOOKUP('Données projet (1)'!$B$14,'Paramètres (1)'!$A$1:$I$88,3,0)*0.475*44/12</f>
        <v>#REF!</v>
      </c>
      <c r="EC86" s="142" t="str">
        <f>EXP(-LN(2)/2)*EC85+(1-EXP(-LN(2)/2))/(LN(2)/2)*DW86*DZ86*VLOOKUP('Données projet (1)'!$B$14,'Paramètres (1)'!$A$1:$I$88,3,0)*0.475*44/12</f>
        <v>#REF!</v>
      </c>
      <c r="ED86" s="143" t="str">
        <f t="shared" si="65"/>
        <v>#REF!</v>
      </c>
      <c r="EE86" s="139" t="str">
        <f t="shared" si="66"/>
        <v>#REF!</v>
      </c>
      <c r="EF86" s="131">
        <f t="shared" si="67"/>
        <v>10</v>
      </c>
      <c r="EG86" s="131" t="str">
        <f t="shared" si="132"/>
        <v>#REF!</v>
      </c>
      <c r="EH86" s="131" t="str">
        <f t="shared" si="68"/>
        <v>#REF!</v>
      </c>
      <c r="EI86" s="131" t="str">
        <f t="array" ref="EI86">INDEX(EH:EH,MIN(IF(ISNUMBER(EH86:EH282),ROW(EH86:EH282),"")))</f>
        <v/>
      </c>
      <c r="EJ86" s="131" t="str">
        <f t="shared" si="133"/>
        <v>#REF!</v>
      </c>
      <c r="EK86" s="138" t="str">
        <f>EJ86*VLOOKUP('Données projet (1)'!$B$15,'Paramètres (1)'!$A$1:$I$88,3,0)*VLOOKUP('Données projet (1)'!$B$15,'Paramètres (1)'!$A$1:$I$88,5,0)</f>
        <v>#REF!</v>
      </c>
      <c r="EL86" s="130" t="str">
        <f t="shared" si="134"/>
        <v>#REF!</v>
      </c>
      <c r="EM86" s="141" t="str">
        <f t="shared" si="69"/>
        <v>#REF!</v>
      </c>
      <c r="EN86" s="133" t="str">
        <f t="shared" si="70"/>
        <v>#REF!</v>
      </c>
      <c r="EO86" s="133" t="str">
        <f t="shared" si="71"/>
        <v>#REF!</v>
      </c>
      <c r="EP86" s="133" t="str">
        <f t="shared" si="135"/>
        <v>#REF!</v>
      </c>
      <c r="EQ86" s="134" t="str">
        <f t="shared" si="72"/>
        <v>#REF!</v>
      </c>
      <c r="ER86" s="134" t="str">
        <f t="shared" si="73"/>
        <v>#REF!</v>
      </c>
      <c r="ES86" s="135" t="str">
        <f>IF(ISNA(VLOOKUP(A86,'Données projet (1)'!$A$191:$I$211,5,0)),0%,VLOOKUP(A86,'Données projet (1)'!$A$191:$I$211,5,0)*VLOOKUP('Données projet (1)'!$B$15,'Paramètres (1)'!$A$1:$I$88,7,0))</f>
        <v>#REF!</v>
      </c>
      <c r="ET86" s="135" t="str">
        <f>IF(ISNA(VLOOKUP(A86,'Données projet (1)'!$A$191:$I$211,6,0)),0%,VLOOKUP(A86,'Données projet (1)'!$A$191:$I$211,6,0)*VLOOKUP('Données projet (1)'!$B$15,'Paramètres (1)'!$A$1:$I$88,7,0))</f>
        <v>#REF!</v>
      </c>
      <c r="EU86" s="135" t="str">
        <f t="shared" si="74"/>
        <v>#REF!</v>
      </c>
      <c r="EV86" s="142" t="str">
        <f>EXP(-LN(2)/35)*EV85+(1-EXP(-LN(2)/35))/(LN(2)/35)*ER86*ES86*VLOOKUP('Données projet (1)'!$B$15,'Paramètres (1)'!$A$1:$I$88,3,0)*0.475*44/12</f>
        <v>#REF!</v>
      </c>
      <c r="EW86" s="142" t="str">
        <f>EXP(-LN(2)/25)*EW85+(1-EXP(-LN(2)/25))/(LN(2)/25)*'Calculateur (1)'!ER86*'Calculateur (1)'!ET86*VLOOKUP('Données projet (1)'!$B$15,'Paramètres (1)'!$A$1:$I$88,3,0)*0.475*44/12</f>
        <v>#REF!</v>
      </c>
      <c r="EX86" s="142" t="str">
        <f>EXP(-LN(2)/2)*EX85+(1-EXP(-LN(2)/2))/(LN(2)/2)*ER86*EU86*VLOOKUP('Données projet (1)'!$B$15,'Paramètres (1)'!$A$1:$I$88,3,0)*0.475*44/12</f>
        <v>#REF!</v>
      </c>
      <c r="EY86" s="143" t="str">
        <f t="shared" si="75"/>
        <v>#REF!</v>
      </c>
      <c r="EZ86" s="139" t="str">
        <f t="shared" si="76"/>
        <v>#REF!</v>
      </c>
      <c r="FA86" s="131">
        <f t="shared" si="77"/>
        <v>10</v>
      </c>
      <c r="FB86" s="131" t="str">
        <f t="shared" si="136"/>
        <v>#REF!</v>
      </c>
      <c r="FC86" s="131" t="str">
        <f t="shared" si="78"/>
        <v>#REF!</v>
      </c>
      <c r="FD86" s="131" t="str">
        <f t="array" ref="FD86">INDEX(FC:FC,MIN(IF(ISNUMBER(FC86:FC282),ROW(FC86:FC282),"")))</f>
        <v/>
      </c>
      <c r="FE86" s="131" t="str">
        <f t="shared" si="137"/>
        <v>#REF!</v>
      </c>
      <c r="FF86" s="138" t="str">
        <f>FE86*VLOOKUP('Données projet (1)'!$B$16,'Paramètres (1)'!$A$1:$I$88,3,0)*VLOOKUP('Données projet (1)'!$B$16,'Paramètres (1)'!$A$1:$I$88,5,0)</f>
        <v>#REF!</v>
      </c>
      <c r="FG86" s="130" t="str">
        <f t="shared" si="138"/>
        <v>#REF!</v>
      </c>
      <c r="FH86" s="141" t="str">
        <f t="shared" si="79"/>
        <v>#REF!</v>
      </c>
      <c r="FI86" s="133" t="str">
        <f t="shared" si="80"/>
        <v>#REF!</v>
      </c>
      <c r="FJ86" s="133" t="str">
        <f t="shared" si="81"/>
        <v>#REF!</v>
      </c>
      <c r="FK86" s="133" t="str">
        <f t="shared" si="139"/>
        <v>#REF!</v>
      </c>
      <c r="FL86" s="134" t="str">
        <f t="shared" si="82"/>
        <v>#REF!</v>
      </c>
      <c r="FM86" s="134" t="str">
        <f t="shared" si="83"/>
        <v>#REF!</v>
      </c>
      <c r="FN86" s="135" t="str">
        <f>IF(ISNA(VLOOKUP(A86,'Données projet (1)'!$A$217:$I$237,5,0)),0%,VLOOKUP(A86,'Données projet (1)'!$A$217:$I$237,5,0)*VLOOKUP('Données projet (1)'!$B$16,'Paramètres (1)'!$A$1:$I$88,7,0))</f>
        <v>#REF!</v>
      </c>
      <c r="FO86" s="135" t="str">
        <f>IF(ISNA(VLOOKUP(A86,'Données projet (1)'!$A$217:$I$237,6,0)),0%,VLOOKUP(A86,'Données projet (1)'!$A$217:$I$237,6,0)*VLOOKUP('Données projet (1)'!$B$16,'Paramètres (1)'!$A$1:$I$88,7,0))</f>
        <v>#REF!</v>
      </c>
      <c r="FP86" s="135" t="str">
        <f t="shared" si="84"/>
        <v>#REF!</v>
      </c>
      <c r="FQ86" s="142" t="str">
        <f>EXP(-LN(2)/35)*FQ85+(1-EXP(-LN(2)/35))/(LN(2)/35)*FM86*FN86*VLOOKUP('Données projet (1)'!$B$16,'Paramètres (1)'!$A$1:$I$88,3,0)*0.475*44/12</f>
        <v>#REF!</v>
      </c>
      <c r="FR86" s="142" t="str">
        <f>EXP(-LN(2)/25)*FR85+(1-EXP(-LN(2)/25))/(LN(2)/25)*'Calculateur (1)'!FM86*'Calculateur (1)'!FO86*VLOOKUP('Données projet (1)'!$B$16,'Paramètres (1)'!$A$1:$I$88,3,0)*0.475*44/12</f>
        <v>#REF!</v>
      </c>
      <c r="FS86" s="142" t="str">
        <f>EXP(-LN(2)/2)*FS85+(1-EXP(-LN(2)/2))/(LN(2)/2)*FM86*FP86*VLOOKUP('Données projet (1)'!$B$16,'Paramètres (1)'!$A$1:$I$88,3,0)*0.475*44/12</f>
        <v>#REF!</v>
      </c>
      <c r="FT86" s="143" t="str">
        <f t="shared" si="85"/>
        <v>#REF!</v>
      </c>
      <c r="FU86" s="139" t="str">
        <f t="shared" si="86"/>
        <v>#REF!</v>
      </c>
      <c r="FV86" s="131">
        <f t="shared" si="87"/>
        <v>10</v>
      </c>
      <c r="FW86" s="131" t="str">
        <f t="shared" si="140"/>
        <v>#REF!</v>
      </c>
      <c r="FX86" s="131" t="str">
        <f t="shared" si="88"/>
        <v>#REF!</v>
      </c>
      <c r="FY86" s="131" t="str">
        <f t="array" ref="FY86">INDEX(FX:FX,MIN(IF(ISNUMBER(FX86:FX282),ROW(FX86:FX282),"")))</f>
        <v/>
      </c>
      <c r="FZ86" s="131" t="str">
        <f t="shared" si="141"/>
        <v>#REF!</v>
      </c>
      <c r="GA86" s="138" t="str">
        <f>FZ86*VLOOKUP('Données projet (1)'!$B$17,'Paramètres (1)'!$A$1:$I$88,3,0)*VLOOKUP('Données projet (1)'!$B$17,'Paramètres (1)'!$A$1:$I$88,5,0)</f>
        <v>#REF!</v>
      </c>
      <c r="GB86" s="130" t="str">
        <f t="shared" si="142"/>
        <v>#REF!</v>
      </c>
      <c r="GC86" s="141" t="str">
        <f t="shared" si="89"/>
        <v>#REF!</v>
      </c>
      <c r="GD86" s="133" t="str">
        <f t="shared" si="90"/>
        <v>#REF!</v>
      </c>
      <c r="GE86" s="133" t="str">
        <f t="shared" si="91"/>
        <v>#REF!</v>
      </c>
      <c r="GF86" s="133" t="str">
        <f t="shared" si="143"/>
        <v>#REF!</v>
      </c>
      <c r="GG86" s="134" t="str">
        <f t="shared" si="92"/>
        <v>#REF!</v>
      </c>
      <c r="GH86" s="134" t="str">
        <f t="shared" si="93"/>
        <v>#REF!</v>
      </c>
      <c r="GI86" s="135" t="str">
        <f>IF(ISNA(VLOOKUP(A86,'Données projet (1)'!$A$243:$I$263,5,0)),0%,VLOOKUP(A86,'Données projet (1)'!$A$243:$I$263,5,0)*VLOOKUP('Données projet (1)'!$B$17,'Paramètres (1)'!$A$1:$I$88,7,0))</f>
        <v>#REF!</v>
      </c>
      <c r="GJ86" s="135" t="str">
        <f>IF(ISNA(VLOOKUP(A86,'Données projet (1)'!$A$243:$I$263,6,0)),0%,VLOOKUP(A86,'Données projet (1)'!$A$243:$I$263,6,0)*VLOOKUP('Données projet (1)'!$B$17,'Paramètres (1)'!$A$1:$I$88,7,0))</f>
        <v>#REF!</v>
      </c>
      <c r="GK86" s="135" t="str">
        <f t="shared" si="94"/>
        <v>#REF!</v>
      </c>
      <c r="GL86" s="142" t="str">
        <f>EXP(-LN(2)/35)*GL85+(1-EXP(-LN(2)/35))/(LN(2)/35)*GH86*GI86*VLOOKUP('Données projet (1)'!$B$17,'Paramètres (1)'!$A$1:$I$88,3,0)*0.475*44/12</f>
        <v>#REF!</v>
      </c>
      <c r="GM86" s="142" t="str">
        <f>EXP(-LN(2)/25)*GM85+(1-EXP(-LN(2)/25))/(LN(2)/25)*'Calculateur (1)'!GH86*'Calculateur (1)'!GJ86*VLOOKUP('Données projet (1)'!$B$17,'Paramètres (1)'!$A$1:$I$88,3,0)*0.475*44/12</f>
        <v>#REF!</v>
      </c>
      <c r="GN86" s="142" t="str">
        <f>EXP(-LN(2)/2)*GN85+(1-EXP(-LN(2)/2))/(LN(2)/2)*GH86*GK86*VLOOKUP('Données projet (1)'!$B$17,'Paramètres (1)'!$A$1:$I$88,3,0)*0.475*44/12</f>
        <v>#REF!</v>
      </c>
      <c r="GO86" s="142" t="str">
        <f t="shared" si="95"/>
        <v>#REF!</v>
      </c>
      <c r="GP86" s="139" t="str">
        <f t="shared" si="96"/>
        <v>#REF!</v>
      </c>
      <c r="GQ86" s="131">
        <f t="shared" si="97"/>
        <v>10</v>
      </c>
      <c r="GR86" s="131" t="str">
        <f t="shared" si="144"/>
        <v>#REF!</v>
      </c>
      <c r="GS86" s="131" t="str">
        <f t="shared" si="98"/>
        <v>#REF!</v>
      </c>
      <c r="GT86" s="131" t="str">
        <f t="array" ref="GT86">INDEX(GS:GS,MIN(IF(ISNUMBER(GS86:GS282),ROW(GS86:GS282),"")))</f>
        <v/>
      </c>
      <c r="GU86" s="131" t="str">
        <f t="shared" si="145"/>
        <v>#REF!</v>
      </c>
      <c r="GV86" s="138" t="str">
        <f>GU86*VLOOKUP('Données projet (1)'!$B$18,'Paramètres (1)'!$A$1:$I$88,3,0)*VLOOKUP('Données projet (1)'!$B$18,'Paramètres (1)'!$A$1:$I$88,5,0)</f>
        <v>#REF!</v>
      </c>
      <c r="GW86" s="130" t="str">
        <f t="shared" si="146"/>
        <v>#REF!</v>
      </c>
      <c r="GX86" s="141" t="str">
        <f t="shared" si="99"/>
        <v>#REF!</v>
      </c>
      <c r="GY86" s="133" t="str">
        <f t="shared" si="100"/>
        <v>#REF!</v>
      </c>
      <c r="GZ86" s="133" t="str">
        <f t="shared" si="101"/>
        <v>#REF!</v>
      </c>
      <c r="HA86" s="133" t="str">
        <f t="shared" si="147"/>
        <v>#REF!</v>
      </c>
      <c r="HB86" s="134" t="str">
        <f t="shared" si="102"/>
        <v>#REF!</v>
      </c>
      <c r="HC86" s="134" t="str">
        <f t="shared" si="103"/>
        <v>#REF!</v>
      </c>
      <c r="HD86" s="135" t="str">
        <f>IF(ISNA(VLOOKUP(A86,'Données projet (1)'!$A$269:$I$289,5,0)),0%,VLOOKUP(A86,'Données projet (1)'!$A$269:$I$289,5,0)*VLOOKUP('Données projet (1)'!$B$18,'Paramètres (1)'!$A$1:$I$88,7,0))</f>
        <v>#REF!</v>
      </c>
      <c r="HE86" s="135" t="str">
        <f>IF(ISNA(VLOOKUP(A86,'Données projet (1)'!$A$269:$I$289,6,0)),0%,VLOOKUP(A86,'Données projet (1)'!$A$269:$I$289,6,0)*VLOOKUP('Données projet (1)'!$B$18,'Paramètres (1)'!$A$1:$I$88,7,0))</f>
        <v>#REF!</v>
      </c>
      <c r="HF86" s="135" t="str">
        <f t="shared" si="104"/>
        <v>#REF!</v>
      </c>
      <c r="HG86" s="142" t="str">
        <f>EXP(-LN(2)/35)*HG85+(1-EXP(-LN(2)/35))/(LN(2)/35)*HC86*HD86*VLOOKUP('Données projet (1)'!$B$18,'Paramètres (1)'!$A$1:$I$88,3,0)*0.475*44/12</f>
        <v>#REF!</v>
      </c>
      <c r="HH86" s="142" t="str">
        <f>EXP(-LN(2)/25)*HH85+(1-EXP(-LN(2)/25))/(LN(2)/25)*'Calculateur (1)'!HC86*'Calculateur (1)'!HE86*VLOOKUP('Données projet (1)'!$B$18,'Paramètres (1)'!$A$1:$I$88,3,0)*0.475*44/12</f>
        <v>#REF!</v>
      </c>
      <c r="HI86" s="142" t="str">
        <f>EXP(-LN(2)/2)*HI85+(1-EXP(-LN(2)/2))/(LN(2)/2)*HC86*HF86*VLOOKUP('Données projet (1)'!$B$18,'Paramètres (1)'!$A$1:$I$88,3,0)*0.475*44/12</f>
        <v>#REF!</v>
      </c>
      <c r="HJ86" s="143" t="str">
        <f t="shared" si="105"/>
        <v>#REF!</v>
      </c>
    </row>
    <row r="87" ht="14.25" customHeight="1">
      <c r="A87" s="125">
        <f t="shared" si="106"/>
        <v>84</v>
      </c>
      <c r="B87" s="126" t="str">
        <f t="shared" si="1"/>
        <v>#REF!</v>
      </c>
      <c r="C87" s="140" t="str">
        <f>'Calculateur (1)'!C86+'Scénario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7" s="127">
        <f t="shared" si="107"/>
        <v>0</v>
      </c>
      <c r="E87" s="127" t="str">
        <f t="shared" si="2"/>
        <v>#REF!</v>
      </c>
      <c r="F87" s="127" t="str">
        <f t="shared" si="3"/>
        <v>#REF!</v>
      </c>
      <c r="G87" s="127" t="str">
        <f t="shared" si="4"/>
        <v>#REF!</v>
      </c>
      <c r="H87" s="128" t="str">
        <f t="shared" si="5"/>
        <v>#REF!</v>
      </c>
      <c r="I87" s="129" t="str">
        <f t="shared" si="6"/>
        <v>#REF!</v>
      </c>
      <c r="J87" s="130">
        <f t="shared" si="7"/>
        <v>10</v>
      </c>
      <c r="K87" s="131" t="str">
        <f t="shared" si="108"/>
        <v>#REF!</v>
      </c>
      <c r="L87" s="131" t="str">
        <f t="shared" si="8"/>
        <v>#REF!</v>
      </c>
      <c r="M87" s="131" t="str">
        <f t="array" ref="M87">INDEX(L:L,MIN(IF(ISNUMBER(L87:L283),ROW(L87:L283),"")))</f>
        <v/>
      </c>
      <c r="N87" s="130" t="str">
        <f t="shared" si="109"/>
        <v>#REF!</v>
      </c>
      <c r="O87" s="130" t="str">
        <f>N87*VLOOKUP('Données projet (1)'!$B$9,'Paramètres (1)'!$A$1:$I$88,3,0)*VLOOKUP('Données projet (1)'!$B$9,'Paramètres (1)'!$A$1:$I$88,5,0)</f>
        <v>#REF!</v>
      </c>
      <c r="P87" s="130" t="str">
        <f t="shared" si="110"/>
        <v>#REF!</v>
      </c>
      <c r="Q87" s="141" t="str">
        <f t="shared" si="9"/>
        <v>#REF!</v>
      </c>
      <c r="R87" s="133" t="str">
        <f t="shared" si="10"/>
        <v>#REF!</v>
      </c>
      <c r="S87" s="133" t="str">
        <f t="shared" si="11"/>
        <v>#REF!</v>
      </c>
      <c r="T87" s="133" t="str">
        <f t="shared" si="111"/>
        <v>#REF!</v>
      </c>
      <c r="U87" s="134" t="str">
        <f t="shared" si="12"/>
        <v>#REF!</v>
      </c>
      <c r="V87" s="134" t="str">
        <f t="shared" si="13"/>
        <v>#REF!</v>
      </c>
      <c r="W87" s="135" t="str">
        <f>IF(ISNA(VLOOKUP(A87,'Données projet (1)'!$A$35:$I$55,5,0)),0%,VLOOKUP(A87,'Données projet (1)'!$A$35:$I$55,5,0)*VLOOKUP('Données projet (1)'!$B$9,'Paramètres (1)'!$A$1:$I$88,7,0))</f>
        <v>#REF!</v>
      </c>
      <c r="X87" s="135" t="str">
        <f>IF(ISNA(VLOOKUP(A87,'Données projet (1)'!$A$35:$I$55,6,0)),0%,VLOOKUP(A87,'Données projet (1)'!$A$35:$I$55,6,0)*VLOOKUP('Données projet (1)'!$B$9,'Paramètres (1)'!$A$1:$I$88,7,0))</f>
        <v>#REF!</v>
      </c>
      <c r="Y87" s="135" t="str">
        <f t="shared" si="14"/>
        <v>#REF!</v>
      </c>
      <c r="Z87" s="142" t="str">
        <f>EXP(-LN(2)/35)*Z86+(1-EXP(-LN(2)/35))/(LN(2)/35)*V87*W87*VLOOKUP('Données projet (1)'!$B$9,'Paramètres (1)'!$A$1:$I$88,3,0)*0.475*44/12</f>
        <v>#REF!</v>
      </c>
      <c r="AA87" s="142" t="str">
        <f>EXP(-LN(2)/25)*AA86+(1-EXP(-LN(2)/25))/(LN(2)/25)*'Calculateur (1)'!V87*'Calculateur (1)'!X87*VLOOKUP('Données projet (1)'!$B$9,'Paramètres (1)'!$A$1:$I$88,3,0)*0.475*44/12</f>
        <v>#REF!</v>
      </c>
      <c r="AB87" s="142" t="str">
        <f>EXP(-LN(2)/2)*AB86+(1-EXP(-LN(2)/2))/(LN(2)/2)*V87*Y87*VLOOKUP('Données projet (1)'!$B$9,'Paramètres (1)'!$A$1:$I$88,3,0)*0.475*44/12</f>
        <v>#REF!</v>
      </c>
      <c r="AC87" s="143" t="str">
        <f t="shared" si="15"/>
        <v>#REF!</v>
      </c>
      <c r="AD87" s="130" t="str">
        <f t="shared" si="16"/>
        <v>#REF!</v>
      </c>
      <c r="AE87" s="130">
        <f t="shared" si="17"/>
        <v>10</v>
      </c>
      <c r="AF87" s="131" t="str">
        <f t="shared" si="112"/>
        <v>#REF!</v>
      </c>
      <c r="AG87" s="131" t="str">
        <f t="shared" si="18"/>
        <v>#REF!</v>
      </c>
      <c r="AH87" s="131" t="str">
        <f t="array" ref="AH87">INDEX(AG:AG,MIN(IF(ISNUMBER(AG87:AG283),ROW(AG87:AG283),"")))</f>
        <v/>
      </c>
      <c r="AI87" s="130" t="str">
        <f t="shared" si="113"/>
        <v>#REF!</v>
      </c>
      <c r="AJ87" s="130" t="str">
        <f>AI87*VLOOKUP('Données projet (1)'!$B$10,'Paramètres (1)'!$A$1:$I$88,3,0)*VLOOKUP('Données projet (1)'!$B$10,'Paramètres (1)'!$A$1:$I$88,5,0)</f>
        <v>#REF!</v>
      </c>
      <c r="AK87" s="130" t="str">
        <f t="shared" si="114"/>
        <v>#REF!</v>
      </c>
      <c r="AL87" s="141" t="str">
        <f t="shared" si="19"/>
        <v>#REF!</v>
      </c>
      <c r="AM87" s="133" t="str">
        <f t="shared" si="20"/>
        <v>#REF!</v>
      </c>
      <c r="AN87" s="133" t="str">
        <f t="shared" si="21"/>
        <v>#REF!</v>
      </c>
      <c r="AO87" s="133" t="str">
        <f t="shared" si="115"/>
        <v>#REF!</v>
      </c>
      <c r="AP87" s="134" t="str">
        <f t="shared" si="22"/>
        <v>#REF!</v>
      </c>
      <c r="AQ87" s="134" t="str">
        <f t="shared" si="23"/>
        <v>#REF!</v>
      </c>
      <c r="AR87" s="135" t="str">
        <f>IF(ISNA(VLOOKUP(A87,'Données projet (1)'!$A$61:$I$81,5,0)),0%,VLOOKUP(A87,'Données projet (1)'!$A$61:$I$81,5,0)*VLOOKUP('Données projet (1)'!$B$10,'Paramètres (1)'!$A$1:$I$88,7,0))</f>
        <v>#REF!</v>
      </c>
      <c r="AS87" s="135" t="str">
        <f>IF(ISNA(VLOOKUP(A87,'Données projet (1)'!$A$61:$I$81,6,0)),0%,VLOOKUP(A87,'Données projet (1)'!$A$61:$I$81,6,0)*VLOOKUP('Données projet (1)'!$B$10,'Paramètres (1)'!$A$1:$I$88,7,0))</f>
        <v>#REF!</v>
      </c>
      <c r="AT87" s="135" t="str">
        <f t="shared" si="24"/>
        <v>#REF!</v>
      </c>
      <c r="AU87" s="142" t="str">
        <f>EXP(-LN(2)/35)*AU86+(1-EXP(-LN(2)/35))/(LN(2)/35)*AQ87*AR87*VLOOKUP('Données projet (1)'!$B$10,'Paramètres (1)'!$A$1:$I$88,3,0)*0.475*44/12</f>
        <v>#REF!</v>
      </c>
      <c r="AV87" s="142" t="str">
        <f>EXP(-LN(2)/25)*AV86+(1-EXP(-LN(2)/25))/(LN(2)/25)*'Calculateur (1)'!AQ87*'Calculateur (1)'!AS87*VLOOKUP('Données projet (1)'!$B$10,'Paramètres (1)'!$A$1:$I$88,3,0)*0.475*44/12</f>
        <v>#REF!</v>
      </c>
      <c r="AW87" s="142" t="str">
        <f>EXP(-LN(2)/2)*AW86+(1-EXP(-LN(2)/2))/(LN(2)/2)*AQ87*AT87*VLOOKUP('Données projet (1)'!$B$10,'Paramètres (1)'!$A$1:$I$88,3,0)*0.475*44/12</f>
        <v>#REF!</v>
      </c>
      <c r="AX87" s="142" t="str">
        <f t="shared" si="25"/>
        <v>#REF!</v>
      </c>
      <c r="AY87" s="137" t="str">
        <f t="shared" si="26"/>
        <v>#REF!</v>
      </c>
      <c r="AZ87" s="131">
        <f t="shared" si="27"/>
        <v>10</v>
      </c>
      <c r="BA87" s="131" t="str">
        <f t="shared" si="116"/>
        <v>#REF!</v>
      </c>
      <c r="BB87" s="131" t="str">
        <f t="shared" si="28"/>
        <v>#REF!</v>
      </c>
      <c r="BC87" s="131" t="str">
        <f t="array" ref="BC87">INDEX(BB:BB,MIN(IF(ISNUMBER(BB87:BB283),ROW(BB87:BB283),"")))</f>
        <v/>
      </c>
      <c r="BD87" s="131" t="str">
        <f t="shared" si="117"/>
        <v>#REF!</v>
      </c>
      <c r="BE87" s="130" t="str">
        <f>BD87*VLOOKUP('Données projet (1)'!$B$11,'Paramètres (1)'!$A$1:$I$88,3,0)*VLOOKUP('Données projet (1)'!$B$11,'Paramètres (1)'!$A$1:$I$88,5,0)</f>
        <v>#REF!</v>
      </c>
      <c r="BF87" s="130" t="str">
        <f t="shared" si="118"/>
        <v>#REF!</v>
      </c>
      <c r="BG87" s="141" t="str">
        <f t="shared" si="29"/>
        <v>#REF!</v>
      </c>
      <c r="BH87" s="133" t="str">
        <f t="shared" si="30"/>
        <v>#REF!</v>
      </c>
      <c r="BI87" s="133" t="str">
        <f t="shared" si="31"/>
        <v>#REF!</v>
      </c>
      <c r="BJ87" s="133" t="str">
        <f t="shared" si="119"/>
        <v>#REF!</v>
      </c>
      <c r="BK87" s="134" t="str">
        <f t="shared" si="32"/>
        <v>#REF!</v>
      </c>
      <c r="BL87" s="134" t="str">
        <f t="shared" si="33"/>
        <v>#REF!</v>
      </c>
      <c r="BM87" s="135" t="str">
        <f>IF(ISNA(VLOOKUP(A87,'Données projet (1)'!$A$87:$I$107,5,0)),0%,VLOOKUP(A87,'Données projet (1)'!$A$87:$I$107,5,0)*VLOOKUP('Données projet (1)'!$B$11,'Paramètres (1)'!$A$1:$I$88,7,0))</f>
        <v>#REF!</v>
      </c>
      <c r="BN87" s="135" t="str">
        <f>IF(ISNA(VLOOKUP(A87,'Données projet (1)'!$A$87:$I$107,6,0)),0%,VLOOKUP(A87,'Données projet (1)'!$A$87:$I$107,6,0)*VLOOKUP('Données projet (1)'!$B$11,'Paramètres (1)'!$A$1:$I$88,7,0))</f>
        <v>#REF!</v>
      </c>
      <c r="BO87" s="135" t="str">
        <f t="shared" si="34"/>
        <v>#REF!</v>
      </c>
      <c r="BP87" s="142" t="str">
        <f>EXP(-LN(2)/35)*BP86+(1-EXP(-LN(2)/35))/(LN(2)/35)*BL87*BM87*VLOOKUP('Données projet (1)'!$B$11,'Paramètres (1)'!$A$1:$I$88,3,0)*0.475*44/12</f>
        <v>#REF!</v>
      </c>
      <c r="BQ87" s="142" t="str">
        <f>EXP(-LN(2)/25)*BQ86+(1-EXP(-LN(2)/25))/(LN(2)/25)*'Calculateur (1)'!BL87*'Calculateur (1)'!BN87*VLOOKUP('Données projet (1)'!$B$11,'Paramètres (1)'!$A$1:$I$88,3,0)*0.475*44/12</f>
        <v>#REF!</v>
      </c>
      <c r="BR87" s="142" t="str">
        <f>EXP(-LN(2)/2)*BR86+(1-EXP(-LN(2)/2))/(LN(2)/2)*BL87*BO87*VLOOKUP('Données projet (1)'!$B$11,'Paramètres (1)'!$A$1:$I$88,3,0)*0.475*44/12</f>
        <v>#REF!</v>
      </c>
      <c r="BS87" s="143" t="str">
        <f t="shared" si="35"/>
        <v>#REF!</v>
      </c>
      <c r="BT87" s="139" t="str">
        <f t="shared" si="36"/>
        <v>#REF!</v>
      </c>
      <c r="BU87" s="131">
        <f t="shared" si="37"/>
        <v>10</v>
      </c>
      <c r="BV87" s="131" t="str">
        <f t="shared" si="120"/>
        <v>#REF!</v>
      </c>
      <c r="BW87" s="131" t="str">
        <f t="shared" si="38"/>
        <v>#REF!</v>
      </c>
      <c r="BX87" s="131" t="str">
        <f t="array" ref="BX87">INDEX(BW:BW,MIN(IF(ISNUMBER(BW87:BW283),ROW(BW87:BW283),"")))</f>
        <v/>
      </c>
      <c r="BY87" s="131" t="str">
        <f t="shared" si="121"/>
        <v>#REF!</v>
      </c>
      <c r="BZ87" s="130" t="str">
        <f>BY87*VLOOKUP('Données projet (1)'!$B$12,'Paramètres (1)'!$A$1:$I$88,3,0)*VLOOKUP('Données projet (1)'!$B$12,'Paramètres (1)'!$A$1:$I$88,5,0)</f>
        <v>#REF!</v>
      </c>
      <c r="CA87" s="130" t="str">
        <f t="shared" si="122"/>
        <v>#REF!</v>
      </c>
      <c r="CB87" s="141" t="str">
        <f t="shared" si="39"/>
        <v>#REF!</v>
      </c>
      <c r="CC87" s="133" t="str">
        <f t="shared" si="40"/>
        <v>#REF!</v>
      </c>
      <c r="CD87" s="133" t="str">
        <f t="shared" si="41"/>
        <v>#REF!</v>
      </c>
      <c r="CE87" s="133" t="str">
        <f t="shared" si="123"/>
        <v>#REF!</v>
      </c>
      <c r="CF87" s="134" t="str">
        <f t="shared" si="42"/>
        <v>#REF!</v>
      </c>
      <c r="CG87" s="134" t="str">
        <f t="shared" si="43"/>
        <v>#REF!</v>
      </c>
      <c r="CH87" s="135" t="str">
        <f>IF(ISNA(VLOOKUP(A87,'Données projet (1)'!$A$113:$I$133,5,0)),0%,VLOOKUP(A87,'Données projet (1)'!$A$113:$I$133,5,0)*VLOOKUP('Données projet (1)'!$B$12,'Paramètres (1)'!$A$1:$I$88,7,0))</f>
        <v>#REF!</v>
      </c>
      <c r="CI87" s="135" t="str">
        <f>IF(ISNA(VLOOKUP(A87,'Données projet (1)'!$A$113:$I$133,6,0)),0%,VLOOKUP(A87,'Données projet (1)'!$A$113:$I$133,6,0)*VLOOKUP('Données projet (1)'!$B$12,'Paramètres (1)'!$A$1:$I$88,7,0))</f>
        <v>#REF!</v>
      </c>
      <c r="CJ87" s="135" t="str">
        <f t="shared" si="44"/>
        <v>#REF!</v>
      </c>
      <c r="CK87" s="142" t="str">
        <f>EXP(-LN(2)/35)*CK86+(1-EXP(-LN(2)/35))/(LN(2)/35)*CG87*CH87*VLOOKUP('Données projet (1)'!$B$12,'Paramètres (1)'!$A$1:$I$88,3,0)*0.475*44/12</f>
        <v>#REF!</v>
      </c>
      <c r="CL87" s="142" t="str">
        <f>EXP(-LN(2)/25)*CL86+(1-EXP(-LN(2)/25))/(LN(2)/25)*'Calculateur (1)'!CG87*'Calculateur (1)'!CI87*VLOOKUP('Données projet (1)'!$B$12,'Paramètres (1)'!$A$1:$I$88,3,0)*0.475*44/12</f>
        <v>#REF!</v>
      </c>
      <c r="CM87" s="142" t="str">
        <f>EXP(-LN(2)/2)*CM86+(1-EXP(-LN(2)/2))/(LN(2)/2)*CG87*CJ87*VLOOKUP('Données projet (1)'!$B$12,'Paramètres (1)'!$A$1:$I$88,3,0)*0.475*44/12</f>
        <v>#REF!</v>
      </c>
      <c r="CN87" s="143" t="str">
        <f t="shared" si="45"/>
        <v>#REF!</v>
      </c>
      <c r="CO87" s="139" t="str">
        <f t="shared" si="46"/>
        <v>#REF!</v>
      </c>
      <c r="CP87" s="131">
        <f t="shared" si="47"/>
        <v>10</v>
      </c>
      <c r="CQ87" s="131" t="str">
        <f t="shared" si="124"/>
        <v>#REF!</v>
      </c>
      <c r="CR87" s="131" t="str">
        <f t="shared" si="48"/>
        <v>#REF!</v>
      </c>
      <c r="CS87" s="131" t="str">
        <f t="array" ref="CS87">INDEX(CR:CR,MIN(IF(ISNUMBER(CR87:CR283),ROW(CR87:CR283),"")))</f>
        <v/>
      </c>
      <c r="CT87" s="131" t="str">
        <f t="shared" si="125"/>
        <v>#REF!</v>
      </c>
      <c r="CU87" s="138" t="str">
        <f>CT87*VLOOKUP('Données projet (1)'!$B$13,'Paramètres (1)'!$A$1:$I$88,3,0)*VLOOKUP('Données projet (1)'!$B$13,'Paramètres (1)'!$A$1:$I$88,5,0)</f>
        <v>#REF!</v>
      </c>
      <c r="CV87" s="130" t="str">
        <f t="shared" si="126"/>
        <v>#REF!</v>
      </c>
      <c r="CW87" s="141" t="str">
        <f t="shared" si="49"/>
        <v>#REF!</v>
      </c>
      <c r="CX87" s="133" t="str">
        <f t="shared" si="50"/>
        <v>#REF!</v>
      </c>
      <c r="CY87" s="133" t="str">
        <f t="shared" si="51"/>
        <v>#REF!</v>
      </c>
      <c r="CZ87" s="133" t="str">
        <f t="shared" si="127"/>
        <v>#REF!</v>
      </c>
      <c r="DA87" s="134" t="str">
        <f t="shared" si="52"/>
        <v>#REF!</v>
      </c>
      <c r="DB87" s="134" t="str">
        <f t="shared" si="53"/>
        <v>#REF!</v>
      </c>
      <c r="DC87" s="135" t="str">
        <f>IF(ISNA(VLOOKUP(A87,'Données projet (1)'!$A$139:$I$159,5,0)),0%,VLOOKUP(A87,'Données projet (1)'!$A$139:$I$159,5,0)*VLOOKUP('Données projet (1)'!$B$13,'Paramètres (1)'!$A$1:$I$88,7,0))</f>
        <v>#REF!</v>
      </c>
      <c r="DD87" s="135" t="str">
        <f>IF(ISNA(VLOOKUP(A87,'Données projet (1)'!$A$139:$I$159,6,0)),0%,VLOOKUP(A87,'Données projet (1)'!$A$139:$I$159,6,0)*VLOOKUP('Données projet (1)'!$B$13,'Paramètres (1)'!$A$1:$I$88,7,0))</f>
        <v>#REF!</v>
      </c>
      <c r="DE87" s="135" t="str">
        <f t="shared" si="54"/>
        <v>#REF!</v>
      </c>
      <c r="DF87" s="142" t="str">
        <f>EXP(-LN(2)/35)*DF86+(1-EXP(-LN(2)/35))/(LN(2)/35)*DB87*DC87*VLOOKUP('Données projet (1)'!$B$13,'Paramètres (1)'!$A$1:$I$88,3,0)*0.475*44/12</f>
        <v>#REF!</v>
      </c>
      <c r="DG87" s="142" t="str">
        <f>EXP(-LN(2)/25)*DG86+(1-EXP(-LN(2)/25))/(LN(2)/25)*'Calculateur (1)'!DB87*'Calculateur (1)'!DD87*VLOOKUP('Données projet (1)'!$B$13,'Paramètres (1)'!$A$1:$I$88,3,0)*0.475*44/12</f>
        <v>#REF!</v>
      </c>
      <c r="DH87" s="142" t="str">
        <f>EXP(-LN(2)/2)*DH86+(1-EXP(-LN(2)/2))/(LN(2)/2)*DB87*DE87*VLOOKUP('Données projet (1)'!$B$13,'Paramètres (1)'!$A$1:$I$88,3,0)*0.475*44/12</f>
        <v>#REF!</v>
      </c>
      <c r="DI87" s="143" t="str">
        <f t="shared" si="55"/>
        <v>#REF!</v>
      </c>
      <c r="DJ87" s="139" t="str">
        <f t="shared" si="56"/>
        <v>#REF!</v>
      </c>
      <c r="DK87" s="131">
        <f t="shared" si="57"/>
        <v>10</v>
      </c>
      <c r="DL87" s="131" t="str">
        <f t="shared" si="128"/>
        <v>#REF!</v>
      </c>
      <c r="DM87" s="131" t="str">
        <f t="shared" si="58"/>
        <v>#REF!</v>
      </c>
      <c r="DN87" s="131" t="str">
        <f t="array" ref="DN87">INDEX(DM:DM,MIN(IF(ISNUMBER(DM87:DM283),ROW(DM87:DM283),"")))</f>
        <v/>
      </c>
      <c r="DO87" s="131" t="str">
        <f t="shared" si="129"/>
        <v>#REF!</v>
      </c>
      <c r="DP87" s="138" t="str">
        <f>DO87*VLOOKUP('Données projet (1)'!$B$14,'Paramètres (1)'!$A$1:$I$88,3,0)*VLOOKUP('Données projet (1)'!$B$14,'Paramètres (1)'!$A$1:$I$88,5,0)</f>
        <v>#REF!</v>
      </c>
      <c r="DQ87" s="130" t="str">
        <f t="shared" si="130"/>
        <v>#REF!</v>
      </c>
      <c r="DR87" s="141" t="str">
        <f t="shared" si="59"/>
        <v>#REF!</v>
      </c>
      <c r="DS87" s="133" t="str">
        <f t="shared" si="60"/>
        <v>#REF!</v>
      </c>
      <c r="DT87" s="133" t="str">
        <f t="shared" si="61"/>
        <v>#REF!</v>
      </c>
      <c r="DU87" s="133" t="str">
        <f t="shared" si="131"/>
        <v>#REF!</v>
      </c>
      <c r="DV87" s="134" t="str">
        <f t="shared" si="62"/>
        <v>#REF!</v>
      </c>
      <c r="DW87" s="134" t="str">
        <f t="shared" si="63"/>
        <v>#REF!</v>
      </c>
      <c r="DX87" s="135" t="str">
        <f>IF(ISNA(VLOOKUP(A87,'Données projet (1)'!$A$165:$I$185,5,0)),0%,VLOOKUP(A87,'Données projet (1)'!$A$165:$I$185,5,0)*VLOOKUP('Données projet (1)'!$B$14,'Paramètres (1)'!$A$1:$I$88,7,0))</f>
        <v>#REF!</v>
      </c>
      <c r="DY87" s="135" t="str">
        <f>IF(ISNA(VLOOKUP(A87,'Données projet (1)'!$A$165:$I$185,6,0)),0%,VLOOKUP(A87,'Données projet (1)'!$A$165:$I$185,6,0)*VLOOKUP('Données projet (1)'!$B$14,'Paramètres (1)'!$A$1:$I$88,7,0))</f>
        <v>#REF!</v>
      </c>
      <c r="DZ87" s="135" t="str">
        <f t="shared" si="64"/>
        <v>#REF!</v>
      </c>
      <c r="EA87" s="142" t="str">
        <f>EXP(-LN(2)/35)*EA86+(1-EXP(-LN(2)/35))/(LN(2)/35)*DW87*DX87*VLOOKUP('Données projet (1)'!$B$14,'Paramètres (1)'!$A$1:$I$88,3,0)*0.475*44/12</f>
        <v>#REF!</v>
      </c>
      <c r="EB87" s="142" t="str">
        <f>EXP(-LN(2)/25)*EB86+(1-EXP(-LN(2)/25))/(LN(2)/25)*'Calculateur (1)'!DW87*'Calculateur (1)'!DY87*VLOOKUP('Données projet (1)'!$B$14,'Paramètres (1)'!$A$1:$I$88,3,0)*0.475*44/12</f>
        <v>#REF!</v>
      </c>
      <c r="EC87" s="142" t="str">
        <f>EXP(-LN(2)/2)*EC86+(1-EXP(-LN(2)/2))/(LN(2)/2)*DW87*DZ87*VLOOKUP('Données projet (1)'!$B$14,'Paramètres (1)'!$A$1:$I$88,3,0)*0.475*44/12</f>
        <v>#REF!</v>
      </c>
      <c r="ED87" s="143" t="str">
        <f t="shared" si="65"/>
        <v>#REF!</v>
      </c>
      <c r="EE87" s="139" t="str">
        <f t="shared" si="66"/>
        <v>#REF!</v>
      </c>
      <c r="EF87" s="131">
        <f t="shared" si="67"/>
        <v>10</v>
      </c>
      <c r="EG87" s="131" t="str">
        <f t="shared" si="132"/>
        <v>#REF!</v>
      </c>
      <c r="EH87" s="131" t="str">
        <f t="shared" si="68"/>
        <v>#REF!</v>
      </c>
      <c r="EI87" s="131" t="str">
        <f t="array" ref="EI87">INDEX(EH:EH,MIN(IF(ISNUMBER(EH87:EH283),ROW(EH87:EH283),"")))</f>
        <v/>
      </c>
      <c r="EJ87" s="131" t="str">
        <f t="shared" si="133"/>
        <v>#REF!</v>
      </c>
      <c r="EK87" s="138" t="str">
        <f>EJ87*VLOOKUP('Données projet (1)'!$B$15,'Paramètres (1)'!$A$1:$I$88,3,0)*VLOOKUP('Données projet (1)'!$B$15,'Paramètres (1)'!$A$1:$I$88,5,0)</f>
        <v>#REF!</v>
      </c>
      <c r="EL87" s="130" t="str">
        <f t="shared" si="134"/>
        <v>#REF!</v>
      </c>
      <c r="EM87" s="141" t="str">
        <f t="shared" si="69"/>
        <v>#REF!</v>
      </c>
      <c r="EN87" s="133" t="str">
        <f t="shared" si="70"/>
        <v>#REF!</v>
      </c>
      <c r="EO87" s="133" t="str">
        <f t="shared" si="71"/>
        <v>#REF!</v>
      </c>
      <c r="EP87" s="133" t="str">
        <f t="shared" si="135"/>
        <v>#REF!</v>
      </c>
      <c r="EQ87" s="134" t="str">
        <f t="shared" si="72"/>
        <v>#REF!</v>
      </c>
      <c r="ER87" s="134" t="str">
        <f t="shared" si="73"/>
        <v>#REF!</v>
      </c>
      <c r="ES87" s="135" t="str">
        <f>IF(ISNA(VLOOKUP(A87,'Données projet (1)'!$A$191:$I$211,5,0)),0%,VLOOKUP(A87,'Données projet (1)'!$A$191:$I$211,5,0)*VLOOKUP('Données projet (1)'!$B$15,'Paramètres (1)'!$A$1:$I$88,7,0))</f>
        <v>#REF!</v>
      </c>
      <c r="ET87" s="135" t="str">
        <f>IF(ISNA(VLOOKUP(A87,'Données projet (1)'!$A$191:$I$211,6,0)),0%,VLOOKUP(A87,'Données projet (1)'!$A$191:$I$211,6,0)*VLOOKUP('Données projet (1)'!$B$15,'Paramètres (1)'!$A$1:$I$88,7,0))</f>
        <v>#REF!</v>
      </c>
      <c r="EU87" s="135" t="str">
        <f t="shared" si="74"/>
        <v>#REF!</v>
      </c>
      <c r="EV87" s="142" t="str">
        <f>EXP(-LN(2)/35)*EV86+(1-EXP(-LN(2)/35))/(LN(2)/35)*ER87*ES87*VLOOKUP('Données projet (1)'!$B$15,'Paramètres (1)'!$A$1:$I$88,3,0)*0.475*44/12</f>
        <v>#REF!</v>
      </c>
      <c r="EW87" s="142" t="str">
        <f>EXP(-LN(2)/25)*EW86+(1-EXP(-LN(2)/25))/(LN(2)/25)*'Calculateur (1)'!ER87*'Calculateur (1)'!ET87*VLOOKUP('Données projet (1)'!$B$15,'Paramètres (1)'!$A$1:$I$88,3,0)*0.475*44/12</f>
        <v>#REF!</v>
      </c>
      <c r="EX87" s="142" t="str">
        <f>EXP(-LN(2)/2)*EX86+(1-EXP(-LN(2)/2))/(LN(2)/2)*ER87*EU87*VLOOKUP('Données projet (1)'!$B$15,'Paramètres (1)'!$A$1:$I$88,3,0)*0.475*44/12</f>
        <v>#REF!</v>
      </c>
      <c r="EY87" s="143" t="str">
        <f t="shared" si="75"/>
        <v>#REF!</v>
      </c>
      <c r="EZ87" s="139" t="str">
        <f t="shared" si="76"/>
        <v>#REF!</v>
      </c>
      <c r="FA87" s="131">
        <f t="shared" si="77"/>
        <v>10</v>
      </c>
      <c r="FB87" s="131" t="str">
        <f t="shared" si="136"/>
        <v>#REF!</v>
      </c>
      <c r="FC87" s="131" t="str">
        <f t="shared" si="78"/>
        <v>#REF!</v>
      </c>
      <c r="FD87" s="131" t="str">
        <f t="array" ref="FD87">INDEX(FC:FC,MIN(IF(ISNUMBER(FC87:FC283),ROW(FC87:FC283),"")))</f>
        <v/>
      </c>
      <c r="FE87" s="131" t="str">
        <f t="shared" si="137"/>
        <v>#REF!</v>
      </c>
      <c r="FF87" s="138" t="str">
        <f>FE87*VLOOKUP('Données projet (1)'!$B$16,'Paramètres (1)'!$A$1:$I$88,3,0)*VLOOKUP('Données projet (1)'!$B$16,'Paramètres (1)'!$A$1:$I$88,5,0)</f>
        <v>#REF!</v>
      </c>
      <c r="FG87" s="130" t="str">
        <f t="shared" si="138"/>
        <v>#REF!</v>
      </c>
      <c r="FH87" s="141" t="str">
        <f t="shared" si="79"/>
        <v>#REF!</v>
      </c>
      <c r="FI87" s="133" t="str">
        <f t="shared" si="80"/>
        <v>#REF!</v>
      </c>
      <c r="FJ87" s="133" t="str">
        <f t="shared" si="81"/>
        <v>#REF!</v>
      </c>
      <c r="FK87" s="133" t="str">
        <f t="shared" si="139"/>
        <v>#REF!</v>
      </c>
      <c r="FL87" s="134" t="str">
        <f t="shared" si="82"/>
        <v>#REF!</v>
      </c>
      <c r="FM87" s="134" t="str">
        <f t="shared" si="83"/>
        <v>#REF!</v>
      </c>
      <c r="FN87" s="135" t="str">
        <f>IF(ISNA(VLOOKUP(A87,'Données projet (1)'!$A$217:$I$237,5,0)),0%,VLOOKUP(A87,'Données projet (1)'!$A$217:$I$237,5,0)*VLOOKUP('Données projet (1)'!$B$16,'Paramètres (1)'!$A$1:$I$88,7,0))</f>
        <v>#REF!</v>
      </c>
      <c r="FO87" s="135" t="str">
        <f>IF(ISNA(VLOOKUP(A87,'Données projet (1)'!$A$217:$I$237,6,0)),0%,VLOOKUP(A87,'Données projet (1)'!$A$217:$I$237,6,0)*VLOOKUP('Données projet (1)'!$B$16,'Paramètres (1)'!$A$1:$I$88,7,0))</f>
        <v>#REF!</v>
      </c>
      <c r="FP87" s="135" t="str">
        <f t="shared" si="84"/>
        <v>#REF!</v>
      </c>
      <c r="FQ87" s="142" t="str">
        <f>EXP(-LN(2)/35)*FQ86+(1-EXP(-LN(2)/35))/(LN(2)/35)*FM87*FN87*VLOOKUP('Données projet (1)'!$B$16,'Paramètres (1)'!$A$1:$I$88,3,0)*0.475*44/12</f>
        <v>#REF!</v>
      </c>
      <c r="FR87" s="142" t="str">
        <f>EXP(-LN(2)/25)*FR86+(1-EXP(-LN(2)/25))/(LN(2)/25)*'Calculateur (1)'!FM87*'Calculateur (1)'!FO87*VLOOKUP('Données projet (1)'!$B$16,'Paramètres (1)'!$A$1:$I$88,3,0)*0.475*44/12</f>
        <v>#REF!</v>
      </c>
      <c r="FS87" s="142" t="str">
        <f>EXP(-LN(2)/2)*FS86+(1-EXP(-LN(2)/2))/(LN(2)/2)*FM87*FP87*VLOOKUP('Données projet (1)'!$B$16,'Paramètres (1)'!$A$1:$I$88,3,0)*0.475*44/12</f>
        <v>#REF!</v>
      </c>
      <c r="FT87" s="143" t="str">
        <f t="shared" si="85"/>
        <v>#REF!</v>
      </c>
      <c r="FU87" s="139" t="str">
        <f t="shared" si="86"/>
        <v>#REF!</v>
      </c>
      <c r="FV87" s="131">
        <f t="shared" si="87"/>
        <v>10</v>
      </c>
      <c r="FW87" s="131" t="str">
        <f t="shared" si="140"/>
        <v>#REF!</v>
      </c>
      <c r="FX87" s="131" t="str">
        <f t="shared" si="88"/>
        <v>#REF!</v>
      </c>
      <c r="FY87" s="131" t="str">
        <f t="array" ref="FY87">INDEX(FX:FX,MIN(IF(ISNUMBER(FX87:FX283),ROW(FX87:FX283),"")))</f>
        <v/>
      </c>
      <c r="FZ87" s="131" t="str">
        <f t="shared" si="141"/>
        <v>#REF!</v>
      </c>
      <c r="GA87" s="138" t="str">
        <f>FZ87*VLOOKUP('Données projet (1)'!$B$17,'Paramètres (1)'!$A$1:$I$88,3,0)*VLOOKUP('Données projet (1)'!$B$17,'Paramètres (1)'!$A$1:$I$88,5,0)</f>
        <v>#REF!</v>
      </c>
      <c r="GB87" s="130" t="str">
        <f t="shared" si="142"/>
        <v>#REF!</v>
      </c>
      <c r="GC87" s="141" t="str">
        <f t="shared" si="89"/>
        <v>#REF!</v>
      </c>
      <c r="GD87" s="133" t="str">
        <f t="shared" si="90"/>
        <v>#REF!</v>
      </c>
      <c r="GE87" s="133" t="str">
        <f t="shared" si="91"/>
        <v>#REF!</v>
      </c>
      <c r="GF87" s="133" t="str">
        <f t="shared" si="143"/>
        <v>#REF!</v>
      </c>
      <c r="GG87" s="134" t="str">
        <f t="shared" si="92"/>
        <v>#REF!</v>
      </c>
      <c r="GH87" s="134" t="str">
        <f t="shared" si="93"/>
        <v>#REF!</v>
      </c>
      <c r="GI87" s="135" t="str">
        <f>IF(ISNA(VLOOKUP(A87,'Données projet (1)'!$A$243:$I$263,5,0)),0%,VLOOKUP(A87,'Données projet (1)'!$A$243:$I$263,5,0)*VLOOKUP('Données projet (1)'!$B$17,'Paramètres (1)'!$A$1:$I$88,7,0))</f>
        <v>#REF!</v>
      </c>
      <c r="GJ87" s="135" t="str">
        <f>IF(ISNA(VLOOKUP(A87,'Données projet (1)'!$A$243:$I$263,6,0)),0%,VLOOKUP(A87,'Données projet (1)'!$A$243:$I$263,6,0)*VLOOKUP('Données projet (1)'!$B$17,'Paramètres (1)'!$A$1:$I$88,7,0))</f>
        <v>#REF!</v>
      </c>
      <c r="GK87" s="135" t="str">
        <f t="shared" si="94"/>
        <v>#REF!</v>
      </c>
      <c r="GL87" s="142" t="str">
        <f>EXP(-LN(2)/35)*GL86+(1-EXP(-LN(2)/35))/(LN(2)/35)*GH87*GI87*VLOOKUP('Données projet (1)'!$B$17,'Paramètres (1)'!$A$1:$I$88,3,0)*0.475*44/12</f>
        <v>#REF!</v>
      </c>
      <c r="GM87" s="142" t="str">
        <f>EXP(-LN(2)/25)*GM86+(1-EXP(-LN(2)/25))/(LN(2)/25)*'Calculateur (1)'!GH87*'Calculateur (1)'!GJ87*VLOOKUP('Données projet (1)'!$B$17,'Paramètres (1)'!$A$1:$I$88,3,0)*0.475*44/12</f>
        <v>#REF!</v>
      </c>
      <c r="GN87" s="142" t="str">
        <f>EXP(-LN(2)/2)*GN86+(1-EXP(-LN(2)/2))/(LN(2)/2)*GH87*GK87*VLOOKUP('Données projet (1)'!$B$17,'Paramètres (1)'!$A$1:$I$88,3,0)*0.475*44/12</f>
        <v>#REF!</v>
      </c>
      <c r="GO87" s="142" t="str">
        <f t="shared" si="95"/>
        <v>#REF!</v>
      </c>
      <c r="GP87" s="139" t="str">
        <f t="shared" si="96"/>
        <v>#REF!</v>
      </c>
      <c r="GQ87" s="131">
        <f t="shared" si="97"/>
        <v>10</v>
      </c>
      <c r="GR87" s="131" t="str">
        <f t="shared" si="144"/>
        <v>#REF!</v>
      </c>
      <c r="GS87" s="131" t="str">
        <f t="shared" si="98"/>
        <v>#REF!</v>
      </c>
      <c r="GT87" s="131" t="str">
        <f t="array" ref="GT87">INDEX(GS:GS,MIN(IF(ISNUMBER(GS87:GS283),ROW(GS87:GS283),"")))</f>
        <v/>
      </c>
      <c r="GU87" s="131" t="str">
        <f t="shared" si="145"/>
        <v>#REF!</v>
      </c>
      <c r="GV87" s="138" t="str">
        <f>GU87*VLOOKUP('Données projet (1)'!$B$18,'Paramètres (1)'!$A$1:$I$88,3,0)*VLOOKUP('Données projet (1)'!$B$18,'Paramètres (1)'!$A$1:$I$88,5,0)</f>
        <v>#REF!</v>
      </c>
      <c r="GW87" s="130" t="str">
        <f t="shared" si="146"/>
        <v>#REF!</v>
      </c>
      <c r="GX87" s="141" t="str">
        <f t="shared" si="99"/>
        <v>#REF!</v>
      </c>
      <c r="GY87" s="133" t="str">
        <f t="shared" si="100"/>
        <v>#REF!</v>
      </c>
      <c r="GZ87" s="133" t="str">
        <f t="shared" si="101"/>
        <v>#REF!</v>
      </c>
      <c r="HA87" s="133" t="str">
        <f t="shared" si="147"/>
        <v>#REF!</v>
      </c>
      <c r="HB87" s="134" t="str">
        <f t="shared" si="102"/>
        <v>#REF!</v>
      </c>
      <c r="HC87" s="134" t="str">
        <f t="shared" si="103"/>
        <v>#REF!</v>
      </c>
      <c r="HD87" s="135" t="str">
        <f>IF(ISNA(VLOOKUP(A87,'Données projet (1)'!$A$269:$I$289,5,0)),0%,VLOOKUP(A87,'Données projet (1)'!$A$269:$I$289,5,0)*VLOOKUP('Données projet (1)'!$B$18,'Paramètres (1)'!$A$1:$I$88,7,0))</f>
        <v>#REF!</v>
      </c>
      <c r="HE87" s="135" t="str">
        <f>IF(ISNA(VLOOKUP(A87,'Données projet (1)'!$A$269:$I$289,6,0)),0%,VLOOKUP(A87,'Données projet (1)'!$A$269:$I$289,6,0)*VLOOKUP('Données projet (1)'!$B$18,'Paramètres (1)'!$A$1:$I$88,7,0))</f>
        <v>#REF!</v>
      </c>
      <c r="HF87" s="135" t="str">
        <f t="shared" si="104"/>
        <v>#REF!</v>
      </c>
      <c r="HG87" s="142" t="str">
        <f>EXP(-LN(2)/35)*HG86+(1-EXP(-LN(2)/35))/(LN(2)/35)*HC87*HD87*VLOOKUP('Données projet (1)'!$B$18,'Paramètres (1)'!$A$1:$I$88,3,0)*0.475*44/12</f>
        <v>#REF!</v>
      </c>
      <c r="HH87" s="142" t="str">
        <f>EXP(-LN(2)/25)*HH86+(1-EXP(-LN(2)/25))/(LN(2)/25)*'Calculateur (1)'!HC87*'Calculateur (1)'!HE87*VLOOKUP('Données projet (1)'!$B$18,'Paramètres (1)'!$A$1:$I$88,3,0)*0.475*44/12</f>
        <v>#REF!</v>
      </c>
      <c r="HI87" s="142" t="str">
        <f>EXP(-LN(2)/2)*HI86+(1-EXP(-LN(2)/2))/(LN(2)/2)*HC87*HF87*VLOOKUP('Données projet (1)'!$B$18,'Paramètres (1)'!$A$1:$I$88,3,0)*0.475*44/12</f>
        <v>#REF!</v>
      </c>
      <c r="HJ87" s="143" t="str">
        <f t="shared" si="105"/>
        <v>#REF!</v>
      </c>
    </row>
    <row r="88" ht="14.25" customHeight="1">
      <c r="A88" s="125">
        <f t="shared" si="106"/>
        <v>85</v>
      </c>
      <c r="B88" s="126" t="str">
        <f t="shared" si="1"/>
        <v>#REF!</v>
      </c>
      <c r="C88" s="140" t="str">
        <f>'Calculateur (1)'!C87+'Scénario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8" s="127">
        <f t="shared" si="107"/>
        <v>0</v>
      </c>
      <c r="E88" s="127" t="str">
        <f t="shared" si="2"/>
        <v>#REF!</v>
      </c>
      <c r="F88" s="127" t="str">
        <f t="shared" si="3"/>
        <v>#REF!</v>
      </c>
      <c r="G88" s="127" t="str">
        <f t="shared" si="4"/>
        <v>#REF!</v>
      </c>
      <c r="H88" s="128" t="str">
        <f t="shared" si="5"/>
        <v>#REF!</v>
      </c>
      <c r="I88" s="129" t="str">
        <f t="shared" si="6"/>
        <v>#REF!</v>
      </c>
      <c r="J88" s="130">
        <f t="shared" si="7"/>
        <v>10</v>
      </c>
      <c r="K88" s="131" t="str">
        <f t="shared" si="108"/>
        <v>#REF!</v>
      </c>
      <c r="L88" s="131" t="str">
        <f t="shared" si="8"/>
        <v>#REF!</v>
      </c>
      <c r="M88" s="131" t="str">
        <f t="array" ref="M88">INDEX(L:L,MIN(IF(ISNUMBER(L88:L284),ROW(L88:L284),"")))</f>
        <v/>
      </c>
      <c r="N88" s="130" t="str">
        <f t="shared" si="109"/>
        <v>#REF!</v>
      </c>
      <c r="O88" s="130" t="str">
        <f>N88*VLOOKUP('Données projet (1)'!$B$9,'Paramètres (1)'!$A$1:$I$88,3,0)*VLOOKUP('Données projet (1)'!$B$9,'Paramètres (1)'!$A$1:$I$88,5,0)</f>
        <v>#REF!</v>
      </c>
      <c r="P88" s="130" t="str">
        <f t="shared" si="110"/>
        <v>#REF!</v>
      </c>
      <c r="Q88" s="141" t="str">
        <f t="shared" si="9"/>
        <v>#REF!</v>
      </c>
      <c r="R88" s="133" t="str">
        <f t="shared" si="10"/>
        <v>#REF!</v>
      </c>
      <c r="S88" s="133" t="str">
        <f t="shared" si="11"/>
        <v>#REF!</v>
      </c>
      <c r="T88" s="133" t="str">
        <f t="shared" si="111"/>
        <v>#REF!</v>
      </c>
      <c r="U88" s="134" t="str">
        <f t="shared" si="12"/>
        <v>#REF!</v>
      </c>
      <c r="V88" s="134" t="str">
        <f t="shared" si="13"/>
        <v>#REF!</v>
      </c>
      <c r="W88" s="135" t="str">
        <f>IF(ISNA(VLOOKUP(A88,'Données projet (1)'!$A$35:$I$55,5,0)),0%,VLOOKUP(A88,'Données projet (1)'!$A$35:$I$55,5,0)*VLOOKUP('Données projet (1)'!$B$9,'Paramètres (1)'!$A$1:$I$88,7,0))</f>
        <v>#REF!</v>
      </c>
      <c r="X88" s="135" t="str">
        <f>IF(ISNA(VLOOKUP(A88,'Données projet (1)'!$A$35:$I$55,6,0)),0%,VLOOKUP(A88,'Données projet (1)'!$A$35:$I$55,6,0)*VLOOKUP('Données projet (1)'!$B$9,'Paramètres (1)'!$A$1:$I$88,7,0))</f>
        <v>#REF!</v>
      </c>
      <c r="Y88" s="135" t="str">
        <f t="shared" si="14"/>
        <v>#REF!</v>
      </c>
      <c r="Z88" s="142" t="str">
        <f>EXP(-LN(2)/35)*Z87+(1-EXP(-LN(2)/35))/(LN(2)/35)*V88*W88*VLOOKUP('Données projet (1)'!$B$9,'Paramètres (1)'!$A$1:$I$88,3,0)*0.475*44/12</f>
        <v>#REF!</v>
      </c>
      <c r="AA88" s="142" t="str">
        <f>EXP(-LN(2)/25)*AA87+(1-EXP(-LN(2)/25))/(LN(2)/25)*'Calculateur (1)'!V88*'Calculateur (1)'!X88*VLOOKUP('Données projet (1)'!$B$9,'Paramètres (1)'!$A$1:$I$88,3,0)*0.475*44/12</f>
        <v>#REF!</v>
      </c>
      <c r="AB88" s="142" t="str">
        <f>EXP(-LN(2)/2)*AB87+(1-EXP(-LN(2)/2))/(LN(2)/2)*V88*Y88*VLOOKUP('Données projet (1)'!$B$9,'Paramètres (1)'!$A$1:$I$88,3,0)*0.475*44/12</f>
        <v>#REF!</v>
      </c>
      <c r="AC88" s="143" t="str">
        <f t="shared" si="15"/>
        <v>#REF!</v>
      </c>
      <c r="AD88" s="130" t="str">
        <f t="shared" si="16"/>
        <v>#REF!</v>
      </c>
      <c r="AE88" s="130">
        <f t="shared" si="17"/>
        <v>10</v>
      </c>
      <c r="AF88" s="131" t="str">
        <f t="shared" si="112"/>
        <v>#REF!</v>
      </c>
      <c r="AG88" s="131" t="str">
        <f t="shared" si="18"/>
        <v>#REF!</v>
      </c>
      <c r="AH88" s="131" t="str">
        <f t="array" ref="AH88">INDEX(AG:AG,MIN(IF(ISNUMBER(AG88:AG284),ROW(AG88:AG284),"")))</f>
        <v/>
      </c>
      <c r="AI88" s="130" t="str">
        <f t="shared" si="113"/>
        <v>#REF!</v>
      </c>
      <c r="AJ88" s="130" t="str">
        <f>AI88*VLOOKUP('Données projet (1)'!$B$10,'Paramètres (1)'!$A$1:$I$88,3,0)*VLOOKUP('Données projet (1)'!$B$10,'Paramètres (1)'!$A$1:$I$88,5,0)</f>
        <v>#REF!</v>
      </c>
      <c r="AK88" s="130" t="str">
        <f t="shared" si="114"/>
        <v>#REF!</v>
      </c>
      <c r="AL88" s="141" t="str">
        <f t="shared" si="19"/>
        <v>#REF!</v>
      </c>
      <c r="AM88" s="133" t="str">
        <f t="shared" si="20"/>
        <v>#REF!</v>
      </c>
      <c r="AN88" s="133" t="str">
        <f t="shared" si="21"/>
        <v>#REF!</v>
      </c>
      <c r="AO88" s="133" t="str">
        <f t="shared" si="115"/>
        <v>#REF!</v>
      </c>
      <c r="AP88" s="134" t="str">
        <f t="shared" si="22"/>
        <v>#REF!</v>
      </c>
      <c r="AQ88" s="134" t="str">
        <f t="shared" si="23"/>
        <v>#REF!</v>
      </c>
      <c r="AR88" s="135" t="str">
        <f>IF(ISNA(VLOOKUP(A88,'Données projet (1)'!$A$61:$I$81,5,0)),0%,VLOOKUP(A88,'Données projet (1)'!$A$61:$I$81,5,0)*VLOOKUP('Données projet (1)'!$B$10,'Paramètres (1)'!$A$1:$I$88,7,0))</f>
        <v>#REF!</v>
      </c>
      <c r="AS88" s="135" t="str">
        <f>IF(ISNA(VLOOKUP(A88,'Données projet (1)'!$A$61:$I$81,6,0)),0%,VLOOKUP(A88,'Données projet (1)'!$A$61:$I$81,6,0)*VLOOKUP('Données projet (1)'!$B$10,'Paramètres (1)'!$A$1:$I$88,7,0))</f>
        <v>#REF!</v>
      </c>
      <c r="AT88" s="135" t="str">
        <f t="shared" si="24"/>
        <v>#REF!</v>
      </c>
      <c r="AU88" s="142" t="str">
        <f>EXP(-LN(2)/35)*AU87+(1-EXP(-LN(2)/35))/(LN(2)/35)*AQ88*AR88*VLOOKUP('Données projet (1)'!$B$10,'Paramètres (1)'!$A$1:$I$88,3,0)*0.475*44/12</f>
        <v>#REF!</v>
      </c>
      <c r="AV88" s="142" t="str">
        <f>EXP(-LN(2)/25)*AV87+(1-EXP(-LN(2)/25))/(LN(2)/25)*'Calculateur (1)'!AQ88*'Calculateur (1)'!AS88*VLOOKUP('Données projet (1)'!$B$10,'Paramètres (1)'!$A$1:$I$88,3,0)*0.475*44/12</f>
        <v>#REF!</v>
      </c>
      <c r="AW88" s="142" t="str">
        <f>EXP(-LN(2)/2)*AW87+(1-EXP(-LN(2)/2))/(LN(2)/2)*AQ88*AT88*VLOOKUP('Données projet (1)'!$B$10,'Paramètres (1)'!$A$1:$I$88,3,0)*0.475*44/12</f>
        <v>#REF!</v>
      </c>
      <c r="AX88" s="142" t="str">
        <f t="shared" si="25"/>
        <v>#REF!</v>
      </c>
      <c r="AY88" s="137" t="str">
        <f t="shared" si="26"/>
        <v>#REF!</v>
      </c>
      <c r="AZ88" s="131">
        <f t="shared" si="27"/>
        <v>10</v>
      </c>
      <c r="BA88" s="131" t="str">
        <f t="shared" si="116"/>
        <v>#REF!</v>
      </c>
      <c r="BB88" s="131" t="str">
        <f t="shared" si="28"/>
        <v>#REF!</v>
      </c>
      <c r="BC88" s="131" t="str">
        <f t="array" ref="BC88">INDEX(BB:BB,MIN(IF(ISNUMBER(BB88:BB284),ROW(BB88:BB284),"")))</f>
        <v/>
      </c>
      <c r="BD88" s="131" t="str">
        <f t="shared" si="117"/>
        <v>#REF!</v>
      </c>
      <c r="BE88" s="130" t="str">
        <f>BD88*VLOOKUP('Données projet (1)'!$B$11,'Paramètres (1)'!$A$1:$I$88,3,0)*VLOOKUP('Données projet (1)'!$B$11,'Paramètres (1)'!$A$1:$I$88,5,0)</f>
        <v>#REF!</v>
      </c>
      <c r="BF88" s="130" t="str">
        <f t="shared" si="118"/>
        <v>#REF!</v>
      </c>
      <c r="BG88" s="141" t="str">
        <f t="shared" si="29"/>
        <v>#REF!</v>
      </c>
      <c r="BH88" s="133" t="str">
        <f t="shared" si="30"/>
        <v>#REF!</v>
      </c>
      <c r="BI88" s="133" t="str">
        <f t="shared" si="31"/>
        <v>#REF!</v>
      </c>
      <c r="BJ88" s="133" t="str">
        <f t="shared" si="119"/>
        <v>#REF!</v>
      </c>
      <c r="BK88" s="134" t="str">
        <f t="shared" si="32"/>
        <v>#REF!</v>
      </c>
      <c r="BL88" s="134" t="str">
        <f t="shared" si="33"/>
        <v>#REF!</v>
      </c>
      <c r="BM88" s="135" t="str">
        <f>IF(ISNA(VLOOKUP(A88,'Données projet (1)'!$A$87:$I$107,5,0)),0%,VLOOKUP(A88,'Données projet (1)'!$A$87:$I$107,5,0)*VLOOKUP('Données projet (1)'!$B$11,'Paramètres (1)'!$A$1:$I$88,7,0))</f>
        <v>#REF!</v>
      </c>
      <c r="BN88" s="135" t="str">
        <f>IF(ISNA(VLOOKUP(A88,'Données projet (1)'!$A$87:$I$107,6,0)),0%,VLOOKUP(A88,'Données projet (1)'!$A$87:$I$107,6,0)*VLOOKUP('Données projet (1)'!$B$11,'Paramètres (1)'!$A$1:$I$88,7,0))</f>
        <v>#REF!</v>
      </c>
      <c r="BO88" s="135" t="str">
        <f t="shared" si="34"/>
        <v>#REF!</v>
      </c>
      <c r="BP88" s="142" t="str">
        <f>EXP(-LN(2)/35)*BP87+(1-EXP(-LN(2)/35))/(LN(2)/35)*BL88*BM88*VLOOKUP('Données projet (1)'!$B$11,'Paramètres (1)'!$A$1:$I$88,3,0)*0.475*44/12</f>
        <v>#REF!</v>
      </c>
      <c r="BQ88" s="142" t="str">
        <f>EXP(-LN(2)/25)*BQ87+(1-EXP(-LN(2)/25))/(LN(2)/25)*'Calculateur (1)'!BL88*'Calculateur (1)'!BN88*VLOOKUP('Données projet (1)'!$B$11,'Paramètres (1)'!$A$1:$I$88,3,0)*0.475*44/12</f>
        <v>#REF!</v>
      </c>
      <c r="BR88" s="142" t="str">
        <f>EXP(-LN(2)/2)*BR87+(1-EXP(-LN(2)/2))/(LN(2)/2)*BL88*BO88*VLOOKUP('Données projet (1)'!$B$11,'Paramètres (1)'!$A$1:$I$88,3,0)*0.475*44/12</f>
        <v>#REF!</v>
      </c>
      <c r="BS88" s="143" t="str">
        <f t="shared" si="35"/>
        <v>#REF!</v>
      </c>
      <c r="BT88" s="139" t="str">
        <f t="shared" si="36"/>
        <v>#REF!</v>
      </c>
      <c r="BU88" s="131">
        <f t="shared" si="37"/>
        <v>10</v>
      </c>
      <c r="BV88" s="131" t="str">
        <f t="shared" si="120"/>
        <v>#REF!</v>
      </c>
      <c r="BW88" s="131" t="str">
        <f t="shared" si="38"/>
        <v>#REF!</v>
      </c>
      <c r="BX88" s="131" t="str">
        <f t="array" ref="BX88">INDEX(BW:BW,MIN(IF(ISNUMBER(BW88:BW284),ROW(BW88:BW284),"")))</f>
        <v/>
      </c>
      <c r="BY88" s="131" t="str">
        <f t="shared" si="121"/>
        <v>#REF!</v>
      </c>
      <c r="BZ88" s="130" t="str">
        <f>BY88*VLOOKUP('Données projet (1)'!$B$12,'Paramètres (1)'!$A$1:$I$88,3,0)*VLOOKUP('Données projet (1)'!$B$12,'Paramètres (1)'!$A$1:$I$88,5,0)</f>
        <v>#REF!</v>
      </c>
      <c r="CA88" s="130" t="str">
        <f t="shared" si="122"/>
        <v>#REF!</v>
      </c>
      <c r="CB88" s="141" t="str">
        <f t="shared" si="39"/>
        <v>#REF!</v>
      </c>
      <c r="CC88" s="133" t="str">
        <f t="shared" si="40"/>
        <v>#REF!</v>
      </c>
      <c r="CD88" s="133" t="str">
        <f t="shared" si="41"/>
        <v>#REF!</v>
      </c>
      <c r="CE88" s="133" t="str">
        <f t="shared" si="123"/>
        <v>#REF!</v>
      </c>
      <c r="CF88" s="134" t="str">
        <f t="shared" si="42"/>
        <v>#REF!</v>
      </c>
      <c r="CG88" s="134" t="str">
        <f t="shared" si="43"/>
        <v>#REF!</v>
      </c>
      <c r="CH88" s="135" t="str">
        <f>IF(ISNA(VLOOKUP(A88,'Données projet (1)'!$A$113:$I$133,5,0)),0%,VLOOKUP(A88,'Données projet (1)'!$A$113:$I$133,5,0)*VLOOKUP('Données projet (1)'!$B$12,'Paramètres (1)'!$A$1:$I$88,7,0))</f>
        <v>#REF!</v>
      </c>
      <c r="CI88" s="135" t="str">
        <f>IF(ISNA(VLOOKUP(A88,'Données projet (1)'!$A$113:$I$133,6,0)),0%,VLOOKUP(A88,'Données projet (1)'!$A$113:$I$133,6,0)*VLOOKUP('Données projet (1)'!$B$12,'Paramètres (1)'!$A$1:$I$88,7,0))</f>
        <v>#REF!</v>
      </c>
      <c r="CJ88" s="135" t="str">
        <f t="shared" si="44"/>
        <v>#REF!</v>
      </c>
      <c r="CK88" s="142" t="str">
        <f>EXP(-LN(2)/35)*CK87+(1-EXP(-LN(2)/35))/(LN(2)/35)*CG88*CH88*VLOOKUP('Données projet (1)'!$B$12,'Paramètres (1)'!$A$1:$I$88,3,0)*0.475*44/12</f>
        <v>#REF!</v>
      </c>
      <c r="CL88" s="142" t="str">
        <f>EXP(-LN(2)/25)*CL87+(1-EXP(-LN(2)/25))/(LN(2)/25)*'Calculateur (1)'!CG88*'Calculateur (1)'!CI88*VLOOKUP('Données projet (1)'!$B$12,'Paramètres (1)'!$A$1:$I$88,3,0)*0.475*44/12</f>
        <v>#REF!</v>
      </c>
      <c r="CM88" s="142" t="str">
        <f>EXP(-LN(2)/2)*CM87+(1-EXP(-LN(2)/2))/(LN(2)/2)*CG88*CJ88*VLOOKUP('Données projet (1)'!$B$12,'Paramètres (1)'!$A$1:$I$88,3,0)*0.475*44/12</f>
        <v>#REF!</v>
      </c>
      <c r="CN88" s="143" t="str">
        <f t="shared" si="45"/>
        <v>#REF!</v>
      </c>
      <c r="CO88" s="139" t="str">
        <f t="shared" si="46"/>
        <v>#REF!</v>
      </c>
      <c r="CP88" s="131">
        <f t="shared" si="47"/>
        <v>10</v>
      </c>
      <c r="CQ88" s="131" t="str">
        <f t="shared" si="124"/>
        <v>#REF!</v>
      </c>
      <c r="CR88" s="131" t="str">
        <f t="shared" si="48"/>
        <v>#REF!</v>
      </c>
      <c r="CS88" s="131" t="str">
        <f t="array" ref="CS88">INDEX(CR:CR,MIN(IF(ISNUMBER(CR88:CR284),ROW(CR88:CR284),"")))</f>
        <v/>
      </c>
      <c r="CT88" s="131" t="str">
        <f t="shared" si="125"/>
        <v>#REF!</v>
      </c>
      <c r="CU88" s="138" t="str">
        <f>CT88*VLOOKUP('Données projet (1)'!$B$13,'Paramètres (1)'!$A$1:$I$88,3,0)*VLOOKUP('Données projet (1)'!$B$13,'Paramètres (1)'!$A$1:$I$88,5,0)</f>
        <v>#REF!</v>
      </c>
      <c r="CV88" s="130" t="str">
        <f t="shared" si="126"/>
        <v>#REF!</v>
      </c>
      <c r="CW88" s="141" t="str">
        <f t="shared" si="49"/>
        <v>#REF!</v>
      </c>
      <c r="CX88" s="133" t="str">
        <f t="shared" si="50"/>
        <v>#REF!</v>
      </c>
      <c r="CY88" s="133" t="str">
        <f t="shared" si="51"/>
        <v>#REF!</v>
      </c>
      <c r="CZ88" s="133" t="str">
        <f t="shared" si="127"/>
        <v>#REF!</v>
      </c>
      <c r="DA88" s="134" t="str">
        <f t="shared" si="52"/>
        <v>#REF!</v>
      </c>
      <c r="DB88" s="134" t="str">
        <f t="shared" si="53"/>
        <v>#REF!</v>
      </c>
      <c r="DC88" s="135" t="str">
        <f>IF(ISNA(VLOOKUP(A88,'Données projet (1)'!$A$139:$I$159,5,0)),0%,VLOOKUP(A88,'Données projet (1)'!$A$139:$I$159,5,0)*VLOOKUP('Données projet (1)'!$B$13,'Paramètres (1)'!$A$1:$I$88,7,0))</f>
        <v>#REF!</v>
      </c>
      <c r="DD88" s="135" t="str">
        <f>IF(ISNA(VLOOKUP(A88,'Données projet (1)'!$A$139:$I$159,6,0)),0%,VLOOKUP(A88,'Données projet (1)'!$A$139:$I$159,6,0)*VLOOKUP('Données projet (1)'!$B$13,'Paramètres (1)'!$A$1:$I$88,7,0))</f>
        <v>#REF!</v>
      </c>
      <c r="DE88" s="135" t="str">
        <f t="shared" si="54"/>
        <v>#REF!</v>
      </c>
      <c r="DF88" s="142" t="str">
        <f>EXP(-LN(2)/35)*DF87+(1-EXP(-LN(2)/35))/(LN(2)/35)*DB88*DC88*VLOOKUP('Données projet (1)'!$B$13,'Paramètres (1)'!$A$1:$I$88,3,0)*0.475*44/12</f>
        <v>#REF!</v>
      </c>
      <c r="DG88" s="142" t="str">
        <f>EXP(-LN(2)/25)*DG87+(1-EXP(-LN(2)/25))/(LN(2)/25)*'Calculateur (1)'!DB88*'Calculateur (1)'!DD88*VLOOKUP('Données projet (1)'!$B$13,'Paramètres (1)'!$A$1:$I$88,3,0)*0.475*44/12</f>
        <v>#REF!</v>
      </c>
      <c r="DH88" s="142" t="str">
        <f>EXP(-LN(2)/2)*DH87+(1-EXP(-LN(2)/2))/(LN(2)/2)*DB88*DE88*VLOOKUP('Données projet (1)'!$B$13,'Paramètres (1)'!$A$1:$I$88,3,0)*0.475*44/12</f>
        <v>#REF!</v>
      </c>
      <c r="DI88" s="143" t="str">
        <f t="shared" si="55"/>
        <v>#REF!</v>
      </c>
      <c r="DJ88" s="139" t="str">
        <f t="shared" si="56"/>
        <v>#REF!</v>
      </c>
      <c r="DK88" s="131">
        <f t="shared" si="57"/>
        <v>10</v>
      </c>
      <c r="DL88" s="131" t="str">
        <f t="shared" si="128"/>
        <v>#REF!</v>
      </c>
      <c r="DM88" s="131" t="str">
        <f t="shared" si="58"/>
        <v>#REF!</v>
      </c>
      <c r="DN88" s="131" t="str">
        <f t="array" ref="DN88">INDEX(DM:DM,MIN(IF(ISNUMBER(DM88:DM284),ROW(DM88:DM284),"")))</f>
        <v/>
      </c>
      <c r="DO88" s="131" t="str">
        <f t="shared" si="129"/>
        <v>#REF!</v>
      </c>
      <c r="DP88" s="138" t="str">
        <f>DO88*VLOOKUP('Données projet (1)'!$B$14,'Paramètres (1)'!$A$1:$I$88,3,0)*VLOOKUP('Données projet (1)'!$B$14,'Paramètres (1)'!$A$1:$I$88,5,0)</f>
        <v>#REF!</v>
      </c>
      <c r="DQ88" s="130" t="str">
        <f t="shared" si="130"/>
        <v>#REF!</v>
      </c>
      <c r="DR88" s="141" t="str">
        <f t="shared" si="59"/>
        <v>#REF!</v>
      </c>
      <c r="DS88" s="133" t="str">
        <f t="shared" si="60"/>
        <v>#REF!</v>
      </c>
      <c r="DT88" s="133" t="str">
        <f t="shared" si="61"/>
        <v>#REF!</v>
      </c>
      <c r="DU88" s="133" t="str">
        <f t="shared" si="131"/>
        <v>#REF!</v>
      </c>
      <c r="DV88" s="134" t="str">
        <f t="shared" si="62"/>
        <v>#REF!</v>
      </c>
      <c r="DW88" s="134" t="str">
        <f t="shared" si="63"/>
        <v>#REF!</v>
      </c>
      <c r="DX88" s="135" t="str">
        <f>IF(ISNA(VLOOKUP(A88,'Données projet (1)'!$A$165:$I$185,5,0)),0%,VLOOKUP(A88,'Données projet (1)'!$A$165:$I$185,5,0)*VLOOKUP('Données projet (1)'!$B$14,'Paramètres (1)'!$A$1:$I$88,7,0))</f>
        <v>#REF!</v>
      </c>
      <c r="DY88" s="135" t="str">
        <f>IF(ISNA(VLOOKUP(A88,'Données projet (1)'!$A$165:$I$185,6,0)),0%,VLOOKUP(A88,'Données projet (1)'!$A$165:$I$185,6,0)*VLOOKUP('Données projet (1)'!$B$14,'Paramètres (1)'!$A$1:$I$88,7,0))</f>
        <v>#REF!</v>
      </c>
      <c r="DZ88" s="135" t="str">
        <f t="shared" si="64"/>
        <v>#REF!</v>
      </c>
      <c r="EA88" s="142" t="str">
        <f>EXP(-LN(2)/35)*EA87+(1-EXP(-LN(2)/35))/(LN(2)/35)*DW88*DX88*VLOOKUP('Données projet (1)'!$B$14,'Paramètres (1)'!$A$1:$I$88,3,0)*0.475*44/12</f>
        <v>#REF!</v>
      </c>
      <c r="EB88" s="142" t="str">
        <f>EXP(-LN(2)/25)*EB87+(1-EXP(-LN(2)/25))/(LN(2)/25)*'Calculateur (1)'!DW88*'Calculateur (1)'!DY88*VLOOKUP('Données projet (1)'!$B$14,'Paramètres (1)'!$A$1:$I$88,3,0)*0.475*44/12</f>
        <v>#REF!</v>
      </c>
      <c r="EC88" s="142" t="str">
        <f>EXP(-LN(2)/2)*EC87+(1-EXP(-LN(2)/2))/(LN(2)/2)*DW88*DZ88*VLOOKUP('Données projet (1)'!$B$14,'Paramètres (1)'!$A$1:$I$88,3,0)*0.475*44/12</f>
        <v>#REF!</v>
      </c>
      <c r="ED88" s="143" t="str">
        <f t="shared" si="65"/>
        <v>#REF!</v>
      </c>
      <c r="EE88" s="139" t="str">
        <f t="shared" si="66"/>
        <v>#REF!</v>
      </c>
      <c r="EF88" s="131">
        <f t="shared" si="67"/>
        <v>10</v>
      </c>
      <c r="EG88" s="131" t="str">
        <f t="shared" si="132"/>
        <v>#REF!</v>
      </c>
      <c r="EH88" s="131" t="str">
        <f t="shared" si="68"/>
        <v>#REF!</v>
      </c>
      <c r="EI88" s="131" t="str">
        <f t="array" ref="EI88">INDEX(EH:EH,MIN(IF(ISNUMBER(EH88:EH284),ROW(EH88:EH284),"")))</f>
        <v/>
      </c>
      <c r="EJ88" s="131" t="str">
        <f t="shared" si="133"/>
        <v>#REF!</v>
      </c>
      <c r="EK88" s="138" t="str">
        <f>EJ88*VLOOKUP('Données projet (1)'!$B$15,'Paramètres (1)'!$A$1:$I$88,3,0)*VLOOKUP('Données projet (1)'!$B$15,'Paramètres (1)'!$A$1:$I$88,5,0)</f>
        <v>#REF!</v>
      </c>
      <c r="EL88" s="130" t="str">
        <f t="shared" si="134"/>
        <v>#REF!</v>
      </c>
      <c r="EM88" s="141" t="str">
        <f t="shared" si="69"/>
        <v>#REF!</v>
      </c>
      <c r="EN88" s="133" t="str">
        <f t="shared" si="70"/>
        <v>#REF!</v>
      </c>
      <c r="EO88" s="133" t="str">
        <f t="shared" si="71"/>
        <v>#REF!</v>
      </c>
      <c r="EP88" s="133" t="str">
        <f t="shared" si="135"/>
        <v>#REF!</v>
      </c>
      <c r="EQ88" s="134" t="str">
        <f t="shared" si="72"/>
        <v>#REF!</v>
      </c>
      <c r="ER88" s="134" t="str">
        <f t="shared" si="73"/>
        <v>#REF!</v>
      </c>
      <c r="ES88" s="135" t="str">
        <f>IF(ISNA(VLOOKUP(A88,'Données projet (1)'!$A$191:$I$211,5,0)),0%,VLOOKUP(A88,'Données projet (1)'!$A$191:$I$211,5,0)*VLOOKUP('Données projet (1)'!$B$15,'Paramètres (1)'!$A$1:$I$88,7,0))</f>
        <v>#REF!</v>
      </c>
      <c r="ET88" s="135" t="str">
        <f>IF(ISNA(VLOOKUP(A88,'Données projet (1)'!$A$191:$I$211,6,0)),0%,VLOOKUP(A88,'Données projet (1)'!$A$191:$I$211,6,0)*VLOOKUP('Données projet (1)'!$B$15,'Paramètres (1)'!$A$1:$I$88,7,0))</f>
        <v>#REF!</v>
      </c>
      <c r="EU88" s="135" t="str">
        <f t="shared" si="74"/>
        <v>#REF!</v>
      </c>
      <c r="EV88" s="142" t="str">
        <f>EXP(-LN(2)/35)*EV87+(1-EXP(-LN(2)/35))/(LN(2)/35)*ER88*ES88*VLOOKUP('Données projet (1)'!$B$15,'Paramètres (1)'!$A$1:$I$88,3,0)*0.475*44/12</f>
        <v>#REF!</v>
      </c>
      <c r="EW88" s="142" t="str">
        <f>EXP(-LN(2)/25)*EW87+(1-EXP(-LN(2)/25))/(LN(2)/25)*'Calculateur (1)'!ER88*'Calculateur (1)'!ET88*VLOOKUP('Données projet (1)'!$B$15,'Paramètres (1)'!$A$1:$I$88,3,0)*0.475*44/12</f>
        <v>#REF!</v>
      </c>
      <c r="EX88" s="142" t="str">
        <f>EXP(-LN(2)/2)*EX87+(1-EXP(-LN(2)/2))/(LN(2)/2)*ER88*EU88*VLOOKUP('Données projet (1)'!$B$15,'Paramètres (1)'!$A$1:$I$88,3,0)*0.475*44/12</f>
        <v>#REF!</v>
      </c>
      <c r="EY88" s="143" t="str">
        <f t="shared" si="75"/>
        <v>#REF!</v>
      </c>
      <c r="EZ88" s="139" t="str">
        <f t="shared" si="76"/>
        <v>#REF!</v>
      </c>
      <c r="FA88" s="131">
        <f t="shared" si="77"/>
        <v>10</v>
      </c>
      <c r="FB88" s="131" t="str">
        <f t="shared" si="136"/>
        <v>#REF!</v>
      </c>
      <c r="FC88" s="131" t="str">
        <f t="shared" si="78"/>
        <v>#REF!</v>
      </c>
      <c r="FD88" s="131" t="str">
        <f t="array" ref="FD88">INDEX(FC:FC,MIN(IF(ISNUMBER(FC88:FC284),ROW(FC88:FC284),"")))</f>
        <v/>
      </c>
      <c r="FE88" s="131" t="str">
        <f t="shared" si="137"/>
        <v>#REF!</v>
      </c>
      <c r="FF88" s="138" t="str">
        <f>FE88*VLOOKUP('Données projet (1)'!$B$16,'Paramètres (1)'!$A$1:$I$88,3,0)*VLOOKUP('Données projet (1)'!$B$16,'Paramètres (1)'!$A$1:$I$88,5,0)</f>
        <v>#REF!</v>
      </c>
      <c r="FG88" s="130" t="str">
        <f t="shared" si="138"/>
        <v>#REF!</v>
      </c>
      <c r="FH88" s="141" t="str">
        <f t="shared" si="79"/>
        <v>#REF!</v>
      </c>
      <c r="FI88" s="133" t="str">
        <f t="shared" si="80"/>
        <v>#REF!</v>
      </c>
      <c r="FJ88" s="133" t="str">
        <f t="shared" si="81"/>
        <v>#REF!</v>
      </c>
      <c r="FK88" s="133" t="str">
        <f t="shared" si="139"/>
        <v>#REF!</v>
      </c>
      <c r="FL88" s="134" t="str">
        <f t="shared" si="82"/>
        <v>#REF!</v>
      </c>
      <c r="FM88" s="134" t="str">
        <f t="shared" si="83"/>
        <v>#REF!</v>
      </c>
      <c r="FN88" s="135" t="str">
        <f>IF(ISNA(VLOOKUP(A88,'Données projet (1)'!$A$217:$I$237,5,0)),0%,VLOOKUP(A88,'Données projet (1)'!$A$217:$I$237,5,0)*VLOOKUP('Données projet (1)'!$B$16,'Paramètres (1)'!$A$1:$I$88,7,0))</f>
        <v>#REF!</v>
      </c>
      <c r="FO88" s="135" t="str">
        <f>IF(ISNA(VLOOKUP(A88,'Données projet (1)'!$A$217:$I$237,6,0)),0%,VLOOKUP(A88,'Données projet (1)'!$A$217:$I$237,6,0)*VLOOKUP('Données projet (1)'!$B$16,'Paramètres (1)'!$A$1:$I$88,7,0))</f>
        <v>#REF!</v>
      </c>
      <c r="FP88" s="135" t="str">
        <f t="shared" si="84"/>
        <v>#REF!</v>
      </c>
      <c r="FQ88" s="142" t="str">
        <f>EXP(-LN(2)/35)*FQ87+(1-EXP(-LN(2)/35))/(LN(2)/35)*FM88*FN88*VLOOKUP('Données projet (1)'!$B$16,'Paramètres (1)'!$A$1:$I$88,3,0)*0.475*44/12</f>
        <v>#REF!</v>
      </c>
      <c r="FR88" s="142" t="str">
        <f>EXP(-LN(2)/25)*FR87+(1-EXP(-LN(2)/25))/(LN(2)/25)*'Calculateur (1)'!FM88*'Calculateur (1)'!FO88*VLOOKUP('Données projet (1)'!$B$16,'Paramètres (1)'!$A$1:$I$88,3,0)*0.475*44/12</f>
        <v>#REF!</v>
      </c>
      <c r="FS88" s="142" t="str">
        <f>EXP(-LN(2)/2)*FS87+(1-EXP(-LN(2)/2))/(LN(2)/2)*FM88*FP88*VLOOKUP('Données projet (1)'!$B$16,'Paramètres (1)'!$A$1:$I$88,3,0)*0.475*44/12</f>
        <v>#REF!</v>
      </c>
      <c r="FT88" s="143" t="str">
        <f t="shared" si="85"/>
        <v>#REF!</v>
      </c>
      <c r="FU88" s="139" t="str">
        <f t="shared" si="86"/>
        <v>#REF!</v>
      </c>
      <c r="FV88" s="131">
        <f t="shared" si="87"/>
        <v>10</v>
      </c>
      <c r="FW88" s="131" t="str">
        <f t="shared" si="140"/>
        <v>#REF!</v>
      </c>
      <c r="FX88" s="131" t="str">
        <f t="shared" si="88"/>
        <v>#REF!</v>
      </c>
      <c r="FY88" s="131" t="str">
        <f t="array" ref="FY88">INDEX(FX:FX,MIN(IF(ISNUMBER(FX88:FX284),ROW(FX88:FX284),"")))</f>
        <v/>
      </c>
      <c r="FZ88" s="131" t="str">
        <f t="shared" si="141"/>
        <v>#REF!</v>
      </c>
      <c r="GA88" s="138" t="str">
        <f>FZ88*VLOOKUP('Données projet (1)'!$B$17,'Paramètres (1)'!$A$1:$I$88,3,0)*VLOOKUP('Données projet (1)'!$B$17,'Paramètres (1)'!$A$1:$I$88,5,0)</f>
        <v>#REF!</v>
      </c>
      <c r="GB88" s="130" t="str">
        <f t="shared" si="142"/>
        <v>#REF!</v>
      </c>
      <c r="GC88" s="141" t="str">
        <f t="shared" si="89"/>
        <v>#REF!</v>
      </c>
      <c r="GD88" s="133" t="str">
        <f t="shared" si="90"/>
        <v>#REF!</v>
      </c>
      <c r="GE88" s="133" t="str">
        <f t="shared" si="91"/>
        <v>#REF!</v>
      </c>
      <c r="GF88" s="133" t="str">
        <f t="shared" si="143"/>
        <v>#REF!</v>
      </c>
      <c r="GG88" s="134" t="str">
        <f t="shared" si="92"/>
        <v>#REF!</v>
      </c>
      <c r="GH88" s="134" t="str">
        <f t="shared" si="93"/>
        <v>#REF!</v>
      </c>
      <c r="GI88" s="135" t="str">
        <f>IF(ISNA(VLOOKUP(A88,'Données projet (1)'!$A$243:$I$263,5,0)),0%,VLOOKUP(A88,'Données projet (1)'!$A$243:$I$263,5,0)*VLOOKUP('Données projet (1)'!$B$17,'Paramètres (1)'!$A$1:$I$88,7,0))</f>
        <v>#REF!</v>
      </c>
      <c r="GJ88" s="135" t="str">
        <f>IF(ISNA(VLOOKUP(A88,'Données projet (1)'!$A$243:$I$263,6,0)),0%,VLOOKUP(A88,'Données projet (1)'!$A$243:$I$263,6,0)*VLOOKUP('Données projet (1)'!$B$17,'Paramètres (1)'!$A$1:$I$88,7,0))</f>
        <v>#REF!</v>
      </c>
      <c r="GK88" s="135" t="str">
        <f t="shared" si="94"/>
        <v>#REF!</v>
      </c>
      <c r="GL88" s="142" t="str">
        <f>EXP(-LN(2)/35)*GL87+(1-EXP(-LN(2)/35))/(LN(2)/35)*GH88*GI88*VLOOKUP('Données projet (1)'!$B$17,'Paramètres (1)'!$A$1:$I$88,3,0)*0.475*44/12</f>
        <v>#REF!</v>
      </c>
      <c r="GM88" s="142" t="str">
        <f>EXP(-LN(2)/25)*GM87+(1-EXP(-LN(2)/25))/(LN(2)/25)*'Calculateur (1)'!GH88*'Calculateur (1)'!GJ88*VLOOKUP('Données projet (1)'!$B$17,'Paramètres (1)'!$A$1:$I$88,3,0)*0.475*44/12</f>
        <v>#REF!</v>
      </c>
      <c r="GN88" s="142" t="str">
        <f>EXP(-LN(2)/2)*GN87+(1-EXP(-LN(2)/2))/(LN(2)/2)*GH88*GK88*VLOOKUP('Données projet (1)'!$B$17,'Paramètres (1)'!$A$1:$I$88,3,0)*0.475*44/12</f>
        <v>#REF!</v>
      </c>
      <c r="GO88" s="142" t="str">
        <f t="shared" si="95"/>
        <v>#REF!</v>
      </c>
      <c r="GP88" s="139" t="str">
        <f t="shared" si="96"/>
        <v>#REF!</v>
      </c>
      <c r="GQ88" s="131">
        <f t="shared" si="97"/>
        <v>10</v>
      </c>
      <c r="GR88" s="131" t="str">
        <f t="shared" si="144"/>
        <v>#REF!</v>
      </c>
      <c r="GS88" s="131" t="str">
        <f t="shared" si="98"/>
        <v>#REF!</v>
      </c>
      <c r="GT88" s="131" t="str">
        <f t="array" ref="GT88">INDEX(GS:GS,MIN(IF(ISNUMBER(GS88:GS284),ROW(GS88:GS284),"")))</f>
        <v/>
      </c>
      <c r="GU88" s="131" t="str">
        <f t="shared" si="145"/>
        <v>#REF!</v>
      </c>
      <c r="GV88" s="138" t="str">
        <f>GU88*VLOOKUP('Données projet (1)'!$B$18,'Paramètres (1)'!$A$1:$I$88,3,0)*VLOOKUP('Données projet (1)'!$B$18,'Paramètres (1)'!$A$1:$I$88,5,0)</f>
        <v>#REF!</v>
      </c>
      <c r="GW88" s="130" t="str">
        <f t="shared" si="146"/>
        <v>#REF!</v>
      </c>
      <c r="GX88" s="141" t="str">
        <f t="shared" si="99"/>
        <v>#REF!</v>
      </c>
      <c r="GY88" s="133" t="str">
        <f t="shared" si="100"/>
        <v>#REF!</v>
      </c>
      <c r="GZ88" s="133" t="str">
        <f t="shared" si="101"/>
        <v>#REF!</v>
      </c>
      <c r="HA88" s="133" t="str">
        <f t="shared" si="147"/>
        <v>#REF!</v>
      </c>
      <c r="HB88" s="134" t="str">
        <f t="shared" si="102"/>
        <v>#REF!</v>
      </c>
      <c r="HC88" s="134" t="str">
        <f t="shared" si="103"/>
        <v>#REF!</v>
      </c>
      <c r="HD88" s="135" t="str">
        <f>IF(ISNA(VLOOKUP(A88,'Données projet (1)'!$A$269:$I$289,5,0)),0%,VLOOKUP(A88,'Données projet (1)'!$A$269:$I$289,5,0)*VLOOKUP('Données projet (1)'!$B$18,'Paramètres (1)'!$A$1:$I$88,7,0))</f>
        <v>#REF!</v>
      </c>
      <c r="HE88" s="135" t="str">
        <f>IF(ISNA(VLOOKUP(A88,'Données projet (1)'!$A$269:$I$289,6,0)),0%,VLOOKUP(A88,'Données projet (1)'!$A$269:$I$289,6,0)*VLOOKUP('Données projet (1)'!$B$18,'Paramètres (1)'!$A$1:$I$88,7,0))</f>
        <v>#REF!</v>
      </c>
      <c r="HF88" s="135" t="str">
        <f t="shared" si="104"/>
        <v>#REF!</v>
      </c>
      <c r="HG88" s="142" t="str">
        <f>EXP(-LN(2)/35)*HG87+(1-EXP(-LN(2)/35))/(LN(2)/35)*HC88*HD88*VLOOKUP('Données projet (1)'!$B$18,'Paramètres (1)'!$A$1:$I$88,3,0)*0.475*44/12</f>
        <v>#REF!</v>
      </c>
      <c r="HH88" s="142" t="str">
        <f>EXP(-LN(2)/25)*HH87+(1-EXP(-LN(2)/25))/(LN(2)/25)*'Calculateur (1)'!HC88*'Calculateur (1)'!HE88*VLOOKUP('Données projet (1)'!$B$18,'Paramètres (1)'!$A$1:$I$88,3,0)*0.475*44/12</f>
        <v>#REF!</v>
      </c>
      <c r="HI88" s="142" t="str">
        <f>EXP(-LN(2)/2)*HI87+(1-EXP(-LN(2)/2))/(LN(2)/2)*HC88*HF88*VLOOKUP('Données projet (1)'!$B$18,'Paramètres (1)'!$A$1:$I$88,3,0)*0.475*44/12</f>
        <v>#REF!</v>
      </c>
      <c r="HJ88" s="143" t="str">
        <f t="shared" si="105"/>
        <v>#REF!</v>
      </c>
    </row>
    <row r="89" ht="14.25" customHeight="1">
      <c r="A89" s="125">
        <f t="shared" si="106"/>
        <v>86</v>
      </c>
      <c r="B89" s="126" t="str">
        <f t="shared" si="1"/>
        <v>#REF!</v>
      </c>
      <c r="C89" s="140" t="str">
        <f>'Calculateur (1)'!C88+'Scénario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9" s="127">
        <f t="shared" si="107"/>
        <v>0</v>
      </c>
      <c r="E89" s="127" t="str">
        <f t="shared" si="2"/>
        <v>#REF!</v>
      </c>
      <c r="F89" s="127" t="str">
        <f t="shared" si="3"/>
        <v>#REF!</v>
      </c>
      <c r="G89" s="127" t="str">
        <f t="shared" si="4"/>
        <v>#REF!</v>
      </c>
      <c r="H89" s="128" t="str">
        <f t="shared" si="5"/>
        <v>#REF!</v>
      </c>
      <c r="I89" s="129" t="str">
        <f t="shared" si="6"/>
        <v>#REF!</v>
      </c>
      <c r="J89" s="130">
        <f t="shared" si="7"/>
        <v>10</v>
      </c>
      <c r="K89" s="131" t="str">
        <f t="shared" si="108"/>
        <v>#REF!</v>
      </c>
      <c r="L89" s="131" t="str">
        <f t="shared" si="8"/>
        <v>#REF!</v>
      </c>
      <c r="M89" s="131" t="str">
        <f t="array" ref="M89">INDEX(L:L,MIN(IF(ISNUMBER(L89:L285),ROW(L89:L285),"")))</f>
        <v/>
      </c>
      <c r="N89" s="130" t="str">
        <f t="shared" si="109"/>
        <v>#REF!</v>
      </c>
      <c r="O89" s="130" t="str">
        <f>N89*VLOOKUP('Données projet (1)'!$B$9,'Paramètres (1)'!$A$1:$I$88,3,0)*VLOOKUP('Données projet (1)'!$B$9,'Paramètres (1)'!$A$1:$I$88,5,0)</f>
        <v>#REF!</v>
      </c>
      <c r="P89" s="130" t="str">
        <f t="shared" si="110"/>
        <v>#REF!</v>
      </c>
      <c r="Q89" s="141" t="str">
        <f t="shared" si="9"/>
        <v>#REF!</v>
      </c>
      <c r="R89" s="133" t="str">
        <f t="shared" si="10"/>
        <v>#REF!</v>
      </c>
      <c r="S89" s="133" t="str">
        <f t="shared" si="11"/>
        <v>#REF!</v>
      </c>
      <c r="T89" s="133" t="str">
        <f t="shared" si="111"/>
        <v>#REF!</v>
      </c>
      <c r="U89" s="134" t="str">
        <f t="shared" si="12"/>
        <v>#REF!</v>
      </c>
      <c r="V89" s="134" t="str">
        <f t="shared" si="13"/>
        <v>#REF!</v>
      </c>
      <c r="W89" s="135" t="str">
        <f>IF(ISNA(VLOOKUP(A89,'Données projet (1)'!$A$35:$I$55,5,0)),0%,VLOOKUP(A89,'Données projet (1)'!$A$35:$I$55,5,0)*VLOOKUP('Données projet (1)'!$B$9,'Paramètres (1)'!$A$1:$I$88,7,0))</f>
        <v>#REF!</v>
      </c>
      <c r="X89" s="135" t="str">
        <f>IF(ISNA(VLOOKUP(A89,'Données projet (1)'!$A$35:$I$55,6,0)),0%,VLOOKUP(A89,'Données projet (1)'!$A$35:$I$55,6,0)*VLOOKUP('Données projet (1)'!$B$9,'Paramètres (1)'!$A$1:$I$88,7,0))</f>
        <v>#REF!</v>
      </c>
      <c r="Y89" s="135" t="str">
        <f t="shared" si="14"/>
        <v>#REF!</v>
      </c>
      <c r="Z89" s="142" t="str">
        <f>EXP(-LN(2)/35)*Z88+(1-EXP(-LN(2)/35))/(LN(2)/35)*V89*W89*VLOOKUP('Données projet (1)'!$B$9,'Paramètres (1)'!$A$1:$I$88,3,0)*0.475*44/12</f>
        <v>#REF!</v>
      </c>
      <c r="AA89" s="142" t="str">
        <f>EXP(-LN(2)/25)*AA88+(1-EXP(-LN(2)/25))/(LN(2)/25)*'Calculateur (1)'!V89*'Calculateur (1)'!X89*VLOOKUP('Données projet (1)'!$B$9,'Paramètres (1)'!$A$1:$I$88,3,0)*0.475*44/12</f>
        <v>#REF!</v>
      </c>
      <c r="AB89" s="142" t="str">
        <f>EXP(-LN(2)/2)*AB88+(1-EXP(-LN(2)/2))/(LN(2)/2)*V89*Y89*VLOOKUP('Données projet (1)'!$B$9,'Paramètres (1)'!$A$1:$I$88,3,0)*0.475*44/12</f>
        <v>#REF!</v>
      </c>
      <c r="AC89" s="143" t="str">
        <f t="shared" si="15"/>
        <v>#REF!</v>
      </c>
      <c r="AD89" s="130" t="str">
        <f t="shared" si="16"/>
        <v>#REF!</v>
      </c>
      <c r="AE89" s="130">
        <f t="shared" si="17"/>
        <v>10</v>
      </c>
      <c r="AF89" s="131" t="str">
        <f t="shared" si="112"/>
        <v>#REF!</v>
      </c>
      <c r="AG89" s="131" t="str">
        <f t="shared" si="18"/>
        <v>#REF!</v>
      </c>
      <c r="AH89" s="131" t="str">
        <f t="array" ref="AH89">INDEX(AG:AG,MIN(IF(ISNUMBER(AG89:AG285),ROW(AG89:AG285),"")))</f>
        <v/>
      </c>
      <c r="AI89" s="130" t="str">
        <f t="shared" si="113"/>
        <v>#REF!</v>
      </c>
      <c r="AJ89" s="130" t="str">
        <f>AI89*VLOOKUP('Données projet (1)'!$B$10,'Paramètres (1)'!$A$1:$I$88,3,0)*VLOOKUP('Données projet (1)'!$B$10,'Paramètres (1)'!$A$1:$I$88,5,0)</f>
        <v>#REF!</v>
      </c>
      <c r="AK89" s="130" t="str">
        <f t="shared" si="114"/>
        <v>#REF!</v>
      </c>
      <c r="AL89" s="141" t="str">
        <f t="shared" si="19"/>
        <v>#REF!</v>
      </c>
      <c r="AM89" s="133" t="str">
        <f t="shared" si="20"/>
        <v>#REF!</v>
      </c>
      <c r="AN89" s="133" t="str">
        <f t="shared" si="21"/>
        <v>#REF!</v>
      </c>
      <c r="AO89" s="133" t="str">
        <f t="shared" si="115"/>
        <v>#REF!</v>
      </c>
      <c r="AP89" s="134" t="str">
        <f t="shared" si="22"/>
        <v>#REF!</v>
      </c>
      <c r="AQ89" s="134" t="str">
        <f t="shared" si="23"/>
        <v>#REF!</v>
      </c>
      <c r="AR89" s="135" t="str">
        <f>IF(ISNA(VLOOKUP(A89,'Données projet (1)'!$A$61:$I$81,5,0)),0%,VLOOKUP(A89,'Données projet (1)'!$A$61:$I$81,5,0)*VLOOKUP('Données projet (1)'!$B$10,'Paramètres (1)'!$A$1:$I$88,7,0))</f>
        <v>#REF!</v>
      </c>
      <c r="AS89" s="135" t="str">
        <f>IF(ISNA(VLOOKUP(A89,'Données projet (1)'!$A$61:$I$81,6,0)),0%,VLOOKUP(A89,'Données projet (1)'!$A$61:$I$81,6,0)*VLOOKUP('Données projet (1)'!$B$10,'Paramètres (1)'!$A$1:$I$88,7,0))</f>
        <v>#REF!</v>
      </c>
      <c r="AT89" s="135" t="str">
        <f t="shared" si="24"/>
        <v>#REF!</v>
      </c>
      <c r="AU89" s="142" t="str">
        <f>EXP(-LN(2)/35)*AU88+(1-EXP(-LN(2)/35))/(LN(2)/35)*AQ89*AR89*VLOOKUP('Données projet (1)'!$B$10,'Paramètres (1)'!$A$1:$I$88,3,0)*0.475*44/12</f>
        <v>#REF!</v>
      </c>
      <c r="AV89" s="142" t="str">
        <f>EXP(-LN(2)/25)*AV88+(1-EXP(-LN(2)/25))/(LN(2)/25)*'Calculateur (1)'!AQ89*'Calculateur (1)'!AS89*VLOOKUP('Données projet (1)'!$B$10,'Paramètres (1)'!$A$1:$I$88,3,0)*0.475*44/12</f>
        <v>#REF!</v>
      </c>
      <c r="AW89" s="142" t="str">
        <f>EXP(-LN(2)/2)*AW88+(1-EXP(-LN(2)/2))/(LN(2)/2)*AQ89*AT89*VLOOKUP('Données projet (1)'!$B$10,'Paramètres (1)'!$A$1:$I$88,3,0)*0.475*44/12</f>
        <v>#REF!</v>
      </c>
      <c r="AX89" s="142" t="str">
        <f t="shared" si="25"/>
        <v>#REF!</v>
      </c>
      <c r="AY89" s="137" t="str">
        <f t="shared" si="26"/>
        <v>#REF!</v>
      </c>
      <c r="AZ89" s="131">
        <f t="shared" si="27"/>
        <v>10</v>
      </c>
      <c r="BA89" s="131" t="str">
        <f t="shared" si="116"/>
        <v>#REF!</v>
      </c>
      <c r="BB89" s="131" t="str">
        <f t="shared" si="28"/>
        <v>#REF!</v>
      </c>
      <c r="BC89" s="131" t="str">
        <f t="array" ref="BC89">INDEX(BB:BB,MIN(IF(ISNUMBER(BB89:BB285),ROW(BB89:BB285),"")))</f>
        <v/>
      </c>
      <c r="BD89" s="131" t="str">
        <f t="shared" si="117"/>
        <v>#REF!</v>
      </c>
      <c r="BE89" s="130" t="str">
        <f>BD89*VLOOKUP('Données projet (1)'!$B$11,'Paramètres (1)'!$A$1:$I$88,3,0)*VLOOKUP('Données projet (1)'!$B$11,'Paramètres (1)'!$A$1:$I$88,5,0)</f>
        <v>#REF!</v>
      </c>
      <c r="BF89" s="130" t="str">
        <f t="shared" si="118"/>
        <v>#REF!</v>
      </c>
      <c r="BG89" s="141" t="str">
        <f t="shared" si="29"/>
        <v>#REF!</v>
      </c>
      <c r="BH89" s="133" t="str">
        <f t="shared" si="30"/>
        <v>#REF!</v>
      </c>
      <c r="BI89" s="133" t="str">
        <f t="shared" si="31"/>
        <v>#REF!</v>
      </c>
      <c r="BJ89" s="133" t="str">
        <f t="shared" si="119"/>
        <v>#REF!</v>
      </c>
      <c r="BK89" s="134" t="str">
        <f t="shared" si="32"/>
        <v>#REF!</v>
      </c>
      <c r="BL89" s="134" t="str">
        <f t="shared" si="33"/>
        <v>#REF!</v>
      </c>
      <c r="BM89" s="135" t="str">
        <f>IF(ISNA(VLOOKUP(A89,'Données projet (1)'!$A$87:$I$107,5,0)),0%,VLOOKUP(A89,'Données projet (1)'!$A$87:$I$107,5,0)*VLOOKUP('Données projet (1)'!$B$11,'Paramètres (1)'!$A$1:$I$88,7,0))</f>
        <v>#REF!</v>
      </c>
      <c r="BN89" s="135" t="str">
        <f>IF(ISNA(VLOOKUP(A89,'Données projet (1)'!$A$87:$I$107,6,0)),0%,VLOOKUP(A89,'Données projet (1)'!$A$87:$I$107,6,0)*VLOOKUP('Données projet (1)'!$B$11,'Paramètres (1)'!$A$1:$I$88,7,0))</f>
        <v>#REF!</v>
      </c>
      <c r="BO89" s="135" t="str">
        <f t="shared" si="34"/>
        <v>#REF!</v>
      </c>
      <c r="BP89" s="142" t="str">
        <f>EXP(-LN(2)/35)*BP88+(1-EXP(-LN(2)/35))/(LN(2)/35)*BL89*BM89*VLOOKUP('Données projet (1)'!$B$11,'Paramètres (1)'!$A$1:$I$88,3,0)*0.475*44/12</f>
        <v>#REF!</v>
      </c>
      <c r="BQ89" s="142" t="str">
        <f>EXP(-LN(2)/25)*BQ88+(1-EXP(-LN(2)/25))/(LN(2)/25)*'Calculateur (1)'!BL89*'Calculateur (1)'!BN89*VLOOKUP('Données projet (1)'!$B$11,'Paramètres (1)'!$A$1:$I$88,3,0)*0.475*44/12</f>
        <v>#REF!</v>
      </c>
      <c r="BR89" s="142" t="str">
        <f>EXP(-LN(2)/2)*BR88+(1-EXP(-LN(2)/2))/(LN(2)/2)*BL89*BO89*VLOOKUP('Données projet (1)'!$B$11,'Paramètres (1)'!$A$1:$I$88,3,0)*0.475*44/12</f>
        <v>#REF!</v>
      </c>
      <c r="BS89" s="143" t="str">
        <f t="shared" si="35"/>
        <v>#REF!</v>
      </c>
      <c r="BT89" s="139" t="str">
        <f t="shared" si="36"/>
        <v>#REF!</v>
      </c>
      <c r="BU89" s="131">
        <f t="shared" si="37"/>
        <v>10</v>
      </c>
      <c r="BV89" s="131" t="str">
        <f t="shared" si="120"/>
        <v>#REF!</v>
      </c>
      <c r="BW89" s="131" t="str">
        <f t="shared" si="38"/>
        <v>#REF!</v>
      </c>
      <c r="BX89" s="131" t="str">
        <f t="array" ref="BX89">INDEX(BW:BW,MIN(IF(ISNUMBER(BW89:BW285),ROW(BW89:BW285),"")))</f>
        <v/>
      </c>
      <c r="BY89" s="131" t="str">
        <f t="shared" si="121"/>
        <v>#REF!</v>
      </c>
      <c r="BZ89" s="130" t="str">
        <f>BY89*VLOOKUP('Données projet (1)'!$B$12,'Paramètres (1)'!$A$1:$I$88,3,0)*VLOOKUP('Données projet (1)'!$B$12,'Paramètres (1)'!$A$1:$I$88,5,0)</f>
        <v>#REF!</v>
      </c>
      <c r="CA89" s="130" t="str">
        <f t="shared" si="122"/>
        <v>#REF!</v>
      </c>
      <c r="CB89" s="141" t="str">
        <f t="shared" si="39"/>
        <v>#REF!</v>
      </c>
      <c r="CC89" s="133" t="str">
        <f t="shared" si="40"/>
        <v>#REF!</v>
      </c>
      <c r="CD89" s="133" t="str">
        <f t="shared" si="41"/>
        <v>#REF!</v>
      </c>
      <c r="CE89" s="133" t="str">
        <f t="shared" si="123"/>
        <v>#REF!</v>
      </c>
      <c r="CF89" s="134" t="str">
        <f t="shared" si="42"/>
        <v>#REF!</v>
      </c>
      <c r="CG89" s="134" t="str">
        <f t="shared" si="43"/>
        <v>#REF!</v>
      </c>
      <c r="CH89" s="135" t="str">
        <f>IF(ISNA(VLOOKUP(A89,'Données projet (1)'!$A$113:$I$133,5,0)),0%,VLOOKUP(A89,'Données projet (1)'!$A$113:$I$133,5,0)*VLOOKUP('Données projet (1)'!$B$12,'Paramètres (1)'!$A$1:$I$88,7,0))</f>
        <v>#REF!</v>
      </c>
      <c r="CI89" s="135" t="str">
        <f>IF(ISNA(VLOOKUP(A89,'Données projet (1)'!$A$113:$I$133,6,0)),0%,VLOOKUP(A89,'Données projet (1)'!$A$113:$I$133,6,0)*VLOOKUP('Données projet (1)'!$B$12,'Paramètres (1)'!$A$1:$I$88,7,0))</f>
        <v>#REF!</v>
      </c>
      <c r="CJ89" s="135" t="str">
        <f t="shared" si="44"/>
        <v>#REF!</v>
      </c>
      <c r="CK89" s="142" t="str">
        <f>EXP(-LN(2)/35)*CK88+(1-EXP(-LN(2)/35))/(LN(2)/35)*CG89*CH89*VLOOKUP('Données projet (1)'!$B$12,'Paramètres (1)'!$A$1:$I$88,3,0)*0.475*44/12</f>
        <v>#REF!</v>
      </c>
      <c r="CL89" s="142" t="str">
        <f>EXP(-LN(2)/25)*CL88+(1-EXP(-LN(2)/25))/(LN(2)/25)*'Calculateur (1)'!CG89*'Calculateur (1)'!CI89*VLOOKUP('Données projet (1)'!$B$12,'Paramètres (1)'!$A$1:$I$88,3,0)*0.475*44/12</f>
        <v>#REF!</v>
      </c>
      <c r="CM89" s="142" t="str">
        <f>EXP(-LN(2)/2)*CM88+(1-EXP(-LN(2)/2))/(LN(2)/2)*CG89*CJ89*VLOOKUP('Données projet (1)'!$B$12,'Paramètres (1)'!$A$1:$I$88,3,0)*0.475*44/12</f>
        <v>#REF!</v>
      </c>
      <c r="CN89" s="143" t="str">
        <f t="shared" si="45"/>
        <v>#REF!</v>
      </c>
      <c r="CO89" s="139" t="str">
        <f t="shared" si="46"/>
        <v>#REF!</v>
      </c>
      <c r="CP89" s="131">
        <f t="shared" si="47"/>
        <v>10</v>
      </c>
      <c r="CQ89" s="131" t="str">
        <f t="shared" si="124"/>
        <v>#REF!</v>
      </c>
      <c r="CR89" s="131" t="str">
        <f t="shared" si="48"/>
        <v>#REF!</v>
      </c>
      <c r="CS89" s="131" t="str">
        <f t="array" ref="CS89">INDEX(CR:CR,MIN(IF(ISNUMBER(CR89:CR285),ROW(CR89:CR285),"")))</f>
        <v/>
      </c>
      <c r="CT89" s="131" t="str">
        <f t="shared" si="125"/>
        <v>#REF!</v>
      </c>
      <c r="CU89" s="138" t="str">
        <f>CT89*VLOOKUP('Données projet (1)'!$B$13,'Paramètres (1)'!$A$1:$I$88,3,0)*VLOOKUP('Données projet (1)'!$B$13,'Paramètres (1)'!$A$1:$I$88,5,0)</f>
        <v>#REF!</v>
      </c>
      <c r="CV89" s="130" t="str">
        <f t="shared" si="126"/>
        <v>#REF!</v>
      </c>
      <c r="CW89" s="141" t="str">
        <f t="shared" si="49"/>
        <v>#REF!</v>
      </c>
      <c r="CX89" s="133" t="str">
        <f t="shared" si="50"/>
        <v>#REF!</v>
      </c>
      <c r="CY89" s="133" t="str">
        <f t="shared" si="51"/>
        <v>#REF!</v>
      </c>
      <c r="CZ89" s="133" t="str">
        <f t="shared" si="127"/>
        <v>#REF!</v>
      </c>
      <c r="DA89" s="134" t="str">
        <f t="shared" si="52"/>
        <v>#REF!</v>
      </c>
      <c r="DB89" s="134" t="str">
        <f t="shared" si="53"/>
        <v>#REF!</v>
      </c>
      <c r="DC89" s="135" t="str">
        <f>IF(ISNA(VLOOKUP(A89,'Données projet (1)'!$A$139:$I$159,5,0)),0%,VLOOKUP(A89,'Données projet (1)'!$A$139:$I$159,5,0)*VLOOKUP('Données projet (1)'!$B$13,'Paramètres (1)'!$A$1:$I$88,7,0))</f>
        <v>#REF!</v>
      </c>
      <c r="DD89" s="135" t="str">
        <f>IF(ISNA(VLOOKUP(A89,'Données projet (1)'!$A$139:$I$159,6,0)),0%,VLOOKUP(A89,'Données projet (1)'!$A$139:$I$159,6,0)*VLOOKUP('Données projet (1)'!$B$13,'Paramètres (1)'!$A$1:$I$88,7,0))</f>
        <v>#REF!</v>
      </c>
      <c r="DE89" s="135" t="str">
        <f t="shared" si="54"/>
        <v>#REF!</v>
      </c>
      <c r="DF89" s="142" t="str">
        <f>EXP(-LN(2)/35)*DF88+(1-EXP(-LN(2)/35))/(LN(2)/35)*DB89*DC89*VLOOKUP('Données projet (1)'!$B$13,'Paramètres (1)'!$A$1:$I$88,3,0)*0.475*44/12</f>
        <v>#REF!</v>
      </c>
      <c r="DG89" s="142" t="str">
        <f>EXP(-LN(2)/25)*DG88+(1-EXP(-LN(2)/25))/(LN(2)/25)*'Calculateur (1)'!DB89*'Calculateur (1)'!DD89*VLOOKUP('Données projet (1)'!$B$13,'Paramètres (1)'!$A$1:$I$88,3,0)*0.475*44/12</f>
        <v>#REF!</v>
      </c>
      <c r="DH89" s="142" t="str">
        <f>EXP(-LN(2)/2)*DH88+(1-EXP(-LN(2)/2))/(LN(2)/2)*DB89*DE89*VLOOKUP('Données projet (1)'!$B$13,'Paramètres (1)'!$A$1:$I$88,3,0)*0.475*44/12</f>
        <v>#REF!</v>
      </c>
      <c r="DI89" s="143" t="str">
        <f t="shared" si="55"/>
        <v>#REF!</v>
      </c>
      <c r="DJ89" s="139" t="str">
        <f t="shared" si="56"/>
        <v>#REF!</v>
      </c>
      <c r="DK89" s="131">
        <f t="shared" si="57"/>
        <v>10</v>
      </c>
      <c r="DL89" s="131" t="str">
        <f t="shared" si="128"/>
        <v>#REF!</v>
      </c>
      <c r="DM89" s="131" t="str">
        <f t="shared" si="58"/>
        <v>#REF!</v>
      </c>
      <c r="DN89" s="131" t="str">
        <f t="array" ref="DN89">INDEX(DM:DM,MIN(IF(ISNUMBER(DM89:DM285),ROW(DM89:DM285),"")))</f>
        <v/>
      </c>
      <c r="DO89" s="131" t="str">
        <f t="shared" si="129"/>
        <v>#REF!</v>
      </c>
      <c r="DP89" s="138" t="str">
        <f>DO89*VLOOKUP('Données projet (1)'!$B$14,'Paramètres (1)'!$A$1:$I$88,3,0)*VLOOKUP('Données projet (1)'!$B$14,'Paramètres (1)'!$A$1:$I$88,5,0)</f>
        <v>#REF!</v>
      </c>
      <c r="DQ89" s="130" t="str">
        <f t="shared" si="130"/>
        <v>#REF!</v>
      </c>
      <c r="DR89" s="141" t="str">
        <f t="shared" si="59"/>
        <v>#REF!</v>
      </c>
      <c r="DS89" s="133" t="str">
        <f t="shared" si="60"/>
        <v>#REF!</v>
      </c>
      <c r="DT89" s="133" t="str">
        <f t="shared" si="61"/>
        <v>#REF!</v>
      </c>
      <c r="DU89" s="133" t="str">
        <f t="shared" si="131"/>
        <v>#REF!</v>
      </c>
      <c r="DV89" s="134" t="str">
        <f t="shared" si="62"/>
        <v>#REF!</v>
      </c>
      <c r="DW89" s="134" t="str">
        <f t="shared" si="63"/>
        <v>#REF!</v>
      </c>
      <c r="DX89" s="135" t="str">
        <f>IF(ISNA(VLOOKUP(A89,'Données projet (1)'!$A$165:$I$185,5,0)),0%,VLOOKUP(A89,'Données projet (1)'!$A$165:$I$185,5,0)*VLOOKUP('Données projet (1)'!$B$14,'Paramètres (1)'!$A$1:$I$88,7,0))</f>
        <v>#REF!</v>
      </c>
      <c r="DY89" s="135" t="str">
        <f>IF(ISNA(VLOOKUP(A89,'Données projet (1)'!$A$165:$I$185,6,0)),0%,VLOOKUP(A89,'Données projet (1)'!$A$165:$I$185,6,0)*VLOOKUP('Données projet (1)'!$B$14,'Paramètres (1)'!$A$1:$I$88,7,0))</f>
        <v>#REF!</v>
      </c>
      <c r="DZ89" s="135" t="str">
        <f t="shared" si="64"/>
        <v>#REF!</v>
      </c>
      <c r="EA89" s="142" t="str">
        <f>EXP(-LN(2)/35)*EA88+(1-EXP(-LN(2)/35))/(LN(2)/35)*DW89*DX89*VLOOKUP('Données projet (1)'!$B$14,'Paramètres (1)'!$A$1:$I$88,3,0)*0.475*44/12</f>
        <v>#REF!</v>
      </c>
      <c r="EB89" s="142" t="str">
        <f>EXP(-LN(2)/25)*EB88+(1-EXP(-LN(2)/25))/(LN(2)/25)*'Calculateur (1)'!DW89*'Calculateur (1)'!DY89*VLOOKUP('Données projet (1)'!$B$14,'Paramètres (1)'!$A$1:$I$88,3,0)*0.475*44/12</f>
        <v>#REF!</v>
      </c>
      <c r="EC89" s="142" t="str">
        <f>EXP(-LN(2)/2)*EC88+(1-EXP(-LN(2)/2))/(LN(2)/2)*DW89*DZ89*VLOOKUP('Données projet (1)'!$B$14,'Paramètres (1)'!$A$1:$I$88,3,0)*0.475*44/12</f>
        <v>#REF!</v>
      </c>
      <c r="ED89" s="143" t="str">
        <f t="shared" si="65"/>
        <v>#REF!</v>
      </c>
      <c r="EE89" s="139" t="str">
        <f t="shared" si="66"/>
        <v>#REF!</v>
      </c>
      <c r="EF89" s="131">
        <f t="shared" si="67"/>
        <v>10</v>
      </c>
      <c r="EG89" s="131" t="str">
        <f t="shared" si="132"/>
        <v>#REF!</v>
      </c>
      <c r="EH89" s="131" t="str">
        <f t="shared" si="68"/>
        <v>#REF!</v>
      </c>
      <c r="EI89" s="131" t="str">
        <f t="array" ref="EI89">INDEX(EH:EH,MIN(IF(ISNUMBER(EH89:EH285),ROW(EH89:EH285),"")))</f>
        <v/>
      </c>
      <c r="EJ89" s="131" t="str">
        <f t="shared" si="133"/>
        <v>#REF!</v>
      </c>
      <c r="EK89" s="138" t="str">
        <f>EJ89*VLOOKUP('Données projet (1)'!$B$15,'Paramètres (1)'!$A$1:$I$88,3,0)*VLOOKUP('Données projet (1)'!$B$15,'Paramètres (1)'!$A$1:$I$88,5,0)</f>
        <v>#REF!</v>
      </c>
      <c r="EL89" s="130" t="str">
        <f t="shared" si="134"/>
        <v>#REF!</v>
      </c>
      <c r="EM89" s="141" t="str">
        <f t="shared" si="69"/>
        <v>#REF!</v>
      </c>
      <c r="EN89" s="133" t="str">
        <f t="shared" si="70"/>
        <v>#REF!</v>
      </c>
      <c r="EO89" s="133" t="str">
        <f t="shared" si="71"/>
        <v>#REF!</v>
      </c>
      <c r="EP89" s="133" t="str">
        <f t="shared" si="135"/>
        <v>#REF!</v>
      </c>
      <c r="EQ89" s="134" t="str">
        <f t="shared" si="72"/>
        <v>#REF!</v>
      </c>
      <c r="ER89" s="134" t="str">
        <f t="shared" si="73"/>
        <v>#REF!</v>
      </c>
      <c r="ES89" s="135" t="str">
        <f>IF(ISNA(VLOOKUP(A89,'Données projet (1)'!$A$191:$I$211,5,0)),0%,VLOOKUP(A89,'Données projet (1)'!$A$191:$I$211,5,0)*VLOOKUP('Données projet (1)'!$B$15,'Paramètres (1)'!$A$1:$I$88,7,0))</f>
        <v>#REF!</v>
      </c>
      <c r="ET89" s="135" t="str">
        <f>IF(ISNA(VLOOKUP(A89,'Données projet (1)'!$A$191:$I$211,6,0)),0%,VLOOKUP(A89,'Données projet (1)'!$A$191:$I$211,6,0)*VLOOKUP('Données projet (1)'!$B$15,'Paramètres (1)'!$A$1:$I$88,7,0))</f>
        <v>#REF!</v>
      </c>
      <c r="EU89" s="135" t="str">
        <f t="shared" si="74"/>
        <v>#REF!</v>
      </c>
      <c r="EV89" s="142" t="str">
        <f>EXP(-LN(2)/35)*EV88+(1-EXP(-LN(2)/35))/(LN(2)/35)*ER89*ES89*VLOOKUP('Données projet (1)'!$B$15,'Paramètres (1)'!$A$1:$I$88,3,0)*0.475*44/12</f>
        <v>#REF!</v>
      </c>
      <c r="EW89" s="142" t="str">
        <f>EXP(-LN(2)/25)*EW88+(1-EXP(-LN(2)/25))/(LN(2)/25)*'Calculateur (1)'!ER89*'Calculateur (1)'!ET89*VLOOKUP('Données projet (1)'!$B$15,'Paramètres (1)'!$A$1:$I$88,3,0)*0.475*44/12</f>
        <v>#REF!</v>
      </c>
      <c r="EX89" s="142" t="str">
        <f>EXP(-LN(2)/2)*EX88+(1-EXP(-LN(2)/2))/(LN(2)/2)*ER89*EU89*VLOOKUP('Données projet (1)'!$B$15,'Paramètres (1)'!$A$1:$I$88,3,0)*0.475*44/12</f>
        <v>#REF!</v>
      </c>
      <c r="EY89" s="143" t="str">
        <f t="shared" si="75"/>
        <v>#REF!</v>
      </c>
      <c r="EZ89" s="139" t="str">
        <f t="shared" si="76"/>
        <v>#REF!</v>
      </c>
      <c r="FA89" s="131">
        <f t="shared" si="77"/>
        <v>10</v>
      </c>
      <c r="FB89" s="131" t="str">
        <f t="shared" si="136"/>
        <v>#REF!</v>
      </c>
      <c r="FC89" s="131" t="str">
        <f t="shared" si="78"/>
        <v>#REF!</v>
      </c>
      <c r="FD89" s="131" t="str">
        <f t="array" ref="FD89">INDEX(FC:FC,MIN(IF(ISNUMBER(FC89:FC285),ROW(FC89:FC285),"")))</f>
        <v/>
      </c>
      <c r="FE89" s="131" t="str">
        <f t="shared" si="137"/>
        <v>#REF!</v>
      </c>
      <c r="FF89" s="138" t="str">
        <f>FE89*VLOOKUP('Données projet (1)'!$B$16,'Paramètres (1)'!$A$1:$I$88,3,0)*VLOOKUP('Données projet (1)'!$B$16,'Paramètres (1)'!$A$1:$I$88,5,0)</f>
        <v>#REF!</v>
      </c>
      <c r="FG89" s="130" t="str">
        <f t="shared" si="138"/>
        <v>#REF!</v>
      </c>
      <c r="FH89" s="141" t="str">
        <f t="shared" si="79"/>
        <v>#REF!</v>
      </c>
      <c r="FI89" s="133" t="str">
        <f t="shared" si="80"/>
        <v>#REF!</v>
      </c>
      <c r="FJ89" s="133" t="str">
        <f t="shared" si="81"/>
        <v>#REF!</v>
      </c>
      <c r="FK89" s="133" t="str">
        <f t="shared" si="139"/>
        <v>#REF!</v>
      </c>
      <c r="FL89" s="134" t="str">
        <f t="shared" si="82"/>
        <v>#REF!</v>
      </c>
      <c r="FM89" s="134" t="str">
        <f t="shared" si="83"/>
        <v>#REF!</v>
      </c>
      <c r="FN89" s="135" t="str">
        <f>IF(ISNA(VLOOKUP(A89,'Données projet (1)'!$A$217:$I$237,5,0)),0%,VLOOKUP(A89,'Données projet (1)'!$A$217:$I$237,5,0)*VLOOKUP('Données projet (1)'!$B$16,'Paramètres (1)'!$A$1:$I$88,7,0))</f>
        <v>#REF!</v>
      </c>
      <c r="FO89" s="135" t="str">
        <f>IF(ISNA(VLOOKUP(A89,'Données projet (1)'!$A$217:$I$237,6,0)),0%,VLOOKUP(A89,'Données projet (1)'!$A$217:$I$237,6,0)*VLOOKUP('Données projet (1)'!$B$16,'Paramètres (1)'!$A$1:$I$88,7,0))</f>
        <v>#REF!</v>
      </c>
      <c r="FP89" s="135" t="str">
        <f t="shared" si="84"/>
        <v>#REF!</v>
      </c>
      <c r="FQ89" s="142" t="str">
        <f>EXP(-LN(2)/35)*FQ88+(1-EXP(-LN(2)/35))/(LN(2)/35)*FM89*FN89*VLOOKUP('Données projet (1)'!$B$16,'Paramètres (1)'!$A$1:$I$88,3,0)*0.475*44/12</f>
        <v>#REF!</v>
      </c>
      <c r="FR89" s="142" t="str">
        <f>EXP(-LN(2)/25)*FR88+(1-EXP(-LN(2)/25))/(LN(2)/25)*'Calculateur (1)'!FM89*'Calculateur (1)'!FO89*VLOOKUP('Données projet (1)'!$B$16,'Paramètres (1)'!$A$1:$I$88,3,0)*0.475*44/12</f>
        <v>#REF!</v>
      </c>
      <c r="FS89" s="142" t="str">
        <f>EXP(-LN(2)/2)*FS88+(1-EXP(-LN(2)/2))/(LN(2)/2)*FM89*FP89*VLOOKUP('Données projet (1)'!$B$16,'Paramètres (1)'!$A$1:$I$88,3,0)*0.475*44/12</f>
        <v>#REF!</v>
      </c>
      <c r="FT89" s="143" t="str">
        <f t="shared" si="85"/>
        <v>#REF!</v>
      </c>
      <c r="FU89" s="139" t="str">
        <f t="shared" si="86"/>
        <v>#REF!</v>
      </c>
      <c r="FV89" s="131">
        <f t="shared" si="87"/>
        <v>10</v>
      </c>
      <c r="FW89" s="131" t="str">
        <f t="shared" si="140"/>
        <v>#REF!</v>
      </c>
      <c r="FX89" s="131" t="str">
        <f t="shared" si="88"/>
        <v>#REF!</v>
      </c>
      <c r="FY89" s="131" t="str">
        <f t="array" ref="FY89">INDEX(FX:FX,MIN(IF(ISNUMBER(FX89:FX285),ROW(FX89:FX285),"")))</f>
        <v/>
      </c>
      <c r="FZ89" s="131" t="str">
        <f t="shared" si="141"/>
        <v>#REF!</v>
      </c>
      <c r="GA89" s="138" t="str">
        <f>FZ89*VLOOKUP('Données projet (1)'!$B$17,'Paramètres (1)'!$A$1:$I$88,3,0)*VLOOKUP('Données projet (1)'!$B$17,'Paramètres (1)'!$A$1:$I$88,5,0)</f>
        <v>#REF!</v>
      </c>
      <c r="GB89" s="130" t="str">
        <f t="shared" si="142"/>
        <v>#REF!</v>
      </c>
      <c r="GC89" s="141" t="str">
        <f t="shared" si="89"/>
        <v>#REF!</v>
      </c>
      <c r="GD89" s="133" t="str">
        <f t="shared" si="90"/>
        <v>#REF!</v>
      </c>
      <c r="GE89" s="133" t="str">
        <f t="shared" si="91"/>
        <v>#REF!</v>
      </c>
      <c r="GF89" s="133" t="str">
        <f t="shared" si="143"/>
        <v>#REF!</v>
      </c>
      <c r="GG89" s="134" t="str">
        <f t="shared" si="92"/>
        <v>#REF!</v>
      </c>
      <c r="GH89" s="134" t="str">
        <f t="shared" si="93"/>
        <v>#REF!</v>
      </c>
      <c r="GI89" s="135" t="str">
        <f>IF(ISNA(VLOOKUP(A89,'Données projet (1)'!$A$243:$I$263,5,0)),0%,VLOOKUP(A89,'Données projet (1)'!$A$243:$I$263,5,0)*VLOOKUP('Données projet (1)'!$B$17,'Paramètres (1)'!$A$1:$I$88,7,0))</f>
        <v>#REF!</v>
      </c>
      <c r="GJ89" s="135" t="str">
        <f>IF(ISNA(VLOOKUP(A89,'Données projet (1)'!$A$243:$I$263,6,0)),0%,VLOOKUP(A89,'Données projet (1)'!$A$243:$I$263,6,0)*VLOOKUP('Données projet (1)'!$B$17,'Paramètres (1)'!$A$1:$I$88,7,0))</f>
        <v>#REF!</v>
      </c>
      <c r="GK89" s="135" t="str">
        <f t="shared" si="94"/>
        <v>#REF!</v>
      </c>
      <c r="GL89" s="142" t="str">
        <f>EXP(-LN(2)/35)*GL88+(1-EXP(-LN(2)/35))/(LN(2)/35)*GH89*GI89*VLOOKUP('Données projet (1)'!$B$17,'Paramètres (1)'!$A$1:$I$88,3,0)*0.475*44/12</f>
        <v>#REF!</v>
      </c>
      <c r="GM89" s="142" t="str">
        <f>EXP(-LN(2)/25)*GM88+(1-EXP(-LN(2)/25))/(LN(2)/25)*'Calculateur (1)'!GH89*'Calculateur (1)'!GJ89*VLOOKUP('Données projet (1)'!$B$17,'Paramètres (1)'!$A$1:$I$88,3,0)*0.475*44/12</f>
        <v>#REF!</v>
      </c>
      <c r="GN89" s="142" t="str">
        <f>EXP(-LN(2)/2)*GN88+(1-EXP(-LN(2)/2))/(LN(2)/2)*GH89*GK89*VLOOKUP('Données projet (1)'!$B$17,'Paramètres (1)'!$A$1:$I$88,3,0)*0.475*44/12</f>
        <v>#REF!</v>
      </c>
      <c r="GO89" s="142" t="str">
        <f t="shared" si="95"/>
        <v>#REF!</v>
      </c>
      <c r="GP89" s="139" t="str">
        <f t="shared" si="96"/>
        <v>#REF!</v>
      </c>
      <c r="GQ89" s="131">
        <f t="shared" si="97"/>
        <v>10</v>
      </c>
      <c r="GR89" s="131" t="str">
        <f t="shared" si="144"/>
        <v>#REF!</v>
      </c>
      <c r="GS89" s="131" t="str">
        <f t="shared" si="98"/>
        <v>#REF!</v>
      </c>
      <c r="GT89" s="131" t="str">
        <f t="array" ref="GT89">INDEX(GS:GS,MIN(IF(ISNUMBER(GS89:GS285),ROW(GS89:GS285),"")))</f>
        <v/>
      </c>
      <c r="GU89" s="131" t="str">
        <f t="shared" si="145"/>
        <v>#REF!</v>
      </c>
      <c r="GV89" s="138" t="str">
        <f>GU89*VLOOKUP('Données projet (1)'!$B$18,'Paramètres (1)'!$A$1:$I$88,3,0)*VLOOKUP('Données projet (1)'!$B$18,'Paramètres (1)'!$A$1:$I$88,5,0)</f>
        <v>#REF!</v>
      </c>
      <c r="GW89" s="130" t="str">
        <f t="shared" si="146"/>
        <v>#REF!</v>
      </c>
      <c r="GX89" s="141" t="str">
        <f t="shared" si="99"/>
        <v>#REF!</v>
      </c>
      <c r="GY89" s="133" t="str">
        <f t="shared" si="100"/>
        <v>#REF!</v>
      </c>
      <c r="GZ89" s="133" t="str">
        <f t="shared" si="101"/>
        <v>#REF!</v>
      </c>
      <c r="HA89" s="133" t="str">
        <f t="shared" si="147"/>
        <v>#REF!</v>
      </c>
      <c r="HB89" s="134" t="str">
        <f t="shared" si="102"/>
        <v>#REF!</v>
      </c>
      <c r="HC89" s="134" t="str">
        <f t="shared" si="103"/>
        <v>#REF!</v>
      </c>
      <c r="HD89" s="135" t="str">
        <f>IF(ISNA(VLOOKUP(A89,'Données projet (1)'!$A$269:$I$289,5,0)),0%,VLOOKUP(A89,'Données projet (1)'!$A$269:$I$289,5,0)*VLOOKUP('Données projet (1)'!$B$18,'Paramètres (1)'!$A$1:$I$88,7,0))</f>
        <v>#REF!</v>
      </c>
      <c r="HE89" s="135" t="str">
        <f>IF(ISNA(VLOOKUP(A89,'Données projet (1)'!$A$269:$I$289,6,0)),0%,VLOOKUP(A89,'Données projet (1)'!$A$269:$I$289,6,0)*VLOOKUP('Données projet (1)'!$B$18,'Paramètres (1)'!$A$1:$I$88,7,0))</f>
        <v>#REF!</v>
      </c>
      <c r="HF89" s="135" t="str">
        <f t="shared" si="104"/>
        <v>#REF!</v>
      </c>
      <c r="HG89" s="142" t="str">
        <f>EXP(-LN(2)/35)*HG88+(1-EXP(-LN(2)/35))/(LN(2)/35)*HC89*HD89*VLOOKUP('Données projet (1)'!$B$18,'Paramètres (1)'!$A$1:$I$88,3,0)*0.475*44/12</f>
        <v>#REF!</v>
      </c>
      <c r="HH89" s="142" t="str">
        <f>EXP(-LN(2)/25)*HH88+(1-EXP(-LN(2)/25))/(LN(2)/25)*'Calculateur (1)'!HC89*'Calculateur (1)'!HE89*VLOOKUP('Données projet (1)'!$B$18,'Paramètres (1)'!$A$1:$I$88,3,0)*0.475*44/12</f>
        <v>#REF!</v>
      </c>
      <c r="HI89" s="142" t="str">
        <f>EXP(-LN(2)/2)*HI88+(1-EXP(-LN(2)/2))/(LN(2)/2)*HC89*HF89*VLOOKUP('Données projet (1)'!$B$18,'Paramètres (1)'!$A$1:$I$88,3,0)*0.475*44/12</f>
        <v>#REF!</v>
      </c>
      <c r="HJ89" s="143" t="str">
        <f t="shared" si="105"/>
        <v>#REF!</v>
      </c>
    </row>
    <row r="90" ht="14.25" customHeight="1">
      <c r="A90" s="125">
        <f t="shared" si="106"/>
        <v>87</v>
      </c>
      <c r="B90" s="126" t="str">
        <f t="shared" si="1"/>
        <v>#REF!</v>
      </c>
      <c r="C90" s="140" t="str">
        <f>'Calculateur (1)'!C89+'Scénario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0" s="127">
        <f t="shared" si="107"/>
        <v>0</v>
      </c>
      <c r="E90" s="127" t="str">
        <f t="shared" si="2"/>
        <v>#REF!</v>
      </c>
      <c r="F90" s="127" t="str">
        <f t="shared" si="3"/>
        <v>#REF!</v>
      </c>
      <c r="G90" s="127" t="str">
        <f t="shared" si="4"/>
        <v>#REF!</v>
      </c>
      <c r="H90" s="128" t="str">
        <f t="shared" si="5"/>
        <v>#REF!</v>
      </c>
      <c r="I90" s="129" t="str">
        <f t="shared" si="6"/>
        <v>#REF!</v>
      </c>
      <c r="J90" s="130">
        <f t="shared" si="7"/>
        <v>10</v>
      </c>
      <c r="K90" s="131" t="str">
        <f t="shared" si="108"/>
        <v>#REF!</v>
      </c>
      <c r="L90" s="131" t="str">
        <f t="shared" si="8"/>
        <v>#REF!</v>
      </c>
      <c r="M90" s="131" t="str">
        <f t="array" ref="M90">INDEX(L:L,MIN(IF(ISNUMBER(L90:L286),ROW(L90:L286),"")))</f>
        <v/>
      </c>
      <c r="N90" s="130" t="str">
        <f t="shared" si="109"/>
        <v>#REF!</v>
      </c>
      <c r="O90" s="130" t="str">
        <f>N90*VLOOKUP('Données projet (1)'!$B$9,'Paramètres (1)'!$A$1:$I$88,3,0)*VLOOKUP('Données projet (1)'!$B$9,'Paramètres (1)'!$A$1:$I$88,5,0)</f>
        <v>#REF!</v>
      </c>
      <c r="P90" s="130" t="str">
        <f t="shared" si="110"/>
        <v>#REF!</v>
      </c>
      <c r="Q90" s="141" t="str">
        <f t="shared" si="9"/>
        <v>#REF!</v>
      </c>
      <c r="R90" s="133" t="str">
        <f t="shared" si="10"/>
        <v>#REF!</v>
      </c>
      <c r="S90" s="133" t="str">
        <f t="shared" si="11"/>
        <v>#REF!</v>
      </c>
      <c r="T90" s="133" t="str">
        <f t="shared" si="111"/>
        <v>#REF!</v>
      </c>
      <c r="U90" s="134" t="str">
        <f t="shared" si="12"/>
        <v>#REF!</v>
      </c>
      <c r="V90" s="134" t="str">
        <f t="shared" si="13"/>
        <v>#REF!</v>
      </c>
      <c r="W90" s="135" t="str">
        <f>IF(ISNA(VLOOKUP(A90,'Données projet (1)'!$A$35:$I$55,5,0)),0%,VLOOKUP(A90,'Données projet (1)'!$A$35:$I$55,5,0)*VLOOKUP('Données projet (1)'!$B$9,'Paramètres (1)'!$A$1:$I$88,7,0))</f>
        <v>#REF!</v>
      </c>
      <c r="X90" s="135" t="str">
        <f>IF(ISNA(VLOOKUP(A90,'Données projet (1)'!$A$35:$I$55,6,0)),0%,VLOOKUP(A90,'Données projet (1)'!$A$35:$I$55,6,0)*VLOOKUP('Données projet (1)'!$B$9,'Paramètres (1)'!$A$1:$I$88,7,0))</f>
        <v>#REF!</v>
      </c>
      <c r="Y90" s="135" t="str">
        <f t="shared" si="14"/>
        <v>#REF!</v>
      </c>
      <c r="Z90" s="142" t="str">
        <f>EXP(-LN(2)/35)*Z89+(1-EXP(-LN(2)/35))/(LN(2)/35)*V90*W90*VLOOKUP('Données projet (1)'!$B$9,'Paramètres (1)'!$A$1:$I$88,3,0)*0.475*44/12</f>
        <v>#REF!</v>
      </c>
      <c r="AA90" s="142" t="str">
        <f>EXP(-LN(2)/25)*AA89+(1-EXP(-LN(2)/25))/(LN(2)/25)*'Calculateur (1)'!V90*'Calculateur (1)'!X90*VLOOKUP('Données projet (1)'!$B$9,'Paramètres (1)'!$A$1:$I$88,3,0)*0.475*44/12</f>
        <v>#REF!</v>
      </c>
      <c r="AB90" s="142" t="str">
        <f>EXP(-LN(2)/2)*AB89+(1-EXP(-LN(2)/2))/(LN(2)/2)*V90*Y90*VLOOKUP('Données projet (1)'!$B$9,'Paramètres (1)'!$A$1:$I$88,3,0)*0.475*44/12</f>
        <v>#REF!</v>
      </c>
      <c r="AC90" s="143" t="str">
        <f t="shared" si="15"/>
        <v>#REF!</v>
      </c>
      <c r="AD90" s="130" t="str">
        <f t="shared" si="16"/>
        <v>#REF!</v>
      </c>
      <c r="AE90" s="130">
        <f t="shared" si="17"/>
        <v>10</v>
      </c>
      <c r="AF90" s="131" t="str">
        <f t="shared" si="112"/>
        <v>#REF!</v>
      </c>
      <c r="AG90" s="131" t="str">
        <f t="shared" si="18"/>
        <v>#REF!</v>
      </c>
      <c r="AH90" s="131" t="str">
        <f t="array" ref="AH90">INDEX(AG:AG,MIN(IF(ISNUMBER(AG90:AG286),ROW(AG90:AG286),"")))</f>
        <v/>
      </c>
      <c r="AI90" s="130" t="str">
        <f t="shared" si="113"/>
        <v>#REF!</v>
      </c>
      <c r="AJ90" s="130" t="str">
        <f>AI90*VLOOKUP('Données projet (1)'!$B$10,'Paramètres (1)'!$A$1:$I$88,3,0)*VLOOKUP('Données projet (1)'!$B$10,'Paramètres (1)'!$A$1:$I$88,5,0)</f>
        <v>#REF!</v>
      </c>
      <c r="AK90" s="130" t="str">
        <f t="shared" si="114"/>
        <v>#REF!</v>
      </c>
      <c r="AL90" s="141" t="str">
        <f t="shared" si="19"/>
        <v>#REF!</v>
      </c>
      <c r="AM90" s="133" t="str">
        <f t="shared" si="20"/>
        <v>#REF!</v>
      </c>
      <c r="AN90" s="133" t="str">
        <f t="shared" si="21"/>
        <v>#REF!</v>
      </c>
      <c r="AO90" s="133" t="str">
        <f t="shared" si="115"/>
        <v>#REF!</v>
      </c>
      <c r="AP90" s="134" t="str">
        <f t="shared" si="22"/>
        <v>#REF!</v>
      </c>
      <c r="AQ90" s="134" t="str">
        <f t="shared" si="23"/>
        <v>#REF!</v>
      </c>
      <c r="AR90" s="135" t="str">
        <f>IF(ISNA(VLOOKUP(A90,'Données projet (1)'!$A$61:$I$81,5,0)),0%,VLOOKUP(A90,'Données projet (1)'!$A$61:$I$81,5,0)*VLOOKUP('Données projet (1)'!$B$10,'Paramètres (1)'!$A$1:$I$88,7,0))</f>
        <v>#REF!</v>
      </c>
      <c r="AS90" s="135" t="str">
        <f>IF(ISNA(VLOOKUP(A90,'Données projet (1)'!$A$61:$I$81,6,0)),0%,VLOOKUP(A90,'Données projet (1)'!$A$61:$I$81,6,0)*VLOOKUP('Données projet (1)'!$B$10,'Paramètres (1)'!$A$1:$I$88,7,0))</f>
        <v>#REF!</v>
      </c>
      <c r="AT90" s="135" t="str">
        <f t="shared" si="24"/>
        <v>#REF!</v>
      </c>
      <c r="AU90" s="142" t="str">
        <f>EXP(-LN(2)/35)*AU89+(1-EXP(-LN(2)/35))/(LN(2)/35)*AQ90*AR90*VLOOKUP('Données projet (1)'!$B$10,'Paramètres (1)'!$A$1:$I$88,3,0)*0.475*44/12</f>
        <v>#REF!</v>
      </c>
      <c r="AV90" s="142" t="str">
        <f>EXP(-LN(2)/25)*AV89+(1-EXP(-LN(2)/25))/(LN(2)/25)*'Calculateur (1)'!AQ90*'Calculateur (1)'!AS90*VLOOKUP('Données projet (1)'!$B$10,'Paramètres (1)'!$A$1:$I$88,3,0)*0.475*44/12</f>
        <v>#REF!</v>
      </c>
      <c r="AW90" s="142" t="str">
        <f>EXP(-LN(2)/2)*AW89+(1-EXP(-LN(2)/2))/(LN(2)/2)*AQ90*AT90*VLOOKUP('Données projet (1)'!$B$10,'Paramètres (1)'!$A$1:$I$88,3,0)*0.475*44/12</f>
        <v>#REF!</v>
      </c>
      <c r="AX90" s="142" t="str">
        <f t="shared" si="25"/>
        <v>#REF!</v>
      </c>
      <c r="AY90" s="137" t="str">
        <f t="shared" si="26"/>
        <v>#REF!</v>
      </c>
      <c r="AZ90" s="131">
        <f t="shared" si="27"/>
        <v>10</v>
      </c>
      <c r="BA90" s="131" t="str">
        <f t="shared" si="116"/>
        <v>#REF!</v>
      </c>
      <c r="BB90" s="131" t="str">
        <f t="shared" si="28"/>
        <v>#REF!</v>
      </c>
      <c r="BC90" s="131" t="str">
        <f t="array" ref="BC90">INDEX(BB:BB,MIN(IF(ISNUMBER(BB90:BB286),ROW(BB90:BB286),"")))</f>
        <v/>
      </c>
      <c r="BD90" s="131" t="str">
        <f t="shared" si="117"/>
        <v>#REF!</v>
      </c>
      <c r="BE90" s="130" t="str">
        <f>BD90*VLOOKUP('Données projet (1)'!$B$11,'Paramètres (1)'!$A$1:$I$88,3,0)*VLOOKUP('Données projet (1)'!$B$11,'Paramètres (1)'!$A$1:$I$88,5,0)</f>
        <v>#REF!</v>
      </c>
      <c r="BF90" s="130" t="str">
        <f t="shared" si="118"/>
        <v>#REF!</v>
      </c>
      <c r="BG90" s="141" t="str">
        <f t="shared" si="29"/>
        <v>#REF!</v>
      </c>
      <c r="BH90" s="133" t="str">
        <f t="shared" si="30"/>
        <v>#REF!</v>
      </c>
      <c r="BI90" s="133" t="str">
        <f t="shared" si="31"/>
        <v>#REF!</v>
      </c>
      <c r="BJ90" s="133" t="str">
        <f t="shared" si="119"/>
        <v>#REF!</v>
      </c>
      <c r="BK90" s="134" t="str">
        <f t="shared" si="32"/>
        <v>#REF!</v>
      </c>
      <c r="BL90" s="134" t="str">
        <f t="shared" si="33"/>
        <v>#REF!</v>
      </c>
      <c r="BM90" s="135" t="str">
        <f>IF(ISNA(VLOOKUP(A90,'Données projet (1)'!$A$87:$I$107,5,0)),0%,VLOOKUP(A90,'Données projet (1)'!$A$87:$I$107,5,0)*VLOOKUP('Données projet (1)'!$B$11,'Paramètres (1)'!$A$1:$I$88,7,0))</f>
        <v>#REF!</v>
      </c>
      <c r="BN90" s="135" t="str">
        <f>IF(ISNA(VLOOKUP(A90,'Données projet (1)'!$A$87:$I$107,6,0)),0%,VLOOKUP(A90,'Données projet (1)'!$A$87:$I$107,6,0)*VLOOKUP('Données projet (1)'!$B$11,'Paramètres (1)'!$A$1:$I$88,7,0))</f>
        <v>#REF!</v>
      </c>
      <c r="BO90" s="135" t="str">
        <f t="shared" si="34"/>
        <v>#REF!</v>
      </c>
      <c r="BP90" s="142" t="str">
        <f>EXP(-LN(2)/35)*BP89+(1-EXP(-LN(2)/35))/(LN(2)/35)*BL90*BM90*VLOOKUP('Données projet (1)'!$B$11,'Paramètres (1)'!$A$1:$I$88,3,0)*0.475*44/12</f>
        <v>#REF!</v>
      </c>
      <c r="BQ90" s="142" t="str">
        <f>EXP(-LN(2)/25)*BQ89+(1-EXP(-LN(2)/25))/(LN(2)/25)*'Calculateur (1)'!BL90*'Calculateur (1)'!BN90*VLOOKUP('Données projet (1)'!$B$11,'Paramètres (1)'!$A$1:$I$88,3,0)*0.475*44/12</f>
        <v>#REF!</v>
      </c>
      <c r="BR90" s="142" t="str">
        <f>EXP(-LN(2)/2)*BR89+(1-EXP(-LN(2)/2))/(LN(2)/2)*BL90*BO90*VLOOKUP('Données projet (1)'!$B$11,'Paramètres (1)'!$A$1:$I$88,3,0)*0.475*44/12</f>
        <v>#REF!</v>
      </c>
      <c r="BS90" s="143" t="str">
        <f t="shared" si="35"/>
        <v>#REF!</v>
      </c>
      <c r="BT90" s="139" t="str">
        <f t="shared" si="36"/>
        <v>#REF!</v>
      </c>
      <c r="BU90" s="131">
        <f t="shared" si="37"/>
        <v>10</v>
      </c>
      <c r="BV90" s="131" t="str">
        <f t="shared" si="120"/>
        <v>#REF!</v>
      </c>
      <c r="BW90" s="131" t="str">
        <f t="shared" si="38"/>
        <v>#REF!</v>
      </c>
      <c r="BX90" s="131" t="str">
        <f t="array" ref="BX90">INDEX(BW:BW,MIN(IF(ISNUMBER(BW90:BW286),ROW(BW90:BW286),"")))</f>
        <v/>
      </c>
      <c r="BY90" s="131" t="str">
        <f t="shared" si="121"/>
        <v>#REF!</v>
      </c>
      <c r="BZ90" s="130" t="str">
        <f>BY90*VLOOKUP('Données projet (1)'!$B$12,'Paramètres (1)'!$A$1:$I$88,3,0)*VLOOKUP('Données projet (1)'!$B$12,'Paramètres (1)'!$A$1:$I$88,5,0)</f>
        <v>#REF!</v>
      </c>
      <c r="CA90" s="130" t="str">
        <f t="shared" si="122"/>
        <v>#REF!</v>
      </c>
      <c r="CB90" s="141" t="str">
        <f t="shared" si="39"/>
        <v>#REF!</v>
      </c>
      <c r="CC90" s="133" t="str">
        <f t="shared" si="40"/>
        <v>#REF!</v>
      </c>
      <c r="CD90" s="133" t="str">
        <f t="shared" si="41"/>
        <v>#REF!</v>
      </c>
      <c r="CE90" s="133" t="str">
        <f t="shared" si="123"/>
        <v>#REF!</v>
      </c>
      <c r="CF90" s="134" t="str">
        <f t="shared" si="42"/>
        <v>#REF!</v>
      </c>
      <c r="CG90" s="134" t="str">
        <f t="shared" si="43"/>
        <v>#REF!</v>
      </c>
      <c r="CH90" s="135" t="str">
        <f>IF(ISNA(VLOOKUP(A90,'Données projet (1)'!$A$113:$I$133,5,0)),0%,VLOOKUP(A90,'Données projet (1)'!$A$113:$I$133,5,0)*VLOOKUP('Données projet (1)'!$B$12,'Paramètres (1)'!$A$1:$I$88,7,0))</f>
        <v>#REF!</v>
      </c>
      <c r="CI90" s="135" t="str">
        <f>IF(ISNA(VLOOKUP(A90,'Données projet (1)'!$A$113:$I$133,6,0)),0%,VLOOKUP(A90,'Données projet (1)'!$A$113:$I$133,6,0)*VLOOKUP('Données projet (1)'!$B$12,'Paramètres (1)'!$A$1:$I$88,7,0))</f>
        <v>#REF!</v>
      </c>
      <c r="CJ90" s="135" t="str">
        <f t="shared" si="44"/>
        <v>#REF!</v>
      </c>
      <c r="CK90" s="142" t="str">
        <f>EXP(-LN(2)/35)*CK89+(1-EXP(-LN(2)/35))/(LN(2)/35)*CG90*CH90*VLOOKUP('Données projet (1)'!$B$12,'Paramètres (1)'!$A$1:$I$88,3,0)*0.475*44/12</f>
        <v>#REF!</v>
      </c>
      <c r="CL90" s="142" t="str">
        <f>EXP(-LN(2)/25)*CL89+(1-EXP(-LN(2)/25))/(LN(2)/25)*'Calculateur (1)'!CG90*'Calculateur (1)'!CI90*VLOOKUP('Données projet (1)'!$B$12,'Paramètres (1)'!$A$1:$I$88,3,0)*0.475*44/12</f>
        <v>#REF!</v>
      </c>
      <c r="CM90" s="142" t="str">
        <f>EXP(-LN(2)/2)*CM89+(1-EXP(-LN(2)/2))/(LN(2)/2)*CG90*CJ90*VLOOKUP('Données projet (1)'!$B$12,'Paramètres (1)'!$A$1:$I$88,3,0)*0.475*44/12</f>
        <v>#REF!</v>
      </c>
      <c r="CN90" s="143" t="str">
        <f t="shared" si="45"/>
        <v>#REF!</v>
      </c>
      <c r="CO90" s="139" t="str">
        <f t="shared" si="46"/>
        <v>#REF!</v>
      </c>
      <c r="CP90" s="131">
        <f t="shared" si="47"/>
        <v>10</v>
      </c>
      <c r="CQ90" s="131" t="str">
        <f t="shared" si="124"/>
        <v>#REF!</v>
      </c>
      <c r="CR90" s="131" t="str">
        <f t="shared" si="48"/>
        <v>#REF!</v>
      </c>
      <c r="CS90" s="131" t="str">
        <f t="array" ref="CS90">INDEX(CR:CR,MIN(IF(ISNUMBER(CR90:CR286),ROW(CR90:CR286),"")))</f>
        <v/>
      </c>
      <c r="CT90" s="131" t="str">
        <f t="shared" si="125"/>
        <v>#REF!</v>
      </c>
      <c r="CU90" s="138" t="str">
        <f>CT90*VLOOKUP('Données projet (1)'!$B$13,'Paramètres (1)'!$A$1:$I$88,3,0)*VLOOKUP('Données projet (1)'!$B$13,'Paramètres (1)'!$A$1:$I$88,5,0)</f>
        <v>#REF!</v>
      </c>
      <c r="CV90" s="130" t="str">
        <f t="shared" si="126"/>
        <v>#REF!</v>
      </c>
      <c r="CW90" s="141" t="str">
        <f t="shared" si="49"/>
        <v>#REF!</v>
      </c>
      <c r="CX90" s="133" t="str">
        <f t="shared" si="50"/>
        <v>#REF!</v>
      </c>
      <c r="CY90" s="133" t="str">
        <f t="shared" si="51"/>
        <v>#REF!</v>
      </c>
      <c r="CZ90" s="133" t="str">
        <f t="shared" si="127"/>
        <v>#REF!</v>
      </c>
      <c r="DA90" s="134" t="str">
        <f t="shared" si="52"/>
        <v>#REF!</v>
      </c>
      <c r="DB90" s="134" t="str">
        <f t="shared" si="53"/>
        <v>#REF!</v>
      </c>
      <c r="DC90" s="135" t="str">
        <f>IF(ISNA(VLOOKUP(A90,'Données projet (1)'!$A$139:$I$159,5,0)),0%,VLOOKUP(A90,'Données projet (1)'!$A$139:$I$159,5,0)*VLOOKUP('Données projet (1)'!$B$13,'Paramètres (1)'!$A$1:$I$88,7,0))</f>
        <v>#REF!</v>
      </c>
      <c r="DD90" s="135" t="str">
        <f>IF(ISNA(VLOOKUP(A90,'Données projet (1)'!$A$139:$I$159,6,0)),0%,VLOOKUP(A90,'Données projet (1)'!$A$139:$I$159,6,0)*VLOOKUP('Données projet (1)'!$B$13,'Paramètres (1)'!$A$1:$I$88,7,0))</f>
        <v>#REF!</v>
      </c>
      <c r="DE90" s="135" t="str">
        <f t="shared" si="54"/>
        <v>#REF!</v>
      </c>
      <c r="DF90" s="142" t="str">
        <f>EXP(-LN(2)/35)*DF89+(1-EXP(-LN(2)/35))/(LN(2)/35)*DB90*DC90*VLOOKUP('Données projet (1)'!$B$13,'Paramètres (1)'!$A$1:$I$88,3,0)*0.475*44/12</f>
        <v>#REF!</v>
      </c>
      <c r="DG90" s="142" t="str">
        <f>EXP(-LN(2)/25)*DG89+(1-EXP(-LN(2)/25))/(LN(2)/25)*'Calculateur (1)'!DB90*'Calculateur (1)'!DD90*VLOOKUP('Données projet (1)'!$B$13,'Paramètres (1)'!$A$1:$I$88,3,0)*0.475*44/12</f>
        <v>#REF!</v>
      </c>
      <c r="DH90" s="142" t="str">
        <f>EXP(-LN(2)/2)*DH89+(1-EXP(-LN(2)/2))/(LN(2)/2)*DB90*DE90*VLOOKUP('Données projet (1)'!$B$13,'Paramètres (1)'!$A$1:$I$88,3,0)*0.475*44/12</f>
        <v>#REF!</v>
      </c>
      <c r="DI90" s="143" t="str">
        <f t="shared" si="55"/>
        <v>#REF!</v>
      </c>
      <c r="DJ90" s="139" t="str">
        <f t="shared" si="56"/>
        <v>#REF!</v>
      </c>
      <c r="DK90" s="131">
        <f t="shared" si="57"/>
        <v>10</v>
      </c>
      <c r="DL90" s="131" t="str">
        <f t="shared" si="128"/>
        <v>#REF!</v>
      </c>
      <c r="DM90" s="131" t="str">
        <f t="shared" si="58"/>
        <v>#REF!</v>
      </c>
      <c r="DN90" s="131" t="str">
        <f t="array" ref="DN90">INDEX(DM:DM,MIN(IF(ISNUMBER(DM90:DM286),ROW(DM90:DM286),"")))</f>
        <v/>
      </c>
      <c r="DO90" s="131" t="str">
        <f t="shared" si="129"/>
        <v>#REF!</v>
      </c>
      <c r="DP90" s="138" t="str">
        <f>DO90*VLOOKUP('Données projet (1)'!$B$14,'Paramètres (1)'!$A$1:$I$88,3,0)*VLOOKUP('Données projet (1)'!$B$14,'Paramètres (1)'!$A$1:$I$88,5,0)</f>
        <v>#REF!</v>
      </c>
      <c r="DQ90" s="130" t="str">
        <f t="shared" si="130"/>
        <v>#REF!</v>
      </c>
      <c r="DR90" s="141" t="str">
        <f t="shared" si="59"/>
        <v>#REF!</v>
      </c>
      <c r="DS90" s="133" t="str">
        <f t="shared" si="60"/>
        <v>#REF!</v>
      </c>
      <c r="DT90" s="133" t="str">
        <f t="shared" si="61"/>
        <v>#REF!</v>
      </c>
      <c r="DU90" s="133" t="str">
        <f t="shared" si="131"/>
        <v>#REF!</v>
      </c>
      <c r="DV90" s="134" t="str">
        <f t="shared" si="62"/>
        <v>#REF!</v>
      </c>
      <c r="DW90" s="134" t="str">
        <f t="shared" si="63"/>
        <v>#REF!</v>
      </c>
      <c r="DX90" s="135" t="str">
        <f>IF(ISNA(VLOOKUP(A90,'Données projet (1)'!$A$165:$I$185,5,0)),0%,VLOOKUP(A90,'Données projet (1)'!$A$165:$I$185,5,0)*VLOOKUP('Données projet (1)'!$B$14,'Paramètres (1)'!$A$1:$I$88,7,0))</f>
        <v>#REF!</v>
      </c>
      <c r="DY90" s="135" t="str">
        <f>IF(ISNA(VLOOKUP(A90,'Données projet (1)'!$A$165:$I$185,6,0)),0%,VLOOKUP(A90,'Données projet (1)'!$A$165:$I$185,6,0)*VLOOKUP('Données projet (1)'!$B$14,'Paramètres (1)'!$A$1:$I$88,7,0))</f>
        <v>#REF!</v>
      </c>
      <c r="DZ90" s="135" t="str">
        <f t="shared" si="64"/>
        <v>#REF!</v>
      </c>
      <c r="EA90" s="142" t="str">
        <f>EXP(-LN(2)/35)*EA89+(1-EXP(-LN(2)/35))/(LN(2)/35)*DW90*DX90*VLOOKUP('Données projet (1)'!$B$14,'Paramètres (1)'!$A$1:$I$88,3,0)*0.475*44/12</f>
        <v>#REF!</v>
      </c>
      <c r="EB90" s="142" t="str">
        <f>EXP(-LN(2)/25)*EB89+(1-EXP(-LN(2)/25))/(LN(2)/25)*'Calculateur (1)'!DW90*'Calculateur (1)'!DY90*VLOOKUP('Données projet (1)'!$B$14,'Paramètres (1)'!$A$1:$I$88,3,0)*0.475*44/12</f>
        <v>#REF!</v>
      </c>
      <c r="EC90" s="142" t="str">
        <f>EXP(-LN(2)/2)*EC89+(1-EXP(-LN(2)/2))/(LN(2)/2)*DW90*DZ90*VLOOKUP('Données projet (1)'!$B$14,'Paramètres (1)'!$A$1:$I$88,3,0)*0.475*44/12</f>
        <v>#REF!</v>
      </c>
      <c r="ED90" s="143" t="str">
        <f t="shared" si="65"/>
        <v>#REF!</v>
      </c>
      <c r="EE90" s="139" t="str">
        <f t="shared" si="66"/>
        <v>#REF!</v>
      </c>
      <c r="EF90" s="131">
        <f t="shared" si="67"/>
        <v>10</v>
      </c>
      <c r="EG90" s="131" t="str">
        <f t="shared" si="132"/>
        <v>#REF!</v>
      </c>
      <c r="EH90" s="131" t="str">
        <f t="shared" si="68"/>
        <v>#REF!</v>
      </c>
      <c r="EI90" s="131" t="str">
        <f t="array" ref="EI90">INDEX(EH:EH,MIN(IF(ISNUMBER(EH90:EH286),ROW(EH90:EH286),"")))</f>
        <v/>
      </c>
      <c r="EJ90" s="131" t="str">
        <f t="shared" si="133"/>
        <v>#REF!</v>
      </c>
      <c r="EK90" s="138" t="str">
        <f>EJ90*VLOOKUP('Données projet (1)'!$B$15,'Paramètres (1)'!$A$1:$I$88,3,0)*VLOOKUP('Données projet (1)'!$B$15,'Paramètres (1)'!$A$1:$I$88,5,0)</f>
        <v>#REF!</v>
      </c>
      <c r="EL90" s="130" t="str">
        <f t="shared" si="134"/>
        <v>#REF!</v>
      </c>
      <c r="EM90" s="141" t="str">
        <f t="shared" si="69"/>
        <v>#REF!</v>
      </c>
      <c r="EN90" s="133" t="str">
        <f t="shared" si="70"/>
        <v>#REF!</v>
      </c>
      <c r="EO90" s="133" t="str">
        <f t="shared" si="71"/>
        <v>#REF!</v>
      </c>
      <c r="EP90" s="133" t="str">
        <f t="shared" si="135"/>
        <v>#REF!</v>
      </c>
      <c r="EQ90" s="134" t="str">
        <f t="shared" si="72"/>
        <v>#REF!</v>
      </c>
      <c r="ER90" s="134" t="str">
        <f t="shared" si="73"/>
        <v>#REF!</v>
      </c>
      <c r="ES90" s="135" t="str">
        <f>IF(ISNA(VLOOKUP(A90,'Données projet (1)'!$A$191:$I$211,5,0)),0%,VLOOKUP(A90,'Données projet (1)'!$A$191:$I$211,5,0)*VLOOKUP('Données projet (1)'!$B$15,'Paramètres (1)'!$A$1:$I$88,7,0))</f>
        <v>#REF!</v>
      </c>
      <c r="ET90" s="135" t="str">
        <f>IF(ISNA(VLOOKUP(A90,'Données projet (1)'!$A$191:$I$211,6,0)),0%,VLOOKUP(A90,'Données projet (1)'!$A$191:$I$211,6,0)*VLOOKUP('Données projet (1)'!$B$15,'Paramètres (1)'!$A$1:$I$88,7,0))</f>
        <v>#REF!</v>
      </c>
      <c r="EU90" s="135" t="str">
        <f t="shared" si="74"/>
        <v>#REF!</v>
      </c>
      <c r="EV90" s="142" t="str">
        <f>EXP(-LN(2)/35)*EV89+(1-EXP(-LN(2)/35))/(LN(2)/35)*ER90*ES90*VLOOKUP('Données projet (1)'!$B$15,'Paramètres (1)'!$A$1:$I$88,3,0)*0.475*44/12</f>
        <v>#REF!</v>
      </c>
      <c r="EW90" s="142" t="str">
        <f>EXP(-LN(2)/25)*EW89+(1-EXP(-LN(2)/25))/(LN(2)/25)*'Calculateur (1)'!ER90*'Calculateur (1)'!ET90*VLOOKUP('Données projet (1)'!$B$15,'Paramètres (1)'!$A$1:$I$88,3,0)*0.475*44/12</f>
        <v>#REF!</v>
      </c>
      <c r="EX90" s="142" t="str">
        <f>EXP(-LN(2)/2)*EX89+(1-EXP(-LN(2)/2))/(LN(2)/2)*ER90*EU90*VLOOKUP('Données projet (1)'!$B$15,'Paramètres (1)'!$A$1:$I$88,3,0)*0.475*44/12</f>
        <v>#REF!</v>
      </c>
      <c r="EY90" s="143" t="str">
        <f t="shared" si="75"/>
        <v>#REF!</v>
      </c>
      <c r="EZ90" s="139" t="str">
        <f t="shared" si="76"/>
        <v>#REF!</v>
      </c>
      <c r="FA90" s="131">
        <f t="shared" si="77"/>
        <v>10</v>
      </c>
      <c r="FB90" s="131" t="str">
        <f t="shared" si="136"/>
        <v>#REF!</v>
      </c>
      <c r="FC90" s="131" t="str">
        <f t="shared" si="78"/>
        <v>#REF!</v>
      </c>
      <c r="FD90" s="131" t="str">
        <f t="array" ref="FD90">INDEX(FC:FC,MIN(IF(ISNUMBER(FC90:FC286),ROW(FC90:FC286),"")))</f>
        <v/>
      </c>
      <c r="FE90" s="131" t="str">
        <f t="shared" si="137"/>
        <v>#REF!</v>
      </c>
      <c r="FF90" s="138" t="str">
        <f>FE90*VLOOKUP('Données projet (1)'!$B$16,'Paramètres (1)'!$A$1:$I$88,3,0)*VLOOKUP('Données projet (1)'!$B$16,'Paramètres (1)'!$A$1:$I$88,5,0)</f>
        <v>#REF!</v>
      </c>
      <c r="FG90" s="130" t="str">
        <f t="shared" si="138"/>
        <v>#REF!</v>
      </c>
      <c r="FH90" s="141" t="str">
        <f t="shared" si="79"/>
        <v>#REF!</v>
      </c>
      <c r="FI90" s="133" t="str">
        <f t="shared" si="80"/>
        <v>#REF!</v>
      </c>
      <c r="FJ90" s="133" t="str">
        <f t="shared" si="81"/>
        <v>#REF!</v>
      </c>
      <c r="FK90" s="133" t="str">
        <f t="shared" si="139"/>
        <v>#REF!</v>
      </c>
      <c r="FL90" s="134" t="str">
        <f t="shared" si="82"/>
        <v>#REF!</v>
      </c>
      <c r="FM90" s="134" t="str">
        <f t="shared" si="83"/>
        <v>#REF!</v>
      </c>
      <c r="FN90" s="135" t="str">
        <f>IF(ISNA(VLOOKUP(A90,'Données projet (1)'!$A$217:$I$237,5,0)),0%,VLOOKUP(A90,'Données projet (1)'!$A$217:$I$237,5,0)*VLOOKUP('Données projet (1)'!$B$16,'Paramètres (1)'!$A$1:$I$88,7,0))</f>
        <v>#REF!</v>
      </c>
      <c r="FO90" s="135" t="str">
        <f>IF(ISNA(VLOOKUP(A90,'Données projet (1)'!$A$217:$I$237,6,0)),0%,VLOOKUP(A90,'Données projet (1)'!$A$217:$I$237,6,0)*VLOOKUP('Données projet (1)'!$B$16,'Paramètres (1)'!$A$1:$I$88,7,0))</f>
        <v>#REF!</v>
      </c>
      <c r="FP90" s="135" t="str">
        <f t="shared" si="84"/>
        <v>#REF!</v>
      </c>
      <c r="FQ90" s="142" t="str">
        <f>EXP(-LN(2)/35)*FQ89+(1-EXP(-LN(2)/35))/(LN(2)/35)*FM90*FN90*VLOOKUP('Données projet (1)'!$B$16,'Paramètres (1)'!$A$1:$I$88,3,0)*0.475*44/12</f>
        <v>#REF!</v>
      </c>
      <c r="FR90" s="142" t="str">
        <f>EXP(-LN(2)/25)*FR89+(1-EXP(-LN(2)/25))/(LN(2)/25)*'Calculateur (1)'!FM90*'Calculateur (1)'!FO90*VLOOKUP('Données projet (1)'!$B$16,'Paramètres (1)'!$A$1:$I$88,3,0)*0.475*44/12</f>
        <v>#REF!</v>
      </c>
      <c r="FS90" s="142" t="str">
        <f>EXP(-LN(2)/2)*FS89+(1-EXP(-LN(2)/2))/(LN(2)/2)*FM90*FP90*VLOOKUP('Données projet (1)'!$B$16,'Paramètres (1)'!$A$1:$I$88,3,0)*0.475*44/12</f>
        <v>#REF!</v>
      </c>
      <c r="FT90" s="143" t="str">
        <f t="shared" si="85"/>
        <v>#REF!</v>
      </c>
      <c r="FU90" s="139" t="str">
        <f t="shared" si="86"/>
        <v>#REF!</v>
      </c>
      <c r="FV90" s="131">
        <f t="shared" si="87"/>
        <v>10</v>
      </c>
      <c r="FW90" s="131" t="str">
        <f t="shared" si="140"/>
        <v>#REF!</v>
      </c>
      <c r="FX90" s="131" t="str">
        <f t="shared" si="88"/>
        <v>#REF!</v>
      </c>
      <c r="FY90" s="131" t="str">
        <f t="array" ref="FY90">INDEX(FX:FX,MIN(IF(ISNUMBER(FX90:FX286),ROW(FX90:FX286),"")))</f>
        <v/>
      </c>
      <c r="FZ90" s="131" t="str">
        <f t="shared" si="141"/>
        <v>#REF!</v>
      </c>
      <c r="GA90" s="138" t="str">
        <f>FZ90*VLOOKUP('Données projet (1)'!$B$17,'Paramètres (1)'!$A$1:$I$88,3,0)*VLOOKUP('Données projet (1)'!$B$17,'Paramètres (1)'!$A$1:$I$88,5,0)</f>
        <v>#REF!</v>
      </c>
      <c r="GB90" s="130" t="str">
        <f t="shared" si="142"/>
        <v>#REF!</v>
      </c>
      <c r="GC90" s="141" t="str">
        <f t="shared" si="89"/>
        <v>#REF!</v>
      </c>
      <c r="GD90" s="133" t="str">
        <f t="shared" si="90"/>
        <v>#REF!</v>
      </c>
      <c r="GE90" s="133" t="str">
        <f t="shared" si="91"/>
        <v>#REF!</v>
      </c>
      <c r="GF90" s="133" t="str">
        <f t="shared" si="143"/>
        <v>#REF!</v>
      </c>
      <c r="GG90" s="134" t="str">
        <f t="shared" si="92"/>
        <v>#REF!</v>
      </c>
      <c r="GH90" s="134" t="str">
        <f t="shared" si="93"/>
        <v>#REF!</v>
      </c>
      <c r="GI90" s="135" t="str">
        <f>IF(ISNA(VLOOKUP(A90,'Données projet (1)'!$A$243:$I$263,5,0)),0%,VLOOKUP(A90,'Données projet (1)'!$A$243:$I$263,5,0)*VLOOKUP('Données projet (1)'!$B$17,'Paramètres (1)'!$A$1:$I$88,7,0))</f>
        <v>#REF!</v>
      </c>
      <c r="GJ90" s="135" t="str">
        <f>IF(ISNA(VLOOKUP(A90,'Données projet (1)'!$A$243:$I$263,6,0)),0%,VLOOKUP(A90,'Données projet (1)'!$A$243:$I$263,6,0)*VLOOKUP('Données projet (1)'!$B$17,'Paramètres (1)'!$A$1:$I$88,7,0))</f>
        <v>#REF!</v>
      </c>
      <c r="GK90" s="135" t="str">
        <f t="shared" si="94"/>
        <v>#REF!</v>
      </c>
      <c r="GL90" s="142" t="str">
        <f>EXP(-LN(2)/35)*GL89+(1-EXP(-LN(2)/35))/(LN(2)/35)*GH90*GI90*VLOOKUP('Données projet (1)'!$B$17,'Paramètres (1)'!$A$1:$I$88,3,0)*0.475*44/12</f>
        <v>#REF!</v>
      </c>
      <c r="GM90" s="142" t="str">
        <f>EXP(-LN(2)/25)*GM89+(1-EXP(-LN(2)/25))/(LN(2)/25)*'Calculateur (1)'!GH90*'Calculateur (1)'!GJ90*VLOOKUP('Données projet (1)'!$B$17,'Paramètres (1)'!$A$1:$I$88,3,0)*0.475*44/12</f>
        <v>#REF!</v>
      </c>
      <c r="GN90" s="142" t="str">
        <f>EXP(-LN(2)/2)*GN89+(1-EXP(-LN(2)/2))/(LN(2)/2)*GH90*GK90*VLOOKUP('Données projet (1)'!$B$17,'Paramètres (1)'!$A$1:$I$88,3,0)*0.475*44/12</f>
        <v>#REF!</v>
      </c>
      <c r="GO90" s="142" t="str">
        <f t="shared" si="95"/>
        <v>#REF!</v>
      </c>
      <c r="GP90" s="139" t="str">
        <f t="shared" si="96"/>
        <v>#REF!</v>
      </c>
      <c r="GQ90" s="131">
        <f t="shared" si="97"/>
        <v>10</v>
      </c>
      <c r="GR90" s="131" t="str">
        <f t="shared" si="144"/>
        <v>#REF!</v>
      </c>
      <c r="GS90" s="131" t="str">
        <f t="shared" si="98"/>
        <v>#REF!</v>
      </c>
      <c r="GT90" s="131" t="str">
        <f t="array" ref="GT90">INDEX(GS:GS,MIN(IF(ISNUMBER(GS90:GS286),ROW(GS90:GS286),"")))</f>
        <v/>
      </c>
      <c r="GU90" s="131" t="str">
        <f t="shared" si="145"/>
        <v>#REF!</v>
      </c>
      <c r="GV90" s="138" t="str">
        <f>GU90*VLOOKUP('Données projet (1)'!$B$18,'Paramètres (1)'!$A$1:$I$88,3,0)*VLOOKUP('Données projet (1)'!$B$18,'Paramètres (1)'!$A$1:$I$88,5,0)</f>
        <v>#REF!</v>
      </c>
      <c r="GW90" s="130" t="str">
        <f t="shared" si="146"/>
        <v>#REF!</v>
      </c>
      <c r="GX90" s="141" t="str">
        <f t="shared" si="99"/>
        <v>#REF!</v>
      </c>
      <c r="GY90" s="133" t="str">
        <f t="shared" si="100"/>
        <v>#REF!</v>
      </c>
      <c r="GZ90" s="133" t="str">
        <f t="shared" si="101"/>
        <v>#REF!</v>
      </c>
      <c r="HA90" s="133" t="str">
        <f t="shared" si="147"/>
        <v>#REF!</v>
      </c>
      <c r="HB90" s="134" t="str">
        <f t="shared" si="102"/>
        <v>#REF!</v>
      </c>
      <c r="HC90" s="134" t="str">
        <f t="shared" si="103"/>
        <v>#REF!</v>
      </c>
      <c r="HD90" s="135" t="str">
        <f>IF(ISNA(VLOOKUP(A90,'Données projet (1)'!$A$269:$I$289,5,0)),0%,VLOOKUP(A90,'Données projet (1)'!$A$269:$I$289,5,0)*VLOOKUP('Données projet (1)'!$B$18,'Paramètres (1)'!$A$1:$I$88,7,0))</f>
        <v>#REF!</v>
      </c>
      <c r="HE90" s="135" t="str">
        <f>IF(ISNA(VLOOKUP(A90,'Données projet (1)'!$A$269:$I$289,6,0)),0%,VLOOKUP(A90,'Données projet (1)'!$A$269:$I$289,6,0)*VLOOKUP('Données projet (1)'!$B$18,'Paramètres (1)'!$A$1:$I$88,7,0))</f>
        <v>#REF!</v>
      </c>
      <c r="HF90" s="135" t="str">
        <f t="shared" si="104"/>
        <v>#REF!</v>
      </c>
      <c r="HG90" s="142" t="str">
        <f>EXP(-LN(2)/35)*HG89+(1-EXP(-LN(2)/35))/(LN(2)/35)*HC90*HD90*VLOOKUP('Données projet (1)'!$B$18,'Paramètres (1)'!$A$1:$I$88,3,0)*0.475*44/12</f>
        <v>#REF!</v>
      </c>
      <c r="HH90" s="142" t="str">
        <f>EXP(-LN(2)/25)*HH89+(1-EXP(-LN(2)/25))/(LN(2)/25)*'Calculateur (1)'!HC90*'Calculateur (1)'!HE90*VLOOKUP('Données projet (1)'!$B$18,'Paramètres (1)'!$A$1:$I$88,3,0)*0.475*44/12</f>
        <v>#REF!</v>
      </c>
      <c r="HI90" s="142" t="str">
        <f>EXP(-LN(2)/2)*HI89+(1-EXP(-LN(2)/2))/(LN(2)/2)*HC90*HF90*VLOOKUP('Données projet (1)'!$B$18,'Paramètres (1)'!$A$1:$I$88,3,0)*0.475*44/12</f>
        <v>#REF!</v>
      </c>
      <c r="HJ90" s="143" t="str">
        <f t="shared" si="105"/>
        <v>#REF!</v>
      </c>
    </row>
    <row r="91" ht="14.25" customHeight="1">
      <c r="A91" s="125">
        <f t="shared" si="106"/>
        <v>88</v>
      </c>
      <c r="B91" s="126" t="str">
        <f t="shared" si="1"/>
        <v>#REF!</v>
      </c>
      <c r="C91" s="140" t="str">
        <f>'Calculateur (1)'!C90+'Scénario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1" s="127">
        <f t="shared" si="107"/>
        <v>0</v>
      </c>
      <c r="E91" s="127" t="str">
        <f t="shared" si="2"/>
        <v>#REF!</v>
      </c>
      <c r="F91" s="127" t="str">
        <f t="shared" si="3"/>
        <v>#REF!</v>
      </c>
      <c r="G91" s="127" t="str">
        <f t="shared" si="4"/>
        <v>#REF!</v>
      </c>
      <c r="H91" s="128" t="str">
        <f t="shared" si="5"/>
        <v>#REF!</v>
      </c>
      <c r="I91" s="129" t="str">
        <f t="shared" si="6"/>
        <v>#REF!</v>
      </c>
      <c r="J91" s="130">
        <f t="shared" si="7"/>
        <v>10</v>
      </c>
      <c r="K91" s="131" t="str">
        <f t="shared" si="108"/>
        <v>#REF!</v>
      </c>
      <c r="L91" s="131" t="str">
        <f t="shared" si="8"/>
        <v>#REF!</v>
      </c>
      <c r="M91" s="131" t="str">
        <f t="array" ref="M91">INDEX(L:L,MIN(IF(ISNUMBER(L91:L287),ROW(L91:L287),"")))</f>
        <v/>
      </c>
      <c r="N91" s="130" t="str">
        <f t="shared" si="109"/>
        <v>#REF!</v>
      </c>
      <c r="O91" s="130" t="str">
        <f>N91*VLOOKUP('Données projet (1)'!$B$9,'Paramètres (1)'!$A$1:$I$88,3,0)*VLOOKUP('Données projet (1)'!$B$9,'Paramètres (1)'!$A$1:$I$88,5,0)</f>
        <v>#REF!</v>
      </c>
      <c r="P91" s="130" t="str">
        <f t="shared" si="110"/>
        <v>#REF!</v>
      </c>
      <c r="Q91" s="141" t="str">
        <f t="shared" si="9"/>
        <v>#REF!</v>
      </c>
      <c r="R91" s="133" t="str">
        <f t="shared" si="10"/>
        <v>#REF!</v>
      </c>
      <c r="S91" s="133" t="str">
        <f t="shared" si="11"/>
        <v>#REF!</v>
      </c>
      <c r="T91" s="133" t="str">
        <f t="shared" si="111"/>
        <v>#REF!</v>
      </c>
      <c r="U91" s="134" t="str">
        <f t="shared" si="12"/>
        <v>#REF!</v>
      </c>
      <c r="V91" s="134" t="str">
        <f t="shared" si="13"/>
        <v>#REF!</v>
      </c>
      <c r="W91" s="135" t="str">
        <f>IF(ISNA(VLOOKUP(A91,'Données projet (1)'!$A$35:$I$55,5,0)),0%,VLOOKUP(A91,'Données projet (1)'!$A$35:$I$55,5,0)*VLOOKUP('Données projet (1)'!$B$9,'Paramètres (1)'!$A$1:$I$88,7,0))</f>
        <v>#REF!</v>
      </c>
      <c r="X91" s="135" t="str">
        <f>IF(ISNA(VLOOKUP(A91,'Données projet (1)'!$A$35:$I$55,6,0)),0%,VLOOKUP(A91,'Données projet (1)'!$A$35:$I$55,6,0)*VLOOKUP('Données projet (1)'!$B$9,'Paramètres (1)'!$A$1:$I$88,7,0))</f>
        <v>#REF!</v>
      </c>
      <c r="Y91" s="135" t="str">
        <f t="shared" si="14"/>
        <v>#REF!</v>
      </c>
      <c r="Z91" s="142" t="str">
        <f>EXP(-LN(2)/35)*Z90+(1-EXP(-LN(2)/35))/(LN(2)/35)*V91*W91*VLOOKUP('Données projet (1)'!$B$9,'Paramètres (1)'!$A$1:$I$88,3,0)*0.475*44/12</f>
        <v>#REF!</v>
      </c>
      <c r="AA91" s="142" t="str">
        <f>EXP(-LN(2)/25)*AA90+(1-EXP(-LN(2)/25))/(LN(2)/25)*'Calculateur (1)'!V91*'Calculateur (1)'!X91*VLOOKUP('Données projet (1)'!$B$9,'Paramètres (1)'!$A$1:$I$88,3,0)*0.475*44/12</f>
        <v>#REF!</v>
      </c>
      <c r="AB91" s="142" t="str">
        <f>EXP(-LN(2)/2)*AB90+(1-EXP(-LN(2)/2))/(LN(2)/2)*V91*Y91*VLOOKUP('Données projet (1)'!$B$9,'Paramètres (1)'!$A$1:$I$88,3,0)*0.475*44/12</f>
        <v>#REF!</v>
      </c>
      <c r="AC91" s="143" t="str">
        <f t="shared" si="15"/>
        <v>#REF!</v>
      </c>
      <c r="AD91" s="130" t="str">
        <f t="shared" si="16"/>
        <v>#REF!</v>
      </c>
      <c r="AE91" s="130">
        <f t="shared" si="17"/>
        <v>10</v>
      </c>
      <c r="AF91" s="131" t="str">
        <f t="shared" si="112"/>
        <v>#REF!</v>
      </c>
      <c r="AG91" s="131" t="str">
        <f t="shared" si="18"/>
        <v>#REF!</v>
      </c>
      <c r="AH91" s="131" t="str">
        <f t="array" ref="AH91">INDEX(AG:AG,MIN(IF(ISNUMBER(AG91:AG287),ROW(AG91:AG287),"")))</f>
        <v/>
      </c>
      <c r="AI91" s="130" t="str">
        <f t="shared" si="113"/>
        <v>#REF!</v>
      </c>
      <c r="AJ91" s="130" t="str">
        <f>AI91*VLOOKUP('Données projet (1)'!$B$10,'Paramètres (1)'!$A$1:$I$88,3,0)*VLOOKUP('Données projet (1)'!$B$10,'Paramètres (1)'!$A$1:$I$88,5,0)</f>
        <v>#REF!</v>
      </c>
      <c r="AK91" s="130" t="str">
        <f t="shared" si="114"/>
        <v>#REF!</v>
      </c>
      <c r="AL91" s="141" t="str">
        <f t="shared" si="19"/>
        <v>#REF!</v>
      </c>
      <c r="AM91" s="133" t="str">
        <f t="shared" si="20"/>
        <v>#REF!</v>
      </c>
      <c r="AN91" s="133" t="str">
        <f t="shared" si="21"/>
        <v>#REF!</v>
      </c>
      <c r="AO91" s="133" t="str">
        <f t="shared" si="115"/>
        <v>#REF!</v>
      </c>
      <c r="AP91" s="134" t="str">
        <f t="shared" si="22"/>
        <v>#REF!</v>
      </c>
      <c r="AQ91" s="134" t="str">
        <f t="shared" si="23"/>
        <v>#REF!</v>
      </c>
      <c r="AR91" s="135" t="str">
        <f>IF(ISNA(VLOOKUP(A91,'Données projet (1)'!$A$61:$I$81,5,0)),0%,VLOOKUP(A91,'Données projet (1)'!$A$61:$I$81,5,0)*VLOOKUP('Données projet (1)'!$B$10,'Paramètres (1)'!$A$1:$I$88,7,0))</f>
        <v>#REF!</v>
      </c>
      <c r="AS91" s="135" t="str">
        <f>IF(ISNA(VLOOKUP(A91,'Données projet (1)'!$A$61:$I$81,6,0)),0%,VLOOKUP(A91,'Données projet (1)'!$A$61:$I$81,6,0)*VLOOKUP('Données projet (1)'!$B$10,'Paramètres (1)'!$A$1:$I$88,7,0))</f>
        <v>#REF!</v>
      </c>
      <c r="AT91" s="135" t="str">
        <f t="shared" si="24"/>
        <v>#REF!</v>
      </c>
      <c r="AU91" s="142" t="str">
        <f>EXP(-LN(2)/35)*AU90+(1-EXP(-LN(2)/35))/(LN(2)/35)*AQ91*AR91*VLOOKUP('Données projet (1)'!$B$10,'Paramètres (1)'!$A$1:$I$88,3,0)*0.475*44/12</f>
        <v>#REF!</v>
      </c>
      <c r="AV91" s="142" t="str">
        <f>EXP(-LN(2)/25)*AV90+(1-EXP(-LN(2)/25))/(LN(2)/25)*'Calculateur (1)'!AQ91*'Calculateur (1)'!AS91*VLOOKUP('Données projet (1)'!$B$10,'Paramètres (1)'!$A$1:$I$88,3,0)*0.475*44/12</f>
        <v>#REF!</v>
      </c>
      <c r="AW91" s="142" t="str">
        <f>EXP(-LN(2)/2)*AW90+(1-EXP(-LN(2)/2))/(LN(2)/2)*AQ91*AT91*VLOOKUP('Données projet (1)'!$B$10,'Paramètres (1)'!$A$1:$I$88,3,0)*0.475*44/12</f>
        <v>#REF!</v>
      </c>
      <c r="AX91" s="142" t="str">
        <f t="shared" si="25"/>
        <v>#REF!</v>
      </c>
      <c r="AY91" s="137" t="str">
        <f t="shared" si="26"/>
        <v>#REF!</v>
      </c>
      <c r="AZ91" s="131">
        <f t="shared" si="27"/>
        <v>10</v>
      </c>
      <c r="BA91" s="131" t="str">
        <f t="shared" si="116"/>
        <v>#REF!</v>
      </c>
      <c r="BB91" s="131" t="str">
        <f t="shared" si="28"/>
        <v>#REF!</v>
      </c>
      <c r="BC91" s="131" t="str">
        <f t="array" ref="BC91">INDEX(BB:BB,MIN(IF(ISNUMBER(BB91:BB287),ROW(BB91:BB287),"")))</f>
        <v/>
      </c>
      <c r="BD91" s="131" t="str">
        <f t="shared" si="117"/>
        <v>#REF!</v>
      </c>
      <c r="BE91" s="130" t="str">
        <f>BD91*VLOOKUP('Données projet (1)'!$B$11,'Paramètres (1)'!$A$1:$I$88,3,0)*VLOOKUP('Données projet (1)'!$B$11,'Paramètres (1)'!$A$1:$I$88,5,0)</f>
        <v>#REF!</v>
      </c>
      <c r="BF91" s="130" t="str">
        <f t="shared" si="118"/>
        <v>#REF!</v>
      </c>
      <c r="BG91" s="141" t="str">
        <f t="shared" si="29"/>
        <v>#REF!</v>
      </c>
      <c r="BH91" s="133" t="str">
        <f t="shared" si="30"/>
        <v>#REF!</v>
      </c>
      <c r="BI91" s="133" t="str">
        <f t="shared" si="31"/>
        <v>#REF!</v>
      </c>
      <c r="BJ91" s="133" t="str">
        <f t="shared" si="119"/>
        <v>#REF!</v>
      </c>
      <c r="BK91" s="134" t="str">
        <f t="shared" si="32"/>
        <v>#REF!</v>
      </c>
      <c r="BL91" s="134" t="str">
        <f t="shared" si="33"/>
        <v>#REF!</v>
      </c>
      <c r="BM91" s="135" t="str">
        <f>IF(ISNA(VLOOKUP(A91,'Données projet (1)'!$A$87:$I$107,5,0)),0%,VLOOKUP(A91,'Données projet (1)'!$A$87:$I$107,5,0)*VLOOKUP('Données projet (1)'!$B$11,'Paramètres (1)'!$A$1:$I$88,7,0))</f>
        <v>#REF!</v>
      </c>
      <c r="BN91" s="135" t="str">
        <f>IF(ISNA(VLOOKUP(A91,'Données projet (1)'!$A$87:$I$107,6,0)),0%,VLOOKUP(A91,'Données projet (1)'!$A$87:$I$107,6,0)*VLOOKUP('Données projet (1)'!$B$11,'Paramètres (1)'!$A$1:$I$88,7,0))</f>
        <v>#REF!</v>
      </c>
      <c r="BO91" s="135" t="str">
        <f t="shared" si="34"/>
        <v>#REF!</v>
      </c>
      <c r="BP91" s="142" t="str">
        <f>EXP(-LN(2)/35)*BP90+(1-EXP(-LN(2)/35))/(LN(2)/35)*BL91*BM91*VLOOKUP('Données projet (1)'!$B$11,'Paramètres (1)'!$A$1:$I$88,3,0)*0.475*44/12</f>
        <v>#REF!</v>
      </c>
      <c r="BQ91" s="142" t="str">
        <f>EXP(-LN(2)/25)*BQ90+(1-EXP(-LN(2)/25))/(LN(2)/25)*'Calculateur (1)'!BL91*'Calculateur (1)'!BN91*VLOOKUP('Données projet (1)'!$B$11,'Paramètres (1)'!$A$1:$I$88,3,0)*0.475*44/12</f>
        <v>#REF!</v>
      </c>
      <c r="BR91" s="142" t="str">
        <f>EXP(-LN(2)/2)*BR90+(1-EXP(-LN(2)/2))/(LN(2)/2)*BL91*BO91*VLOOKUP('Données projet (1)'!$B$11,'Paramètres (1)'!$A$1:$I$88,3,0)*0.475*44/12</f>
        <v>#REF!</v>
      </c>
      <c r="BS91" s="143" t="str">
        <f t="shared" si="35"/>
        <v>#REF!</v>
      </c>
      <c r="BT91" s="139" t="str">
        <f t="shared" si="36"/>
        <v>#REF!</v>
      </c>
      <c r="BU91" s="131">
        <f t="shared" si="37"/>
        <v>10</v>
      </c>
      <c r="BV91" s="131" t="str">
        <f t="shared" si="120"/>
        <v>#REF!</v>
      </c>
      <c r="BW91" s="131" t="str">
        <f t="shared" si="38"/>
        <v>#REF!</v>
      </c>
      <c r="BX91" s="131" t="str">
        <f t="array" ref="BX91">INDEX(BW:BW,MIN(IF(ISNUMBER(BW91:BW287),ROW(BW91:BW287),"")))</f>
        <v/>
      </c>
      <c r="BY91" s="131" t="str">
        <f t="shared" si="121"/>
        <v>#REF!</v>
      </c>
      <c r="BZ91" s="130" t="str">
        <f>BY91*VLOOKUP('Données projet (1)'!$B$12,'Paramètres (1)'!$A$1:$I$88,3,0)*VLOOKUP('Données projet (1)'!$B$12,'Paramètres (1)'!$A$1:$I$88,5,0)</f>
        <v>#REF!</v>
      </c>
      <c r="CA91" s="130" t="str">
        <f t="shared" si="122"/>
        <v>#REF!</v>
      </c>
      <c r="CB91" s="141" t="str">
        <f t="shared" si="39"/>
        <v>#REF!</v>
      </c>
      <c r="CC91" s="133" t="str">
        <f t="shared" si="40"/>
        <v>#REF!</v>
      </c>
      <c r="CD91" s="133" t="str">
        <f t="shared" si="41"/>
        <v>#REF!</v>
      </c>
      <c r="CE91" s="133" t="str">
        <f t="shared" si="123"/>
        <v>#REF!</v>
      </c>
      <c r="CF91" s="134" t="str">
        <f t="shared" si="42"/>
        <v>#REF!</v>
      </c>
      <c r="CG91" s="134" t="str">
        <f t="shared" si="43"/>
        <v>#REF!</v>
      </c>
      <c r="CH91" s="135" t="str">
        <f>IF(ISNA(VLOOKUP(A91,'Données projet (1)'!$A$113:$I$133,5,0)),0%,VLOOKUP(A91,'Données projet (1)'!$A$113:$I$133,5,0)*VLOOKUP('Données projet (1)'!$B$12,'Paramètres (1)'!$A$1:$I$88,7,0))</f>
        <v>#REF!</v>
      </c>
      <c r="CI91" s="135" t="str">
        <f>IF(ISNA(VLOOKUP(A91,'Données projet (1)'!$A$113:$I$133,6,0)),0%,VLOOKUP(A91,'Données projet (1)'!$A$113:$I$133,6,0)*VLOOKUP('Données projet (1)'!$B$12,'Paramètres (1)'!$A$1:$I$88,7,0))</f>
        <v>#REF!</v>
      </c>
      <c r="CJ91" s="135" t="str">
        <f t="shared" si="44"/>
        <v>#REF!</v>
      </c>
      <c r="CK91" s="142" t="str">
        <f>EXP(-LN(2)/35)*CK90+(1-EXP(-LN(2)/35))/(LN(2)/35)*CG91*CH91*VLOOKUP('Données projet (1)'!$B$12,'Paramètres (1)'!$A$1:$I$88,3,0)*0.475*44/12</f>
        <v>#REF!</v>
      </c>
      <c r="CL91" s="142" t="str">
        <f>EXP(-LN(2)/25)*CL90+(1-EXP(-LN(2)/25))/(LN(2)/25)*'Calculateur (1)'!CG91*'Calculateur (1)'!CI91*VLOOKUP('Données projet (1)'!$B$12,'Paramètres (1)'!$A$1:$I$88,3,0)*0.475*44/12</f>
        <v>#REF!</v>
      </c>
      <c r="CM91" s="142" t="str">
        <f>EXP(-LN(2)/2)*CM90+(1-EXP(-LN(2)/2))/(LN(2)/2)*CG91*CJ91*VLOOKUP('Données projet (1)'!$B$12,'Paramètres (1)'!$A$1:$I$88,3,0)*0.475*44/12</f>
        <v>#REF!</v>
      </c>
      <c r="CN91" s="143" t="str">
        <f t="shared" si="45"/>
        <v>#REF!</v>
      </c>
      <c r="CO91" s="139" t="str">
        <f t="shared" si="46"/>
        <v>#REF!</v>
      </c>
      <c r="CP91" s="131">
        <f t="shared" si="47"/>
        <v>10</v>
      </c>
      <c r="CQ91" s="131" t="str">
        <f t="shared" si="124"/>
        <v>#REF!</v>
      </c>
      <c r="CR91" s="131" t="str">
        <f t="shared" si="48"/>
        <v>#REF!</v>
      </c>
      <c r="CS91" s="131" t="str">
        <f t="array" ref="CS91">INDEX(CR:CR,MIN(IF(ISNUMBER(CR91:CR287),ROW(CR91:CR287),"")))</f>
        <v/>
      </c>
      <c r="CT91" s="131" t="str">
        <f t="shared" si="125"/>
        <v>#REF!</v>
      </c>
      <c r="CU91" s="138" t="str">
        <f>CT91*VLOOKUP('Données projet (1)'!$B$13,'Paramètres (1)'!$A$1:$I$88,3,0)*VLOOKUP('Données projet (1)'!$B$13,'Paramètres (1)'!$A$1:$I$88,5,0)</f>
        <v>#REF!</v>
      </c>
      <c r="CV91" s="130" t="str">
        <f t="shared" si="126"/>
        <v>#REF!</v>
      </c>
      <c r="CW91" s="141" t="str">
        <f t="shared" si="49"/>
        <v>#REF!</v>
      </c>
      <c r="CX91" s="133" t="str">
        <f t="shared" si="50"/>
        <v>#REF!</v>
      </c>
      <c r="CY91" s="133" t="str">
        <f t="shared" si="51"/>
        <v>#REF!</v>
      </c>
      <c r="CZ91" s="133" t="str">
        <f t="shared" si="127"/>
        <v>#REF!</v>
      </c>
      <c r="DA91" s="134" t="str">
        <f t="shared" si="52"/>
        <v>#REF!</v>
      </c>
      <c r="DB91" s="134" t="str">
        <f t="shared" si="53"/>
        <v>#REF!</v>
      </c>
      <c r="DC91" s="135" t="str">
        <f>IF(ISNA(VLOOKUP(A91,'Données projet (1)'!$A$139:$I$159,5,0)),0%,VLOOKUP(A91,'Données projet (1)'!$A$139:$I$159,5,0)*VLOOKUP('Données projet (1)'!$B$13,'Paramètres (1)'!$A$1:$I$88,7,0))</f>
        <v>#REF!</v>
      </c>
      <c r="DD91" s="135" t="str">
        <f>IF(ISNA(VLOOKUP(A91,'Données projet (1)'!$A$139:$I$159,6,0)),0%,VLOOKUP(A91,'Données projet (1)'!$A$139:$I$159,6,0)*VLOOKUP('Données projet (1)'!$B$13,'Paramètres (1)'!$A$1:$I$88,7,0))</f>
        <v>#REF!</v>
      </c>
      <c r="DE91" s="135" t="str">
        <f t="shared" si="54"/>
        <v>#REF!</v>
      </c>
      <c r="DF91" s="142" t="str">
        <f>EXP(-LN(2)/35)*DF90+(1-EXP(-LN(2)/35))/(LN(2)/35)*DB91*DC91*VLOOKUP('Données projet (1)'!$B$13,'Paramètres (1)'!$A$1:$I$88,3,0)*0.475*44/12</f>
        <v>#REF!</v>
      </c>
      <c r="DG91" s="142" t="str">
        <f>EXP(-LN(2)/25)*DG90+(1-EXP(-LN(2)/25))/(LN(2)/25)*'Calculateur (1)'!DB91*'Calculateur (1)'!DD91*VLOOKUP('Données projet (1)'!$B$13,'Paramètres (1)'!$A$1:$I$88,3,0)*0.475*44/12</f>
        <v>#REF!</v>
      </c>
      <c r="DH91" s="142" t="str">
        <f>EXP(-LN(2)/2)*DH90+(1-EXP(-LN(2)/2))/(LN(2)/2)*DB91*DE91*VLOOKUP('Données projet (1)'!$B$13,'Paramètres (1)'!$A$1:$I$88,3,0)*0.475*44/12</f>
        <v>#REF!</v>
      </c>
      <c r="DI91" s="143" t="str">
        <f t="shared" si="55"/>
        <v>#REF!</v>
      </c>
      <c r="DJ91" s="139" t="str">
        <f t="shared" si="56"/>
        <v>#REF!</v>
      </c>
      <c r="DK91" s="131">
        <f t="shared" si="57"/>
        <v>10</v>
      </c>
      <c r="DL91" s="131" t="str">
        <f t="shared" si="128"/>
        <v>#REF!</v>
      </c>
      <c r="DM91" s="131" t="str">
        <f t="shared" si="58"/>
        <v>#REF!</v>
      </c>
      <c r="DN91" s="131" t="str">
        <f t="array" ref="DN91">INDEX(DM:DM,MIN(IF(ISNUMBER(DM91:DM287),ROW(DM91:DM287),"")))</f>
        <v/>
      </c>
      <c r="DO91" s="131" t="str">
        <f t="shared" si="129"/>
        <v>#REF!</v>
      </c>
      <c r="DP91" s="138" t="str">
        <f>DO91*VLOOKUP('Données projet (1)'!$B$14,'Paramètres (1)'!$A$1:$I$88,3,0)*VLOOKUP('Données projet (1)'!$B$14,'Paramètres (1)'!$A$1:$I$88,5,0)</f>
        <v>#REF!</v>
      </c>
      <c r="DQ91" s="130" t="str">
        <f t="shared" si="130"/>
        <v>#REF!</v>
      </c>
      <c r="DR91" s="141" t="str">
        <f t="shared" si="59"/>
        <v>#REF!</v>
      </c>
      <c r="DS91" s="133" t="str">
        <f t="shared" si="60"/>
        <v>#REF!</v>
      </c>
      <c r="DT91" s="133" t="str">
        <f t="shared" si="61"/>
        <v>#REF!</v>
      </c>
      <c r="DU91" s="133" t="str">
        <f t="shared" si="131"/>
        <v>#REF!</v>
      </c>
      <c r="DV91" s="134" t="str">
        <f t="shared" si="62"/>
        <v>#REF!</v>
      </c>
      <c r="DW91" s="134" t="str">
        <f t="shared" si="63"/>
        <v>#REF!</v>
      </c>
      <c r="DX91" s="135" t="str">
        <f>IF(ISNA(VLOOKUP(A91,'Données projet (1)'!$A$165:$I$185,5,0)),0%,VLOOKUP(A91,'Données projet (1)'!$A$165:$I$185,5,0)*VLOOKUP('Données projet (1)'!$B$14,'Paramètres (1)'!$A$1:$I$88,7,0))</f>
        <v>#REF!</v>
      </c>
      <c r="DY91" s="135" t="str">
        <f>IF(ISNA(VLOOKUP(A91,'Données projet (1)'!$A$165:$I$185,6,0)),0%,VLOOKUP(A91,'Données projet (1)'!$A$165:$I$185,6,0)*VLOOKUP('Données projet (1)'!$B$14,'Paramètres (1)'!$A$1:$I$88,7,0))</f>
        <v>#REF!</v>
      </c>
      <c r="DZ91" s="135" t="str">
        <f t="shared" si="64"/>
        <v>#REF!</v>
      </c>
      <c r="EA91" s="142" t="str">
        <f>EXP(-LN(2)/35)*EA90+(1-EXP(-LN(2)/35))/(LN(2)/35)*DW91*DX91*VLOOKUP('Données projet (1)'!$B$14,'Paramètres (1)'!$A$1:$I$88,3,0)*0.475*44/12</f>
        <v>#REF!</v>
      </c>
      <c r="EB91" s="142" t="str">
        <f>EXP(-LN(2)/25)*EB90+(1-EXP(-LN(2)/25))/(LN(2)/25)*'Calculateur (1)'!DW91*'Calculateur (1)'!DY91*VLOOKUP('Données projet (1)'!$B$14,'Paramètres (1)'!$A$1:$I$88,3,0)*0.475*44/12</f>
        <v>#REF!</v>
      </c>
      <c r="EC91" s="142" t="str">
        <f>EXP(-LN(2)/2)*EC90+(1-EXP(-LN(2)/2))/(LN(2)/2)*DW91*DZ91*VLOOKUP('Données projet (1)'!$B$14,'Paramètres (1)'!$A$1:$I$88,3,0)*0.475*44/12</f>
        <v>#REF!</v>
      </c>
      <c r="ED91" s="143" t="str">
        <f t="shared" si="65"/>
        <v>#REF!</v>
      </c>
      <c r="EE91" s="139" t="str">
        <f t="shared" si="66"/>
        <v>#REF!</v>
      </c>
      <c r="EF91" s="131">
        <f t="shared" si="67"/>
        <v>10</v>
      </c>
      <c r="EG91" s="131" t="str">
        <f t="shared" si="132"/>
        <v>#REF!</v>
      </c>
      <c r="EH91" s="131" t="str">
        <f t="shared" si="68"/>
        <v>#REF!</v>
      </c>
      <c r="EI91" s="131" t="str">
        <f t="array" ref="EI91">INDEX(EH:EH,MIN(IF(ISNUMBER(EH91:EH287),ROW(EH91:EH287),"")))</f>
        <v/>
      </c>
      <c r="EJ91" s="131" t="str">
        <f t="shared" si="133"/>
        <v>#REF!</v>
      </c>
      <c r="EK91" s="138" t="str">
        <f>EJ91*VLOOKUP('Données projet (1)'!$B$15,'Paramètres (1)'!$A$1:$I$88,3,0)*VLOOKUP('Données projet (1)'!$B$15,'Paramètres (1)'!$A$1:$I$88,5,0)</f>
        <v>#REF!</v>
      </c>
      <c r="EL91" s="130" t="str">
        <f t="shared" si="134"/>
        <v>#REF!</v>
      </c>
      <c r="EM91" s="141" t="str">
        <f t="shared" si="69"/>
        <v>#REF!</v>
      </c>
      <c r="EN91" s="133" t="str">
        <f t="shared" si="70"/>
        <v>#REF!</v>
      </c>
      <c r="EO91" s="133" t="str">
        <f t="shared" si="71"/>
        <v>#REF!</v>
      </c>
      <c r="EP91" s="133" t="str">
        <f t="shared" si="135"/>
        <v>#REF!</v>
      </c>
      <c r="EQ91" s="134" t="str">
        <f t="shared" si="72"/>
        <v>#REF!</v>
      </c>
      <c r="ER91" s="134" t="str">
        <f t="shared" si="73"/>
        <v>#REF!</v>
      </c>
      <c r="ES91" s="135" t="str">
        <f>IF(ISNA(VLOOKUP(A91,'Données projet (1)'!$A$191:$I$211,5,0)),0%,VLOOKUP(A91,'Données projet (1)'!$A$191:$I$211,5,0)*VLOOKUP('Données projet (1)'!$B$15,'Paramètres (1)'!$A$1:$I$88,7,0))</f>
        <v>#REF!</v>
      </c>
      <c r="ET91" s="135" t="str">
        <f>IF(ISNA(VLOOKUP(A91,'Données projet (1)'!$A$191:$I$211,6,0)),0%,VLOOKUP(A91,'Données projet (1)'!$A$191:$I$211,6,0)*VLOOKUP('Données projet (1)'!$B$15,'Paramètres (1)'!$A$1:$I$88,7,0))</f>
        <v>#REF!</v>
      </c>
      <c r="EU91" s="135" t="str">
        <f t="shared" si="74"/>
        <v>#REF!</v>
      </c>
      <c r="EV91" s="142" t="str">
        <f>EXP(-LN(2)/35)*EV90+(1-EXP(-LN(2)/35))/(LN(2)/35)*ER91*ES91*VLOOKUP('Données projet (1)'!$B$15,'Paramètres (1)'!$A$1:$I$88,3,0)*0.475*44/12</f>
        <v>#REF!</v>
      </c>
      <c r="EW91" s="142" t="str">
        <f>EXP(-LN(2)/25)*EW90+(1-EXP(-LN(2)/25))/(LN(2)/25)*'Calculateur (1)'!ER91*'Calculateur (1)'!ET91*VLOOKUP('Données projet (1)'!$B$15,'Paramètres (1)'!$A$1:$I$88,3,0)*0.475*44/12</f>
        <v>#REF!</v>
      </c>
      <c r="EX91" s="142" t="str">
        <f>EXP(-LN(2)/2)*EX90+(1-EXP(-LN(2)/2))/(LN(2)/2)*ER91*EU91*VLOOKUP('Données projet (1)'!$B$15,'Paramètres (1)'!$A$1:$I$88,3,0)*0.475*44/12</f>
        <v>#REF!</v>
      </c>
      <c r="EY91" s="143" t="str">
        <f t="shared" si="75"/>
        <v>#REF!</v>
      </c>
      <c r="EZ91" s="139" t="str">
        <f t="shared" si="76"/>
        <v>#REF!</v>
      </c>
      <c r="FA91" s="131">
        <f t="shared" si="77"/>
        <v>10</v>
      </c>
      <c r="FB91" s="131" t="str">
        <f t="shared" si="136"/>
        <v>#REF!</v>
      </c>
      <c r="FC91" s="131" t="str">
        <f t="shared" si="78"/>
        <v>#REF!</v>
      </c>
      <c r="FD91" s="131" t="str">
        <f t="array" ref="FD91">INDEX(FC:FC,MIN(IF(ISNUMBER(FC91:FC287),ROW(FC91:FC287),"")))</f>
        <v/>
      </c>
      <c r="FE91" s="131" t="str">
        <f t="shared" si="137"/>
        <v>#REF!</v>
      </c>
      <c r="FF91" s="138" t="str">
        <f>FE91*VLOOKUP('Données projet (1)'!$B$16,'Paramètres (1)'!$A$1:$I$88,3,0)*VLOOKUP('Données projet (1)'!$B$16,'Paramètres (1)'!$A$1:$I$88,5,0)</f>
        <v>#REF!</v>
      </c>
      <c r="FG91" s="130" t="str">
        <f t="shared" si="138"/>
        <v>#REF!</v>
      </c>
      <c r="FH91" s="141" t="str">
        <f t="shared" si="79"/>
        <v>#REF!</v>
      </c>
      <c r="FI91" s="133" t="str">
        <f t="shared" si="80"/>
        <v>#REF!</v>
      </c>
      <c r="FJ91" s="133" t="str">
        <f t="shared" si="81"/>
        <v>#REF!</v>
      </c>
      <c r="FK91" s="133" t="str">
        <f t="shared" si="139"/>
        <v>#REF!</v>
      </c>
      <c r="FL91" s="134" t="str">
        <f t="shared" si="82"/>
        <v>#REF!</v>
      </c>
      <c r="FM91" s="134" t="str">
        <f t="shared" si="83"/>
        <v>#REF!</v>
      </c>
      <c r="FN91" s="135" t="str">
        <f>IF(ISNA(VLOOKUP(A91,'Données projet (1)'!$A$217:$I$237,5,0)),0%,VLOOKUP(A91,'Données projet (1)'!$A$217:$I$237,5,0)*VLOOKUP('Données projet (1)'!$B$16,'Paramètres (1)'!$A$1:$I$88,7,0))</f>
        <v>#REF!</v>
      </c>
      <c r="FO91" s="135" t="str">
        <f>IF(ISNA(VLOOKUP(A91,'Données projet (1)'!$A$217:$I$237,6,0)),0%,VLOOKUP(A91,'Données projet (1)'!$A$217:$I$237,6,0)*VLOOKUP('Données projet (1)'!$B$16,'Paramètres (1)'!$A$1:$I$88,7,0))</f>
        <v>#REF!</v>
      </c>
      <c r="FP91" s="135" t="str">
        <f t="shared" si="84"/>
        <v>#REF!</v>
      </c>
      <c r="FQ91" s="142" t="str">
        <f>EXP(-LN(2)/35)*FQ90+(1-EXP(-LN(2)/35))/(LN(2)/35)*FM91*FN91*VLOOKUP('Données projet (1)'!$B$16,'Paramètres (1)'!$A$1:$I$88,3,0)*0.475*44/12</f>
        <v>#REF!</v>
      </c>
      <c r="FR91" s="142" t="str">
        <f>EXP(-LN(2)/25)*FR90+(1-EXP(-LN(2)/25))/(LN(2)/25)*'Calculateur (1)'!FM91*'Calculateur (1)'!FO91*VLOOKUP('Données projet (1)'!$B$16,'Paramètres (1)'!$A$1:$I$88,3,0)*0.475*44/12</f>
        <v>#REF!</v>
      </c>
      <c r="FS91" s="142" t="str">
        <f>EXP(-LN(2)/2)*FS90+(1-EXP(-LN(2)/2))/(LN(2)/2)*FM91*FP91*VLOOKUP('Données projet (1)'!$B$16,'Paramètres (1)'!$A$1:$I$88,3,0)*0.475*44/12</f>
        <v>#REF!</v>
      </c>
      <c r="FT91" s="143" t="str">
        <f t="shared" si="85"/>
        <v>#REF!</v>
      </c>
      <c r="FU91" s="139" t="str">
        <f t="shared" si="86"/>
        <v>#REF!</v>
      </c>
      <c r="FV91" s="131">
        <f t="shared" si="87"/>
        <v>10</v>
      </c>
      <c r="FW91" s="131" t="str">
        <f t="shared" si="140"/>
        <v>#REF!</v>
      </c>
      <c r="FX91" s="131" t="str">
        <f t="shared" si="88"/>
        <v>#REF!</v>
      </c>
      <c r="FY91" s="131" t="str">
        <f t="array" ref="FY91">INDEX(FX:FX,MIN(IF(ISNUMBER(FX91:FX287),ROW(FX91:FX287),"")))</f>
        <v/>
      </c>
      <c r="FZ91" s="131" t="str">
        <f t="shared" si="141"/>
        <v>#REF!</v>
      </c>
      <c r="GA91" s="138" t="str">
        <f>FZ91*VLOOKUP('Données projet (1)'!$B$17,'Paramètres (1)'!$A$1:$I$88,3,0)*VLOOKUP('Données projet (1)'!$B$17,'Paramètres (1)'!$A$1:$I$88,5,0)</f>
        <v>#REF!</v>
      </c>
      <c r="GB91" s="130" t="str">
        <f t="shared" si="142"/>
        <v>#REF!</v>
      </c>
      <c r="GC91" s="141" t="str">
        <f t="shared" si="89"/>
        <v>#REF!</v>
      </c>
      <c r="GD91" s="133" t="str">
        <f t="shared" si="90"/>
        <v>#REF!</v>
      </c>
      <c r="GE91" s="133" t="str">
        <f t="shared" si="91"/>
        <v>#REF!</v>
      </c>
      <c r="GF91" s="133" t="str">
        <f t="shared" si="143"/>
        <v>#REF!</v>
      </c>
      <c r="GG91" s="134" t="str">
        <f t="shared" si="92"/>
        <v>#REF!</v>
      </c>
      <c r="GH91" s="134" t="str">
        <f t="shared" si="93"/>
        <v>#REF!</v>
      </c>
      <c r="GI91" s="135" t="str">
        <f>IF(ISNA(VLOOKUP(A91,'Données projet (1)'!$A$243:$I$263,5,0)),0%,VLOOKUP(A91,'Données projet (1)'!$A$243:$I$263,5,0)*VLOOKUP('Données projet (1)'!$B$17,'Paramètres (1)'!$A$1:$I$88,7,0))</f>
        <v>#REF!</v>
      </c>
      <c r="GJ91" s="135" t="str">
        <f>IF(ISNA(VLOOKUP(A91,'Données projet (1)'!$A$243:$I$263,6,0)),0%,VLOOKUP(A91,'Données projet (1)'!$A$243:$I$263,6,0)*VLOOKUP('Données projet (1)'!$B$17,'Paramètres (1)'!$A$1:$I$88,7,0))</f>
        <v>#REF!</v>
      </c>
      <c r="GK91" s="135" t="str">
        <f t="shared" si="94"/>
        <v>#REF!</v>
      </c>
      <c r="GL91" s="142" t="str">
        <f>EXP(-LN(2)/35)*GL90+(1-EXP(-LN(2)/35))/(LN(2)/35)*GH91*GI91*VLOOKUP('Données projet (1)'!$B$17,'Paramètres (1)'!$A$1:$I$88,3,0)*0.475*44/12</f>
        <v>#REF!</v>
      </c>
      <c r="GM91" s="142" t="str">
        <f>EXP(-LN(2)/25)*GM90+(1-EXP(-LN(2)/25))/(LN(2)/25)*'Calculateur (1)'!GH91*'Calculateur (1)'!GJ91*VLOOKUP('Données projet (1)'!$B$17,'Paramètres (1)'!$A$1:$I$88,3,0)*0.475*44/12</f>
        <v>#REF!</v>
      </c>
      <c r="GN91" s="142" t="str">
        <f>EXP(-LN(2)/2)*GN90+(1-EXP(-LN(2)/2))/(LN(2)/2)*GH91*GK91*VLOOKUP('Données projet (1)'!$B$17,'Paramètres (1)'!$A$1:$I$88,3,0)*0.475*44/12</f>
        <v>#REF!</v>
      </c>
      <c r="GO91" s="142" t="str">
        <f t="shared" si="95"/>
        <v>#REF!</v>
      </c>
      <c r="GP91" s="139" t="str">
        <f t="shared" si="96"/>
        <v>#REF!</v>
      </c>
      <c r="GQ91" s="131">
        <f t="shared" si="97"/>
        <v>10</v>
      </c>
      <c r="GR91" s="131" t="str">
        <f t="shared" si="144"/>
        <v>#REF!</v>
      </c>
      <c r="GS91" s="131" t="str">
        <f t="shared" si="98"/>
        <v>#REF!</v>
      </c>
      <c r="GT91" s="131" t="str">
        <f t="array" ref="GT91">INDEX(GS:GS,MIN(IF(ISNUMBER(GS91:GS287),ROW(GS91:GS287),"")))</f>
        <v/>
      </c>
      <c r="GU91" s="131" t="str">
        <f t="shared" si="145"/>
        <v>#REF!</v>
      </c>
      <c r="GV91" s="138" t="str">
        <f>GU91*VLOOKUP('Données projet (1)'!$B$18,'Paramètres (1)'!$A$1:$I$88,3,0)*VLOOKUP('Données projet (1)'!$B$18,'Paramètres (1)'!$A$1:$I$88,5,0)</f>
        <v>#REF!</v>
      </c>
      <c r="GW91" s="130" t="str">
        <f t="shared" si="146"/>
        <v>#REF!</v>
      </c>
      <c r="GX91" s="141" t="str">
        <f t="shared" si="99"/>
        <v>#REF!</v>
      </c>
      <c r="GY91" s="133" t="str">
        <f t="shared" si="100"/>
        <v>#REF!</v>
      </c>
      <c r="GZ91" s="133" t="str">
        <f t="shared" si="101"/>
        <v>#REF!</v>
      </c>
      <c r="HA91" s="133" t="str">
        <f t="shared" si="147"/>
        <v>#REF!</v>
      </c>
      <c r="HB91" s="134" t="str">
        <f t="shared" si="102"/>
        <v>#REF!</v>
      </c>
      <c r="HC91" s="134" t="str">
        <f t="shared" si="103"/>
        <v>#REF!</v>
      </c>
      <c r="HD91" s="135" t="str">
        <f>IF(ISNA(VLOOKUP(A91,'Données projet (1)'!$A$269:$I$289,5,0)),0%,VLOOKUP(A91,'Données projet (1)'!$A$269:$I$289,5,0)*VLOOKUP('Données projet (1)'!$B$18,'Paramètres (1)'!$A$1:$I$88,7,0))</f>
        <v>#REF!</v>
      </c>
      <c r="HE91" s="135" t="str">
        <f>IF(ISNA(VLOOKUP(A91,'Données projet (1)'!$A$269:$I$289,6,0)),0%,VLOOKUP(A91,'Données projet (1)'!$A$269:$I$289,6,0)*VLOOKUP('Données projet (1)'!$B$18,'Paramètres (1)'!$A$1:$I$88,7,0))</f>
        <v>#REF!</v>
      </c>
      <c r="HF91" s="135" t="str">
        <f t="shared" si="104"/>
        <v>#REF!</v>
      </c>
      <c r="HG91" s="142" t="str">
        <f>EXP(-LN(2)/35)*HG90+(1-EXP(-LN(2)/35))/(LN(2)/35)*HC91*HD91*VLOOKUP('Données projet (1)'!$B$18,'Paramètres (1)'!$A$1:$I$88,3,0)*0.475*44/12</f>
        <v>#REF!</v>
      </c>
      <c r="HH91" s="142" t="str">
        <f>EXP(-LN(2)/25)*HH90+(1-EXP(-LN(2)/25))/(LN(2)/25)*'Calculateur (1)'!HC91*'Calculateur (1)'!HE91*VLOOKUP('Données projet (1)'!$B$18,'Paramètres (1)'!$A$1:$I$88,3,0)*0.475*44/12</f>
        <v>#REF!</v>
      </c>
      <c r="HI91" s="142" t="str">
        <f>EXP(-LN(2)/2)*HI90+(1-EXP(-LN(2)/2))/(LN(2)/2)*HC91*HF91*VLOOKUP('Données projet (1)'!$B$18,'Paramètres (1)'!$A$1:$I$88,3,0)*0.475*44/12</f>
        <v>#REF!</v>
      </c>
      <c r="HJ91" s="143" t="str">
        <f t="shared" si="105"/>
        <v>#REF!</v>
      </c>
    </row>
    <row r="92" ht="14.25" customHeight="1">
      <c r="A92" s="125">
        <f t="shared" si="106"/>
        <v>89</v>
      </c>
      <c r="B92" s="126" t="str">
        <f t="shared" si="1"/>
        <v>#REF!</v>
      </c>
      <c r="C92" s="140" t="str">
        <f>'Calculateur (1)'!C91+'Scénario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2" s="127">
        <f t="shared" si="107"/>
        <v>0</v>
      </c>
      <c r="E92" s="127" t="str">
        <f t="shared" si="2"/>
        <v>#REF!</v>
      </c>
      <c r="F92" s="127" t="str">
        <f t="shared" si="3"/>
        <v>#REF!</v>
      </c>
      <c r="G92" s="127" t="str">
        <f t="shared" si="4"/>
        <v>#REF!</v>
      </c>
      <c r="H92" s="128" t="str">
        <f t="shared" si="5"/>
        <v>#REF!</v>
      </c>
      <c r="I92" s="129" t="str">
        <f t="shared" si="6"/>
        <v>#REF!</v>
      </c>
      <c r="J92" s="130">
        <f t="shared" si="7"/>
        <v>10</v>
      </c>
      <c r="K92" s="131" t="str">
        <f t="shared" si="108"/>
        <v>#REF!</v>
      </c>
      <c r="L92" s="131" t="str">
        <f t="shared" si="8"/>
        <v>#REF!</v>
      </c>
      <c r="M92" s="131" t="str">
        <f t="array" ref="M92">INDEX(L:L,MIN(IF(ISNUMBER(L92:L288),ROW(L92:L288),"")))</f>
        <v/>
      </c>
      <c r="N92" s="130" t="str">
        <f t="shared" si="109"/>
        <v>#REF!</v>
      </c>
      <c r="O92" s="130" t="str">
        <f>N92*VLOOKUP('Données projet (1)'!$B$9,'Paramètres (1)'!$A$1:$I$88,3,0)*VLOOKUP('Données projet (1)'!$B$9,'Paramètres (1)'!$A$1:$I$88,5,0)</f>
        <v>#REF!</v>
      </c>
      <c r="P92" s="130" t="str">
        <f t="shared" si="110"/>
        <v>#REF!</v>
      </c>
      <c r="Q92" s="141" t="str">
        <f t="shared" si="9"/>
        <v>#REF!</v>
      </c>
      <c r="R92" s="133" t="str">
        <f t="shared" si="10"/>
        <v>#REF!</v>
      </c>
      <c r="S92" s="133" t="str">
        <f t="shared" si="11"/>
        <v>#REF!</v>
      </c>
      <c r="T92" s="133" t="str">
        <f t="shared" si="111"/>
        <v>#REF!</v>
      </c>
      <c r="U92" s="134" t="str">
        <f t="shared" si="12"/>
        <v>#REF!</v>
      </c>
      <c r="V92" s="134" t="str">
        <f t="shared" si="13"/>
        <v>#REF!</v>
      </c>
      <c r="W92" s="135" t="str">
        <f>IF(ISNA(VLOOKUP(A92,'Données projet (1)'!$A$35:$I$55,5,0)),0%,VLOOKUP(A92,'Données projet (1)'!$A$35:$I$55,5,0)*VLOOKUP('Données projet (1)'!$B$9,'Paramètres (1)'!$A$1:$I$88,7,0))</f>
        <v>#REF!</v>
      </c>
      <c r="X92" s="135" t="str">
        <f>IF(ISNA(VLOOKUP(A92,'Données projet (1)'!$A$35:$I$55,6,0)),0%,VLOOKUP(A92,'Données projet (1)'!$A$35:$I$55,6,0)*VLOOKUP('Données projet (1)'!$B$9,'Paramètres (1)'!$A$1:$I$88,7,0))</f>
        <v>#REF!</v>
      </c>
      <c r="Y92" s="135" t="str">
        <f t="shared" si="14"/>
        <v>#REF!</v>
      </c>
      <c r="Z92" s="142" t="str">
        <f>EXP(-LN(2)/35)*Z91+(1-EXP(-LN(2)/35))/(LN(2)/35)*V92*W92*VLOOKUP('Données projet (1)'!$B$9,'Paramètres (1)'!$A$1:$I$88,3,0)*0.475*44/12</f>
        <v>#REF!</v>
      </c>
      <c r="AA92" s="142" t="str">
        <f>EXP(-LN(2)/25)*AA91+(1-EXP(-LN(2)/25))/(LN(2)/25)*'Calculateur (1)'!V92*'Calculateur (1)'!X92*VLOOKUP('Données projet (1)'!$B$9,'Paramètres (1)'!$A$1:$I$88,3,0)*0.475*44/12</f>
        <v>#REF!</v>
      </c>
      <c r="AB92" s="142" t="str">
        <f>EXP(-LN(2)/2)*AB91+(1-EXP(-LN(2)/2))/(LN(2)/2)*V92*Y92*VLOOKUP('Données projet (1)'!$B$9,'Paramètres (1)'!$A$1:$I$88,3,0)*0.475*44/12</f>
        <v>#REF!</v>
      </c>
      <c r="AC92" s="143" t="str">
        <f t="shared" si="15"/>
        <v>#REF!</v>
      </c>
      <c r="AD92" s="130" t="str">
        <f t="shared" si="16"/>
        <v>#REF!</v>
      </c>
      <c r="AE92" s="130">
        <f t="shared" si="17"/>
        <v>10</v>
      </c>
      <c r="AF92" s="131" t="str">
        <f t="shared" si="112"/>
        <v>#REF!</v>
      </c>
      <c r="AG92" s="131" t="str">
        <f t="shared" si="18"/>
        <v>#REF!</v>
      </c>
      <c r="AH92" s="131" t="str">
        <f t="array" ref="AH92">INDEX(AG:AG,MIN(IF(ISNUMBER(AG92:AG288),ROW(AG92:AG288),"")))</f>
        <v/>
      </c>
      <c r="AI92" s="130" t="str">
        <f t="shared" si="113"/>
        <v>#REF!</v>
      </c>
      <c r="AJ92" s="130" t="str">
        <f>AI92*VLOOKUP('Données projet (1)'!$B$10,'Paramètres (1)'!$A$1:$I$88,3,0)*VLOOKUP('Données projet (1)'!$B$10,'Paramètres (1)'!$A$1:$I$88,5,0)</f>
        <v>#REF!</v>
      </c>
      <c r="AK92" s="130" t="str">
        <f t="shared" si="114"/>
        <v>#REF!</v>
      </c>
      <c r="AL92" s="141" t="str">
        <f t="shared" si="19"/>
        <v>#REF!</v>
      </c>
      <c r="AM92" s="133" t="str">
        <f t="shared" si="20"/>
        <v>#REF!</v>
      </c>
      <c r="AN92" s="133" t="str">
        <f t="shared" si="21"/>
        <v>#REF!</v>
      </c>
      <c r="AO92" s="133" t="str">
        <f t="shared" si="115"/>
        <v>#REF!</v>
      </c>
      <c r="AP92" s="134" t="str">
        <f t="shared" si="22"/>
        <v>#REF!</v>
      </c>
      <c r="AQ92" s="134" t="str">
        <f t="shared" si="23"/>
        <v>#REF!</v>
      </c>
      <c r="AR92" s="135" t="str">
        <f>IF(ISNA(VLOOKUP(A92,'Données projet (1)'!$A$61:$I$81,5,0)),0%,VLOOKUP(A92,'Données projet (1)'!$A$61:$I$81,5,0)*VLOOKUP('Données projet (1)'!$B$10,'Paramètres (1)'!$A$1:$I$88,7,0))</f>
        <v>#REF!</v>
      </c>
      <c r="AS92" s="135" t="str">
        <f>IF(ISNA(VLOOKUP(A92,'Données projet (1)'!$A$61:$I$81,6,0)),0%,VLOOKUP(A92,'Données projet (1)'!$A$61:$I$81,6,0)*VLOOKUP('Données projet (1)'!$B$10,'Paramètres (1)'!$A$1:$I$88,7,0))</f>
        <v>#REF!</v>
      </c>
      <c r="AT92" s="135" t="str">
        <f t="shared" si="24"/>
        <v>#REF!</v>
      </c>
      <c r="AU92" s="142" t="str">
        <f>EXP(-LN(2)/35)*AU91+(1-EXP(-LN(2)/35))/(LN(2)/35)*AQ92*AR92*VLOOKUP('Données projet (1)'!$B$10,'Paramètres (1)'!$A$1:$I$88,3,0)*0.475*44/12</f>
        <v>#REF!</v>
      </c>
      <c r="AV92" s="142" t="str">
        <f>EXP(-LN(2)/25)*AV91+(1-EXP(-LN(2)/25))/(LN(2)/25)*'Calculateur (1)'!AQ92*'Calculateur (1)'!AS92*VLOOKUP('Données projet (1)'!$B$10,'Paramètres (1)'!$A$1:$I$88,3,0)*0.475*44/12</f>
        <v>#REF!</v>
      </c>
      <c r="AW92" s="142" t="str">
        <f>EXP(-LN(2)/2)*AW91+(1-EXP(-LN(2)/2))/(LN(2)/2)*AQ92*AT92*VLOOKUP('Données projet (1)'!$B$10,'Paramètres (1)'!$A$1:$I$88,3,0)*0.475*44/12</f>
        <v>#REF!</v>
      </c>
      <c r="AX92" s="142" t="str">
        <f t="shared" si="25"/>
        <v>#REF!</v>
      </c>
      <c r="AY92" s="137" t="str">
        <f t="shared" si="26"/>
        <v>#REF!</v>
      </c>
      <c r="AZ92" s="131">
        <f t="shared" si="27"/>
        <v>10</v>
      </c>
      <c r="BA92" s="131" t="str">
        <f t="shared" si="116"/>
        <v>#REF!</v>
      </c>
      <c r="BB92" s="131" t="str">
        <f t="shared" si="28"/>
        <v>#REF!</v>
      </c>
      <c r="BC92" s="131" t="str">
        <f t="array" ref="BC92">INDEX(BB:BB,MIN(IF(ISNUMBER(BB92:BB288),ROW(BB92:BB288),"")))</f>
        <v/>
      </c>
      <c r="BD92" s="131" t="str">
        <f t="shared" si="117"/>
        <v>#REF!</v>
      </c>
      <c r="BE92" s="130" t="str">
        <f>BD92*VLOOKUP('Données projet (1)'!$B$11,'Paramètres (1)'!$A$1:$I$88,3,0)*VLOOKUP('Données projet (1)'!$B$11,'Paramètres (1)'!$A$1:$I$88,5,0)</f>
        <v>#REF!</v>
      </c>
      <c r="BF92" s="130" t="str">
        <f t="shared" si="118"/>
        <v>#REF!</v>
      </c>
      <c r="BG92" s="141" t="str">
        <f t="shared" si="29"/>
        <v>#REF!</v>
      </c>
      <c r="BH92" s="133" t="str">
        <f t="shared" si="30"/>
        <v>#REF!</v>
      </c>
      <c r="BI92" s="133" t="str">
        <f t="shared" si="31"/>
        <v>#REF!</v>
      </c>
      <c r="BJ92" s="133" t="str">
        <f t="shared" si="119"/>
        <v>#REF!</v>
      </c>
      <c r="BK92" s="134" t="str">
        <f t="shared" si="32"/>
        <v>#REF!</v>
      </c>
      <c r="BL92" s="134" t="str">
        <f t="shared" si="33"/>
        <v>#REF!</v>
      </c>
      <c r="BM92" s="135" t="str">
        <f>IF(ISNA(VLOOKUP(A92,'Données projet (1)'!$A$87:$I$107,5,0)),0%,VLOOKUP(A92,'Données projet (1)'!$A$87:$I$107,5,0)*VLOOKUP('Données projet (1)'!$B$11,'Paramètres (1)'!$A$1:$I$88,7,0))</f>
        <v>#REF!</v>
      </c>
      <c r="BN92" s="135" t="str">
        <f>IF(ISNA(VLOOKUP(A92,'Données projet (1)'!$A$87:$I$107,6,0)),0%,VLOOKUP(A92,'Données projet (1)'!$A$87:$I$107,6,0)*VLOOKUP('Données projet (1)'!$B$11,'Paramètres (1)'!$A$1:$I$88,7,0))</f>
        <v>#REF!</v>
      </c>
      <c r="BO92" s="135" t="str">
        <f t="shared" si="34"/>
        <v>#REF!</v>
      </c>
      <c r="BP92" s="142" t="str">
        <f>EXP(-LN(2)/35)*BP91+(1-EXP(-LN(2)/35))/(LN(2)/35)*BL92*BM92*VLOOKUP('Données projet (1)'!$B$11,'Paramètres (1)'!$A$1:$I$88,3,0)*0.475*44/12</f>
        <v>#REF!</v>
      </c>
      <c r="BQ92" s="142" t="str">
        <f>EXP(-LN(2)/25)*BQ91+(1-EXP(-LN(2)/25))/(LN(2)/25)*'Calculateur (1)'!BL92*'Calculateur (1)'!BN92*VLOOKUP('Données projet (1)'!$B$11,'Paramètres (1)'!$A$1:$I$88,3,0)*0.475*44/12</f>
        <v>#REF!</v>
      </c>
      <c r="BR92" s="142" t="str">
        <f>EXP(-LN(2)/2)*BR91+(1-EXP(-LN(2)/2))/(LN(2)/2)*BL92*BO92*VLOOKUP('Données projet (1)'!$B$11,'Paramètres (1)'!$A$1:$I$88,3,0)*0.475*44/12</f>
        <v>#REF!</v>
      </c>
      <c r="BS92" s="143" t="str">
        <f t="shared" si="35"/>
        <v>#REF!</v>
      </c>
      <c r="BT92" s="139" t="str">
        <f t="shared" si="36"/>
        <v>#REF!</v>
      </c>
      <c r="BU92" s="131">
        <f t="shared" si="37"/>
        <v>10</v>
      </c>
      <c r="BV92" s="131" t="str">
        <f t="shared" si="120"/>
        <v>#REF!</v>
      </c>
      <c r="BW92" s="131" t="str">
        <f t="shared" si="38"/>
        <v>#REF!</v>
      </c>
      <c r="BX92" s="131" t="str">
        <f t="array" ref="BX92">INDEX(BW:BW,MIN(IF(ISNUMBER(BW92:BW288),ROW(BW92:BW288),"")))</f>
        <v/>
      </c>
      <c r="BY92" s="131" t="str">
        <f t="shared" si="121"/>
        <v>#REF!</v>
      </c>
      <c r="BZ92" s="130" t="str">
        <f>BY92*VLOOKUP('Données projet (1)'!$B$12,'Paramètres (1)'!$A$1:$I$88,3,0)*VLOOKUP('Données projet (1)'!$B$12,'Paramètres (1)'!$A$1:$I$88,5,0)</f>
        <v>#REF!</v>
      </c>
      <c r="CA92" s="130" t="str">
        <f t="shared" si="122"/>
        <v>#REF!</v>
      </c>
      <c r="CB92" s="141" t="str">
        <f t="shared" si="39"/>
        <v>#REF!</v>
      </c>
      <c r="CC92" s="133" t="str">
        <f t="shared" si="40"/>
        <v>#REF!</v>
      </c>
      <c r="CD92" s="133" t="str">
        <f t="shared" si="41"/>
        <v>#REF!</v>
      </c>
      <c r="CE92" s="133" t="str">
        <f t="shared" si="123"/>
        <v>#REF!</v>
      </c>
      <c r="CF92" s="134" t="str">
        <f t="shared" si="42"/>
        <v>#REF!</v>
      </c>
      <c r="CG92" s="134" t="str">
        <f t="shared" si="43"/>
        <v>#REF!</v>
      </c>
      <c r="CH92" s="135" t="str">
        <f>IF(ISNA(VLOOKUP(A92,'Données projet (1)'!$A$113:$I$133,5,0)),0%,VLOOKUP(A92,'Données projet (1)'!$A$113:$I$133,5,0)*VLOOKUP('Données projet (1)'!$B$12,'Paramètres (1)'!$A$1:$I$88,7,0))</f>
        <v>#REF!</v>
      </c>
      <c r="CI92" s="135" t="str">
        <f>IF(ISNA(VLOOKUP(A92,'Données projet (1)'!$A$113:$I$133,6,0)),0%,VLOOKUP(A92,'Données projet (1)'!$A$113:$I$133,6,0)*VLOOKUP('Données projet (1)'!$B$12,'Paramètres (1)'!$A$1:$I$88,7,0))</f>
        <v>#REF!</v>
      </c>
      <c r="CJ92" s="135" t="str">
        <f t="shared" si="44"/>
        <v>#REF!</v>
      </c>
      <c r="CK92" s="142" t="str">
        <f>EXP(-LN(2)/35)*CK91+(1-EXP(-LN(2)/35))/(LN(2)/35)*CG92*CH92*VLOOKUP('Données projet (1)'!$B$12,'Paramètres (1)'!$A$1:$I$88,3,0)*0.475*44/12</f>
        <v>#REF!</v>
      </c>
      <c r="CL92" s="142" t="str">
        <f>EXP(-LN(2)/25)*CL91+(1-EXP(-LN(2)/25))/(LN(2)/25)*'Calculateur (1)'!CG92*'Calculateur (1)'!CI92*VLOOKUP('Données projet (1)'!$B$12,'Paramètres (1)'!$A$1:$I$88,3,0)*0.475*44/12</f>
        <v>#REF!</v>
      </c>
      <c r="CM92" s="142" t="str">
        <f>EXP(-LN(2)/2)*CM91+(1-EXP(-LN(2)/2))/(LN(2)/2)*CG92*CJ92*VLOOKUP('Données projet (1)'!$B$12,'Paramètres (1)'!$A$1:$I$88,3,0)*0.475*44/12</f>
        <v>#REF!</v>
      </c>
      <c r="CN92" s="143" t="str">
        <f t="shared" si="45"/>
        <v>#REF!</v>
      </c>
      <c r="CO92" s="139" t="str">
        <f t="shared" si="46"/>
        <v>#REF!</v>
      </c>
      <c r="CP92" s="131">
        <f t="shared" si="47"/>
        <v>10</v>
      </c>
      <c r="CQ92" s="131" t="str">
        <f t="shared" si="124"/>
        <v>#REF!</v>
      </c>
      <c r="CR92" s="131" t="str">
        <f t="shared" si="48"/>
        <v>#REF!</v>
      </c>
      <c r="CS92" s="131" t="str">
        <f t="array" ref="CS92">INDEX(CR:CR,MIN(IF(ISNUMBER(CR92:CR288),ROW(CR92:CR288),"")))</f>
        <v/>
      </c>
      <c r="CT92" s="131" t="str">
        <f t="shared" si="125"/>
        <v>#REF!</v>
      </c>
      <c r="CU92" s="138" t="str">
        <f>CT92*VLOOKUP('Données projet (1)'!$B$13,'Paramètres (1)'!$A$1:$I$88,3,0)*VLOOKUP('Données projet (1)'!$B$13,'Paramètres (1)'!$A$1:$I$88,5,0)</f>
        <v>#REF!</v>
      </c>
      <c r="CV92" s="130" t="str">
        <f t="shared" si="126"/>
        <v>#REF!</v>
      </c>
      <c r="CW92" s="141" t="str">
        <f t="shared" si="49"/>
        <v>#REF!</v>
      </c>
      <c r="CX92" s="133" t="str">
        <f t="shared" si="50"/>
        <v>#REF!</v>
      </c>
      <c r="CY92" s="133" t="str">
        <f t="shared" si="51"/>
        <v>#REF!</v>
      </c>
      <c r="CZ92" s="133" t="str">
        <f t="shared" si="127"/>
        <v>#REF!</v>
      </c>
      <c r="DA92" s="134" t="str">
        <f t="shared" si="52"/>
        <v>#REF!</v>
      </c>
      <c r="DB92" s="134" t="str">
        <f t="shared" si="53"/>
        <v>#REF!</v>
      </c>
      <c r="DC92" s="135" t="str">
        <f>IF(ISNA(VLOOKUP(A92,'Données projet (1)'!$A$139:$I$159,5,0)),0%,VLOOKUP(A92,'Données projet (1)'!$A$139:$I$159,5,0)*VLOOKUP('Données projet (1)'!$B$13,'Paramètres (1)'!$A$1:$I$88,7,0))</f>
        <v>#REF!</v>
      </c>
      <c r="DD92" s="135" t="str">
        <f>IF(ISNA(VLOOKUP(A92,'Données projet (1)'!$A$139:$I$159,6,0)),0%,VLOOKUP(A92,'Données projet (1)'!$A$139:$I$159,6,0)*VLOOKUP('Données projet (1)'!$B$13,'Paramètres (1)'!$A$1:$I$88,7,0))</f>
        <v>#REF!</v>
      </c>
      <c r="DE92" s="135" t="str">
        <f t="shared" si="54"/>
        <v>#REF!</v>
      </c>
      <c r="DF92" s="142" t="str">
        <f>EXP(-LN(2)/35)*DF91+(1-EXP(-LN(2)/35))/(LN(2)/35)*DB92*DC92*VLOOKUP('Données projet (1)'!$B$13,'Paramètres (1)'!$A$1:$I$88,3,0)*0.475*44/12</f>
        <v>#REF!</v>
      </c>
      <c r="DG92" s="142" t="str">
        <f>EXP(-LN(2)/25)*DG91+(1-EXP(-LN(2)/25))/(LN(2)/25)*'Calculateur (1)'!DB92*'Calculateur (1)'!DD92*VLOOKUP('Données projet (1)'!$B$13,'Paramètres (1)'!$A$1:$I$88,3,0)*0.475*44/12</f>
        <v>#REF!</v>
      </c>
      <c r="DH92" s="142" t="str">
        <f>EXP(-LN(2)/2)*DH91+(1-EXP(-LN(2)/2))/(LN(2)/2)*DB92*DE92*VLOOKUP('Données projet (1)'!$B$13,'Paramètres (1)'!$A$1:$I$88,3,0)*0.475*44/12</f>
        <v>#REF!</v>
      </c>
      <c r="DI92" s="143" t="str">
        <f t="shared" si="55"/>
        <v>#REF!</v>
      </c>
      <c r="DJ92" s="139" t="str">
        <f t="shared" si="56"/>
        <v>#REF!</v>
      </c>
      <c r="DK92" s="131">
        <f t="shared" si="57"/>
        <v>10</v>
      </c>
      <c r="DL92" s="131" t="str">
        <f t="shared" si="128"/>
        <v>#REF!</v>
      </c>
      <c r="DM92" s="131" t="str">
        <f t="shared" si="58"/>
        <v>#REF!</v>
      </c>
      <c r="DN92" s="131" t="str">
        <f t="array" ref="DN92">INDEX(DM:DM,MIN(IF(ISNUMBER(DM92:DM288),ROW(DM92:DM288),"")))</f>
        <v/>
      </c>
      <c r="DO92" s="131" t="str">
        <f t="shared" si="129"/>
        <v>#REF!</v>
      </c>
      <c r="DP92" s="138" t="str">
        <f>DO92*VLOOKUP('Données projet (1)'!$B$14,'Paramètres (1)'!$A$1:$I$88,3,0)*VLOOKUP('Données projet (1)'!$B$14,'Paramètres (1)'!$A$1:$I$88,5,0)</f>
        <v>#REF!</v>
      </c>
      <c r="DQ92" s="130" t="str">
        <f t="shared" si="130"/>
        <v>#REF!</v>
      </c>
      <c r="DR92" s="141" t="str">
        <f t="shared" si="59"/>
        <v>#REF!</v>
      </c>
      <c r="DS92" s="133" t="str">
        <f t="shared" si="60"/>
        <v>#REF!</v>
      </c>
      <c r="DT92" s="133" t="str">
        <f t="shared" si="61"/>
        <v>#REF!</v>
      </c>
      <c r="DU92" s="133" t="str">
        <f t="shared" si="131"/>
        <v>#REF!</v>
      </c>
      <c r="DV92" s="134" t="str">
        <f t="shared" si="62"/>
        <v>#REF!</v>
      </c>
      <c r="DW92" s="134" t="str">
        <f t="shared" si="63"/>
        <v>#REF!</v>
      </c>
      <c r="DX92" s="135" t="str">
        <f>IF(ISNA(VLOOKUP(A92,'Données projet (1)'!$A$165:$I$185,5,0)),0%,VLOOKUP(A92,'Données projet (1)'!$A$165:$I$185,5,0)*VLOOKUP('Données projet (1)'!$B$14,'Paramètres (1)'!$A$1:$I$88,7,0))</f>
        <v>#REF!</v>
      </c>
      <c r="DY92" s="135" t="str">
        <f>IF(ISNA(VLOOKUP(A92,'Données projet (1)'!$A$165:$I$185,6,0)),0%,VLOOKUP(A92,'Données projet (1)'!$A$165:$I$185,6,0)*VLOOKUP('Données projet (1)'!$B$14,'Paramètres (1)'!$A$1:$I$88,7,0))</f>
        <v>#REF!</v>
      </c>
      <c r="DZ92" s="135" t="str">
        <f t="shared" si="64"/>
        <v>#REF!</v>
      </c>
      <c r="EA92" s="142" t="str">
        <f>EXP(-LN(2)/35)*EA91+(1-EXP(-LN(2)/35))/(LN(2)/35)*DW92*DX92*VLOOKUP('Données projet (1)'!$B$14,'Paramètres (1)'!$A$1:$I$88,3,0)*0.475*44/12</f>
        <v>#REF!</v>
      </c>
      <c r="EB92" s="142" t="str">
        <f>EXP(-LN(2)/25)*EB91+(1-EXP(-LN(2)/25))/(LN(2)/25)*'Calculateur (1)'!DW92*'Calculateur (1)'!DY92*VLOOKUP('Données projet (1)'!$B$14,'Paramètres (1)'!$A$1:$I$88,3,0)*0.475*44/12</f>
        <v>#REF!</v>
      </c>
      <c r="EC92" s="142" t="str">
        <f>EXP(-LN(2)/2)*EC91+(1-EXP(-LN(2)/2))/(LN(2)/2)*DW92*DZ92*VLOOKUP('Données projet (1)'!$B$14,'Paramètres (1)'!$A$1:$I$88,3,0)*0.475*44/12</f>
        <v>#REF!</v>
      </c>
      <c r="ED92" s="143" t="str">
        <f t="shared" si="65"/>
        <v>#REF!</v>
      </c>
      <c r="EE92" s="139" t="str">
        <f t="shared" si="66"/>
        <v>#REF!</v>
      </c>
      <c r="EF92" s="131">
        <f t="shared" si="67"/>
        <v>10</v>
      </c>
      <c r="EG92" s="131" t="str">
        <f t="shared" si="132"/>
        <v>#REF!</v>
      </c>
      <c r="EH92" s="131" t="str">
        <f t="shared" si="68"/>
        <v>#REF!</v>
      </c>
      <c r="EI92" s="131" t="str">
        <f t="array" ref="EI92">INDEX(EH:EH,MIN(IF(ISNUMBER(EH92:EH288),ROW(EH92:EH288),"")))</f>
        <v/>
      </c>
      <c r="EJ92" s="131" t="str">
        <f t="shared" si="133"/>
        <v>#REF!</v>
      </c>
      <c r="EK92" s="138" t="str">
        <f>EJ92*VLOOKUP('Données projet (1)'!$B$15,'Paramètres (1)'!$A$1:$I$88,3,0)*VLOOKUP('Données projet (1)'!$B$15,'Paramètres (1)'!$A$1:$I$88,5,0)</f>
        <v>#REF!</v>
      </c>
      <c r="EL92" s="130" t="str">
        <f t="shared" si="134"/>
        <v>#REF!</v>
      </c>
      <c r="EM92" s="141" t="str">
        <f t="shared" si="69"/>
        <v>#REF!</v>
      </c>
      <c r="EN92" s="133" t="str">
        <f t="shared" si="70"/>
        <v>#REF!</v>
      </c>
      <c r="EO92" s="133" t="str">
        <f t="shared" si="71"/>
        <v>#REF!</v>
      </c>
      <c r="EP92" s="133" t="str">
        <f t="shared" si="135"/>
        <v>#REF!</v>
      </c>
      <c r="EQ92" s="134" t="str">
        <f t="shared" si="72"/>
        <v>#REF!</v>
      </c>
      <c r="ER92" s="134" t="str">
        <f t="shared" si="73"/>
        <v>#REF!</v>
      </c>
      <c r="ES92" s="135" t="str">
        <f>IF(ISNA(VLOOKUP(A92,'Données projet (1)'!$A$191:$I$211,5,0)),0%,VLOOKUP(A92,'Données projet (1)'!$A$191:$I$211,5,0)*VLOOKUP('Données projet (1)'!$B$15,'Paramètres (1)'!$A$1:$I$88,7,0))</f>
        <v>#REF!</v>
      </c>
      <c r="ET92" s="135" t="str">
        <f>IF(ISNA(VLOOKUP(A92,'Données projet (1)'!$A$191:$I$211,6,0)),0%,VLOOKUP(A92,'Données projet (1)'!$A$191:$I$211,6,0)*VLOOKUP('Données projet (1)'!$B$15,'Paramètres (1)'!$A$1:$I$88,7,0))</f>
        <v>#REF!</v>
      </c>
      <c r="EU92" s="135" t="str">
        <f t="shared" si="74"/>
        <v>#REF!</v>
      </c>
      <c r="EV92" s="142" t="str">
        <f>EXP(-LN(2)/35)*EV91+(1-EXP(-LN(2)/35))/(LN(2)/35)*ER92*ES92*VLOOKUP('Données projet (1)'!$B$15,'Paramètres (1)'!$A$1:$I$88,3,0)*0.475*44/12</f>
        <v>#REF!</v>
      </c>
      <c r="EW92" s="142" t="str">
        <f>EXP(-LN(2)/25)*EW91+(1-EXP(-LN(2)/25))/(LN(2)/25)*'Calculateur (1)'!ER92*'Calculateur (1)'!ET92*VLOOKUP('Données projet (1)'!$B$15,'Paramètres (1)'!$A$1:$I$88,3,0)*0.475*44/12</f>
        <v>#REF!</v>
      </c>
      <c r="EX92" s="142" t="str">
        <f>EXP(-LN(2)/2)*EX91+(1-EXP(-LN(2)/2))/(LN(2)/2)*ER92*EU92*VLOOKUP('Données projet (1)'!$B$15,'Paramètres (1)'!$A$1:$I$88,3,0)*0.475*44/12</f>
        <v>#REF!</v>
      </c>
      <c r="EY92" s="143" t="str">
        <f t="shared" si="75"/>
        <v>#REF!</v>
      </c>
      <c r="EZ92" s="139" t="str">
        <f t="shared" si="76"/>
        <v>#REF!</v>
      </c>
      <c r="FA92" s="131">
        <f t="shared" si="77"/>
        <v>10</v>
      </c>
      <c r="FB92" s="131" t="str">
        <f t="shared" si="136"/>
        <v>#REF!</v>
      </c>
      <c r="FC92" s="131" t="str">
        <f t="shared" si="78"/>
        <v>#REF!</v>
      </c>
      <c r="FD92" s="131" t="str">
        <f t="array" ref="FD92">INDEX(FC:FC,MIN(IF(ISNUMBER(FC92:FC288),ROW(FC92:FC288),"")))</f>
        <v/>
      </c>
      <c r="FE92" s="131" t="str">
        <f t="shared" si="137"/>
        <v>#REF!</v>
      </c>
      <c r="FF92" s="138" t="str">
        <f>FE92*VLOOKUP('Données projet (1)'!$B$16,'Paramètres (1)'!$A$1:$I$88,3,0)*VLOOKUP('Données projet (1)'!$B$16,'Paramètres (1)'!$A$1:$I$88,5,0)</f>
        <v>#REF!</v>
      </c>
      <c r="FG92" s="130" t="str">
        <f t="shared" si="138"/>
        <v>#REF!</v>
      </c>
      <c r="FH92" s="141" t="str">
        <f t="shared" si="79"/>
        <v>#REF!</v>
      </c>
      <c r="FI92" s="133" t="str">
        <f t="shared" si="80"/>
        <v>#REF!</v>
      </c>
      <c r="FJ92" s="133" t="str">
        <f t="shared" si="81"/>
        <v>#REF!</v>
      </c>
      <c r="FK92" s="133" t="str">
        <f t="shared" si="139"/>
        <v>#REF!</v>
      </c>
      <c r="FL92" s="134" t="str">
        <f t="shared" si="82"/>
        <v>#REF!</v>
      </c>
      <c r="FM92" s="134" t="str">
        <f t="shared" si="83"/>
        <v>#REF!</v>
      </c>
      <c r="FN92" s="135" t="str">
        <f>IF(ISNA(VLOOKUP(A92,'Données projet (1)'!$A$217:$I$237,5,0)),0%,VLOOKUP(A92,'Données projet (1)'!$A$217:$I$237,5,0)*VLOOKUP('Données projet (1)'!$B$16,'Paramètres (1)'!$A$1:$I$88,7,0))</f>
        <v>#REF!</v>
      </c>
      <c r="FO92" s="135" t="str">
        <f>IF(ISNA(VLOOKUP(A92,'Données projet (1)'!$A$217:$I$237,6,0)),0%,VLOOKUP(A92,'Données projet (1)'!$A$217:$I$237,6,0)*VLOOKUP('Données projet (1)'!$B$16,'Paramètres (1)'!$A$1:$I$88,7,0))</f>
        <v>#REF!</v>
      </c>
      <c r="FP92" s="135" t="str">
        <f t="shared" si="84"/>
        <v>#REF!</v>
      </c>
      <c r="FQ92" s="142" t="str">
        <f>EXP(-LN(2)/35)*FQ91+(1-EXP(-LN(2)/35))/(LN(2)/35)*FM92*FN92*VLOOKUP('Données projet (1)'!$B$16,'Paramètres (1)'!$A$1:$I$88,3,0)*0.475*44/12</f>
        <v>#REF!</v>
      </c>
      <c r="FR92" s="142" t="str">
        <f>EXP(-LN(2)/25)*FR91+(1-EXP(-LN(2)/25))/(LN(2)/25)*'Calculateur (1)'!FM92*'Calculateur (1)'!FO92*VLOOKUP('Données projet (1)'!$B$16,'Paramètres (1)'!$A$1:$I$88,3,0)*0.475*44/12</f>
        <v>#REF!</v>
      </c>
      <c r="FS92" s="142" t="str">
        <f>EXP(-LN(2)/2)*FS91+(1-EXP(-LN(2)/2))/(LN(2)/2)*FM92*FP92*VLOOKUP('Données projet (1)'!$B$16,'Paramètres (1)'!$A$1:$I$88,3,0)*0.475*44/12</f>
        <v>#REF!</v>
      </c>
      <c r="FT92" s="143" t="str">
        <f t="shared" si="85"/>
        <v>#REF!</v>
      </c>
      <c r="FU92" s="139" t="str">
        <f t="shared" si="86"/>
        <v>#REF!</v>
      </c>
      <c r="FV92" s="131">
        <f t="shared" si="87"/>
        <v>10</v>
      </c>
      <c r="FW92" s="131" t="str">
        <f t="shared" si="140"/>
        <v>#REF!</v>
      </c>
      <c r="FX92" s="131" t="str">
        <f t="shared" si="88"/>
        <v>#REF!</v>
      </c>
      <c r="FY92" s="131" t="str">
        <f t="array" ref="FY92">INDEX(FX:FX,MIN(IF(ISNUMBER(FX92:FX288),ROW(FX92:FX288),"")))</f>
        <v/>
      </c>
      <c r="FZ92" s="131" t="str">
        <f t="shared" si="141"/>
        <v>#REF!</v>
      </c>
      <c r="GA92" s="138" t="str">
        <f>FZ92*VLOOKUP('Données projet (1)'!$B$17,'Paramètres (1)'!$A$1:$I$88,3,0)*VLOOKUP('Données projet (1)'!$B$17,'Paramètres (1)'!$A$1:$I$88,5,0)</f>
        <v>#REF!</v>
      </c>
      <c r="GB92" s="130" t="str">
        <f t="shared" si="142"/>
        <v>#REF!</v>
      </c>
      <c r="GC92" s="141" t="str">
        <f t="shared" si="89"/>
        <v>#REF!</v>
      </c>
      <c r="GD92" s="133" t="str">
        <f t="shared" si="90"/>
        <v>#REF!</v>
      </c>
      <c r="GE92" s="133" t="str">
        <f t="shared" si="91"/>
        <v>#REF!</v>
      </c>
      <c r="GF92" s="133" t="str">
        <f t="shared" si="143"/>
        <v>#REF!</v>
      </c>
      <c r="GG92" s="134" t="str">
        <f t="shared" si="92"/>
        <v>#REF!</v>
      </c>
      <c r="GH92" s="134" t="str">
        <f t="shared" si="93"/>
        <v>#REF!</v>
      </c>
      <c r="GI92" s="135" t="str">
        <f>IF(ISNA(VLOOKUP(A92,'Données projet (1)'!$A$243:$I$263,5,0)),0%,VLOOKUP(A92,'Données projet (1)'!$A$243:$I$263,5,0)*VLOOKUP('Données projet (1)'!$B$17,'Paramètres (1)'!$A$1:$I$88,7,0))</f>
        <v>#REF!</v>
      </c>
      <c r="GJ92" s="135" t="str">
        <f>IF(ISNA(VLOOKUP(A92,'Données projet (1)'!$A$243:$I$263,6,0)),0%,VLOOKUP(A92,'Données projet (1)'!$A$243:$I$263,6,0)*VLOOKUP('Données projet (1)'!$B$17,'Paramètres (1)'!$A$1:$I$88,7,0))</f>
        <v>#REF!</v>
      </c>
      <c r="GK92" s="135" t="str">
        <f t="shared" si="94"/>
        <v>#REF!</v>
      </c>
      <c r="GL92" s="142" t="str">
        <f>EXP(-LN(2)/35)*GL91+(1-EXP(-LN(2)/35))/(LN(2)/35)*GH92*GI92*VLOOKUP('Données projet (1)'!$B$17,'Paramètres (1)'!$A$1:$I$88,3,0)*0.475*44/12</f>
        <v>#REF!</v>
      </c>
      <c r="GM92" s="142" t="str">
        <f>EXP(-LN(2)/25)*GM91+(1-EXP(-LN(2)/25))/(LN(2)/25)*'Calculateur (1)'!GH92*'Calculateur (1)'!GJ92*VLOOKUP('Données projet (1)'!$B$17,'Paramètres (1)'!$A$1:$I$88,3,0)*0.475*44/12</f>
        <v>#REF!</v>
      </c>
      <c r="GN92" s="142" t="str">
        <f>EXP(-LN(2)/2)*GN91+(1-EXP(-LN(2)/2))/(LN(2)/2)*GH92*GK92*VLOOKUP('Données projet (1)'!$B$17,'Paramètres (1)'!$A$1:$I$88,3,0)*0.475*44/12</f>
        <v>#REF!</v>
      </c>
      <c r="GO92" s="142" t="str">
        <f t="shared" si="95"/>
        <v>#REF!</v>
      </c>
      <c r="GP92" s="139" t="str">
        <f t="shared" si="96"/>
        <v>#REF!</v>
      </c>
      <c r="GQ92" s="131">
        <f t="shared" si="97"/>
        <v>10</v>
      </c>
      <c r="GR92" s="131" t="str">
        <f t="shared" si="144"/>
        <v>#REF!</v>
      </c>
      <c r="GS92" s="131" t="str">
        <f t="shared" si="98"/>
        <v>#REF!</v>
      </c>
      <c r="GT92" s="131" t="str">
        <f t="array" ref="GT92">INDEX(GS:GS,MIN(IF(ISNUMBER(GS92:GS288),ROW(GS92:GS288),"")))</f>
        <v/>
      </c>
      <c r="GU92" s="131" t="str">
        <f t="shared" si="145"/>
        <v>#REF!</v>
      </c>
      <c r="GV92" s="138" t="str">
        <f>GU92*VLOOKUP('Données projet (1)'!$B$18,'Paramètres (1)'!$A$1:$I$88,3,0)*VLOOKUP('Données projet (1)'!$B$18,'Paramètres (1)'!$A$1:$I$88,5,0)</f>
        <v>#REF!</v>
      </c>
      <c r="GW92" s="130" t="str">
        <f t="shared" si="146"/>
        <v>#REF!</v>
      </c>
      <c r="GX92" s="141" t="str">
        <f t="shared" si="99"/>
        <v>#REF!</v>
      </c>
      <c r="GY92" s="133" t="str">
        <f t="shared" si="100"/>
        <v>#REF!</v>
      </c>
      <c r="GZ92" s="133" t="str">
        <f t="shared" si="101"/>
        <v>#REF!</v>
      </c>
      <c r="HA92" s="133" t="str">
        <f t="shared" si="147"/>
        <v>#REF!</v>
      </c>
      <c r="HB92" s="134" t="str">
        <f t="shared" si="102"/>
        <v>#REF!</v>
      </c>
      <c r="HC92" s="134" t="str">
        <f t="shared" si="103"/>
        <v>#REF!</v>
      </c>
      <c r="HD92" s="135" t="str">
        <f>IF(ISNA(VLOOKUP(A92,'Données projet (1)'!$A$269:$I$289,5,0)),0%,VLOOKUP(A92,'Données projet (1)'!$A$269:$I$289,5,0)*VLOOKUP('Données projet (1)'!$B$18,'Paramètres (1)'!$A$1:$I$88,7,0))</f>
        <v>#REF!</v>
      </c>
      <c r="HE92" s="135" t="str">
        <f>IF(ISNA(VLOOKUP(A92,'Données projet (1)'!$A$269:$I$289,6,0)),0%,VLOOKUP(A92,'Données projet (1)'!$A$269:$I$289,6,0)*VLOOKUP('Données projet (1)'!$B$18,'Paramètres (1)'!$A$1:$I$88,7,0))</f>
        <v>#REF!</v>
      </c>
      <c r="HF92" s="135" t="str">
        <f t="shared" si="104"/>
        <v>#REF!</v>
      </c>
      <c r="HG92" s="142" t="str">
        <f>EXP(-LN(2)/35)*HG91+(1-EXP(-LN(2)/35))/(LN(2)/35)*HC92*HD92*VLOOKUP('Données projet (1)'!$B$18,'Paramètres (1)'!$A$1:$I$88,3,0)*0.475*44/12</f>
        <v>#REF!</v>
      </c>
      <c r="HH92" s="142" t="str">
        <f>EXP(-LN(2)/25)*HH91+(1-EXP(-LN(2)/25))/(LN(2)/25)*'Calculateur (1)'!HC92*'Calculateur (1)'!HE92*VLOOKUP('Données projet (1)'!$B$18,'Paramètres (1)'!$A$1:$I$88,3,0)*0.475*44/12</f>
        <v>#REF!</v>
      </c>
      <c r="HI92" s="142" t="str">
        <f>EXP(-LN(2)/2)*HI91+(1-EXP(-LN(2)/2))/(LN(2)/2)*HC92*HF92*VLOOKUP('Données projet (1)'!$B$18,'Paramètres (1)'!$A$1:$I$88,3,0)*0.475*44/12</f>
        <v>#REF!</v>
      </c>
      <c r="HJ92" s="143" t="str">
        <f t="shared" si="105"/>
        <v>#REF!</v>
      </c>
    </row>
    <row r="93" ht="14.25" customHeight="1">
      <c r="A93" s="125">
        <f t="shared" si="106"/>
        <v>90</v>
      </c>
      <c r="B93" s="126" t="str">
        <f t="shared" si="1"/>
        <v>#REF!</v>
      </c>
      <c r="C93" s="140" t="str">
        <f>'Calculateur (1)'!C92+'Scénario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3" s="127">
        <f t="shared" si="107"/>
        <v>0</v>
      </c>
      <c r="E93" s="127" t="str">
        <f t="shared" si="2"/>
        <v>#REF!</v>
      </c>
      <c r="F93" s="127" t="str">
        <f t="shared" si="3"/>
        <v>#REF!</v>
      </c>
      <c r="G93" s="127" t="str">
        <f t="shared" si="4"/>
        <v>#REF!</v>
      </c>
      <c r="H93" s="128" t="str">
        <f t="shared" si="5"/>
        <v>#REF!</v>
      </c>
      <c r="I93" s="129" t="str">
        <f t="shared" si="6"/>
        <v>#REF!</v>
      </c>
      <c r="J93" s="130">
        <f t="shared" si="7"/>
        <v>10</v>
      </c>
      <c r="K93" s="131" t="str">
        <f t="shared" si="108"/>
        <v>#REF!</v>
      </c>
      <c r="L93" s="131" t="str">
        <f t="shared" si="8"/>
        <v>#REF!</v>
      </c>
      <c r="M93" s="131" t="str">
        <f t="array" ref="M93">INDEX(L:L,MIN(IF(ISNUMBER(L93:L289),ROW(L93:L289),"")))</f>
        <v/>
      </c>
      <c r="N93" s="130" t="str">
        <f t="shared" si="109"/>
        <v>#REF!</v>
      </c>
      <c r="O93" s="130" t="str">
        <f>N93*VLOOKUP('Données projet (1)'!$B$9,'Paramètres (1)'!$A$1:$I$88,3,0)*VLOOKUP('Données projet (1)'!$B$9,'Paramètres (1)'!$A$1:$I$88,5,0)</f>
        <v>#REF!</v>
      </c>
      <c r="P93" s="130" t="str">
        <f t="shared" si="110"/>
        <v>#REF!</v>
      </c>
      <c r="Q93" s="141" t="str">
        <f t="shared" si="9"/>
        <v>#REF!</v>
      </c>
      <c r="R93" s="133" t="str">
        <f t="shared" si="10"/>
        <v>#REF!</v>
      </c>
      <c r="S93" s="133" t="str">
        <f t="shared" si="11"/>
        <v>#REF!</v>
      </c>
      <c r="T93" s="133" t="str">
        <f t="shared" si="111"/>
        <v>#REF!</v>
      </c>
      <c r="U93" s="134" t="str">
        <f t="shared" si="12"/>
        <v>#REF!</v>
      </c>
      <c r="V93" s="134" t="str">
        <f t="shared" si="13"/>
        <v>#REF!</v>
      </c>
      <c r="W93" s="135" t="str">
        <f>IF(ISNA(VLOOKUP(A93,'Données projet (1)'!$A$35:$I$55,5,0)),0%,VLOOKUP(A93,'Données projet (1)'!$A$35:$I$55,5,0)*VLOOKUP('Données projet (1)'!$B$9,'Paramètres (1)'!$A$1:$I$88,7,0))</f>
        <v>#REF!</v>
      </c>
      <c r="X93" s="135" t="str">
        <f>IF(ISNA(VLOOKUP(A93,'Données projet (1)'!$A$35:$I$55,6,0)),0%,VLOOKUP(A93,'Données projet (1)'!$A$35:$I$55,6,0)*VLOOKUP('Données projet (1)'!$B$9,'Paramètres (1)'!$A$1:$I$88,7,0))</f>
        <v>#REF!</v>
      </c>
      <c r="Y93" s="135" t="str">
        <f t="shared" si="14"/>
        <v>#REF!</v>
      </c>
      <c r="Z93" s="142" t="str">
        <f>EXP(-LN(2)/35)*Z92+(1-EXP(-LN(2)/35))/(LN(2)/35)*V93*W93*VLOOKUP('Données projet (1)'!$B$9,'Paramètres (1)'!$A$1:$I$88,3,0)*0.475*44/12</f>
        <v>#REF!</v>
      </c>
      <c r="AA93" s="142" t="str">
        <f>EXP(-LN(2)/25)*AA92+(1-EXP(-LN(2)/25))/(LN(2)/25)*'Calculateur (1)'!V93*'Calculateur (1)'!X93*VLOOKUP('Données projet (1)'!$B$9,'Paramètres (1)'!$A$1:$I$88,3,0)*0.475*44/12</f>
        <v>#REF!</v>
      </c>
      <c r="AB93" s="142" t="str">
        <f>EXP(-LN(2)/2)*AB92+(1-EXP(-LN(2)/2))/(LN(2)/2)*V93*Y93*VLOOKUP('Données projet (1)'!$B$9,'Paramètres (1)'!$A$1:$I$88,3,0)*0.475*44/12</f>
        <v>#REF!</v>
      </c>
      <c r="AC93" s="143" t="str">
        <f t="shared" si="15"/>
        <v>#REF!</v>
      </c>
      <c r="AD93" s="130" t="str">
        <f t="shared" si="16"/>
        <v>#REF!</v>
      </c>
      <c r="AE93" s="130">
        <f t="shared" si="17"/>
        <v>10</v>
      </c>
      <c r="AF93" s="131" t="str">
        <f t="shared" si="112"/>
        <v>#REF!</v>
      </c>
      <c r="AG93" s="131" t="str">
        <f t="shared" si="18"/>
        <v>#REF!</v>
      </c>
      <c r="AH93" s="131" t="str">
        <f t="array" ref="AH93">INDEX(AG:AG,MIN(IF(ISNUMBER(AG93:AG289),ROW(AG93:AG289),"")))</f>
        <v/>
      </c>
      <c r="AI93" s="130" t="str">
        <f t="shared" si="113"/>
        <v>#REF!</v>
      </c>
      <c r="AJ93" s="130" t="str">
        <f>AI93*VLOOKUP('Données projet (1)'!$B$10,'Paramètres (1)'!$A$1:$I$88,3,0)*VLOOKUP('Données projet (1)'!$B$10,'Paramètres (1)'!$A$1:$I$88,5,0)</f>
        <v>#REF!</v>
      </c>
      <c r="AK93" s="130" t="str">
        <f t="shared" si="114"/>
        <v>#REF!</v>
      </c>
      <c r="AL93" s="141" t="str">
        <f t="shared" si="19"/>
        <v>#REF!</v>
      </c>
      <c r="AM93" s="133" t="str">
        <f t="shared" si="20"/>
        <v>#REF!</v>
      </c>
      <c r="AN93" s="133" t="str">
        <f t="shared" si="21"/>
        <v>#REF!</v>
      </c>
      <c r="AO93" s="133" t="str">
        <f t="shared" si="115"/>
        <v>#REF!</v>
      </c>
      <c r="AP93" s="134" t="str">
        <f t="shared" si="22"/>
        <v>#REF!</v>
      </c>
      <c r="AQ93" s="134" t="str">
        <f t="shared" si="23"/>
        <v>#REF!</v>
      </c>
      <c r="AR93" s="135" t="str">
        <f>IF(ISNA(VLOOKUP(A93,'Données projet (1)'!$A$61:$I$81,5,0)),0%,VLOOKUP(A93,'Données projet (1)'!$A$61:$I$81,5,0)*VLOOKUP('Données projet (1)'!$B$10,'Paramètres (1)'!$A$1:$I$88,7,0))</f>
        <v>#REF!</v>
      </c>
      <c r="AS93" s="135" t="str">
        <f>IF(ISNA(VLOOKUP(A93,'Données projet (1)'!$A$61:$I$81,6,0)),0%,VLOOKUP(A93,'Données projet (1)'!$A$61:$I$81,6,0)*VLOOKUP('Données projet (1)'!$B$10,'Paramètres (1)'!$A$1:$I$88,7,0))</f>
        <v>#REF!</v>
      </c>
      <c r="AT93" s="135" t="str">
        <f t="shared" si="24"/>
        <v>#REF!</v>
      </c>
      <c r="AU93" s="142" t="str">
        <f>EXP(-LN(2)/35)*AU92+(1-EXP(-LN(2)/35))/(LN(2)/35)*AQ93*AR93*VLOOKUP('Données projet (1)'!$B$10,'Paramètres (1)'!$A$1:$I$88,3,0)*0.475*44/12</f>
        <v>#REF!</v>
      </c>
      <c r="AV93" s="142" t="str">
        <f>EXP(-LN(2)/25)*AV92+(1-EXP(-LN(2)/25))/(LN(2)/25)*'Calculateur (1)'!AQ93*'Calculateur (1)'!AS93*VLOOKUP('Données projet (1)'!$B$10,'Paramètres (1)'!$A$1:$I$88,3,0)*0.475*44/12</f>
        <v>#REF!</v>
      </c>
      <c r="AW93" s="142" t="str">
        <f>EXP(-LN(2)/2)*AW92+(1-EXP(-LN(2)/2))/(LN(2)/2)*AQ93*AT93*VLOOKUP('Données projet (1)'!$B$10,'Paramètres (1)'!$A$1:$I$88,3,0)*0.475*44/12</f>
        <v>#REF!</v>
      </c>
      <c r="AX93" s="142" t="str">
        <f t="shared" si="25"/>
        <v>#REF!</v>
      </c>
      <c r="AY93" s="137" t="str">
        <f t="shared" si="26"/>
        <v>#REF!</v>
      </c>
      <c r="AZ93" s="131">
        <f t="shared" si="27"/>
        <v>10</v>
      </c>
      <c r="BA93" s="131" t="str">
        <f t="shared" si="116"/>
        <v>#REF!</v>
      </c>
      <c r="BB93" s="131" t="str">
        <f t="shared" si="28"/>
        <v>#REF!</v>
      </c>
      <c r="BC93" s="131" t="str">
        <f t="array" ref="BC93">INDEX(BB:BB,MIN(IF(ISNUMBER(BB93:BB289),ROW(BB93:BB289),"")))</f>
        <v/>
      </c>
      <c r="BD93" s="131" t="str">
        <f t="shared" si="117"/>
        <v>#REF!</v>
      </c>
      <c r="BE93" s="130" t="str">
        <f>BD93*VLOOKUP('Données projet (1)'!$B$11,'Paramètres (1)'!$A$1:$I$88,3,0)*VLOOKUP('Données projet (1)'!$B$11,'Paramètres (1)'!$A$1:$I$88,5,0)</f>
        <v>#REF!</v>
      </c>
      <c r="BF93" s="130" t="str">
        <f t="shared" si="118"/>
        <v>#REF!</v>
      </c>
      <c r="BG93" s="141" t="str">
        <f t="shared" si="29"/>
        <v>#REF!</v>
      </c>
      <c r="BH93" s="133" t="str">
        <f t="shared" si="30"/>
        <v>#REF!</v>
      </c>
      <c r="BI93" s="133" t="str">
        <f t="shared" si="31"/>
        <v>#REF!</v>
      </c>
      <c r="BJ93" s="133" t="str">
        <f t="shared" si="119"/>
        <v>#REF!</v>
      </c>
      <c r="BK93" s="134" t="str">
        <f t="shared" si="32"/>
        <v>#REF!</v>
      </c>
      <c r="BL93" s="134" t="str">
        <f t="shared" si="33"/>
        <v>#REF!</v>
      </c>
      <c r="BM93" s="135" t="str">
        <f>IF(ISNA(VLOOKUP(A93,'Données projet (1)'!$A$87:$I$107,5,0)),0%,VLOOKUP(A93,'Données projet (1)'!$A$87:$I$107,5,0)*VLOOKUP('Données projet (1)'!$B$11,'Paramètres (1)'!$A$1:$I$88,7,0))</f>
        <v>#REF!</v>
      </c>
      <c r="BN93" s="135" t="str">
        <f>IF(ISNA(VLOOKUP(A93,'Données projet (1)'!$A$87:$I$107,6,0)),0%,VLOOKUP(A93,'Données projet (1)'!$A$87:$I$107,6,0)*VLOOKUP('Données projet (1)'!$B$11,'Paramètres (1)'!$A$1:$I$88,7,0))</f>
        <v>#REF!</v>
      </c>
      <c r="BO93" s="135" t="str">
        <f t="shared" si="34"/>
        <v>#REF!</v>
      </c>
      <c r="BP93" s="142" t="str">
        <f>EXP(-LN(2)/35)*BP92+(1-EXP(-LN(2)/35))/(LN(2)/35)*BL93*BM93*VLOOKUP('Données projet (1)'!$B$11,'Paramètres (1)'!$A$1:$I$88,3,0)*0.475*44/12</f>
        <v>#REF!</v>
      </c>
      <c r="BQ93" s="142" t="str">
        <f>EXP(-LN(2)/25)*BQ92+(1-EXP(-LN(2)/25))/(LN(2)/25)*'Calculateur (1)'!BL93*'Calculateur (1)'!BN93*VLOOKUP('Données projet (1)'!$B$11,'Paramètres (1)'!$A$1:$I$88,3,0)*0.475*44/12</f>
        <v>#REF!</v>
      </c>
      <c r="BR93" s="142" t="str">
        <f>EXP(-LN(2)/2)*BR92+(1-EXP(-LN(2)/2))/(LN(2)/2)*BL93*BO93*VLOOKUP('Données projet (1)'!$B$11,'Paramètres (1)'!$A$1:$I$88,3,0)*0.475*44/12</f>
        <v>#REF!</v>
      </c>
      <c r="BS93" s="143" t="str">
        <f t="shared" si="35"/>
        <v>#REF!</v>
      </c>
      <c r="BT93" s="139" t="str">
        <f t="shared" si="36"/>
        <v>#REF!</v>
      </c>
      <c r="BU93" s="131">
        <f t="shared" si="37"/>
        <v>10</v>
      </c>
      <c r="BV93" s="131" t="str">
        <f t="shared" si="120"/>
        <v>#REF!</v>
      </c>
      <c r="BW93" s="131" t="str">
        <f t="shared" si="38"/>
        <v>#REF!</v>
      </c>
      <c r="BX93" s="131" t="str">
        <f t="array" ref="BX93">INDEX(BW:BW,MIN(IF(ISNUMBER(BW93:BW289),ROW(BW93:BW289),"")))</f>
        <v/>
      </c>
      <c r="BY93" s="131" t="str">
        <f t="shared" si="121"/>
        <v>#REF!</v>
      </c>
      <c r="BZ93" s="130" t="str">
        <f>BY93*VLOOKUP('Données projet (1)'!$B$12,'Paramètres (1)'!$A$1:$I$88,3,0)*VLOOKUP('Données projet (1)'!$B$12,'Paramètres (1)'!$A$1:$I$88,5,0)</f>
        <v>#REF!</v>
      </c>
      <c r="CA93" s="130" t="str">
        <f t="shared" si="122"/>
        <v>#REF!</v>
      </c>
      <c r="CB93" s="141" t="str">
        <f t="shared" si="39"/>
        <v>#REF!</v>
      </c>
      <c r="CC93" s="133" t="str">
        <f t="shared" si="40"/>
        <v>#REF!</v>
      </c>
      <c r="CD93" s="133" t="str">
        <f t="shared" si="41"/>
        <v>#REF!</v>
      </c>
      <c r="CE93" s="133" t="str">
        <f t="shared" si="123"/>
        <v>#REF!</v>
      </c>
      <c r="CF93" s="134" t="str">
        <f t="shared" si="42"/>
        <v>#REF!</v>
      </c>
      <c r="CG93" s="134" t="str">
        <f t="shared" si="43"/>
        <v>#REF!</v>
      </c>
      <c r="CH93" s="135" t="str">
        <f>IF(ISNA(VLOOKUP(A93,'Données projet (1)'!$A$113:$I$133,5,0)),0%,VLOOKUP(A93,'Données projet (1)'!$A$113:$I$133,5,0)*VLOOKUP('Données projet (1)'!$B$12,'Paramètres (1)'!$A$1:$I$88,7,0))</f>
        <v>#REF!</v>
      </c>
      <c r="CI93" s="135" t="str">
        <f>IF(ISNA(VLOOKUP(A93,'Données projet (1)'!$A$113:$I$133,6,0)),0%,VLOOKUP(A93,'Données projet (1)'!$A$113:$I$133,6,0)*VLOOKUP('Données projet (1)'!$B$12,'Paramètres (1)'!$A$1:$I$88,7,0))</f>
        <v>#REF!</v>
      </c>
      <c r="CJ93" s="135" t="str">
        <f t="shared" si="44"/>
        <v>#REF!</v>
      </c>
      <c r="CK93" s="142" t="str">
        <f>EXP(-LN(2)/35)*CK92+(1-EXP(-LN(2)/35))/(LN(2)/35)*CG93*CH93*VLOOKUP('Données projet (1)'!$B$12,'Paramètres (1)'!$A$1:$I$88,3,0)*0.475*44/12</f>
        <v>#REF!</v>
      </c>
      <c r="CL93" s="142" t="str">
        <f>EXP(-LN(2)/25)*CL92+(1-EXP(-LN(2)/25))/(LN(2)/25)*'Calculateur (1)'!CG93*'Calculateur (1)'!CI93*VLOOKUP('Données projet (1)'!$B$12,'Paramètres (1)'!$A$1:$I$88,3,0)*0.475*44/12</f>
        <v>#REF!</v>
      </c>
      <c r="CM93" s="142" t="str">
        <f>EXP(-LN(2)/2)*CM92+(1-EXP(-LN(2)/2))/(LN(2)/2)*CG93*CJ93*VLOOKUP('Données projet (1)'!$B$12,'Paramètres (1)'!$A$1:$I$88,3,0)*0.475*44/12</f>
        <v>#REF!</v>
      </c>
      <c r="CN93" s="143" t="str">
        <f t="shared" si="45"/>
        <v>#REF!</v>
      </c>
      <c r="CO93" s="139" t="str">
        <f t="shared" si="46"/>
        <v>#REF!</v>
      </c>
      <c r="CP93" s="131">
        <f t="shared" si="47"/>
        <v>10</v>
      </c>
      <c r="CQ93" s="131" t="str">
        <f t="shared" si="124"/>
        <v>#REF!</v>
      </c>
      <c r="CR93" s="131" t="str">
        <f t="shared" si="48"/>
        <v>#REF!</v>
      </c>
      <c r="CS93" s="131" t="str">
        <f t="array" ref="CS93">INDEX(CR:CR,MIN(IF(ISNUMBER(CR93:CR289),ROW(CR93:CR289),"")))</f>
        <v/>
      </c>
      <c r="CT93" s="131" t="str">
        <f t="shared" si="125"/>
        <v>#REF!</v>
      </c>
      <c r="CU93" s="138" t="str">
        <f>CT93*VLOOKUP('Données projet (1)'!$B$13,'Paramètres (1)'!$A$1:$I$88,3,0)*VLOOKUP('Données projet (1)'!$B$13,'Paramètres (1)'!$A$1:$I$88,5,0)</f>
        <v>#REF!</v>
      </c>
      <c r="CV93" s="130" t="str">
        <f t="shared" si="126"/>
        <v>#REF!</v>
      </c>
      <c r="CW93" s="141" t="str">
        <f t="shared" si="49"/>
        <v>#REF!</v>
      </c>
      <c r="CX93" s="133" t="str">
        <f t="shared" si="50"/>
        <v>#REF!</v>
      </c>
      <c r="CY93" s="133" t="str">
        <f t="shared" si="51"/>
        <v>#REF!</v>
      </c>
      <c r="CZ93" s="133" t="str">
        <f t="shared" si="127"/>
        <v>#REF!</v>
      </c>
      <c r="DA93" s="134" t="str">
        <f t="shared" si="52"/>
        <v>#REF!</v>
      </c>
      <c r="DB93" s="134" t="str">
        <f t="shared" si="53"/>
        <v>#REF!</v>
      </c>
      <c r="DC93" s="135" t="str">
        <f>IF(ISNA(VLOOKUP(A93,'Données projet (1)'!$A$139:$I$159,5,0)),0%,VLOOKUP(A93,'Données projet (1)'!$A$139:$I$159,5,0)*VLOOKUP('Données projet (1)'!$B$13,'Paramètres (1)'!$A$1:$I$88,7,0))</f>
        <v>#REF!</v>
      </c>
      <c r="DD93" s="135" t="str">
        <f>IF(ISNA(VLOOKUP(A93,'Données projet (1)'!$A$139:$I$159,6,0)),0%,VLOOKUP(A93,'Données projet (1)'!$A$139:$I$159,6,0)*VLOOKUP('Données projet (1)'!$B$13,'Paramètres (1)'!$A$1:$I$88,7,0))</f>
        <v>#REF!</v>
      </c>
      <c r="DE93" s="135" t="str">
        <f t="shared" si="54"/>
        <v>#REF!</v>
      </c>
      <c r="DF93" s="142" t="str">
        <f>EXP(-LN(2)/35)*DF92+(1-EXP(-LN(2)/35))/(LN(2)/35)*DB93*DC93*VLOOKUP('Données projet (1)'!$B$13,'Paramètres (1)'!$A$1:$I$88,3,0)*0.475*44/12</f>
        <v>#REF!</v>
      </c>
      <c r="DG93" s="142" t="str">
        <f>EXP(-LN(2)/25)*DG92+(1-EXP(-LN(2)/25))/(LN(2)/25)*'Calculateur (1)'!DB93*'Calculateur (1)'!DD93*VLOOKUP('Données projet (1)'!$B$13,'Paramètres (1)'!$A$1:$I$88,3,0)*0.475*44/12</f>
        <v>#REF!</v>
      </c>
      <c r="DH93" s="142" t="str">
        <f>EXP(-LN(2)/2)*DH92+(1-EXP(-LN(2)/2))/(LN(2)/2)*DB93*DE93*VLOOKUP('Données projet (1)'!$B$13,'Paramètres (1)'!$A$1:$I$88,3,0)*0.475*44/12</f>
        <v>#REF!</v>
      </c>
      <c r="DI93" s="143" t="str">
        <f t="shared" si="55"/>
        <v>#REF!</v>
      </c>
      <c r="DJ93" s="139" t="str">
        <f t="shared" si="56"/>
        <v>#REF!</v>
      </c>
      <c r="DK93" s="131">
        <f t="shared" si="57"/>
        <v>10</v>
      </c>
      <c r="DL93" s="131" t="str">
        <f t="shared" si="128"/>
        <v>#REF!</v>
      </c>
      <c r="DM93" s="131" t="str">
        <f t="shared" si="58"/>
        <v>#REF!</v>
      </c>
      <c r="DN93" s="131" t="str">
        <f t="array" ref="DN93">INDEX(DM:DM,MIN(IF(ISNUMBER(DM93:DM289),ROW(DM93:DM289),"")))</f>
        <v/>
      </c>
      <c r="DO93" s="131" t="str">
        <f t="shared" si="129"/>
        <v>#REF!</v>
      </c>
      <c r="DP93" s="138" t="str">
        <f>DO93*VLOOKUP('Données projet (1)'!$B$14,'Paramètres (1)'!$A$1:$I$88,3,0)*VLOOKUP('Données projet (1)'!$B$14,'Paramètres (1)'!$A$1:$I$88,5,0)</f>
        <v>#REF!</v>
      </c>
      <c r="DQ93" s="130" t="str">
        <f t="shared" si="130"/>
        <v>#REF!</v>
      </c>
      <c r="DR93" s="141" t="str">
        <f t="shared" si="59"/>
        <v>#REF!</v>
      </c>
      <c r="DS93" s="133" t="str">
        <f t="shared" si="60"/>
        <v>#REF!</v>
      </c>
      <c r="DT93" s="133" t="str">
        <f t="shared" si="61"/>
        <v>#REF!</v>
      </c>
      <c r="DU93" s="133" t="str">
        <f t="shared" si="131"/>
        <v>#REF!</v>
      </c>
      <c r="DV93" s="134" t="str">
        <f t="shared" si="62"/>
        <v>#REF!</v>
      </c>
      <c r="DW93" s="134" t="str">
        <f t="shared" si="63"/>
        <v>#REF!</v>
      </c>
      <c r="DX93" s="135" t="str">
        <f>IF(ISNA(VLOOKUP(A93,'Données projet (1)'!$A$165:$I$185,5,0)),0%,VLOOKUP(A93,'Données projet (1)'!$A$165:$I$185,5,0)*VLOOKUP('Données projet (1)'!$B$14,'Paramètres (1)'!$A$1:$I$88,7,0))</f>
        <v>#REF!</v>
      </c>
      <c r="DY93" s="135" t="str">
        <f>IF(ISNA(VLOOKUP(A93,'Données projet (1)'!$A$165:$I$185,6,0)),0%,VLOOKUP(A93,'Données projet (1)'!$A$165:$I$185,6,0)*VLOOKUP('Données projet (1)'!$B$14,'Paramètres (1)'!$A$1:$I$88,7,0))</f>
        <v>#REF!</v>
      </c>
      <c r="DZ93" s="135" t="str">
        <f t="shared" si="64"/>
        <v>#REF!</v>
      </c>
      <c r="EA93" s="142" t="str">
        <f>EXP(-LN(2)/35)*EA92+(1-EXP(-LN(2)/35))/(LN(2)/35)*DW93*DX93*VLOOKUP('Données projet (1)'!$B$14,'Paramètres (1)'!$A$1:$I$88,3,0)*0.475*44/12</f>
        <v>#REF!</v>
      </c>
      <c r="EB93" s="142" t="str">
        <f>EXP(-LN(2)/25)*EB92+(1-EXP(-LN(2)/25))/(LN(2)/25)*'Calculateur (1)'!DW93*'Calculateur (1)'!DY93*VLOOKUP('Données projet (1)'!$B$14,'Paramètres (1)'!$A$1:$I$88,3,0)*0.475*44/12</f>
        <v>#REF!</v>
      </c>
      <c r="EC93" s="142" t="str">
        <f>EXP(-LN(2)/2)*EC92+(1-EXP(-LN(2)/2))/(LN(2)/2)*DW93*DZ93*VLOOKUP('Données projet (1)'!$B$14,'Paramètres (1)'!$A$1:$I$88,3,0)*0.475*44/12</f>
        <v>#REF!</v>
      </c>
      <c r="ED93" s="143" t="str">
        <f t="shared" si="65"/>
        <v>#REF!</v>
      </c>
      <c r="EE93" s="139" t="str">
        <f t="shared" si="66"/>
        <v>#REF!</v>
      </c>
      <c r="EF93" s="131">
        <f t="shared" si="67"/>
        <v>10</v>
      </c>
      <c r="EG93" s="131" t="str">
        <f t="shared" si="132"/>
        <v>#REF!</v>
      </c>
      <c r="EH93" s="131" t="str">
        <f t="shared" si="68"/>
        <v>#REF!</v>
      </c>
      <c r="EI93" s="131" t="str">
        <f t="array" ref="EI93">INDEX(EH:EH,MIN(IF(ISNUMBER(EH93:EH289),ROW(EH93:EH289),"")))</f>
        <v/>
      </c>
      <c r="EJ93" s="131" t="str">
        <f t="shared" si="133"/>
        <v>#REF!</v>
      </c>
      <c r="EK93" s="138" t="str">
        <f>EJ93*VLOOKUP('Données projet (1)'!$B$15,'Paramètres (1)'!$A$1:$I$88,3,0)*VLOOKUP('Données projet (1)'!$B$15,'Paramètres (1)'!$A$1:$I$88,5,0)</f>
        <v>#REF!</v>
      </c>
      <c r="EL93" s="130" t="str">
        <f t="shared" si="134"/>
        <v>#REF!</v>
      </c>
      <c r="EM93" s="141" t="str">
        <f t="shared" si="69"/>
        <v>#REF!</v>
      </c>
      <c r="EN93" s="133" t="str">
        <f t="shared" si="70"/>
        <v>#REF!</v>
      </c>
      <c r="EO93" s="133" t="str">
        <f t="shared" si="71"/>
        <v>#REF!</v>
      </c>
      <c r="EP93" s="133" t="str">
        <f t="shared" si="135"/>
        <v>#REF!</v>
      </c>
      <c r="EQ93" s="134" t="str">
        <f t="shared" si="72"/>
        <v>#REF!</v>
      </c>
      <c r="ER93" s="134" t="str">
        <f t="shared" si="73"/>
        <v>#REF!</v>
      </c>
      <c r="ES93" s="135" t="str">
        <f>IF(ISNA(VLOOKUP(A93,'Données projet (1)'!$A$191:$I$211,5,0)),0%,VLOOKUP(A93,'Données projet (1)'!$A$191:$I$211,5,0)*VLOOKUP('Données projet (1)'!$B$15,'Paramètres (1)'!$A$1:$I$88,7,0))</f>
        <v>#REF!</v>
      </c>
      <c r="ET93" s="135" t="str">
        <f>IF(ISNA(VLOOKUP(A93,'Données projet (1)'!$A$191:$I$211,6,0)),0%,VLOOKUP(A93,'Données projet (1)'!$A$191:$I$211,6,0)*VLOOKUP('Données projet (1)'!$B$15,'Paramètres (1)'!$A$1:$I$88,7,0))</f>
        <v>#REF!</v>
      </c>
      <c r="EU93" s="135" t="str">
        <f t="shared" si="74"/>
        <v>#REF!</v>
      </c>
      <c r="EV93" s="142" t="str">
        <f>EXP(-LN(2)/35)*EV92+(1-EXP(-LN(2)/35))/(LN(2)/35)*ER93*ES93*VLOOKUP('Données projet (1)'!$B$15,'Paramètres (1)'!$A$1:$I$88,3,0)*0.475*44/12</f>
        <v>#REF!</v>
      </c>
      <c r="EW93" s="142" t="str">
        <f>EXP(-LN(2)/25)*EW92+(1-EXP(-LN(2)/25))/(LN(2)/25)*'Calculateur (1)'!ER93*'Calculateur (1)'!ET93*VLOOKUP('Données projet (1)'!$B$15,'Paramètres (1)'!$A$1:$I$88,3,0)*0.475*44/12</f>
        <v>#REF!</v>
      </c>
      <c r="EX93" s="142" t="str">
        <f>EXP(-LN(2)/2)*EX92+(1-EXP(-LN(2)/2))/(LN(2)/2)*ER93*EU93*VLOOKUP('Données projet (1)'!$B$15,'Paramètres (1)'!$A$1:$I$88,3,0)*0.475*44/12</f>
        <v>#REF!</v>
      </c>
      <c r="EY93" s="143" t="str">
        <f t="shared" si="75"/>
        <v>#REF!</v>
      </c>
      <c r="EZ93" s="139" t="str">
        <f t="shared" si="76"/>
        <v>#REF!</v>
      </c>
      <c r="FA93" s="131">
        <f t="shared" si="77"/>
        <v>10</v>
      </c>
      <c r="FB93" s="131" t="str">
        <f t="shared" si="136"/>
        <v>#REF!</v>
      </c>
      <c r="FC93" s="131" t="str">
        <f t="shared" si="78"/>
        <v>#REF!</v>
      </c>
      <c r="FD93" s="131" t="str">
        <f t="array" ref="FD93">INDEX(FC:FC,MIN(IF(ISNUMBER(FC93:FC289),ROW(FC93:FC289),"")))</f>
        <v/>
      </c>
      <c r="FE93" s="131" t="str">
        <f t="shared" si="137"/>
        <v>#REF!</v>
      </c>
      <c r="FF93" s="138" t="str">
        <f>FE93*VLOOKUP('Données projet (1)'!$B$16,'Paramètres (1)'!$A$1:$I$88,3,0)*VLOOKUP('Données projet (1)'!$B$16,'Paramètres (1)'!$A$1:$I$88,5,0)</f>
        <v>#REF!</v>
      </c>
      <c r="FG93" s="130" t="str">
        <f t="shared" si="138"/>
        <v>#REF!</v>
      </c>
      <c r="FH93" s="141" t="str">
        <f t="shared" si="79"/>
        <v>#REF!</v>
      </c>
      <c r="FI93" s="133" t="str">
        <f t="shared" si="80"/>
        <v>#REF!</v>
      </c>
      <c r="FJ93" s="133" t="str">
        <f t="shared" si="81"/>
        <v>#REF!</v>
      </c>
      <c r="FK93" s="133" t="str">
        <f t="shared" si="139"/>
        <v>#REF!</v>
      </c>
      <c r="FL93" s="134" t="str">
        <f t="shared" si="82"/>
        <v>#REF!</v>
      </c>
      <c r="FM93" s="134" t="str">
        <f t="shared" si="83"/>
        <v>#REF!</v>
      </c>
      <c r="FN93" s="135" t="str">
        <f>IF(ISNA(VLOOKUP(A93,'Données projet (1)'!$A$217:$I$237,5,0)),0%,VLOOKUP(A93,'Données projet (1)'!$A$217:$I$237,5,0)*VLOOKUP('Données projet (1)'!$B$16,'Paramètres (1)'!$A$1:$I$88,7,0))</f>
        <v>#REF!</v>
      </c>
      <c r="FO93" s="135" t="str">
        <f>IF(ISNA(VLOOKUP(A93,'Données projet (1)'!$A$217:$I$237,6,0)),0%,VLOOKUP(A93,'Données projet (1)'!$A$217:$I$237,6,0)*VLOOKUP('Données projet (1)'!$B$16,'Paramètres (1)'!$A$1:$I$88,7,0))</f>
        <v>#REF!</v>
      </c>
      <c r="FP93" s="135" t="str">
        <f t="shared" si="84"/>
        <v>#REF!</v>
      </c>
      <c r="FQ93" s="142" t="str">
        <f>EXP(-LN(2)/35)*FQ92+(1-EXP(-LN(2)/35))/(LN(2)/35)*FM93*FN93*VLOOKUP('Données projet (1)'!$B$16,'Paramètres (1)'!$A$1:$I$88,3,0)*0.475*44/12</f>
        <v>#REF!</v>
      </c>
      <c r="FR93" s="142" t="str">
        <f>EXP(-LN(2)/25)*FR92+(1-EXP(-LN(2)/25))/(LN(2)/25)*'Calculateur (1)'!FM93*'Calculateur (1)'!FO93*VLOOKUP('Données projet (1)'!$B$16,'Paramètres (1)'!$A$1:$I$88,3,0)*0.475*44/12</f>
        <v>#REF!</v>
      </c>
      <c r="FS93" s="142" t="str">
        <f>EXP(-LN(2)/2)*FS92+(1-EXP(-LN(2)/2))/(LN(2)/2)*FM93*FP93*VLOOKUP('Données projet (1)'!$B$16,'Paramètres (1)'!$A$1:$I$88,3,0)*0.475*44/12</f>
        <v>#REF!</v>
      </c>
      <c r="FT93" s="143" t="str">
        <f t="shared" si="85"/>
        <v>#REF!</v>
      </c>
      <c r="FU93" s="139" t="str">
        <f t="shared" si="86"/>
        <v>#REF!</v>
      </c>
      <c r="FV93" s="131">
        <f t="shared" si="87"/>
        <v>10</v>
      </c>
      <c r="FW93" s="131" t="str">
        <f t="shared" si="140"/>
        <v>#REF!</v>
      </c>
      <c r="FX93" s="131" t="str">
        <f t="shared" si="88"/>
        <v>#REF!</v>
      </c>
      <c r="FY93" s="131" t="str">
        <f t="array" ref="FY93">INDEX(FX:FX,MIN(IF(ISNUMBER(FX93:FX289),ROW(FX93:FX289),"")))</f>
        <v/>
      </c>
      <c r="FZ93" s="131" t="str">
        <f t="shared" si="141"/>
        <v>#REF!</v>
      </c>
      <c r="GA93" s="138" t="str">
        <f>FZ93*VLOOKUP('Données projet (1)'!$B$17,'Paramètres (1)'!$A$1:$I$88,3,0)*VLOOKUP('Données projet (1)'!$B$17,'Paramètres (1)'!$A$1:$I$88,5,0)</f>
        <v>#REF!</v>
      </c>
      <c r="GB93" s="130" t="str">
        <f t="shared" si="142"/>
        <v>#REF!</v>
      </c>
      <c r="GC93" s="141" t="str">
        <f t="shared" si="89"/>
        <v>#REF!</v>
      </c>
      <c r="GD93" s="133" t="str">
        <f t="shared" si="90"/>
        <v>#REF!</v>
      </c>
      <c r="GE93" s="133" t="str">
        <f t="shared" si="91"/>
        <v>#REF!</v>
      </c>
      <c r="GF93" s="133" t="str">
        <f t="shared" si="143"/>
        <v>#REF!</v>
      </c>
      <c r="GG93" s="134" t="str">
        <f t="shared" si="92"/>
        <v>#REF!</v>
      </c>
      <c r="GH93" s="134" t="str">
        <f t="shared" si="93"/>
        <v>#REF!</v>
      </c>
      <c r="GI93" s="135" t="str">
        <f>IF(ISNA(VLOOKUP(A93,'Données projet (1)'!$A$243:$I$263,5,0)),0%,VLOOKUP(A93,'Données projet (1)'!$A$243:$I$263,5,0)*VLOOKUP('Données projet (1)'!$B$17,'Paramètres (1)'!$A$1:$I$88,7,0))</f>
        <v>#REF!</v>
      </c>
      <c r="GJ93" s="135" t="str">
        <f>IF(ISNA(VLOOKUP(A93,'Données projet (1)'!$A$243:$I$263,6,0)),0%,VLOOKUP(A93,'Données projet (1)'!$A$243:$I$263,6,0)*VLOOKUP('Données projet (1)'!$B$17,'Paramètres (1)'!$A$1:$I$88,7,0))</f>
        <v>#REF!</v>
      </c>
      <c r="GK93" s="135" t="str">
        <f t="shared" si="94"/>
        <v>#REF!</v>
      </c>
      <c r="GL93" s="142" t="str">
        <f>EXP(-LN(2)/35)*GL92+(1-EXP(-LN(2)/35))/(LN(2)/35)*GH93*GI93*VLOOKUP('Données projet (1)'!$B$17,'Paramètres (1)'!$A$1:$I$88,3,0)*0.475*44/12</f>
        <v>#REF!</v>
      </c>
      <c r="GM93" s="142" t="str">
        <f>EXP(-LN(2)/25)*GM92+(1-EXP(-LN(2)/25))/(LN(2)/25)*'Calculateur (1)'!GH93*'Calculateur (1)'!GJ93*VLOOKUP('Données projet (1)'!$B$17,'Paramètres (1)'!$A$1:$I$88,3,0)*0.475*44/12</f>
        <v>#REF!</v>
      </c>
      <c r="GN93" s="142" t="str">
        <f>EXP(-LN(2)/2)*GN92+(1-EXP(-LN(2)/2))/(LN(2)/2)*GH93*GK93*VLOOKUP('Données projet (1)'!$B$17,'Paramètres (1)'!$A$1:$I$88,3,0)*0.475*44/12</f>
        <v>#REF!</v>
      </c>
      <c r="GO93" s="142" t="str">
        <f t="shared" si="95"/>
        <v>#REF!</v>
      </c>
      <c r="GP93" s="139" t="str">
        <f t="shared" si="96"/>
        <v>#REF!</v>
      </c>
      <c r="GQ93" s="131">
        <f t="shared" si="97"/>
        <v>10</v>
      </c>
      <c r="GR93" s="131" t="str">
        <f t="shared" si="144"/>
        <v>#REF!</v>
      </c>
      <c r="GS93" s="131" t="str">
        <f t="shared" si="98"/>
        <v>#REF!</v>
      </c>
      <c r="GT93" s="131" t="str">
        <f t="array" ref="GT93">INDEX(GS:GS,MIN(IF(ISNUMBER(GS93:GS289),ROW(GS93:GS289),"")))</f>
        <v/>
      </c>
      <c r="GU93" s="131" t="str">
        <f t="shared" si="145"/>
        <v>#REF!</v>
      </c>
      <c r="GV93" s="138" t="str">
        <f>GU93*VLOOKUP('Données projet (1)'!$B$18,'Paramètres (1)'!$A$1:$I$88,3,0)*VLOOKUP('Données projet (1)'!$B$18,'Paramètres (1)'!$A$1:$I$88,5,0)</f>
        <v>#REF!</v>
      </c>
      <c r="GW93" s="130" t="str">
        <f t="shared" si="146"/>
        <v>#REF!</v>
      </c>
      <c r="GX93" s="141" t="str">
        <f t="shared" si="99"/>
        <v>#REF!</v>
      </c>
      <c r="GY93" s="133" t="str">
        <f t="shared" si="100"/>
        <v>#REF!</v>
      </c>
      <c r="GZ93" s="133" t="str">
        <f t="shared" si="101"/>
        <v>#REF!</v>
      </c>
      <c r="HA93" s="133" t="str">
        <f t="shared" si="147"/>
        <v>#REF!</v>
      </c>
      <c r="HB93" s="134" t="str">
        <f t="shared" si="102"/>
        <v>#REF!</v>
      </c>
      <c r="HC93" s="134" t="str">
        <f t="shared" si="103"/>
        <v>#REF!</v>
      </c>
      <c r="HD93" s="135" t="str">
        <f>IF(ISNA(VLOOKUP(A93,'Données projet (1)'!$A$269:$I$289,5,0)),0%,VLOOKUP(A93,'Données projet (1)'!$A$269:$I$289,5,0)*VLOOKUP('Données projet (1)'!$B$18,'Paramètres (1)'!$A$1:$I$88,7,0))</f>
        <v>#REF!</v>
      </c>
      <c r="HE93" s="135" t="str">
        <f>IF(ISNA(VLOOKUP(A93,'Données projet (1)'!$A$269:$I$289,6,0)),0%,VLOOKUP(A93,'Données projet (1)'!$A$269:$I$289,6,0)*VLOOKUP('Données projet (1)'!$B$18,'Paramètres (1)'!$A$1:$I$88,7,0))</f>
        <v>#REF!</v>
      </c>
      <c r="HF93" s="135" t="str">
        <f t="shared" si="104"/>
        <v>#REF!</v>
      </c>
      <c r="HG93" s="142" t="str">
        <f>EXP(-LN(2)/35)*HG92+(1-EXP(-LN(2)/35))/(LN(2)/35)*HC93*HD93*VLOOKUP('Données projet (1)'!$B$18,'Paramètres (1)'!$A$1:$I$88,3,0)*0.475*44/12</f>
        <v>#REF!</v>
      </c>
      <c r="HH93" s="142" t="str">
        <f>EXP(-LN(2)/25)*HH92+(1-EXP(-LN(2)/25))/(LN(2)/25)*'Calculateur (1)'!HC93*'Calculateur (1)'!HE93*VLOOKUP('Données projet (1)'!$B$18,'Paramètres (1)'!$A$1:$I$88,3,0)*0.475*44/12</f>
        <v>#REF!</v>
      </c>
      <c r="HI93" s="142" t="str">
        <f>EXP(-LN(2)/2)*HI92+(1-EXP(-LN(2)/2))/(LN(2)/2)*HC93*HF93*VLOOKUP('Données projet (1)'!$B$18,'Paramètres (1)'!$A$1:$I$88,3,0)*0.475*44/12</f>
        <v>#REF!</v>
      </c>
      <c r="HJ93" s="143" t="str">
        <f t="shared" si="105"/>
        <v>#REF!</v>
      </c>
    </row>
    <row r="94" ht="14.25" customHeight="1">
      <c r="A94" s="125">
        <f t="shared" si="106"/>
        <v>91</v>
      </c>
      <c r="B94" s="126" t="str">
        <f t="shared" si="1"/>
        <v>#REF!</v>
      </c>
      <c r="C94" s="140" t="str">
        <f>'Calculateur (1)'!C93+'Scénario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4" s="127">
        <f t="shared" si="107"/>
        <v>0</v>
      </c>
      <c r="E94" s="127" t="str">
        <f t="shared" si="2"/>
        <v>#REF!</v>
      </c>
      <c r="F94" s="127" t="str">
        <f t="shared" si="3"/>
        <v>#REF!</v>
      </c>
      <c r="G94" s="127" t="str">
        <f t="shared" si="4"/>
        <v>#REF!</v>
      </c>
      <c r="H94" s="128" t="str">
        <f t="shared" si="5"/>
        <v>#REF!</v>
      </c>
      <c r="I94" s="129" t="str">
        <f t="shared" si="6"/>
        <v>#REF!</v>
      </c>
      <c r="J94" s="130">
        <f t="shared" si="7"/>
        <v>10</v>
      </c>
      <c r="K94" s="131" t="str">
        <f t="shared" si="108"/>
        <v>#REF!</v>
      </c>
      <c r="L94" s="131" t="str">
        <f t="shared" si="8"/>
        <v>#REF!</v>
      </c>
      <c r="M94" s="131" t="str">
        <f t="array" ref="M94">INDEX(L:L,MIN(IF(ISNUMBER(L94:L290),ROW(L94:L290),"")))</f>
        <v/>
      </c>
      <c r="N94" s="130" t="str">
        <f t="shared" si="109"/>
        <v>#REF!</v>
      </c>
      <c r="O94" s="130" t="str">
        <f>N94*VLOOKUP('Données projet (1)'!$B$9,'Paramètres (1)'!$A$1:$I$88,3,0)*VLOOKUP('Données projet (1)'!$B$9,'Paramètres (1)'!$A$1:$I$88,5,0)</f>
        <v>#REF!</v>
      </c>
      <c r="P94" s="130" t="str">
        <f t="shared" si="110"/>
        <v>#REF!</v>
      </c>
      <c r="Q94" s="141" t="str">
        <f t="shared" si="9"/>
        <v>#REF!</v>
      </c>
      <c r="R94" s="133" t="str">
        <f t="shared" si="10"/>
        <v>#REF!</v>
      </c>
      <c r="S94" s="133" t="str">
        <f t="shared" si="11"/>
        <v>#REF!</v>
      </c>
      <c r="T94" s="133" t="str">
        <f t="shared" si="111"/>
        <v>#REF!</v>
      </c>
      <c r="U94" s="134" t="str">
        <f t="shared" si="12"/>
        <v>#REF!</v>
      </c>
      <c r="V94" s="134" t="str">
        <f t="shared" si="13"/>
        <v>#REF!</v>
      </c>
      <c r="W94" s="135" t="str">
        <f>IF(ISNA(VLOOKUP(A94,'Données projet (1)'!$A$35:$I$55,5,0)),0%,VLOOKUP(A94,'Données projet (1)'!$A$35:$I$55,5,0)*VLOOKUP('Données projet (1)'!$B$9,'Paramètres (1)'!$A$1:$I$88,7,0))</f>
        <v>#REF!</v>
      </c>
      <c r="X94" s="135" t="str">
        <f>IF(ISNA(VLOOKUP(A94,'Données projet (1)'!$A$35:$I$55,6,0)),0%,VLOOKUP(A94,'Données projet (1)'!$A$35:$I$55,6,0)*VLOOKUP('Données projet (1)'!$B$9,'Paramètres (1)'!$A$1:$I$88,7,0))</f>
        <v>#REF!</v>
      </c>
      <c r="Y94" s="135" t="str">
        <f t="shared" si="14"/>
        <v>#REF!</v>
      </c>
      <c r="Z94" s="142" t="str">
        <f>EXP(-LN(2)/35)*Z93+(1-EXP(-LN(2)/35))/(LN(2)/35)*V94*W94*VLOOKUP('Données projet (1)'!$B$9,'Paramètres (1)'!$A$1:$I$88,3,0)*0.475*44/12</f>
        <v>#REF!</v>
      </c>
      <c r="AA94" s="142" t="str">
        <f>EXP(-LN(2)/25)*AA93+(1-EXP(-LN(2)/25))/(LN(2)/25)*'Calculateur (1)'!V94*'Calculateur (1)'!X94*VLOOKUP('Données projet (1)'!$B$9,'Paramètres (1)'!$A$1:$I$88,3,0)*0.475*44/12</f>
        <v>#REF!</v>
      </c>
      <c r="AB94" s="142" t="str">
        <f>EXP(-LN(2)/2)*AB93+(1-EXP(-LN(2)/2))/(LN(2)/2)*V94*Y94*VLOOKUP('Données projet (1)'!$B$9,'Paramètres (1)'!$A$1:$I$88,3,0)*0.475*44/12</f>
        <v>#REF!</v>
      </c>
      <c r="AC94" s="143" t="str">
        <f t="shared" si="15"/>
        <v>#REF!</v>
      </c>
      <c r="AD94" s="130" t="str">
        <f t="shared" si="16"/>
        <v>#REF!</v>
      </c>
      <c r="AE94" s="130">
        <f t="shared" si="17"/>
        <v>10</v>
      </c>
      <c r="AF94" s="131" t="str">
        <f t="shared" si="112"/>
        <v>#REF!</v>
      </c>
      <c r="AG94" s="131" t="str">
        <f t="shared" si="18"/>
        <v>#REF!</v>
      </c>
      <c r="AH94" s="131" t="str">
        <f t="array" ref="AH94">INDEX(AG:AG,MIN(IF(ISNUMBER(AG94:AG290),ROW(AG94:AG290),"")))</f>
        <v/>
      </c>
      <c r="AI94" s="130" t="str">
        <f t="shared" si="113"/>
        <v>#REF!</v>
      </c>
      <c r="AJ94" s="130" t="str">
        <f>AI94*VLOOKUP('Données projet (1)'!$B$10,'Paramètres (1)'!$A$1:$I$88,3,0)*VLOOKUP('Données projet (1)'!$B$10,'Paramètres (1)'!$A$1:$I$88,5,0)</f>
        <v>#REF!</v>
      </c>
      <c r="AK94" s="130" t="str">
        <f t="shared" si="114"/>
        <v>#REF!</v>
      </c>
      <c r="AL94" s="141" t="str">
        <f t="shared" si="19"/>
        <v>#REF!</v>
      </c>
      <c r="AM94" s="133" t="str">
        <f t="shared" si="20"/>
        <v>#REF!</v>
      </c>
      <c r="AN94" s="133" t="str">
        <f t="shared" si="21"/>
        <v>#REF!</v>
      </c>
      <c r="AO94" s="133" t="str">
        <f t="shared" si="115"/>
        <v>#REF!</v>
      </c>
      <c r="AP94" s="134" t="str">
        <f t="shared" si="22"/>
        <v>#REF!</v>
      </c>
      <c r="AQ94" s="134" t="str">
        <f t="shared" si="23"/>
        <v>#REF!</v>
      </c>
      <c r="AR94" s="135" t="str">
        <f>IF(ISNA(VLOOKUP(A94,'Données projet (1)'!$A$61:$I$81,5,0)),0%,VLOOKUP(A94,'Données projet (1)'!$A$61:$I$81,5,0)*VLOOKUP('Données projet (1)'!$B$10,'Paramètres (1)'!$A$1:$I$88,7,0))</f>
        <v>#REF!</v>
      </c>
      <c r="AS94" s="135" t="str">
        <f>IF(ISNA(VLOOKUP(A94,'Données projet (1)'!$A$61:$I$81,6,0)),0%,VLOOKUP(A94,'Données projet (1)'!$A$61:$I$81,6,0)*VLOOKUP('Données projet (1)'!$B$10,'Paramètres (1)'!$A$1:$I$88,7,0))</f>
        <v>#REF!</v>
      </c>
      <c r="AT94" s="135" t="str">
        <f t="shared" si="24"/>
        <v>#REF!</v>
      </c>
      <c r="AU94" s="142" t="str">
        <f>EXP(-LN(2)/35)*AU93+(1-EXP(-LN(2)/35))/(LN(2)/35)*AQ94*AR94*VLOOKUP('Données projet (1)'!$B$10,'Paramètres (1)'!$A$1:$I$88,3,0)*0.475*44/12</f>
        <v>#REF!</v>
      </c>
      <c r="AV94" s="142" t="str">
        <f>EXP(-LN(2)/25)*AV93+(1-EXP(-LN(2)/25))/(LN(2)/25)*'Calculateur (1)'!AQ94*'Calculateur (1)'!AS94*VLOOKUP('Données projet (1)'!$B$10,'Paramètres (1)'!$A$1:$I$88,3,0)*0.475*44/12</f>
        <v>#REF!</v>
      </c>
      <c r="AW94" s="142" t="str">
        <f>EXP(-LN(2)/2)*AW93+(1-EXP(-LN(2)/2))/(LN(2)/2)*AQ94*AT94*VLOOKUP('Données projet (1)'!$B$10,'Paramètres (1)'!$A$1:$I$88,3,0)*0.475*44/12</f>
        <v>#REF!</v>
      </c>
      <c r="AX94" s="142" t="str">
        <f t="shared" si="25"/>
        <v>#REF!</v>
      </c>
      <c r="AY94" s="137" t="str">
        <f t="shared" si="26"/>
        <v>#REF!</v>
      </c>
      <c r="AZ94" s="131">
        <f t="shared" si="27"/>
        <v>10</v>
      </c>
      <c r="BA94" s="131" t="str">
        <f t="shared" si="116"/>
        <v>#REF!</v>
      </c>
      <c r="BB94" s="131" t="str">
        <f t="shared" si="28"/>
        <v>#REF!</v>
      </c>
      <c r="BC94" s="131" t="str">
        <f t="array" ref="BC94">INDEX(BB:BB,MIN(IF(ISNUMBER(BB94:BB290),ROW(BB94:BB290),"")))</f>
        <v/>
      </c>
      <c r="BD94" s="131" t="str">
        <f t="shared" si="117"/>
        <v>#REF!</v>
      </c>
      <c r="BE94" s="130" t="str">
        <f>BD94*VLOOKUP('Données projet (1)'!$B$11,'Paramètres (1)'!$A$1:$I$88,3,0)*VLOOKUP('Données projet (1)'!$B$11,'Paramètres (1)'!$A$1:$I$88,5,0)</f>
        <v>#REF!</v>
      </c>
      <c r="BF94" s="130" t="str">
        <f t="shared" si="118"/>
        <v>#REF!</v>
      </c>
      <c r="BG94" s="141" t="str">
        <f t="shared" si="29"/>
        <v>#REF!</v>
      </c>
      <c r="BH94" s="133" t="str">
        <f t="shared" si="30"/>
        <v>#REF!</v>
      </c>
      <c r="BI94" s="133" t="str">
        <f t="shared" si="31"/>
        <v>#REF!</v>
      </c>
      <c r="BJ94" s="133" t="str">
        <f t="shared" si="119"/>
        <v>#REF!</v>
      </c>
      <c r="BK94" s="134" t="str">
        <f t="shared" si="32"/>
        <v>#REF!</v>
      </c>
      <c r="BL94" s="134" t="str">
        <f t="shared" si="33"/>
        <v>#REF!</v>
      </c>
      <c r="BM94" s="135" t="str">
        <f>IF(ISNA(VLOOKUP(A94,'Données projet (1)'!$A$87:$I$107,5,0)),0%,VLOOKUP(A94,'Données projet (1)'!$A$87:$I$107,5,0)*VLOOKUP('Données projet (1)'!$B$11,'Paramètres (1)'!$A$1:$I$88,7,0))</f>
        <v>#REF!</v>
      </c>
      <c r="BN94" s="135" t="str">
        <f>IF(ISNA(VLOOKUP(A94,'Données projet (1)'!$A$87:$I$107,6,0)),0%,VLOOKUP(A94,'Données projet (1)'!$A$87:$I$107,6,0)*VLOOKUP('Données projet (1)'!$B$11,'Paramètres (1)'!$A$1:$I$88,7,0))</f>
        <v>#REF!</v>
      </c>
      <c r="BO94" s="135" t="str">
        <f t="shared" si="34"/>
        <v>#REF!</v>
      </c>
      <c r="BP94" s="142" t="str">
        <f>EXP(-LN(2)/35)*BP93+(1-EXP(-LN(2)/35))/(LN(2)/35)*BL94*BM94*VLOOKUP('Données projet (1)'!$B$11,'Paramètres (1)'!$A$1:$I$88,3,0)*0.475*44/12</f>
        <v>#REF!</v>
      </c>
      <c r="BQ94" s="142" t="str">
        <f>EXP(-LN(2)/25)*BQ93+(1-EXP(-LN(2)/25))/(LN(2)/25)*'Calculateur (1)'!BL94*'Calculateur (1)'!BN94*VLOOKUP('Données projet (1)'!$B$11,'Paramètres (1)'!$A$1:$I$88,3,0)*0.475*44/12</f>
        <v>#REF!</v>
      </c>
      <c r="BR94" s="142" t="str">
        <f>EXP(-LN(2)/2)*BR93+(1-EXP(-LN(2)/2))/(LN(2)/2)*BL94*BO94*VLOOKUP('Données projet (1)'!$B$11,'Paramètres (1)'!$A$1:$I$88,3,0)*0.475*44/12</f>
        <v>#REF!</v>
      </c>
      <c r="BS94" s="143" t="str">
        <f t="shared" si="35"/>
        <v>#REF!</v>
      </c>
      <c r="BT94" s="139" t="str">
        <f t="shared" si="36"/>
        <v>#REF!</v>
      </c>
      <c r="BU94" s="131">
        <f t="shared" si="37"/>
        <v>10</v>
      </c>
      <c r="BV94" s="131" t="str">
        <f t="shared" si="120"/>
        <v>#REF!</v>
      </c>
      <c r="BW94" s="131" t="str">
        <f t="shared" si="38"/>
        <v>#REF!</v>
      </c>
      <c r="BX94" s="131" t="str">
        <f t="array" ref="BX94">INDEX(BW:BW,MIN(IF(ISNUMBER(BW94:BW290),ROW(BW94:BW290),"")))</f>
        <v/>
      </c>
      <c r="BY94" s="131" t="str">
        <f t="shared" si="121"/>
        <v>#REF!</v>
      </c>
      <c r="BZ94" s="130" t="str">
        <f>BY94*VLOOKUP('Données projet (1)'!$B$12,'Paramètres (1)'!$A$1:$I$88,3,0)*VLOOKUP('Données projet (1)'!$B$12,'Paramètres (1)'!$A$1:$I$88,5,0)</f>
        <v>#REF!</v>
      </c>
      <c r="CA94" s="130" t="str">
        <f t="shared" si="122"/>
        <v>#REF!</v>
      </c>
      <c r="CB94" s="141" t="str">
        <f t="shared" si="39"/>
        <v>#REF!</v>
      </c>
      <c r="CC94" s="133" t="str">
        <f t="shared" si="40"/>
        <v>#REF!</v>
      </c>
      <c r="CD94" s="133" t="str">
        <f t="shared" si="41"/>
        <v>#REF!</v>
      </c>
      <c r="CE94" s="133" t="str">
        <f t="shared" si="123"/>
        <v>#REF!</v>
      </c>
      <c r="CF94" s="134" t="str">
        <f t="shared" si="42"/>
        <v>#REF!</v>
      </c>
      <c r="CG94" s="134" t="str">
        <f t="shared" si="43"/>
        <v>#REF!</v>
      </c>
      <c r="CH94" s="135" t="str">
        <f>IF(ISNA(VLOOKUP(A94,'Données projet (1)'!$A$113:$I$133,5,0)),0%,VLOOKUP(A94,'Données projet (1)'!$A$113:$I$133,5,0)*VLOOKUP('Données projet (1)'!$B$12,'Paramètres (1)'!$A$1:$I$88,7,0))</f>
        <v>#REF!</v>
      </c>
      <c r="CI94" s="135" t="str">
        <f>IF(ISNA(VLOOKUP(A94,'Données projet (1)'!$A$113:$I$133,6,0)),0%,VLOOKUP(A94,'Données projet (1)'!$A$113:$I$133,6,0)*VLOOKUP('Données projet (1)'!$B$12,'Paramètres (1)'!$A$1:$I$88,7,0))</f>
        <v>#REF!</v>
      </c>
      <c r="CJ94" s="135" t="str">
        <f t="shared" si="44"/>
        <v>#REF!</v>
      </c>
      <c r="CK94" s="142" t="str">
        <f>EXP(-LN(2)/35)*CK93+(1-EXP(-LN(2)/35))/(LN(2)/35)*CG94*CH94*VLOOKUP('Données projet (1)'!$B$12,'Paramètres (1)'!$A$1:$I$88,3,0)*0.475*44/12</f>
        <v>#REF!</v>
      </c>
      <c r="CL94" s="142" t="str">
        <f>EXP(-LN(2)/25)*CL93+(1-EXP(-LN(2)/25))/(LN(2)/25)*'Calculateur (1)'!CG94*'Calculateur (1)'!CI94*VLOOKUP('Données projet (1)'!$B$12,'Paramètres (1)'!$A$1:$I$88,3,0)*0.475*44/12</f>
        <v>#REF!</v>
      </c>
      <c r="CM94" s="142" t="str">
        <f>EXP(-LN(2)/2)*CM93+(1-EXP(-LN(2)/2))/(LN(2)/2)*CG94*CJ94*VLOOKUP('Données projet (1)'!$B$12,'Paramètres (1)'!$A$1:$I$88,3,0)*0.475*44/12</f>
        <v>#REF!</v>
      </c>
      <c r="CN94" s="143" t="str">
        <f t="shared" si="45"/>
        <v>#REF!</v>
      </c>
      <c r="CO94" s="139" t="str">
        <f t="shared" si="46"/>
        <v>#REF!</v>
      </c>
      <c r="CP94" s="131">
        <f t="shared" si="47"/>
        <v>10</v>
      </c>
      <c r="CQ94" s="131" t="str">
        <f t="shared" si="124"/>
        <v>#REF!</v>
      </c>
      <c r="CR94" s="131" t="str">
        <f t="shared" si="48"/>
        <v>#REF!</v>
      </c>
      <c r="CS94" s="131" t="str">
        <f t="array" ref="CS94">INDEX(CR:CR,MIN(IF(ISNUMBER(CR94:CR290),ROW(CR94:CR290),"")))</f>
        <v/>
      </c>
      <c r="CT94" s="131" t="str">
        <f t="shared" si="125"/>
        <v>#REF!</v>
      </c>
      <c r="CU94" s="138" t="str">
        <f>CT94*VLOOKUP('Données projet (1)'!$B$13,'Paramètres (1)'!$A$1:$I$88,3,0)*VLOOKUP('Données projet (1)'!$B$13,'Paramètres (1)'!$A$1:$I$88,5,0)</f>
        <v>#REF!</v>
      </c>
      <c r="CV94" s="130" t="str">
        <f t="shared" si="126"/>
        <v>#REF!</v>
      </c>
      <c r="CW94" s="141" t="str">
        <f t="shared" si="49"/>
        <v>#REF!</v>
      </c>
      <c r="CX94" s="133" t="str">
        <f t="shared" si="50"/>
        <v>#REF!</v>
      </c>
      <c r="CY94" s="133" t="str">
        <f t="shared" si="51"/>
        <v>#REF!</v>
      </c>
      <c r="CZ94" s="133" t="str">
        <f t="shared" si="127"/>
        <v>#REF!</v>
      </c>
      <c r="DA94" s="134" t="str">
        <f t="shared" si="52"/>
        <v>#REF!</v>
      </c>
      <c r="DB94" s="134" t="str">
        <f t="shared" si="53"/>
        <v>#REF!</v>
      </c>
      <c r="DC94" s="135" t="str">
        <f>IF(ISNA(VLOOKUP(A94,'Données projet (1)'!$A$139:$I$159,5,0)),0%,VLOOKUP(A94,'Données projet (1)'!$A$139:$I$159,5,0)*VLOOKUP('Données projet (1)'!$B$13,'Paramètres (1)'!$A$1:$I$88,7,0))</f>
        <v>#REF!</v>
      </c>
      <c r="DD94" s="135" t="str">
        <f>IF(ISNA(VLOOKUP(A94,'Données projet (1)'!$A$139:$I$159,6,0)),0%,VLOOKUP(A94,'Données projet (1)'!$A$139:$I$159,6,0)*VLOOKUP('Données projet (1)'!$B$13,'Paramètres (1)'!$A$1:$I$88,7,0))</f>
        <v>#REF!</v>
      </c>
      <c r="DE94" s="135" t="str">
        <f t="shared" si="54"/>
        <v>#REF!</v>
      </c>
      <c r="DF94" s="142" t="str">
        <f>EXP(-LN(2)/35)*DF93+(1-EXP(-LN(2)/35))/(LN(2)/35)*DB94*DC94*VLOOKUP('Données projet (1)'!$B$13,'Paramètres (1)'!$A$1:$I$88,3,0)*0.475*44/12</f>
        <v>#REF!</v>
      </c>
      <c r="DG94" s="142" t="str">
        <f>EXP(-LN(2)/25)*DG93+(1-EXP(-LN(2)/25))/(LN(2)/25)*'Calculateur (1)'!DB94*'Calculateur (1)'!DD94*VLOOKUP('Données projet (1)'!$B$13,'Paramètres (1)'!$A$1:$I$88,3,0)*0.475*44/12</f>
        <v>#REF!</v>
      </c>
      <c r="DH94" s="142" t="str">
        <f>EXP(-LN(2)/2)*DH93+(1-EXP(-LN(2)/2))/(LN(2)/2)*DB94*DE94*VLOOKUP('Données projet (1)'!$B$13,'Paramètres (1)'!$A$1:$I$88,3,0)*0.475*44/12</f>
        <v>#REF!</v>
      </c>
      <c r="DI94" s="143" t="str">
        <f t="shared" si="55"/>
        <v>#REF!</v>
      </c>
      <c r="DJ94" s="139" t="str">
        <f t="shared" si="56"/>
        <v>#REF!</v>
      </c>
      <c r="DK94" s="131">
        <f t="shared" si="57"/>
        <v>10</v>
      </c>
      <c r="DL94" s="131" t="str">
        <f t="shared" si="128"/>
        <v>#REF!</v>
      </c>
      <c r="DM94" s="131" t="str">
        <f t="shared" si="58"/>
        <v>#REF!</v>
      </c>
      <c r="DN94" s="131" t="str">
        <f t="array" ref="DN94">INDEX(DM:DM,MIN(IF(ISNUMBER(DM94:DM290),ROW(DM94:DM290),"")))</f>
        <v/>
      </c>
      <c r="DO94" s="131" t="str">
        <f t="shared" si="129"/>
        <v>#REF!</v>
      </c>
      <c r="DP94" s="138" t="str">
        <f>DO94*VLOOKUP('Données projet (1)'!$B$14,'Paramètres (1)'!$A$1:$I$88,3,0)*VLOOKUP('Données projet (1)'!$B$14,'Paramètres (1)'!$A$1:$I$88,5,0)</f>
        <v>#REF!</v>
      </c>
      <c r="DQ94" s="130" t="str">
        <f t="shared" si="130"/>
        <v>#REF!</v>
      </c>
      <c r="DR94" s="141" t="str">
        <f t="shared" si="59"/>
        <v>#REF!</v>
      </c>
      <c r="DS94" s="133" t="str">
        <f t="shared" si="60"/>
        <v>#REF!</v>
      </c>
      <c r="DT94" s="133" t="str">
        <f t="shared" si="61"/>
        <v>#REF!</v>
      </c>
      <c r="DU94" s="133" t="str">
        <f t="shared" si="131"/>
        <v>#REF!</v>
      </c>
      <c r="DV94" s="134" t="str">
        <f t="shared" si="62"/>
        <v>#REF!</v>
      </c>
      <c r="DW94" s="134" t="str">
        <f t="shared" si="63"/>
        <v>#REF!</v>
      </c>
      <c r="DX94" s="135" t="str">
        <f>IF(ISNA(VLOOKUP(A94,'Données projet (1)'!$A$165:$I$185,5,0)),0%,VLOOKUP(A94,'Données projet (1)'!$A$165:$I$185,5,0)*VLOOKUP('Données projet (1)'!$B$14,'Paramètres (1)'!$A$1:$I$88,7,0))</f>
        <v>#REF!</v>
      </c>
      <c r="DY94" s="135" t="str">
        <f>IF(ISNA(VLOOKUP(A94,'Données projet (1)'!$A$165:$I$185,6,0)),0%,VLOOKUP(A94,'Données projet (1)'!$A$165:$I$185,6,0)*VLOOKUP('Données projet (1)'!$B$14,'Paramètres (1)'!$A$1:$I$88,7,0))</f>
        <v>#REF!</v>
      </c>
      <c r="DZ94" s="135" t="str">
        <f t="shared" si="64"/>
        <v>#REF!</v>
      </c>
      <c r="EA94" s="142" t="str">
        <f>EXP(-LN(2)/35)*EA93+(1-EXP(-LN(2)/35))/(LN(2)/35)*DW94*DX94*VLOOKUP('Données projet (1)'!$B$14,'Paramètres (1)'!$A$1:$I$88,3,0)*0.475*44/12</f>
        <v>#REF!</v>
      </c>
      <c r="EB94" s="142" t="str">
        <f>EXP(-LN(2)/25)*EB93+(1-EXP(-LN(2)/25))/(LN(2)/25)*'Calculateur (1)'!DW94*'Calculateur (1)'!DY94*VLOOKUP('Données projet (1)'!$B$14,'Paramètres (1)'!$A$1:$I$88,3,0)*0.475*44/12</f>
        <v>#REF!</v>
      </c>
      <c r="EC94" s="142" t="str">
        <f>EXP(-LN(2)/2)*EC93+(1-EXP(-LN(2)/2))/(LN(2)/2)*DW94*DZ94*VLOOKUP('Données projet (1)'!$B$14,'Paramètres (1)'!$A$1:$I$88,3,0)*0.475*44/12</f>
        <v>#REF!</v>
      </c>
      <c r="ED94" s="143" t="str">
        <f t="shared" si="65"/>
        <v>#REF!</v>
      </c>
      <c r="EE94" s="139" t="str">
        <f t="shared" si="66"/>
        <v>#REF!</v>
      </c>
      <c r="EF94" s="131">
        <f t="shared" si="67"/>
        <v>10</v>
      </c>
      <c r="EG94" s="131" t="str">
        <f t="shared" si="132"/>
        <v>#REF!</v>
      </c>
      <c r="EH94" s="131" t="str">
        <f t="shared" si="68"/>
        <v>#REF!</v>
      </c>
      <c r="EI94" s="131" t="str">
        <f t="array" ref="EI94">INDEX(EH:EH,MIN(IF(ISNUMBER(EH94:EH290),ROW(EH94:EH290),"")))</f>
        <v/>
      </c>
      <c r="EJ94" s="131" t="str">
        <f t="shared" si="133"/>
        <v>#REF!</v>
      </c>
      <c r="EK94" s="138" t="str">
        <f>EJ94*VLOOKUP('Données projet (1)'!$B$15,'Paramètres (1)'!$A$1:$I$88,3,0)*VLOOKUP('Données projet (1)'!$B$15,'Paramètres (1)'!$A$1:$I$88,5,0)</f>
        <v>#REF!</v>
      </c>
      <c r="EL94" s="130" t="str">
        <f t="shared" si="134"/>
        <v>#REF!</v>
      </c>
      <c r="EM94" s="141" t="str">
        <f t="shared" si="69"/>
        <v>#REF!</v>
      </c>
      <c r="EN94" s="133" t="str">
        <f t="shared" si="70"/>
        <v>#REF!</v>
      </c>
      <c r="EO94" s="133" t="str">
        <f t="shared" si="71"/>
        <v>#REF!</v>
      </c>
      <c r="EP94" s="133" t="str">
        <f t="shared" si="135"/>
        <v>#REF!</v>
      </c>
      <c r="EQ94" s="134" t="str">
        <f t="shared" si="72"/>
        <v>#REF!</v>
      </c>
      <c r="ER94" s="134" t="str">
        <f t="shared" si="73"/>
        <v>#REF!</v>
      </c>
      <c r="ES94" s="135" t="str">
        <f>IF(ISNA(VLOOKUP(A94,'Données projet (1)'!$A$191:$I$211,5,0)),0%,VLOOKUP(A94,'Données projet (1)'!$A$191:$I$211,5,0)*VLOOKUP('Données projet (1)'!$B$15,'Paramètres (1)'!$A$1:$I$88,7,0))</f>
        <v>#REF!</v>
      </c>
      <c r="ET94" s="135" t="str">
        <f>IF(ISNA(VLOOKUP(A94,'Données projet (1)'!$A$191:$I$211,6,0)),0%,VLOOKUP(A94,'Données projet (1)'!$A$191:$I$211,6,0)*VLOOKUP('Données projet (1)'!$B$15,'Paramètres (1)'!$A$1:$I$88,7,0))</f>
        <v>#REF!</v>
      </c>
      <c r="EU94" s="135" t="str">
        <f t="shared" si="74"/>
        <v>#REF!</v>
      </c>
      <c r="EV94" s="142" t="str">
        <f>EXP(-LN(2)/35)*EV93+(1-EXP(-LN(2)/35))/(LN(2)/35)*ER94*ES94*VLOOKUP('Données projet (1)'!$B$15,'Paramètres (1)'!$A$1:$I$88,3,0)*0.475*44/12</f>
        <v>#REF!</v>
      </c>
      <c r="EW94" s="142" t="str">
        <f>EXP(-LN(2)/25)*EW93+(1-EXP(-LN(2)/25))/(LN(2)/25)*'Calculateur (1)'!ER94*'Calculateur (1)'!ET94*VLOOKUP('Données projet (1)'!$B$15,'Paramètres (1)'!$A$1:$I$88,3,0)*0.475*44/12</f>
        <v>#REF!</v>
      </c>
      <c r="EX94" s="142" t="str">
        <f>EXP(-LN(2)/2)*EX93+(1-EXP(-LN(2)/2))/(LN(2)/2)*ER94*EU94*VLOOKUP('Données projet (1)'!$B$15,'Paramètres (1)'!$A$1:$I$88,3,0)*0.475*44/12</f>
        <v>#REF!</v>
      </c>
      <c r="EY94" s="143" t="str">
        <f t="shared" si="75"/>
        <v>#REF!</v>
      </c>
      <c r="EZ94" s="139" t="str">
        <f t="shared" si="76"/>
        <v>#REF!</v>
      </c>
      <c r="FA94" s="131">
        <f t="shared" si="77"/>
        <v>10</v>
      </c>
      <c r="FB94" s="131" t="str">
        <f t="shared" si="136"/>
        <v>#REF!</v>
      </c>
      <c r="FC94" s="131" t="str">
        <f t="shared" si="78"/>
        <v>#REF!</v>
      </c>
      <c r="FD94" s="131" t="str">
        <f t="array" ref="FD94">INDEX(FC:FC,MIN(IF(ISNUMBER(FC94:FC290),ROW(FC94:FC290),"")))</f>
        <v/>
      </c>
      <c r="FE94" s="131" t="str">
        <f t="shared" si="137"/>
        <v>#REF!</v>
      </c>
      <c r="FF94" s="138" t="str">
        <f>FE94*VLOOKUP('Données projet (1)'!$B$16,'Paramètres (1)'!$A$1:$I$88,3,0)*VLOOKUP('Données projet (1)'!$B$16,'Paramètres (1)'!$A$1:$I$88,5,0)</f>
        <v>#REF!</v>
      </c>
      <c r="FG94" s="130" t="str">
        <f t="shared" si="138"/>
        <v>#REF!</v>
      </c>
      <c r="FH94" s="141" t="str">
        <f t="shared" si="79"/>
        <v>#REF!</v>
      </c>
      <c r="FI94" s="133" t="str">
        <f t="shared" si="80"/>
        <v>#REF!</v>
      </c>
      <c r="FJ94" s="133" t="str">
        <f t="shared" si="81"/>
        <v>#REF!</v>
      </c>
      <c r="FK94" s="133" t="str">
        <f t="shared" si="139"/>
        <v>#REF!</v>
      </c>
      <c r="FL94" s="134" t="str">
        <f t="shared" si="82"/>
        <v>#REF!</v>
      </c>
      <c r="FM94" s="134" t="str">
        <f t="shared" si="83"/>
        <v>#REF!</v>
      </c>
      <c r="FN94" s="135" t="str">
        <f>IF(ISNA(VLOOKUP(A94,'Données projet (1)'!$A$217:$I$237,5,0)),0%,VLOOKUP(A94,'Données projet (1)'!$A$217:$I$237,5,0)*VLOOKUP('Données projet (1)'!$B$16,'Paramètres (1)'!$A$1:$I$88,7,0))</f>
        <v>#REF!</v>
      </c>
      <c r="FO94" s="135" t="str">
        <f>IF(ISNA(VLOOKUP(A94,'Données projet (1)'!$A$217:$I$237,6,0)),0%,VLOOKUP(A94,'Données projet (1)'!$A$217:$I$237,6,0)*VLOOKUP('Données projet (1)'!$B$16,'Paramètres (1)'!$A$1:$I$88,7,0))</f>
        <v>#REF!</v>
      </c>
      <c r="FP94" s="135" t="str">
        <f t="shared" si="84"/>
        <v>#REF!</v>
      </c>
      <c r="FQ94" s="142" t="str">
        <f>EXP(-LN(2)/35)*FQ93+(1-EXP(-LN(2)/35))/(LN(2)/35)*FM94*FN94*VLOOKUP('Données projet (1)'!$B$16,'Paramètres (1)'!$A$1:$I$88,3,0)*0.475*44/12</f>
        <v>#REF!</v>
      </c>
      <c r="FR94" s="142" t="str">
        <f>EXP(-LN(2)/25)*FR93+(1-EXP(-LN(2)/25))/(LN(2)/25)*'Calculateur (1)'!FM94*'Calculateur (1)'!FO94*VLOOKUP('Données projet (1)'!$B$16,'Paramètres (1)'!$A$1:$I$88,3,0)*0.475*44/12</f>
        <v>#REF!</v>
      </c>
      <c r="FS94" s="142" t="str">
        <f>EXP(-LN(2)/2)*FS93+(1-EXP(-LN(2)/2))/(LN(2)/2)*FM94*FP94*VLOOKUP('Données projet (1)'!$B$16,'Paramètres (1)'!$A$1:$I$88,3,0)*0.475*44/12</f>
        <v>#REF!</v>
      </c>
      <c r="FT94" s="143" t="str">
        <f t="shared" si="85"/>
        <v>#REF!</v>
      </c>
      <c r="FU94" s="139" t="str">
        <f t="shared" si="86"/>
        <v>#REF!</v>
      </c>
      <c r="FV94" s="131">
        <f t="shared" si="87"/>
        <v>10</v>
      </c>
      <c r="FW94" s="131" t="str">
        <f t="shared" si="140"/>
        <v>#REF!</v>
      </c>
      <c r="FX94" s="131" t="str">
        <f t="shared" si="88"/>
        <v>#REF!</v>
      </c>
      <c r="FY94" s="131" t="str">
        <f t="array" ref="FY94">INDEX(FX:FX,MIN(IF(ISNUMBER(FX94:FX290),ROW(FX94:FX290),"")))</f>
        <v/>
      </c>
      <c r="FZ94" s="131" t="str">
        <f t="shared" si="141"/>
        <v>#REF!</v>
      </c>
      <c r="GA94" s="138" t="str">
        <f>FZ94*VLOOKUP('Données projet (1)'!$B$17,'Paramètres (1)'!$A$1:$I$88,3,0)*VLOOKUP('Données projet (1)'!$B$17,'Paramètres (1)'!$A$1:$I$88,5,0)</f>
        <v>#REF!</v>
      </c>
      <c r="GB94" s="130" t="str">
        <f t="shared" si="142"/>
        <v>#REF!</v>
      </c>
      <c r="GC94" s="141" t="str">
        <f t="shared" si="89"/>
        <v>#REF!</v>
      </c>
      <c r="GD94" s="133" t="str">
        <f t="shared" si="90"/>
        <v>#REF!</v>
      </c>
      <c r="GE94" s="133" t="str">
        <f t="shared" si="91"/>
        <v>#REF!</v>
      </c>
      <c r="GF94" s="133" t="str">
        <f t="shared" si="143"/>
        <v>#REF!</v>
      </c>
      <c r="GG94" s="134" t="str">
        <f t="shared" si="92"/>
        <v>#REF!</v>
      </c>
      <c r="GH94" s="134" t="str">
        <f t="shared" si="93"/>
        <v>#REF!</v>
      </c>
      <c r="GI94" s="135" t="str">
        <f>IF(ISNA(VLOOKUP(A94,'Données projet (1)'!$A$243:$I$263,5,0)),0%,VLOOKUP(A94,'Données projet (1)'!$A$243:$I$263,5,0)*VLOOKUP('Données projet (1)'!$B$17,'Paramètres (1)'!$A$1:$I$88,7,0))</f>
        <v>#REF!</v>
      </c>
      <c r="GJ94" s="135" t="str">
        <f>IF(ISNA(VLOOKUP(A94,'Données projet (1)'!$A$243:$I$263,6,0)),0%,VLOOKUP(A94,'Données projet (1)'!$A$243:$I$263,6,0)*VLOOKUP('Données projet (1)'!$B$17,'Paramètres (1)'!$A$1:$I$88,7,0))</f>
        <v>#REF!</v>
      </c>
      <c r="GK94" s="135" t="str">
        <f t="shared" si="94"/>
        <v>#REF!</v>
      </c>
      <c r="GL94" s="142" t="str">
        <f>EXP(-LN(2)/35)*GL93+(1-EXP(-LN(2)/35))/(LN(2)/35)*GH94*GI94*VLOOKUP('Données projet (1)'!$B$17,'Paramètres (1)'!$A$1:$I$88,3,0)*0.475*44/12</f>
        <v>#REF!</v>
      </c>
      <c r="GM94" s="142" t="str">
        <f>EXP(-LN(2)/25)*GM93+(1-EXP(-LN(2)/25))/(LN(2)/25)*'Calculateur (1)'!GH94*'Calculateur (1)'!GJ94*VLOOKUP('Données projet (1)'!$B$17,'Paramètres (1)'!$A$1:$I$88,3,0)*0.475*44/12</f>
        <v>#REF!</v>
      </c>
      <c r="GN94" s="142" t="str">
        <f>EXP(-LN(2)/2)*GN93+(1-EXP(-LN(2)/2))/(LN(2)/2)*GH94*GK94*VLOOKUP('Données projet (1)'!$B$17,'Paramètres (1)'!$A$1:$I$88,3,0)*0.475*44/12</f>
        <v>#REF!</v>
      </c>
      <c r="GO94" s="142" t="str">
        <f t="shared" si="95"/>
        <v>#REF!</v>
      </c>
      <c r="GP94" s="139" t="str">
        <f t="shared" si="96"/>
        <v>#REF!</v>
      </c>
      <c r="GQ94" s="131">
        <f t="shared" si="97"/>
        <v>10</v>
      </c>
      <c r="GR94" s="131" t="str">
        <f t="shared" si="144"/>
        <v>#REF!</v>
      </c>
      <c r="GS94" s="131" t="str">
        <f t="shared" si="98"/>
        <v>#REF!</v>
      </c>
      <c r="GT94" s="131" t="str">
        <f t="array" ref="GT94">INDEX(GS:GS,MIN(IF(ISNUMBER(GS94:GS290),ROW(GS94:GS290),"")))</f>
        <v/>
      </c>
      <c r="GU94" s="131" t="str">
        <f t="shared" si="145"/>
        <v>#REF!</v>
      </c>
      <c r="GV94" s="138" t="str">
        <f>GU94*VLOOKUP('Données projet (1)'!$B$18,'Paramètres (1)'!$A$1:$I$88,3,0)*VLOOKUP('Données projet (1)'!$B$18,'Paramètres (1)'!$A$1:$I$88,5,0)</f>
        <v>#REF!</v>
      </c>
      <c r="GW94" s="130" t="str">
        <f t="shared" si="146"/>
        <v>#REF!</v>
      </c>
      <c r="GX94" s="141" t="str">
        <f t="shared" si="99"/>
        <v>#REF!</v>
      </c>
      <c r="GY94" s="133" t="str">
        <f t="shared" si="100"/>
        <v>#REF!</v>
      </c>
      <c r="GZ94" s="133" t="str">
        <f t="shared" si="101"/>
        <v>#REF!</v>
      </c>
      <c r="HA94" s="133" t="str">
        <f t="shared" si="147"/>
        <v>#REF!</v>
      </c>
      <c r="HB94" s="134" t="str">
        <f t="shared" si="102"/>
        <v>#REF!</v>
      </c>
      <c r="HC94" s="134" t="str">
        <f t="shared" si="103"/>
        <v>#REF!</v>
      </c>
      <c r="HD94" s="135" t="str">
        <f>IF(ISNA(VLOOKUP(A94,'Données projet (1)'!$A$269:$I$289,5,0)),0%,VLOOKUP(A94,'Données projet (1)'!$A$269:$I$289,5,0)*VLOOKUP('Données projet (1)'!$B$18,'Paramètres (1)'!$A$1:$I$88,7,0))</f>
        <v>#REF!</v>
      </c>
      <c r="HE94" s="135" t="str">
        <f>IF(ISNA(VLOOKUP(A94,'Données projet (1)'!$A$269:$I$289,6,0)),0%,VLOOKUP(A94,'Données projet (1)'!$A$269:$I$289,6,0)*VLOOKUP('Données projet (1)'!$B$18,'Paramètres (1)'!$A$1:$I$88,7,0))</f>
        <v>#REF!</v>
      </c>
      <c r="HF94" s="135" t="str">
        <f t="shared" si="104"/>
        <v>#REF!</v>
      </c>
      <c r="HG94" s="142" t="str">
        <f>EXP(-LN(2)/35)*HG93+(1-EXP(-LN(2)/35))/(LN(2)/35)*HC94*HD94*VLOOKUP('Données projet (1)'!$B$18,'Paramètres (1)'!$A$1:$I$88,3,0)*0.475*44/12</f>
        <v>#REF!</v>
      </c>
      <c r="HH94" s="142" t="str">
        <f>EXP(-LN(2)/25)*HH93+(1-EXP(-LN(2)/25))/(LN(2)/25)*'Calculateur (1)'!HC94*'Calculateur (1)'!HE94*VLOOKUP('Données projet (1)'!$B$18,'Paramètres (1)'!$A$1:$I$88,3,0)*0.475*44/12</f>
        <v>#REF!</v>
      </c>
      <c r="HI94" s="142" t="str">
        <f>EXP(-LN(2)/2)*HI93+(1-EXP(-LN(2)/2))/(LN(2)/2)*HC94*HF94*VLOOKUP('Données projet (1)'!$B$18,'Paramètres (1)'!$A$1:$I$88,3,0)*0.475*44/12</f>
        <v>#REF!</v>
      </c>
      <c r="HJ94" s="143" t="str">
        <f t="shared" si="105"/>
        <v>#REF!</v>
      </c>
    </row>
    <row r="95" ht="14.25" customHeight="1">
      <c r="A95" s="125">
        <f t="shared" si="106"/>
        <v>92</v>
      </c>
      <c r="B95" s="126" t="str">
        <f t="shared" si="1"/>
        <v>#REF!</v>
      </c>
      <c r="C95" s="140" t="str">
        <f>'Calculateur (1)'!C94+'Scénario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5" s="127">
        <f t="shared" si="107"/>
        <v>0</v>
      </c>
      <c r="E95" s="127" t="str">
        <f t="shared" si="2"/>
        <v>#REF!</v>
      </c>
      <c r="F95" s="127" t="str">
        <f t="shared" si="3"/>
        <v>#REF!</v>
      </c>
      <c r="G95" s="127" t="str">
        <f t="shared" si="4"/>
        <v>#REF!</v>
      </c>
      <c r="H95" s="128" t="str">
        <f t="shared" si="5"/>
        <v>#REF!</v>
      </c>
      <c r="I95" s="129" t="str">
        <f t="shared" si="6"/>
        <v>#REF!</v>
      </c>
      <c r="J95" s="130">
        <f t="shared" si="7"/>
        <v>10</v>
      </c>
      <c r="K95" s="131" t="str">
        <f t="shared" si="108"/>
        <v>#REF!</v>
      </c>
      <c r="L95" s="131" t="str">
        <f t="shared" si="8"/>
        <v>#REF!</v>
      </c>
      <c r="M95" s="131" t="str">
        <f t="array" ref="M95">INDEX(L:L,MIN(IF(ISNUMBER(L95:L291),ROW(L95:L291),"")))</f>
        <v/>
      </c>
      <c r="N95" s="130" t="str">
        <f t="shared" si="109"/>
        <v>#REF!</v>
      </c>
      <c r="O95" s="130" t="str">
        <f>N95*VLOOKUP('Données projet (1)'!$B$9,'Paramètres (1)'!$A$1:$I$88,3,0)*VLOOKUP('Données projet (1)'!$B$9,'Paramètres (1)'!$A$1:$I$88,5,0)</f>
        <v>#REF!</v>
      </c>
      <c r="P95" s="130" t="str">
        <f t="shared" si="110"/>
        <v>#REF!</v>
      </c>
      <c r="Q95" s="141" t="str">
        <f t="shared" si="9"/>
        <v>#REF!</v>
      </c>
      <c r="R95" s="133" t="str">
        <f t="shared" si="10"/>
        <v>#REF!</v>
      </c>
      <c r="S95" s="133" t="str">
        <f t="shared" si="11"/>
        <v>#REF!</v>
      </c>
      <c r="T95" s="133" t="str">
        <f t="shared" si="111"/>
        <v>#REF!</v>
      </c>
      <c r="U95" s="134" t="str">
        <f t="shared" si="12"/>
        <v>#REF!</v>
      </c>
      <c r="V95" s="134" t="str">
        <f t="shared" si="13"/>
        <v>#REF!</v>
      </c>
      <c r="W95" s="135" t="str">
        <f>IF(ISNA(VLOOKUP(A95,'Données projet (1)'!$A$35:$I$55,5,0)),0%,VLOOKUP(A95,'Données projet (1)'!$A$35:$I$55,5,0)*VLOOKUP('Données projet (1)'!$B$9,'Paramètres (1)'!$A$1:$I$88,7,0))</f>
        <v>#REF!</v>
      </c>
      <c r="X95" s="135" t="str">
        <f>IF(ISNA(VLOOKUP(A95,'Données projet (1)'!$A$35:$I$55,6,0)),0%,VLOOKUP(A95,'Données projet (1)'!$A$35:$I$55,6,0)*VLOOKUP('Données projet (1)'!$B$9,'Paramètres (1)'!$A$1:$I$88,7,0))</f>
        <v>#REF!</v>
      </c>
      <c r="Y95" s="135" t="str">
        <f t="shared" si="14"/>
        <v>#REF!</v>
      </c>
      <c r="Z95" s="142" t="str">
        <f>EXP(-LN(2)/35)*Z94+(1-EXP(-LN(2)/35))/(LN(2)/35)*V95*W95*VLOOKUP('Données projet (1)'!$B$9,'Paramètres (1)'!$A$1:$I$88,3,0)*0.475*44/12</f>
        <v>#REF!</v>
      </c>
      <c r="AA95" s="142" t="str">
        <f>EXP(-LN(2)/25)*AA94+(1-EXP(-LN(2)/25))/(LN(2)/25)*'Calculateur (1)'!V95*'Calculateur (1)'!X95*VLOOKUP('Données projet (1)'!$B$9,'Paramètres (1)'!$A$1:$I$88,3,0)*0.475*44/12</f>
        <v>#REF!</v>
      </c>
      <c r="AB95" s="142" t="str">
        <f>EXP(-LN(2)/2)*AB94+(1-EXP(-LN(2)/2))/(LN(2)/2)*V95*Y95*VLOOKUP('Données projet (1)'!$B$9,'Paramètres (1)'!$A$1:$I$88,3,0)*0.475*44/12</f>
        <v>#REF!</v>
      </c>
      <c r="AC95" s="143" t="str">
        <f t="shared" si="15"/>
        <v>#REF!</v>
      </c>
      <c r="AD95" s="130" t="str">
        <f t="shared" si="16"/>
        <v>#REF!</v>
      </c>
      <c r="AE95" s="130">
        <f t="shared" si="17"/>
        <v>10</v>
      </c>
      <c r="AF95" s="131" t="str">
        <f t="shared" si="112"/>
        <v>#REF!</v>
      </c>
      <c r="AG95" s="131" t="str">
        <f t="shared" si="18"/>
        <v>#REF!</v>
      </c>
      <c r="AH95" s="131" t="str">
        <f t="array" ref="AH95">INDEX(AG:AG,MIN(IF(ISNUMBER(AG95:AG291),ROW(AG95:AG291),"")))</f>
        <v/>
      </c>
      <c r="AI95" s="130" t="str">
        <f t="shared" si="113"/>
        <v>#REF!</v>
      </c>
      <c r="AJ95" s="130" t="str">
        <f>AI95*VLOOKUP('Données projet (1)'!$B$10,'Paramètres (1)'!$A$1:$I$88,3,0)*VLOOKUP('Données projet (1)'!$B$10,'Paramètres (1)'!$A$1:$I$88,5,0)</f>
        <v>#REF!</v>
      </c>
      <c r="AK95" s="130" t="str">
        <f t="shared" si="114"/>
        <v>#REF!</v>
      </c>
      <c r="AL95" s="141" t="str">
        <f t="shared" si="19"/>
        <v>#REF!</v>
      </c>
      <c r="AM95" s="133" t="str">
        <f t="shared" si="20"/>
        <v>#REF!</v>
      </c>
      <c r="AN95" s="133" t="str">
        <f t="shared" si="21"/>
        <v>#REF!</v>
      </c>
      <c r="AO95" s="133" t="str">
        <f t="shared" si="115"/>
        <v>#REF!</v>
      </c>
      <c r="AP95" s="134" t="str">
        <f t="shared" si="22"/>
        <v>#REF!</v>
      </c>
      <c r="AQ95" s="134" t="str">
        <f t="shared" si="23"/>
        <v>#REF!</v>
      </c>
      <c r="AR95" s="135" t="str">
        <f>IF(ISNA(VLOOKUP(A95,'Données projet (1)'!$A$61:$I$81,5,0)),0%,VLOOKUP(A95,'Données projet (1)'!$A$61:$I$81,5,0)*VLOOKUP('Données projet (1)'!$B$10,'Paramètres (1)'!$A$1:$I$88,7,0))</f>
        <v>#REF!</v>
      </c>
      <c r="AS95" s="135" t="str">
        <f>IF(ISNA(VLOOKUP(A95,'Données projet (1)'!$A$61:$I$81,6,0)),0%,VLOOKUP(A95,'Données projet (1)'!$A$61:$I$81,6,0)*VLOOKUP('Données projet (1)'!$B$10,'Paramètres (1)'!$A$1:$I$88,7,0))</f>
        <v>#REF!</v>
      </c>
      <c r="AT95" s="135" t="str">
        <f t="shared" si="24"/>
        <v>#REF!</v>
      </c>
      <c r="AU95" s="142" t="str">
        <f>EXP(-LN(2)/35)*AU94+(1-EXP(-LN(2)/35))/(LN(2)/35)*AQ95*AR95*VLOOKUP('Données projet (1)'!$B$10,'Paramètres (1)'!$A$1:$I$88,3,0)*0.475*44/12</f>
        <v>#REF!</v>
      </c>
      <c r="AV95" s="142" t="str">
        <f>EXP(-LN(2)/25)*AV94+(1-EXP(-LN(2)/25))/(LN(2)/25)*'Calculateur (1)'!AQ95*'Calculateur (1)'!AS95*VLOOKUP('Données projet (1)'!$B$10,'Paramètres (1)'!$A$1:$I$88,3,0)*0.475*44/12</f>
        <v>#REF!</v>
      </c>
      <c r="AW95" s="142" t="str">
        <f>EXP(-LN(2)/2)*AW94+(1-EXP(-LN(2)/2))/(LN(2)/2)*AQ95*AT95*VLOOKUP('Données projet (1)'!$B$10,'Paramètres (1)'!$A$1:$I$88,3,0)*0.475*44/12</f>
        <v>#REF!</v>
      </c>
      <c r="AX95" s="142" t="str">
        <f t="shared" si="25"/>
        <v>#REF!</v>
      </c>
      <c r="AY95" s="137" t="str">
        <f t="shared" si="26"/>
        <v>#REF!</v>
      </c>
      <c r="AZ95" s="131">
        <f t="shared" si="27"/>
        <v>10</v>
      </c>
      <c r="BA95" s="131" t="str">
        <f t="shared" si="116"/>
        <v>#REF!</v>
      </c>
      <c r="BB95" s="131" t="str">
        <f t="shared" si="28"/>
        <v>#REF!</v>
      </c>
      <c r="BC95" s="131" t="str">
        <f t="array" ref="BC95">INDEX(BB:BB,MIN(IF(ISNUMBER(BB95:BB291),ROW(BB95:BB291),"")))</f>
        <v/>
      </c>
      <c r="BD95" s="131" t="str">
        <f t="shared" si="117"/>
        <v>#REF!</v>
      </c>
      <c r="BE95" s="130" t="str">
        <f>BD95*VLOOKUP('Données projet (1)'!$B$11,'Paramètres (1)'!$A$1:$I$88,3,0)*VLOOKUP('Données projet (1)'!$B$11,'Paramètres (1)'!$A$1:$I$88,5,0)</f>
        <v>#REF!</v>
      </c>
      <c r="BF95" s="130" t="str">
        <f t="shared" si="118"/>
        <v>#REF!</v>
      </c>
      <c r="BG95" s="141" t="str">
        <f t="shared" si="29"/>
        <v>#REF!</v>
      </c>
      <c r="BH95" s="133" t="str">
        <f t="shared" si="30"/>
        <v>#REF!</v>
      </c>
      <c r="BI95" s="133" t="str">
        <f t="shared" si="31"/>
        <v>#REF!</v>
      </c>
      <c r="BJ95" s="133" t="str">
        <f t="shared" si="119"/>
        <v>#REF!</v>
      </c>
      <c r="BK95" s="134" t="str">
        <f t="shared" si="32"/>
        <v>#REF!</v>
      </c>
      <c r="BL95" s="134" t="str">
        <f t="shared" si="33"/>
        <v>#REF!</v>
      </c>
      <c r="BM95" s="135" t="str">
        <f>IF(ISNA(VLOOKUP(A95,'Données projet (1)'!$A$87:$I$107,5,0)),0%,VLOOKUP(A95,'Données projet (1)'!$A$87:$I$107,5,0)*VLOOKUP('Données projet (1)'!$B$11,'Paramètres (1)'!$A$1:$I$88,7,0))</f>
        <v>#REF!</v>
      </c>
      <c r="BN95" s="135" t="str">
        <f>IF(ISNA(VLOOKUP(A95,'Données projet (1)'!$A$87:$I$107,6,0)),0%,VLOOKUP(A95,'Données projet (1)'!$A$87:$I$107,6,0)*VLOOKUP('Données projet (1)'!$B$11,'Paramètres (1)'!$A$1:$I$88,7,0))</f>
        <v>#REF!</v>
      </c>
      <c r="BO95" s="135" t="str">
        <f t="shared" si="34"/>
        <v>#REF!</v>
      </c>
      <c r="BP95" s="142" t="str">
        <f>EXP(-LN(2)/35)*BP94+(1-EXP(-LN(2)/35))/(LN(2)/35)*BL95*BM95*VLOOKUP('Données projet (1)'!$B$11,'Paramètres (1)'!$A$1:$I$88,3,0)*0.475*44/12</f>
        <v>#REF!</v>
      </c>
      <c r="BQ95" s="142" t="str">
        <f>EXP(-LN(2)/25)*BQ94+(1-EXP(-LN(2)/25))/(LN(2)/25)*'Calculateur (1)'!BL95*'Calculateur (1)'!BN95*VLOOKUP('Données projet (1)'!$B$11,'Paramètres (1)'!$A$1:$I$88,3,0)*0.475*44/12</f>
        <v>#REF!</v>
      </c>
      <c r="BR95" s="142" t="str">
        <f>EXP(-LN(2)/2)*BR94+(1-EXP(-LN(2)/2))/(LN(2)/2)*BL95*BO95*VLOOKUP('Données projet (1)'!$B$11,'Paramètres (1)'!$A$1:$I$88,3,0)*0.475*44/12</f>
        <v>#REF!</v>
      </c>
      <c r="BS95" s="143" t="str">
        <f t="shared" si="35"/>
        <v>#REF!</v>
      </c>
      <c r="BT95" s="139" t="str">
        <f t="shared" si="36"/>
        <v>#REF!</v>
      </c>
      <c r="BU95" s="131">
        <f t="shared" si="37"/>
        <v>10</v>
      </c>
      <c r="BV95" s="131" t="str">
        <f t="shared" si="120"/>
        <v>#REF!</v>
      </c>
      <c r="BW95" s="131" t="str">
        <f t="shared" si="38"/>
        <v>#REF!</v>
      </c>
      <c r="BX95" s="131" t="str">
        <f t="array" ref="BX95">INDEX(BW:BW,MIN(IF(ISNUMBER(BW95:BW291),ROW(BW95:BW291),"")))</f>
        <v/>
      </c>
      <c r="BY95" s="131" t="str">
        <f t="shared" si="121"/>
        <v>#REF!</v>
      </c>
      <c r="BZ95" s="130" t="str">
        <f>BY95*VLOOKUP('Données projet (1)'!$B$12,'Paramètres (1)'!$A$1:$I$88,3,0)*VLOOKUP('Données projet (1)'!$B$12,'Paramètres (1)'!$A$1:$I$88,5,0)</f>
        <v>#REF!</v>
      </c>
      <c r="CA95" s="130" t="str">
        <f t="shared" si="122"/>
        <v>#REF!</v>
      </c>
      <c r="CB95" s="141" t="str">
        <f t="shared" si="39"/>
        <v>#REF!</v>
      </c>
      <c r="CC95" s="133" t="str">
        <f t="shared" si="40"/>
        <v>#REF!</v>
      </c>
      <c r="CD95" s="133" t="str">
        <f t="shared" si="41"/>
        <v>#REF!</v>
      </c>
      <c r="CE95" s="133" t="str">
        <f t="shared" si="123"/>
        <v>#REF!</v>
      </c>
      <c r="CF95" s="134" t="str">
        <f t="shared" si="42"/>
        <v>#REF!</v>
      </c>
      <c r="CG95" s="134" t="str">
        <f t="shared" si="43"/>
        <v>#REF!</v>
      </c>
      <c r="CH95" s="135" t="str">
        <f>IF(ISNA(VLOOKUP(A95,'Données projet (1)'!$A$113:$I$133,5,0)),0%,VLOOKUP(A95,'Données projet (1)'!$A$113:$I$133,5,0)*VLOOKUP('Données projet (1)'!$B$12,'Paramètres (1)'!$A$1:$I$88,7,0))</f>
        <v>#REF!</v>
      </c>
      <c r="CI95" s="135" t="str">
        <f>IF(ISNA(VLOOKUP(A95,'Données projet (1)'!$A$113:$I$133,6,0)),0%,VLOOKUP(A95,'Données projet (1)'!$A$113:$I$133,6,0)*VLOOKUP('Données projet (1)'!$B$12,'Paramètres (1)'!$A$1:$I$88,7,0))</f>
        <v>#REF!</v>
      </c>
      <c r="CJ95" s="135" t="str">
        <f t="shared" si="44"/>
        <v>#REF!</v>
      </c>
      <c r="CK95" s="142" t="str">
        <f>EXP(-LN(2)/35)*CK94+(1-EXP(-LN(2)/35))/(LN(2)/35)*CG95*CH95*VLOOKUP('Données projet (1)'!$B$12,'Paramètres (1)'!$A$1:$I$88,3,0)*0.475*44/12</f>
        <v>#REF!</v>
      </c>
      <c r="CL95" s="142" t="str">
        <f>EXP(-LN(2)/25)*CL94+(1-EXP(-LN(2)/25))/(LN(2)/25)*'Calculateur (1)'!CG95*'Calculateur (1)'!CI95*VLOOKUP('Données projet (1)'!$B$12,'Paramètres (1)'!$A$1:$I$88,3,0)*0.475*44/12</f>
        <v>#REF!</v>
      </c>
      <c r="CM95" s="142" t="str">
        <f>EXP(-LN(2)/2)*CM94+(1-EXP(-LN(2)/2))/(LN(2)/2)*CG95*CJ95*VLOOKUP('Données projet (1)'!$B$12,'Paramètres (1)'!$A$1:$I$88,3,0)*0.475*44/12</f>
        <v>#REF!</v>
      </c>
      <c r="CN95" s="143" t="str">
        <f t="shared" si="45"/>
        <v>#REF!</v>
      </c>
      <c r="CO95" s="139" t="str">
        <f t="shared" si="46"/>
        <v>#REF!</v>
      </c>
      <c r="CP95" s="131">
        <f t="shared" si="47"/>
        <v>10</v>
      </c>
      <c r="CQ95" s="131" t="str">
        <f t="shared" si="124"/>
        <v>#REF!</v>
      </c>
      <c r="CR95" s="131" t="str">
        <f t="shared" si="48"/>
        <v>#REF!</v>
      </c>
      <c r="CS95" s="131" t="str">
        <f t="array" ref="CS95">INDEX(CR:CR,MIN(IF(ISNUMBER(CR95:CR291),ROW(CR95:CR291),"")))</f>
        <v/>
      </c>
      <c r="CT95" s="131" t="str">
        <f t="shared" si="125"/>
        <v>#REF!</v>
      </c>
      <c r="CU95" s="138" t="str">
        <f>CT95*VLOOKUP('Données projet (1)'!$B$13,'Paramètres (1)'!$A$1:$I$88,3,0)*VLOOKUP('Données projet (1)'!$B$13,'Paramètres (1)'!$A$1:$I$88,5,0)</f>
        <v>#REF!</v>
      </c>
      <c r="CV95" s="130" t="str">
        <f t="shared" si="126"/>
        <v>#REF!</v>
      </c>
      <c r="CW95" s="141" t="str">
        <f t="shared" si="49"/>
        <v>#REF!</v>
      </c>
      <c r="CX95" s="133" t="str">
        <f t="shared" si="50"/>
        <v>#REF!</v>
      </c>
      <c r="CY95" s="133" t="str">
        <f t="shared" si="51"/>
        <v>#REF!</v>
      </c>
      <c r="CZ95" s="133" t="str">
        <f t="shared" si="127"/>
        <v>#REF!</v>
      </c>
      <c r="DA95" s="134" t="str">
        <f t="shared" si="52"/>
        <v>#REF!</v>
      </c>
      <c r="DB95" s="134" t="str">
        <f t="shared" si="53"/>
        <v>#REF!</v>
      </c>
      <c r="DC95" s="135" t="str">
        <f>IF(ISNA(VLOOKUP(A95,'Données projet (1)'!$A$139:$I$159,5,0)),0%,VLOOKUP(A95,'Données projet (1)'!$A$139:$I$159,5,0)*VLOOKUP('Données projet (1)'!$B$13,'Paramètres (1)'!$A$1:$I$88,7,0))</f>
        <v>#REF!</v>
      </c>
      <c r="DD95" s="135" t="str">
        <f>IF(ISNA(VLOOKUP(A95,'Données projet (1)'!$A$139:$I$159,6,0)),0%,VLOOKUP(A95,'Données projet (1)'!$A$139:$I$159,6,0)*VLOOKUP('Données projet (1)'!$B$13,'Paramètres (1)'!$A$1:$I$88,7,0))</f>
        <v>#REF!</v>
      </c>
      <c r="DE95" s="135" t="str">
        <f t="shared" si="54"/>
        <v>#REF!</v>
      </c>
      <c r="DF95" s="142" t="str">
        <f>EXP(-LN(2)/35)*DF94+(1-EXP(-LN(2)/35))/(LN(2)/35)*DB95*DC95*VLOOKUP('Données projet (1)'!$B$13,'Paramètres (1)'!$A$1:$I$88,3,0)*0.475*44/12</f>
        <v>#REF!</v>
      </c>
      <c r="DG95" s="142" t="str">
        <f>EXP(-LN(2)/25)*DG94+(1-EXP(-LN(2)/25))/(LN(2)/25)*'Calculateur (1)'!DB95*'Calculateur (1)'!DD95*VLOOKUP('Données projet (1)'!$B$13,'Paramètres (1)'!$A$1:$I$88,3,0)*0.475*44/12</f>
        <v>#REF!</v>
      </c>
      <c r="DH95" s="142" t="str">
        <f>EXP(-LN(2)/2)*DH94+(1-EXP(-LN(2)/2))/(LN(2)/2)*DB95*DE95*VLOOKUP('Données projet (1)'!$B$13,'Paramètres (1)'!$A$1:$I$88,3,0)*0.475*44/12</f>
        <v>#REF!</v>
      </c>
      <c r="DI95" s="143" t="str">
        <f t="shared" si="55"/>
        <v>#REF!</v>
      </c>
      <c r="DJ95" s="139" t="str">
        <f t="shared" si="56"/>
        <v>#REF!</v>
      </c>
      <c r="DK95" s="131">
        <f t="shared" si="57"/>
        <v>10</v>
      </c>
      <c r="DL95" s="131" t="str">
        <f t="shared" si="128"/>
        <v>#REF!</v>
      </c>
      <c r="DM95" s="131" t="str">
        <f t="shared" si="58"/>
        <v>#REF!</v>
      </c>
      <c r="DN95" s="131" t="str">
        <f t="array" ref="DN95">INDEX(DM:DM,MIN(IF(ISNUMBER(DM95:DM291),ROW(DM95:DM291),"")))</f>
        <v/>
      </c>
      <c r="DO95" s="131" t="str">
        <f t="shared" si="129"/>
        <v>#REF!</v>
      </c>
      <c r="DP95" s="138" t="str">
        <f>DO95*VLOOKUP('Données projet (1)'!$B$14,'Paramètres (1)'!$A$1:$I$88,3,0)*VLOOKUP('Données projet (1)'!$B$14,'Paramètres (1)'!$A$1:$I$88,5,0)</f>
        <v>#REF!</v>
      </c>
      <c r="DQ95" s="130" t="str">
        <f t="shared" si="130"/>
        <v>#REF!</v>
      </c>
      <c r="DR95" s="141" t="str">
        <f t="shared" si="59"/>
        <v>#REF!</v>
      </c>
      <c r="DS95" s="133" t="str">
        <f t="shared" si="60"/>
        <v>#REF!</v>
      </c>
      <c r="DT95" s="133" t="str">
        <f t="shared" si="61"/>
        <v>#REF!</v>
      </c>
      <c r="DU95" s="133" t="str">
        <f t="shared" si="131"/>
        <v>#REF!</v>
      </c>
      <c r="DV95" s="134" t="str">
        <f t="shared" si="62"/>
        <v>#REF!</v>
      </c>
      <c r="DW95" s="134" t="str">
        <f t="shared" si="63"/>
        <v>#REF!</v>
      </c>
      <c r="DX95" s="135" t="str">
        <f>IF(ISNA(VLOOKUP(A95,'Données projet (1)'!$A$165:$I$185,5,0)),0%,VLOOKUP(A95,'Données projet (1)'!$A$165:$I$185,5,0)*VLOOKUP('Données projet (1)'!$B$14,'Paramètres (1)'!$A$1:$I$88,7,0))</f>
        <v>#REF!</v>
      </c>
      <c r="DY95" s="135" t="str">
        <f>IF(ISNA(VLOOKUP(A95,'Données projet (1)'!$A$165:$I$185,6,0)),0%,VLOOKUP(A95,'Données projet (1)'!$A$165:$I$185,6,0)*VLOOKUP('Données projet (1)'!$B$14,'Paramètres (1)'!$A$1:$I$88,7,0))</f>
        <v>#REF!</v>
      </c>
      <c r="DZ95" s="135" t="str">
        <f t="shared" si="64"/>
        <v>#REF!</v>
      </c>
      <c r="EA95" s="142" t="str">
        <f>EXP(-LN(2)/35)*EA94+(1-EXP(-LN(2)/35))/(LN(2)/35)*DW95*DX95*VLOOKUP('Données projet (1)'!$B$14,'Paramètres (1)'!$A$1:$I$88,3,0)*0.475*44/12</f>
        <v>#REF!</v>
      </c>
      <c r="EB95" s="142" t="str">
        <f>EXP(-LN(2)/25)*EB94+(1-EXP(-LN(2)/25))/(LN(2)/25)*'Calculateur (1)'!DW95*'Calculateur (1)'!DY95*VLOOKUP('Données projet (1)'!$B$14,'Paramètres (1)'!$A$1:$I$88,3,0)*0.475*44/12</f>
        <v>#REF!</v>
      </c>
      <c r="EC95" s="142" t="str">
        <f>EXP(-LN(2)/2)*EC94+(1-EXP(-LN(2)/2))/(LN(2)/2)*DW95*DZ95*VLOOKUP('Données projet (1)'!$B$14,'Paramètres (1)'!$A$1:$I$88,3,0)*0.475*44/12</f>
        <v>#REF!</v>
      </c>
      <c r="ED95" s="143" t="str">
        <f t="shared" si="65"/>
        <v>#REF!</v>
      </c>
      <c r="EE95" s="139" t="str">
        <f t="shared" si="66"/>
        <v>#REF!</v>
      </c>
      <c r="EF95" s="131">
        <f t="shared" si="67"/>
        <v>10</v>
      </c>
      <c r="EG95" s="131" t="str">
        <f t="shared" si="132"/>
        <v>#REF!</v>
      </c>
      <c r="EH95" s="131" t="str">
        <f t="shared" si="68"/>
        <v>#REF!</v>
      </c>
      <c r="EI95" s="131" t="str">
        <f t="array" ref="EI95">INDEX(EH:EH,MIN(IF(ISNUMBER(EH95:EH291),ROW(EH95:EH291),"")))</f>
        <v/>
      </c>
      <c r="EJ95" s="131" t="str">
        <f t="shared" si="133"/>
        <v>#REF!</v>
      </c>
      <c r="EK95" s="138" t="str">
        <f>EJ95*VLOOKUP('Données projet (1)'!$B$15,'Paramètres (1)'!$A$1:$I$88,3,0)*VLOOKUP('Données projet (1)'!$B$15,'Paramètres (1)'!$A$1:$I$88,5,0)</f>
        <v>#REF!</v>
      </c>
      <c r="EL95" s="130" t="str">
        <f t="shared" si="134"/>
        <v>#REF!</v>
      </c>
      <c r="EM95" s="141" t="str">
        <f t="shared" si="69"/>
        <v>#REF!</v>
      </c>
      <c r="EN95" s="133" t="str">
        <f t="shared" si="70"/>
        <v>#REF!</v>
      </c>
      <c r="EO95" s="133" t="str">
        <f t="shared" si="71"/>
        <v>#REF!</v>
      </c>
      <c r="EP95" s="133" t="str">
        <f t="shared" si="135"/>
        <v>#REF!</v>
      </c>
      <c r="EQ95" s="134" t="str">
        <f t="shared" si="72"/>
        <v>#REF!</v>
      </c>
      <c r="ER95" s="134" t="str">
        <f t="shared" si="73"/>
        <v>#REF!</v>
      </c>
      <c r="ES95" s="135" t="str">
        <f>IF(ISNA(VLOOKUP(A95,'Données projet (1)'!$A$191:$I$211,5,0)),0%,VLOOKUP(A95,'Données projet (1)'!$A$191:$I$211,5,0)*VLOOKUP('Données projet (1)'!$B$15,'Paramètres (1)'!$A$1:$I$88,7,0))</f>
        <v>#REF!</v>
      </c>
      <c r="ET95" s="135" t="str">
        <f>IF(ISNA(VLOOKUP(A95,'Données projet (1)'!$A$191:$I$211,6,0)),0%,VLOOKUP(A95,'Données projet (1)'!$A$191:$I$211,6,0)*VLOOKUP('Données projet (1)'!$B$15,'Paramètres (1)'!$A$1:$I$88,7,0))</f>
        <v>#REF!</v>
      </c>
      <c r="EU95" s="135" t="str">
        <f t="shared" si="74"/>
        <v>#REF!</v>
      </c>
      <c r="EV95" s="142" t="str">
        <f>EXP(-LN(2)/35)*EV94+(1-EXP(-LN(2)/35))/(LN(2)/35)*ER95*ES95*VLOOKUP('Données projet (1)'!$B$15,'Paramètres (1)'!$A$1:$I$88,3,0)*0.475*44/12</f>
        <v>#REF!</v>
      </c>
      <c r="EW95" s="142" t="str">
        <f>EXP(-LN(2)/25)*EW94+(1-EXP(-LN(2)/25))/(LN(2)/25)*'Calculateur (1)'!ER95*'Calculateur (1)'!ET95*VLOOKUP('Données projet (1)'!$B$15,'Paramètres (1)'!$A$1:$I$88,3,0)*0.475*44/12</f>
        <v>#REF!</v>
      </c>
      <c r="EX95" s="142" t="str">
        <f>EXP(-LN(2)/2)*EX94+(1-EXP(-LN(2)/2))/(LN(2)/2)*ER95*EU95*VLOOKUP('Données projet (1)'!$B$15,'Paramètres (1)'!$A$1:$I$88,3,0)*0.475*44/12</f>
        <v>#REF!</v>
      </c>
      <c r="EY95" s="143" t="str">
        <f t="shared" si="75"/>
        <v>#REF!</v>
      </c>
      <c r="EZ95" s="139" t="str">
        <f t="shared" si="76"/>
        <v>#REF!</v>
      </c>
      <c r="FA95" s="131">
        <f t="shared" si="77"/>
        <v>10</v>
      </c>
      <c r="FB95" s="131" t="str">
        <f t="shared" si="136"/>
        <v>#REF!</v>
      </c>
      <c r="FC95" s="131" t="str">
        <f t="shared" si="78"/>
        <v>#REF!</v>
      </c>
      <c r="FD95" s="131" t="str">
        <f t="array" ref="FD95">INDEX(FC:FC,MIN(IF(ISNUMBER(FC95:FC291),ROW(FC95:FC291),"")))</f>
        <v/>
      </c>
      <c r="FE95" s="131" t="str">
        <f t="shared" si="137"/>
        <v>#REF!</v>
      </c>
      <c r="FF95" s="138" t="str">
        <f>FE95*VLOOKUP('Données projet (1)'!$B$16,'Paramètres (1)'!$A$1:$I$88,3,0)*VLOOKUP('Données projet (1)'!$B$16,'Paramètres (1)'!$A$1:$I$88,5,0)</f>
        <v>#REF!</v>
      </c>
      <c r="FG95" s="130" t="str">
        <f t="shared" si="138"/>
        <v>#REF!</v>
      </c>
      <c r="FH95" s="141" t="str">
        <f t="shared" si="79"/>
        <v>#REF!</v>
      </c>
      <c r="FI95" s="133" t="str">
        <f t="shared" si="80"/>
        <v>#REF!</v>
      </c>
      <c r="FJ95" s="133" t="str">
        <f t="shared" si="81"/>
        <v>#REF!</v>
      </c>
      <c r="FK95" s="133" t="str">
        <f t="shared" si="139"/>
        <v>#REF!</v>
      </c>
      <c r="FL95" s="134" t="str">
        <f t="shared" si="82"/>
        <v>#REF!</v>
      </c>
      <c r="FM95" s="134" t="str">
        <f t="shared" si="83"/>
        <v>#REF!</v>
      </c>
      <c r="FN95" s="135" t="str">
        <f>IF(ISNA(VLOOKUP(A95,'Données projet (1)'!$A$217:$I$237,5,0)),0%,VLOOKUP(A95,'Données projet (1)'!$A$217:$I$237,5,0)*VLOOKUP('Données projet (1)'!$B$16,'Paramètres (1)'!$A$1:$I$88,7,0))</f>
        <v>#REF!</v>
      </c>
      <c r="FO95" s="135" t="str">
        <f>IF(ISNA(VLOOKUP(A95,'Données projet (1)'!$A$217:$I$237,6,0)),0%,VLOOKUP(A95,'Données projet (1)'!$A$217:$I$237,6,0)*VLOOKUP('Données projet (1)'!$B$16,'Paramètres (1)'!$A$1:$I$88,7,0))</f>
        <v>#REF!</v>
      </c>
      <c r="FP95" s="135" t="str">
        <f t="shared" si="84"/>
        <v>#REF!</v>
      </c>
      <c r="FQ95" s="142" t="str">
        <f>EXP(-LN(2)/35)*FQ94+(1-EXP(-LN(2)/35))/(LN(2)/35)*FM95*FN95*VLOOKUP('Données projet (1)'!$B$16,'Paramètres (1)'!$A$1:$I$88,3,0)*0.475*44/12</f>
        <v>#REF!</v>
      </c>
      <c r="FR95" s="142" t="str">
        <f>EXP(-LN(2)/25)*FR94+(1-EXP(-LN(2)/25))/(LN(2)/25)*'Calculateur (1)'!FM95*'Calculateur (1)'!FO95*VLOOKUP('Données projet (1)'!$B$16,'Paramètres (1)'!$A$1:$I$88,3,0)*0.475*44/12</f>
        <v>#REF!</v>
      </c>
      <c r="FS95" s="142" t="str">
        <f>EXP(-LN(2)/2)*FS94+(1-EXP(-LN(2)/2))/(LN(2)/2)*FM95*FP95*VLOOKUP('Données projet (1)'!$B$16,'Paramètres (1)'!$A$1:$I$88,3,0)*0.475*44/12</f>
        <v>#REF!</v>
      </c>
      <c r="FT95" s="143" t="str">
        <f t="shared" si="85"/>
        <v>#REF!</v>
      </c>
      <c r="FU95" s="139" t="str">
        <f t="shared" si="86"/>
        <v>#REF!</v>
      </c>
      <c r="FV95" s="131">
        <f t="shared" si="87"/>
        <v>10</v>
      </c>
      <c r="FW95" s="131" t="str">
        <f t="shared" si="140"/>
        <v>#REF!</v>
      </c>
      <c r="FX95" s="131" t="str">
        <f t="shared" si="88"/>
        <v>#REF!</v>
      </c>
      <c r="FY95" s="131" t="str">
        <f t="array" ref="FY95">INDEX(FX:FX,MIN(IF(ISNUMBER(FX95:FX291),ROW(FX95:FX291),"")))</f>
        <v/>
      </c>
      <c r="FZ95" s="131" t="str">
        <f t="shared" si="141"/>
        <v>#REF!</v>
      </c>
      <c r="GA95" s="138" t="str">
        <f>FZ95*VLOOKUP('Données projet (1)'!$B$17,'Paramètres (1)'!$A$1:$I$88,3,0)*VLOOKUP('Données projet (1)'!$B$17,'Paramètres (1)'!$A$1:$I$88,5,0)</f>
        <v>#REF!</v>
      </c>
      <c r="GB95" s="130" t="str">
        <f t="shared" si="142"/>
        <v>#REF!</v>
      </c>
      <c r="GC95" s="141" t="str">
        <f t="shared" si="89"/>
        <v>#REF!</v>
      </c>
      <c r="GD95" s="133" t="str">
        <f t="shared" si="90"/>
        <v>#REF!</v>
      </c>
      <c r="GE95" s="133" t="str">
        <f t="shared" si="91"/>
        <v>#REF!</v>
      </c>
      <c r="GF95" s="133" t="str">
        <f t="shared" si="143"/>
        <v>#REF!</v>
      </c>
      <c r="GG95" s="134" t="str">
        <f t="shared" si="92"/>
        <v>#REF!</v>
      </c>
      <c r="GH95" s="134" t="str">
        <f t="shared" si="93"/>
        <v>#REF!</v>
      </c>
      <c r="GI95" s="135" t="str">
        <f>IF(ISNA(VLOOKUP(A95,'Données projet (1)'!$A$243:$I$263,5,0)),0%,VLOOKUP(A95,'Données projet (1)'!$A$243:$I$263,5,0)*VLOOKUP('Données projet (1)'!$B$17,'Paramètres (1)'!$A$1:$I$88,7,0))</f>
        <v>#REF!</v>
      </c>
      <c r="GJ95" s="135" t="str">
        <f>IF(ISNA(VLOOKUP(A95,'Données projet (1)'!$A$243:$I$263,6,0)),0%,VLOOKUP(A95,'Données projet (1)'!$A$243:$I$263,6,0)*VLOOKUP('Données projet (1)'!$B$17,'Paramètres (1)'!$A$1:$I$88,7,0))</f>
        <v>#REF!</v>
      </c>
      <c r="GK95" s="135" t="str">
        <f t="shared" si="94"/>
        <v>#REF!</v>
      </c>
      <c r="GL95" s="142" t="str">
        <f>EXP(-LN(2)/35)*GL94+(1-EXP(-LN(2)/35))/(LN(2)/35)*GH95*GI95*VLOOKUP('Données projet (1)'!$B$17,'Paramètres (1)'!$A$1:$I$88,3,0)*0.475*44/12</f>
        <v>#REF!</v>
      </c>
      <c r="GM95" s="142" t="str">
        <f>EXP(-LN(2)/25)*GM94+(1-EXP(-LN(2)/25))/(LN(2)/25)*'Calculateur (1)'!GH95*'Calculateur (1)'!GJ95*VLOOKUP('Données projet (1)'!$B$17,'Paramètres (1)'!$A$1:$I$88,3,0)*0.475*44/12</f>
        <v>#REF!</v>
      </c>
      <c r="GN95" s="142" t="str">
        <f>EXP(-LN(2)/2)*GN94+(1-EXP(-LN(2)/2))/(LN(2)/2)*GH95*GK95*VLOOKUP('Données projet (1)'!$B$17,'Paramètres (1)'!$A$1:$I$88,3,0)*0.475*44/12</f>
        <v>#REF!</v>
      </c>
      <c r="GO95" s="142" t="str">
        <f t="shared" si="95"/>
        <v>#REF!</v>
      </c>
      <c r="GP95" s="139" t="str">
        <f t="shared" si="96"/>
        <v>#REF!</v>
      </c>
      <c r="GQ95" s="131">
        <f t="shared" si="97"/>
        <v>10</v>
      </c>
      <c r="GR95" s="131" t="str">
        <f t="shared" si="144"/>
        <v>#REF!</v>
      </c>
      <c r="GS95" s="131" t="str">
        <f t="shared" si="98"/>
        <v>#REF!</v>
      </c>
      <c r="GT95" s="131" t="str">
        <f t="array" ref="GT95">INDEX(GS:GS,MIN(IF(ISNUMBER(GS95:GS291),ROW(GS95:GS291),"")))</f>
        <v/>
      </c>
      <c r="GU95" s="131" t="str">
        <f t="shared" si="145"/>
        <v>#REF!</v>
      </c>
      <c r="GV95" s="138" t="str">
        <f>GU95*VLOOKUP('Données projet (1)'!$B$18,'Paramètres (1)'!$A$1:$I$88,3,0)*VLOOKUP('Données projet (1)'!$B$18,'Paramètres (1)'!$A$1:$I$88,5,0)</f>
        <v>#REF!</v>
      </c>
      <c r="GW95" s="130" t="str">
        <f t="shared" si="146"/>
        <v>#REF!</v>
      </c>
      <c r="GX95" s="141" t="str">
        <f t="shared" si="99"/>
        <v>#REF!</v>
      </c>
      <c r="GY95" s="133" t="str">
        <f t="shared" si="100"/>
        <v>#REF!</v>
      </c>
      <c r="GZ95" s="133" t="str">
        <f t="shared" si="101"/>
        <v>#REF!</v>
      </c>
      <c r="HA95" s="133" t="str">
        <f t="shared" si="147"/>
        <v>#REF!</v>
      </c>
      <c r="HB95" s="134" t="str">
        <f t="shared" si="102"/>
        <v>#REF!</v>
      </c>
      <c r="HC95" s="134" t="str">
        <f t="shared" si="103"/>
        <v>#REF!</v>
      </c>
      <c r="HD95" s="135" t="str">
        <f>IF(ISNA(VLOOKUP(A95,'Données projet (1)'!$A$269:$I$289,5,0)),0%,VLOOKUP(A95,'Données projet (1)'!$A$269:$I$289,5,0)*VLOOKUP('Données projet (1)'!$B$18,'Paramètres (1)'!$A$1:$I$88,7,0))</f>
        <v>#REF!</v>
      </c>
      <c r="HE95" s="135" t="str">
        <f>IF(ISNA(VLOOKUP(A95,'Données projet (1)'!$A$269:$I$289,6,0)),0%,VLOOKUP(A95,'Données projet (1)'!$A$269:$I$289,6,0)*VLOOKUP('Données projet (1)'!$B$18,'Paramètres (1)'!$A$1:$I$88,7,0))</f>
        <v>#REF!</v>
      </c>
      <c r="HF95" s="135" t="str">
        <f t="shared" si="104"/>
        <v>#REF!</v>
      </c>
      <c r="HG95" s="142" t="str">
        <f>EXP(-LN(2)/35)*HG94+(1-EXP(-LN(2)/35))/(LN(2)/35)*HC95*HD95*VLOOKUP('Données projet (1)'!$B$18,'Paramètres (1)'!$A$1:$I$88,3,0)*0.475*44/12</f>
        <v>#REF!</v>
      </c>
      <c r="HH95" s="142" t="str">
        <f>EXP(-LN(2)/25)*HH94+(1-EXP(-LN(2)/25))/(LN(2)/25)*'Calculateur (1)'!HC95*'Calculateur (1)'!HE95*VLOOKUP('Données projet (1)'!$B$18,'Paramètres (1)'!$A$1:$I$88,3,0)*0.475*44/12</f>
        <v>#REF!</v>
      </c>
      <c r="HI95" s="142" t="str">
        <f>EXP(-LN(2)/2)*HI94+(1-EXP(-LN(2)/2))/(LN(2)/2)*HC95*HF95*VLOOKUP('Données projet (1)'!$B$18,'Paramètres (1)'!$A$1:$I$88,3,0)*0.475*44/12</f>
        <v>#REF!</v>
      </c>
      <c r="HJ95" s="143" t="str">
        <f t="shared" si="105"/>
        <v>#REF!</v>
      </c>
    </row>
    <row r="96" ht="14.25" customHeight="1">
      <c r="A96" s="125">
        <f t="shared" si="106"/>
        <v>93</v>
      </c>
      <c r="B96" s="126" t="str">
        <f t="shared" si="1"/>
        <v>#REF!</v>
      </c>
      <c r="C96" s="140" t="str">
        <f>'Calculateur (1)'!C95+'Scénario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6" s="127">
        <f t="shared" si="107"/>
        <v>0</v>
      </c>
      <c r="E96" s="127" t="str">
        <f t="shared" si="2"/>
        <v>#REF!</v>
      </c>
      <c r="F96" s="127" t="str">
        <f t="shared" si="3"/>
        <v>#REF!</v>
      </c>
      <c r="G96" s="127" t="str">
        <f t="shared" si="4"/>
        <v>#REF!</v>
      </c>
      <c r="H96" s="128" t="str">
        <f t="shared" si="5"/>
        <v>#REF!</v>
      </c>
      <c r="I96" s="129" t="str">
        <f t="shared" si="6"/>
        <v>#REF!</v>
      </c>
      <c r="J96" s="130">
        <f t="shared" si="7"/>
        <v>10</v>
      </c>
      <c r="K96" s="131" t="str">
        <f t="shared" si="108"/>
        <v>#REF!</v>
      </c>
      <c r="L96" s="131" t="str">
        <f t="shared" si="8"/>
        <v>#REF!</v>
      </c>
      <c r="M96" s="131" t="str">
        <f t="array" ref="M96">INDEX(L:L,MIN(IF(ISNUMBER(L96:L292),ROW(L96:L292),"")))</f>
        <v/>
      </c>
      <c r="N96" s="130" t="str">
        <f t="shared" si="109"/>
        <v>#REF!</v>
      </c>
      <c r="O96" s="130" t="str">
        <f>N96*VLOOKUP('Données projet (1)'!$B$9,'Paramètres (1)'!$A$1:$I$88,3,0)*VLOOKUP('Données projet (1)'!$B$9,'Paramètres (1)'!$A$1:$I$88,5,0)</f>
        <v>#REF!</v>
      </c>
      <c r="P96" s="130" t="str">
        <f t="shared" si="110"/>
        <v>#REF!</v>
      </c>
      <c r="Q96" s="141" t="str">
        <f t="shared" si="9"/>
        <v>#REF!</v>
      </c>
      <c r="R96" s="133" t="str">
        <f t="shared" si="10"/>
        <v>#REF!</v>
      </c>
      <c r="S96" s="133" t="str">
        <f t="shared" si="11"/>
        <v>#REF!</v>
      </c>
      <c r="T96" s="133" t="str">
        <f t="shared" si="111"/>
        <v>#REF!</v>
      </c>
      <c r="U96" s="134" t="str">
        <f t="shared" si="12"/>
        <v>#REF!</v>
      </c>
      <c r="V96" s="134" t="str">
        <f t="shared" si="13"/>
        <v>#REF!</v>
      </c>
      <c r="W96" s="135" t="str">
        <f>IF(ISNA(VLOOKUP(A96,'Données projet (1)'!$A$35:$I$55,5,0)),0%,VLOOKUP(A96,'Données projet (1)'!$A$35:$I$55,5,0)*VLOOKUP('Données projet (1)'!$B$9,'Paramètres (1)'!$A$1:$I$88,7,0))</f>
        <v>#REF!</v>
      </c>
      <c r="X96" s="135" t="str">
        <f>IF(ISNA(VLOOKUP(A96,'Données projet (1)'!$A$35:$I$55,6,0)),0%,VLOOKUP(A96,'Données projet (1)'!$A$35:$I$55,6,0)*VLOOKUP('Données projet (1)'!$B$9,'Paramètres (1)'!$A$1:$I$88,7,0))</f>
        <v>#REF!</v>
      </c>
      <c r="Y96" s="135" t="str">
        <f t="shared" si="14"/>
        <v>#REF!</v>
      </c>
      <c r="Z96" s="142" t="str">
        <f>EXP(-LN(2)/35)*Z95+(1-EXP(-LN(2)/35))/(LN(2)/35)*V96*W96*VLOOKUP('Données projet (1)'!$B$9,'Paramètres (1)'!$A$1:$I$88,3,0)*0.475*44/12</f>
        <v>#REF!</v>
      </c>
      <c r="AA96" s="142" t="str">
        <f>EXP(-LN(2)/25)*AA95+(1-EXP(-LN(2)/25))/(LN(2)/25)*'Calculateur (1)'!V96*'Calculateur (1)'!X96*VLOOKUP('Données projet (1)'!$B$9,'Paramètres (1)'!$A$1:$I$88,3,0)*0.475*44/12</f>
        <v>#REF!</v>
      </c>
      <c r="AB96" s="142" t="str">
        <f>EXP(-LN(2)/2)*AB95+(1-EXP(-LN(2)/2))/(LN(2)/2)*V96*Y96*VLOOKUP('Données projet (1)'!$B$9,'Paramètres (1)'!$A$1:$I$88,3,0)*0.475*44/12</f>
        <v>#REF!</v>
      </c>
      <c r="AC96" s="143" t="str">
        <f t="shared" si="15"/>
        <v>#REF!</v>
      </c>
      <c r="AD96" s="130" t="str">
        <f t="shared" si="16"/>
        <v>#REF!</v>
      </c>
      <c r="AE96" s="130">
        <f t="shared" si="17"/>
        <v>10</v>
      </c>
      <c r="AF96" s="131" t="str">
        <f t="shared" si="112"/>
        <v>#REF!</v>
      </c>
      <c r="AG96" s="131" t="str">
        <f t="shared" si="18"/>
        <v>#REF!</v>
      </c>
      <c r="AH96" s="131" t="str">
        <f t="array" ref="AH96">INDEX(AG:AG,MIN(IF(ISNUMBER(AG96:AG292),ROW(AG96:AG292),"")))</f>
        <v/>
      </c>
      <c r="AI96" s="130" t="str">
        <f t="shared" si="113"/>
        <v>#REF!</v>
      </c>
      <c r="AJ96" s="130" t="str">
        <f>AI96*VLOOKUP('Données projet (1)'!$B$10,'Paramètres (1)'!$A$1:$I$88,3,0)*VLOOKUP('Données projet (1)'!$B$10,'Paramètres (1)'!$A$1:$I$88,5,0)</f>
        <v>#REF!</v>
      </c>
      <c r="AK96" s="130" t="str">
        <f t="shared" si="114"/>
        <v>#REF!</v>
      </c>
      <c r="AL96" s="141" t="str">
        <f t="shared" si="19"/>
        <v>#REF!</v>
      </c>
      <c r="AM96" s="133" t="str">
        <f t="shared" si="20"/>
        <v>#REF!</v>
      </c>
      <c r="AN96" s="133" t="str">
        <f t="shared" si="21"/>
        <v>#REF!</v>
      </c>
      <c r="AO96" s="133" t="str">
        <f t="shared" si="115"/>
        <v>#REF!</v>
      </c>
      <c r="AP96" s="134" t="str">
        <f t="shared" si="22"/>
        <v>#REF!</v>
      </c>
      <c r="AQ96" s="134" t="str">
        <f t="shared" si="23"/>
        <v>#REF!</v>
      </c>
      <c r="AR96" s="135" t="str">
        <f>IF(ISNA(VLOOKUP(A96,'Données projet (1)'!$A$61:$I$81,5,0)),0%,VLOOKUP(A96,'Données projet (1)'!$A$61:$I$81,5,0)*VLOOKUP('Données projet (1)'!$B$10,'Paramètres (1)'!$A$1:$I$88,7,0))</f>
        <v>#REF!</v>
      </c>
      <c r="AS96" s="135" t="str">
        <f>IF(ISNA(VLOOKUP(A96,'Données projet (1)'!$A$61:$I$81,6,0)),0%,VLOOKUP(A96,'Données projet (1)'!$A$61:$I$81,6,0)*VLOOKUP('Données projet (1)'!$B$10,'Paramètres (1)'!$A$1:$I$88,7,0))</f>
        <v>#REF!</v>
      </c>
      <c r="AT96" s="135" t="str">
        <f t="shared" si="24"/>
        <v>#REF!</v>
      </c>
      <c r="AU96" s="142" t="str">
        <f>EXP(-LN(2)/35)*AU95+(1-EXP(-LN(2)/35))/(LN(2)/35)*AQ96*AR96*VLOOKUP('Données projet (1)'!$B$10,'Paramètres (1)'!$A$1:$I$88,3,0)*0.475*44/12</f>
        <v>#REF!</v>
      </c>
      <c r="AV96" s="142" t="str">
        <f>EXP(-LN(2)/25)*AV95+(1-EXP(-LN(2)/25))/(LN(2)/25)*'Calculateur (1)'!AQ96*'Calculateur (1)'!AS96*VLOOKUP('Données projet (1)'!$B$10,'Paramètres (1)'!$A$1:$I$88,3,0)*0.475*44/12</f>
        <v>#REF!</v>
      </c>
      <c r="AW96" s="142" t="str">
        <f>EXP(-LN(2)/2)*AW95+(1-EXP(-LN(2)/2))/(LN(2)/2)*AQ96*AT96*VLOOKUP('Données projet (1)'!$B$10,'Paramètres (1)'!$A$1:$I$88,3,0)*0.475*44/12</f>
        <v>#REF!</v>
      </c>
      <c r="AX96" s="142" t="str">
        <f t="shared" si="25"/>
        <v>#REF!</v>
      </c>
      <c r="AY96" s="137" t="str">
        <f t="shared" si="26"/>
        <v>#REF!</v>
      </c>
      <c r="AZ96" s="131">
        <f t="shared" si="27"/>
        <v>10</v>
      </c>
      <c r="BA96" s="131" t="str">
        <f t="shared" si="116"/>
        <v>#REF!</v>
      </c>
      <c r="BB96" s="131" t="str">
        <f t="shared" si="28"/>
        <v>#REF!</v>
      </c>
      <c r="BC96" s="131" t="str">
        <f t="array" ref="BC96">INDEX(BB:BB,MIN(IF(ISNUMBER(BB96:BB292),ROW(BB96:BB292),"")))</f>
        <v/>
      </c>
      <c r="BD96" s="131" t="str">
        <f t="shared" si="117"/>
        <v>#REF!</v>
      </c>
      <c r="BE96" s="130" t="str">
        <f>BD96*VLOOKUP('Données projet (1)'!$B$11,'Paramètres (1)'!$A$1:$I$88,3,0)*VLOOKUP('Données projet (1)'!$B$11,'Paramètres (1)'!$A$1:$I$88,5,0)</f>
        <v>#REF!</v>
      </c>
      <c r="BF96" s="130" t="str">
        <f t="shared" si="118"/>
        <v>#REF!</v>
      </c>
      <c r="BG96" s="141" t="str">
        <f t="shared" si="29"/>
        <v>#REF!</v>
      </c>
      <c r="BH96" s="133" t="str">
        <f t="shared" si="30"/>
        <v>#REF!</v>
      </c>
      <c r="BI96" s="133" t="str">
        <f t="shared" si="31"/>
        <v>#REF!</v>
      </c>
      <c r="BJ96" s="133" t="str">
        <f t="shared" si="119"/>
        <v>#REF!</v>
      </c>
      <c r="BK96" s="134" t="str">
        <f t="shared" si="32"/>
        <v>#REF!</v>
      </c>
      <c r="BL96" s="134" t="str">
        <f t="shared" si="33"/>
        <v>#REF!</v>
      </c>
      <c r="BM96" s="135" t="str">
        <f>IF(ISNA(VLOOKUP(A96,'Données projet (1)'!$A$87:$I$107,5,0)),0%,VLOOKUP(A96,'Données projet (1)'!$A$87:$I$107,5,0)*VLOOKUP('Données projet (1)'!$B$11,'Paramètres (1)'!$A$1:$I$88,7,0))</f>
        <v>#REF!</v>
      </c>
      <c r="BN96" s="135" t="str">
        <f>IF(ISNA(VLOOKUP(A96,'Données projet (1)'!$A$87:$I$107,6,0)),0%,VLOOKUP(A96,'Données projet (1)'!$A$87:$I$107,6,0)*VLOOKUP('Données projet (1)'!$B$11,'Paramètres (1)'!$A$1:$I$88,7,0))</f>
        <v>#REF!</v>
      </c>
      <c r="BO96" s="135" t="str">
        <f t="shared" si="34"/>
        <v>#REF!</v>
      </c>
      <c r="BP96" s="142" t="str">
        <f>EXP(-LN(2)/35)*BP95+(1-EXP(-LN(2)/35))/(LN(2)/35)*BL96*BM96*VLOOKUP('Données projet (1)'!$B$11,'Paramètres (1)'!$A$1:$I$88,3,0)*0.475*44/12</f>
        <v>#REF!</v>
      </c>
      <c r="BQ96" s="142" t="str">
        <f>EXP(-LN(2)/25)*BQ95+(1-EXP(-LN(2)/25))/(LN(2)/25)*'Calculateur (1)'!BL96*'Calculateur (1)'!BN96*VLOOKUP('Données projet (1)'!$B$11,'Paramètres (1)'!$A$1:$I$88,3,0)*0.475*44/12</f>
        <v>#REF!</v>
      </c>
      <c r="BR96" s="142" t="str">
        <f>EXP(-LN(2)/2)*BR95+(1-EXP(-LN(2)/2))/(LN(2)/2)*BL96*BO96*VLOOKUP('Données projet (1)'!$B$11,'Paramètres (1)'!$A$1:$I$88,3,0)*0.475*44/12</f>
        <v>#REF!</v>
      </c>
      <c r="BS96" s="143" t="str">
        <f t="shared" si="35"/>
        <v>#REF!</v>
      </c>
      <c r="BT96" s="139" t="str">
        <f t="shared" si="36"/>
        <v>#REF!</v>
      </c>
      <c r="BU96" s="131">
        <f t="shared" si="37"/>
        <v>10</v>
      </c>
      <c r="BV96" s="131" t="str">
        <f t="shared" si="120"/>
        <v>#REF!</v>
      </c>
      <c r="BW96" s="131" t="str">
        <f t="shared" si="38"/>
        <v>#REF!</v>
      </c>
      <c r="BX96" s="131" t="str">
        <f t="array" ref="BX96">INDEX(BW:BW,MIN(IF(ISNUMBER(BW96:BW292),ROW(BW96:BW292),"")))</f>
        <v/>
      </c>
      <c r="BY96" s="131" t="str">
        <f t="shared" si="121"/>
        <v>#REF!</v>
      </c>
      <c r="BZ96" s="130" t="str">
        <f>BY96*VLOOKUP('Données projet (1)'!$B$12,'Paramètres (1)'!$A$1:$I$88,3,0)*VLOOKUP('Données projet (1)'!$B$12,'Paramètres (1)'!$A$1:$I$88,5,0)</f>
        <v>#REF!</v>
      </c>
      <c r="CA96" s="130" t="str">
        <f t="shared" si="122"/>
        <v>#REF!</v>
      </c>
      <c r="CB96" s="141" t="str">
        <f t="shared" si="39"/>
        <v>#REF!</v>
      </c>
      <c r="CC96" s="133" t="str">
        <f t="shared" si="40"/>
        <v>#REF!</v>
      </c>
      <c r="CD96" s="133" t="str">
        <f t="shared" si="41"/>
        <v>#REF!</v>
      </c>
      <c r="CE96" s="133" t="str">
        <f t="shared" si="123"/>
        <v>#REF!</v>
      </c>
      <c r="CF96" s="134" t="str">
        <f t="shared" si="42"/>
        <v>#REF!</v>
      </c>
      <c r="CG96" s="134" t="str">
        <f t="shared" si="43"/>
        <v>#REF!</v>
      </c>
      <c r="CH96" s="135" t="str">
        <f>IF(ISNA(VLOOKUP(A96,'Données projet (1)'!$A$113:$I$133,5,0)),0%,VLOOKUP(A96,'Données projet (1)'!$A$113:$I$133,5,0)*VLOOKUP('Données projet (1)'!$B$12,'Paramètres (1)'!$A$1:$I$88,7,0))</f>
        <v>#REF!</v>
      </c>
      <c r="CI96" s="135" t="str">
        <f>IF(ISNA(VLOOKUP(A96,'Données projet (1)'!$A$113:$I$133,6,0)),0%,VLOOKUP(A96,'Données projet (1)'!$A$113:$I$133,6,0)*VLOOKUP('Données projet (1)'!$B$12,'Paramètres (1)'!$A$1:$I$88,7,0))</f>
        <v>#REF!</v>
      </c>
      <c r="CJ96" s="135" t="str">
        <f t="shared" si="44"/>
        <v>#REF!</v>
      </c>
      <c r="CK96" s="142" t="str">
        <f>EXP(-LN(2)/35)*CK95+(1-EXP(-LN(2)/35))/(LN(2)/35)*CG96*CH96*VLOOKUP('Données projet (1)'!$B$12,'Paramètres (1)'!$A$1:$I$88,3,0)*0.475*44/12</f>
        <v>#REF!</v>
      </c>
      <c r="CL96" s="142" t="str">
        <f>EXP(-LN(2)/25)*CL95+(1-EXP(-LN(2)/25))/(LN(2)/25)*'Calculateur (1)'!CG96*'Calculateur (1)'!CI96*VLOOKUP('Données projet (1)'!$B$12,'Paramètres (1)'!$A$1:$I$88,3,0)*0.475*44/12</f>
        <v>#REF!</v>
      </c>
      <c r="CM96" s="142" t="str">
        <f>EXP(-LN(2)/2)*CM95+(1-EXP(-LN(2)/2))/(LN(2)/2)*CG96*CJ96*VLOOKUP('Données projet (1)'!$B$12,'Paramètres (1)'!$A$1:$I$88,3,0)*0.475*44/12</f>
        <v>#REF!</v>
      </c>
      <c r="CN96" s="143" t="str">
        <f t="shared" si="45"/>
        <v>#REF!</v>
      </c>
      <c r="CO96" s="139" t="str">
        <f t="shared" si="46"/>
        <v>#REF!</v>
      </c>
      <c r="CP96" s="131">
        <f t="shared" si="47"/>
        <v>10</v>
      </c>
      <c r="CQ96" s="131" t="str">
        <f t="shared" si="124"/>
        <v>#REF!</v>
      </c>
      <c r="CR96" s="131" t="str">
        <f t="shared" si="48"/>
        <v>#REF!</v>
      </c>
      <c r="CS96" s="131" t="str">
        <f t="array" ref="CS96">INDEX(CR:CR,MIN(IF(ISNUMBER(CR96:CR292),ROW(CR96:CR292),"")))</f>
        <v/>
      </c>
      <c r="CT96" s="131" t="str">
        <f t="shared" si="125"/>
        <v>#REF!</v>
      </c>
      <c r="CU96" s="138" t="str">
        <f>CT96*VLOOKUP('Données projet (1)'!$B$13,'Paramètres (1)'!$A$1:$I$88,3,0)*VLOOKUP('Données projet (1)'!$B$13,'Paramètres (1)'!$A$1:$I$88,5,0)</f>
        <v>#REF!</v>
      </c>
      <c r="CV96" s="130" t="str">
        <f t="shared" si="126"/>
        <v>#REF!</v>
      </c>
      <c r="CW96" s="141" t="str">
        <f t="shared" si="49"/>
        <v>#REF!</v>
      </c>
      <c r="CX96" s="133" t="str">
        <f t="shared" si="50"/>
        <v>#REF!</v>
      </c>
      <c r="CY96" s="133" t="str">
        <f t="shared" si="51"/>
        <v>#REF!</v>
      </c>
      <c r="CZ96" s="133" t="str">
        <f t="shared" si="127"/>
        <v>#REF!</v>
      </c>
      <c r="DA96" s="134" t="str">
        <f t="shared" si="52"/>
        <v>#REF!</v>
      </c>
      <c r="DB96" s="134" t="str">
        <f t="shared" si="53"/>
        <v>#REF!</v>
      </c>
      <c r="DC96" s="135" t="str">
        <f>IF(ISNA(VLOOKUP(A96,'Données projet (1)'!$A$139:$I$159,5,0)),0%,VLOOKUP(A96,'Données projet (1)'!$A$139:$I$159,5,0)*VLOOKUP('Données projet (1)'!$B$13,'Paramètres (1)'!$A$1:$I$88,7,0))</f>
        <v>#REF!</v>
      </c>
      <c r="DD96" s="135" t="str">
        <f>IF(ISNA(VLOOKUP(A96,'Données projet (1)'!$A$139:$I$159,6,0)),0%,VLOOKUP(A96,'Données projet (1)'!$A$139:$I$159,6,0)*VLOOKUP('Données projet (1)'!$B$13,'Paramètres (1)'!$A$1:$I$88,7,0))</f>
        <v>#REF!</v>
      </c>
      <c r="DE96" s="135" t="str">
        <f t="shared" si="54"/>
        <v>#REF!</v>
      </c>
      <c r="DF96" s="142" t="str">
        <f>EXP(-LN(2)/35)*DF95+(1-EXP(-LN(2)/35))/(LN(2)/35)*DB96*DC96*VLOOKUP('Données projet (1)'!$B$13,'Paramètres (1)'!$A$1:$I$88,3,0)*0.475*44/12</f>
        <v>#REF!</v>
      </c>
      <c r="DG96" s="142" t="str">
        <f>EXP(-LN(2)/25)*DG95+(1-EXP(-LN(2)/25))/(LN(2)/25)*'Calculateur (1)'!DB96*'Calculateur (1)'!DD96*VLOOKUP('Données projet (1)'!$B$13,'Paramètres (1)'!$A$1:$I$88,3,0)*0.475*44/12</f>
        <v>#REF!</v>
      </c>
      <c r="DH96" s="142" t="str">
        <f>EXP(-LN(2)/2)*DH95+(1-EXP(-LN(2)/2))/(LN(2)/2)*DB96*DE96*VLOOKUP('Données projet (1)'!$B$13,'Paramètres (1)'!$A$1:$I$88,3,0)*0.475*44/12</f>
        <v>#REF!</v>
      </c>
      <c r="DI96" s="143" t="str">
        <f t="shared" si="55"/>
        <v>#REF!</v>
      </c>
      <c r="DJ96" s="139" t="str">
        <f t="shared" si="56"/>
        <v>#REF!</v>
      </c>
      <c r="DK96" s="131">
        <f t="shared" si="57"/>
        <v>10</v>
      </c>
      <c r="DL96" s="131" t="str">
        <f t="shared" si="128"/>
        <v>#REF!</v>
      </c>
      <c r="DM96" s="131" t="str">
        <f t="shared" si="58"/>
        <v>#REF!</v>
      </c>
      <c r="DN96" s="131" t="str">
        <f t="array" ref="DN96">INDEX(DM:DM,MIN(IF(ISNUMBER(DM96:DM292),ROW(DM96:DM292),"")))</f>
        <v/>
      </c>
      <c r="DO96" s="131" t="str">
        <f t="shared" si="129"/>
        <v>#REF!</v>
      </c>
      <c r="DP96" s="138" t="str">
        <f>DO96*VLOOKUP('Données projet (1)'!$B$14,'Paramètres (1)'!$A$1:$I$88,3,0)*VLOOKUP('Données projet (1)'!$B$14,'Paramètres (1)'!$A$1:$I$88,5,0)</f>
        <v>#REF!</v>
      </c>
      <c r="DQ96" s="130" t="str">
        <f t="shared" si="130"/>
        <v>#REF!</v>
      </c>
      <c r="DR96" s="141" t="str">
        <f t="shared" si="59"/>
        <v>#REF!</v>
      </c>
      <c r="DS96" s="133" t="str">
        <f t="shared" si="60"/>
        <v>#REF!</v>
      </c>
      <c r="DT96" s="133" t="str">
        <f t="shared" si="61"/>
        <v>#REF!</v>
      </c>
      <c r="DU96" s="133" t="str">
        <f t="shared" si="131"/>
        <v>#REF!</v>
      </c>
      <c r="DV96" s="134" t="str">
        <f t="shared" si="62"/>
        <v>#REF!</v>
      </c>
      <c r="DW96" s="134" t="str">
        <f t="shared" si="63"/>
        <v>#REF!</v>
      </c>
      <c r="DX96" s="135" t="str">
        <f>IF(ISNA(VLOOKUP(A96,'Données projet (1)'!$A$165:$I$185,5,0)),0%,VLOOKUP(A96,'Données projet (1)'!$A$165:$I$185,5,0)*VLOOKUP('Données projet (1)'!$B$14,'Paramètres (1)'!$A$1:$I$88,7,0))</f>
        <v>#REF!</v>
      </c>
      <c r="DY96" s="135" t="str">
        <f>IF(ISNA(VLOOKUP(A96,'Données projet (1)'!$A$165:$I$185,6,0)),0%,VLOOKUP(A96,'Données projet (1)'!$A$165:$I$185,6,0)*VLOOKUP('Données projet (1)'!$B$14,'Paramètres (1)'!$A$1:$I$88,7,0))</f>
        <v>#REF!</v>
      </c>
      <c r="DZ96" s="135" t="str">
        <f t="shared" si="64"/>
        <v>#REF!</v>
      </c>
      <c r="EA96" s="142" t="str">
        <f>EXP(-LN(2)/35)*EA95+(1-EXP(-LN(2)/35))/(LN(2)/35)*DW96*DX96*VLOOKUP('Données projet (1)'!$B$14,'Paramètres (1)'!$A$1:$I$88,3,0)*0.475*44/12</f>
        <v>#REF!</v>
      </c>
      <c r="EB96" s="142" t="str">
        <f>EXP(-LN(2)/25)*EB95+(1-EXP(-LN(2)/25))/(LN(2)/25)*'Calculateur (1)'!DW96*'Calculateur (1)'!DY96*VLOOKUP('Données projet (1)'!$B$14,'Paramètres (1)'!$A$1:$I$88,3,0)*0.475*44/12</f>
        <v>#REF!</v>
      </c>
      <c r="EC96" s="142" t="str">
        <f>EXP(-LN(2)/2)*EC95+(1-EXP(-LN(2)/2))/(LN(2)/2)*DW96*DZ96*VLOOKUP('Données projet (1)'!$B$14,'Paramètres (1)'!$A$1:$I$88,3,0)*0.475*44/12</f>
        <v>#REF!</v>
      </c>
      <c r="ED96" s="143" t="str">
        <f t="shared" si="65"/>
        <v>#REF!</v>
      </c>
      <c r="EE96" s="139" t="str">
        <f t="shared" si="66"/>
        <v>#REF!</v>
      </c>
      <c r="EF96" s="131">
        <f t="shared" si="67"/>
        <v>10</v>
      </c>
      <c r="EG96" s="131" t="str">
        <f t="shared" si="132"/>
        <v>#REF!</v>
      </c>
      <c r="EH96" s="131" t="str">
        <f t="shared" si="68"/>
        <v>#REF!</v>
      </c>
      <c r="EI96" s="131" t="str">
        <f t="array" ref="EI96">INDEX(EH:EH,MIN(IF(ISNUMBER(EH96:EH292),ROW(EH96:EH292),"")))</f>
        <v/>
      </c>
      <c r="EJ96" s="131" t="str">
        <f t="shared" si="133"/>
        <v>#REF!</v>
      </c>
      <c r="EK96" s="138" t="str">
        <f>EJ96*VLOOKUP('Données projet (1)'!$B$15,'Paramètres (1)'!$A$1:$I$88,3,0)*VLOOKUP('Données projet (1)'!$B$15,'Paramètres (1)'!$A$1:$I$88,5,0)</f>
        <v>#REF!</v>
      </c>
      <c r="EL96" s="130" t="str">
        <f t="shared" si="134"/>
        <v>#REF!</v>
      </c>
      <c r="EM96" s="141" t="str">
        <f t="shared" si="69"/>
        <v>#REF!</v>
      </c>
      <c r="EN96" s="133" t="str">
        <f t="shared" si="70"/>
        <v>#REF!</v>
      </c>
      <c r="EO96" s="133" t="str">
        <f t="shared" si="71"/>
        <v>#REF!</v>
      </c>
      <c r="EP96" s="133" t="str">
        <f t="shared" si="135"/>
        <v>#REF!</v>
      </c>
      <c r="EQ96" s="134" t="str">
        <f t="shared" si="72"/>
        <v>#REF!</v>
      </c>
      <c r="ER96" s="134" t="str">
        <f t="shared" si="73"/>
        <v>#REF!</v>
      </c>
      <c r="ES96" s="135" t="str">
        <f>IF(ISNA(VLOOKUP(A96,'Données projet (1)'!$A$191:$I$211,5,0)),0%,VLOOKUP(A96,'Données projet (1)'!$A$191:$I$211,5,0)*VLOOKUP('Données projet (1)'!$B$15,'Paramètres (1)'!$A$1:$I$88,7,0))</f>
        <v>#REF!</v>
      </c>
      <c r="ET96" s="135" t="str">
        <f>IF(ISNA(VLOOKUP(A96,'Données projet (1)'!$A$191:$I$211,6,0)),0%,VLOOKUP(A96,'Données projet (1)'!$A$191:$I$211,6,0)*VLOOKUP('Données projet (1)'!$B$15,'Paramètres (1)'!$A$1:$I$88,7,0))</f>
        <v>#REF!</v>
      </c>
      <c r="EU96" s="135" t="str">
        <f t="shared" si="74"/>
        <v>#REF!</v>
      </c>
      <c r="EV96" s="142" t="str">
        <f>EXP(-LN(2)/35)*EV95+(1-EXP(-LN(2)/35))/(LN(2)/35)*ER96*ES96*VLOOKUP('Données projet (1)'!$B$15,'Paramètres (1)'!$A$1:$I$88,3,0)*0.475*44/12</f>
        <v>#REF!</v>
      </c>
      <c r="EW96" s="142" t="str">
        <f>EXP(-LN(2)/25)*EW95+(1-EXP(-LN(2)/25))/(LN(2)/25)*'Calculateur (1)'!ER96*'Calculateur (1)'!ET96*VLOOKUP('Données projet (1)'!$B$15,'Paramètres (1)'!$A$1:$I$88,3,0)*0.475*44/12</f>
        <v>#REF!</v>
      </c>
      <c r="EX96" s="142" t="str">
        <f>EXP(-LN(2)/2)*EX95+(1-EXP(-LN(2)/2))/(LN(2)/2)*ER96*EU96*VLOOKUP('Données projet (1)'!$B$15,'Paramètres (1)'!$A$1:$I$88,3,0)*0.475*44/12</f>
        <v>#REF!</v>
      </c>
      <c r="EY96" s="143" t="str">
        <f t="shared" si="75"/>
        <v>#REF!</v>
      </c>
      <c r="EZ96" s="139" t="str">
        <f t="shared" si="76"/>
        <v>#REF!</v>
      </c>
      <c r="FA96" s="131">
        <f t="shared" si="77"/>
        <v>10</v>
      </c>
      <c r="FB96" s="131" t="str">
        <f t="shared" si="136"/>
        <v>#REF!</v>
      </c>
      <c r="FC96" s="131" t="str">
        <f t="shared" si="78"/>
        <v>#REF!</v>
      </c>
      <c r="FD96" s="131" t="str">
        <f t="array" ref="FD96">INDEX(FC:FC,MIN(IF(ISNUMBER(FC96:FC292),ROW(FC96:FC292),"")))</f>
        <v/>
      </c>
      <c r="FE96" s="131" t="str">
        <f t="shared" si="137"/>
        <v>#REF!</v>
      </c>
      <c r="FF96" s="138" t="str">
        <f>FE96*VLOOKUP('Données projet (1)'!$B$16,'Paramètres (1)'!$A$1:$I$88,3,0)*VLOOKUP('Données projet (1)'!$B$16,'Paramètres (1)'!$A$1:$I$88,5,0)</f>
        <v>#REF!</v>
      </c>
      <c r="FG96" s="130" t="str">
        <f t="shared" si="138"/>
        <v>#REF!</v>
      </c>
      <c r="FH96" s="141" t="str">
        <f t="shared" si="79"/>
        <v>#REF!</v>
      </c>
      <c r="FI96" s="133" t="str">
        <f t="shared" si="80"/>
        <v>#REF!</v>
      </c>
      <c r="FJ96" s="133" t="str">
        <f t="shared" si="81"/>
        <v>#REF!</v>
      </c>
      <c r="FK96" s="133" t="str">
        <f t="shared" si="139"/>
        <v>#REF!</v>
      </c>
      <c r="FL96" s="134" t="str">
        <f t="shared" si="82"/>
        <v>#REF!</v>
      </c>
      <c r="FM96" s="134" t="str">
        <f t="shared" si="83"/>
        <v>#REF!</v>
      </c>
      <c r="FN96" s="135" t="str">
        <f>IF(ISNA(VLOOKUP(A96,'Données projet (1)'!$A$217:$I$237,5,0)),0%,VLOOKUP(A96,'Données projet (1)'!$A$217:$I$237,5,0)*VLOOKUP('Données projet (1)'!$B$16,'Paramètres (1)'!$A$1:$I$88,7,0))</f>
        <v>#REF!</v>
      </c>
      <c r="FO96" s="135" t="str">
        <f>IF(ISNA(VLOOKUP(A96,'Données projet (1)'!$A$217:$I$237,6,0)),0%,VLOOKUP(A96,'Données projet (1)'!$A$217:$I$237,6,0)*VLOOKUP('Données projet (1)'!$B$16,'Paramètres (1)'!$A$1:$I$88,7,0))</f>
        <v>#REF!</v>
      </c>
      <c r="FP96" s="135" t="str">
        <f t="shared" si="84"/>
        <v>#REF!</v>
      </c>
      <c r="FQ96" s="142" t="str">
        <f>EXP(-LN(2)/35)*FQ95+(1-EXP(-LN(2)/35))/(LN(2)/35)*FM96*FN96*VLOOKUP('Données projet (1)'!$B$16,'Paramètres (1)'!$A$1:$I$88,3,0)*0.475*44/12</f>
        <v>#REF!</v>
      </c>
      <c r="FR96" s="142" t="str">
        <f>EXP(-LN(2)/25)*FR95+(1-EXP(-LN(2)/25))/(LN(2)/25)*'Calculateur (1)'!FM96*'Calculateur (1)'!FO96*VLOOKUP('Données projet (1)'!$B$16,'Paramètres (1)'!$A$1:$I$88,3,0)*0.475*44/12</f>
        <v>#REF!</v>
      </c>
      <c r="FS96" s="142" t="str">
        <f>EXP(-LN(2)/2)*FS95+(1-EXP(-LN(2)/2))/(LN(2)/2)*FM96*FP96*VLOOKUP('Données projet (1)'!$B$16,'Paramètres (1)'!$A$1:$I$88,3,0)*0.475*44/12</f>
        <v>#REF!</v>
      </c>
      <c r="FT96" s="143" t="str">
        <f t="shared" si="85"/>
        <v>#REF!</v>
      </c>
      <c r="FU96" s="139" t="str">
        <f t="shared" si="86"/>
        <v>#REF!</v>
      </c>
      <c r="FV96" s="131">
        <f t="shared" si="87"/>
        <v>10</v>
      </c>
      <c r="FW96" s="131" t="str">
        <f t="shared" si="140"/>
        <v>#REF!</v>
      </c>
      <c r="FX96" s="131" t="str">
        <f t="shared" si="88"/>
        <v>#REF!</v>
      </c>
      <c r="FY96" s="131" t="str">
        <f t="array" ref="FY96">INDEX(FX:FX,MIN(IF(ISNUMBER(FX96:FX292),ROW(FX96:FX292),"")))</f>
        <v/>
      </c>
      <c r="FZ96" s="131" t="str">
        <f t="shared" si="141"/>
        <v>#REF!</v>
      </c>
      <c r="GA96" s="138" t="str">
        <f>FZ96*VLOOKUP('Données projet (1)'!$B$17,'Paramètres (1)'!$A$1:$I$88,3,0)*VLOOKUP('Données projet (1)'!$B$17,'Paramètres (1)'!$A$1:$I$88,5,0)</f>
        <v>#REF!</v>
      </c>
      <c r="GB96" s="130" t="str">
        <f t="shared" si="142"/>
        <v>#REF!</v>
      </c>
      <c r="GC96" s="141" t="str">
        <f t="shared" si="89"/>
        <v>#REF!</v>
      </c>
      <c r="GD96" s="133" t="str">
        <f t="shared" si="90"/>
        <v>#REF!</v>
      </c>
      <c r="GE96" s="133" t="str">
        <f t="shared" si="91"/>
        <v>#REF!</v>
      </c>
      <c r="GF96" s="133" t="str">
        <f t="shared" si="143"/>
        <v>#REF!</v>
      </c>
      <c r="GG96" s="134" t="str">
        <f t="shared" si="92"/>
        <v>#REF!</v>
      </c>
      <c r="GH96" s="134" t="str">
        <f t="shared" si="93"/>
        <v>#REF!</v>
      </c>
      <c r="GI96" s="135" t="str">
        <f>IF(ISNA(VLOOKUP(A96,'Données projet (1)'!$A$243:$I$263,5,0)),0%,VLOOKUP(A96,'Données projet (1)'!$A$243:$I$263,5,0)*VLOOKUP('Données projet (1)'!$B$17,'Paramètres (1)'!$A$1:$I$88,7,0))</f>
        <v>#REF!</v>
      </c>
      <c r="GJ96" s="135" t="str">
        <f>IF(ISNA(VLOOKUP(A96,'Données projet (1)'!$A$243:$I$263,6,0)),0%,VLOOKUP(A96,'Données projet (1)'!$A$243:$I$263,6,0)*VLOOKUP('Données projet (1)'!$B$17,'Paramètres (1)'!$A$1:$I$88,7,0))</f>
        <v>#REF!</v>
      </c>
      <c r="GK96" s="135" t="str">
        <f t="shared" si="94"/>
        <v>#REF!</v>
      </c>
      <c r="GL96" s="142" t="str">
        <f>EXP(-LN(2)/35)*GL95+(1-EXP(-LN(2)/35))/(LN(2)/35)*GH96*GI96*VLOOKUP('Données projet (1)'!$B$17,'Paramètres (1)'!$A$1:$I$88,3,0)*0.475*44/12</f>
        <v>#REF!</v>
      </c>
      <c r="GM96" s="142" t="str">
        <f>EXP(-LN(2)/25)*GM95+(1-EXP(-LN(2)/25))/(LN(2)/25)*'Calculateur (1)'!GH96*'Calculateur (1)'!GJ96*VLOOKUP('Données projet (1)'!$B$17,'Paramètres (1)'!$A$1:$I$88,3,0)*0.475*44/12</f>
        <v>#REF!</v>
      </c>
      <c r="GN96" s="142" t="str">
        <f>EXP(-LN(2)/2)*GN95+(1-EXP(-LN(2)/2))/(LN(2)/2)*GH96*GK96*VLOOKUP('Données projet (1)'!$B$17,'Paramètres (1)'!$A$1:$I$88,3,0)*0.475*44/12</f>
        <v>#REF!</v>
      </c>
      <c r="GO96" s="142" t="str">
        <f t="shared" si="95"/>
        <v>#REF!</v>
      </c>
      <c r="GP96" s="139" t="str">
        <f t="shared" si="96"/>
        <v>#REF!</v>
      </c>
      <c r="GQ96" s="131">
        <f t="shared" si="97"/>
        <v>10</v>
      </c>
      <c r="GR96" s="131" t="str">
        <f t="shared" si="144"/>
        <v>#REF!</v>
      </c>
      <c r="GS96" s="131" t="str">
        <f t="shared" si="98"/>
        <v>#REF!</v>
      </c>
      <c r="GT96" s="131" t="str">
        <f t="array" ref="GT96">INDEX(GS:GS,MIN(IF(ISNUMBER(GS96:GS292),ROW(GS96:GS292),"")))</f>
        <v/>
      </c>
      <c r="GU96" s="131" t="str">
        <f t="shared" si="145"/>
        <v>#REF!</v>
      </c>
      <c r="GV96" s="138" t="str">
        <f>GU96*VLOOKUP('Données projet (1)'!$B$18,'Paramètres (1)'!$A$1:$I$88,3,0)*VLOOKUP('Données projet (1)'!$B$18,'Paramètres (1)'!$A$1:$I$88,5,0)</f>
        <v>#REF!</v>
      </c>
      <c r="GW96" s="130" t="str">
        <f t="shared" si="146"/>
        <v>#REF!</v>
      </c>
      <c r="GX96" s="141" t="str">
        <f t="shared" si="99"/>
        <v>#REF!</v>
      </c>
      <c r="GY96" s="133" t="str">
        <f t="shared" si="100"/>
        <v>#REF!</v>
      </c>
      <c r="GZ96" s="133" t="str">
        <f t="shared" si="101"/>
        <v>#REF!</v>
      </c>
      <c r="HA96" s="133" t="str">
        <f t="shared" si="147"/>
        <v>#REF!</v>
      </c>
      <c r="HB96" s="134" t="str">
        <f t="shared" si="102"/>
        <v>#REF!</v>
      </c>
      <c r="HC96" s="134" t="str">
        <f t="shared" si="103"/>
        <v>#REF!</v>
      </c>
      <c r="HD96" s="135" t="str">
        <f>IF(ISNA(VLOOKUP(A96,'Données projet (1)'!$A$269:$I$289,5,0)),0%,VLOOKUP(A96,'Données projet (1)'!$A$269:$I$289,5,0)*VLOOKUP('Données projet (1)'!$B$18,'Paramètres (1)'!$A$1:$I$88,7,0))</f>
        <v>#REF!</v>
      </c>
      <c r="HE96" s="135" t="str">
        <f>IF(ISNA(VLOOKUP(A96,'Données projet (1)'!$A$269:$I$289,6,0)),0%,VLOOKUP(A96,'Données projet (1)'!$A$269:$I$289,6,0)*VLOOKUP('Données projet (1)'!$B$18,'Paramètres (1)'!$A$1:$I$88,7,0))</f>
        <v>#REF!</v>
      </c>
      <c r="HF96" s="135" t="str">
        <f t="shared" si="104"/>
        <v>#REF!</v>
      </c>
      <c r="HG96" s="142" t="str">
        <f>EXP(-LN(2)/35)*HG95+(1-EXP(-LN(2)/35))/(LN(2)/35)*HC96*HD96*VLOOKUP('Données projet (1)'!$B$18,'Paramètres (1)'!$A$1:$I$88,3,0)*0.475*44/12</f>
        <v>#REF!</v>
      </c>
      <c r="HH96" s="142" t="str">
        <f>EXP(-LN(2)/25)*HH95+(1-EXP(-LN(2)/25))/(LN(2)/25)*'Calculateur (1)'!HC96*'Calculateur (1)'!HE96*VLOOKUP('Données projet (1)'!$B$18,'Paramètres (1)'!$A$1:$I$88,3,0)*0.475*44/12</f>
        <v>#REF!</v>
      </c>
      <c r="HI96" s="142" t="str">
        <f>EXP(-LN(2)/2)*HI95+(1-EXP(-LN(2)/2))/(LN(2)/2)*HC96*HF96*VLOOKUP('Données projet (1)'!$B$18,'Paramètres (1)'!$A$1:$I$88,3,0)*0.475*44/12</f>
        <v>#REF!</v>
      </c>
      <c r="HJ96" s="143" t="str">
        <f t="shared" si="105"/>
        <v>#REF!</v>
      </c>
    </row>
    <row r="97" ht="14.25" customHeight="1">
      <c r="A97" s="125">
        <f t="shared" si="106"/>
        <v>94</v>
      </c>
      <c r="B97" s="126" t="str">
        <f t="shared" si="1"/>
        <v>#REF!</v>
      </c>
      <c r="C97" s="140" t="str">
        <f>'Calculateur (1)'!C96+'Scénario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7" s="127">
        <f t="shared" si="107"/>
        <v>0</v>
      </c>
      <c r="E97" s="127" t="str">
        <f t="shared" si="2"/>
        <v>#REF!</v>
      </c>
      <c r="F97" s="127" t="str">
        <f t="shared" si="3"/>
        <v>#REF!</v>
      </c>
      <c r="G97" s="127" t="str">
        <f t="shared" si="4"/>
        <v>#REF!</v>
      </c>
      <c r="H97" s="128" t="str">
        <f t="shared" si="5"/>
        <v>#REF!</v>
      </c>
      <c r="I97" s="129" t="str">
        <f t="shared" si="6"/>
        <v>#REF!</v>
      </c>
      <c r="J97" s="130">
        <f t="shared" si="7"/>
        <v>10</v>
      </c>
      <c r="K97" s="131" t="str">
        <f t="shared" si="108"/>
        <v>#REF!</v>
      </c>
      <c r="L97" s="131" t="str">
        <f t="shared" si="8"/>
        <v>#REF!</v>
      </c>
      <c r="M97" s="131" t="str">
        <f t="array" ref="M97">INDEX(L:L,MIN(IF(ISNUMBER(L97:L293),ROW(L97:L293),"")))</f>
        <v/>
      </c>
      <c r="N97" s="130" t="str">
        <f t="shared" si="109"/>
        <v>#REF!</v>
      </c>
      <c r="O97" s="130" t="str">
        <f>N97*VLOOKUP('Données projet (1)'!$B$9,'Paramètres (1)'!$A$1:$I$88,3,0)*VLOOKUP('Données projet (1)'!$B$9,'Paramètres (1)'!$A$1:$I$88,5,0)</f>
        <v>#REF!</v>
      </c>
      <c r="P97" s="130" t="str">
        <f t="shared" si="110"/>
        <v>#REF!</v>
      </c>
      <c r="Q97" s="141" t="str">
        <f t="shared" si="9"/>
        <v>#REF!</v>
      </c>
      <c r="R97" s="133" t="str">
        <f t="shared" si="10"/>
        <v>#REF!</v>
      </c>
      <c r="S97" s="133" t="str">
        <f t="shared" si="11"/>
        <v>#REF!</v>
      </c>
      <c r="T97" s="133" t="str">
        <f t="shared" si="111"/>
        <v>#REF!</v>
      </c>
      <c r="U97" s="134" t="str">
        <f t="shared" si="12"/>
        <v>#REF!</v>
      </c>
      <c r="V97" s="134" t="str">
        <f t="shared" si="13"/>
        <v>#REF!</v>
      </c>
      <c r="W97" s="135" t="str">
        <f>IF(ISNA(VLOOKUP(A97,'Données projet (1)'!$A$35:$I$55,5,0)),0%,VLOOKUP(A97,'Données projet (1)'!$A$35:$I$55,5,0)*VLOOKUP('Données projet (1)'!$B$9,'Paramètres (1)'!$A$1:$I$88,7,0))</f>
        <v>#REF!</v>
      </c>
      <c r="X97" s="135" t="str">
        <f>IF(ISNA(VLOOKUP(A97,'Données projet (1)'!$A$35:$I$55,6,0)),0%,VLOOKUP(A97,'Données projet (1)'!$A$35:$I$55,6,0)*VLOOKUP('Données projet (1)'!$B$9,'Paramètres (1)'!$A$1:$I$88,7,0))</f>
        <v>#REF!</v>
      </c>
      <c r="Y97" s="135" t="str">
        <f t="shared" si="14"/>
        <v>#REF!</v>
      </c>
      <c r="Z97" s="142" t="str">
        <f>EXP(-LN(2)/35)*Z96+(1-EXP(-LN(2)/35))/(LN(2)/35)*V97*W97*VLOOKUP('Données projet (1)'!$B$9,'Paramètres (1)'!$A$1:$I$88,3,0)*0.475*44/12</f>
        <v>#REF!</v>
      </c>
      <c r="AA97" s="142" t="str">
        <f>EXP(-LN(2)/25)*AA96+(1-EXP(-LN(2)/25))/(LN(2)/25)*'Calculateur (1)'!V97*'Calculateur (1)'!X97*VLOOKUP('Données projet (1)'!$B$9,'Paramètres (1)'!$A$1:$I$88,3,0)*0.475*44/12</f>
        <v>#REF!</v>
      </c>
      <c r="AB97" s="142" t="str">
        <f>EXP(-LN(2)/2)*AB96+(1-EXP(-LN(2)/2))/(LN(2)/2)*V97*Y97*VLOOKUP('Données projet (1)'!$B$9,'Paramètres (1)'!$A$1:$I$88,3,0)*0.475*44/12</f>
        <v>#REF!</v>
      </c>
      <c r="AC97" s="143" t="str">
        <f t="shared" si="15"/>
        <v>#REF!</v>
      </c>
      <c r="AD97" s="130" t="str">
        <f t="shared" si="16"/>
        <v>#REF!</v>
      </c>
      <c r="AE97" s="130">
        <f t="shared" si="17"/>
        <v>10</v>
      </c>
      <c r="AF97" s="131" t="str">
        <f t="shared" si="112"/>
        <v>#REF!</v>
      </c>
      <c r="AG97" s="131" t="str">
        <f t="shared" si="18"/>
        <v>#REF!</v>
      </c>
      <c r="AH97" s="131" t="str">
        <f t="array" ref="AH97">INDEX(AG:AG,MIN(IF(ISNUMBER(AG97:AG293),ROW(AG97:AG293),"")))</f>
        <v/>
      </c>
      <c r="AI97" s="130" t="str">
        <f t="shared" si="113"/>
        <v>#REF!</v>
      </c>
      <c r="AJ97" s="130" t="str">
        <f>AI97*VLOOKUP('Données projet (1)'!$B$10,'Paramètres (1)'!$A$1:$I$88,3,0)*VLOOKUP('Données projet (1)'!$B$10,'Paramètres (1)'!$A$1:$I$88,5,0)</f>
        <v>#REF!</v>
      </c>
      <c r="AK97" s="130" t="str">
        <f t="shared" si="114"/>
        <v>#REF!</v>
      </c>
      <c r="AL97" s="141" t="str">
        <f t="shared" si="19"/>
        <v>#REF!</v>
      </c>
      <c r="AM97" s="133" t="str">
        <f t="shared" si="20"/>
        <v>#REF!</v>
      </c>
      <c r="AN97" s="133" t="str">
        <f t="shared" si="21"/>
        <v>#REF!</v>
      </c>
      <c r="AO97" s="133" t="str">
        <f t="shared" si="115"/>
        <v>#REF!</v>
      </c>
      <c r="AP97" s="134" t="str">
        <f t="shared" si="22"/>
        <v>#REF!</v>
      </c>
      <c r="AQ97" s="134" t="str">
        <f t="shared" si="23"/>
        <v>#REF!</v>
      </c>
      <c r="AR97" s="135" t="str">
        <f>IF(ISNA(VLOOKUP(A97,'Données projet (1)'!$A$61:$I$81,5,0)),0%,VLOOKUP(A97,'Données projet (1)'!$A$61:$I$81,5,0)*VLOOKUP('Données projet (1)'!$B$10,'Paramètres (1)'!$A$1:$I$88,7,0))</f>
        <v>#REF!</v>
      </c>
      <c r="AS97" s="135" t="str">
        <f>IF(ISNA(VLOOKUP(A97,'Données projet (1)'!$A$61:$I$81,6,0)),0%,VLOOKUP(A97,'Données projet (1)'!$A$61:$I$81,6,0)*VLOOKUP('Données projet (1)'!$B$10,'Paramètres (1)'!$A$1:$I$88,7,0))</f>
        <v>#REF!</v>
      </c>
      <c r="AT97" s="135" t="str">
        <f t="shared" si="24"/>
        <v>#REF!</v>
      </c>
      <c r="AU97" s="142" t="str">
        <f>EXP(-LN(2)/35)*AU96+(1-EXP(-LN(2)/35))/(LN(2)/35)*AQ97*AR97*VLOOKUP('Données projet (1)'!$B$10,'Paramètres (1)'!$A$1:$I$88,3,0)*0.475*44/12</f>
        <v>#REF!</v>
      </c>
      <c r="AV97" s="142" t="str">
        <f>EXP(-LN(2)/25)*AV96+(1-EXP(-LN(2)/25))/(LN(2)/25)*'Calculateur (1)'!AQ97*'Calculateur (1)'!AS97*VLOOKUP('Données projet (1)'!$B$10,'Paramètres (1)'!$A$1:$I$88,3,0)*0.475*44/12</f>
        <v>#REF!</v>
      </c>
      <c r="AW97" s="142" t="str">
        <f>EXP(-LN(2)/2)*AW96+(1-EXP(-LN(2)/2))/(LN(2)/2)*AQ97*AT97*VLOOKUP('Données projet (1)'!$B$10,'Paramètres (1)'!$A$1:$I$88,3,0)*0.475*44/12</f>
        <v>#REF!</v>
      </c>
      <c r="AX97" s="142" t="str">
        <f t="shared" si="25"/>
        <v>#REF!</v>
      </c>
      <c r="AY97" s="137" t="str">
        <f t="shared" si="26"/>
        <v>#REF!</v>
      </c>
      <c r="AZ97" s="131">
        <f t="shared" si="27"/>
        <v>10</v>
      </c>
      <c r="BA97" s="131" t="str">
        <f t="shared" si="116"/>
        <v>#REF!</v>
      </c>
      <c r="BB97" s="131" t="str">
        <f t="shared" si="28"/>
        <v>#REF!</v>
      </c>
      <c r="BC97" s="131" t="str">
        <f t="array" ref="BC97">INDEX(BB:BB,MIN(IF(ISNUMBER(BB97:BB293),ROW(BB97:BB293),"")))</f>
        <v/>
      </c>
      <c r="BD97" s="131" t="str">
        <f t="shared" si="117"/>
        <v>#REF!</v>
      </c>
      <c r="BE97" s="130" t="str">
        <f>BD97*VLOOKUP('Données projet (1)'!$B$11,'Paramètres (1)'!$A$1:$I$88,3,0)*VLOOKUP('Données projet (1)'!$B$11,'Paramètres (1)'!$A$1:$I$88,5,0)</f>
        <v>#REF!</v>
      </c>
      <c r="BF97" s="130" t="str">
        <f t="shared" si="118"/>
        <v>#REF!</v>
      </c>
      <c r="BG97" s="141" t="str">
        <f t="shared" si="29"/>
        <v>#REF!</v>
      </c>
      <c r="BH97" s="133" t="str">
        <f t="shared" si="30"/>
        <v>#REF!</v>
      </c>
      <c r="BI97" s="133" t="str">
        <f t="shared" si="31"/>
        <v>#REF!</v>
      </c>
      <c r="BJ97" s="133" t="str">
        <f t="shared" si="119"/>
        <v>#REF!</v>
      </c>
      <c r="BK97" s="134" t="str">
        <f t="shared" si="32"/>
        <v>#REF!</v>
      </c>
      <c r="BL97" s="134" t="str">
        <f t="shared" si="33"/>
        <v>#REF!</v>
      </c>
      <c r="BM97" s="135" t="str">
        <f>IF(ISNA(VLOOKUP(A97,'Données projet (1)'!$A$87:$I$107,5,0)),0%,VLOOKUP(A97,'Données projet (1)'!$A$87:$I$107,5,0)*VLOOKUP('Données projet (1)'!$B$11,'Paramètres (1)'!$A$1:$I$88,7,0))</f>
        <v>#REF!</v>
      </c>
      <c r="BN97" s="135" t="str">
        <f>IF(ISNA(VLOOKUP(A97,'Données projet (1)'!$A$87:$I$107,6,0)),0%,VLOOKUP(A97,'Données projet (1)'!$A$87:$I$107,6,0)*VLOOKUP('Données projet (1)'!$B$11,'Paramètres (1)'!$A$1:$I$88,7,0))</f>
        <v>#REF!</v>
      </c>
      <c r="BO97" s="135" t="str">
        <f t="shared" si="34"/>
        <v>#REF!</v>
      </c>
      <c r="BP97" s="142" t="str">
        <f>EXP(-LN(2)/35)*BP96+(1-EXP(-LN(2)/35))/(LN(2)/35)*BL97*BM97*VLOOKUP('Données projet (1)'!$B$11,'Paramètres (1)'!$A$1:$I$88,3,0)*0.475*44/12</f>
        <v>#REF!</v>
      </c>
      <c r="BQ97" s="142" t="str">
        <f>EXP(-LN(2)/25)*BQ96+(1-EXP(-LN(2)/25))/(LN(2)/25)*'Calculateur (1)'!BL97*'Calculateur (1)'!BN97*VLOOKUP('Données projet (1)'!$B$11,'Paramètres (1)'!$A$1:$I$88,3,0)*0.475*44/12</f>
        <v>#REF!</v>
      </c>
      <c r="BR97" s="142" t="str">
        <f>EXP(-LN(2)/2)*BR96+(1-EXP(-LN(2)/2))/(LN(2)/2)*BL97*BO97*VLOOKUP('Données projet (1)'!$B$11,'Paramètres (1)'!$A$1:$I$88,3,0)*0.475*44/12</f>
        <v>#REF!</v>
      </c>
      <c r="BS97" s="143" t="str">
        <f t="shared" si="35"/>
        <v>#REF!</v>
      </c>
      <c r="BT97" s="139" t="str">
        <f t="shared" si="36"/>
        <v>#REF!</v>
      </c>
      <c r="BU97" s="131">
        <f t="shared" si="37"/>
        <v>10</v>
      </c>
      <c r="BV97" s="131" t="str">
        <f t="shared" si="120"/>
        <v>#REF!</v>
      </c>
      <c r="BW97" s="131" t="str">
        <f t="shared" si="38"/>
        <v>#REF!</v>
      </c>
      <c r="BX97" s="131" t="str">
        <f t="array" ref="BX97">INDEX(BW:BW,MIN(IF(ISNUMBER(BW97:BW293),ROW(BW97:BW293),"")))</f>
        <v/>
      </c>
      <c r="BY97" s="131" t="str">
        <f t="shared" si="121"/>
        <v>#REF!</v>
      </c>
      <c r="BZ97" s="130" t="str">
        <f>BY97*VLOOKUP('Données projet (1)'!$B$12,'Paramètres (1)'!$A$1:$I$88,3,0)*VLOOKUP('Données projet (1)'!$B$12,'Paramètres (1)'!$A$1:$I$88,5,0)</f>
        <v>#REF!</v>
      </c>
      <c r="CA97" s="130" t="str">
        <f t="shared" si="122"/>
        <v>#REF!</v>
      </c>
      <c r="CB97" s="141" t="str">
        <f t="shared" si="39"/>
        <v>#REF!</v>
      </c>
      <c r="CC97" s="133" t="str">
        <f t="shared" si="40"/>
        <v>#REF!</v>
      </c>
      <c r="CD97" s="133" t="str">
        <f t="shared" si="41"/>
        <v>#REF!</v>
      </c>
      <c r="CE97" s="133" t="str">
        <f t="shared" si="123"/>
        <v>#REF!</v>
      </c>
      <c r="CF97" s="134" t="str">
        <f t="shared" si="42"/>
        <v>#REF!</v>
      </c>
      <c r="CG97" s="134" t="str">
        <f t="shared" si="43"/>
        <v>#REF!</v>
      </c>
      <c r="CH97" s="135" t="str">
        <f>IF(ISNA(VLOOKUP(A97,'Données projet (1)'!$A$113:$I$133,5,0)),0%,VLOOKUP(A97,'Données projet (1)'!$A$113:$I$133,5,0)*VLOOKUP('Données projet (1)'!$B$12,'Paramètres (1)'!$A$1:$I$88,7,0))</f>
        <v>#REF!</v>
      </c>
      <c r="CI97" s="135" t="str">
        <f>IF(ISNA(VLOOKUP(A97,'Données projet (1)'!$A$113:$I$133,6,0)),0%,VLOOKUP(A97,'Données projet (1)'!$A$113:$I$133,6,0)*VLOOKUP('Données projet (1)'!$B$12,'Paramètres (1)'!$A$1:$I$88,7,0))</f>
        <v>#REF!</v>
      </c>
      <c r="CJ97" s="135" t="str">
        <f t="shared" si="44"/>
        <v>#REF!</v>
      </c>
      <c r="CK97" s="142" t="str">
        <f>EXP(-LN(2)/35)*CK96+(1-EXP(-LN(2)/35))/(LN(2)/35)*CG97*CH97*VLOOKUP('Données projet (1)'!$B$12,'Paramètres (1)'!$A$1:$I$88,3,0)*0.475*44/12</f>
        <v>#REF!</v>
      </c>
      <c r="CL97" s="142" t="str">
        <f>EXP(-LN(2)/25)*CL96+(1-EXP(-LN(2)/25))/(LN(2)/25)*'Calculateur (1)'!CG97*'Calculateur (1)'!CI97*VLOOKUP('Données projet (1)'!$B$12,'Paramètres (1)'!$A$1:$I$88,3,0)*0.475*44/12</f>
        <v>#REF!</v>
      </c>
      <c r="CM97" s="142" t="str">
        <f>EXP(-LN(2)/2)*CM96+(1-EXP(-LN(2)/2))/(LN(2)/2)*CG97*CJ97*VLOOKUP('Données projet (1)'!$B$12,'Paramètres (1)'!$A$1:$I$88,3,0)*0.475*44/12</f>
        <v>#REF!</v>
      </c>
      <c r="CN97" s="143" t="str">
        <f t="shared" si="45"/>
        <v>#REF!</v>
      </c>
      <c r="CO97" s="139" t="str">
        <f t="shared" si="46"/>
        <v>#REF!</v>
      </c>
      <c r="CP97" s="131">
        <f t="shared" si="47"/>
        <v>10</v>
      </c>
      <c r="CQ97" s="131" t="str">
        <f t="shared" si="124"/>
        <v>#REF!</v>
      </c>
      <c r="CR97" s="131" t="str">
        <f t="shared" si="48"/>
        <v>#REF!</v>
      </c>
      <c r="CS97" s="131" t="str">
        <f t="array" ref="CS97">INDEX(CR:CR,MIN(IF(ISNUMBER(CR97:CR293),ROW(CR97:CR293),"")))</f>
        <v/>
      </c>
      <c r="CT97" s="131" t="str">
        <f t="shared" si="125"/>
        <v>#REF!</v>
      </c>
      <c r="CU97" s="138" t="str">
        <f>CT97*VLOOKUP('Données projet (1)'!$B$13,'Paramètres (1)'!$A$1:$I$88,3,0)*VLOOKUP('Données projet (1)'!$B$13,'Paramètres (1)'!$A$1:$I$88,5,0)</f>
        <v>#REF!</v>
      </c>
      <c r="CV97" s="130" t="str">
        <f t="shared" si="126"/>
        <v>#REF!</v>
      </c>
      <c r="CW97" s="141" t="str">
        <f t="shared" si="49"/>
        <v>#REF!</v>
      </c>
      <c r="CX97" s="133" t="str">
        <f t="shared" si="50"/>
        <v>#REF!</v>
      </c>
      <c r="CY97" s="133" t="str">
        <f t="shared" si="51"/>
        <v>#REF!</v>
      </c>
      <c r="CZ97" s="133" t="str">
        <f t="shared" si="127"/>
        <v>#REF!</v>
      </c>
      <c r="DA97" s="134" t="str">
        <f t="shared" si="52"/>
        <v>#REF!</v>
      </c>
      <c r="DB97" s="134" t="str">
        <f t="shared" si="53"/>
        <v>#REF!</v>
      </c>
      <c r="DC97" s="135" t="str">
        <f>IF(ISNA(VLOOKUP(A97,'Données projet (1)'!$A$139:$I$159,5,0)),0%,VLOOKUP(A97,'Données projet (1)'!$A$139:$I$159,5,0)*VLOOKUP('Données projet (1)'!$B$13,'Paramètres (1)'!$A$1:$I$88,7,0))</f>
        <v>#REF!</v>
      </c>
      <c r="DD97" s="135" t="str">
        <f>IF(ISNA(VLOOKUP(A97,'Données projet (1)'!$A$139:$I$159,6,0)),0%,VLOOKUP(A97,'Données projet (1)'!$A$139:$I$159,6,0)*VLOOKUP('Données projet (1)'!$B$13,'Paramètres (1)'!$A$1:$I$88,7,0))</f>
        <v>#REF!</v>
      </c>
      <c r="DE97" s="135" t="str">
        <f t="shared" si="54"/>
        <v>#REF!</v>
      </c>
      <c r="DF97" s="142" t="str">
        <f>EXP(-LN(2)/35)*DF96+(1-EXP(-LN(2)/35))/(LN(2)/35)*DB97*DC97*VLOOKUP('Données projet (1)'!$B$13,'Paramètres (1)'!$A$1:$I$88,3,0)*0.475*44/12</f>
        <v>#REF!</v>
      </c>
      <c r="DG97" s="142" t="str">
        <f>EXP(-LN(2)/25)*DG96+(1-EXP(-LN(2)/25))/(LN(2)/25)*'Calculateur (1)'!DB97*'Calculateur (1)'!DD97*VLOOKUP('Données projet (1)'!$B$13,'Paramètres (1)'!$A$1:$I$88,3,0)*0.475*44/12</f>
        <v>#REF!</v>
      </c>
      <c r="DH97" s="142" t="str">
        <f>EXP(-LN(2)/2)*DH96+(1-EXP(-LN(2)/2))/(LN(2)/2)*DB97*DE97*VLOOKUP('Données projet (1)'!$B$13,'Paramètres (1)'!$A$1:$I$88,3,0)*0.475*44/12</f>
        <v>#REF!</v>
      </c>
      <c r="DI97" s="143" t="str">
        <f t="shared" si="55"/>
        <v>#REF!</v>
      </c>
      <c r="DJ97" s="139" t="str">
        <f t="shared" si="56"/>
        <v>#REF!</v>
      </c>
      <c r="DK97" s="131">
        <f t="shared" si="57"/>
        <v>10</v>
      </c>
      <c r="DL97" s="131" t="str">
        <f t="shared" si="128"/>
        <v>#REF!</v>
      </c>
      <c r="DM97" s="131" t="str">
        <f t="shared" si="58"/>
        <v>#REF!</v>
      </c>
      <c r="DN97" s="131" t="str">
        <f t="array" ref="DN97">INDEX(DM:DM,MIN(IF(ISNUMBER(DM97:DM293),ROW(DM97:DM293),"")))</f>
        <v/>
      </c>
      <c r="DO97" s="131" t="str">
        <f t="shared" si="129"/>
        <v>#REF!</v>
      </c>
      <c r="DP97" s="138" t="str">
        <f>DO97*VLOOKUP('Données projet (1)'!$B$14,'Paramètres (1)'!$A$1:$I$88,3,0)*VLOOKUP('Données projet (1)'!$B$14,'Paramètres (1)'!$A$1:$I$88,5,0)</f>
        <v>#REF!</v>
      </c>
      <c r="DQ97" s="130" t="str">
        <f t="shared" si="130"/>
        <v>#REF!</v>
      </c>
      <c r="DR97" s="141" t="str">
        <f t="shared" si="59"/>
        <v>#REF!</v>
      </c>
      <c r="DS97" s="133" t="str">
        <f t="shared" si="60"/>
        <v>#REF!</v>
      </c>
      <c r="DT97" s="133" t="str">
        <f t="shared" si="61"/>
        <v>#REF!</v>
      </c>
      <c r="DU97" s="133" t="str">
        <f t="shared" si="131"/>
        <v>#REF!</v>
      </c>
      <c r="DV97" s="134" t="str">
        <f t="shared" si="62"/>
        <v>#REF!</v>
      </c>
      <c r="DW97" s="134" t="str">
        <f t="shared" si="63"/>
        <v>#REF!</v>
      </c>
      <c r="DX97" s="135" t="str">
        <f>IF(ISNA(VLOOKUP(A97,'Données projet (1)'!$A$165:$I$185,5,0)),0%,VLOOKUP(A97,'Données projet (1)'!$A$165:$I$185,5,0)*VLOOKUP('Données projet (1)'!$B$14,'Paramètres (1)'!$A$1:$I$88,7,0))</f>
        <v>#REF!</v>
      </c>
      <c r="DY97" s="135" t="str">
        <f>IF(ISNA(VLOOKUP(A97,'Données projet (1)'!$A$165:$I$185,6,0)),0%,VLOOKUP(A97,'Données projet (1)'!$A$165:$I$185,6,0)*VLOOKUP('Données projet (1)'!$B$14,'Paramètres (1)'!$A$1:$I$88,7,0))</f>
        <v>#REF!</v>
      </c>
      <c r="DZ97" s="135" t="str">
        <f t="shared" si="64"/>
        <v>#REF!</v>
      </c>
      <c r="EA97" s="142" t="str">
        <f>EXP(-LN(2)/35)*EA96+(1-EXP(-LN(2)/35))/(LN(2)/35)*DW97*DX97*VLOOKUP('Données projet (1)'!$B$14,'Paramètres (1)'!$A$1:$I$88,3,0)*0.475*44/12</f>
        <v>#REF!</v>
      </c>
      <c r="EB97" s="142" t="str">
        <f>EXP(-LN(2)/25)*EB96+(1-EXP(-LN(2)/25))/(LN(2)/25)*'Calculateur (1)'!DW97*'Calculateur (1)'!DY97*VLOOKUP('Données projet (1)'!$B$14,'Paramètres (1)'!$A$1:$I$88,3,0)*0.475*44/12</f>
        <v>#REF!</v>
      </c>
      <c r="EC97" s="142" t="str">
        <f>EXP(-LN(2)/2)*EC96+(1-EXP(-LN(2)/2))/(LN(2)/2)*DW97*DZ97*VLOOKUP('Données projet (1)'!$B$14,'Paramètres (1)'!$A$1:$I$88,3,0)*0.475*44/12</f>
        <v>#REF!</v>
      </c>
      <c r="ED97" s="143" t="str">
        <f t="shared" si="65"/>
        <v>#REF!</v>
      </c>
      <c r="EE97" s="139" t="str">
        <f t="shared" si="66"/>
        <v>#REF!</v>
      </c>
      <c r="EF97" s="131">
        <f t="shared" si="67"/>
        <v>10</v>
      </c>
      <c r="EG97" s="131" t="str">
        <f t="shared" si="132"/>
        <v>#REF!</v>
      </c>
      <c r="EH97" s="131" t="str">
        <f t="shared" si="68"/>
        <v>#REF!</v>
      </c>
      <c r="EI97" s="131" t="str">
        <f t="array" ref="EI97">INDEX(EH:EH,MIN(IF(ISNUMBER(EH97:EH293),ROW(EH97:EH293),"")))</f>
        <v/>
      </c>
      <c r="EJ97" s="131" t="str">
        <f t="shared" si="133"/>
        <v>#REF!</v>
      </c>
      <c r="EK97" s="138" t="str">
        <f>EJ97*VLOOKUP('Données projet (1)'!$B$15,'Paramètres (1)'!$A$1:$I$88,3,0)*VLOOKUP('Données projet (1)'!$B$15,'Paramètres (1)'!$A$1:$I$88,5,0)</f>
        <v>#REF!</v>
      </c>
      <c r="EL97" s="130" t="str">
        <f t="shared" si="134"/>
        <v>#REF!</v>
      </c>
      <c r="EM97" s="141" t="str">
        <f t="shared" si="69"/>
        <v>#REF!</v>
      </c>
      <c r="EN97" s="133" t="str">
        <f t="shared" si="70"/>
        <v>#REF!</v>
      </c>
      <c r="EO97" s="133" t="str">
        <f t="shared" si="71"/>
        <v>#REF!</v>
      </c>
      <c r="EP97" s="133" t="str">
        <f t="shared" si="135"/>
        <v>#REF!</v>
      </c>
      <c r="EQ97" s="134" t="str">
        <f t="shared" si="72"/>
        <v>#REF!</v>
      </c>
      <c r="ER97" s="134" t="str">
        <f t="shared" si="73"/>
        <v>#REF!</v>
      </c>
      <c r="ES97" s="135" t="str">
        <f>IF(ISNA(VLOOKUP(A97,'Données projet (1)'!$A$191:$I$211,5,0)),0%,VLOOKUP(A97,'Données projet (1)'!$A$191:$I$211,5,0)*VLOOKUP('Données projet (1)'!$B$15,'Paramètres (1)'!$A$1:$I$88,7,0))</f>
        <v>#REF!</v>
      </c>
      <c r="ET97" s="135" t="str">
        <f>IF(ISNA(VLOOKUP(A97,'Données projet (1)'!$A$191:$I$211,6,0)),0%,VLOOKUP(A97,'Données projet (1)'!$A$191:$I$211,6,0)*VLOOKUP('Données projet (1)'!$B$15,'Paramètres (1)'!$A$1:$I$88,7,0))</f>
        <v>#REF!</v>
      </c>
      <c r="EU97" s="135" t="str">
        <f t="shared" si="74"/>
        <v>#REF!</v>
      </c>
      <c r="EV97" s="142" t="str">
        <f>EXP(-LN(2)/35)*EV96+(1-EXP(-LN(2)/35))/(LN(2)/35)*ER97*ES97*VLOOKUP('Données projet (1)'!$B$15,'Paramètres (1)'!$A$1:$I$88,3,0)*0.475*44/12</f>
        <v>#REF!</v>
      </c>
      <c r="EW97" s="142" t="str">
        <f>EXP(-LN(2)/25)*EW96+(1-EXP(-LN(2)/25))/(LN(2)/25)*'Calculateur (1)'!ER97*'Calculateur (1)'!ET97*VLOOKUP('Données projet (1)'!$B$15,'Paramètres (1)'!$A$1:$I$88,3,0)*0.475*44/12</f>
        <v>#REF!</v>
      </c>
      <c r="EX97" s="142" t="str">
        <f>EXP(-LN(2)/2)*EX96+(1-EXP(-LN(2)/2))/(LN(2)/2)*ER97*EU97*VLOOKUP('Données projet (1)'!$B$15,'Paramètres (1)'!$A$1:$I$88,3,0)*0.475*44/12</f>
        <v>#REF!</v>
      </c>
      <c r="EY97" s="143" t="str">
        <f t="shared" si="75"/>
        <v>#REF!</v>
      </c>
      <c r="EZ97" s="139" t="str">
        <f t="shared" si="76"/>
        <v>#REF!</v>
      </c>
      <c r="FA97" s="131">
        <f t="shared" si="77"/>
        <v>10</v>
      </c>
      <c r="FB97" s="131" t="str">
        <f t="shared" si="136"/>
        <v>#REF!</v>
      </c>
      <c r="FC97" s="131" t="str">
        <f t="shared" si="78"/>
        <v>#REF!</v>
      </c>
      <c r="FD97" s="131" t="str">
        <f t="array" ref="FD97">INDEX(FC:FC,MIN(IF(ISNUMBER(FC97:FC293),ROW(FC97:FC293),"")))</f>
        <v/>
      </c>
      <c r="FE97" s="131" t="str">
        <f t="shared" si="137"/>
        <v>#REF!</v>
      </c>
      <c r="FF97" s="138" t="str">
        <f>FE97*VLOOKUP('Données projet (1)'!$B$16,'Paramètres (1)'!$A$1:$I$88,3,0)*VLOOKUP('Données projet (1)'!$B$16,'Paramètres (1)'!$A$1:$I$88,5,0)</f>
        <v>#REF!</v>
      </c>
      <c r="FG97" s="130" t="str">
        <f t="shared" si="138"/>
        <v>#REF!</v>
      </c>
      <c r="FH97" s="141" t="str">
        <f t="shared" si="79"/>
        <v>#REF!</v>
      </c>
      <c r="FI97" s="133" t="str">
        <f t="shared" si="80"/>
        <v>#REF!</v>
      </c>
      <c r="FJ97" s="133" t="str">
        <f t="shared" si="81"/>
        <v>#REF!</v>
      </c>
      <c r="FK97" s="133" t="str">
        <f t="shared" si="139"/>
        <v>#REF!</v>
      </c>
      <c r="FL97" s="134" t="str">
        <f t="shared" si="82"/>
        <v>#REF!</v>
      </c>
      <c r="FM97" s="134" t="str">
        <f t="shared" si="83"/>
        <v>#REF!</v>
      </c>
      <c r="FN97" s="135" t="str">
        <f>IF(ISNA(VLOOKUP(A97,'Données projet (1)'!$A$217:$I$237,5,0)),0%,VLOOKUP(A97,'Données projet (1)'!$A$217:$I$237,5,0)*VLOOKUP('Données projet (1)'!$B$16,'Paramètres (1)'!$A$1:$I$88,7,0))</f>
        <v>#REF!</v>
      </c>
      <c r="FO97" s="135" t="str">
        <f>IF(ISNA(VLOOKUP(A97,'Données projet (1)'!$A$217:$I$237,6,0)),0%,VLOOKUP(A97,'Données projet (1)'!$A$217:$I$237,6,0)*VLOOKUP('Données projet (1)'!$B$16,'Paramètres (1)'!$A$1:$I$88,7,0))</f>
        <v>#REF!</v>
      </c>
      <c r="FP97" s="135" t="str">
        <f t="shared" si="84"/>
        <v>#REF!</v>
      </c>
      <c r="FQ97" s="142" t="str">
        <f>EXP(-LN(2)/35)*FQ96+(1-EXP(-LN(2)/35))/(LN(2)/35)*FM97*FN97*VLOOKUP('Données projet (1)'!$B$16,'Paramètres (1)'!$A$1:$I$88,3,0)*0.475*44/12</f>
        <v>#REF!</v>
      </c>
      <c r="FR97" s="142" t="str">
        <f>EXP(-LN(2)/25)*FR96+(1-EXP(-LN(2)/25))/(LN(2)/25)*'Calculateur (1)'!FM97*'Calculateur (1)'!FO97*VLOOKUP('Données projet (1)'!$B$16,'Paramètres (1)'!$A$1:$I$88,3,0)*0.475*44/12</f>
        <v>#REF!</v>
      </c>
      <c r="FS97" s="142" t="str">
        <f>EXP(-LN(2)/2)*FS96+(1-EXP(-LN(2)/2))/(LN(2)/2)*FM97*FP97*VLOOKUP('Données projet (1)'!$B$16,'Paramètres (1)'!$A$1:$I$88,3,0)*0.475*44/12</f>
        <v>#REF!</v>
      </c>
      <c r="FT97" s="143" t="str">
        <f t="shared" si="85"/>
        <v>#REF!</v>
      </c>
      <c r="FU97" s="139" t="str">
        <f t="shared" si="86"/>
        <v>#REF!</v>
      </c>
      <c r="FV97" s="131">
        <f t="shared" si="87"/>
        <v>10</v>
      </c>
      <c r="FW97" s="131" t="str">
        <f t="shared" si="140"/>
        <v>#REF!</v>
      </c>
      <c r="FX97" s="131" t="str">
        <f t="shared" si="88"/>
        <v>#REF!</v>
      </c>
      <c r="FY97" s="131" t="str">
        <f t="array" ref="FY97">INDEX(FX:FX,MIN(IF(ISNUMBER(FX97:FX293),ROW(FX97:FX293),"")))</f>
        <v/>
      </c>
      <c r="FZ97" s="131" t="str">
        <f t="shared" si="141"/>
        <v>#REF!</v>
      </c>
      <c r="GA97" s="138" t="str">
        <f>FZ97*VLOOKUP('Données projet (1)'!$B$17,'Paramètres (1)'!$A$1:$I$88,3,0)*VLOOKUP('Données projet (1)'!$B$17,'Paramètres (1)'!$A$1:$I$88,5,0)</f>
        <v>#REF!</v>
      </c>
      <c r="GB97" s="130" t="str">
        <f t="shared" si="142"/>
        <v>#REF!</v>
      </c>
      <c r="GC97" s="141" t="str">
        <f t="shared" si="89"/>
        <v>#REF!</v>
      </c>
      <c r="GD97" s="133" t="str">
        <f t="shared" si="90"/>
        <v>#REF!</v>
      </c>
      <c r="GE97" s="133" t="str">
        <f t="shared" si="91"/>
        <v>#REF!</v>
      </c>
      <c r="GF97" s="133" t="str">
        <f t="shared" si="143"/>
        <v>#REF!</v>
      </c>
      <c r="GG97" s="134" t="str">
        <f t="shared" si="92"/>
        <v>#REF!</v>
      </c>
      <c r="GH97" s="134" t="str">
        <f t="shared" si="93"/>
        <v>#REF!</v>
      </c>
      <c r="GI97" s="135" t="str">
        <f>IF(ISNA(VLOOKUP(A97,'Données projet (1)'!$A$243:$I$263,5,0)),0%,VLOOKUP(A97,'Données projet (1)'!$A$243:$I$263,5,0)*VLOOKUP('Données projet (1)'!$B$17,'Paramètres (1)'!$A$1:$I$88,7,0))</f>
        <v>#REF!</v>
      </c>
      <c r="GJ97" s="135" t="str">
        <f>IF(ISNA(VLOOKUP(A97,'Données projet (1)'!$A$243:$I$263,6,0)),0%,VLOOKUP(A97,'Données projet (1)'!$A$243:$I$263,6,0)*VLOOKUP('Données projet (1)'!$B$17,'Paramètres (1)'!$A$1:$I$88,7,0))</f>
        <v>#REF!</v>
      </c>
      <c r="GK97" s="135" t="str">
        <f t="shared" si="94"/>
        <v>#REF!</v>
      </c>
      <c r="GL97" s="142" t="str">
        <f>EXP(-LN(2)/35)*GL96+(1-EXP(-LN(2)/35))/(LN(2)/35)*GH97*GI97*VLOOKUP('Données projet (1)'!$B$17,'Paramètres (1)'!$A$1:$I$88,3,0)*0.475*44/12</f>
        <v>#REF!</v>
      </c>
      <c r="GM97" s="142" t="str">
        <f>EXP(-LN(2)/25)*GM96+(1-EXP(-LN(2)/25))/(LN(2)/25)*'Calculateur (1)'!GH97*'Calculateur (1)'!GJ97*VLOOKUP('Données projet (1)'!$B$17,'Paramètres (1)'!$A$1:$I$88,3,0)*0.475*44/12</f>
        <v>#REF!</v>
      </c>
      <c r="GN97" s="142" t="str">
        <f>EXP(-LN(2)/2)*GN96+(1-EXP(-LN(2)/2))/(LN(2)/2)*GH97*GK97*VLOOKUP('Données projet (1)'!$B$17,'Paramètres (1)'!$A$1:$I$88,3,0)*0.475*44/12</f>
        <v>#REF!</v>
      </c>
      <c r="GO97" s="142" t="str">
        <f t="shared" si="95"/>
        <v>#REF!</v>
      </c>
      <c r="GP97" s="139" t="str">
        <f t="shared" si="96"/>
        <v>#REF!</v>
      </c>
      <c r="GQ97" s="131">
        <f t="shared" si="97"/>
        <v>10</v>
      </c>
      <c r="GR97" s="131" t="str">
        <f t="shared" si="144"/>
        <v>#REF!</v>
      </c>
      <c r="GS97" s="131" t="str">
        <f t="shared" si="98"/>
        <v>#REF!</v>
      </c>
      <c r="GT97" s="131" t="str">
        <f t="array" ref="GT97">INDEX(GS:GS,MIN(IF(ISNUMBER(GS97:GS293),ROW(GS97:GS293),"")))</f>
        <v/>
      </c>
      <c r="GU97" s="131" t="str">
        <f t="shared" si="145"/>
        <v>#REF!</v>
      </c>
      <c r="GV97" s="138" t="str">
        <f>GU97*VLOOKUP('Données projet (1)'!$B$18,'Paramètres (1)'!$A$1:$I$88,3,0)*VLOOKUP('Données projet (1)'!$B$18,'Paramètres (1)'!$A$1:$I$88,5,0)</f>
        <v>#REF!</v>
      </c>
      <c r="GW97" s="130" t="str">
        <f t="shared" si="146"/>
        <v>#REF!</v>
      </c>
      <c r="GX97" s="141" t="str">
        <f t="shared" si="99"/>
        <v>#REF!</v>
      </c>
      <c r="GY97" s="133" t="str">
        <f t="shared" si="100"/>
        <v>#REF!</v>
      </c>
      <c r="GZ97" s="133" t="str">
        <f t="shared" si="101"/>
        <v>#REF!</v>
      </c>
      <c r="HA97" s="133" t="str">
        <f t="shared" si="147"/>
        <v>#REF!</v>
      </c>
      <c r="HB97" s="134" t="str">
        <f t="shared" si="102"/>
        <v>#REF!</v>
      </c>
      <c r="HC97" s="134" t="str">
        <f t="shared" si="103"/>
        <v>#REF!</v>
      </c>
      <c r="HD97" s="135" t="str">
        <f>IF(ISNA(VLOOKUP(A97,'Données projet (1)'!$A$269:$I$289,5,0)),0%,VLOOKUP(A97,'Données projet (1)'!$A$269:$I$289,5,0)*VLOOKUP('Données projet (1)'!$B$18,'Paramètres (1)'!$A$1:$I$88,7,0))</f>
        <v>#REF!</v>
      </c>
      <c r="HE97" s="135" t="str">
        <f>IF(ISNA(VLOOKUP(A97,'Données projet (1)'!$A$269:$I$289,6,0)),0%,VLOOKUP(A97,'Données projet (1)'!$A$269:$I$289,6,0)*VLOOKUP('Données projet (1)'!$B$18,'Paramètres (1)'!$A$1:$I$88,7,0))</f>
        <v>#REF!</v>
      </c>
      <c r="HF97" s="135" t="str">
        <f t="shared" si="104"/>
        <v>#REF!</v>
      </c>
      <c r="HG97" s="142" t="str">
        <f>EXP(-LN(2)/35)*HG96+(1-EXP(-LN(2)/35))/(LN(2)/35)*HC97*HD97*VLOOKUP('Données projet (1)'!$B$18,'Paramètres (1)'!$A$1:$I$88,3,0)*0.475*44/12</f>
        <v>#REF!</v>
      </c>
      <c r="HH97" s="142" t="str">
        <f>EXP(-LN(2)/25)*HH96+(1-EXP(-LN(2)/25))/(LN(2)/25)*'Calculateur (1)'!HC97*'Calculateur (1)'!HE97*VLOOKUP('Données projet (1)'!$B$18,'Paramètres (1)'!$A$1:$I$88,3,0)*0.475*44/12</f>
        <v>#REF!</v>
      </c>
      <c r="HI97" s="142" t="str">
        <f>EXP(-LN(2)/2)*HI96+(1-EXP(-LN(2)/2))/(LN(2)/2)*HC97*HF97*VLOOKUP('Données projet (1)'!$B$18,'Paramètres (1)'!$A$1:$I$88,3,0)*0.475*44/12</f>
        <v>#REF!</v>
      </c>
      <c r="HJ97" s="143" t="str">
        <f t="shared" si="105"/>
        <v>#REF!</v>
      </c>
    </row>
    <row r="98" ht="14.25" customHeight="1">
      <c r="A98" s="125">
        <f t="shared" si="106"/>
        <v>95</v>
      </c>
      <c r="B98" s="126" t="str">
        <f t="shared" si="1"/>
        <v>#REF!</v>
      </c>
      <c r="C98" s="140" t="str">
        <f>'Calculateur (1)'!C97+'Scénario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8" s="127">
        <f t="shared" si="107"/>
        <v>0</v>
      </c>
      <c r="E98" s="127" t="str">
        <f t="shared" si="2"/>
        <v>#REF!</v>
      </c>
      <c r="F98" s="127" t="str">
        <f t="shared" si="3"/>
        <v>#REF!</v>
      </c>
      <c r="G98" s="127" t="str">
        <f t="shared" si="4"/>
        <v>#REF!</v>
      </c>
      <c r="H98" s="128" t="str">
        <f t="shared" si="5"/>
        <v>#REF!</v>
      </c>
      <c r="I98" s="129" t="str">
        <f t="shared" si="6"/>
        <v>#REF!</v>
      </c>
      <c r="J98" s="130">
        <f t="shared" si="7"/>
        <v>10</v>
      </c>
      <c r="K98" s="131" t="str">
        <f t="shared" si="108"/>
        <v>#REF!</v>
      </c>
      <c r="L98" s="131" t="str">
        <f t="shared" si="8"/>
        <v>#REF!</v>
      </c>
      <c r="M98" s="131" t="str">
        <f t="array" ref="M98">INDEX(L:L,MIN(IF(ISNUMBER(L98:L294),ROW(L98:L294),"")))</f>
        <v/>
      </c>
      <c r="N98" s="130" t="str">
        <f t="shared" si="109"/>
        <v>#REF!</v>
      </c>
      <c r="O98" s="130" t="str">
        <f>N98*VLOOKUP('Données projet (1)'!$B$9,'Paramètres (1)'!$A$1:$I$88,3,0)*VLOOKUP('Données projet (1)'!$B$9,'Paramètres (1)'!$A$1:$I$88,5,0)</f>
        <v>#REF!</v>
      </c>
      <c r="P98" s="130" t="str">
        <f t="shared" si="110"/>
        <v>#REF!</v>
      </c>
      <c r="Q98" s="141" t="str">
        <f t="shared" si="9"/>
        <v>#REF!</v>
      </c>
      <c r="R98" s="133" t="str">
        <f t="shared" si="10"/>
        <v>#REF!</v>
      </c>
      <c r="S98" s="133" t="str">
        <f t="shared" si="11"/>
        <v>#REF!</v>
      </c>
      <c r="T98" s="133" t="str">
        <f t="shared" si="111"/>
        <v>#REF!</v>
      </c>
      <c r="U98" s="134" t="str">
        <f t="shared" si="12"/>
        <v>#REF!</v>
      </c>
      <c r="V98" s="134" t="str">
        <f t="shared" si="13"/>
        <v>#REF!</v>
      </c>
      <c r="W98" s="135" t="str">
        <f>IF(ISNA(VLOOKUP(A98,'Données projet (1)'!$A$35:$I$55,5,0)),0%,VLOOKUP(A98,'Données projet (1)'!$A$35:$I$55,5,0)*VLOOKUP('Données projet (1)'!$B$9,'Paramètres (1)'!$A$1:$I$88,7,0))</f>
        <v>#REF!</v>
      </c>
      <c r="X98" s="135" t="str">
        <f>IF(ISNA(VLOOKUP(A98,'Données projet (1)'!$A$35:$I$55,6,0)),0%,VLOOKUP(A98,'Données projet (1)'!$A$35:$I$55,6,0)*VLOOKUP('Données projet (1)'!$B$9,'Paramètres (1)'!$A$1:$I$88,7,0))</f>
        <v>#REF!</v>
      </c>
      <c r="Y98" s="135" t="str">
        <f t="shared" si="14"/>
        <v>#REF!</v>
      </c>
      <c r="Z98" s="142" t="str">
        <f>EXP(-LN(2)/35)*Z97+(1-EXP(-LN(2)/35))/(LN(2)/35)*V98*W98*VLOOKUP('Données projet (1)'!$B$9,'Paramètres (1)'!$A$1:$I$88,3,0)*0.475*44/12</f>
        <v>#REF!</v>
      </c>
      <c r="AA98" s="142" t="str">
        <f>EXP(-LN(2)/25)*AA97+(1-EXP(-LN(2)/25))/(LN(2)/25)*'Calculateur (1)'!V98*'Calculateur (1)'!X98*VLOOKUP('Données projet (1)'!$B$9,'Paramètres (1)'!$A$1:$I$88,3,0)*0.475*44/12</f>
        <v>#REF!</v>
      </c>
      <c r="AB98" s="142" t="str">
        <f>EXP(-LN(2)/2)*AB97+(1-EXP(-LN(2)/2))/(LN(2)/2)*V98*Y98*VLOOKUP('Données projet (1)'!$B$9,'Paramètres (1)'!$A$1:$I$88,3,0)*0.475*44/12</f>
        <v>#REF!</v>
      </c>
      <c r="AC98" s="143" t="str">
        <f t="shared" si="15"/>
        <v>#REF!</v>
      </c>
      <c r="AD98" s="130" t="str">
        <f t="shared" si="16"/>
        <v>#REF!</v>
      </c>
      <c r="AE98" s="130">
        <f t="shared" si="17"/>
        <v>10</v>
      </c>
      <c r="AF98" s="131" t="str">
        <f t="shared" si="112"/>
        <v>#REF!</v>
      </c>
      <c r="AG98" s="131" t="str">
        <f t="shared" si="18"/>
        <v>#REF!</v>
      </c>
      <c r="AH98" s="131" t="str">
        <f t="array" ref="AH98">INDEX(AG:AG,MIN(IF(ISNUMBER(AG98:AG294),ROW(AG98:AG294),"")))</f>
        <v/>
      </c>
      <c r="AI98" s="130" t="str">
        <f t="shared" si="113"/>
        <v>#REF!</v>
      </c>
      <c r="AJ98" s="130" t="str">
        <f>AI98*VLOOKUP('Données projet (1)'!$B$10,'Paramètres (1)'!$A$1:$I$88,3,0)*VLOOKUP('Données projet (1)'!$B$10,'Paramètres (1)'!$A$1:$I$88,5,0)</f>
        <v>#REF!</v>
      </c>
      <c r="AK98" s="130" t="str">
        <f t="shared" si="114"/>
        <v>#REF!</v>
      </c>
      <c r="AL98" s="141" t="str">
        <f t="shared" si="19"/>
        <v>#REF!</v>
      </c>
      <c r="AM98" s="133" t="str">
        <f t="shared" si="20"/>
        <v>#REF!</v>
      </c>
      <c r="AN98" s="133" t="str">
        <f t="shared" si="21"/>
        <v>#REF!</v>
      </c>
      <c r="AO98" s="133" t="str">
        <f t="shared" si="115"/>
        <v>#REF!</v>
      </c>
      <c r="AP98" s="134" t="str">
        <f t="shared" si="22"/>
        <v>#REF!</v>
      </c>
      <c r="AQ98" s="134" t="str">
        <f t="shared" si="23"/>
        <v>#REF!</v>
      </c>
      <c r="AR98" s="135" t="str">
        <f>IF(ISNA(VLOOKUP(A98,'Données projet (1)'!$A$61:$I$81,5,0)),0%,VLOOKUP(A98,'Données projet (1)'!$A$61:$I$81,5,0)*VLOOKUP('Données projet (1)'!$B$10,'Paramètres (1)'!$A$1:$I$88,7,0))</f>
        <v>#REF!</v>
      </c>
      <c r="AS98" s="135" t="str">
        <f>IF(ISNA(VLOOKUP(A98,'Données projet (1)'!$A$61:$I$81,6,0)),0%,VLOOKUP(A98,'Données projet (1)'!$A$61:$I$81,6,0)*VLOOKUP('Données projet (1)'!$B$10,'Paramètres (1)'!$A$1:$I$88,7,0))</f>
        <v>#REF!</v>
      </c>
      <c r="AT98" s="135" t="str">
        <f t="shared" si="24"/>
        <v>#REF!</v>
      </c>
      <c r="AU98" s="142" t="str">
        <f>EXP(-LN(2)/35)*AU97+(1-EXP(-LN(2)/35))/(LN(2)/35)*AQ98*AR98*VLOOKUP('Données projet (1)'!$B$10,'Paramètres (1)'!$A$1:$I$88,3,0)*0.475*44/12</f>
        <v>#REF!</v>
      </c>
      <c r="AV98" s="142" t="str">
        <f>EXP(-LN(2)/25)*AV97+(1-EXP(-LN(2)/25))/(LN(2)/25)*'Calculateur (1)'!AQ98*'Calculateur (1)'!AS98*VLOOKUP('Données projet (1)'!$B$10,'Paramètres (1)'!$A$1:$I$88,3,0)*0.475*44/12</f>
        <v>#REF!</v>
      </c>
      <c r="AW98" s="142" t="str">
        <f>EXP(-LN(2)/2)*AW97+(1-EXP(-LN(2)/2))/(LN(2)/2)*AQ98*AT98*VLOOKUP('Données projet (1)'!$B$10,'Paramètres (1)'!$A$1:$I$88,3,0)*0.475*44/12</f>
        <v>#REF!</v>
      </c>
      <c r="AX98" s="142" t="str">
        <f t="shared" si="25"/>
        <v>#REF!</v>
      </c>
      <c r="AY98" s="137" t="str">
        <f t="shared" si="26"/>
        <v>#REF!</v>
      </c>
      <c r="AZ98" s="131">
        <f t="shared" si="27"/>
        <v>10</v>
      </c>
      <c r="BA98" s="131" t="str">
        <f t="shared" si="116"/>
        <v>#REF!</v>
      </c>
      <c r="BB98" s="131" t="str">
        <f t="shared" si="28"/>
        <v>#REF!</v>
      </c>
      <c r="BC98" s="131" t="str">
        <f t="array" ref="BC98">INDEX(BB:BB,MIN(IF(ISNUMBER(BB98:BB294),ROW(BB98:BB294),"")))</f>
        <v/>
      </c>
      <c r="BD98" s="131" t="str">
        <f t="shared" si="117"/>
        <v>#REF!</v>
      </c>
      <c r="BE98" s="130" t="str">
        <f>BD98*VLOOKUP('Données projet (1)'!$B$11,'Paramètres (1)'!$A$1:$I$88,3,0)*VLOOKUP('Données projet (1)'!$B$11,'Paramètres (1)'!$A$1:$I$88,5,0)</f>
        <v>#REF!</v>
      </c>
      <c r="BF98" s="130" t="str">
        <f t="shared" si="118"/>
        <v>#REF!</v>
      </c>
      <c r="BG98" s="141" t="str">
        <f t="shared" si="29"/>
        <v>#REF!</v>
      </c>
      <c r="BH98" s="133" t="str">
        <f t="shared" si="30"/>
        <v>#REF!</v>
      </c>
      <c r="BI98" s="133" t="str">
        <f t="shared" si="31"/>
        <v>#REF!</v>
      </c>
      <c r="BJ98" s="133" t="str">
        <f t="shared" si="119"/>
        <v>#REF!</v>
      </c>
      <c r="BK98" s="134" t="str">
        <f t="shared" si="32"/>
        <v>#REF!</v>
      </c>
      <c r="BL98" s="134" t="str">
        <f t="shared" si="33"/>
        <v>#REF!</v>
      </c>
      <c r="BM98" s="135" t="str">
        <f>IF(ISNA(VLOOKUP(A98,'Données projet (1)'!$A$87:$I$107,5,0)),0%,VLOOKUP(A98,'Données projet (1)'!$A$87:$I$107,5,0)*VLOOKUP('Données projet (1)'!$B$11,'Paramètres (1)'!$A$1:$I$88,7,0))</f>
        <v>#REF!</v>
      </c>
      <c r="BN98" s="135" t="str">
        <f>IF(ISNA(VLOOKUP(A98,'Données projet (1)'!$A$87:$I$107,6,0)),0%,VLOOKUP(A98,'Données projet (1)'!$A$87:$I$107,6,0)*VLOOKUP('Données projet (1)'!$B$11,'Paramètres (1)'!$A$1:$I$88,7,0))</f>
        <v>#REF!</v>
      </c>
      <c r="BO98" s="135" t="str">
        <f t="shared" si="34"/>
        <v>#REF!</v>
      </c>
      <c r="BP98" s="142" t="str">
        <f>EXP(-LN(2)/35)*BP97+(1-EXP(-LN(2)/35))/(LN(2)/35)*BL98*BM98*VLOOKUP('Données projet (1)'!$B$11,'Paramètres (1)'!$A$1:$I$88,3,0)*0.475*44/12</f>
        <v>#REF!</v>
      </c>
      <c r="BQ98" s="142" t="str">
        <f>EXP(-LN(2)/25)*BQ97+(1-EXP(-LN(2)/25))/(LN(2)/25)*'Calculateur (1)'!BL98*'Calculateur (1)'!BN98*VLOOKUP('Données projet (1)'!$B$11,'Paramètres (1)'!$A$1:$I$88,3,0)*0.475*44/12</f>
        <v>#REF!</v>
      </c>
      <c r="BR98" s="142" t="str">
        <f>EXP(-LN(2)/2)*BR97+(1-EXP(-LN(2)/2))/(LN(2)/2)*BL98*BO98*VLOOKUP('Données projet (1)'!$B$11,'Paramètres (1)'!$A$1:$I$88,3,0)*0.475*44/12</f>
        <v>#REF!</v>
      </c>
      <c r="BS98" s="143" t="str">
        <f t="shared" si="35"/>
        <v>#REF!</v>
      </c>
      <c r="BT98" s="139" t="str">
        <f t="shared" si="36"/>
        <v>#REF!</v>
      </c>
      <c r="BU98" s="131">
        <f t="shared" si="37"/>
        <v>10</v>
      </c>
      <c r="BV98" s="131" t="str">
        <f t="shared" si="120"/>
        <v>#REF!</v>
      </c>
      <c r="BW98" s="131" t="str">
        <f t="shared" si="38"/>
        <v>#REF!</v>
      </c>
      <c r="BX98" s="131" t="str">
        <f t="array" ref="BX98">INDEX(BW:BW,MIN(IF(ISNUMBER(BW98:BW294),ROW(BW98:BW294),"")))</f>
        <v/>
      </c>
      <c r="BY98" s="131" t="str">
        <f t="shared" si="121"/>
        <v>#REF!</v>
      </c>
      <c r="BZ98" s="130" t="str">
        <f>BY98*VLOOKUP('Données projet (1)'!$B$12,'Paramètres (1)'!$A$1:$I$88,3,0)*VLOOKUP('Données projet (1)'!$B$12,'Paramètres (1)'!$A$1:$I$88,5,0)</f>
        <v>#REF!</v>
      </c>
      <c r="CA98" s="130" t="str">
        <f t="shared" si="122"/>
        <v>#REF!</v>
      </c>
      <c r="CB98" s="141" t="str">
        <f t="shared" si="39"/>
        <v>#REF!</v>
      </c>
      <c r="CC98" s="133" t="str">
        <f t="shared" si="40"/>
        <v>#REF!</v>
      </c>
      <c r="CD98" s="133" t="str">
        <f t="shared" si="41"/>
        <v>#REF!</v>
      </c>
      <c r="CE98" s="133" t="str">
        <f t="shared" si="123"/>
        <v>#REF!</v>
      </c>
      <c r="CF98" s="134" t="str">
        <f t="shared" si="42"/>
        <v>#REF!</v>
      </c>
      <c r="CG98" s="134" t="str">
        <f t="shared" si="43"/>
        <v>#REF!</v>
      </c>
      <c r="CH98" s="135" t="str">
        <f>IF(ISNA(VLOOKUP(A98,'Données projet (1)'!$A$113:$I$133,5,0)),0%,VLOOKUP(A98,'Données projet (1)'!$A$113:$I$133,5,0)*VLOOKUP('Données projet (1)'!$B$12,'Paramètres (1)'!$A$1:$I$88,7,0))</f>
        <v>#REF!</v>
      </c>
      <c r="CI98" s="135" t="str">
        <f>IF(ISNA(VLOOKUP(A98,'Données projet (1)'!$A$113:$I$133,6,0)),0%,VLOOKUP(A98,'Données projet (1)'!$A$113:$I$133,6,0)*VLOOKUP('Données projet (1)'!$B$12,'Paramètres (1)'!$A$1:$I$88,7,0))</f>
        <v>#REF!</v>
      </c>
      <c r="CJ98" s="135" t="str">
        <f t="shared" si="44"/>
        <v>#REF!</v>
      </c>
      <c r="CK98" s="142" t="str">
        <f>EXP(-LN(2)/35)*CK97+(1-EXP(-LN(2)/35))/(LN(2)/35)*CG98*CH98*VLOOKUP('Données projet (1)'!$B$12,'Paramètres (1)'!$A$1:$I$88,3,0)*0.475*44/12</f>
        <v>#REF!</v>
      </c>
      <c r="CL98" s="142" t="str">
        <f>EXP(-LN(2)/25)*CL97+(1-EXP(-LN(2)/25))/(LN(2)/25)*'Calculateur (1)'!CG98*'Calculateur (1)'!CI98*VLOOKUP('Données projet (1)'!$B$12,'Paramètres (1)'!$A$1:$I$88,3,0)*0.475*44/12</f>
        <v>#REF!</v>
      </c>
      <c r="CM98" s="142" t="str">
        <f>EXP(-LN(2)/2)*CM97+(1-EXP(-LN(2)/2))/(LN(2)/2)*CG98*CJ98*VLOOKUP('Données projet (1)'!$B$12,'Paramètres (1)'!$A$1:$I$88,3,0)*0.475*44/12</f>
        <v>#REF!</v>
      </c>
      <c r="CN98" s="143" t="str">
        <f t="shared" si="45"/>
        <v>#REF!</v>
      </c>
      <c r="CO98" s="139" t="str">
        <f t="shared" si="46"/>
        <v>#REF!</v>
      </c>
      <c r="CP98" s="131">
        <f t="shared" si="47"/>
        <v>10</v>
      </c>
      <c r="CQ98" s="131" t="str">
        <f t="shared" si="124"/>
        <v>#REF!</v>
      </c>
      <c r="CR98" s="131" t="str">
        <f t="shared" si="48"/>
        <v>#REF!</v>
      </c>
      <c r="CS98" s="131" t="str">
        <f t="array" ref="CS98">INDEX(CR:CR,MIN(IF(ISNUMBER(CR98:CR294),ROW(CR98:CR294),"")))</f>
        <v/>
      </c>
      <c r="CT98" s="131" t="str">
        <f t="shared" si="125"/>
        <v>#REF!</v>
      </c>
      <c r="CU98" s="138" t="str">
        <f>CT98*VLOOKUP('Données projet (1)'!$B$13,'Paramètres (1)'!$A$1:$I$88,3,0)*VLOOKUP('Données projet (1)'!$B$13,'Paramètres (1)'!$A$1:$I$88,5,0)</f>
        <v>#REF!</v>
      </c>
      <c r="CV98" s="130" t="str">
        <f t="shared" si="126"/>
        <v>#REF!</v>
      </c>
      <c r="CW98" s="141" t="str">
        <f t="shared" si="49"/>
        <v>#REF!</v>
      </c>
      <c r="CX98" s="133" t="str">
        <f t="shared" si="50"/>
        <v>#REF!</v>
      </c>
      <c r="CY98" s="133" t="str">
        <f t="shared" si="51"/>
        <v>#REF!</v>
      </c>
      <c r="CZ98" s="133" t="str">
        <f t="shared" si="127"/>
        <v>#REF!</v>
      </c>
      <c r="DA98" s="134" t="str">
        <f t="shared" si="52"/>
        <v>#REF!</v>
      </c>
      <c r="DB98" s="134" t="str">
        <f t="shared" si="53"/>
        <v>#REF!</v>
      </c>
      <c r="DC98" s="135" t="str">
        <f>IF(ISNA(VLOOKUP(A98,'Données projet (1)'!$A$139:$I$159,5,0)),0%,VLOOKUP(A98,'Données projet (1)'!$A$139:$I$159,5,0)*VLOOKUP('Données projet (1)'!$B$13,'Paramètres (1)'!$A$1:$I$88,7,0))</f>
        <v>#REF!</v>
      </c>
      <c r="DD98" s="135" t="str">
        <f>IF(ISNA(VLOOKUP(A98,'Données projet (1)'!$A$139:$I$159,6,0)),0%,VLOOKUP(A98,'Données projet (1)'!$A$139:$I$159,6,0)*VLOOKUP('Données projet (1)'!$B$13,'Paramètres (1)'!$A$1:$I$88,7,0))</f>
        <v>#REF!</v>
      </c>
      <c r="DE98" s="135" t="str">
        <f t="shared" si="54"/>
        <v>#REF!</v>
      </c>
      <c r="DF98" s="142" t="str">
        <f>EXP(-LN(2)/35)*DF97+(1-EXP(-LN(2)/35))/(LN(2)/35)*DB98*DC98*VLOOKUP('Données projet (1)'!$B$13,'Paramètres (1)'!$A$1:$I$88,3,0)*0.475*44/12</f>
        <v>#REF!</v>
      </c>
      <c r="DG98" s="142" t="str">
        <f>EXP(-LN(2)/25)*DG97+(1-EXP(-LN(2)/25))/(LN(2)/25)*'Calculateur (1)'!DB98*'Calculateur (1)'!DD98*VLOOKUP('Données projet (1)'!$B$13,'Paramètres (1)'!$A$1:$I$88,3,0)*0.475*44/12</f>
        <v>#REF!</v>
      </c>
      <c r="DH98" s="142" t="str">
        <f>EXP(-LN(2)/2)*DH97+(1-EXP(-LN(2)/2))/(LN(2)/2)*DB98*DE98*VLOOKUP('Données projet (1)'!$B$13,'Paramètres (1)'!$A$1:$I$88,3,0)*0.475*44/12</f>
        <v>#REF!</v>
      </c>
      <c r="DI98" s="143" t="str">
        <f t="shared" si="55"/>
        <v>#REF!</v>
      </c>
      <c r="DJ98" s="139" t="str">
        <f t="shared" si="56"/>
        <v>#REF!</v>
      </c>
      <c r="DK98" s="131">
        <f t="shared" si="57"/>
        <v>10</v>
      </c>
      <c r="DL98" s="131" t="str">
        <f t="shared" si="128"/>
        <v>#REF!</v>
      </c>
      <c r="DM98" s="131" t="str">
        <f t="shared" si="58"/>
        <v>#REF!</v>
      </c>
      <c r="DN98" s="131" t="str">
        <f t="array" ref="DN98">INDEX(DM:DM,MIN(IF(ISNUMBER(DM98:DM294),ROW(DM98:DM294),"")))</f>
        <v/>
      </c>
      <c r="DO98" s="131" t="str">
        <f t="shared" si="129"/>
        <v>#REF!</v>
      </c>
      <c r="DP98" s="138" t="str">
        <f>DO98*VLOOKUP('Données projet (1)'!$B$14,'Paramètres (1)'!$A$1:$I$88,3,0)*VLOOKUP('Données projet (1)'!$B$14,'Paramètres (1)'!$A$1:$I$88,5,0)</f>
        <v>#REF!</v>
      </c>
      <c r="DQ98" s="130" t="str">
        <f t="shared" si="130"/>
        <v>#REF!</v>
      </c>
      <c r="DR98" s="141" t="str">
        <f t="shared" si="59"/>
        <v>#REF!</v>
      </c>
      <c r="DS98" s="133" t="str">
        <f t="shared" si="60"/>
        <v>#REF!</v>
      </c>
      <c r="DT98" s="133" t="str">
        <f t="shared" si="61"/>
        <v>#REF!</v>
      </c>
      <c r="DU98" s="133" t="str">
        <f t="shared" si="131"/>
        <v>#REF!</v>
      </c>
      <c r="DV98" s="134" t="str">
        <f t="shared" si="62"/>
        <v>#REF!</v>
      </c>
      <c r="DW98" s="134" t="str">
        <f t="shared" si="63"/>
        <v>#REF!</v>
      </c>
      <c r="DX98" s="135" t="str">
        <f>IF(ISNA(VLOOKUP(A98,'Données projet (1)'!$A$165:$I$185,5,0)),0%,VLOOKUP(A98,'Données projet (1)'!$A$165:$I$185,5,0)*VLOOKUP('Données projet (1)'!$B$14,'Paramètres (1)'!$A$1:$I$88,7,0))</f>
        <v>#REF!</v>
      </c>
      <c r="DY98" s="135" t="str">
        <f>IF(ISNA(VLOOKUP(A98,'Données projet (1)'!$A$165:$I$185,6,0)),0%,VLOOKUP(A98,'Données projet (1)'!$A$165:$I$185,6,0)*VLOOKUP('Données projet (1)'!$B$14,'Paramètres (1)'!$A$1:$I$88,7,0))</f>
        <v>#REF!</v>
      </c>
      <c r="DZ98" s="135" t="str">
        <f t="shared" si="64"/>
        <v>#REF!</v>
      </c>
      <c r="EA98" s="142" t="str">
        <f>EXP(-LN(2)/35)*EA97+(1-EXP(-LN(2)/35))/(LN(2)/35)*DW98*DX98*VLOOKUP('Données projet (1)'!$B$14,'Paramètres (1)'!$A$1:$I$88,3,0)*0.475*44/12</f>
        <v>#REF!</v>
      </c>
      <c r="EB98" s="142" t="str">
        <f>EXP(-LN(2)/25)*EB97+(1-EXP(-LN(2)/25))/(LN(2)/25)*'Calculateur (1)'!DW98*'Calculateur (1)'!DY98*VLOOKUP('Données projet (1)'!$B$14,'Paramètres (1)'!$A$1:$I$88,3,0)*0.475*44/12</f>
        <v>#REF!</v>
      </c>
      <c r="EC98" s="142" t="str">
        <f>EXP(-LN(2)/2)*EC97+(1-EXP(-LN(2)/2))/(LN(2)/2)*DW98*DZ98*VLOOKUP('Données projet (1)'!$B$14,'Paramètres (1)'!$A$1:$I$88,3,0)*0.475*44/12</f>
        <v>#REF!</v>
      </c>
      <c r="ED98" s="143" t="str">
        <f t="shared" si="65"/>
        <v>#REF!</v>
      </c>
      <c r="EE98" s="139" t="str">
        <f t="shared" si="66"/>
        <v>#REF!</v>
      </c>
      <c r="EF98" s="131">
        <f t="shared" si="67"/>
        <v>10</v>
      </c>
      <c r="EG98" s="131" t="str">
        <f t="shared" si="132"/>
        <v>#REF!</v>
      </c>
      <c r="EH98" s="131" t="str">
        <f t="shared" si="68"/>
        <v>#REF!</v>
      </c>
      <c r="EI98" s="131" t="str">
        <f t="array" ref="EI98">INDEX(EH:EH,MIN(IF(ISNUMBER(EH98:EH294),ROW(EH98:EH294),"")))</f>
        <v/>
      </c>
      <c r="EJ98" s="131" t="str">
        <f t="shared" si="133"/>
        <v>#REF!</v>
      </c>
      <c r="EK98" s="138" t="str">
        <f>EJ98*VLOOKUP('Données projet (1)'!$B$15,'Paramètres (1)'!$A$1:$I$88,3,0)*VLOOKUP('Données projet (1)'!$B$15,'Paramètres (1)'!$A$1:$I$88,5,0)</f>
        <v>#REF!</v>
      </c>
      <c r="EL98" s="130" t="str">
        <f t="shared" si="134"/>
        <v>#REF!</v>
      </c>
      <c r="EM98" s="141" t="str">
        <f t="shared" si="69"/>
        <v>#REF!</v>
      </c>
      <c r="EN98" s="133" t="str">
        <f t="shared" si="70"/>
        <v>#REF!</v>
      </c>
      <c r="EO98" s="133" t="str">
        <f t="shared" si="71"/>
        <v>#REF!</v>
      </c>
      <c r="EP98" s="133" t="str">
        <f t="shared" si="135"/>
        <v>#REF!</v>
      </c>
      <c r="EQ98" s="134" t="str">
        <f t="shared" si="72"/>
        <v>#REF!</v>
      </c>
      <c r="ER98" s="134" t="str">
        <f t="shared" si="73"/>
        <v>#REF!</v>
      </c>
      <c r="ES98" s="135" t="str">
        <f>IF(ISNA(VLOOKUP(A98,'Données projet (1)'!$A$191:$I$211,5,0)),0%,VLOOKUP(A98,'Données projet (1)'!$A$191:$I$211,5,0)*VLOOKUP('Données projet (1)'!$B$15,'Paramètres (1)'!$A$1:$I$88,7,0))</f>
        <v>#REF!</v>
      </c>
      <c r="ET98" s="135" t="str">
        <f>IF(ISNA(VLOOKUP(A98,'Données projet (1)'!$A$191:$I$211,6,0)),0%,VLOOKUP(A98,'Données projet (1)'!$A$191:$I$211,6,0)*VLOOKUP('Données projet (1)'!$B$15,'Paramètres (1)'!$A$1:$I$88,7,0))</f>
        <v>#REF!</v>
      </c>
      <c r="EU98" s="135" t="str">
        <f t="shared" si="74"/>
        <v>#REF!</v>
      </c>
      <c r="EV98" s="142" t="str">
        <f>EXP(-LN(2)/35)*EV97+(1-EXP(-LN(2)/35))/(LN(2)/35)*ER98*ES98*VLOOKUP('Données projet (1)'!$B$15,'Paramètres (1)'!$A$1:$I$88,3,0)*0.475*44/12</f>
        <v>#REF!</v>
      </c>
      <c r="EW98" s="142" t="str">
        <f>EXP(-LN(2)/25)*EW97+(1-EXP(-LN(2)/25))/(LN(2)/25)*'Calculateur (1)'!ER98*'Calculateur (1)'!ET98*VLOOKUP('Données projet (1)'!$B$15,'Paramètres (1)'!$A$1:$I$88,3,0)*0.475*44/12</f>
        <v>#REF!</v>
      </c>
      <c r="EX98" s="142" t="str">
        <f>EXP(-LN(2)/2)*EX97+(1-EXP(-LN(2)/2))/(LN(2)/2)*ER98*EU98*VLOOKUP('Données projet (1)'!$B$15,'Paramètres (1)'!$A$1:$I$88,3,0)*0.475*44/12</f>
        <v>#REF!</v>
      </c>
      <c r="EY98" s="143" t="str">
        <f t="shared" si="75"/>
        <v>#REF!</v>
      </c>
      <c r="EZ98" s="139" t="str">
        <f t="shared" si="76"/>
        <v>#REF!</v>
      </c>
      <c r="FA98" s="131">
        <f t="shared" si="77"/>
        <v>10</v>
      </c>
      <c r="FB98" s="131" t="str">
        <f t="shared" si="136"/>
        <v>#REF!</v>
      </c>
      <c r="FC98" s="131" t="str">
        <f t="shared" si="78"/>
        <v>#REF!</v>
      </c>
      <c r="FD98" s="131" t="str">
        <f t="array" ref="FD98">INDEX(FC:FC,MIN(IF(ISNUMBER(FC98:FC294),ROW(FC98:FC294),"")))</f>
        <v/>
      </c>
      <c r="FE98" s="131" t="str">
        <f t="shared" si="137"/>
        <v>#REF!</v>
      </c>
      <c r="FF98" s="138" t="str">
        <f>FE98*VLOOKUP('Données projet (1)'!$B$16,'Paramètres (1)'!$A$1:$I$88,3,0)*VLOOKUP('Données projet (1)'!$B$16,'Paramètres (1)'!$A$1:$I$88,5,0)</f>
        <v>#REF!</v>
      </c>
      <c r="FG98" s="130" t="str">
        <f t="shared" si="138"/>
        <v>#REF!</v>
      </c>
      <c r="FH98" s="141" t="str">
        <f t="shared" si="79"/>
        <v>#REF!</v>
      </c>
      <c r="FI98" s="133" t="str">
        <f t="shared" si="80"/>
        <v>#REF!</v>
      </c>
      <c r="FJ98" s="133" t="str">
        <f t="shared" si="81"/>
        <v>#REF!</v>
      </c>
      <c r="FK98" s="133" t="str">
        <f t="shared" si="139"/>
        <v>#REF!</v>
      </c>
      <c r="FL98" s="134" t="str">
        <f t="shared" si="82"/>
        <v>#REF!</v>
      </c>
      <c r="FM98" s="134" t="str">
        <f t="shared" si="83"/>
        <v>#REF!</v>
      </c>
      <c r="FN98" s="135" t="str">
        <f>IF(ISNA(VLOOKUP(A98,'Données projet (1)'!$A$217:$I$237,5,0)),0%,VLOOKUP(A98,'Données projet (1)'!$A$217:$I$237,5,0)*VLOOKUP('Données projet (1)'!$B$16,'Paramètres (1)'!$A$1:$I$88,7,0))</f>
        <v>#REF!</v>
      </c>
      <c r="FO98" s="135" t="str">
        <f>IF(ISNA(VLOOKUP(A98,'Données projet (1)'!$A$217:$I$237,6,0)),0%,VLOOKUP(A98,'Données projet (1)'!$A$217:$I$237,6,0)*VLOOKUP('Données projet (1)'!$B$16,'Paramètres (1)'!$A$1:$I$88,7,0))</f>
        <v>#REF!</v>
      </c>
      <c r="FP98" s="135" t="str">
        <f t="shared" si="84"/>
        <v>#REF!</v>
      </c>
      <c r="FQ98" s="142" t="str">
        <f>EXP(-LN(2)/35)*FQ97+(1-EXP(-LN(2)/35))/(LN(2)/35)*FM98*FN98*VLOOKUP('Données projet (1)'!$B$16,'Paramètres (1)'!$A$1:$I$88,3,0)*0.475*44/12</f>
        <v>#REF!</v>
      </c>
      <c r="FR98" s="142" t="str">
        <f>EXP(-LN(2)/25)*FR97+(1-EXP(-LN(2)/25))/(LN(2)/25)*'Calculateur (1)'!FM98*'Calculateur (1)'!FO98*VLOOKUP('Données projet (1)'!$B$16,'Paramètres (1)'!$A$1:$I$88,3,0)*0.475*44/12</f>
        <v>#REF!</v>
      </c>
      <c r="FS98" s="142" t="str">
        <f>EXP(-LN(2)/2)*FS97+(1-EXP(-LN(2)/2))/(LN(2)/2)*FM98*FP98*VLOOKUP('Données projet (1)'!$B$16,'Paramètres (1)'!$A$1:$I$88,3,0)*0.475*44/12</f>
        <v>#REF!</v>
      </c>
      <c r="FT98" s="143" t="str">
        <f t="shared" si="85"/>
        <v>#REF!</v>
      </c>
      <c r="FU98" s="139" t="str">
        <f t="shared" si="86"/>
        <v>#REF!</v>
      </c>
      <c r="FV98" s="131">
        <f t="shared" si="87"/>
        <v>10</v>
      </c>
      <c r="FW98" s="131" t="str">
        <f t="shared" si="140"/>
        <v>#REF!</v>
      </c>
      <c r="FX98" s="131" t="str">
        <f t="shared" si="88"/>
        <v>#REF!</v>
      </c>
      <c r="FY98" s="131" t="str">
        <f t="array" ref="FY98">INDEX(FX:FX,MIN(IF(ISNUMBER(FX98:FX294),ROW(FX98:FX294),"")))</f>
        <v/>
      </c>
      <c r="FZ98" s="131" t="str">
        <f t="shared" si="141"/>
        <v>#REF!</v>
      </c>
      <c r="GA98" s="138" t="str">
        <f>FZ98*VLOOKUP('Données projet (1)'!$B$17,'Paramètres (1)'!$A$1:$I$88,3,0)*VLOOKUP('Données projet (1)'!$B$17,'Paramètres (1)'!$A$1:$I$88,5,0)</f>
        <v>#REF!</v>
      </c>
      <c r="GB98" s="130" t="str">
        <f t="shared" si="142"/>
        <v>#REF!</v>
      </c>
      <c r="GC98" s="141" t="str">
        <f t="shared" si="89"/>
        <v>#REF!</v>
      </c>
      <c r="GD98" s="133" t="str">
        <f t="shared" si="90"/>
        <v>#REF!</v>
      </c>
      <c r="GE98" s="133" t="str">
        <f t="shared" si="91"/>
        <v>#REF!</v>
      </c>
      <c r="GF98" s="133" t="str">
        <f t="shared" si="143"/>
        <v>#REF!</v>
      </c>
      <c r="GG98" s="134" t="str">
        <f t="shared" si="92"/>
        <v>#REF!</v>
      </c>
      <c r="GH98" s="134" t="str">
        <f t="shared" si="93"/>
        <v>#REF!</v>
      </c>
      <c r="GI98" s="135" t="str">
        <f>IF(ISNA(VLOOKUP(A98,'Données projet (1)'!$A$243:$I$263,5,0)),0%,VLOOKUP(A98,'Données projet (1)'!$A$243:$I$263,5,0)*VLOOKUP('Données projet (1)'!$B$17,'Paramètres (1)'!$A$1:$I$88,7,0))</f>
        <v>#REF!</v>
      </c>
      <c r="GJ98" s="135" t="str">
        <f>IF(ISNA(VLOOKUP(A98,'Données projet (1)'!$A$243:$I$263,6,0)),0%,VLOOKUP(A98,'Données projet (1)'!$A$243:$I$263,6,0)*VLOOKUP('Données projet (1)'!$B$17,'Paramètres (1)'!$A$1:$I$88,7,0))</f>
        <v>#REF!</v>
      </c>
      <c r="GK98" s="135" t="str">
        <f t="shared" si="94"/>
        <v>#REF!</v>
      </c>
      <c r="GL98" s="142" t="str">
        <f>EXP(-LN(2)/35)*GL97+(1-EXP(-LN(2)/35))/(LN(2)/35)*GH98*GI98*VLOOKUP('Données projet (1)'!$B$17,'Paramètres (1)'!$A$1:$I$88,3,0)*0.475*44/12</f>
        <v>#REF!</v>
      </c>
      <c r="GM98" s="142" t="str">
        <f>EXP(-LN(2)/25)*GM97+(1-EXP(-LN(2)/25))/(LN(2)/25)*'Calculateur (1)'!GH98*'Calculateur (1)'!GJ98*VLOOKUP('Données projet (1)'!$B$17,'Paramètres (1)'!$A$1:$I$88,3,0)*0.475*44/12</f>
        <v>#REF!</v>
      </c>
      <c r="GN98" s="142" t="str">
        <f>EXP(-LN(2)/2)*GN97+(1-EXP(-LN(2)/2))/(LN(2)/2)*GH98*GK98*VLOOKUP('Données projet (1)'!$B$17,'Paramètres (1)'!$A$1:$I$88,3,0)*0.475*44/12</f>
        <v>#REF!</v>
      </c>
      <c r="GO98" s="142" t="str">
        <f t="shared" si="95"/>
        <v>#REF!</v>
      </c>
      <c r="GP98" s="139" t="str">
        <f t="shared" si="96"/>
        <v>#REF!</v>
      </c>
      <c r="GQ98" s="131">
        <f t="shared" si="97"/>
        <v>10</v>
      </c>
      <c r="GR98" s="131" t="str">
        <f t="shared" si="144"/>
        <v>#REF!</v>
      </c>
      <c r="GS98" s="131" t="str">
        <f t="shared" si="98"/>
        <v>#REF!</v>
      </c>
      <c r="GT98" s="131" t="str">
        <f t="array" ref="GT98">INDEX(GS:GS,MIN(IF(ISNUMBER(GS98:GS294),ROW(GS98:GS294),"")))</f>
        <v/>
      </c>
      <c r="GU98" s="131" t="str">
        <f t="shared" si="145"/>
        <v>#REF!</v>
      </c>
      <c r="GV98" s="138" t="str">
        <f>GU98*VLOOKUP('Données projet (1)'!$B$18,'Paramètres (1)'!$A$1:$I$88,3,0)*VLOOKUP('Données projet (1)'!$B$18,'Paramètres (1)'!$A$1:$I$88,5,0)</f>
        <v>#REF!</v>
      </c>
      <c r="GW98" s="130" t="str">
        <f t="shared" si="146"/>
        <v>#REF!</v>
      </c>
      <c r="GX98" s="141" t="str">
        <f t="shared" si="99"/>
        <v>#REF!</v>
      </c>
      <c r="GY98" s="133" t="str">
        <f t="shared" si="100"/>
        <v>#REF!</v>
      </c>
      <c r="GZ98" s="133" t="str">
        <f t="shared" si="101"/>
        <v>#REF!</v>
      </c>
      <c r="HA98" s="133" t="str">
        <f t="shared" si="147"/>
        <v>#REF!</v>
      </c>
      <c r="HB98" s="134" t="str">
        <f t="shared" si="102"/>
        <v>#REF!</v>
      </c>
      <c r="HC98" s="134" t="str">
        <f t="shared" si="103"/>
        <v>#REF!</v>
      </c>
      <c r="HD98" s="135" t="str">
        <f>IF(ISNA(VLOOKUP(A98,'Données projet (1)'!$A$269:$I$289,5,0)),0%,VLOOKUP(A98,'Données projet (1)'!$A$269:$I$289,5,0)*VLOOKUP('Données projet (1)'!$B$18,'Paramètres (1)'!$A$1:$I$88,7,0))</f>
        <v>#REF!</v>
      </c>
      <c r="HE98" s="135" t="str">
        <f>IF(ISNA(VLOOKUP(A98,'Données projet (1)'!$A$269:$I$289,6,0)),0%,VLOOKUP(A98,'Données projet (1)'!$A$269:$I$289,6,0)*VLOOKUP('Données projet (1)'!$B$18,'Paramètres (1)'!$A$1:$I$88,7,0))</f>
        <v>#REF!</v>
      </c>
      <c r="HF98" s="135" t="str">
        <f t="shared" si="104"/>
        <v>#REF!</v>
      </c>
      <c r="HG98" s="142" t="str">
        <f>EXP(-LN(2)/35)*HG97+(1-EXP(-LN(2)/35))/(LN(2)/35)*HC98*HD98*VLOOKUP('Données projet (1)'!$B$18,'Paramètres (1)'!$A$1:$I$88,3,0)*0.475*44/12</f>
        <v>#REF!</v>
      </c>
      <c r="HH98" s="142" t="str">
        <f>EXP(-LN(2)/25)*HH97+(1-EXP(-LN(2)/25))/(LN(2)/25)*'Calculateur (1)'!HC98*'Calculateur (1)'!HE98*VLOOKUP('Données projet (1)'!$B$18,'Paramètres (1)'!$A$1:$I$88,3,0)*0.475*44/12</f>
        <v>#REF!</v>
      </c>
      <c r="HI98" s="142" t="str">
        <f>EXP(-LN(2)/2)*HI97+(1-EXP(-LN(2)/2))/(LN(2)/2)*HC98*HF98*VLOOKUP('Données projet (1)'!$B$18,'Paramètres (1)'!$A$1:$I$88,3,0)*0.475*44/12</f>
        <v>#REF!</v>
      </c>
      <c r="HJ98" s="143" t="str">
        <f t="shared" si="105"/>
        <v>#REF!</v>
      </c>
    </row>
    <row r="99" ht="14.25" customHeight="1">
      <c r="A99" s="125">
        <f t="shared" si="106"/>
        <v>96</v>
      </c>
      <c r="B99" s="126" t="str">
        <f t="shared" si="1"/>
        <v>#REF!</v>
      </c>
      <c r="C99" s="140" t="str">
        <f>'Calculateur (1)'!C98+'Scénario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9" s="127">
        <f t="shared" si="107"/>
        <v>0</v>
      </c>
      <c r="E99" s="127" t="str">
        <f t="shared" si="2"/>
        <v>#REF!</v>
      </c>
      <c r="F99" s="127" t="str">
        <f t="shared" si="3"/>
        <v>#REF!</v>
      </c>
      <c r="G99" s="127" t="str">
        <f t="shared" si="4"/>
        <v>#REF!</v>
      </c>
      <c r="H99" s="128" t="str">
        <f t="shared" si="5"/>
        <v>#REF!</v>
      </c>
      <c r="I99" s="129" t="str">
        <f t="shared" si="6"/>
        <v>#REF!</v>
      </c>
      <c r="J99" s="130">
        <f t="shared" si="7"/>
        <v>10</v>
      </c>
      <c r="K99" s="131" t="str">
        <f t="shared" si="108"/>
        <v>#REF!</v>
      </c>
      <c r="L99" s="131" t="str">
        <f t="shared" si="8"/>
        <v>#REF!</v>
      </c>
      <c r="M99" s="131" t="str">
        <f t="array" ref="M99">INDEX(L:L,MIN(IF(ISNUMBER(L99:L295),ROW(L99:L295),"")))</f>
        <v/>
      </c>
      <c r="N99" s="130" t="str">
        <f t="shared" si="109"/>
        <v>#REF!</v>
      </c>
      <c r="O99" s="130" t="str">
        <f>N99*VLOOKUP('Données projet (1)'!$B$9,'Paramètres (1)'!$A$1:$I$88,3,0)*VLOOKUP('Données projet (1)'!$B$9,'Paramètres (1)'!$A$1:$I$88,5,0)</f>
        <v>#REF!</v>
      </c>
      <c r="P99" s="130" t="str">
        <f t="shared" si="110"/>
        <v>#REF!</v>
      </c>
      <c r="Q99" s="141" t="str">
        <f t="shared" si="9"/>
        <v>#REF!</v>
      </c>
      <c r="R99" s="133" t="str">
        <f t="shared" si="10"/>
        <v>#REF!</v>
      </c>
      <c r="S99" s="133" t="str">
        <f t="shared" si="11"/>
        <v>#REF!</v>
      </c>
      <c r="T99" s="133" t="str">
        <f t="shared" si="111"/>
        <v>#REF!</v>
      </c>
      <c r="U99" s="134" t="str">
        <f t="shared" si="12"/>
        <v>#REF!</v>
      </c>
      <c r="V99" s="134" t="str">
        <f t="shared" si="13"/>
        <v>#REF!</v>
      </c>
      <c r="W99" s="135" t="str">
        <f>IF(ISNA(VLOOKUP(A99,'Données projet (1)'!$A$35:$I$55,5,0)),0%,VLOOKUP(A99,'Données projet (1)'!$A$35:$I$55,5,0)*VLOOKUP('Données projet (1)'!$B$9,'Paramètres (1)'!$A$1:$I$88,7,0))</f>
        <v>#REF!</v>
      </c>
      <c r="X99" s="135" t="str">
        <f>IF(ISNA(VLOOKUP(A99,'Données projet (1)'!$A$35:$I$55,6,0)),0%,VLOOKUP(A99,'Données projet (1)'!$A$35:$I$55,6,0)*VLOOKUP('Données projet (1)'!$B$9,'Paramètres (1)'!$A$1:$I$88,7,0))</f>
        <v>#REF!</v>
      </c>
      <c r="Y99" s="135" t="str">
        <f t="shared" si="14"/>
        <v>#REF!</v>
      </c>
      <c r="Z99" s="142" t="str">
        <f>EXP(-LN(2)/35)*Z98+(1-EXP(-LN(2)/35))/(LN(2)/35)*V99*W99*VLOOKUP('Données projet (1)'!$B$9,'Paramètres (1)'!$A$1:$I$88,3,0)*0.475*44/12</f>
        <v>#REF!</v>
      </c>
      <c r="AA99" s="142" t="str">
        <f>EXP(-LN(2)/25)*AA98+(1-EXP(-LN(2)/25))/(LN(2)/25)*'Calculateur (1)'!V99*'Calculateur (1)'!X99*VLOOKUP('Données projet (1)'!$B$9,'Paramètres (1)'!$A$1:$I$88,3,0)*0.475*44/12</f>
        <v>#REF!</v>
      </c>
      <c r="AB99" s="142" t="str">
        <f>EXP(-LN(2)/2)*AB98+(1-EXP(-LN(2)/2))/(LN(2)/2)*V99*Y99*VLOOKUP('Données projet (1)'!$B$9,'Paramètres (1)'!$A$1:$I$88,3,0)*0.475*44/12</f>
        <v>#REF!</v>
      </c>
      <c r="AC99" s="143" t="str">
        <f t="shared" si="15"/>
        <v>#REF!</v>
      </c>
      <c r="AD99" s="130" t="str">
        <f t="shared" si="16"/>
        <v>#REF!</v>
      </c>
      <c r="AE99" s="130">
        <f t="shared" si="17"/>
        <v>10</v>
      </c>
      <c r="AF99" s="131" t="str">
        <f t="shared" si="112"/>
        <v>#REF!</v>
      </c>
      <c r="AG99" s="131" t="str">
        <f t="shared" si="18"/>
        <v>#REF!</v>
      </c>
      <c r="AH99" s="131" t="str">
        <f t="array" ref="AH99">INDEX(AG:AG,MIN(IF(ISNUMBER(AG99:AG295),ROW(AG99:AG295),"")))</f>
        <v/>
      </c>
      <c r="AI99" s="130" t="str">
        <f t="shared" si="113"/>
        <v>#REF!</v>
      </c>
      <c r="AJ99" s="130" t="str">
        <f>AI99*VLOOKUP('Données projet (1)'!$B$10,'Paramètres (1)'!$A$1:$I$88,3,0)*VLOOKUP('Données projet (1)'!$B$10,'Paramètres (1)'!$A$1:$I$88,5,0)</f>
        <v>#REF!</v>
      </c>
      <c r="AK99" s="130" t="str">
        <f t="shared" si="114"/>
        <v>#REF!</v>
      </c>
      <c r="AL99" s="141" t="str">
        <f t="shared" si="19"/>
        <v>#REF!</v>
      </c>
      <c r="AM99" s="133" t="str">
        <f t="shared" si="20"/>
        <v>#REF!</v>
      </c>
      <c r="AN99" s="133" t="str">
        <f t="shared" si="21"/>
        <v>#REF!</v>
      </c>
      <c r="AO99" s="133" t="str">
        <f t="shared" si="115"/>
        <v>#REF!</v>
      </c>
      <c r="AP99" s="134" t="str">
        <f t="shared" si="22"/>
        <v>#REF!</v>
      </c>
      <c r="AQ99" s="134" t="str">
        <f t="shared" si="23"/>
        <v>#REF!</v>
      </c>
      <c r="AR99" s="135" t="str">
        <f>IF(ISNA(VLOOKUP(A99,'Données projet (1)'!$A$61:$I$81,5,0)),0%,VLOOKUP(A99,'Données projet (1)'!$A$61:$I$81,5,0)*VLOOKUP('Données projet (1)'!$B$10,'Paramètres (1)'!$A$1:$I$88,7,0))</f>
        <v>#REF!</v>
      </c>
      <c r="AS99" s="135" t="str">
        <f>IF(ISNA(VLOOKUP(A99,'Données projet (1)'!$A$61:$I$81,6,0)),0%,VLOOKUP(A99,'Données projet (1)'!$A$61:$I$81,6,0)*VLOOKUP('Données projet (1)'!$B$10,'Paramètres (1)'!$A$1:$I$88,7,0))</f>
        <v>#REF!</v>
      </c>
      <c r="AT99" s="135" t="str">
        <f t="shared" si="24"/>
        <v>#REF!</v>
      </c>
      <c r="AU99" s="142" t="str">
        <f>EXP(-LN(2)/35)*AU98+(1-EXP(-LN(2)/35))/(LN(2)/35)*AQ99*AR99*VLOOKUP('Données projet (1)'!$B$10,'Paramètres (1)'!$A$1:$I$88,3,0)*0.475*44/12</f>
        <v>#REF!</v>
      </c>
      <c r="AV99" s="142" t="str">
        <f>EXP(-LN(2)/25)*AV98+(1-EXP(-LN(2)/25))/(LN(2)/25)*'Calculateur (1)'!AQ99*'Calculateur (1)'!AS99*VLOOKUP('Données projet (1)'!$B$10,'Paramètres (1)'!$A$1:$I$88,3,0)*0.475*44/12</f>
        <v>#REF!</v>
      </c>
      <c r="AW99" s="142" t="str">
        <f>EXP(-LN(2)/2)*AW98+(1-EXP(-LN(2)/2))/(LN(2)/2)*AQ99*AT99*VLOOKUP('Données projet (1)'!$B$10,'Paramètres (1)'!$A$1:$I$88,3,0)*0.475*44/12</f>
        <v>#REF!</v>
      </c>
      <c r="AX99" s="142" t="str">
        <f t="shared" si="25"/>
        <v>#REF!</v>
      </c>
      <c r="AY99" s="137" t="str">
        <f t="shared" si="26"/>
        <v>#REF!</v>
      </c>
      <c r="AZ99" s="131">
        <f t="shared" si="27"/>
        <v>10</v>
      </c>
      <c r="BA99" s="131" t="str">
        <f t="shared" si="116"/>
        <v>#REF!</v>
      </c>
      <c r="BB99" s="131" t="str">
        <f t="shared" si="28"/>
        <v>#REF!</v>
      </c>
      <c r="BC99" s="131" t="str">
        <f t="array" ref="BC99">INDEX(BB:BB,MIN(IF(ISNUMBER(BB99:BB295),ROW(BB99:BB295),"")))</f>
        <v/>
      </c>
      <c r="BD99" s="131" t="str">
        <f t="shared" si="117"/>
        <v>#REF!</v>
      </c>
      <c r="BE99" s="130" t="str">
        <f>BD99*VLOOKUP('Données projet (1)'!$B$11,'Paramètres (1)'!$A$1:$I$88,3,0)*VLOOKUP('Données projet (1)'!$B$11,'Paramètres (1)'!$A$1:$I$88,5,0)</f>
        <v>#REF!</v>
      </c>
      <c r="BF99" s="130" t="str">
        <f t="shared" si="118"/>
        <v>#REF!</v>
      </c>
      <c r="BG99" s="141" t="str">
        <f t="shared" si="29"/>
        <v>#REF!</v>
      </c>
      <c r="BH99" s="133" t="str">
        <f t="shared" si="30"/>
        <v>#REF!</v>
      </c>
      <c r="BI99" s="133" t="str">
        <f t="shared" si="31"/>
        <v>#REF!</v>
      </c>
      <c r="BJ99" s="133" t="str">
        <f t="shared" si="119"/>
        <v>#REF!</v>
      </c>
      <c r="BK99" s="134" t="str">
        <f t="shared" si="32"/>
        <v>#REF!</v>
      </c>
      <c r="BL99" s="134" t="str">
        <f t="shared" si="33"/>
        <v>#REF!</v>
      </c>
      <c r="BM99" s="135" t="str">
        <f>IF(ISNA(VLOOKUP(A99,'Données projet (1)'!$A$87:$I$107,5,0)),0%,VLOOKUP(A99,'Données projet (1)'!$A$87:$I$107,5,0)*VLOOKUP('Données projet (1)'!$B$11,'Paramètres (1)'!$A$1:$I$88,7,0))</f>
        <v>#REF!</v>
      </c>
      <c r="BN99" s="135" t="str">
        <f>IF(ISNA(VLOOKUP(A99,'Données projet (1)'!$A$87:$I$107,6,0)),0%,VLOOKUP(A99,'Données projet (1)'!$A$87:$I$107,6,0)*VLOOKUP('Données projet (1)'!$B$11,'Paramètres (1)'!$A$1:$I$88,7,0))</f>
        <v>#REF!</v>
      </c>
      <c r="BO99" s="135" t="str">
        <f t="shared" si="34"/>
        <v>#REF!</v>
      </c>
      <c r="BP99" s="142" t="str">
        <f>EXP(-LN(2)/35)*BP98+(1-EXP(-LN(2)/35))/(LN(2)/35)*BL99*BM99*VLOOKUP('Données projet (1)'!$B$11,'Paramètres (1)'!$A$1:$I$88,3,0)*0.475*44/12</f>
        <v>#REF!</v>
      </c>
      <c r="BQ99" s="142" t="str">
        <f>EXP(-LN(2)/25)*BQ98+(1-EXP(-LN(2)/25))/(LN(2)/25)*'Calculateur (1)'!BL99*'Calculateur (1)'!BN99*VLOOKUP('Données projet (1)'!$B$11,'Paramètres (1)'!$A$1:$I$88,3,0)*0.475*44/12</f>
        <v>#REF!</v>
      </c>
      <c r="BR99" s="142" t="str">
        <f>EXP(-LN(2)/2)*BR98+(1-EXP(-LN(2)/2))/(LN(2)/2)*BL99*BO99*VLOOKUP('Données projet (1)'!$B$11,'Paramètres (1)'!$A$1:$I$88,3,0)*0.475*44/12</f>
        <v>#REF!</v>
      </c>
      <c r="BS99" s="143" t="str">
        <f t="shared" si="35"/>
        <v>#REF!</v>
      </c>
      <c r="BT99" s="139" t="str">
        <f t="shared" si="36"/>
        <v>#REF!</v>
      </c>
      <c r="BU99" s="131">
        <f t="shared" si="37"/>
        <v>10</v>
      </c>
      <c r="BV99" s="131" t="str">
        <f t="shared" si="120"/>
        <v>#REF!</v>
      </c>
      <c r="BW99" s="131" t="str">
        <f t="shared" si="38"/>
        <v>#REF!</v>
      </c>
      <c r="BX99" s="131" t="str">
        <f t="array" ref="BX99">INDEX(BW:BW,MIN(IF(ISNUMBER(BW99:BW295),ROW(BW99:BW295),"")))</f>
        <v/>
      </c>
      <c r="BY99" s="131" t="str">
        <f t="shared" si="121"/>
        <v>#REF!</v>
      </c>
      <c r="BZ99" s="130" t="str">
        <f>BY99*VLOOKUP('Données projet (1)'!$B$12,'Paramètres (1)'!$A$1:$I$88,3,0)*VLOOKUP('Données projet (1)'!$B$12,'Paramètres (1)'!$A$1:$I$88,5,0)</f>
        <v>#REF!</v>
      </c>
      <c r="CA99" s="130" t="str">
        <f t="shared" si="122"/>
        <v>#REF!</v>
      </c>
      <c r="CB99" s="141" t="str">
        <f t="shared" si="39"/>
        <v>#REF!</v>
      </c>
      <c r="CC99" s="133" t="str">
        <f t="shared" si="40"/>
        <v>#REF!</v>
      </c>
      <c r="CD99" s="133" t="str">
        <f t="shared" si="41"/>
        <v>#REF!</v>
      </c>
      <c r="CE99" s="133" t="str">
        <f t="shared" si="123"/>
        <v>#REF!</v>
      </c>
      <c r="CF99" s="134" t="str">
        <f t="shared" si="42"/>
        <v>#REF!</v>
      </c>
      <c r="CG99" s="134" t="str">
        <f t="shared" si="43"/>
        <v>#REF!</v>
      </c>
      <c r="CH99" s="135" t="str">
        <f>IF(ISNA(VLOOKUP(A99,'Données projet (1)'!$A$113:$I$133,5,0)),0%,VLOOKUP(A99,'Données projet (1)'!$A$113:$I$133,5,0)*VLOOKUP('Données projet (1)'!$B$12,'Paramètres (1)'!$A$1:$I$88,7,0))</f>
        <v>#REF!</v>
      </c>
      <c r="CI99" s="135" t="str">
        <f>IF(ISNA(VLOOKUP(A99,'Données projet (1)'!$A$113:$I$133,6,0)),0%,VLOOKUP(A99,'Données projet (1)'!$A$113:$I$133,6,0)*VLOOKUP('Données projet (1)'!$B$12,'Paramètres (1)'!$A$1:$I$88,7,0))</f>
        <v>#REF!</v>
      </c>
      <c r="CJ99" s="135" t="str">
        <f t="shared" si="44"/>
        <v>#REF!</v>
      </c>
      <c r="CK99" s="142" t="str">
        <f>EXP(-LN(2)/35)*CK98+(1-EXP(-LN(2)/35))/(LN(2)/35)*CG99*CH99*VLOOKUP('Données projet (1)'!$B$12,'Paramètres (1)'!$A$1:$I$88,3,0)*0.475*44/12</f>
        <v>#REF!</v>
      </c>
      <c r="CL99" s="142" t="str">
        <f>EXP(-LN(2)/25)*CL98+(1-EXP(-LN(2)/25))/(LN(2)/25)*'Calculateur (1)'!CG99*'Calculateur (1)'!CI99*VLOOKUP('Données projet (1)'!$B$12,'Paramètres (1)'!$A$1:$I$88,3,0)*0.475*44/12</f>
        <v>#REF!</v>
      </c>
      <c r="CM99" s="142" t="str">
        <f>EXP(-LN(2)/2)*CM98+(1-EXP(-LN(2)/2))/(LN(2)/2)*CG99*CJ99*VLOOKUP('Données projet (1)'!$B$12,'Paramètres (1)'!$A$1:$I$88,3,0)*0.475*44/12</f>
        <v>#REF!</v>
      </c>
      <c r="CN99" s="143" t="str">
        <f t="shared" si="45"/>
        <v>#REF!</v>
      </c>
      <c r="CO99" s="139" t="str">
        <f t="shared" si="46"/>
        <v>#REF!</v>
      </c>
      <c r="CP99" s="131">
        <f t="shared" si="47"/>
        <v>10</v>
      </c>
      <c r="CQ99" s="131" t="str">
        <f t="shared" si="124"/>
        <v>#REF!</v>
      </c>
      <c r="CR99" s="131" t="str">
        <f t="shared" si="48"/>
        <v>#REF!</v>
      </c>
      <c r="CS99" s="131" t="str">
        <f t="array" ref="CS99">INDEX(CR:CR,MIN(IF(ISNUMBER(CR99:CR295),ROW(CR99:CR295),"")))</f>
        <v/>
      </c>
      <c r="CT99" s="131" t="str">
        <f t="shared" si="125"/>
        <v>#REF!</v>
      </c>
      <c r="CU99" s="138" t="str">
        <f>CT99*VLOOKUP('Données projet (1)'!$B$13,'Paramètres (1)'!$A$1:$I$88,3,0)*VLOOKUP('Données projet (1)'!$B$13,'Paramètres (1)'!$A$1:$I$88,5,0)</f>
        <v>#REF!</v>
      </c>
      <c r="CV99" s="130" t="str">
        <f t="shared" si="126"/>
        <v>#REF!</v>
      </c>
      <c r="CW99" s="141" t="str">
        <f t="shared" si="49"/>
        <v>#REF!</v>
      </c>
      <c r="CX99" s="133" t="str">
        <f t="shared" si="50"/>
        <v>#REF!</v>
      </c>
      <c r="CY99" s="133" t="str">
        <f t="shared" si="51"/>
        <v>#REF!</v>
      </c>
      <c r="CZ99" s="133" t="str">
        <f t="shared" si="127"/>
        <v>#REF!</v>
      </c>
      <c r="DA99" s="134" t="str">
        <f t="shared" si="52"/>
        <v>#REF!</v>
      </c>
      <c r="DB99" s="134" t="str">
        <f t="shared" si="53"/>
        <v>#REF!</v>
      </c>
      <c r="DC99" s="135" t="str">
        <f>IF(ISNA(VLOOKUP(A99,'Données projet (1)'!$A$139:$I$159,5,0)),0%,VLOOKUP(A99,'Données projet (1)'!$A$139:$I$159,5,0)*VLOOKUP('Données projet (1)'!$B$13,'Paramètres (1)'!$A$1:$I$88,7,0))</f>
        <v>#REF!</v>
      </c>
      <c r="DD99" s="135" t="str">
        <f>IF(ISNA(VLOOKUP(A99,'Données projet (1)'!$A$139:$I$159,6,0)),0%,VLOOKUP(A99,'Données projet (1)'!$A$139:$I$159,6,0)*VLOOKUP('Données projet (1)'!$B$13,'Paramètres (1)'!$A$1:$I$88,7,0))</f>
        <v>#REF!</v>
      </c>
      <c r="DE99" s="135" t="str">
        <f t="shared" si="54"/>
        <v>#REF!</v>
      </c>
      <c r="DF99" s="142" t="str">
        <f>EXP(-LN(2)/35)*DF98+(1-EXP(-LN(2)/35))/(LN(2)/35)*DB99*DC99*VLOOKUP('Données projet (1)'!$B$13,'Paramètres (1)'!$A$1:$I$88,3,0)*0.475*44/12</f>
        <v>#REF!</v>
      </c>
      <c r="DG99" s="142" t="str">
        <f>EXP(-LN(2)/25)*DG98+(1-EXP(-LN(2)/25))/(LN(2)/25)*'Calculateur (1)'!DB99*'Calculateur (1)'!DD99*VLOOKUP('Données projet (1)'!$B$13,'Paramètres (1)'!$A$1:$I$88,3,0)*0.475*44/12</f>
        <v>#REF!</v>
      </c>
      <c r="DH99" s="142" t="str">
        <f>EXP(-LN(2)/2)*DH98+(1-EXP(-LN(2)/2))/(LN(2)/2)*DB99*DE99*VLOOKUP('Données projet (1)'!$B$13,'Paramètres (1)'!$A$1:$I$88,3,0)*0.475*44/12</f>
        <v>#REF!</v>
      </c>
      <c r="DI99" s="143" t="str">
        <f t="shared" si="55"/>
        <v>#REF!</v>
      </c>
      <c r="DJ99" s="139" t="str">
        <f t="shared" si="56"/>
        <v>#REF!</v>
      </c>
      <c r="DK99" s="131">
        <f t="shared" si="57"/>
        <v>10</v>
      </c>
      <c r="DL99" s="131" t="str">
        <f t="shared" si="128"/>
        <v>#REF!</v>
      </c>
      <c r="DM99" s="131" t="str">
        <f t="shared" si="58"/>
        <v>#REF!</v>
      </c>
      <c r="DN99" s="131" t="str">
        <f t="array" ref="DN99">INDEX(DM:DM,MIN(IF(ISNUMBER(DM99:DM295),ROW(DM99:DM295),"")))</f>
        <v/>
      </c>
      <c r="DO99" s="131" t="str">
        <f t="shared" si="129"/>
        <v>#REF!</v>
      </c>
      <c r="DP99" s="138" t="str">
        <f>DO99*VLOOKUP('Données projet (1)'!$B$14,'Paramètres (1)'!$A$1:$I$88,3,0)*VLOOKUP('Données projet (1)'!$B$14,'Paramètres (1)'!$A$1:$I$88,5,0)</f>
        <v>#REF!</v>
      </c>
      <c r="DQ99" s="130" t="str">
        <f t="shared" si="130"/>
        <v>#REF!</v>
      </c>
      <c r="DR99" s="141" t="str">
        <f t="shared" si="59"/>
        <v>#REF!</v>
      </c>
      <c r="DS99" s="133" t="str">
        <f t="shared" si="60"/>
        <v>#REF!</v>
      </c>
      <c r="DT99" s="133" t="str">
        <f t="shared" si="61"/>
        <v>#REF!</v>
      </c>
      <c r="DU99" s="133" t="str">
        <f t="shared" si="131"/>
        <v>#REF!</v>
      </c>
      <c r="DV99" s="134" t="str">
        <f t="shared" si="62"/>
        <v>#REF!</v>
      </c>
      <c r="DW99" s="134" t="str">
        <f t="shared" si="63"/>
        <v>#REF!</v>
      </c>
      <c r="DX99" s="135" t="str">
        <f>IF(ISNA(VLOOKUP(A99,'Données projet (1)'!$A$165:$I$185,5,0)),0%,VLOOKUP(A99,'Données projet (1)'!$A$165:$I$185,5,0)*VLOOKUP('Données projet (1)'!$B$14,'Paramètres (1)'!$A$1:$I$88,7,0))</f>
        <v>#REF!</v>
      </c>
      <c r="DY99" s="135" t="str">
        <f>IF(ISNA(VLOOKUP(A99,'Données projet (1)'!$A$165:$I$185,6,0)),0%,VLOOKUP(A99,'Données projet (1)'!$A$165:$I$185,6,0)*VLOOKUP('Données projet (1)'!$B$14,'Paramètres (1)'!$A$1:$I$88,7,0))</f>
        <v>#REF!</v>
      </c>
      <c r="DZ99" s="135" t="str">
        <f t="shared" si="64"/>
        <v>#REF!</v>
      </c>
      <c r="EA99" s="142" t="str">
        <f>EXP(-LN(2)/35)*EA98+(1-EXP(-LN(2)/35))/(LN(2)/35)*DW99*DX99*VLOOKUP('Données projet (1)'!$B$14,'Paramètres (1)'!$A$1:$I$88,3,0)*0.475*44/12</f>
        <v>#REF!</v>
      </c>
      <c r="EB99" s="142" t="str">
        <f>EXP(-LN(2)/25)*EB98+(1-EXP(-LN(2)/25))/(LN(2)/25)*'Calculateur (1)'!DW99*'Calculateur (1)'!DY99*VLOOKUP('Données projet (1)'!$B$14,'Paramètres (1)'!$A$1:$I$88,3,0)*0.475*44/12</f>
        <v>#REF!</v>
      </c>
      <c r="EC99" s="142" t="str">
        <f>EXP(-LN(2)/2)*EC98+(1-EXP(-LN(2)/2))/(LN(2)/2)*DW99*DZ99*VLOOKUP('Données projet (1)'!$B$14,'Paramètres (1)'!$A$1:$I$88,3,0)*0.475*44/12</f>
        <v>#REF!</v>
      </c>
      <c r="ED99" s="143" t="str">
        <f t="shared" si="65"/>
        <v>#REF!</v>
      </c>
      <c r="EE99" s="139" t="str">
        <f t="shared" si="66"/>
        <v>#REF!</v>
      </c>
      <c r="EF99" s="131">
        <f t="shared" si="67"/>
        <v>10</v>
      </c>
      <c r="EG99" s="131" t="str">
        <f t="shared" si="132"/>
        <v>#REF!</v>
      </c>
      <c r="EH99" s="131" t="str">
        <f t="shared" si="68"/>
        <v>#REF!</v>
      </c>
      <c r="EI99" s="131" t="str">
        <f t="array" ref="EI99">INDEX(EH:EH,MIN(IF(ISNUMBER(EH99:EH295),ROW(EH99:EH295),"")))</f>
        <v/>
      </c>
      <c r="EJ99" s="131" t="str">
        <f t="shared" si="133"/>
        <v>#REF!</v>
      </c>
      <c r="EK99" s="138" t="str">
        <f>EJ99*VLOOKUP('Données projet (1)'!$B$15,'Paramètres (1)'!$A$1:$I$88,3,0)*VLOOKUP('Données projet (1)'!$B$15,'Paramètres (1)'!$A$1:$I$88,5,0)</f>
        <v>#REF!</v>
      </c>
      <c r="EL99" s="130" t="str">
        <f t="shared" si="134"/>
        <v>#REF!</v>
      </c>
      <c r="EM99" s="141" t="str">
        <f t="shared" si="69"/>
        <v>#REF!</v>
      </c>
      <c r="EN99" s="133" t="str">
        <f t="shared" si="70"/>
        <v>#REF!</v>
      </c>
      <c r="EO99" s="133" t="str">
        <f t="shared" si="71"/>
        <v>#REF!</v>
      </c>
      <c r="EP99" s="133" t="str">
        <f t="shared" si="135"/>
        <v>#REF!</v>
      </c>
      <c r="EQ99" s="134" t="str">
        <f t="shared" si="72"/>
        <v>#REF!</v>
      </c>
      <c r="ER99" s="134" t="str">
        <f t="shared" si="73"/>
        <v>#REF!</v>
      </c>
      <c r="ES99" s="135" t="str">
        <f>IF(ISNA(VLOOKUP(A99,'Données projet (1)'!$A$191:$I$211,5,0)),0%,VLOOKUP(A99,'Données projet (1)'!$A$191:$I$211,5,0)*VLOOKUP('Données projet (1)'!$B$15,'Paramètres (1)'!$A$1:$I$88,7,0))</f>
        <v>#REF!</v>
      </c>
      <c r="ET99" s="135" t="str">
        <f>IF(ISNA(VLOOKUP(A99,'Données projet (1)'!$A$191:$I$211,6,0)),0%,VLOOKUP(A99,'Données projet (1)'!$A$191:$I$211,6,0)*VLOOKUP('Données projet (1)'!$B$15,'Paramètres (1)'!$A$1:$I$88,7,0))</f>
        <v>#REF!</v>
      </c>
      <c r="EU99" s="135" t="str">
        <f t="shared" si="74"/>
        <v>#REF!</v>
      </c>
      <c r="EV99" s="142" t="str">
        <f>EXP(-LN(2)/35)*EV98+(1-EXP(-LN(2)/35))/(LN(2)/35)*ER99*ES99*VLOOKUP('Données projet (1)'!$B$15,'Paramètres (1)'!$A$1:$I$88,3,0)*0.475*44/12</f>
        <v>#REF!</v>
      </c>
      <c r="EW99" s="142" t="str">
        <f>EXP(-LN(2)/25)*EW98+(1-EXP(-LN(2)/25))/(LN(2)/25)*'Calculateur (1)'!ER99*'Calculateur (1)'!ET99*VLOOKUP('Données projet (1)'!$B$15,'Paramètres (1)'!$A$1:$I$88,3,0)*0.475*44/12</f>
        <v>#REF!</v>
      </c>
      <c r="EX99" s="142" t="str">
        <f>EXP(-LN(2)/2)*EX98+(1-EXP(-LN(2)/2))/(LN(2)/2)*ER99*EU99*VLOOKUP('Données projet (1)'!$B$15,'Paramètres (1)'!$A$1:$I$88,3,0)*0.475*44/12</f>
        <v>#REF!</v>
      </c>
      <c r="EY99" s="143" t="str">
        <f t="shared" si="75"/>
        <v>#REF!</v>
      </c>
      <c r="EZ99" s="139" t="str">
        <f t="shared" si="76"/>
        <v>#REF!</v>
      </c>
      <c r="FA99" s="131">
        <f t="shared" si="77"/>
        <v>10</v>
      </c>
      <c r="FB99" s="131" t="str">
        <f t="shared" si="136"/>
        <v>#REF!</v>
      </c>
      <c r="FC99" s="131" t="str">
        <f t="shared" si="78"/>
        <v>#REF!</v>
      </c>
      <c r="FD99" s="131" t="str">
        <f t="array" ref="FD99">INDEX(FC:FC,MIN(IF(ISNUMBER(FC99:FC295),ROW(FC99:FC295),"")))</f>
        <v/>
      </c>
      <c r="FE99" s="131" t="str">
        <f t="shared" si="137"/>
        <v>#REF!</v>
      </c>
      <c r="FF99" s="138" t="str">
        <f>FE99*VLOOKUP('Données projet (1)'!$B$16,'Paramètres (1)'!$A$1:$I$88,3,0)*VLOOKUP('Données projet (1)'!$B$16,'Paramètres (1)'!$A$1:$I$88,5,0)</f>
        <v>#REF!</v>
      </c>
      <c r="FG99" s="130" t="str">
        <f t="shared" si="138"/>
        <v>#REF!</v>
      </c>
      <c r="FH99" s="141" t="str">
        <f t="shared" si="79"/>
        <v>#REF!</v>
      </c>
      <c r="FI99" s="133" t="str">
        <f t="shared" si="80"/>
        <v>#REF!</v>
      </c>
      <c r="FJ99" s="133" t="str">
        <f t="shared" si="81"/>
        <v>#REF!</v>
      </c>
      <c r="FK99" s="133" t="str">
        <f t="shared" si="139"/>
        <v>#REF!</v>
      </c>
      <c r="FL99" s="134" t="str">
        <f t="shared" si="82"/>
        <v>#REF!</v>
      </c>
      <c r="FM99" s="134" t="str">
        <f t="shared" si="83"/>
        <v>#REF!</v>
      </c>
      <c r="FN99" s="135" t="str">
        <f>IF(ISNA(VLOOKUP(A99,'Données projet (1)'!$A$217:$I$237,5,0)),0%,VLOOKUP(A99,'Données projet (1)'!$A$217:$I$237,5,0)*VLOOKUP('Données projet (1)'!$B$16,'Paramètres (1)'!$A$1:$I$88,7,0))</f>
        <v>#REF!</v>
      </c>
      <c r="FO99" s="135" t="str">
        <f>IF(ISNA(VLOOKUP(A99,'Données projet (1)'!$A$217:$I$237,6,0)),0%,VLOOKUP(A99,'Données projet (1)'!$A$217:$I$237,6,0)*VLOOKUP('Données projet (1)'!$B$16,'Paramètres (1)'!$A$1:$I$88,7,0))</f>
        <v>#REF!</v>
      </c>
      <c r="FP99" s="135" t="str">
        <f t="shared" si="84"/>
        <v>#REF!</v>
      </c>
      <c r="FQ99" s="142" t="str">
        <f>EXP(-LN(2)/35)*FQ98+(1-EXP(-LN(2)/35))/(LN(2)/35)*FM99*FN99*VLOOKUP('Données projet (1)'!$B$16,'Paramètres (1)'!$A$1:$I$88,3,0)*0.475*44/12</f>
        <v>#REF!</v>
      </c>
      <c r="FR99" s="142" t="str">
        <f>EXP(-LN(2)/25)*FR98+(1-EXP(-LN(2)/25))/(LN(2)/25)*'Calculateur (1)'!FM99*'Calculateur (1)'!FO99*VLOOKUP('Données projet (1)'!$B$16,'Paramètres (1)'!$A$1:$I$88,3,0)*0.475*44/12</f>
        <v>#REF!</v>
      </c>
      <c r="FS99" s="142" t="str">
        <f>EXP(-LN(2)/2)*FS98+(1-EXP(-LN(2)/2))/(LN(2)/2)*FM99*FP99*VLOOKUP('Données projet (1)'!$B$16,'Paramètres (1)'!$A$1:$I$88,3,0)*0.475*44/12</f>
        <v>#REF!</v>
      </c>
      <c r="FT99" s="143" t="str">
        <f t="shared" si="85"/>
        <v>#REF!</v>
      </c>
      <c r="FU99" s="139" t="str">
        <f t="shared" si="86"/>
        <v>#REF!</v>
      </c>
      <c r="FV99" s="131">
        <f t="shared" si="87"/>
        <v>10</v>
      </c>
      <c r="FW99" s="131" t="str">
        <f t="shared" si="140"/>
        <v>#REF!</v>
      </c>
      <c r="FX99" s="131" t="str">
        <f t="shared" si="88"/>
        <v>#REF!</v>
      </c>
      <c r="FY99" s="131" t="str">
        <f t="array" ref="FY99">INDEX(FX:FX,MIN(IF(ISNUMBER(FX99:FX295),ROW(FX99:FX295),"")))</f>
        <v/>
      </c>
      <c r="FZ99" s="131" t="str">
        <f t="shared" si="141"/>
        <v>#REF!</v>
      </c>
      <c r="GA99" s="138" t="str">
        <f>FZ99*VLOOKUP('Données projet (1)'!$B$17,'Paramètres (1)'!$A$1:$I$88,3,0)*VLOOKUP('Données projet (1)'!$B$17,'Paramètres (1)'!$A$1:$I$88,5,0)</f>
        <v>#REF!</v>
      </c>
      <c r="GB99" s="130" t="str">
        <f t="shared" si="142"/>
        <v>#REF!</v>
      </c>
      <c r="GC99" s="141" t="str">
        <f t="shared" si="89"/>
        <v>#REF!</v>
      </c>
      <c r="GD99" s="133" t="str">
        <f t="shared" si="90"/>
        <v>#REF!</v>
      </c>
      <c r="GE99" s="133" t="str">
        <f t="shared" si="91"/>
        <v>#REF!</v>
      </c>
      <c r="GF99" s="133" t="str">
        <f t="shared" si="143"/>
        <v>#REF!</v>
      </c>
      <c r="GG99" s="134" t="str">
        <f t="shared" si="92"/>
        <v>#REF!</v>
      </c>
      <c r="GH99" s="134" t="str">
        <f t="shared" si="93"/>
        <v>#REF!</v>
      </c>
      <c r="GI99" s="135" t="str">
        <f>IF(ISNA(VLOOKUP(A99,'Données projet (1)'!$A$243:$I$263,5,0)),0%,VLOOKUP(A99,'Données projet (1)'!$A$243:$I$263,5,0)*VLOOKUP('Données projet (1)'!$B$17,'Paramètres (1)'!$A$1:$I$88,7,0))</f>
        <v>#REF!</v>
      </c>
      <c r="GJ99" s="135" t="str">
        <f>IF(ISNA(VLOOKUP(A99,'Données projet (1)'!$A$243:$I$263,6,0)),0%,VLOOKUP(A99,'Données projet (1)'!$A$243:$I$263,6,0)*VLOOKUP('Données projet (1)'!$B$17,'Paramètres (1)'!$A$1:$I$88,7,0))</f>
        <v>#REF!</v>
      </c>
      <c r="GK99" s="135" t="str">
        <f t="shared" si="94"/>
        <v>#REF!</v>
      </c>
      <c r="GL99" s="142" t="str">
        <f>EXP(-LN(2)/35)*GL98+(1-EXP(-LN(2)/35))/(LN(2)/35)*GH99*GI99*VLOOKUP('Données projet (1)'!$B$17,'Paramètres (1)'!$A$1:$I$88,3,0)*0.475*44/12</f>
        <v>#REF!</v>
      </c>
      <c r="GM99" s="142" t="str">
        <f>EXP(-LN(2)/25)*GM98+(1-EXP(-LN(2)/25))/(LN(2)/25)*'Calculateur (1)'!GH99*'Calculateur (1)'!GJ99*VLOOKUP('Données projet (1)'!$B$17,'Paramètres (1)'!$A$1:$I$88,3,0)*0.475*44/12</f>
        <v>#REF!</v>
      </c>
      <c r="GN99" s="142" t="str">
        <f>EXP(-LN(2)/2)*GN98+(1-EXP(-LN(2)/2))/(LN(2)/2)*GH99*GK99*VLOOKUP('Données projet (1)'!$B$17,'Paramètres (1)'!$A$1:$I$88,3,0)*0.475*44/12</f>
        <v>#REF!</v>
      </c>
      <c r="GO99" s="142" t="str">
        <f t="shared" si="95"/>
        <v>#REF!</v>
      </c>
      <c r="GP99" s="139" t="str">
        <f t="shared" si="96"/>
        <v>#REF!</v>
      </c>
      <c r="GQ99" s="131">
        <f t="shared" si="97"/>
        <v>10</v>
      </c>
      <c r="GR99" s="131" t="str">
        <f t="shared" si="144"/>
        <v>#REF!</v>
      </c>
      <c r="GS99" s="131" t="str">
        <f t="shared" si="98"/>
        <v>#REF!</v>
      </c>
      <c r="GT99" s="131" t="str">
        <f t="array" ref="GT99">INDEX(GS:GS,MIN(IF(ISNUMBER(GS99:GS295),ROW(GS99:GS295),"")))</f>
        <v/>
      </c>
      <c r="GU99" s="131" t="str">
        <f t="shared" si="145"/>
        <v>#REF!</v>
      </c>
      <c r="GV99" s="138" t="str">
        <f>GU99*VLOOKUP('Données projet (1)'!$B$18,'Paramètres (1)'!$A$1:$I$88,3,0)*VLOOKUP('Données projet (1)'!$B$18,'Paramètres (1)'!$A$1:$I$88,5,0)</f>
        <v>#REF!</v>
      </c>
      <c r="GW99" s="130" t="str">
        <f t="shared" si="146"/>
        <v>#REF!</v>
      </c>
      <c r="GX99" s="141" t="str">
        <f t="shared" si="99"/>
        <v>#REF!</v>
      </c>
      <c r="GY99" s="133" t="str">
        <f t="shared" si="100"/>
        <v>#REF!</v>
      </c>
      <c r="GZ99" s="133" t="str">
        <f t="shared" si="101"/>
        <v>#REF!</v>
      </c>
      <c r="HA99" s="133" t="str">
        <f t="shared" si="147"/>
        <v>#REF!</v>
      </c>
      <c r="HB99" s="134" t="str">
        <f t="shared" si="102"/>
        <v>#REF!</v>
      </c>
      <c r="HC99" s="134" t="str">
        <f t="shared" si="103"/>
        <v>#REF!</v>
      </c>
      <c r="HD99" s="135" t="str">
        <f>IF(ISNA(VLOOKUP(A99,'Données projet (1)'!$A$269:$I$289,5,0)),0%,VLOOKUP(A99,'Données projet (1)'!$A$269:$I$289,5,0)*VLOOKUP('Données projet (1)'!$B$18,'Paramètres (1)'!$A$1:$I$88,7,0))</f>
        <v>#REF!</v>
      </c>
      <c r="HE99" s="135" t="str">
        <f>IF(ISNA(VLOOKUP(A99,'Données projet (1)'!$A$269:$I$289,6,0)),0%,VLOOKUP(A99,'Données projet (1)'!$A$269:$I$289,6,0)*VLOOKUP('Données projet (1)'!$B$18,'Paramètres (1)'!$A$1:$I$88,7,0))</f>
        <v>#REF!</v>
      </c>
      <c r="HF99" s="135" t="str">
        <f t="shared" si="104"/>
        <v>#REF!</v>
      </c>
      <c r="HG99" s="142" t="str">
        <f>EXP(-LN(2)/35)*HG98+(1-EXP(-LN(2)/35))/(LN(2)/35)*HC99*HD99*VLOOKUP('Données projet (1)'!$B$18,'Paramètres (1)'!$A$1:$I$88,3,0)*0.475*44/12</f>
        <v>#REF!</v>
      </c>
      <c r="HH99" s="142" t="str">
        <f>EXP(-LN(2)/25)*HH98+(1-EXP(-LN(2)/25))/(LN(2)/25)*'Calculateur (1)'!HC99*'Calculateur (1)'!HE99*VLOOKUP('Données projet (1)'!$B$18,'Paramètres (1)'!$A$1:$I$88,3,0)*0.475*44/12</f>
        <v>#REF!</v>
      </c>
      <c r="HI99" s="142" t="str">
        <f>EXP(-LN(2)/2)*HI98+(1-EXP(-LN(2)/2))/(LN(2)/2)*HC99*HF99*VLOOKUP('Données projet (1)'!$B$18,'Paramètres (1)'!$A$1:$I$88,3,0)*0.475*44/12</f>
        <v>#REF!</v>
      </c>
      <c r="HJ99" s="143" t="str">
        <f t="shared" si="105"/>
        <v>#REF!</v>
      </c>
    </row>
    <row r="100" ht="14.25" customHeight="1">
      <c r="A100" s="125">
        <f t="shared" si="106"/>
        <v>97</v>
      </c>
      <c r="B100" s="126" t="str">
        <f t="shared" si="1"/>
        <v>#REF!</v>
      </c>
      <c r="C100" s="140" t="str">
        <f>'Calculateur (1)'!C99+'Scénario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0" s="127">
        <f t="shared" si="107"/>
        <v>0</v>
      </c>
      <c r="E100" s="127" t="str">
        <f t="shared" si="2"/>
        <v>#REF!</v>
      </c>
      <c r="F100" s="127" t="str">
        <f t="shared" si="3"/>
        <v>#REF!</v>
      </c>
      <c r="G100" s="127" t="str">
        <f t="shared" si="4"/>
        <v>#REF!</v>
      </c>
      <c r="H100" s="128" t="str">
        <f t="shared" si="5"/>
        <v>#REF!</v>
      </c>
      <c r="I100" s="129" t="str">
        <f t="shared" si="6"/>
        <v>#REF!</v>
      </c>
      <c r="J100" s="130">
        <f t="shared" si="7"/>
        <v>10</v>
      </c>
      <c r="K100" s="131" t="str">
        <f t="shared" si="108"/>
        <v>#REF!</v>
      </c>
      <c r="L100" s="131" t="str">
        <f t="shared" si="8"/>
        <v>#REF!</v>
      </c>
      <c r="M100" s="131" t="str">
        <f t="array" ref="M100">INDEX(L:L,MIN(IF(ISNUMBER(L100:L296),ROW(L100:L296),"")))</f>
        <v/>
      </c>
      <c r="N100" s="130" t="str">
        <f t="shared" si="109"/>
        <v>#REF!</v>
      </c>
      <c r="O100" s="130" t="str">
        <f>N100*VLOOKUP('Données projet (1)'!$B$9,'Paramètres (1)'!$A$1:$I$88,3,0)*VLOOKUP('Données projet (1)'!$B$9,'Paramètres (1)'!$A$1:$I$88,5,0)</f>
        <v>#REF!</v>
      </c>
      <c r="P100" s="130" t="str">
        <f t="shared" si="110"/>
        <v>#REF!</v>
      </c>
      <c r="Q100" s="141" t="str">
        <f t="shared" si="9"/>
        <v>#REF!</v>
      </c>
      <c r="R100" s="133" t="str">
        <f t="shared" si="10"/>
        <v>#REF!</v>
      </c>
      <c r="S100" s="133" t="str">
        <f t="shared" si="11"/>
        <v>#REF!</v>
      </c>
      <c r="T100" s="133" t="str">
        <f t="shared" si="111"/>
        <v>#REF!</v>
      </c>
      <c r="U100" s="134" t="str">
        <f t="shared" si="12"/>
        <v>#REF!</v>
      </c>
      <c r="V100" s="134" t="str">
        <f t="shared" si="13"/>
        <v>#REF!</v>
      </c>
      <c r="W100" s="135" t="str">
        <f>IF(ISNA(VLOOKUP(A100,'Données projet (1)'!$A$35:$I$55,5,0)),0%,VLOOKUP(A100,'Données projet (1)'!$A$35:$I$55,5,0)*VLOOKUP('Données projet (1)'!$B$9,'Paramètres (1)'!$A$1:$I$88,7,0))</f>
        <v>#REF!</v>
      </c>
      <c r="X100" s="135" t="str">
        <f>IF(ISNA(VLOOKUP(A100,'Données projet (1)'!$A$35:$I$55,6,0)),0%,VLOOKUP(A100,'Données projet (1)'!$A$35:$I$55,6,0)*VLOOKUP('Données projet (1)'!$B$9,'Paramètres (1)'!$A$1:$I$88,7,0))</f>
        <v>#REF!</v>
      </c>
      <c r="Y100" s="135" t="str">
        <f t="shared" si="14"/>
        <v>#REF!</v>
      </c>
      <c r="Z100" s="142" t="str">
        <f>EXP(-LN(2)/35)*Z99+(1-EXP(-LN(2)/35))/(LN(2)/35)*V100*W100*VLOOKUP('Données projet (1)'!$B$9,'Paramètres (1)'!$A$1:$I$88,3,0)*0.475*44/12</f>
        <v>#REF!</v>
      </c>
      <c r="AA100" s="142" t="str">
        <f>EXP(-LN(2)/25)*AA99+(1-EXP(-LN(2)/25))/(LN(2)/25)*'Calculateur (1)'!V100*'Calculateur (1)'!X100*VLOOKUP('Données projet (1)'!$B$9,'Paramètres (1)'!$A$1:$I$88,3,0)*0.475*44/12</f>
        <v>#REF!</v>
      </c>
      <c r="AB100" s="142" t="str">
        <f>EXP(-LN(2)/2)*AB99+(1-EXP(-LN(2)/2))/(LN(2)/2)*V100*Y100*VLOOKUP('Données projet (1)'!$B$9,'Paramètres (1)'!$A$1:$I$88,3,0)*0.475*44/12</f>
        <v>#REF!</v>
      </c>
      <c r="AC100" s="143" t="str">
        <f t="shared" si="15"/>
        <v>#REF!</v>
      </c>
      <c r="AD100" s="130" t="str">
        <f t="shared" si="16"/>
        <v>#REF!</v>
      </c>
      <c r="AE100" s="130">
        <f t="shared" si="17"/>
        <v>10</v>
      </c>
      <c r="AF100" s="131" t="str">
        <f t="shared" si="112"/>
        <v>#REF!</v>
      </c>
      <c r="AG100" s="131" t="str">
        <f t="shared" si="18"/>
        <v>#REF!</v>
      </c>
      <c r="AH100" s="131" t="str">
        <f t="array" ref="AH100">INDEX(AG:AG,MIN(IF(ISNUMBER(AG100:AG296),ROW(AG100:AG296),"")))</f>
        <v/>
      </c>
      <c r="AI100" s="130" t="str">
        <f t="shared" si="113"/>
        <v>#REF!</v>
      </c>
      <c r="AJ100" s="130" t="str">
        <f>AI100*VLOOKUP('Données projet (1)'!$B$10,'Paramètres (1)'!$A$1:$I$88,3,0)*VLOOKUP('Données projet (1)'!$B$10,'Paramètres (1)'!$A$1:$I$88,5,0)</f>
        <v>#REF!</v>
      </c>
      <c r="AK100" s="130" t="str">
        <f t="shared" si="114"/>
        <v>#REF!</v>
      </c>
      <c r="AL100" s="141" t="str">
        <f t="shared" si="19"/>
        <v>#REF!</v>
      </c>
      <c r="AM100" s="133" t="str">
        <f t="shared" si="20"/>
        <v>#REF!</v>
      </c>
      <c r="AN100" s="133" t="str">
        <f t="shared" si="21"/>
        <v>#REF!</v>
      </c>
      <c r="AO100" s="133" t="str">
        <f t="shared" si="115"/>
        <v>#REF!</v>
      </c>
      <c r="AP100" s="134" t="str">
        <f t="shared" si="22"/>
        <v>#REF!</v>
      </c>
      <c r="AQ100" s="134" t="str">
        <f t="shared" si="23"/>
        <v>#REF!</v>
      </c>
      <c r="AR100" s="135" t="str">
        <f>IF(ISNA(VLOOKUP(A100,'Données projet (1)'!$A$61:$I$81,5,0)),0%,VLOOKUP(A100,'Données projet (1)'!$A$61:$I$81,5,0)*VLOOKUP('Données projet (1)'!$B$10,'Paramètres (1)'!$A$1:$I$88,7,0))</f>
        <v>#REF!</v>
      </c>
      <c r="AS100" s="135" t="str">
        <f>IF(ISNA(VLOOKUP(A100,'Données projet (1)'!$A$61:$I$81,6,0)),0%,VLOOKUP(A100,'Données projet (1)'!$A$61:$I$81,6,0)*VLOOKUP('Données projet (1)'!$B$10,'Paramètres (1)'!$A$1:$I$88,7,0))</f>
        <v>#REF!</v>
      </c>
      <c r="AT100" s="135" t="str">
        <f t="shared" si="24"/>
        <v>#REF!</v>
      </c>
      <c r="AU100" s="142" t="str">
        <f>EXP(-LN(2)/35)*AU99+(1-EXP(-LN(2)/35))/(LN(2)/35)*AQ100*AR100*VLOOKUP('Données projet (1)'!$B$10,'Paramètres (1)'!$A$1:$I$88,3,0)*0.475*44/12</f>
        <v>#REF!</v>
      </c>
      <c r="AV100" s="142" t="str">
        <f>EXP(-LN(2)/25)*AV99+(1-EXP(-LN(2)/25))/(LN(2)/25)*'Calculateur (1)'!AQ100*'Calculateur (1)'!AS100*VLOOKUP('Données projet (1)'!$B$10,'Paramètres (1)'!$A$1:$I$88,3,0)*0.475*44/12</f>
        <v>#REF!</v>
      </c>
      <c r="AW100" s="142" t="str">
        <f>EXP(-LN(2)/2)*AW99+(1-EXP(-LN(2)/2))/(LN(2)/2)*AQ100*AT100*VLOOKUP('Données projet (1)'!$B$10,'Paramètres (1)'!$A$1:$I$88,3,0)*0.475*44/12</f>
        <v>#REF!</v>
      </c>
      <c r="AX100" s="142" t="str">
        <f t="shared" si="25"/>
        <v>#REF!</v>
      </c>
      <c r="AY100" s="137" t="str">
        <f t="shared" si="26"/>
        <v>#REF!</v>
      </c>
      <c r="AZ100" s="131">
        <f t="shared" si="27"/>
        <v>10</v>
      </c>
      <c r="BA100" s="131" t="str">
        <f t="shared" si="116"/>
        <v>#REF!</v>
      </c>
      <c r="BB100" s="131" t="str">
        <f t="shared" si="28"/>
        <v>#REF!</v>
      </c>
      <c r="BC100" s="131" t="str">
        <f t="array" ref="BC100">INDEX(BB:BB,MIN(IF(ISNUMBER(BB100:BB296),ROW(BB100:BB296),"")))</f>
        <v/>
      </c>
      <c r="BD100" s="131" t="str">
        <f t="shared" si="117"/>
        <v>#REF!</v>
      </c>
      <c r="BE100" s="130" t="str">
        <f>BD100*VLOOKUP('Données projet (1)'!$B$11,'Paramètres (1)'!$A$1:$I$88,3,0)*VLOOKUP('Données projet (1)'!$B$11,'Paramètres (1)'!$A$1:$I$88,5,0)</f>
        <v>#REF!</v>
      </c>
      <c r="BF100" s="130" t="str">
        <f t="shared" si="118"/>
        <v>#REF!</v>
      </c>
      <c r="BG100" s="141" t="str">
        <f t="shared" si="29"/>
        <v>#REF!</v>
      </c>
      <c r="BH100" s="133" t="str">
        <f t="shared" si="30"/>
        <v>#REF!</v>
      </c>
      <c r="BI100" s="133" t="str">
        <f t="shared" si="31"/>
        <v>#REF!</v>
      </c>
      <c r="BJ100" s="133" t="str">
        <f t="shared" si="119"/>
        <v>#REF!</v>
      </c>
      <c r="BK100" s="134" t="str">
        <f t="shared" si="32"/>
        <v>#REF!</v>
      </c>
      <c r="BL100" s="134" t="str">
        <f t="shared" si="33"/>
        <v>#REF!</v>
      </c>
      <c r="BM100" s="135" t="str">
        <f>IF(ISNA(VLOOKUP(A100,'Données projet (1)'!$A$87:$I$107,5,0)),0%,VLOOKUP(A100,'Données projet (1)'!$A$87:$I$107,5,0)*VLOOKUP('Données projet (1)'!$B$11,'Paramètres (1)'!$A$1:$I$88,7,0))</f>
        <v>#REF!</v>
      </c>
      <c r="BN100" s="135" t="str">
        <f>IF(ISNA(VLOOKUP(A100,'Données projet (1)'!$A$87:$I$107,6,0)),0%,VLOOKUP(A100,'Données projet (1)'!$A$87:$I$107,6,0)*VLOOKUP('Données projet (1)'!$B$11,'Paramètres (1)'!$A$1:$I$88,7,0))</f>
        <v>#REF!</v>
      </c>
      <c r="BO100" s="135" t="str">
        <f t="shared" si="34"/>
        <v>#REF!</v>
      </c>
      <c r="BP100" s="142" t="str">
        <f>EXP(-LN(2)/35)*BP99+(1-EXP(-LN(2)/35))/(LN(2)/35)*BL100*BM100*VLOOKUP('Données projet (1)'!$B$11,'Paramètres (1)'!$A$1:$I$88,3,0)*0.475*44/12</f>
        <v>#REF!</v>
      </c>
      <c r="BQ100" s="142" t="str">
        <f>EXP(-LN(2)/25)*BQ99+(1-EXP(-LN(2)/25))/(LN(2)/25)*'Calculateur (1)'!BL100*'Calculateur (1)'!BN100*VLOOKUP('Données projet (1)'!$B$11,'Paramètres (1)'!$A$1:$I$88,3,0)*0.475*44/12</f>
        <v>#REF!</v>
      </c>
      <c r="BR100" s="142" t="str">
        <f>EXP(-LN(2)/2)*BR99+(1-EXP(-LN(2)/2))/(LN(2)/2)*BL100*BO100*VLOOKUP('Données projet (1)'!$B$11,'Paramètres (1)'!$A$1:$I$88,3,0)*0.475*44/12</f>
        <v>#REF!</v>
      </c>
      <c r="BS100" s="143" t="str">
        <f t="shared" si="35"/>
        <v>#REF!</v>
      </c>
      <c r="BT100" s="139" t="str">
        <f t="shared" si="36"/>
        <v>#REF!</v>
      </c>
      <c r="BU100" s="131">
        <f t="shared" si="37"/>
        <v>10</v>
      </c>
      <c r="BV100" s="131" t="str">
        <f t="shared" si="120"/>
        <v>#REF!</v>
      </c>
      <c r="BW100" s="131" t="str">
        <f t="shared" si="38"/>
        <v>#REF!</v>
      </c>
      <c r="BX100" s="131" t="str">
        <f t="array" ref="BX100">INDEX(BW:BW,MIN(IF(ISNUMBER(BW100:BW296),ROW(BW100:BW296),"")))</f>
        <v/>
      </c>
      <c r="BY100" s="131" t="str">
        <f t="shared" si="121"/>
        <v>#REF!</v>
      </c>
      <c r="BZ100" s="130" t="str">
        <f>BY100*VLOOKUP('Données projet (1)'!$B$12,'Paramètres (1)'!$A$1:$I$88,3,0)*VLOOKUP('Données projet (1)'!$B$12,'Paramètres (1)'!$A$1:$I$88,5,0)</f>
        <v>#REF!</v>
      </c>
      <c r="CA100" s="130" t="str">
        <f t="shared" si="122"/>
        <v>#REF!</v>
      </c>
      <c r="CB100" s="141" t="str">
        <f t="shared" si="39"/>
        <v>#REF!</v>
      </c>
      <c r="CC100" s="133" t="str">
        <f t="shared" si="40"/>
        <v>#REF!</v>
      </c>
      <c r="CD100" s="133" t="str">
        <f t="shared" si="41"/>
        <v>#REF!</v>
      </c>
      <c r="CE100" s="133" t="str">
        <f t="shared" si="123"/>
        <v>#REF!</v>
      </c>
      <c r="CF100" s="134" t="str">
        <f t="shared" si="42"/>
        <v>#REF!</v>
      </c>
      <c r="CG100" s="134" t="str">
        <f t="shared" si="43"/>
        <v>#REF!</v>
      </c>
      <c r="CH100" s="135" t="str">
        <f>IF(ISNA(VLOOKUP(A100,'Données projet (1)'!$A$113:$I$133,5,0)),0%,VLOOKUP(A100,'Données projet (1)'!$A$113:$I$133,5,0)*VLOOKUP('Données projet (1)'!$B$12,'Paramètres (1)'!$A$1:$I$88,7,0))</f>
        <v>#REF!</v>
      </c>
      <c r="CI100" s="135" t="str">
        <f>IF(ISNA(VLOOKUP(A100,'Données projet (1)'!$A$113:$I$133,6,0)),0%,VLOOKUP(A100,'Données projet (1)'!$A$113:$I$133,6,0)*VLOOKUP('Données projet (1)'!$B$12,'Paramètres (1)'!$A$1:$I$88,7,0))</f>
        <v>#REF!</v>
      </c>
      <c r="CJ100" s="135" t="str">
        <f t="shared" si="44"/>
        <v>#REF!</v>
      </c>
      <c r="CK100" s="142" t="str">
        <f>EXP(-LN(2)/35)*CK99+(1-EXP(-LN(2)/35))/(LN(2)/35)*CG100*CH100*VLOOKUP('Données projet (1)'!$B$12,'Paramètres (1)'!$A$1:$I$88,3,0)*0.475*44/12</f>
        <v>#REF!</v>
      </c>
      <c r="CL100" s="142" t="str">
        <f>EXP(-LN(2)/25)*CL99+(1-EXP(-LN(2)/25))/(LN(2)/25)*'Calculateur (1)'!CG100*'Calculateur (1)'!CI100*VLOOKUP('Données projet (1)'!$B$12,'Paramètres (1)'!$A$1:$I$88,3,0)*0.475*44/12</f>
        <v>#REF!</v>
      </c>
      <c r="CM100" s="142" t="str">
        <f>EXP(-LN(2)/2)*CM99+(1-EXP(-LN(2)/2))/(LN(2)/2)*CG100*CJ100*VLOOKUP('Données projet (1)'!$B$12,'Paramètres (1)'!$A$1:$I$88,3,0)*0.475*44/12</f>
        <v>#REF!</v>
      </c>
      <c r="CN100" s="143" t="str">
        <f t="shared" si="45"/>
        <v>#REF!</v>
      </c>
      <c r="CO100" s="139" t="str">
        <f t="shared" si="46"/>
        <v>#REF!</v>
      </c>
      <c r="CP100" s="131">
        <f t="shared" si="47"/>
        <v>10</v>
      </c>
      <c r="CQ100" s="131" t="str">
        <f t="shared" si="124"/>
        <v>#REF!</v>
      </c>
      <c r="CR100" s="131" t="str">
        <f t="shared" si="48"/>
        <v>#REF!</v>
      </c>
      <c r="CS100" s="131" t="str">
        <f t="array" ref="CS100">INDEX(CR:CR,MIN(IF(ISNUMBER(CR100:CR296),ROW(CR100:CR296),"")))</f>
        <v/>
      </c>
      <c r="CT100" s="131" t="str">
        <f t="shared" si="125"/>
        <v>#REF!</v>
      </c>
      <c r="CU100" s="138" t="str">
        <f>CT100*VLOOKUP('Données projet (1)'!$B$13,'Paramètres (1)'!$A$1:$I$88,3,0)*VLOOKUP('Données projet (1)'!$B$13,'Paramètres (1)'!$A$1:$I$88,5,0)</f>
        <v>#REF!</v>
      </c>
      <c r="CV100" s="130" t="str">
        <f t="shared" si="126"/>
        <v>#REF!</v>
      </c>
      <c r="CW100" s="141" t="str">
        <f t="shared" si="49"/>
        <v>#REF!</v>
      </c>
      <c r="CX100" s="133" t="str">
        <f t="shared" si="50"/>
        <v>#REF!</v>
      </c>
      <c r="CY100" s="133" t="str">
        <f t="shared" si="51"/>
        <v>#REF!</v>
      </c>
      <c r="CZ100" s="133" t="str">
        <f t="shared" si="127"/>
        <v>#REF!</v>
      </c>
      <c r="DA100" s="134" t="str">
        <f t="shared" si="52"/>
        <v>#REF!</v>
      </c>
      <c r="DB100" s="134" t="str">
        <f t="shared" si="53"/>
        <v>#REF!</v>
      </c>
      <c r="DC100" s="135" t="str">
        <f>IF(ISNA(VLOOKUP(A100,'Données projet (1)'!$A$139:$I$159,5,0)),0%,VLOOKUP(A100,'Données projet (1)'!$A$139:$I$159,5,0)*VLOOKUP('Données projet (1)'!$B$13,'Paramètres (1)'!$A$1:$I$88,7,0))</f>
        <v>#REF!</v>
      </c>
      <c r="DD100" s="135" t="str">
        <f>IF(ISNA(VLOOKUP(A100,'Données projet (1)'!$A$139:$I$159,6,0)),0%,VLOOKUP(A100,'Données projet (1)'!$A$139:$I$159,6,0)*VLOOKUP('Données projet (1)'!$B$13,'Paramètres (1)'!$A$1:$I$88,7,0))</f>
        <v>#REF!</v>
      </c>
      <c r="DE100" s="135" t="str">
        <f t="shared" si="54"/>
        <v>#REF!</v>
      </c>
      <c r="DF100" s="142" t="str">
        <f>EXP(-LN(2)/35)*DF99+(1-EXP(-LN(2)/35))/(LN(2)/35)*DB100*DC100*VLOOKUP('Données projet (1)'!$B$13,'Paramètres (1)'!$A$1:$I$88,3,0)*0.475*44/12</f>
        <v>#REF!</v>
      </c>
      <c r="DG100" s="142" t="str">
        <f>EXP(-LN(2)/25)*DG99+(1-EXP(-LN(2)/25))/(LN(2)/25)*'Calculateur (1)'!DB100*'Calculateur (1)'!DD100*VLOOKUP('Données projet (1)'!$B$13,'Paramètres (1)'!$A$1:$I$88,3,0)*0.475*44/12</f>
        <v>#REF!</v>
      </c>
      <c r="DH100" s="142" t="str">
        <f>EXP(-LN(2)/2)*DH99+(1-EXP(-LN(2)/2))/(LN(2)/2)*DB100*DE100*VLOOKUP('Données projet (1)'!$B$13,'Paramètres (1)'!$A$1:$I$88,3,0)*0.475*44/12</f>
        <v>#REF!</v>
      </c>
      <c r="DI100" s="143" t="str">
        <f t="shared" si="55"/>
        <v>#REF!</v>
      </c>
      <c r="DJ100" s="139" t="str">
        <f t="shared" si="56"/>
        <v>#REF!</v>
      </c>
      <c r="DK100" s="131">
        <f t="shared" si="57"/>
        <v>10</v>
      </c>
      <c r="DL100" s="131" t="str">
        <f t="shared" si="128"/>
        <v>#REF!</v>
      </c>
      <c r="DM100" s="131" t="str">
        <f t="shared" si="58"/>
        <v>#REF!</v>
      </c>
      <c r="DN100" s="131" t="str">
        <f t="array" ref="DN100">INDEX(DM:DM,MIN(IF(ISNUMBER(DM100:DM296),ROW(DM100:DM296),"")))</f>
        <v/>
      </c>
      <c r="DO100" s="131" t="str">
        <f t="shared" si="129"/>
        <v>#REF!</v>
      </c>
      <c r="DP100" s="138" t="str">
        <f>DO100*VLOOKUP('Données projet (1)'!$B$14,'Paramètres (1)'!$A$1:$I$88,3,0)*VLOOKUP('Données projet (1)'!$B$14,'Paramètres (1)'!$A$1:$I$88,5,0)</f>
        <v>#REF!</v>
      </c>
      <c r="DQ100" s="130" t="str">
        <f t="shared" si="130"/>
        <v>#REF!</v>
      </c>
      <c r="DR100" s="141" t="str">
        <f t="shared" si="59"/>
        <v>#REF!</v>
      </c>
      <c r="DS100" s="133" t="str">
        <f t="shared" si="60"/>
        <v>#REF!</v>
      </c>
      <c r="DT100" s="133" t="str">
        <f t="shared" si="61"/>
        <v>#REF!</v>
      </c>
      <c r="DU100" s="133" t="str">
        <f t="shared" si="131"/>
        <v>#REF!</v>
      </c>
      <c r="DV100" s="134" t="str">
        <f t="shared" si="62"/>
        <v>#REF!</v>
      </c>
      <c r="DW100" s="134" t="str">
        <f t="shared" si="63"/>
        <v>#REF!</v>
      </c>
      <c r="DX100" s="135" t="str">
        <f>IF(ISNA(VLOOKUP(A100,'Données projet (1)'!$A$165:$I$185,5,0)),0%,VLOOKUP(A100,'Données projet (1)'!$A$165:$I$185,5,0)*VLOOKUP('Données projet (1)'!$B$14,'Paramètres (1)'!$A$1:$I$88,7,0))</f>
        <v>#REF!</v>
      </c>
      <c r="DY100" s="135" t="str">
        <f>IF(ISNA(VLOOKUP(A100,'Données projet (1)'!$A$165:$I$185,6,0)),0%,VLOOKUP(A100,'Données projet (1)'!$A$165:$I$185,6,0)*VLOOKUP('Données projet (1)'!$B$14,'Paramètres (1)'!$A$1:$I$88,7,0))</f>
        <v>#REF!</v>
      </c>
      <c r="DZ100" s="135" t="str">
        <f t="shared" si="64"/>
        <v>#REF!</v>
      </c>
      <c r="EA100" s="142" t="str">
        <f>EXP(-LN(2)/35)*EA99+(1-EXP(-LN(2)/35))/(LN(2)/35)*DW100*DX100*VLOOKUP('Données projet (1)'!$B$14,'Paramètres (1)'!$A$1:$I$88,3,0)*0.475*44/12</f>
        <v>#REF!</v>
      </c>
      <c r="EB100" s="142" t="str">
        <f>EXP(-LN(2)/25)*EB99+(1-EXP(-LN(2)/25))/(LN(2)/25)*'Calculateur (1)'!DW100*'Calculateur (1)'!DY100*VLOOKUP('Données projet (1)'!$B$14,'Paramètres (1)'!$A$1:$I$88,3,0)*0.475*44/12</f>
        <v>#REF!</v>
      </c>
      <c r="EC100" s="142" t="str">
        <f>EXP(-LN(2)/2)*EC99+(1-EXP(-LN(2)/2))/(LN(2)/2)*DW100*DZ100*VLOOKUP('Données projet (1)'!$B$14,'Paramètres (1)'!$A$1:$I$88,3,0)*0.475*44/12</f>
        <v>#REF!</v>
      </c>
      <c r="ED100" s="143" t="str">
        <f t="shared" si="65"/>
        <v>#REF!</v>
      </c>
      <c r="EE100" s="139" t="str">
        <f t="shared" si="66"/>
        <v>#REF!</v>
      </c>
      <c r="EF100" s="131">
        <f t="shared" si="67"/>
        <v>10</v>
      </c>
      <c r="EG100" s="131" t="str">
        <f t="shared" si="132"/>
        <v>#REF!</v>
      </c>
      <c r="EH100" s="131" t="str">
        <f t="shared" si="68"/>
        <v>#REF!</v>
      </c>
      <c r="EI100" s="131" t="str">
        <f t="array" ref="EI100">INDEX(EH:EH,MIN(IF(ISNUMBER(EH100:EH296),ROW(EH100:EH296),"")))</f>
        <v/>
      </c>
      <c r="EJ100" s="131" t="str">
        <f t="shared" si="133"/>
        <v>#REF!</v>
      </c>
      <c r="EK100" s="138" t="str">
        <f>EJ100*VLOOKUP('Données projet (1)'!$B$15,'Paramètres (1)'!$A$1:$I$88,3,0)*VLOOKUP('Données projet (1)'!$B$15,'Paramètres (1)'!$A$1:$I$88,5,0)</f>
        <v>#REF!</v>
      </c>
      <c r="EL100" s="130" t="str">
        <f t="shared" si="134"/>
        <v>#REF!</v>
      </c>
      <c r="EM100" s="141" t="str">
        <f t="shared" si="69"/>
        <v>#REF!</v>
      </c>
      <c r="EN100" s="133" t="str">
        <f t="shared" si="70"/>
        <v>#REF!</v>
      </c>
      <c r="EO100" s="133" t="str">
        <f t="shared" si="71"/>
        <v>#REF!</v>
      </c>
      <c r="EP100" s="133" t="str">
        <f t="shared" si="135"/>
        <v>#REF!</v>
      </c>
      <c r="EQ100" s="134" t="str">
        <f t="shared" si="72"/>
        <v>#REF!</v>
      </c>
      <c r="ER100" s="134" t="str">
        <f t="shared" si="73"/>
        <v>#REF!</v>
      </c>
      <c r="ES100" s="135" t="str">
        <f>IF(ISNA(VLOOKUP(A100,'Données projet (1)'!$A$191:$I$211,5,0)),0%,VLOOKUP(A100,'Données projet (1)'!$A$191:$I$211,5,0)*VLOOKUP('Données projet (1)'!$B$15,'Paramètres (1)'!$A$1:$I$88,7,0))</f>
        <v>#REF!</v>
      </c>
      <c r="ET100" s="135" t="str">
        <f>IF(ISNA(VLOOKUP(A100,'Données projet (1)'!$A$191:$I$211,6,0)),0%,VLOOKUP(A100,'Données projet (1)'!$A$191:$I$211,6,0)*VLOOKUP('Données projet (1)'!$B$15,'Paramètres (1)'!$A$1:$I$88,7,0))</f>
        <v>#REF!</v>
      </c>
      <c r="EU100" s="135" t="str">
        <f t="shared" si="74"/>
        <v>#REF!</v>
      </c>
      <c r="EV100" s="142" t="str">
        <f>EXP(-LN(2)/35)*EV99+(1-EXP(-LN(2)/35))/(LN(2)/35)*ER100*ES100*VLOOKUP('Données projet (1)'!$B$15,'Paramètres (1)'!$A$1:$I$88,3,0)*0.475*44/12</f>
        <v>#REF!</v>
      </c>
      <c r="EW100" s="142" t="str">
        <f>EXP(-LN(2)/25)*EW99+(1-EXP(-LN(2)/25))/(LN(2)/25)*'Calculateur (1)'!ER100*'Calculateur (1)'!ET100*VLOOKUP('Données projet (1)'!$B$15,'Paramètres (1)'!$A$1:$I$88,3,0)*0.475*44/12</f>
        <v>#REF!</v>
      </c>
      <c r="EX100" s="142" t="str">
        <f>EXP(-LN(2)/2)*EX99+(1-EXP(-LN(2)/2))/(LN(2)/2)*ER100*EU100*VLOOKUP('Données projet (1)'!$B$15,'Paramètres (1)'!$A$1:$I$88,3,0)*0.475*44/12</f>
        <v>#REF!</v>
      </c>
      <c r="EY100" s="143" t="str">
        <f t="shared" si="75"/>
        <v>#REF!</v>
      </c>
      <c r="EZ100" s="139" t="str">
        <f t="shared" si="76"/>
        <v>#REF!</v>
      </c>
      <c r="FA100" s="131">
        <f t="shared" si="77"/>
        <v>10</v>
      </c>
      <c r="FB100" s="131" t="str">
        <f t="shared" si="136"/>
        <v>#REF!</v>
      </c>
      <c r="FC100" s="131" t="str">
        <f t="shared" si="78"/>
        <v>#REF!</v>
      </c>
      <c r="FD100" s="131" t="str">
        <f t="array" ref="FD100">INDEX(FC:FC,MIN(IF(ISNUMBER(FC100:FC296),ROW(FC100:FC296),"")))</f>
        <v/>
      </c>
      <c r="FE100" s="131" t="str">
        <f t="shared" si="137"/>
        <v>#REF!</v>
      </c>
      <c r="FF100" s="138" t="str">
        <f>FE100*VLOOKUP('Données projet (1)'!$B$16,'Paramètres (1)'!$A$1:$I$88,3,0)*VLOOKUP('Données projet (1)'!$B$16,'Paramètres (1)'!$A$1:$I$88,5,0)</f>
        <v>#REF!</v>
      </c>
      <c r="FG100" s="130" t="str">
        <f t="shared" si="138"/>
        <v>#REF!</v>
      </c>
      <c r="FH100" s="141" t="str">
        <f t="shared" si="79"/>
        <v>#REF!</v>
      </c>
      <c r="FI100" s="133" t="str">
        <f t="shared" si="80"/>
        <v>#REF!</v>
      </c>
      <c r="FJ100" s="133" t="str">
        <f t="shared" si="81"/>
        <v>#REF!</v>
      </c>
      <c r="FK100" s="133" t="str">
        <f t="shared" si="139"/>
        <v>#REF!</v>
      </c>
      <c r="FL100" s="134" t="str">
        <f t="shared" si="82"/>
        <v>#REF!</v>
      </c>
      <c r="FM100" s="134" t="str">
        <f t="shared" si="83"/>
        <v>#REF!</v>
      </c>
      <c r="FN100" s="135" t="str">
        <f>IF(ISNA(VLOOKUP(A100,'Données projet (1)'!$A$217:$I$237,5,0)),0%,VLOOKUP(A100,'Données projet (1)'!$A$217:$I$237,5,0)*VLOOKUP('Données projet (1)'!$B$16,'Paramètres (1)'!$A$1:$I$88,7,0))</f>
        <v>#REF!</v>
      </c>
      <c r="FO100" s="135" t="str">
        <f>IF(ISNA(VLOOKUP(A100,'Données projet (1)'!$A$217:$I$237,6,0)),0%,VLOOKUP(A100,'Données projet (1)'!$A$217:$I$237,6,0)*VLOOKUP('Données projet (1)'!$B$16,'Paramètres (1)'!$A$1:$I$88,7,0))</f>
        <v>#REF!</v>
      </c>
      <c r="FP100" s="135" t="str">
        <f t="shared" si="84"/>
        <v>#REF!</v>
      </c>
      <c r="FQ100" s="142" t="str">
        <f>EXP(-LN(2)/35)*FQ99+(1-EXP(-LN(2)/35))/(LN(2)/35)*FM100*FN100*VLOOKUP('Données projet (1)'!$B$16,'Paramètres (1)'!$A$1:$I$88,3,0)*0.475*44/12</f>
        <v>#REF!</v>
      </c>
      <c r="FR100" s="142" t="str">
        <f>EXP(-LN(2)/25)*FR99+(1-EXP(-LN(2)/25))/(LN(2)/25)*'Calculateur (1)'!FM100*'Calculateur (1)'!FO100*VLOOKUP('Données projet (1)'!$B$16,'Paramètres (1)'!$A$1:$I$88,3,0)*0.475*44/12</f>
        <v>#REF!</v>
      </c>
      <c r="FS100" s="142" t="str">
        <f>EXP(-LN(2)/2)*FS99+(1-EXP(-LN(2)/2))/(LN(2)/2)*FM100*FP100*VLOOKUP('Données projet (1)'!$B$16,'Paramètres (1)'!$A$1:$I$88,3,0)*0.475*44/12</f>
        <v>#REF!</v>
      </c>
      <c r="FT100" s="143" t="str">
        <f t="shared" si="85"/>
        <v>#REF!</v>
      </c>
      <c r="FU100" s="139" t="str">
        <f t="shared" si="86"/>
        <v>#REF!</v>
      </c>
      <c r="FV100" s="131">
        <f t="shared" si="87"/>
        <v>10</v>
      </c>
      <c r="FW100" s="131" t="str">
        <f t="shared" si="140"/>
        <v>#REF!</v>
      </c>
      <c r="FX100" s="131" t="str">
        <f t="shared" si="88"/>
        <v>#REF!</v>
      </c>
      <c r="FY100" s="131" t="str">
        <f t="array" ref="FY100">INDEX(FX:FX,MIN(IF(ISNUMBER(FX100:FX296),ROW(FX100:FX296),"")))</f>
        <v/>
      </c>
      <c r="FZ100" s="131" t="str">
        <f t="shared" si="141"/>
        <v>#REF!</v>
      </c>
      <c r="GA100" s="138" t="str">
        <f>FZ100*VLOOKUP('Données projet (1)'!$B$17,'Paramètres (1)'!$A$1:$I$88,3,0)*VLOOKUP('Données projet (1)'!$B$17,'Paramètres (1)'!$A$1:$I$88,5,0)</f>
        <v>#REF!</v>
      </c>
      <c r="GB100" s="130" t="str">
        <f t="shared" si="142"/>
        <v>#REF!</v>
      </c>
      <c r="GC100" s="141" t="str">
        <f t="shared" si="89"/>
        <v>#REF!</v>
      </c>
      <c r="GD100" s="133" t="str">
        <f t="shared" si="90"/>
        <v>#REF!</v>
      </c>
      <c r="GE100" s="133" t="str">
        <f t="shared" si="91"/>
        <v>#REF!</v>
      </c>
      <c r="GF100" s="133" t="str">
        <f t="shared" si="143"/>
        <v>#REF!</v>
      </c>
      <c r="GG100" s="134" t="str">
        <f t="shared" si="92"/>
        <v>#REF!</v>
      </c>
      <c r="GH100" s="134" t="str">
        <f t="shared" si="93"/>
        <v>#REF!</v>
      </c>
      <c r="GI100" s="135" t="str">
        <f>IF(ISNA(VLOOKUP(A100,'Données projet (1)'!$A$243:$I$263,5,0)),0%,VLOOKUP(A100,'Données projet (1)'!$A$243:$I$263,5,0)*VLOOKUP('Données projet (1)'!$B$17,'Paramètres (1)'!$A$1:$I$88,7,0))</f>
        <v>#REF!</v>
      </c>
      <c r="GJ100" s="135" t="str">
        <f>IF(ISNA(VLOOKUP(A100,'Données projet (1)'!$A$243:$I$263,6,0)),0%,VLOOKUP(A100,'Données projet (1)'!$A$243:$I$263,6,0)*VLOOKUP('Données projet (1)'!$B$17,'Paramètres (1)'!$A$1:$I$88,7,0))</f>
        <v>#REF!</v>
      </c>
      <c r="GK100" s="135" t="str">
        <f t="shared" si="94"/>
        <v>#REF!</v>
      </c>
      <c r="GL100" s="142" t="str">
        <f>EXP(-LN(2)/35)*GL99+(1-EXP(-LN(2)/35))/(LN(2)/35)*GH100*GI100*VLOOKUP('Données projet (1)'!$B$17,'Paramètres (1)'!$A$1:$I$88,3,0)*0.475*44/12</f>
        <v>#REF!</v>
      </c>
      <c r="GM100" s="142" t="str">
        <f>EXP(-LN(2)/25)*GM99+(1-EXP(-LN(2)/25))/(LN(2)/25)*'Calculateur (1)'!GH100*'Calculateur (1)'!GJ100*VLOOKUP('Données projet (1)'!$B$17,'Paramètres (1)'!$A$1:$I$88,3,0)*0.475*44/12</f>
        <v>#REF!</v>
      </c>
      <c r="GN100" s="142" t="str">
        <f>EXP(-LN(2)/2)*GN99+(1-EXP(-LN(2)/2))/(LN(2)/2)*GH100*GK100*VLOOKUP('Données projet (1)'!$B$17,'Paramètres (1)'!$A$1:$I$88,3,0)*0.475*44/12</f>
        <v>#REF!</v>
      </c>
      <c r="GO100" s="142" t="str">
        <f t="shared" si="95"/>
        <v>#REF!</v>
      </c>
      <c r="GP100" s="139" t="str">
        <f t="shared" si="96"/>
        <v>#REF!</v>
      </c>
      <c r="GQ100" s="131">
        <f t="shared" si="97"/>
        <v>10</v>
      </c>
      <c r="GR100" s="131" t="str">
        <f t="shared" si="144"/>
        <v>#REF!</v>
      </c>
      <c r="GS100" s="131" t="str">
        <f t="shared" si="98"/>
        <v>#REF!</v>
      </c>
      <c r="GT100" s="131" t="str">
        <f t="array" ref="GT100">INDEX(GS:GS,MIN(IF(ISNUMBER(GS100:GS296),ROW(GS100:GS296),"")))</f>
        <v/>
      </c>
      <c r="GU100" s="131" t="str">
        <f t="shared" si="145"/>
        <v>#REF!</v>
      </c>
      <c r="GV100" s="138" t="str">
        <f>GU100*VLOOKUP('Données projet (1)'!$B$18,'Paramètres (1)'!$A$1:$I$88,3,0)*VLOOKUP('Données projet (1)'!$B$18,'Paramètres (1)'!$A$1:$I$88,5,0)</f>
        <v>#REF!</v>
      </c>
      <c r="GW100" s="130" t="str">
        <f t="shared" si="146"/>
        <v>#REF!</v>
      </c>
      <c r="GX100" s="141" t="str">
        <f t="shared" si="99"/>
        <v>#REF!</v>
      </c>
      <c r="GY100" s="133" t="str">
        <f t="shared" si="100"/>
        <v>#REF!</v>
      </c>
      <c r="GZ100" s="133" t="str">
        <f t="shared" si="101"/>
        <v>#REF!</v>
      </c>
      <c r="HA100" s="133" t="str">
        <f t="shared" si="147"/>
        <v>#REF!</v>
      </c>
      <c r="HB100" s="134" t="str">
        <f t="shared" si="102"/>
        <v>#REF!</v>
      </c>
      <c r="HC100" s="134" t="str">
        <f t="shared" si="103"/>
        <v>#REF!</v>
      </c>
      <c r="HD100" s="135" t="str">
        <f>IF(ISNA(VLOOKUP(A100,'Données projet (1)'!$A$269:$I$289,5,0)),0%,VLOOKUP(A100,'Données projet (1)'!$A$269:$I$289,5,0)*VLOOKUP('Données projet (1)'!$B$18,'Paramètres (1)'!$A$1:$I$88,7,0))</f>
        <v>#REF!</v>
      </c>
      <c r="HE100" s="135" t="str">
        <f>IF(ISNA(VLOOKUP(A100,'Données projet (1)'!$A$269:$I$289,6,0)),0%,VLOOKUP(A100,'Données projet (1)'!$A$269:$I$289,6,0)*VLOOKUP('Données projet (1)'!$B$18,'Paramètres (1)'!$A$1:$I$88,7,0))</f>
        <v>#REF!</v>
      </c>
      <c r="HF100" s="135" t="str">
        <f t="shared" si="104"/>
        <v>#REF!</v>
      </c>
      <c r="HG100" s="142" t="str">
        <f>EXP(-LN(2)/35)*HG99+(1-EXP(-LN(2)/35))/(LN(2)/35)*HC100*HD100*VLOOKUP('Données projet (1)'!$B$18,'Paramètres (1)'!$A$1:$I$88,3,0)*0.475*44/12</f>
        <v>#REF!</v>
      </c>
      <c r="HH100" s="142" t="str">
        <f>EXP(-LN(2)/25)*HH99+(1-EXP(-LN(2)/25))/(LN(2)/25)*'Calculateur (1)'!HC100*'Calculateur (1)'!HE100*VLOOKUP('Données projet (1)'!$B$18,'Paramètres (1)'!$A$1:$I$88,3,0)*0.475*44/12</f>
        <v>#REF!</v>
      </c>
      <c r="HI100" s="142" t="str">
        <f>EXP(-LN(2)/2)*HI99+(1-EXP(-LN(2)/2))/(LN(2)/2)*HC100*HF100*VLOOKUP('Données projet (1)'!$B$18,'Paramètres (1)'!$A$1:$I$88,3,0)*0.475*44/12</f>
        <v>#REF!</v>
      </c>
      <c r="HJ100" s="143" t="str">
        <f t="shared" si="105"/>
        <v>#REF!</v>
      </c>
    </row>
    <row r="101" ht="14.25" customHeight="1">
      <c r="A101" s="125">
        <f t="shared" si="106"/>
        <v>98</v>
      </c>
      <c r="B101" s="126" t="str">
        <f t="shared" si="1"/>
        <v>#REF!</v>
      </c>
      <c r="C101" s="140" t="str">
        <f>'Calculateur (1)'!C100+'Scénario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1" s="127">
        <f t="shared" si="107"/>
        <v>0</v>
      </c>
      <c r="E101" s="127" t="str">
        <f t="shared" si="2"/>
        <v>#REF!</v>
      </c>
      <c r="F101" s="127" t="str">
        <f t="shared" si="3"/>
        <v>#REF!</v>
      </c>
      <c r="G101" s="127" t="str">
        <f t="shared" si="4"/>
        <v>#REF!</v>
      </c>
      <c r="H101" s="128" t="str">
        <f t="shared" si="5"/>
        <v>#REF!</v>
      </c>
      <c r="I101" s="129" t="str">
        <f t="shared" si="6"/>
        <v>#REF!</v>
      </c>
      <c r="J101" s="130">
        <f t="shared" si="7"/>
        <v>10</v>
      </c>
      <c r="K101" s="131" t="str">
        <f t="shared" si="108"/>
        <v>#REF!</v>
      </c>
      <c r="L101" s="131" t="str">
        <f t="shared" si="8"/>
        <v>#REF!</v>
      </c>
      <c r="M101" s="131" t="str">
        <f t="array" ref="M101">INDEX(L:L,MIN(IF(ISNUMBER(L101:L297),ROW(L101:L297),"")))</f>
        <v/>
      </c>
      <c r="N101" s="130" t="str">
        <f t="shared" si="109"/>
        <v>#REF!</v>
      </c>
      <c r="O101" s="130" t="str">
        <f>N101*VLOOKUP('Données projet (1)'!$B$9,'Paramètres (1)'!$A$1:$I$88,3,0)*VLOOKUP('Données projet (1)'!$B$9,'Paramètres (1)'!$A$1:$I$88,5,0)</f>
        <v>#REF!</v>
      </c>
      <c r="P101" s="130" t="str">
        <f t="shared" si="110"/>
        <v>#REF!</v>
      </c>
      <c r="Q101" s="141" t="str">
        <f t="shared" si="9"/>
        <v>#REF!</v>
      </c>
      <c r="R101" s="133" t="str">
        <f t="shared" si="10"/>
        <v>#REF!</v>
      </c>
      <c r="S101" s="133" t="str">
        <f t="shared" si="11"/>
        <v>#REF!</v>
      </c>
      <c r="T101" s="133" t="str">
        <f t="shared" si="111"/>
        <v>#REF!</v>
      </c>
      <c r="U101" s="134" t="str">
        <f t="shared" si="12"/>
        <v>#REF!</v>
      </c>
      <c r="V101" s="134" t="str">
        <f t="shared" si="13"/>
        <v>#REF!</v>
      </c>
      <c r="W101" s="135" t="str">
        <f>IF(ISNA(VLOOKUP(A101,'Données projet (1)'!$A$35:$I$55,5,0)),0%,VLOOKUP(A101,'Données projet (1)'!$A$35:$I$55,5,0)*VLOOKUP('Données projet (1)'!$B$9,'Paramètres (1)'!$A$1:$I$88,7,0))</f>
        <v>#REF!</v>
      </c>
      <c r="X101" s="135" t="str">
        <f>IF(ISNA(VLOOKUP(A101,'Données projet (1)'!$A$35:$I$55,6,0)),0%,VLOOKUP(A101,'Données projet (1)'!$A$35:$I$55,6,0)*VLOOKUP('Données projet (1)'!$B$9,'Paramètres (1)'!$A$1:$I$88,7,0))</f>
        <v>#REF!</v>
      </c>
      <c r="Y101" s="135" t="str">
        <f t="shared" si="14"/>
        <v>#REF!</v>
      </c>
      <c r="Z101" s="142" t="str">
        <f>EXP(-LN(2)/35)*Z100+(1-EXP(-LN(2)/35))/(LN(2)/35)*V101*W101*VLOOKUP('Données projet (1)'!$B$9,'Paramètres (1)'!$A$1:$I$88,3,0)*0.475*44/12</f>
        <v>#REF!</v>
      </c>
      <c r="AA101" s="142" t="str">
        <f>EXP(-LN(2)/25)*AA100+(1-EXP(-LN(2)/25))/(LN(2)/25)*'Calculateur (1)'!V101*'Calculateur (1)'!X101*VLOOKUP('Données projet (1)'!$B$9,'Paramètres (1)'!$A$1:$I$88,3,0)*0.475*44/12</f>
        <v>#REF!</v>
      </c>
      <c r="AB101" s="142" t="str">
        <f>EXP(-LN(2)/2)*AB100+(1-EXP(-LN(2)/2))/(LN(2)/2)*V101*Y101*VLOOKUP('Données projet (1)'!$B$9,'Paramètres (1)'!$A$1:$I$88,3,0)*0.475*44/12</f>
        <v>#REF!</v>
      </c>
      <c r="AC101" s="143" t="str">
        <f t="shared" si="15"/>
        <v>#REF!</v>
      </c>
      <c r="AD101" s="130" t="str">
        <f t="shared" si="16"/>
        <v>#REF!</v>
      </c>
      <c r="AE101" s="130">
        <f t="shared" si="17"/>
        <v>10</v>
      </c>
      <c r="AF101" s="131" t="str">
        <f t="shared" si="112"/>
        <v>#REF!</v>
      </c>
      <c r="AG101" s="131" t="str">
        <f t="shared" si="18"/>
        <v>#REF!</v>
      </c>
      <c r="AH101" s="131" t="str">
        <f t="array" ref="AH101">INDEX(AG:AG,MIN(IF(ISNUMBER(AG101:AG297),ROW(AG101:AG297),"")))</f>
        <v/>
      </c>
      <c r="AI101" s="130" t="str">
        <f t="shared" si="113"/>
        <v>#REF!</v>
      </c>
      <c r="AJ101" s="130" t="str">
        <f>AI101*VLOOKUP('Données projet (1)'!$B$10,'Paramètres (1)'!$A$1:$I$88,3,0)*VLOOKUP('Données projet (1)'!$B$10,'Paramètres (1)'!$A$1:$I$88,5,0)</f>
        <v>#REF!</v>
      </c>
      <c r="AK101" s="130" t="str">
        <f t="shared" si="114"/>
        <v>#REF!</v>
      </c>
      <c r="AL101" s="141" t="str">
        <f t="shared" si="19"/>
        <v>#REF!</v>
      </c>
      <c r="AM101" s="133" t="str">
        <f t="shared" si="20"/>
        <v>#REF!</v>
      </c>
      <c r="AN101" s="133" t="str">
        <f t="shared" si="21"/>
        <v>#REF!</v>
      </c>
      <c r="AO101" s="133" t="str">
        <f t="shared" si="115"/>
        <v>#REF!</v>
      </c>
      <c r="AP101" s="134" t="str">
        <f t="shared" si="22"/>
        <v>#REF!</v>
      </c>
      <c r="AQ101" s="134" t="str">
        <f t="shared" si="23"/>
        <v>#REF!</v>
      </c>
      <c r="AR101" s="135" t="str">
        <f>IF(ISNA(VLOOKUP(A101,'Données projet (1)'!$A$61:$I$81,5,0)),0%,VLOOKUP(A101,'Données projet (1)'!$A$61:$I$81,5,0)*VLOOKUP('Données projet (1)'!$B$10,'Paramètres (1)'!$A$1:$I$88,7,0))</f>
        <v>#REF!</v>
      </c>
      <c r="AS101" s="135" t="str">
        <f>IF(ISNA(VLOOKUP(A101,'Données projet (1)'!$A$61:$I$81,6,0)),0%,VLOOKUP(A101,'Données projet (1)'!$A$61:$I$81,6,0)*VLOOKUP('Données projet (1)'!$B$10,'Paramètres (1)'!$A$1:$I$88,7,0))</f>
        <v>#REF!</v>
      </c>
      <c r="AT101" s="135" t="str">
        <f t="shared" si="24"/>
        <v>#REF!</v>
      </c>
      <c r="AU101" s="142" t="str">
        <f>EXP(-LN(2)/35)*AU100+(1-EXP(-LN(2)/35))/(LN(2)/35)*AQ101*AR101*VLOOKUP('Données projet (1)'!$B$10,'Paramètres (1)'!$A$1:$I$88,3,0)*0.475*44/12</f>
        <v>#REF!</v>
      </c>
      <c r="AV101" s="142" t="str">
        <f>EXP(-LN(2)/25)*AV100+(1-EXP(-LN(2)/25))/(LN(2)/25)*'Calculateur (1)'!AQ101*'Calculateur (1)'!AS101*VLOOKUP('Données projet (1)'!$B$10,'Paramètres (1)'!$A$1:$I$88,3,0)*0.475*44/12</f>
        <v>#REF!</v>
      </c>
      <c r="AW101" s="142" t="str">
        <f>EXP(-LN(2)/2)*AW100+(1-EXP(-LN(2)/2))/(LN(2)/2)*AQ101*AT101*VLOOKUP('Données projet (1)'!$B$10,'Paramètres (1)'!$A$1:$I$88,3,0)*0.475*44/12</f>
        <v>#REF!</v>
      </c>
      <c r="AX101" s="142" t="str">
        <f t="shared" si="25"/>
        <v>#REF!</v>
      </c>
      <c r="AY101" s="137" t="str">
        <f t="shared" si="26"/>
        <v>#REF!</v>
      </c>
      <c r="AZ101" s="131">
        <f t="shared" si="27"/>
        <v>10</v>
      </c>
      <c r="BA101" s="131" t="str">
        <f t="shared" si="116"/>
        <v>#REF!</v>
      </c>
      <c r="BB101" s="131" t="str">
        <f t="shared" si="28"/>
        <v>#REF!</v>
      </c>
      <c r="BC101" s="131" t="str">
        <f t="array" ref="BC101">INDEX(BB:BB,MIN(IF(ISNUMBER(BB101:BB297),ROW(BB101:BB297),"")))</f>
        <v/>
      </c>
      <c r="BD101" s="131" t="str">
        <f t="shared" si="117"/>
        <v>#REF!</v>
      </c>
      <c r="BE101" s="130" t="str">
        <f>BD101*VLOOKUP('Données projet (1)'!$B$11,'Paramètres (1)'!$A$1:$I$88,3,0)*VLOOKUP('Données projet (1)'!$B$11,'Paramètres (1)'!$A$1:$I$88,5,0)</f>
        <v>#REF!</v>
      </c>
      <c r="BF101" s="130" t="str">
        <f t="shared" si="118"/>
        <v>#REF!</v>
      </c>
      <c r="BG101" s="141" t="str">
        <f t="shared" si="29"/>
        <v>#REF!</v>
      </c>
      <c r="BH101" s="133" t="str">
        <f t="shared" si="30"/>
        <v>#REF!</v>
      </c>
      <c r="BI101" s="133" t="str">
        <f t="shared" si="31"/>
        <v>#REF!</v>
      </c>
      <c r="BJ101" s="133" t="str">
        <f t="shared" si="119"/>
        <v>#REF!</v>
      </c>
      <c r="BK101" s="134" t="str">
        <f t="shared" si="32"/>
        <v>#REF!</v>
      </c>
      <c r="BL101" s="134" t="str">
        <f t="shared" si="33"/>
        <v>#REF!</v>
      </c>
      <c r="BM101" s="135" t="str">
        <f>IF(ISNA(VLOOKUP(A101,'Données projet (1)'!$A$87:$I$107,5,0)),0%,VLOOKUP(A101,'Données projet (1)'!$A$87:$I$107,5,0)*VLOOKUP('Données projet (1)'!$B$11,'Paramètres (1)'!$A$1:$I$88,7,0))</f>
        <v>#REF!</v>
      </c>
      <c r="BN101" s="135" t="str">
        <f>IF(ISNA(VLOOKUP(A101,'Données projet (1)'!$A$87:$I$107,6,0)),0%,VLOOKUP(A101,'Données projet (1)'!$A$87:$I$107,6,0)*VLOOKUP('Données projet (1)'!$B$11,'Paramètres (1)'!$A$1:$I$88,7,0))</f>
        <v>#REF!</v>
      </c>
      <c r="BO101" s="135" t="str">
        <f t="shared" si="34"/>
        <v>#REF!</v>
      </c>
      <c r="BP101" s="142" t="str">
        <f>EXP(-LN(2)/35)*BP100+(1-EXP(-LN(2)/35))/(LN(2)/35)*BL101*BM101*VLOOKUP('Données projet (1)'!$B$11,'Paramètres (1)'!$A$1:$I$88,3,0)*0.475*44/12</f>
        <v>#REF!</v>
      </c>
      <c r="BQ101" s="142" t="str">
        <f>EXP(-LN(2)/25)*BQ100+(1-EXP(-LN(2)/25))/(LN(2)/25)*'Calculateur (1)'!BL101*'Calculateur (1)'!BN101*VLOOKUP('Données projet (1)'!$B$11,'Paramètres (1)'!$A$1:$I$88,3,0)*0.475*44/12</f>
        <v>#REF!</v>
      </c>
      <c r="BR101" s="142" t="str">
        <f>EXP(-LN(2)/2)*BR100+(1-EXP(-LN(2)/2))/(LN(2)/2)*BL101*BO101*VLOOKUP('Données projet (1)'!$B$11,'Paramètres (1)'!$A$1:$I$88,3,0)*0.475*44/12</f>
        <v>#REF!</v>
      </c>
      <c r="BS101" s="143" t="str">
        <f t="shared" si="35"/>
        <v>#REF!</v>
      </c>
      <c r="BT101" s="139" t="str">
        <f t="shared" si="36"/>
        <v>#REF!</v>
      </c>
      <c r="BU101" s="131">
        <f t="shared" si="37"/>
        <v>10</v>
      </c>
      <c r="BV101" s="131" t="str">
        <f t="shared" si="120"/>
        <v>#REF!</v>
      </c>
      <c r="BW101" s="131" t="str">
        <f t="shared" si="38"/>
        <v>#REF!</v>
      </c>
      <c r="BX101" s="131" t="str">
        <f t="array" ref="BX101">INDEX(BW:BW,MIN(IF(ISNUMBER(BW101:BW297),ROW(BW101:BW297),"")))</f>
        <v/>
      </c>
      <c r="BY101" s="131" t="str">
        <f t="shared" si="121"/>
        <v>#REF!</v>
      </c>
      <c r="BZ101" s="130" t="str">
        <f>BY101*VLOOKUP('Données projet (1)'!$B$12,'Paramètres (1)'!$A$1:$I$88,3,0)*VLOOKUP('Données projet (1)'!$B$12,'Paramètres (1)'!$A$1:$I$88,5,0)</f>
        <v>#REF!</v>
      </c>
      <c r="CA101" s="130" t="str">
        <f t="shared" si="122"/>
        <v>#REF!</v>
      </c>
      <c r="CB101" s="141" t="str">
        <f t="shared" si="39"/>
        <v>#REF!</v>
      </c>
      <c r="CC101" s="133" t="str">
        <f t="shared" si="40"/>
        <v>#REF!</v>
      </c>
      <c r="CD101" s="133" t="str">
        <f t="shared" si="41"/>
        <v>#REF!</v>
      </c>
      <c r="CE101" s="133" t="str">
        <f t="shared" si="123"/>
        <v>#REF!</v>
      </c>
      <c r="CF101" s="134" t="str">
        <f t="shared" si="42"/>
        <v>#REF!</v>
      </c>
      <c r="CG101" s="134" t="str">
        <f t="shared" si="43"/>
        <v>#REF!</v>
      </c>
      <c r="CH101" s="135" t="str">
        <f>IF(ISNA(VLOOKUP(A101,'Données projet (1)'!$A$113:$I$133,5,0)),0%,VLOOKUP(A101,'Données projet (1)'!$A$113:$I$133,5,0)*VLOOKUP('Données projet (1)'!$B$12,'Paramètres (1)'!$A$1:$I$88,7,0))</f>
        <v>#REF!</v>
      </c>
      <c r="CI101" s="135" t="str">
        <f>IF(ISNA(VLOOKUP(A101,'Données projet (1)'!$A$113:$I$133,6,0)),0%,VLOOKUP(A101,'Données projet (1)'!$A$113:$I$133,6,0)*VLOOKUP('Données projet (1)'!$B$12,'Paramètres (1)'!$A$1:$I$88,7,0))</f>
        <v>#REF!</v>
      </c>
      <c r="CJ101" s="135" t="str">
        <f t="shared" si="44"/>
        <v>#REF!</v>
      </c>
      <c r="CK101" s="142" t="str">
        <f>EXP(-LN(2)/35)*CK100+(1-EXP(-LN(2)/35))/(LN(2)/35)*CG101*CH101*VLOOKUP('Données projet (1)'!$B$12,'Paramètres (1)'!$A$1:$I$88,3,0)*0.475*44/12</f>
        <v>#REF!</v>
      </c>
      <c r="CL101" s="142" t="str">
        <f>EXP(-LN(2)/25)*CL100+(1-EXP(-LN(2)/25))/(LN(2)/25)*'Calculateur (1)'!CG101*'Calculateur (1)'!CI101*VLOOKUP('Données projet (1)'!$B$12,'Paramètres (1)'!$A$1:$I$88,3,0)*0.475*44/12</f>
        <v>#REF!</v>
      </c>
      <c r="CM101" s="142" t="str">
        <f>EXP(-LN(2)/2)*CM100+(1-EXP(-LN(2)/2))/(LN(2)/2)*CG101*CJ101*VLOOKUP('Données projet (1)'!$B$12,'Paramètres (1)'!$A$1:$I$88,3,0)*0.475*44/12</f>
        <v>#REF!</v>
      </c>
      <c r="CN101" s="143" t="str">
        <f t="shared" si="45"/>
        <v>#REF!</v>
      </c>
      <c r="CO101" s="139" t="str">
        <f t="shared" si="46"/>
        <v>#REF!</v>
      </c>
      <c r="CP101" s="131">
        <f t="shared" si="47"/>
        <v>10</v>
      </c>
      <c r="CQ101" s="131" t="str">
        <f t="shared" si="124"/>
        <v>#REF!</v>
      </c>
      <c r="CR101" s="131" t="str">
        <f t="shared" si="48"/>
        <v>#REF!</v>
      </c>
      <c r="CS101" s="131" t="str">
        <f t="array" ref="CS101">INDEX(CR:CR,MIN(IF(ISNUMBER(CR101:CR297),ROW(CR101:CR297),"")))</f>
        <v/>
      </c>
      <c r="CT101" s="131" t="str">
        <f t="shared" si="125"/>
        <v>#REF!</v>
      </c>
      <c r="CU101" s="138" t="str">
        <f>CT101*VLOOKUP('Données projet (1)'!$B$13,'Paramètres (1)'!$A$1:$I$88,3,0)*VLOOKUP('Données projet (1)'!$B$13,'Paramètres (1)'!$A$1:$I$88,5,0)</f>
        <v>#REF!</v>
      </c>
      <c r="CV101" s="130" t="str">
        <f t="shared" si="126"/>
        <v>#REF!</v>
      </c>
      <c r="CW101" s="141" t="str">
        <f t="shared" si="49"/>
        <v>#REF!</v>
      </c>
      <c r="CX101" s="133" t="str">
        <f t="shared" si="50"/>
        <v>#REF!</v>
      </c>
      <c r="CY101" s="133" t="str">
        <f t="shared" si="51"/>
        <v>#REF!</v>
      </c>
      <c r="CZ101" s="133" t="str">
        <f t="shared" si="127"/>
        <v>#REF!</v>
      </c>
      <c r="DA101" s="134" t="str">
        <f t="shared" si="52"/>
        <v>#REF!</v>
      </c>
      <c r="DB101" s="134" t="str">
        <f t="shared" si="53"/>
        <v>#REF!</v>
      </c>
      <c r="DC101" s="135" t="str">
        <f>IF(ISNA(VLOOKUP(A101,'Données projet (1)'!$A$139:$I$159,5,0)),0%,VLOOKUP(A101,'Données projet (1)'!$A$139:$I$159,5,0)*VLOOKUP('Données projet (1)'!$B$13,'Paramètres (1)'!$A$1:$I$88,7,0))</f>
        <v>#REF!</v>
      </c>
      <c r="DD101" s="135" t="str">
        <f>IF(ISNA(VLOOKUP(A101,'Données projet (1)'!$A$139:$I$159,6,0)),0%,VLOOKUP(A101,'Données projet (1)'!$A$139:$I$159,6,0)*VLOOKUP('Données projet (1)'!$B$13,'Paramètres (1)'!$A$1:$I$88,7,0))</f>
        <v>#REF!</v>
      </c>
      <c r="DE101" s="135" t="str">
        <f t="shared" si="54"/>
        <v>#REF!</v>
      </c>
      <c r="DF101" s="142" t="str">
        <f>EXP(-LN(2)/35)*DF100+(1-EXP(-LN(2)/35))/(LN(2)/35)*DB101*DC101*VLOOKUP('Données projet (1)'!$B$13,'Paramètres (1)'!$A$1:$I$88,3,0)*0.475*44/12</f>
        <v>#REF!</v>
      </c>
      <c r="DG101" s="142" t="str">
        <f>EXP(-LN(2)/25)*DG100+(1-EXP(-LN(2)/25))/(LN(2)/25)*'Calculateur (1)'!DB101*'Calculateur (1)'!DD101*VLOOKUP('Données projet (1)'!$B$13,'Paramètres (1)'!$A$1:$I$88,3,0)*0.475*44/12</f>
        <v>#REF!</v>
      </c>
      <c r="DH101" s="142" t="str">
        <f>EXP(-LN(2)/2)*DH100+(1-EXP(-LN(2)/2))/(LN(2)/2)*DB101*DE101*VLOOKUP('Données projet (1)'!$B$13,'Paramètres (1)'!$A$1:$I$88,3,0)*0.475*44/12</f>
        <v>#REF!</v>
      </c>
      <c r="DI101" s="143" t="str">
        <f t="shared" si="55"/>
        <v>#REF!</v>
      </c>
      <c r="DJ101" s="139" t="str">
        <f t="shared" si="56"/>
        <v>#REF!</v>
      </c>
      <c r="DK101" s="131">
        <f t="shared" si="57"/>
        <v>10</v>
      </c>
      <c r="DL101" s="131" t="str">
        <f t="shared" si="128"/>
        <v>#REF!</v>
      </c>
      <c r="DM101" s="131" t="str">
        <f t="shared" si="58"/>
        <v>#REF!</v>
      </c>
      <c r="DN101" s="131" t="str">
        <f t="array" ref="DN101">INDEX(DM:DM,MIN(IF(ISNUMBER(DM101:DM297),ROW(DM101:DM297),"")))</f>
        <v/>
      </c>
      <c r="DO101" s="131" t="str">
        <f t="shared" si="129"/>
        <v>#REF!</v>
      </c>
      <c r="DP101" s="138" t="str">
        <f>DO101*VLOOKUP('Données projet (1)'!$B$14,'Paramètres (1)'!$A$1:$I$88,3,0)*VLOOKUP('Données projet (1)'!$B$14,'Paramètres (1)'!$A$1:$I$88,5,0)</f>
        <v>#REF!</v>
      </c>
      <c r="DQ101" s="130" t="str">
        <f t="shared" si="130"/>
        <v>#REF!</v>
      </c>
      <c r="DR101" s="141" t="str">
        <f t="shared" si="59"/>
        <v>#REF!</v>
      </c>
      <c r="DS101" s="133" t="str">
        <f t="shared" si="60"/>
        <v>#REF!</v>
      </c>
      <c r="DT101" s="133" t="str">
        <f t="shared" si="61"/>
        <v>#REF!</v>
      </c>
      <c r="DU101" s="133" t="str">
        <f t="shared" si="131"/>
        <v>#REF!</v>
      </c>
      <c r="DV101" s="134" t="str">
        <f t="shared" si="62"/>
        <v>#REF!</v>
      </c>
      <c r="DW101" s="134" t="str">
        <f t="shared" si="63"/>
        <v>#REF!</v>
      </c>
      <c r="DX101" s="135" t="str">
        <f>IF(ISNA(VLOOKUP(A101,'Données projet (1)'!$A$165:$I$185,5,0)),0%,VLOOKUP(A101,'Données projet (1)'!$A$165:$I$185,5,0)*VLOOKUP('Données projet (1)'!$B$14,'Paramètres (1)'!$A$1:$I$88,7,0))</f>
        <v>#REF!</v>
      </c>
      <c r="DY101" s="135" t="str">
        <f>IF(ISNA(VLOOKUP(A101,'Données projet (1)'!$A$165:$I$185,6,0)),0%,VLOOKUP(A101,'Données projet (1)'!$A$165:$I$185,6,0)*VLOOKUP('Données projet (1)'!$B$14,'Paramètres (1)'!$A$1:$I$88,7,0))</f>
        <v>#REF!</v>
      </c>
      <c r="DZ101" s="135" t="str">
        <f t="shared" si="64"/>
        <v>#REF!</v>
      </c>
      <c r="EA101" s="142" t="str">
        <f>EXP(-LN(2)/35)*EA100+(1-EXP(-LN(2)/35))/(LN(2)/35)*DW101*DX101*VLOOKUP('Données projet (1)'!$B$14,'Paramètres (1)'!$A$1:$I$88,3,0)*0.475*44/12</f>
        <v>#REF!</v>
      </c>
      <c r="EB101" s="142" t="str">
        <f>EXP(-LN(2)/25)*EB100+(1-EXP(-LN(2)/25))/(LN(2)/25)*'Calculateur (1)'!DW101*'Calculateur (1)'!DY101*VLOOKUP('Données projet (1)'!$B$14,'Paramètres (1)'!$A$1:$I$88,3,0)*0.475*44/12</f>
        <v>#REF!</v>
      </c>
      <c r="EC101" s="142" t="str">
        <f>EXP(-LN(2)/2)*EC100+(1-EXP(-LN(2)/2))/(LN(2)/2)*DW101*DZ101*VLOOKUP('Données projet (1)'!$B$14,'Paramètres (1)'!$A$1:$I$88,3,0)*0.475*44/12</f>
        <v>#REF!</v>
      </c>
      <c r="ED101" s="143" t="str">
        <f t="shared" si="65"/>
        <v>#REF!</v>
      </c>
      <c r="EE101" s="139" t="str">
        <f t="shared" si="66"/>
        <v>#REF!</v>
      </c>
      <c r="EF101" s="131">
        <f t="shared" si="67"/>
        <v>10</v>
      </c>
      <c r="EG101" s="131" t="str">
        <f t="shared" si="132"/>
        <v>#REF!</v>
      </c>
      <c r="EH101" s="131" t="str">
        <f t="shared" si="68"/>
        <v>#REF!</v>
      </c>
      <c r="EI101" s="131" t="str">
        <f t="array" ref="EI101">INDEX(EH:EH,MIN(IF(ISNUMBER(EH101:EH297),ROW(EH101:EH297),"")))</f>
        <v/>
      </c>
      <c r="EJ101" s="131" t="str">
        <f t="shared" si="133"/>
        <v>#REF!</v>
      </c>
      <c r="EK101" s="138" t="str">
        <f>EJ101*VLOOKUP('Données projet (1)'!$B$15,'Paramètres (1)'!$A$1:$I$88,3,0)*VLOOKUP('Données projet (1)'!$B$15,'Paramètres (1)'!$A$1:$I$88,5,0)</f>
        <v>#REF!</v>
      </c>
      <c r="EL101" s="130" t="str">
        <f t="shared" si="134"/>
        <v>#REF!</v>
      </c>
      <c r="EM101" s="141" t="str">
        <f t="shared" si="69"/>
        <v>#REF!</v>
      </c>
      <c r="EN101" s="133" t="str">
        <f t="shared" si="70"/>
        <v>#REF!</v>
      </c>
      <c r="EO101" s="133" t="str">
        <f t="shared" si="71"/>
        <v>#REF!</v>
      </c>
      <c r="EP101" s="133" t="str">
        <f t="shared" si="135"/>
        <v>#REF!</v>
      </c>
      <c r="EQ101" s="134" t="str">
        <f t="shared" si="72"/>
        <v>#REF!</v>
      </c>
      <c r="ER101" s="134" t="str">
        <f t="shared" si="73"/>
        <v>#REF!</v>
      </c>
      <c r="ES101" s="135" t="str">
        <f>IF(ISNA(VLOOKUP(A101,'Données projet (1)'!$A$191:$I$211,5,0)),0%,VLOOKUP(A101,'Données projet (1)'!$A$191:$I$211,5,0)*VLOOKUP('Données projet (1)'!$B$15,'Paramètres (1)'!$A$1:$I$88,7,0))</f>
        <v>#REF!</v>
      </c>
      <c r="ET101" s="135" t="str">
        <f>IF(ISNA(VLOOKUP(A101,'Données projet (1)'!$A$191:$I$211,6,0)),0%,VLOOKUP(A101,'Données projet (1)'!$A$191:$I$211,6,0)*VLOOKUP('Données projet (1)'!$B$15,'Paramètres (1)'!$A$1:$I$88,7,0))</f>
        <v>#REF!</v>
      </c>
      <c r="EU101" s="135" t="str">
        <f t="shared" si="74"/>
        <v>#REF!</v>
      </c>
      <c r="EV101" s="142" t="str">
        <f>EXP(-LN(2)/35)*EV100+(1-EXP(-LN(2)/35))/(LN(2)/35)*ER101*ES101*VLOOKUP('Données projet (1)'!$B$15,'Paramètres (1)'!$A$1:$I$88,3,0)*0.475*44/12</f>
        <v>#REF!</v>
      </c>
      <c r="EW101" s="142" t="str">
        <f>EXP(-LN(2)/25)*EW100+(1-EXP(-LN(2)/25))/(LN(2)/25)*'Calculateur (1)'!ER101*'Calculateur (1)'!ET101*VLOOKUP('Données projet (1)'!$B$15,'Paramètres (1)'!$A$1:$I$88,3,0)*0.475*44/12</f>
        <v>#REF!</v>
      </c>
      <c r="EX101" s="142" t="str">
        <f>EXP(-LN(2)/2)*EX100+(1-EXP(-LN(2)/2))/(LN(2)/2)*ER101*EU101*VLOOKUP('Données projet (1)'!$B$15,'Paramètres (1)'!$A$1:$I$88,3,0)*0.475*44/12</f>
        <v>#REF!</v>
      </c>
      <c r="EY101" s="143" t="str">
        <f t="shared" si="75"/>
        <v>#REF!</v>
      </c>
      <c r="EZ101" s="139" t="str">
        <f t="shared" si="76"/>
        <v>#REF!</v>
      </c>
      <c r="FA101" s="131">
        <f t="shared" si="77"/>
        <v>10</v>
      </c>
      <c r="FB101" s="131" t="str">
        <f t="shared" si="136"/>
        <v>#REF!</v>
      </c>
      <c r="FC101" s="131" t="str">
        <f t="shared" si="78"/>
        <v>#REF!</v>
      </c>
      <c r="FD101" s="131" t="str">
        <f t="array" ref="FD101">INDEX(FC:FC,MIN(IF(ISNUMBER(FC101:FC297),ROW(FC101:FC297),"")))</f>
        <v/>
      </c>
      <c r="FE101" s="131" t="str">
        <f t="shared" si="137"/>
        <v>#REF!</v>
      </c>
      <c r="FF101" s="138" t="str">
        <f>FE101*VLOOKUP('Données projet (1)'!$B$16,'Paramètres (1)'!$A$1:$I$88,3,0)*VLOOKUP('Données projet (1)'!$B$16,'Paramètres (1)'!$A$1:$I$88,5,0)</f>
        <v>#REF!</v>
      </c>
      <c r="FG101" s="130" t="str">
        <f t="shared" si="138"/>
        <v>#REF!</v>
      </c>
      <c r="FH101" s="141" t="str">
        <f t="shared" si="79"/>
        <v>#REF!</v>
      </c>
      <c r="FI101" s="133" t="str">
        <f t="shared" si="80"/>
        <v>#REF!</v>
      </c>
      <c r="FJ101" s="133" t="str">
        <f t="shared" si="81"/>
        <v>#REF!</v>
      </c>
      <c r="FK101" s="133" t="str">
        <f t="shared" si="139"/>
        <v>#REF!</v>
      </c>
      <c r="FL101" s="134" t="str">
        <f t="shared" si="82"/>
        <v>#REF!</v>
      </c>
      <c r="FM101" s="134" t="str">
        <f t="shared" si="83"/>
        <v>#REF!</v>
      </c>
      <c r="FN101" s="135" t="str">
        <f>IF(ISNA(VLOOKUP(A101,'Données projet (1)'!$A$217:$I$237,5,0)),0%,VLOOKUP(A101,'Données projet (1)'!$A$217:$I$237,5,0)*VLOOKUP('Données projet (1)'!$B$16,'Paramètres (1)'!$A$1:$I$88,7,0))</f>
        <v>#REF!</v>
      </c>
      <c r="FO101" s="135" t="str">
        <f>IF(ISNA(VLOOKUP(A101,'Données projet (1)'!$A$217:$I$237,6,0)),0%,VLOOKUP(A101,'Données projet (1)'!$A$217:$I$237,6,0)*VLOOKUP('Données projet (1)'!$B$16,'Paramètres (1)'!$A$1:$I$88,7,0))</f>
        <v>#REF!</v>
      </c>
      <c r="FP101" s="135" t="str">
        <f t="shared" si="84"/>
        <v>#REF!</v>
      </c>
      <c r="FQ101" s="142" t="str">
        <f>EXP(-LN(2)/35)*FQ100+(1-EXP(-LN(2)/35))/(LN(2)/35)*FM101*FN101*VLOOKUP('Données projet (1)'!$B$16,'Paramètres (1)'!$A$1:$I$88,3,0)*0.475*44/12</f>
        <v>#REF!</v>
      </c>
      <c r="FR101" s="142" t="str">
        <f>EXP(-LN(2)/25)*FR100+(1-EXP(-LN(2)/25))/(LN(2)/25)*'Calculateur (1)'!FM101*'Calculateur (1)'!FO101*VLOOKUP('Données projet (1)'!$B$16,'Paramètres (1)'!$A$1:$I$88,3,0)*0.475*44/12</f>
        <v>#REF!</v>
      </c>
      <c r="FS101" s="142" t="str">
        <f>EXP(-LN(2)/2)*FS100+(1-EXP(-LN(2)/2))/(LN(2)/2)*FM101*FP101*VLOOKUP('Données projet (1)'!$B$16,'Paramètres (1)'!$A$1:$I$88,3,0)*0.475*44/12</f>
        <v>#REF!</v>
      </c>
      <c r="FT101" s="143" t="str">
        <f t="shared" si="85"/>
        <v>#REF!</v>
      </c>
      <c r="FU101" s="139" t="str">
        <f t="shared" si="86"/>
        <v>#REF!</v>
      </c>
      <c r="FV101" s="131">
        <f t="shared" si="87"/>
        <v>10</v>
      </c>
      <c r="FW101" s="131" t="str">
        <f t="shared" si="140"/>
        <v>#REF!</v>
      </c>
      <c r="FX101" s="131" t="str">
        <f t="shared" si="88"/>
        <v>#REF!</v>
      </c>
      <c r="FY101" s="131" t="str">
        <f t="array" ref="FY101">INDEX(FX:FX,MIN(IF(ISNUMBER(FX101:FX297),ROW(FX101:FX297),"")))</f>
        <v/>
      </c>
      <c r="FZ101" s="131" t="str">
        <f t="shared" si="141"/>
        <v>#REF!</v>
      </c>
      <c r="GA101" s="138" t="str">
        <f>FZ101*VLOOKUP('Données projet (1)'!$B$17,'Paramètres (1)'!$A$1:$I$88,3,0)*VLOOKUP('Données projet (1)'!$B$17,'Paramètres (1)'!$A$1:$I$88,5,0)</f>
        <v>#REF!</v>
      </c>
      <c r="GB101" s="130" t="str">
        <f t="shared" si="142"/>
        <v>#REF!</v>
      </c>
      <c r="GC101" s="141" t="str">
        <f t="shared" si="89"/>
        <v>#REF!</v>
      </c>
      <c r="GD101" s="133" t="str">
        <f t="shared" si="90"/>
        <v>#REF!</v>
      </c>
      <c r="GE101" s="133" t="str">
        <f t="shared" si="91"/>
        <v>#REF!</v>
      </c>
      <c r="GF101" s="133" t="str">
        <f t="shared" si="143"/>
        <v>#REF!</v>
      </c>
      <c r="GG101" s="134" t="str">
        <f t="shared" si="92"/>
        <v>#REF!</v>
      </c>
      <c r="GH101" s="134" t="str">
        <f t="shared" si="93"/>
        <v>#REF!</v>
      </c>
      <c r="GI101" s="135" t="str">
        <f>IF(ISNA(VLOOKUP(A101,'Données projet (1)'!$A$243:$I$263,5,0)),0%,VLOOKUP(A101,'Données projet (1)'!$A$243:$I$263,5,0)*VLOOKUP('Données projet (1)'!$B$17,'Paramètres (1)'!$A$1:$I$88,7,0))</f>
        <v>#REF!</v>
      </c>
      <c r="GJ101" s="135" t="str">
        <f>IF(ISNA(VLOOKUP(A101,'Données projet (1)'!$A$243:$I$263,6,0)),0%,VLOOKUP(A101,'Données projet (1)'!$A$243:$I$263,6,0)*VLOOKUP('Données projet (1)'!$B$17,'Paramètres (1)'!$A$1:$I$88,7,0))</f>
        <v>#REF!</v>
      </c>
      <c r="GK101" s="135" t="str">
        <f t="shared" si="94"/>
        <v>#REF!</v>
      </c>
      <c r="GL101" s="142" t="str">
        <f>EXP(-LN(2)/35)*GL100+(1-EXP(-LN(2)/35))/(LN(2)/35)*GH101*GI101*VLOOKUP('Données projet (1)'!$B$17,'Paramètres (1)'!$A$1:$I$88,3,0)*0.475*44/12</f>
        <v>#REF!</v>
      </c>
      <c r="GM101" s="142" t="str">
        <f>EXP(-LN(2)/25)*GM100+(1-EXP(-LN(2)/25))/(LN(2)/25)*'Calculateur (1)'!GH101*'Calculateur (1)'!GJ101*VLOOKUP('Données projet (1)'!$B$17,'Paramètres (1)'!$A$1:$I$88,3,0)*0.475*44/12</f>
        <v>#REF!</v>
      </c>
      <c r="GN101" s="142" t="str">
        <f>EXP(-LN(2)/2)*GN100+(1-EXP(-LN(2)/2))/(LN(2)/2)*GH101*GK101*VLOOKUP('Données projet (1)'!$B$17,'Paramètres (1)'!$A$1:$I$88,3,0)*0.475*44/12</f>
        <v>#REF!</v>
      </c>
      <c r="GO101" s="142" t="str">
        <f t="shared" si="95"/>
        <v>#REF!</v>
      </c>
      <c r="GP101" s="139" t="str">
        <f t="shared" si="96"/>
        <v>#REF!</v>
      </c>
      <c r="GQ101" s="131">
        <f t="shared" si="97"/>
        <v>10</v>
      </c>
      <c r="GR101" s="131" t="str">
        <f t="shared" si="144"/>
        <v>#REF!</v>
      </c>
      <c r="GS101" s="131" t="str">
        <f t="shared" si="98"/>
        <v>#REF!</v>
      </c>
      <c r="GT101" s="131" t="str">
        <f t="array" ref="GT101">INDEX(GS:GS,MIN(IF(ISNUMBER(GS101:GS297),ROW(GS101:GS297),"")))</f>
        <v/>
      </c>
      <c r="GU101" s="131" t="str">
        <f t="shared" si="145"/>
        <v>#REF!</v>
      </c>
      <c r="GV101" s="138" t="str">
        <f>GU101*VLOOKUP('Données projet (1)'!$B$18,'Paramètres (1)'!$A$1:$I$88,3,0)*VLOOKUP('Données projet (1)'!$B$18,'Paramètres (1)'!$A$1:$I$88,5,0)</f>
        <v>#REF!</v>
      </c>
      <c r="GW101" s="130" t="str">
        <f t="shared" si="146"/>
        <v>#REF!</v>
      </c>
      <c r="GX101" s="141" t="str">
        <f t="shared" si="99"/>
        <v>#REF!</v>
      </c>
      <c r="GY101" s="133" t="str">
        <f t="shared" si="100"/>
        <v>#REF!</v>
      </c>
      <c r="GZ101" s="133" t="str">
        <f t="shared" si="101"/>
        <v>#REF!</v>
      </c>
      <c r="HA101" s="133" t="str">
        <f t="shared" si="147"/>
        <v>#REF!</v>
      </c>
      <c r="HB101" s="134" t="str">
        <f t="shared" si="102"/>
        <v>#REF!</v>
      </c>
      <c r="HC101" s="134" t="str">
        <f t="shared" si="103"/>
        <v>#REF!</v>
      </c>
      <c r="HD101" s="135" t="str">
        <f>IF(ISNA(VLOOKUP(A101,'Données projet (1)'!$A$269:$I$289,5,0)),0%,VLOOKUP(A101,'Données projet (1)'!$A$269:$I$289,5,0)*VLOOKUP('Données projet (1)'!$B$18,'Paramètres (1)'!$A$1:$I$88,7,0))</f>
        <v>#REF!</v>
      </c>
      <c r="HE101" s="135" t="str">
        <f>IF(ISNA(VLOOKUP(A101,'Données projet (1)'!$A$269:$I$289,6,0)),0%,VLOOKUP(A101,'Données projet (1)'!$A$269:$I$289,6,0)*VLOOKUP('Données projet (1)'!$B$18,'Paramètres (1)'!$A$1:$I$88,7,0))</f>
        <v>#REF!</v>
      </c>
      <c r="HF101" s="135" t="str">
        <f t="shared" si="104"/>
        <v>#REF!</v>
      </c>
      <c r="HG101" s="142" t="str">
        <f>EXP(-LN(2)/35)*HG100+(1-EXP(-LN(2)/35))/(LN(2)/35)*HC101*HD101*VLOOKUP('Données projet (1)'!$B$18,'Paramètres (1)'!$A$1:$I$88,3,0)*0.475*44/12</f>
        <v>#REF!</v>
      </c>
      <c r="HH101" s="142" t="str">
        <f>EXP(-LN(2)/25)*HH100+(1-EXP(-LN(2)/25))/(LN(2)/25)*'Calculateur (1)'!HC101*'Calculateur (1)'!HE101*VLOOKUP('Données projet (1)'!$B$18,'Paramètres (1)'!$A$1:$I$88,3,0)*0.475*44/12</f>
        <v>#REF!</v>
      </c>
      <c r="HI101" s="142" t="str">
        <f>EXP(-LN(2)/2)*HI100+(1-EXP(-LN(2)/2))/(LN(2)/2)*HC101*HF101*VLOOKUP('Données projet (1)'!$B$18,'Paramètres (1)'!$A$1:$I$88,3,0)*0.475*44/12</f>
        <v>#REF!</v>
      </c>
      <c r="HJ101" s="143" t="str">
        <f t="shared" si="105"/>
        <v>#REF!</v>
      </c>
    </row>
    <row r="102" ht="14.25" customHeight="1">
      <c r="A102" s="125">
        <f t="shared" si="106"/>
        <v>99</v>
      </c>
      <c r="B102" s="126" t="str">
        <f t="shared" si="1"/>
        <v>#REF!</v>
      </c>
      <c r="C102" s="140" t="str">
        <f>'Calculateur (1)'!C101+'Scénario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2" s="127">
        <f t="shared" si="107"/>
        <v>0</v>
      </c>
      <c r="E102" s="127" t="str">
        <f t="shared" si="2"/>
        <v>#REF!</v>
      </c>
      <c r="F102" s="127" t="str">
        <f t="shared" si="3"/>
        <v>#REF!</v>
      </c>
      <c r="G102" s="127" t="str">
        <f t="shared" si="4"/>
        <v>#REF!</v>
      </c>
      <c r="H102" s="128" t="str">
        <f t="shared" si="5"/>
        <v>#REF!</v>
      </c>
      <c r="I102" s="129" t="str">
        <f t="shared" si="6"/>
        <v>#REF!</v>
      </c>
      <c r="J102" s="130">
        <f t="shared" si="7"/>
        <v>10</v>
      </c>
      <c r="K102" s="131" t="str">
        <f t="shared" si="108"/>
        <v>#REF!</v>
      </c>
      <c r="L102" s="131" t="str">
        <f t="shared" si="8"/>
        <v>#REF!</v>
      </c>
      <c r="M102" s="131" t="str">
        <f t="array" ref="M102">INDEX(L:L,MIN(IF(ISNUMBER(L102:L298),ROW(L102:L298),"")))</f>
        <v/>
      </c>
      <c r="N102" s="130" t="str">
        <f t="shared" si="109"/>
        <v>#REF!</v>
      </c>
      <c r="O102" s="130" t="str">
        <f>N102*VLOOKUP('Données projet (1)'!$B$9,'Paramètres (1)'!$A$1:$I$88,3,0)*VLOOKUP('Données projet (1)'!$B$9,'Paramètres (1)'!$A$1:$I$88,5,0)</f>
        <v>#REF!</v>
      </c>
      <c r="P102" s="130" t="str">
        <f t="shared" si="110"/>
        <v>#REF!</v>
      </c>
      <c r="Q102" s="141" t="str">
        <f t="shared" si="9"/>
        <v>#REF!</v>
      </c>
      <c r="R102" s="133" t="str">
        <f t="shared" si="10"/>
        <v>#REF!</v>
      </c>
      <c r="S102" s="133" t="str">
        <f t="shared" si="11"/>
        <v>#REF!</v>
      </c>
      <c r="T102" s="133" t="str">
        <f t="shared" si="111"/>
        <v>#REF!</v>
      </c>
      <c r="U102" s="134" t="str">
        <f t="shared" si="12"/>
        <v>#REF!</v>
      </c>
      <c r="V102" s="134" t="str">
        <f t="shared" si="13"/>
        <v>#REF!</v>
      </c>
      <c r="W102" s="135" t="str">
        <f>IF(ISNA(VLOOKUP(A102,'Données projet (1)'!$A$35:$I$55,5,0)),0%,VLOOKUP(A102,'Données projet (1)'!$A$35:$I$55,5,0)*VLOOKUP('Données projet (1)'!$B$9,'Paramètres (1)'!$A$1:$I$88,7,0))</f>
        <v>#REF!</v>
      </c>
      <c r="X102" s="135" t="str">
        <f>IF(ISNA(VLOOKUP(A102,'Données projet (1)'!$A$35:$I$55,6,0)),0%,VLOOKUP(A102,'Données projet (1)'!$A$35:$I$55,6,0)*VLOOKUP('Données projet (1)'!$B$9,'Paramètres (1)'!$A$1:$I$88,7,0))</f>
        <v>#REF!</v>
      </c>
      <c r="Y102" s="135" t="str">
        <f t="shared" si="14"/>
        <v>#REF!</v>
      </c>
      <c r="Z102" s="142" t="str">
        <f>EXP(-LN(2)/35)*Z101+(1-EXP(-LN(2)/35))/(LN(2)/35)*V102*W102*VLOOKUP('Données projet (1)'!$B$9,'Paramètres (1)'!$A$1:$I$88,3,0)*0.475*44/12</f>
        <v>#REF!</v>
      </c>
      <c r="AA102" s="142" t="str">
        <f>EXP(-LN(2)/25)*AA101+(1-EXP(-LN(2)/25))/(LN(2)/25)*'Calculateur (1)'!V102*'Calculateur (1)'!X102*VLOOKUP('Données projet (1)'!$B$9,'Paramètres (1)'!$A$1:$I$88,3,0)*0.475*44/12</f>
        <v>#REF!</v>
      </c>
      <c r="AB102" s="142" t="str">
        <f>EXP(-LN(2)/2)*AB101+(1-EXP(-LN(2)/2))/(LN(2)/2)*V102*Y102*VLOOKUP('Données projet (1)'!$B$9,'Paramètres (1)'!$A$1:$I$88,3,0)*0.475*44/12</f>
        <v>#REF!</v>
      </c>
      <c r="AC102" s="143" t="str">
        <f t="shared" si="15"/>
        <v>#REF!</v>
      </c>
      <c r="AD102" s="130" t="str">
        <f t="shared" si="16"/>
        <v>#REF!</v>
      </c>
      <c r="AE102" s="130">
        <f t="shared" si="17"/>
        <v>10</v>
      </c>
      <c r="AF102" s="131" t="str">
        <f t="shared" si="112"/>
        <v>#REF!</v>
      </c>
      <c r="AG102" s="131" t="str">
        <f t="shared" si="18"/>
        <v>#REF!</v>
      </c>
      <c r="AH102" s="131" t="str">
        <f t="array" ref="AH102">INDEX(AG:AG,MIN(IF(ISNUMBER(AG102:AG298),ROW(AG102:AG298),"")))</f>
        <v/>
      </c>
      <c r="AI102" s="130" t="str">
        <f t="shared" si="113"/>
        <v>#REF!</v>
      </c>
      <c r="AJ102" s="130" t="str">
        <f>AI102*VLOOKUP('Données projet (1)'!$B$10,'Paramètres (1)'!$A$1:$I$88,3,0)*VLOOKUP('Données projet (1)'!$B$10,'Paramètres (1)'!$A$1:$I$88,5,0)</f>
        <v>#REF!</v>
      </c>
      <c r="AK102" s="130" t="str">
        <f t="shared" si="114"/>
        <v>#REF!</v>
      </c>
      <c r="AL102" s="141" t="str">
        <f t="shared" si="19"/>
        <v>#REF!</v>
      </c>
      <c r="AM102" s="133" t="str">
        <f t="shared" si="20"/>
        <v>#REF!</v>
      </c>
      <c r="AN102" s="133" t="str">
        <f t="shared" si="21"/>
        <v>#REF!</v>
      </c>
      <c r="AO102" s="133" t="str">
        <f t="shared" si="115"/>
        <v>#REF!</v>
      </c>
      <c r="AP102" s="134" t="str">
        <f t="shared" si="22"/>
        <v>#REF!</v>
      </c>
      <c r="AQ102" s="134" t="str">
        <f t="shared" si="23"/>
        <v>#REF!</v>
      </c>
      <c r="AR102" s="135" t="str">
        <f>IF(ISNA(VLOOKUP(A102,'Données projet (1)'!$A$61:$I$81,5,0)),0%,VLOOKUP(A102,'Données projet (1)'!$A$61:$I$81,5,0)*VLOOKUP('Données projet (1)'!$B$10,'Paramètres (1)'!$A$1:$I$88,7,0))</f>
        <v>#REF!</v>
      </c>
      <c r="AS102" s="135" t="str">
        <f>IF(ISNA(VLOOKUP(A102,'Données projet (1)'!$A$61:$I$81,6,0)),0%,VLOOKUP(A102,'Données projet (1)'!$A$61:$I$81,6,0)*VLOOKUP('Données projet (1)'!$B$10,'Paramètres (1)'!$A$1:$I$88,7,0))</f>
        <v>#REF!</v>
      </c>
      <c r="AT102" s="135" t="str">
        <f t="shared" si="24"/>
        <v>#REF!</v>
      </c>
      <c r="AU102" s="142" t="str">
        <f>EXP(-LN(2)/35)*AU101+(1-EXP(-LN(2)/35))/(LN(2)/35)*AQ102*AR102*VLOOKUP('Données projet (1)'!$B$10,'Paramètres (1)'!$A$1:$I$88,3,0)*0.475*44/12</f>
        <v>#REF!</v>
      </c>
      <c r="AV102" s="142" t="str">
        <f>EXP(-LN(2)/25)*AV101+(1-EXP(-LN(2)/25))/(LN(2)/25)*'Calculateur (1)'!AQ102*'Calculateur (1)'!AS102*VLOOKUP('Données projet (1)'!$B$10,'Paramètres (1)'!$A$1:$I$88,3,0)*0.475*44/12</f>
        <v>#REF!</v>
      </c>
      <c r="AW102" s="142" t="str">
        <f>EXP(-LN(2)/2)*AW101+(1-EXP(-LN(2)/2))/(LN(2)/2)*AQ102*AT102*VLOOKUP('Données projet (1)'!$B$10,'Paramètres (1)'!$A$1:$I$88,3,0)*0.475*44/12</f>
        <v>#REF!</v>
      </c>
      <c r="AX102" s="142" t="str">
        <f t="shared" si="25"/>
        <v>#REF!</v>
      </c>
      <c r="AY102" s="137" t="str">
        <f t="shared" si="26"/>
        <v>#REF!</v>
      </c>
      <c r="AZ102" s="131">
        <f t="shared" si="27"/>
        <v>10</v>
      </c>
      <c r="BA102" s="131" t="str">
        <f t="shared" si="116"/>
        <v>#REF!</v>
      </c>
      <c r="BB102" s="131" t="str">
        <f t="shared" si="28"/>
        <v>#REF!</v>
      </c>
      <c r="BC102" s="131" t="str">
        <f t="array" ref="BC102">INDEX(BB:BB,MIN(IF(ISNUMBER(BB102:BB298),ROW(BB102:BB298),"")))</f>
        <v/>
      </c>
      <c r="BD102" s="131" t="str">
        <f t="shared" si="117"/>
        <v>#REF!</v>
      </c>
      <c r="BE102" s="130" t="str">
        <f>BD102*VLOOKUP('Données projet (1)'!$B$11,'Paramètres (1)'!$A$1:$I$88,3,0)*VLOOKUP('Données projet (1)'!$B$11,'Paramètres (1)'!$A$1:$I$88,5,0)</f>
        <v>#REF!</v>
      </c>
      <c r="BF102" s="130" t="str">
        <f t="shared" si="118"/>
        <v>#REF!</v>
      </c>
      <c r="BG102" s="141" t="str">
        <f t="shared" si="29"/>
        <v>#REF!</v>
      </c>
      <c r="BH102" s="133" t="str">
        <f t="shared" si="30"/>
        <v>#REF!</v>
      </c>
      <c r="BI102" s="133" t="str">
        <f t="shared" si="31"/>
        <v>#REF!</v>
      </c>
      <c r="BJ102" s="133" t="str">
        <f t="shared" si="119"/>
        <v>#REF!</v>
      </c>
      <c r="BK102" s="134" t="str">
        <f t="shared" si="32"/>
        <v>#REF!</v>
      </c>
      <c r="BL102" s="134" t="str">
        <f t="shared" si="33"/>
        <v>#REF!</v>
      </c>
      <c r="BM102" s="135" t="str">
        <f>IF(ISNA(VLOOKUP(A102,'Données projet (1)'!$A$87:$I$107,5,0)),0%,VLOOKUP(A102,'Données projet (1)'!$A$87:$I$107,5,0)*VLOOKUP('Données projet (1)'!$B$11,'Paramètres (1)'!$A$1:$I$88,7,0))</f>
        <v>#REF!</v>
      </c>
      <c r="BN102" s="135" t="str">
        <f>IF(ISNA(VLOOKUP(A102,'Données projet (1)'!$A$87:$I$107,6,0)),0%,VLOOKUP(A102,'Données projet (1)'!$A$87:$I$107,6,0)*VLOOKUP('Données projet (1)'!$B$11,'Paramètres (1)'!$A$1:$I$88,7,0))</f>
        <v>#REF!</v>
      </c>
      <c r="BO102" s="135" t="str">
        <f t="shared" si="34"/>
        <v>#REF!</v>
      </c>
      <c r="BP102" s="142" t="str">
        <f>EXP(-LN(2)/35)*BP101+(1-EXP(-LN(2)/35))/(LN(2)/35)*BL102*BM102*VLOOKUP('Données projet (1)'!$B$11,'Paramètres (1)'!$A$1:$I$88,3,0)*0.475*44/12</f>
        <v>#REF!</v>
      </c>
      <c r="BQ102" s="142" t="str">
        <f>EXP(-LN(2)/25)*BQ101+(1-EXP(-LN(2)/25))/(LN(2)/25)*'Calculateur (1)'!BL102*'Calculateur (1)'!BN102*VLOOKUP('Données projet (1)'!$B$11,'Paramètres (1)'!$A$1:$I$88,3,0)*0.475*44/12</f>
        <v>#REF!</v>
      </c>
      <c r="BR102" s="142" t="str">
        <f>EXP(-LN(2)/2)*BR101+(1-EXP(-LN(2)/2))/(LN(2)/2)*BL102*BO102*VLOOKUP('Données projet (1)'!$B$11,'Paramètres (1)'!$A$1:$I$88,3,0)*0.475*44/12</f>
        <v>#REF!</v>
      </c>
      <c r="BS102" s="143" t="str">
        <f t="shared" si="35"/>
        <v>#REF!</v>
      </c>
      <c r="BT102" s="139" t="str">
        <f t="shared" si="36"/>
        <v>#REF!</v>
      </c>
      <c r="BU102" s="131">
        <f t="shared" si="37"/>
        <v>10</v>
      </c>
      <c r="BV102" s="131" t="str">
        <f t="shared" si="120"/>
        <v>#REF!</v>
      </c>
      <c r="BW102" s="131" t="str">
        <f t="shared" si="38"/>
        <v>#REF!</v>
      </c>
      <c r="BX102" s="131" t="str">
        <f t="array" ref="BX102">INDEX(BW:BW,MIN(IF(ISNUMBER(BW102:BW298),ROW(BW102:BW298),"")))</f>
        <v/>
      </c>
      <c r="BY102" s="131" t="str">
        <f t="shared" si="121"/>
        <v>#REF!</v>
      </c>
      <c r="BZ102" s="130" t="str">
        <f>BY102*VLOOKUP('Données projet (1)'!$B$12,'Paramètres (1)'!$A$1:$I$88,3,0)*VLOOKUP('Données projet (1)'!$B$12,'Paramètres (1)'!$A$1:$I$88,5,0)</f>
        <v>#REF!</v>
      </c>
      <c r="CA102" s="130" t="str">
        <f t="shared" si="122"/>
        <v>#REF!</v>
      </c>
      <c r="CB102" s="141" t="str">
        <f t="shared" si="39"/>
        <v>#REF!</v>
      </c>
      <c r="CC102" s="133" t="str">
        <f t="shared" si="40"/>
        <v>#REF!</v>
      </c>
      <c r="CD102" s="133" t="str">
        <f t="shared" si="41"/>
        <v>#REF!</v>
      </c>
      <c r="CE102" s="133" t="str">
        <f t="shared" si="123"/>
        <v>#REF!</v>
      </c>
      <c r="CF102" s="134" t="str">
        <f t="shared" si="42"/>
        <v>#REF!</v>
      </c>
      <c r="CG102" s="134" t="str">
        <f t="shared" si="43"/>
        <v>#REF!</v>
      </c>
      <c r="CH102" s="135" t="str">
        <f>IF(ISNA(VLOOKUP(A102,'Données projet (1)'!$A$113:$I$133,5,0)),0%,VLOOKUP(A102,'Données projet (1)'!$A$113:$I$133,5,0)*VLOOKUP('Données projet (1)'!$B$12,'Paramètres (1)'!$A$1:$I$88,7,0))</f>
        <v>#REF!</v>
      </c>
      <c r="CI102" s="135" t="str">
        <f>IF(ISNA(VLOOKUP(A102,'Données projet (1)'!$A$113:$I$133,6,0)),0%,VLOOKUP(A102,'Données projet (1)'!$A$113:$I$133,6,0)*VLOOKUP('Données projet (1)'!$B$12,'Paramètres (1)'!$A$1:$I$88,7,0))</f>
        <v>#REF!</v>
      </c>
      <c r="CJ102" s="135" t="str">
        <f t="shared" si="44"/>
        <v>#REF!</v>
      </c>
      <c r="CK102" s="142" t="str">
        <f>EXP(-LN(2)/35)*CK101+(1-EXP(-LN(2)/35))/(LN(2)/35)*CG102*CH102*VLOOKUP('Données projet (1)'!$B$12,'Paramètres (1)'!$A$1:$I$88,3,0)*0.475*44/12</f>
        <v>#REF!</v>
      </c>
      <c r="CL102" s="142" t="str">
        <f>EXP(-LN(2)/25)*CL101+(1-EXP(-LN(2)/25))/(LN(2)/25)*'Calculateur (1)'!CG102*'Calculateur (1)'!CI102*VLOOKUP('Données projet (1)'!$B$12,'Paramètres (1)'!$A$1:$I$88,3,0)*0.475*44/12</f>
        <v>#REF!</v>
      </c>
      <c r="CM102" s="142" t="str">
        <f>EXP(-LN(2)/2)*CM101+(1-EXP(-LN(2)/2))/(LN(2)/2)*CG102*CJ102*VLOOKUP('Données projet (1)'!$B$12,'Paramètres (1)'!$A$1:$I$88,3,0)*0.475*44/12</f>
        <v>#REF!</v>
      </c>
      <c r="CN102" s="143" t="str">
        <f t="shared" si="45"/>
        <v>#REF!</v>
      </c>
      <c r="CO102" s="139" t="str">
        <f t="shared" si="46"/>
        <v>#REF!</v>
      </c>
      <c r="CP102" s="131">
        <f t="shared" si="47"/>
        <v>10</v>
      </c>
      <c r="CQ102" s="131" t="str">
        <f t="shared" si="124"/>
        <v>#REF!</v>
      </c>
      <c r="CR102" s="131" t="str">
        <f t="shared" si="48"/>
        <v>#REF!</v>
      </c>
      <c r="CS102" s="131" t="str">
        <f t="array" ref="CS102">INDEX(CR:CR,MIN(IF(ISNUMBER(CR102:CR298),ROW(CR102:CR298),"")))</f>
        <v/>
      </c>
      <c r="CT102" s="131" t="str">
        <f t="shared" si="125"/>
        <v>#REF!</v>
      </c>
      <c r="CU102" s="138" t="str">
        <f>CT102*VLOOKUP('Données projet (1)'!$B$13,'Paramètres (1)'!$A$1:$I$88,3,0)*VLOOKUP('Données projet (1)'!$B$13,'Paramètres (1)'!$A$1:$I$88,5,0)</f>
        <v>#REF!</v>
      </c>
      <c r="CV102" s="130" t="str">
        <f t="shared" si="126"/>
        <v>#REF!</v>
      </c>
      <c r="CW102" s="141" t="str">
        <f t="shared" si="49"/>
        <v>#REF!</v>
      </c>
      <c r="CX102" s="133" t="str">
        <f t="shared" si="50"/>
        <v>#REF!</v>
      </c>
      <c r="CY102" s="133" t="str">
        <f t="shared" si="51"/>
        <v>#REF!</v>
      </c>
      <c r="CZ102" s="133" t="str">
        <f t="shared" si="127"/>
        <v>#REF!</v>
      </c>
      <c r="DA102" s="134" t="str">
        <f t="shared" si="52"/>
        <v>#REF!</v>
      </c>
      <c r="DB102" s="134" t="str">
        <f t="shared" si="53"/>
        <v>#REF!</v>
      </c>
      <c r="DC102" s="135" t="str">
        <f>IF(ISNA(VLOOKUP(A102,'Données projet (1)'!$A$139:$I$159,5,0)),0%,VLOOKUP(A102,'Données projet (1)'!$A$139:$I$159,5,0)*VLOOKUP('Données projet (1)'!$B$13,'Paramètres (1)'!$A$1:$I$88,7,0))</f>
        <v>#REF!</v>
      </c>
      <c r="DD102" s="135" t="str">
        <f>IF(ISNA(VLOOKUP(A102,'Données projet (1)'!$A$139:$I$159,6,0)),0%,VLOOKUP(A102,'Données projet (1)'!$A$139:$I$159,6,0)*VLOOKUP('Données projet (1)'!$B$13,'Paramètres (1)'!$A$1:$I$88,7,0))</f>
        <v>#REF!</v>
      </c>
      <c r="DE102" s="135" t="str">
        <f t="shared" si="54"/>
        <v>#REF!</v>
      </c>
      <c r="DF102" s="142" t="str">
        <f>EXP(-LN(2)/35)*DF101+(1-EXP(-LN(2)/35))/(LN(2)/35)*DB102*DC102*VLOOKUP('Données projet (1)'!$B$13,'Paramètres (1)'!$A$1:$I$88,3,0)*0.475*44/12</f>
        <v>#REF!</v>
      </c>
      <c r="DG102" s="142" t="str">
        <f>EXP(-LN(2)/25)*DG101+(1-EXP(-LN(2)/25))/(LN(2)/25)*'Calculateur (1)'!DB102*'Calculateur (1)'!DD102*VLOOKUP('Données projet (1)'!$B$13,'Paramètres (1)'!$A$1:$I$88,3,0)*0.475*44/12</f>
        <v>#REF!</v>
      </c>
      <c r="DH102" s="142" t="str">
        <f>EXP(-LN(2)/2)*DH101+(1-EXP(-LN(2)/2))/(LN(2)/2)*DB102*DE102*VLOOKUP('Données projet (1)'!$B$13,'Paramètres (1)'!$A$1:$I$88,3,0)*0.475*44/12</f>
        <v>#REF!</v>
      </c>
      <c r="DI102" s="143" t="str">
        <f t="shared" si="55"/>
        <v>#REF!</v>
      </c>
      <c r="DJ102" s="139" t="str">
        <f t="shared" si="56"/>
        <v>#REF!</v>
      </c>
      <c r="DK102" s="131">
        <f t="shared" si="57"/>
        <v>10</v>
      </c>
      <c r="DL102" s="131" t="str">
        <f t="shared" si="128"/>
        <v>#REF!</v>
      </c>
      <c r="DM102" s="131" t="str">
        <f t="shared" si="58"/>
        <v>#REF!</v>
      </c>
      <c r="DN102" s="131" t="str">
        <f t="array" ref="DN102">INDEX(DM:DM,MIN(IF(ISNUMBER(DM102:DM298),ROW(DM102:DM298),"")))</f>
        <v/>
      </c>
      <c r="DO102" s="131" t="str">
        <f t="shared" si="129"/>
        <v>#REF!</v>
      </c>
      <c r="DP102" s="138" t="str">
        <f>DO102*VLOOKUP('Données projet (1)'!$B$14,'Paramètres (1)'!$A$1:$I$88,3,0)*VLOOKUP('Données projet (1)'!$B$14,'Paramètres (1)'!$A$1:$I$88,5,0)</f>
        <v>#REF!</v>
      </c>
      <c r="DQ102" s="130" t="str">
        <f t="shared" si="130"/>
        <v>#REF!</v>
      </c>
      <c r="DR102" s="141" t="str">
        <f t="shared" si="59"/>
        <v>#REF!</v>
      </c>
      <c r="DS102" s="133" t="str">
        <f t="shared" si="60"/>
        <v>#REF!</v>
      </c>
      <c r="DT102" s="133" t="str">
        <f t="shared" si="61"/>
        <v>#REF!</v>
      </c>
      <c r="DU102" s="133" t="str">
        <f t="shared" si="131"/>
        <v>#REF!</v>
      </c>
      <c r="DV102" s="134" t="str">
        <f t="shared" si="62"/>
        <v>#REF!</v>
      </c>
      <c r="DW102" s="134" t="str">
        <f t="shared" si="63"/>
        <v>#REF!</v>
      </c>
      <c r="DX102" s="135" t="str">
        <f>IF(ISNA(VLOOKUP(A102,'Données projet (1)'!$A$165:$I$185,5,0)),0%,VLOOKUP(A102,'Données projet (1)'!$A$165:$I$185,5,0)*VLOOKUP('Données projet (1)'!$B$14,'Paramètres (1)'!$A$1:$I$88,7,0))</f>
        <v>#REF!</v>
      </c>
      <c r="DY102" s="135" t="str">
        <f>IF(ISNA(VLOOKUP(A102,'Données projet (1)'!$A$165:$I$185,6,0)),0%,VLOOKUP(A102,'Données projet (1)'!$A$165:$I$185,6,0)*VLOOKUP('Données projet (1)'!$B$14,'Paramètres (1)'!$A$1:$I$88,7,0))</f>
        <v>#REF!</v>
      </c>
      <c r="DZ102" s="135" t="str">
        <f t="shared" si="64"/>
        <v>#REF!</v>
      </c>
      <c r="EA102" s="142" t="str">
        <f>EXP(-LN(2)/35)*EA101+(1-EXP(-LN(2)/35))/(LN(2)/35)*DW102*DX102*VLOOKUP('Données projet (1)'!$B$14,'Paramètres (1)'!$A$1:$I$88,3,0)*0.475*44/12</f>
        <v>#REF!</v>
      </c>
      <c r="EB102" s="142" t="str">
        <f>EXP(-LN(2)/25)*EB101+(1-EXP(-LN(2)/25))/(LN(2)/25)*'Calculateur (1)'!DW102*'Calculateur (1)'!DY102*VLOOKUP('Données projet (1)'!$B$14,'Paramètres (1)'!$A$1:$I$88,3,0)*0.475*44/12</f>
        <v>#REF!</v>
      </c>
      <c r="EC102" s="142" t="str">
        <f>EXP(-LN(2)/2)*EC101+(1-EXP(-LN(2)/2))/(LN(2)/2)*DW102*DZ102*VLOOKUP('Données projet (1)'!$B$14,'Paramètres (1)'!$A$1:$I$88,3,0)*0.475*44/12</f>
        <v>#REF!</v>
      </c>
      <c r="ED102" s="143" t="str">
        <f t="shared" si="65"/>
        <v>#REF!</v>
      </c>
      <c r="EE102" s="139" t="str">
        <f t="shared" si="66"/>
        <v>#REF!</v>
      </c>
      <c r="EF102" s="131">
        <f t="shared" si="67"/>
        <v>10</v>
      </c>
      <c r="EG102" s="131" t="str">
        <f t="shared" si="132"/>
        <v>#REF!</v>
      </c>
      <c r="EH102" s="131" t="str">
        <f t="shared" si="68"/>
        <v>#REF!</v>
      </c>
      <c r="EI102" s="131" t="str">
        <f t="array" ref="EI102">INDEX(EH:EH,MIN(IF(ISNUMBER(EH102:EH298),ROW(EH102:EH298),"")))</f>
        <v/>
      </c>
      <c r="EJ102" s="131" t="str">
        <f t="shared" si="133"/>
        <v>#REF!</v>
      </c>
      <c r="EK102" s="138" t="str">
        <f>EJ102*VLOOKUP('Données projet (1)'!$B$15,'Paramètres (1)'!$A$1:$I$88,3,0)*VLOOKUP('Données projet (1)'!$B$15,'Paramètres (1)'!$A$1:$I$88,5,0)</f>
        <v>#REF!</v>
      </c>
      <c r="EL102" s="130" t="str">
        <f t="shared" si="134"/>
        <v>#REF!</v>
      </c>
      <c r="EM102" s="141" t="str">
        <f t="shared" si="69"/>
        <v>#REF!</v>
      </c>
      <c r="EN102" s="133" t="str">
        <f t="shared" si="70"/>
        <v>#REF!</v>
      </c>
      <c r="EO102" s="133" t="str">
        <f t="shared" si="71"/>
        <v>#REF!</v>
      </c>
      <c r="EP102" s="133" t="str">
        <f t="shared" si="135"/>
        <v>#REF!</v>
      </c>
      <c r="EQ102" s="134" t="str">
        <f t="shared" si="72"/>
        <v>#REF!</v>
      </c>
      <c r="ER102" s="134" t="str">
        <f t="shared" si="73"/>
        <v>#REF!</v>
      </c>
      <c r="ES102" s="135" t="str">
        <f>IF(ISNA(VLOOKUP(A102,'Données projet (1)'!$A$191:$I$211,5,0)),0%,VLOOKUP(A102,'Données projet (1)'!$A$191:$I$211,5,0)*VLOOKUP('Données projet (1)'!$B$15,'Paramètres (1)'!$A$1:$I$88,7,0))</f>
        <v>#REF!</v>
      </c>
      <c r="ET102" s="135" t="str">
        <f>IF(ISNA(VLOOKUP(A102,'Données projet (1)'!$A$191:$I$211,6,0)),0%,VLOOKUP(A102,'Données projet (1)'!$A$191:$I$211,6,0)*VLOOKUP('Données projet (1)'!$B$15,'Paramètres (1)'!$A$1:$I$88,7,0))</f>
        <v>#REF!</v>
      </c>
      <c r="EU102" s="135" t="str">
        <f t="shared" si="74"/>
        <v>#REF!</v>
      </c>
      <c r="EV102" s="142" t="str">
        <f>EXP(-LN(2)/35)*EV101+(1-EXP(-LN(2)/35))/(LN(2)/35)*ER102*ES102*VLOOKUP('Données projet (1)'!$B$15,'Paramètres (1)'!$A$1:$I$88,3,0)*0.475*44/12</f>
        <v>#REF!</v>
      </c>
      <c r="EW102" s="142" t="str">
        <f>EXP(-LN(2)/25)*EW101+(1-EXP(-LN(2)/25))/(LN(2)/25)*'Calculateur (1)'!ER102*'Calculateur (1)'!ET102*VLOOKUP('Données projet (1)'!$B$15,'Paramètres (1)'!$A$1:$I$88,3,0)*0.475*44/12</f>
        <v>#REF!</v>
      </c>
      <c r="EX102" s="142" t="str">
        <f>EXP(-LN(2)/2)*EX101+(1-EXP(-LN(2)/2))/(LN(2)/2)*ER102*EU102*VLOOKUP('Données projet (1)'!$B$15,'Paramètres (1)'!$A$1:$I$88,3,0)*0.475*44/12</f>
        <v>#REF!</v>
      </c>
      <c r="EY102" s="143" t="str">
        <f t="shared" si="75"/>
        <v>#REF!</v>
      </c>
      <c r="EZ102" s="139" t="str">
        <f t="shared" si="76"/>
        <v>#REF!</v>
      </c>
      <c r="FA102" s="131">
        <f t="shared" si="77"/>
        <v>10</v>
      </c>
      <c r="FB102" s="131" t="str">
        <f t="shared" si="136"/>
        <v>#REF!</v>
      </c>
      <c r="FC102" s="131" t="str">
        <f t="shared" si="78"/>
        <v>#REF!</v>
      </c>
      <c r="FD102" s="131" t="str">
        <f t="array" ref="FD102">INDEX(FC:FC,MIN(IF(ISNUMBER(FC102:FC298),ROW(FC102:FC298),"")))</f>
        <v/>
      </c>
      <c r="FE102" s="131" t="str">
        <f t="shared" si="137"/>
        <v>#REF!</v>
      </c>
      <c r="FF102" s="138" t="str">
        <f>FE102*VLOOKUP('Données projet (1)'!$B$16,'Paramètres (1)'!$A$1:$I$88,3,0)*VLOOKUP('Données projet (1)'!$B$16,'Paramètres (1)'!$A$1:$I$88,5,0)</f>
        <v>#REF!</v>
      </c>
      <c r="FG102" s="130" t="str">
        <f t="shared" si="138"/>
        <v>#REF!</v>
      </c>
      <c r="FH102" s="141" t="str">
        <f t="shared" si="79"/>
        <v>#REF!</v>
      </c>
      <c r="FI102" s="133" t="str">
        <f t="shared" si="80"/>
        <v>#REF!</v>
      </c>
      <c r="FJ102" s="133" t="str">
        <f t="shared" si="81"/>
        <v>#REF!</v>
      </c>
      <c r="FK102" s="133" t="str">
        <f t="shared" si="139"/>
        <v>#REF!</v>
      </c>
      <c r="FL102" s="134" t="str">
        <f t="shared" si="82"/>
        <v>#REF!</v>
      </c>
      <c r="FM102" s="134" t="str">
        <f t="shared" si="83"/>
        <v>#REF!</v>
      </c>
      <c r="FN102" s="135" t="str">
        <f>IF(ISNA(VLOOKUP(A102,'Données projet (1)'!$A$217:$I$237,5,0)),0%,VLOOKUP(A102,'Données projet (1)'!$A$217:$I$237,5,0)*VLOOKUP('Données projet (1)'!$B$16,'Paramètres (1)'!$A$1:$I$88,7,0))</f>
        <v>#REF!</v>
      </c>
      <c r="FO102" s="135" t="str">
        <f>IF(ISNA(VLOOKUP(A102,'Données projet (1)'!$A$217:$I$237,6,0)),0%,VLOOKUP(A102,'Données projet (1)'!$A$217:$I$237,6,0)*VLOOKUP('Données projet (1)'!$B$16,'Paramètres (1)'!$A$1:$I$88,7,0))</f>
        <v>#REF!</v>
      </c>
      <c r="FP102" s="135" t="str">
        <f t="shared" si="84"/>
        <v>#REF!</v>
      </c>
      <c r="FQ102" s="142" t="str">
        <f>EXP(-LN(2)/35)*FQ101+(1-EXP(-LN(2)/35))/(LN(2)/35)*FM102*FN102*VLOOKUP('Données projet (1)'!$B$16,'Paramètres (1)'!$A$1:$I$88,3,0)*0.475*44/12</f>
        <v>#REF!</v>
      </c>
      <c r="FR102" s="142" t="str">
        <f>EXP(-LN(2)/25)*FR101+(1-EXP(-LN(2)/25))/(LN(2)/25)*'Calculateur (1)'!FM102*'Calculateur (1)'!FO102*VLOOKUP('Données projet (1)'!$B$16,'Paramètres (1)'!$A$1:$I$88,3,0)*0.475*44/12</f>
        <v>#REF!</v>
      </c>
      <c r="FS102" s="142" t="str">
        <f>EXP(-LN(2)/2)*FS101+(1-EXP(-LN(2)/2))/(LN(2)/2)*FM102*FP102*VLOOKUP('Données projet (1)'!$B$16,'Paramètres (1)'!$A$1:$I$88,3,0)*0.475*44/12</f>
        <v>#REF!</v>
      </c>
      <c r="FT102" s="143" t="str">
        <f t="shared" si="85"/>
        <v>#REF!</v>
      </c>
      <c r="FU102" s="139" t="str">
        <f t="shared" si="86"/>
        <v>#REF!</v>
      </c>
      <c r="FV102" s="131">
        <f t="shared" si="87"/>
        <v>10</v>
      </c>
      <c r="FW102" s="131" t="str">
        <f t="shared" si="140"/>
        <v>#REF!</v>
      </c>
      <c r="FX102" s="131" t="str">
        <f t="shared" si="88"/>
        <v>#REF!</v>
      </c>
      <c r="FY102" s="131" t="str">
        <f t="array" ref="FY102">INDEX(FX:FX,MIN(IF(ISNUMBER(FX102:FX298),ROW(FX102:FX298),"")))</f>
        <v/>
      </c>
      <c r="FZ102" s="131" t="str">
        <f t="shared" si="141"/>
        <v>#REF!</v>
      </c>
      <c r="GA102" s="138" t="str">
        <f>FZ102*VLOOKUP('Données projet (1)'!$B$17,'Paramètres (1)'!$A$1:$I$88,3,0)*VLOOKUP('Données projet (1)'!$B$17,'Paramètres (1)'!$A$1:$I$88,5,0)</f>
        <v>#REF!</v>
      </c>
      <c r="GB102" s="130" t="str">
        <f t="shared" si="142"/>
        <v>#REF!</v>
      </c>
      <c r="GC102" s="141" t="str">
        <f t="shared" si="89"/>
        <v>#REF!</v>
      </c>
      <c r="GD102" s="133" t="str">
        <f t="shared" si="90"/>
        <v>#REF!</v>
      </c>
      <c r="GE102" s="133" t="str">
        <f t="shared" si="91"/>
        <v>#REF!</v>
      </c>
      <c r="GF102" s="133" t="str">
        <f t="shared" si="143"/>
        <v>#REF!</v>
      </c>
      <c r="GG102" s="134" t="str">
        <f t="shared" si="92"/>
        <v>#REF!</v>
      </c>
      <c r="GH102" s="134" t="str">
        <f t="shared" si="93"/>
        <v>#REF!</v>
      </c>
      <c r="GI102" s="135" t="str">
        <f>IF(ISNA(VLOOKUP(A102,'Données projet (1)'!$A$243:$I$263,5,0)),0%,VLOOKUP(A102,'Données projet (1)'!$A$243:$I$263,5,0)*VLOOKUP('Données projet (1)'!$B$17,'Paramètres (1)'!$A$1:$I$88,7,0))</f>
        <v>#REF!</v>
      </c>
      <c r="GJ102" s="135" t="str">
        <f>IF(ISNA(VLOOKUP(A102,'Données projet (1)'!$A$243:$I$263,6,0)),0%,VLOOKUP(A102,'Données projet (1)'!$A$243:$I$263,6,0)*VLOOKUP('Données projet (1)'!$B$17,'Paramètres (1)'!$A$1:$I$88,7,0))</f>
        <v>#REF!</v>
      </c>
      <c r="GK102" s="135" t="str">
        <f t="shared" si="94"/>
        <v>#REF!</v>
      </c>
      <c r="GL102" s="142" t="str">
        <f>EXP(-LN(2)/35)*GL101+(1-EXP(-LN(2)/35))/(LN(2)/35)*GH102*GI102*VLOOKUP('Données projet (1)'!$B$17,'Paramètres (1)'!$A$1:$I$88,3,0)*0.475*44/12</f>
        <v>#REF!</v>
      </c>
      <c r="GM102" s="142" t="str">
        <f>EXP(-LN(2)/25)*GM101+(1-EXP(-LN(2)/25))/(LN(2)/25)*'Calculateur (1)'!GH102*'Calculateur (1)'!GJ102*VLOOKUP('Données projet (1)'!$B$17,'Paramètres (1)'!$A$1:$I$88,3,0)*0.475*44/12</f>
        <v>#REF!</v>
      </c>
      <c r="GN102" s="142" t="str">
        <f>EXP(-LN(2)/2)*GN101+(1-EXP(-LN(2)/2))/(LN(2)/2)*GH102*GK102*VLOOKUP('Données projet (1)'!$B$17,'Paramètres (1)'!$A$1:$I$88,3,0)*0.475*44/12</f>
        <v>#REF!</v>
      </c>
      <c r="GO102" s="142" t="str">
        <f t="shared" si="95"/>
        <v>#REF!</v>
      </c>
      <c r="GP102" s="139" t="str">
        <f t="shared" si="96"/>
        <v>#REF!</v>
      </c>
      <c r="GQ102" s="131">
        <f t="shared" si="97"/>
        <v>10</v>
      </c>
      <c r="GR102" s="131" t="str">
        <f t="shared" si="144"/>
        <v>#REF!</v>
      </c>
      <c r="GS102" s="131" t="str">
        <f t="shared" si="98"/>
        <v>#REF!</v>
      </c>
      <c r="GT102" s="131" t="str">
        <f t="array" ref="GT102">INDEX(GS:GS,MIN(IF(ISNUMBER(GS102:GS298),ROW(GS102:GS298),"")))</f>
        <v/>
      </c>
      <c r="GU102" s="131" t="str">
        <f t="shared" si="145"/>
        <v>#REF!</v>
      </c>
      <c r="GV102" s="138" t="str">
        <f>GU102*VLOOKUP('Données projet (1)'!$B$18,'Paramètres (1)'!$A$1:$I$88,3,0)*VLOOKUP('Données projet (1)'!$B$18,'Paramètres (1)'!$A$1:$I$88,5,0)</f>
        <v>#REF!</v>
      </c>
      <c r="GW102" s="130" t="str">
        <f t="shared" si="146"/>
        <v>#REF!</v>
      </c>
      <c r="GX102" s="141" t="str">
        <f t="shared" si="99"/>
        <v>#REF!</v>
      </c>
      <c r="GY102" s="133" t="str">
        <f t="shared" si="100"/>
        <v>#REF!</v>
      </c>
      <c r="GZ102" s="133" t="str">
        <f t="shared" si="101"/>
        <v>#REF!</v>
      </c>
      <c r="HA102" s="133" t="str">
        <f t="shared" si="147"/>
        <v>#REF!</v>
      </c>
      <c r="HB102" s="134" t="str">
        <f t="shared" si="102"/>
        <v>#REF!</v>
      </c>
      <c r="HC102" s="134" t="str">
        <f t="shared" si="103"/>
        <v>#REF!</v>
      </c>
      <c r="HD102" s="135" t="str">
        <f>IF(ISNA(VLOOKUP(A102,'Données projet (1)'!$A$269:$I$289,5,0)),0%,VLOOKUP(A102,'Données projet (1)'!$A$269:$I$289,5,0)*VLOOKUP('Données projet (1)'!$B$18,'Paramètres (1)'!$A$1:$I$88,7,0))</f>
        <v>#REF!</v>
      </c>
      <c r="HE102" s="135" t="str">
        <f>IF(ISNA(VLOOKUP(A102,'Données projet (1)'!$A$269:$I$289,6,0)),0%,VLOOKUP(A102,'Données projet (1)'!$A$269:$I$289,6,0)*VLOOKUP('Données projet (1)'!$B$18,'Paramètres (1)'!$A$1:$I$88,7,0))</f>
        <v>#REF!</v>
      </c>
      <c r="HF102" s="135" t="str">
        <f t="shared" si="104"/>
        <v>#REF!</v>
      </c>
      <c r="HG102" s="142" t="str">
        <f>EXP(-LN(2)/35)*HG101+(1-EXP(-LN(2)/35))/(LN(2)/35)*HC102*HD102*VLOOKUP('Données projet (1)'!$B$18,'Paramètres (1)'!$A$1:$I$88,3,0)*0.475*44/12</f>
        <v>#REF!</v>
      </c>
      <c r="HH102" s="142" t="str">
        <f>EXP(-LN(2)/25)*HH101+(1-EXP(-LN(2)/25))/(LN(2)/25)*'Calculateur (1)'!HC102*'Calculateur (1)'!HE102*VLOOKUP('Données projet (1)'!$B$18,'Paramètres (1)'!$A$1:$I$88,3,0)*0.475*44/12</f>
        <v>#REF!</v>
      </c>
      <c r="HI102" s="142" t="str">
        <f>EXP(-LN(2)/2)*HI101+(1-EXP(-LN(2)/2))/(LN(2)/2)*HC102*HF102*VLOOKUP('Données projet (1)'!$B$18,'Paramètres (1)'!$A$1:$I$88,3,0)*0.475*44/12</f>
        <v>#REF!</v>
      </c>
      <c r="HJ102" s="143" t="str">
        <f t="shared" si="105"/>
        <v>#REF!</v>
      </c>
    </row>
    <row r="103" ht="14.25" customHeight="1">
      <c r="A103" s="125">
        <f t="shared" si="106"/>
        <v>100</v>
      </c>
      <c r="B103" s="126" t="str">
        <f t="shared" si="1"/>
        <v>#REF!</v>
      </c>
      <c r="C103" s="140" t="str">
        <f>'Calculateur (1)'!C102+'Scénario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3" s="127">
        <f t="shared" si="107"/>
        <v>0</v>
      </c>
      <c r="E103" s="127" t="str">
        <f t="shared" si="2"/>
        <v>#REF!</v>
      </c>
      <c r="F103" s="127" t="str">
        <f t="shared" si="3"/>
        <v>#REF!</v>
      </c>
      <c r="G103" s="127" t="str">
        <f t="shared" si="4"/>
        <v>#REF!</v>
      </c>
      <c r="H103" s="128" t="str">
        <f t="shared" si="5"/>
        <v>#REF!</v>
      </c>
      <c r="I103" s="129" t="str">
        <f t="shared" si="6"/>
        <v>#REF!</v>
      </c>
      <c r="J103" s="130">
        <f t="shared" si="7"/>
        <v>10</v>
      </c>
      <c r="K103" s="131" t="str">
        <f t="shared" si="108"/>
        <v>#REF!</v>
      </c>
      <c r="L103" s="131" t="str">
        <f t="shared" si="8"/>
        <v>#REF!</v>
      </c>
      <c r="M103" s="131" t="str">
        <f t="array" ref="M103">INDEX(L:L,MIN(IF(ISNUMBER(L103:L299),ROW(L103:L299),"")))</f>
        <v/>
      </c>
      <c r="N103" s="130" t="str">
        <f t="shared" si="109"/>
        <v>#REF!</v>
      </c>
      <c r="O103" s="130" t="str">
        <f>N103*VLOOKUP('Données projet (1)'!$B$9,'Paramètres (1)'!$A$1:$I$88,3,0)*VLOOKUP('Données projet (1)'!$B$9,'Paramètres (1)'!$A$1:$I$88,5,0)</f>
        <v>#REF!</v>
      </c>
      <c r="P103" s="130" t="str">
        <f t="shared" si="110"/>
        <v>#REF!</v>
      </c>
      <c r="Q103" s="141" t="str">
        <f t="shared" si="9"/>
        <v>#REF!</v>
      </c>
      <c r="R103" s="133" t="str">
        <f t="shared" si="10"/>
        <v>#REF!</v>
      </c>
      <c r="S103" s="133" t="str">
        <f t="shared" si="11"/>
        <v>#REF!</v>
      </c>
      <c r="T103" s="133" t="str">
        <f t="shared" si="111"/>
        <v>#REF!</v>
      </c>
      <c r="U103" s="134" t="str">
        <f t="shared" si="12"/>
        <v>#REF!</v>
      </c>
      <c r="V103" s="134" t="str">
        <f t="shared" si="13"/>
        <v>#REF!</v>
      </c>
      <c r="W103" s="135" t="str">
        <f>IF(ISNA(VLOOKUP(A103,'Données projet (1)'!$A$35:$I$55,5,0)),0%,VLOOKUP(A103,'Données projet (1)'!$A$35:$I$55,5,0)*VLOOKUP('Données projet (1)'!$B$9,'Paramètres (1)'!$A$1:$I$88,7,0))</f>
        <v>#REF!</v>
      </c>
      <c r="X103" s="135" t="str">
        <f>IF(ISNA(VLOOKUP(A103,'Données projet (1)'!$A$35:$I$55,6,0)),0%,VLOOKUP(A103,'Données projet (1)'!$A$35:$I$55,6,0)*VLOOKUP('Données projet (1)'!$B$9,'Paramètres (1)'!$A$1:$I$88,7,0))</f>
        <v>#REF!</v>
      </c>
      <c r="Y103" s="135" t="str">
        <f t="shared" si="14"/>
        <v>#REF!</v>
      </c>
      <c r="Z103" s="142" t="str">
        <f>EXP(-LN(2)/35)*Z102+(1-EXP(-LN(2)/35))/(LN(2)/35)*V103*W103*VLOOKUP('Données projet (1)'!$B$9,'Paramètres (1)'!$A$1:$I$88,3,0)*0.475*44/12</f>
        <v>#REF!</v>
      </c>
      <c r="AA103" s="142" t="str">
        <f>EXP(-LN(2)/25)*AA102+(1-EXP(-LN(2)/25))/(LN(2)/25)*'Calculateur (1)'!V103*'Calculateur (1)'!X103*VLOOKUP('Données projet (1)'!$B$9,'Paramètres (1)'!$A$1:$I$88,3,0)*0.475*44/12</f>
        <v>#REF!</v>
      </c>
      <c r="AB103" s="142" t="str">
        <f>EXP(-LN(2)/2)*AB102+(1-EXP(-LN(2)/2))/(LN(2)/2)*V103*Y103*VLOOKUP('Données projet (1)'!$B$9,'Paramètres (1)'!$A$1:$I$88,3,0)*0.475*44/12</f>
        <v>#REF!</v>
      </c>
      <c r="AC103" s="143" t="str">
        <f t="shared" si="15"/>
        <v>#REF!</v>
      </c>
      <c r="AD103" s="130" t="str">
        <f t="shared" si="16"/>
        <v>#REF!</v>
      </c>
      <c r="AE103" s="130">
        <f t="shared" si="17"/>
        <v>10</v>
      </c>
      <c r="AF103" s="131" t="str">
        <f t="shared" si="112"/>
        <v>#REF!</v>
      </c>
      <c r="AG103" s="131" t="str">
        <f t="shared" si="18"/>
        <v>#REF!</v>
      </c>
      <c r="AH103" s="131" t="str">
        <f t="array" ref="AH103">INDEX(AG:AG,MIN(IF(ISNUMBER(AG103:AG299),ROW(AG103:AG299),"")))</f>
        <v/>
      </c>
      <c r="AI103" s="130" t="str">
        <f t="shared" si="113"/>
        <v>#REF!</v>
      </c>
      <c r="AJ103" s="130" t="str">
        <f>AI103*VLOOKUP('Données projet (1)'!$B$10,'Paramètres (1)'!$A$1:$I$88,3,0)*VLOOKUP('Données projet (1)'!$B$10,'Paramètres (1)'!$A$1:$I$88,5,0)</f>
        <v>#REF!</v>
      </c>
      <c r="AK103" s="130" t="str">
        <f t="shared" si="114"/>
        <v>#REF!</v>
      </c>
      <c r="AL103" s="141" t="str">
        <f t="shared" si="19"/>
        <v>#REF!</v>
      </c>
      <c r="AM103" s="133" t="str">
        <f t="shared" si="20"/>
        <v>#REF!</v>
      </c>
      <c r="AN103" s="133" t="str">
        <f t="shared" si="21"/>
        <v>#REF!</v>
      </c>
      <c r="AO103" s="133" t="str">
        <f t="shared" si="115"/>
        <v>#REF!</v>
      </c>
      <c r="AP103" s="134" t="str">
        <f t="shared" si="22"/>
        <v>#REF!</v>
      </c>
      <c r="AQ103" s="134" t="str">
        <f t="shared" si="23"/>
        <v>#REF!</v>
      </c>
      <c r="AR103" s="135" t="str">
        <f>IF(ISNA(VLOOKUP(A103,'Données projet (1)'!$A$61:$I$81,5,0)),0%,VLOOKUP(A103,'Données projet (1)'!$A$61:$I$81,5,0)*VLOOKUP('Données projet (1)'!$B$10,'Paramètres (1)'!$A$1:$I$88,7,0))</f>
        <v>#REF!</v>
      </c>
      <c r="AS103" s="135" t="str">
        <f>IF(ISNA(VLOOKUP(A103,'Données projet (1)'!$A$61:$I$81,6,0)),0%,VLOOKUP(A103,'Données projet (1)'!$A$61:$I$81,6,0)*VLOOKUP('Données projet (1)'!$B$10,'Paramètres (1)'!$A$1:$I$88,7,0))</f>
        <v>#REF!</v>
      </c>
      <c r="AT103" s="135" t="str">
        <f t="shared" si="24"/>
        <v>#REF!</v>
      </c>
      <c r="AU103" s="142" t="str">
        <f>EXP(-LN(2)/35)*AU102+(1-EXP(-LN(2)/35))/(LN(2)/35)*AQ103*AR103*VLOOKUP('Données projet (1)'!$B$10,'Paramètres (1)'!$A$1:$I$88,3,0)*0.475*44/12</f>
        <v>#REF!</v>
      </c>
      <c r="AV103" s="142" t="str">
        <f>EXP(-LN(2)/25)*AV102+(1-EXP(-LN(2)/25))/(LN(2)/25)*'Calculateur (1)'!AQ103*'Calculateur (1)'!AS103*VLOOKUP('Données projet (1)'!$B$10,'Paramètres (1)'!$A$1:$I$88,3,0)*0.475*44/12</f>
        <v>#REF!</v>
      </c>
      <c r="AW103" s="142" t="str">
        <f>EXP(-LN(2)/2)*AW102+(1-EXP(-LN(2)/2))/(LN(2)/2)*AQ103*AT103*VLOOKUP('Données projet (1)'!$B$10,'Paramètres (1)'!$A$1:$I$88,3,0)*0.475*44/12</f>
        <v>#REF!</v>
      </c>
      <c r="AX103" s="142" t="str">
        <f t="shared" si="25"/>
        <v>#REF!</v>
      </c>
      <c r="AY103" s="137" t="str">
        <f t="shared" si="26"/>
        <v>#REF!</v>
      </c>
      <c r="AZ103" s="131">
        <f t="shared" si="27"/>
        <v>10</v>
      </c>
      <c r="BA103" s="131" t="str">
        <f t="shared" si="116"/>
        <v>#REF!</v>
      </c>
      <c r="BB103" s="131" t="str">
        <f t="shared" si="28"/>
        <v>#REF!</v>
      </c>
      <c r="BC103" s="131" t="str">
        <f t="array" ref="BC103">INDEX(BB:BB,MIN(IF(ISNUMBER(BB103:BB299),ROW(BB103:BB299),"")))</f>
        <v/>
      </c>
      <c r="BD103" s="131" t="str">
        <f t="shared" si="117"/>
        <v>#REF!</v>
      </c>
      <c r="BE103" s="130" t="str">
        <f>BD103*VLOOKUP('Données projet (1)'!$B$11,'Paramètres (1)'!$A$1:$I$88,3,0)*VLOOKUP('Données projet (1)'!$B$11,'Paramètres (1)'!$A$1:$I$88,5,0)</f>
        <v>#REF!</v>
      </c>
      <c r="BF103" s="130" t="str">
        <f t="shared" si="118"/>
        <v>#REF!</v>
      </c>
      <c r="BG103" s="141" t="str">
        <f t="shared" si="29"/>
        <v>#REF!</v>
      </c>
      <c r="BH103" s="133" t="str">
        <f t="shared" si="30"/>
        <v>#REF!</v>
      </c>
      <c r="BI103" s="133" t="str">
        <f t="shared" si="31"/>
        <v>#REF!</v>
      </c>
      <c r="BJ103" s="133" t="str">
        <f t="shared" si="119"/>
        <v>#REF!</v>
      </c>
      <c r="BK103" s="134" t="str">
        <f t="shared" si="32"/>
        <v>#REF!</v>
      </c>
      <c r="BL103" s="134" t="str">
        <f t="shared" si="33"/>
        <v>#REF!</v>
      </c>
      <c r="BM103" s="135" t="str">
        <f>IF(ISNA(VLOOKUP(A103,'Données projet (1)'!$A$87:$I$107,5,0)),0%,VLOOKUP(A103,'Données projet (1)'!$A$87:$I$107,5,0)*VLOOKUP('Données projet (1)'!$B$11,'Paramètres (1)'!$A$1:$I$88,7,0))</f>
        <v>#REF!</v>
      </c>
      <c r="BN103" s="135" t="str">
        <f>IF(ISNA(VLOOKUP(A103,'Données projet (1)'!$A$87:$I$107,6,0)),0%,VLOOKUP(A103,'Données projet (1)'!$A$87:$I$107,6,0)*VLOOKUP('Données projet (1)'!$B$11,'Paramètres (1)'!$A$1:$I$88,7,0))</f>
        <v>#REF!</v>
      </c>
      <c r="BO103" s="135" t="str">
        <f t="shared" si="34"/>
        <v>#REF!</v>
      </c>
      <c r="BP103" s="142" t="str">
        <f>EXP(-LN(2)/35)*BP102+(1-EXP(-LN(2)/35))/(LN(2)/35)*BL103*BM103*VLOOKUP('Données projet (1)'!$B$11,'Paramètres (1)'!$A$1:$I$88,3,0)*0.475*44/12</f>
        <v>#REF!</v>
      </c>
      <c r="BQ103" s="142" t="str">
        <f>EXP(-LN(2)/25)*BQ102+(1-EXP(-LN(2)/25))/(LN(2)/25)*'Calculateur (1)'!BL103*'Calculateur (1)'!BN103*VLOOKUP('Données projet (1)'!$B$11,'Paramètres (1)'!$A$1:$I$88,3,0)*0.475*44/12</f>
        <v>#REF!</v>
      </c>
      <c r="BR103" s="142" t="str">
        <f>EXP(-LN(2)/2)*BR102+(1-EXP(-LN(2)/2))/(LN(2)/2)*BL103*BO103*VLOOKUP('Données projet (1)'!$B$11,'Paramètres (1)'!$A$1:$I$88,3,0)*0.475*44/12</f>
        <v>#REF!</v>
      </c>
      <c r="BS103" s="143" t="str">
        <f t="shared" si="35"/>
        <v>#REF!</v>
      </c>
      <c r="BT103" s="139" t="str">
        <f t="shared" si="36"/>
        <v>#REF!</v>
      </c>
      <c r="BU103" s="131">
        <f t="shared" si="37"/>
        <v>10</v>
      </c>
      <c r="BV103" s="131" t="str">
        <f t="shared" si="120"/>
        <v>#REF!</v>
      </c>
      <c r="BW103" s="131" t="str">
        <f t="shared" si="38"/>
        <v>#REF!</v>
      </c>
      <c r="BX103" s="131" t="str">
        <f t="array" ref="BX103">INDEX(BW:BW,MIN(IF(ISNUMBER(BW103:BW299),ROW(BW103:BW299),"")))</f>
        <v/>
      </c>
      <c r="BY103" s="131" t="str">
        <f t="shared" si="121"/>
        <v>#REF!</v>
      </c>
      <c r="BZ103" s="130" t="str">
        <f>BY103*VLOOKUP('Données projet (1)'!$B$12,'Paramètres (1)'!$A$1:$I$88,3,0)*VLOOKUP('Données projet (1)'!$B$12,'Paramètres (1)'!$A$1:$I$88,5,0)</f>
        <v>#REF!</v>
      </c>
      <c r="CA103" s="130" t="str">
        <f t="shared" si="122"/>
        <v>#REF!</v>
      </c>
      <c r="CB103" s="141" t="str">
        <f t="shared" si="39"/>
        <v>#REF!</v>
      </c>
      <c r="CC103" s="133" t="str">
        <f t="shared" si="40"/>
        <v>#REF!</v>
      </c>
      <c r="CD103" s="133" t="str">
        <f t="shared" si="41"/>
        <v>#REF!</v>
      </c>
      <c r="CE103" s="133" t="str">
        <f t="shared" si="123"/>
        <v>#REF!</v>
      </c>
      <c r="CF103" s="134" t="str">
        <f t="shared" si="42"/>
        <v>#REF!</v>
      </c>
      <c r="CG103" s="134" t="str">
        <f t="shared" si="43"/>
        <v>#REF!</v>
      </c>
      <c r="CH103" s="135" t="str">
        <f>IF(ISNA(VLOOKUP(A103,'Données projet (1)'!$A$113:$I$133,5,0)),0%,VLOOKUP(A103,'Données projet (1)'!$A$113:$I$133,5,0)*VLOOKUP('Données projet (1)'!$B$12,'Paramètres (1)'!$A$1:$I$88,7,0))</f>
        <v>#REF!</v>
      </c>
      <c r="CI103" s="135" t="str">
        <f>IF(ISNA(VLOOKUP(A103,'Données projet (1)'!$A$113:$I$133,6,0)),0%,VLOOKUP(A103,'Données projet (1)'!$A$113:$I$133,6,0)*VLOOKUP('Données projet (1)'!$B$12,'Paramètres (1)'!$A$1:$I$88,7,0))</f>
        <v>#REF!</v>
      </c>
      <c r="CJ103" s="135" t="str">
        <f t="shared" si="44"/>
        <v>#REF!</v>
      </c>
      <c r="CK103" s="142" t="str">
        <f>EXP(-LN(2)/35)*CK102+(1-EXP(-LN(2)/35))/(LN(2)/35)*CG103*CH103*VLOOKUP('Données projet (1)'!$B$12,'Paramètres (1)'!$A$1:$I$88,3,0)*0.475*44/12</f>
        <v>#REF!</v>
      </c>
      <c r="CL103" s="142" t="str">
        <f>EXP(-LN(2)/25)*CL102+(1-EXP(-LN(2)/25))/(LN(2)/25)*'Calculateur (1)'!CG103*'Calculateur (1)'!CI103*VLOOKUP('Données projet (1)'!$B$12,'Paramètres (1)'!$A$1:$I$88,3,0)*0.475*44/12</f>
        <v>#REF!</v>
      </c>
      <c r="CM103" s="142" t="str">
        <f>EXP(-LN(2)/2)*CM102+(1-EXP(-LN(2)/2))/(LN(2)/2)*CG103*CJ103*VLOOKUP('Données projet (1)'!$B$12,'Paramètres (1)'!$A$1:$I$88,3,0)*0.475*44/12</f>
        <v>#REF!</v>
      </c>
      <c r="CN103" s="143" t="str">
        <f t="shared" si="45"/>
        <v>#REF!</v>
      </c>
      <c r="CO103" s="139" t="str">
        <f t="shared" si="46"/>
        <v>#REF!</v>
      </c>
      <c r="CP103" s="131">
        <f t="shared" si="47"/>
        <v>10</v>
      </c>
      <c r="CQ103" s="131" t="str">
        <f t="shared" si="124"/>
        <v>#REF!</v>
      </c>
      <c r="CR103" s="131" t="str">
        <f t="shared" si="48"/>
        <v>#REF!</v>
      </c>
      <c r="CS103" s="131" t="str">
        <f t="array" ref="CS103">INDEX(CR:CR,MIN(IF(ISNUMBER(CR103:CR299),ROW(CR103:CR299),"")))</f>
        <v/>
      </c>
      <c r="CT103" s="131" t="str">
        <f t="shared" si="125"/>
        <v>#REF!</v>
      </c>
      <c r="CU103" s="138" t="str">
        <f>CT103*VLOOKUP('Données projet (1)'!$B$13,'Paramètres (1)'!$A$1:$I$88,3,0)*VLOOKUP('Données projet (1)'!$B$13,'Paramètres (1)'!$A$1:$I$88,5,0)</f>
        <v>#REF!</v>
      </c>
      <c r="CV103" s="130" t="str">
        <f t="shared" si="126"/>
        <v>#REF!</v>
      </c>
      <c r="CW103" s="141" t="str">
        <f t="shared" si="49"/>
        <v>#REF!</v>
      </c>
      <c r="CX103" s="133" t="str">
        <f t="shared" si="50"/>
        <v>#REF!</v>
      </c>
      <c r="CY103" s="133" t="str">
        <f t="shared" si="51"/>
        <v>#REF!</v>
      </c>
      <c r="CZ103" s="133" t="str">
        <f t="shared" si="127"/>
        <v>#REF!</v>
      </c>
      <c r="DA103" s="134" t="str">
        <f t="shared" si="52"/>
        <v>#REF!</v>
      </c>
      <c r="DB103" s="134" t="str">
        <f t="shared" si="53"/>
        <v>#REF!</v>
      </c>
      <c r="DC103" s="135" t="str">
        <f>IF(ISNA(VLOOKUP(A103,'Données projet (1)'!$A$139:$I$159,5,0)),0%,VLOOKUP(A103,'Données projet (1)'!$A$139:$I$159,5,0)*VLOOKUP('Données projet (1)'!$B$13,'Paramètres (1)'!$A$1:$I$88,7,0))</f>
        <v>#REF!</v>
      </c>
      <c r="DD103" s="135" t="str">
        <f>IF(ISNA(VLOOKUP(A103,'Données projet (1)'!$A$139:$I$159,6,0)),0%,VLOOKUP(A103,'Données projet (1)'!$A$139:$I$159,6,0)*VLOOKUP('Données projet (1)'!$B$13,'Paramètres (1)'!$A$1:$I$88,7,0))</f>
        <v>#REF!</v>
      </c>
      <c r="DE103" s="135" t="str">
        <f t="shared" si="54"/>
        <v>#REF!</v>
      </c>
      <c r="DF103" s="142" t="str">
        <f>EXP(-LN(2)/35)*DF102+(1-EXP(-LN(2)/35))/(LN(2)/35)*DB103*DC103*VLOOKUP('Données projet (1)'!$B$13,'Paramètres (1)'!$A$1:$I$88,3,0)*0.475*44/12</f>
        <v>#REF!</v>
      </c>
      <c r="DG103" s="142" t="str">
        <f>EXP(-LN(2)/25)*DG102+(1-EXP(-LN(2)/25))/(LN(2)/25)*'Calculateur (1)'!DB103*'Calculateur (1)'!DD103*VLOOKUP('Données projet (1)'!$B$13,'Paramètres (1)'!$A$1:$I$88,3,0)*0.475*44/12</f>
        <v>#REF!</v>
      </c>
      <c r="DH103" s="142" t="str">
        <f>EXP(-LN(2)/2)*DH102+(1-EXP(-LN(2)/2))/(LN(2)/2)*DB103*DE103*VLOOKUP('Données projet (1)'!$B$13,'Paramètres (1)'!$A$1:$I$88,3,0)*0.475*44/12</f>
        <v>#REF!</v>
      </c>
      <c r="DI103" s="143" t="str">
        <f t="shared" si="55"/>
        <v>#REF!</v>
      </c>
      <c r="DJ103" s="139" t="str">
        <f t="shared" si="56"/>
        <v>#REF!</v>
      </c>
      <c r="DK103" s="131">
        <f t="shared" si="57"/>
        <v>10</v>
      </c>
      <c r="DL103" s="131" t="str">
        <f t="shared" si="128"/>
        <v>#REF!</v>
      </c>
      <c r="DM103" s="131" t="str">
        <f t="shared" si="58"/>
        <v>#REF!</v>
      </c>
      <c r="DN103" s="131" t="str">
        <f t="array" ref="DN103">INDEX(DM:DM,MIN(IF(ISNUMBER(DM103:DM299),ROW(DM103:DM299),"")))</f>
        <v/>
      </c>
      <c r="DO103" s="131" t="str">
        <f t="shared" si="129"/>
        <v>#REF!</v>
      </c>
      <c r="DP103" s="138" t="str">
        <f>DO103*VLOOKUP('Données projet (1)'!$B$14,'Paramètres (1)'!$A$1:$I$88,3,0)*VLOOKUP('Données projet (1)'!$B$14,'Paramètres (1)'!$A$1:$I$88,5,0)</f>
        <v>#REF!</v>
      </c>
      <c r="DQ103" s="130" t="str">
        <f t="shared" si="130"/>
        <v>#REF!</v>
      </c>
      <c r="DR103" s="141" t="str">
        <f t="shared" si="59"/>
        <v>#REF!</v>
      </c>
      <c r="DS103" s="133" t="str">
        <f t="shared" si="60"/>
        <v>#REF!</v>
      </c>
      <c r="DT103" s="133" t="str">
        <f t="shared" si="61"/>
        <v>#REF!</v>
      </c>
      <c r="DU103" s="133" t="str">
        <f t="shared" si="131"/>
        <v>#REF!</v>
      </c>
      <c r="DV103" s="134" t="str">
        <f t="shared" si="62"/>
        <v>#REF!</v>
      </c>
      <c r="DW103" s="134" t="str">
        <f t="shared" si="63"/>
        <v>#REF!</v>
      </c>
      <c r="DX103" s="135" t="str">
        <f>IF(ISNA(VLOOKUP(A103,'Données projet (1)'!$A$165:$I$185,5,0)),0%,VLOOKUP(A103,'Données projet (1)'!$A$165:$I$185,5,0)*VLOOKUP('Données projet (1)'!$B$14,'Paramètres (1)'!$A$1:$I$88,7,0))</f>
        <v>#REF!</v>
      </c>
      <c r="DY103" s="135" t="str">
        <f>IF(ISNA(VLOOKUP(A103,'Données projet (1)'!$A$165:$I$185,6,0)),0%,VLOOKUP(A103,'Données projet (1)'!$A$165:$I$185,6,0)*VLOOKUP('Données projet (1)'!$B$14,'Paramètres (1)'!$A$1:$I$88,7,0))</f>
        <v>#REF!</v>
      </c>
      <c r="DZ103" s="135" t="str">
        <f t="shared" si="64"/>
        <v>#REF!</v>
      </c>
      <c r="EA103" s="142" t="str">
        <f>EXP(-LN(2)/35)*EA102+(1-EXP(-LN(2)/35))/(LN(2)/35)*DW103*DX103*VLOOKUP('Données projet (1)'!$B$14,'Paramètres (1)'!$A$1:$I$88,3,0)*0.475*44/12</f>
        <v>#REF!</v>
      </c>
      <c r="EB103" s="142" t="str">
        <f>EXP(-LN(2)/25)*EB102+(1-EXP(-LN(2)/25))/(LN(2)/25)*'Calculateur (1)'!DW103*'Calculateur (1)'!DY103*VLOOKUP('Données projet (1)'!$B$14,'Paramètres (1)'!$A$1:$I$88,3,0)*0.475*44/12</f>
        <v>#REF!</v>
      </c>
      <c r="EC103" s="142" t="str">
        <f>EXP(-LN(2)/2)*EC102+(1-EXP(-LN(2)/2))/(LN(2)/2)*DW103*DZ103*VLOOKUP('Données projet (1)'!$B$14,'Paramètres (1)'!$A$1:$I$88,3,0)*0.475*44/12</f>
        <v>#REF!</v>
      </c>
      <c r="ED103" s="143" t="str">
        <f t="shared" si="65"/>
        <v>#REF!</v>
      </c>
      <c r="EE103" s="139" t="str">
        <f t="shared" si="66"/>
        <v>#REF!</v>
      </c>
      <c r="EF103" s="131">
        <f t="shared" si="67"/>
        <v>10</v>
      </c>
      <c r="EG103" s="131" t="str">
        <f t="shared" si="132"/>
        <v>#REF!</v>
      </c>
      <c r="EH103" s="131" t="str">
        <f t="shared" si="68"/>
        <v>#REF!</v>
      </c>
      <c r="EI103" s="131" t="str">
        <f t="array" ref="EI103">INDEX(EH:EH,MIN(IF(ISNUMBER(EH103:EH299),ROW(EH103:EH299),"")))</f>
        <v/>
      </c>
      <c r="EJ103" s="131" t="str">
        <f t="shared" si="133"/>
        <v>#REF!</v>
      </c>
      <c r="EK103" s="138" t="str">
        <f>EJ103*VLOOKUP('Données projet (1)'!$B$15,'Paramètres (1)'!$A$1:$I$88,3,0)*VLOOKUP('Données projet (1)'!$B$15,'Paramètres (1)'!$A$1:$I$88,5,0)</f>
        <v>#REF!</v>
      </c>
      <c r="EL103" s="130" t="str">
        <f t="shared" si="134"/>
        <v>#REF!</v>
      </c>
      <c r="EM103" s="141" t="str">
        <f t="shared" si="69"/>
        <v>#REF!</v>
      </c>
      <c r="EN103" s="133" t="str">
        <f t="shared" si="70"/>
        <v>#REF!</v>
      </c>
      <c r="EO103" s="133" t="str">
        <f t="shared" si="71"/>
        <v>#REF!</v>
      </c>
      <c r="EP103" s="133" t="str">
        <f t="shared" si="135"/>
        <v>#REF!</v>
      </c>
      <c r="EQ103" s="134" t="str">
        <f t="shared" si="72"/>
        <v>#REF!</v>
      </c>
      <c r="ER103" s="134" t="str">
        <f t="shared" si="73"/>
        <v>#REF!</v>
      </c>
      <c r="ES103" s="135" t="str">
        <f>IF(ISNA(VLOOKUP(A103,'Données projet (1)'!$A$191:$I$211,5,0)),0%,VLOOKUP(A103,'Données projet (1)'!$A$191:$I$211,5,0)*VLOOKUP('Données projet (1)'!$B$15,'Paramètres (1)'!$A$1:$I$88,7,0))</f>
        <v>#REF!</v>
      </c>
      <c r="ET103" s="135" t="str">
        <f>IF(ISNA(VLOOKUP(A103,'Données projet (1)'!$A$191:$I$211,6,0)),0%,VLOOKUP(A103,'Données projet (1)'!$A$191:$I$211,6,0)*VLOOKUP('Données projet (1)'!$B$15,'Paramètres (1)'!$A$1:$I$88,7,0))</f>
        <v>#REF!</v>
      </c>
      <c r="EU103" s="135" t="str">
        <f t="shared" si="74"/>
        <v>#REF!</v>
      </c>
      <c r="EV103" s="142" t="str">
        <f>EXP(-LN(2)/35)*EV102+(1-EXP(-LN(2)/35))/(LN(2)/35)*ER103*ES103*VLOOKUP('Données projet (1)'!$B$15,'Paramètres (1)'!$A$1:$I$88,3,0)*0.475*44/12</f>
        <v>#REF!</v>
      </c>
      <c r="EW103" s="142" t="str">
        <f>EXP(-LN(2)/25)*EW102+(1-EXP(-LN(2)/25))/(LN(2)/25)*'Calculateur (1)'!ER103*'Calculateur (1)'!ET103*VLOOKUP('Données projet (1)'!$B$15,'Paramètres (1)'!$A$1:$I$88,3,0)*0.475*44/12</f>
        <v>#REF!</v>
      </c>
      <c r="EX103" s="142" t="str">
        <f>EXP(-LN(2)/2)*EX102+(1-EXP(-LN(2)/2))/(LN(2)/2)*ER103*EU103*VLOOKUP('Données projet (1)'!$B$15,'Paramètres (1)'!$A$1:$I$88,3,0)*0.475*44/12</f>
        <v>#REF!</v>
      </c>
      <c r="EY103" s="143" t="str">
        <f t="shared" si="75"/>
        <v>#REF!</v>
      </c>
      <c r="EZ103" s="139" t="str">
        <f t="shared" si="76"/>
        <v>#REF!</v>
      </c>
      <c r="FA103" s="131">
        <f t="shared" si="77"/>
        <v>10</v>
      </c>
      <c r="FB103" s="131" t="str">
        <f t="shared" si="136"/>
        <v>#REF!</v>
      </c>
      <c r="FC103" s="131" t="str">
        <f t="shared" si="78"/>
        <v>#REF!</v>
      </c>
      <c r="FD103" s="131" t="str">
        <f t="array" ref="FD103">INDEX(FC:FC,MIN(IF(ISNUMBER(FC103:FC299),ROW(FC103:FC299),"")))</f>
        <v/>
      </c>
      <c r="FE103" s="131" t="str">
        <f t="shared" si="137"/>
        <v>#REF!</v>
      </c>
      <c r="FF103" s="138" t="str">
        <f>FE103*VLOOKUP('Données projet (1)'!$B$16,'Paramètres (1)'!$A$1:$I$88,3,0)*VLOOKUP('Données projet (1)'!$B$16,'Paramètres (1)'!$A$1:$I$88,5,0)</f>
        <v>#REF!</v>
      </c>
      <c r="FG103" s="130" t="str">
        <f t="shared" si="138"/>
        <v>#REF!</v>
      </c>
      <c r="FH103" s="141" t="str">
        <f t="shared" si="79"/>
        <v>#REF!</v>
      </c>
      <c r="FI103" s="133" t="str">
        <f t="shared" si="80"/>
        <v>#REF!</v>
      </c>
      <c r="FJ103" s="133" t="str">
        <f t="shared" si="81"/>
        <v>#REF!</v>
      </c>
      <c r="FK103" s="133" t="str">
        <f t="shared" si="139"/>
        <v>#REF!</v>
      </c>
      <c r="FL103" s="134" t="str">
        <f t="shared" si="82"/>
        <v>#REF!</v>
      </c>
      <c r="FM103" s="134" t="str">
        <f t="shared" si="83"/>
        <v>#REF!</v>
      </c>
      <c r="FN103" s="135" t="str">
        <f>IF(ISNA(VLOOKUP(A103,'Données projet (1)'!$A$217:$I$237,5,0)),0%,VLOOKUP(A103,'Données projet (1)'!$A$217:$I$237,5,0)*VLOOKUP('Données projet (1)'!$B$16,'Paramètres (1)'!$A$1:$I$88,7,0))</f>
        <v>#REF!</v>
      </c>
      <c r="FO103" s="135" t="str">
        <f>IF(ISNA(VLOOKUP(A103,'Données projet (1)'!$A$217:$I$237,6,0)),0%,VLOOKUP(A103,'Données projet (1)'!$A$217:$I$237,6,0)*VLOOKUP('Données projet (1)'!$B$16,'Paramètres (1)'!$A$1:$I$88,7,0))</f>
        <v>#REF!</v>
      </c>
      <c r="FP103" s="135" t="str">
        <f t="shared" si="84"/>
        <v>#REF!</v>
      </c>
      <c r="FQ103" s="142" t="str">
        <f>EXP(-LN(2)/35)*FQ102+(1-EXP(-LN(2)/35))/(LN(2)/35)*FM103*FN103*VLOOKUP('Données projet (1)'!$B$16,'Paramètres (1)'!$A$1:$I$88,3,0)*0.475*44/12</f>
        <v>#REF!</v>
      </c>
      <c r="FR103" s="142" t="str">
        <f>EXP(-LN(2)/25)*FR102+(1-EXP(-LN(2)/25))/(LN(2)/25)*'Calculateur (1)'!FM103*'Calculateur (1)'!FO103*VLOOKUP('Données projet (1)'!$B$16,'Paramètres (1)'!$A$1:$I$88,3,0)*0.475*44/12</f>
        <v>#REF!</v>
      </c>
      <c r="FS103" s="142" t="str">
        <f>EXP(-LN(2)/2)*FS102+(1-EXP(-LN(2)/2))/(LN(2)/2)*FM103*FP103*VLOOKUP('Données projet (1)'!$B$16,'Paramètres (1)'!$A$1:$I$88,3,0)*0.475*44/12</f>
        <v>#REF!</v>
      </c>
      <c r="FT103" s="143" t="str">
        <f t="shared" si="85"/>
        <v>#REF!</v>
      </c>
      <c r="FU103" s="139" t="str">
        <f t="shared" si="86"/>
        <v>#REF!</v>
      </c>
      <c r="FV103" s="131">
        <f t="shared" si="87"/>
        <v>10</v>
      </c>
      <c r="FW103" s="131" t="str">
        <f t="shared" si="140"/>
        <v>#REF!</v>
      </c>
      <c r="FX103" s="131" t="str">
        <f t="shared" si="88"/>
        <v>#REF!</v>
      </c>
      <c r="FY103" s="131" t="str">
        <f t="array" ref="FY103">INDEX(FX:FX,MIN(IF(ISNUMBER(FX103:FX299),ROW(FX103:FX299),"")))</f>
        <v/>
      </c>
      <c r="FZ103" s="131" t="str">
        <f t="shared" si="141"/>
        <v>#REF!</v>
      </c>
      <c r="GA103" s="138" t="str">
        <f>FZ103*VLOOKUP('Données projet (1)'!$B$17,'Paramètres (1)'!$A$1:$I$88,3,0)*VLOOKUP('Données projet (1)'!$B$17,'Paramètres (1)'!$A$1:$I$88,5,0)</f>
        <v>#REF!</v>
      </c>
      <c r="GB103" s="130" t="str">
        <f t="shared" si="142"/>
        <v>#REF!</v>
      </c>
      <c r="GC103" s="141" t="str">
        <f t="shared" si="89"/>
        <v>#REF!</v>
      </c>
      <c r="GD103" s="133" t="str">
        <f t="shared" si="90"/>
        <v>#REF!</v>
      </c>
      <c r="GE103" s="133" t="str">
        <f t="shared" si="91"/>
        <v>#REF!</v>
      </c>
      <c r="GF103" s="133" t="str">
        <f t="shared" si="143"/>
        <v>#REF!</v>
      </c>
      <c r="GG103" s="134" t="str">
        <f t="shared" si="92"/>
        <v>#REF!</v>
      </c>
      <c r="GH103" s="134" t="str">
        <f t="shared" si="93"/>
        <v>#REF!</v>
      </c>
      <c r="GI103" s="135" t="str">
        <f>IF(ISNA(VLOOKUP(A103,'Données projet (1)'!$A$243:$I$263,5,0)),0%,VLOOKUP(A103,'Données projet (1)'!$A$243:$I$263,5,0)*VLOOKUP('Données projet (1)'!$B$17,'Paramètres (1)'!$A$1:$I$88,7,0))</f>
        <v>#REF!</v>
      </c>
      <c r="GJ103" s="135" t="str">
        <f>IF(ISNA(VLOOKUP(A103,'Données projet (1)'!$A$243:$I$263,6,0)),0%,VLOOKUP(A103,'Données projet (1)'!$A$243:$I$263,6,0)*VLOOKUP('Données projet (1)'!$B$17,'Paramètres (1)'!$A$1:$I$88,7,0))</f>
        <v>#REF!</v>
      </c>
      <c r="GK103" s="135" t="str">
        <f t="shared" si="94"/>
        <v>#REF!</v>
      </c>
      <c r="GL103" s="142" t="str">
        <f>EXP(-LN(2)/35)*GL102+(1-EXP(-LN(2)/35))/(LN(2)/35)*GH103*GI103*VLOOKUP('Données projet (1)'!$B$17,'Paramètres (1)'!$A$1:$I$88,3,0)*0.475*44/12</f>
        <v>#REF!</v>
      </c>
      <c r="GM103" s="142" t="str">
        <f>EXP(-LN(2)/25)*GM102+(1-EXP(-LN(2)/25))/(LN(2)/25)*'Calculateur (1)'!GH103*'Calculateur (1)'!GJ103*VLOOKUP('Données projet (1)'!$B$17,'Paramètres (1)'!$A$1:$I$88,3,0)*0.475*44/12</f>
        <v>#REF!</v>
      </c>
      <c r="GN103" s="142" t="str">
        <f>EXP(-LN(2)/2)*GN102+(1-EXP(-LN(2)/2))/(LN(2)/2)*GH103*GK103*VLOOKUP('Données projet (1)'!$B$17,'Paramètres (1)'!$A$1:$I$88,3,0)*0.475*44/12</f>
        <v>#REF!</v>
      </c>
      <c r="GO103" s="142" t="str">
        <f t="shared" si="95"/>
        <v>#REF!</v>
      </c>
      <c r="GP103" s="139" t="str">
        <f t="shared" si="96"/>
        <v>#REF!</v>
      </c>
      <c r="GQ103" s="131">
        <f t="shared" si="97"/>
        <v>10</v>
      </c>
      <c r="GR103" s="131" t="str">
        <f t="shared" si="144"/>
        <v>#REF!</v>
      </c>
      <c r="GS103" s="131" t="str">
        <f t="shared" si="98"/>
        <v>#REF!</v>
      </c>
      <c r="GT103" s="131" t="str">
        <f t="array" ref="GT103">INDEX(GS:GS,MIN(IF(ISNUMBER(GS103:GS299),ROW(GS103:GS299),"")))</f>
        <v/>
      </c>
      <c r="GU103" s="131" t="str">
        <f t="shared" si="145"/>
        <v>#REF!</v>
      </c>
      <c r="GV103" s="138" t="str">
        <f>GU103*VLOOKUP('Données projet (1)'!$B$18,'Paramètres (1)'!$A$1:$I$88,3,0)*VLOOKUP('Données projet (1)'!$B$18,'Paramètres (1)'!$A$1:$I$88,5,0)</f>
        <v>#REF!</v>
      </c>
      <c r="GW103" s="130" t="str">
        <f t="shared" si="146"/>
        <v>#REF!</v>
      </c>
      <c r="GX103" s="141" t="str">
        <f t="shared" si="99"/>
        <v>#REF!</v>
      </c>
      <c r="GY103" s="133" t="str">
        <f t="shared" si="100"/>
        <v>#REF!</v>
      </c>
      <c r="GZ103" s="133" t="str">
        <f t="shared" si="101"/>
        <v>#REF!</v>
      </c>
      <c r="HA103" s="133" t="str">
        <f t="shared" si="147"/>
        <v>#REF!</v>
      </c>
      <c r="HB103" s="134" t="str">
        <f t="shared" si="102"/>
        <v>#REF!</v>
      </c>
      <c r="HC103" s="134" t="str">
        <f t="shared" si="103"/>
        <v>#REF!</v>
      </c>
      <c r="HD103" s="135" t="str">
        <f>IF(ISNA(VLOOKUP(A103,'Données projet (1)'!$A$269:$I$289,5,0)),0%,VLOOKUP(A103,'Données projet (1)'!$A$269:$I$289,5,0)*VLOOKUP('Données projet (1)'!$B$18,'Paramètres (1)'!$A$1:$I$88,7,0))</f>
        <v>#REF!</v>
      </c>
      <c r="HE103" s="135" t="str">
        <f>IF(ISNA(VLOOKUP(A103,'Données projet (1)'!$A$269:$I$289,6,0)),0%,VLOOKUP(A103,'Données projet (1)'!$A$269:$I$289,6,0)*VLOOKUP('Données projet (1)'!$B$18,'Paramètres (1)'!$A$1:$I$88,7,0))</f>
        <v>#REF!</v>
      </c>
      <c r="HF103" s="135" t="str">
        <f t="shared" si="104"/>
        <v>#REF!</v>
      </c>
      <c r="HG103" s="142" t="str">
        <f>EXP(-LN(2)/35)*HG102+(1-EXP(-LN(2)/35))/(LN(2)/35)*HC103*HD103*VLOOKUP('Données projet (1)'!$B$18,'Paramètres (1)'!$A$1:$I$88,3,0)*0.475*44/12</f>
        <v>#REF!</v>
      </c>
      <c r="HH103" s="142" t="str">
        <f>EXP(-LN(2)/25)*HH102+(1-EXP(-LN(2)/25))/(LN(2)/25)*'Calculateur (1)'!HC103*'Calculateur (1)'!HE103*VLOOKUP('Données projet (1)'!$B$18,'Paramètres (1)'!$A$1:$I$88,3,0)*0.475*44/12</f>
        <v>#REF!</v>
      </c>
      <c r="HI103" s="142" t="str">
        <f>EXP(-LN(2)/2)*HI102+(1-EXP(-LN(2)/2))/(LN(2)/2)*HC103*HF103*VLOOKUP('Données projet (1)'!$B$18,'Paramètres (1)'!$A$1:$I$88,3,0)*0.475*44/12</f>
        <v>#REF!</v>
      </c>
      <c r="HJ103" s="143" t="str">
        <f t="shared" si="105"/>
        <v>#REF!</v>
      </c>
    </row>
    <row r="104" ht="14.25" customHeight="1">
      <c r="A104" s="125">
        <f t="shared" si="106"/>
        <v>101</v>
      </c>
      <c r="B104" s="126" t="str">
        <f t="shared" si="1"/>
        <v>#REF!</v>
      </c>
      <c r="C104" s="140" t="str">
        <f>'Calculateur (1)'!C103+'Scénario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4" s="127">
        <f t="shared" si="107"/>
        <v>0</v>
      </c>
      <c r="E104" s="127" t="str">
        <f t="shared" si="2"/>
        <v>#REF!</v>
      </c>
      <c r="F104" s="127" t="str">
        <f t="shared" si="3"/>
        <v>#REF!</v>
      </c>
      <c r="G104" s="127" t="str">
        <f t="shared" si="4"/>
        <v>#REF!</v>
      </c>
      <c r="H104" s="128" t="str">
        <f t="shared" si="5"/>
        <v>#REF!</v>
      </c>
      <c r="I104" s="129" t="str">
        <f t="shared" si="6"/>
        <v>#REF!</v>
      </c>
      <c r="J104" s="130">
        <f t="shared" si="7"/>
        <v>10</v>
      </c>
      <c r="K104" s="131" t="str">
        <f t="shared" si="108"/>
        <v>#REF!</v>
      </c>
      <c r="L104" s="131" t="str">
        <f t="shared" si="8"/>
        <v>#REF!</v>
      </c>
      <c r="M104" s="131" t="str">
        <f t="array" ref="M104">INDEX(L:L,MIN(IF(ISNUMBER(L104:L300),ROW(L104:L300),"")))</f>
        <v/>
      </c>
      <c r="N104" s="130" t="str">
        <f t="shared" si="109"/>
        <v>#REF!</v>
      </c>
      <c r="O104" s="130" t="str">
        <f>N104*VLOOKUP('Données projet (1)'!$B$9,'Paramètres (1)'!$A$1:$I$88,3,0)*VLOOKUP('Données projet (1)'!$B$9,'Paramètres (1)'!$A$1:$I$88,5,0)</f>
        <v>#REF!</v>
      </c>
      <c r="P104" s="130" t="str">
        <f t="shared" si="110"/>
        <v>#REF!</v>
      </c>
      <c r="Q104" s="141" t="str">
        <f t="shared" si="9"/>
        <v>#REF!</v>
      </c>
      <c r="R104" s="133" t="str">
        <f t="shared" si="10"/>
        <v>#REF!</v>
      </c>
      <c r="S104" s="133" t="str">
        <f t="shared" si="11"/>
        <v>#REF!</v>
      </c>
      <c r="T104" s="133" t="str">
        <f t="shared" si="111"/>
        <v>#REF!</v>
      </c>
      <c r="U104" s="134" t="str">
        <f t="shared" si="12"/>
        <v>#REF!</v>
      </c>
      <c r="V104" s="134" t="str">
        <f t="shared" si="13"/>
        <v>#REF!</v>
      </c>
      <c r="W104" s="135" t="str">
        <f>IF(ISNA(VLOOKUP(A104,'Données projet (1)'!$A$35:$I$55,5,0)),0%,VLOOKUP(A104,'Données projet (1)'!$A$35:$I$55,5,0)*VLOOKUP('Données projet (1)'!$B$9,'Paramètres (1)'!$A$1:$I$88,7,0))</f>
        <v>#REF!</v>
      </c>
      <c r="X104" s="135" t="str">
        <f>IF(ISNA(VLOOKUP(A104,'Données projet (1)'!$A$35:$I$55,6,0)),0%,VLOOKUP(A104,'Données projet (1)'!$A$35:$I$55,6,0)*VLOOKUP('Données projet (1)'!$B$9,'Paramètres (1)'!$A$1:$I$88,7,0))</f>
        <v>#REF!</v>
      </c>
      <c r="Y104" s="135" t="str">
        <f t="shared" si="14"/>
        <v>#REF!</v>
      </c>
      <c r="Z104" s="142" t="str">
        <f>EXP(-LN(2)/35)*Z103+(1-EXP(-LN(2)/35))/(LN(2)/35)*V104*W104*VLOOKUP('Données projet (1)'!$B$9,'Paramètres (1)'!$A$1:$I$88,3,0)*0.475*44/12</f>
        <v>#REF!</v>
      </c>
      <c r="AA104" s="142" t="str">
        <f>EXP(-LN(2)/25)*AA103+(1-EXP(-LN(2)/25))/(LN(2)/25)*'Calculateur (1)'!V104*'Calculateur (1)'!X104*VLOOKUP('Données projet (1)'!$B$9,'Paramètres (1)'!$A$1:$I$88,3,0)*0.475*44/12</f>
        <v>#REF!</v>
      </c>
      <c r="AB104" s="142" t="str">
        <f>EXP(-LN(2)/2)*AB103+(1-EXP(-LN(2)/2))/(LN(2)/2)*V104*Y104*VLOOKUP('Données projet (1)'!$B$9,'Paramètres (1)'!$A$1:$I$88,3,0)*0.475*44/12</f>
        <v>#REF!</v>
      </c>
      <c r="AC104" s="143" t="str">
        <f t="shared" si="15"/>
        <v>#REF!</v>
      </c>
      <c r="AD104" s="130" t="str">
        <f t="shared" si="16"/>
        <v>#REF!</v>
      </c>
      <c r="AE104" s="130">
        <f t="shared" si="17"/>
        <v>10</v>
      </c>
      <c r="AF104" s="131" t="str">
        <f t="shared" si="112"/>
        <v>#REF!</v>
      </c>
      <c r="AG104" s="131" t="str">
        <f t="shared" si="18"/>
        <v>#REF!</v>
      </c>
      <c r="AH104" s="131" t="str">
        <f t="array" ref="AH104">INDEX(AG:AG,MIN(IF(ISNUMBER(AG104:AG300),ROW(AG104:AG300),"")))</f>
        <v/>
      </c>
      <c r="AI104" s="130" t="str">
        <f t="shared" si="113"/>
        <v>#REF!</v>
      </c>
      <c r="AJ104" s="130" t="str">
        <f>AI104*VLOOKUP('Données projet (1)'!$B$10,'Paramètres (1)'!$A$1:$I$88,3,0)*VLOOKUP('Données projet (1)'!$B$10,'Paramètres (1)'!$A$1:$I$88,5,0)</f>
        <v>#REF!</v>
      </c>
      <c r="AK104" s="130" t="str">
        <f t="shared" si="114"/>
        <v>#REF!</v>
      </c>
      <c r="AL104" s="141" t="str">
        <f t="shared" si="19"/>
        <v>#REF!</v>
      </c>
      <c r="AM104" s="133" t="str">
        <f t="shared" si="20"/>
        <v>#REF!</v>
      </c>
      <c r="AN104" s="133" t="str">
        <f t="shared" si="21"/>
        <v>#REF!</v>
      </c>
      <c r="AO104" s="133" t="str">
        <f t="shared" si="115"/>
        <v>#REF!</v>
      </c>
      <c r="AP104" s="134" t="str">
        <f t="shared" si="22"/>
        <v>#REF!</v>
      </c>
      <c r="AQ104" s="134" t="str">
        <f t="shared" si="23"/>
        <v>#REF!</v>
      </c>
      <c r="AR104" s="135" t="str">
        <f>IF(ISNA(VLOOKUP(A104,'Données projet (1)'!$A$61:$I$81,5,0)),0%,VLOOKUP(A104,'Données projet (1)'!$A$61:$I$81,5,0)*VLOOKUP('Données projet (1)'!$B$10,'Paramètres (1)'!$A$1:$I$88,7,0))</f>
        <v>#REF!</v>
      </c>
      <c r="AS104" s="135" t="str">
        <f>IF(ISNA(VLOOKUP(A104,'Données projet (1)'!$A$61:$I$81,6,0)),0%,VLOOKUP(A104,'Données projet (1)'!$A$61:$I$81,6,0)*VLOOKUP('Données projet (1)'!$B$10,'Paramètres (1)'!$A$1:$I$88,7,0))</f>
        <v>#REF!</v>
      </c>
      <c r="AT104" s="135" t="str">
        <f t="shared" si="24"/>
        <v>#REF!</v>
      </c>
      <c r="AU104" s="142" t="str">
        <f>EXP(-LN(2)/35)*AU103+(1-EXP(-LN(2)/35))/(LN(2)/35)*AQ104*AR104*VLOOKUP('Données projet (1)'!$B$10,'Paramètres (1)'!$A$1:$I$88,3,0)*0.475*44/12</f>
        <v>#REF!</v>
      </c>
      <c r="AV104" s="142" t="str">
        <f>EXP(-LN(2)/25)*AV103+(1-EXP(-LN(2)/25))/(LN(2)/25)*'Calculateur (1)'!AQ104*'Calculateur (1)'!AS104*VLOOKUP('Données projet (1)'!$B$10,'Paramètres (1)'!$A$1:$I$88,3,0)*0.475*44/12</f>
        <v>#REF!</v>
      </c>
      <c r="AW104" s="142" t="str">
        <f>EXP(-LN(2)/2)*AW103+(1-EXP(-LN(2)/2))/(LN(2)/2)*AQ104*AT104*VLOOKUP('Données projet (1)'!$B$10,'Paramètres (1)'!$A$1:$I$88,3,0)*0.475*44/12</f>
        <v>#REF!</v>
      </c>
      <c r="AX104" s="142" t="str">
        <f t="shared" si="25"/>
        <v>#REF!</v>
      </c>
      <c r="AY104" s="137" t="str">
        <f t="shared" si="26"/>
        <v>#REF!</v>
      </c>
      <c r="AZ104" s="131">
        <f t="shared" si="27"/>
        <v>10</v>
      </c>
      <c r="BA104" s="131" t="str">
        <f t="shared" si="116"/>
        <v>#REF!</v>
      </c>
      <c r="BB104" s="131" t="str">
        <f t="shared" si="28"/>
        <v>#REF!</v>
      </c>
      <c r="BC104" s="131" t="str">
        <f t="array" ref="BC104">INDEX(BB:BB,MIN(IF(ISNUMBER(BB104:BB300),ROW(BB104:BB300),"")))</f>
        <v/>
      </c>
      <c r="BD104" s="131" t="str">
        <f t="shared" si="117"/>
        <v>#REF!</v>
      </c>
      <c r="BE104" s="130" t="str">
        <f>BD104*VLOOKUP('Données projet (1)'!$B$11,'Paramètres (1)'!$A$1:$I$88,3,0)*VLOOKUP('Données projet (1)'!$B$11,'Paramètres (1)'!$A$1:$I$88,5,0)</f>
        <v>#REF!</v>
      </c>
      <c r="BF104" s="130" t="str">
        <f t="shared" si="118"/>
        <v>#REF!</v>
      </c>
      <c r="BG104" s="141" t="str">
        <f t="shared" si="29"/>
        <v>#REF!</v>
      </c>
      <c r="BH104" s="133" t="str">
        <f t="shared" si="30"/>
        <v>#REF!</v>
      </c>
      <c r="BI104" s="133" t="str">
        <f t="shared" si="31"/>
        <v>#REF!</v>
      </c>
      <c r="BJ104" s="133" t="str">
        <f t="shared" si="119"/>
        <v>#REF!</v>
      </c>
      <c r="BK104" s="134" t="str">
        <f t="shared" si="32"/>
        <v>#REF!</v>
      </c>
      <c r="BL104" s="134" t="str">
        <f t="shared" si="33"/>
        <v>#REF!</v>
      </c>
      <c r="BM104" s="135" t="str">
        <f>IF(ISNA(VLOOKUP(A104,'Données projet (1)'!$A$87:$I$107,5,0)),0%,VLOOKUP(A104,'Données projet (1)'!$A$87:$I$107,5,0)*VLOOKUP('Données projet (1)'!$B$11,'Paramètres (1)'!$A$1:$I$88,7,0))</f>
        <v>#REF!</v>
      </c>
      <c r="BN104" s="135" t="str">
        <f>IF(ISNA(VLOOKUP(A104,'Données projet (1)'!$A$87:$I$107,6,0)),0%,VLOOKUP(A104,'Données projet (1)'!$A$87:$I$107,6,0)*VLOOKUP('Données projet (1)'!$B$11,'Paramètres (1)'!$A$1:$I$88,7,0))</f>
        <v>#REF!</v>
      </c>
      <c r="BO104" s="135" t="str">
        <f t="shared" si="34"/>
        <v>#REF!</v>
      </c>
      <c r="BP104" s="142" t="str">
        <f>EXP(-LN(2)/35)*BP103+(1-EXP(-LN(2)/35))/(LN(2)/35)*BL104*BM104*VLOOKUP('Données projet (1)'!$B$11,'Paramètres (1)'!$A$1:$I$88,3,0)*0.475*44/12</f>
        <v>#REF!</v>
      </c>
      <c r="BQ104" s="142" t="str">
        <f>EXP(-LN(2)/25)*BQ103+(1-EXP(-LN(2)/25))/(LN(2)/25)*'Calculateur (1)'!BL104*'Calculateur (1)'!BN104*VLOOKUP('Données projet (1)'!$B$11,'Paramètres (1)'!$A$1:$I$88,3,0)*0.475*44/12</f>
        <v>#REF!</v>
      </c>
      <c r="BR104" s="142" t="str">
        <f>EXP(-LN(2)/2)*BR103+(1-EXP(-LN(2)/2))/(LN(2)/2)*BL104*BO104*VLOOKUP('Données projet (1)'!$B$11,'Paramètres (1)'!$A$1:$I$88,3,0)*0.475*44/12</f>
        <v>#REF!</v>
      </c>
      <c r="BS104" s="143" t="str">
        <f t="shared" si="35"/>
        <v>#REF!</v>
      </c>
      <c r="BT104" s="139" t="str">
        <f t="shared" si="36"/>
        <v>#REF!</v>
      </c>
      <c r="BU104" s="131">
        <f t="shared" si="37"/>
        <v>10</v>
      </c>
      <c r="BV104" s="131" t="str">
        <f t="shared" si="120"/>
        <v>#REF!</v>
      </c>
      <c r="BW104" s="131" t="str">
        <f t="shared" si="38"/>
        <v>#REF!</v>
      </c>
      <c r="BX104" s="131" t="str">
        <f t="array" ref="BX104">INDEX(BW:BW,MIN(IF(ISNUMBER(BW104:BW300),ROW(BW104:BW300),"")))</f>
        <v/>
      </c>
      <c r="BY104" s="131" t="str">
        <f t="shared" si="121"/>
        <v>#REF!</v>
      </c>
      <c r="BZ104" s="130" t="str">
        <f>BY104*VLOOKUP('Données projet (1)'!$B$12,'Paramètres (1)'!$A$1:$I$88,3,0)*VLOOKUP('Données projet (1)'!$B$12,'Paramètres (1)'!$A$1:$I$88,5,0)</f>
        <v>#REF!</v>
      </c>
      <c r="CA104" s="130" t="str">
        <f t="shared" si="122"/>
        <v>#REF!</v>
      </c>
      <c r="CB104" s="141" t="str">
        <f t="shared" si="39"/>
        <v>#REF!</v>
      </c>
      <c r="CC104" s="133" t="str">
        <f t="shared" si="40"/>
        <v>#REF!</v>
      </c>
      <c r="CD104" s="133" t="str">
        <f t="shared" si="41"/>
        <v>#REF!</v>
      </c>
      <c r="CE104" s="133" t="str">
        <f t="shared" si="123"/>
        <v>#REF!</v>
      </c>
      <c r="CF104" s="134" t="str">
        <f t="shared" si="42"/>
        <v>#REF!</v>
      </c>
      <c r="CG104" s="134" t="str">
        <f t="shared" si="43"/>
        <v>#REF!</v>
      </c>
      <c r="CH104" s="135" t="str">
        <f>IF(ISNA(VLOOKUP(A104,'Données projet (1)'!$A$113:$I$133,5,0)),0%,VLOOKUP(A104,'Données projet (1)'!$A$113:$I$133,5,0)*VLOOKUP('Données projet (1)'!$B$12,'Paramètres (1)'!$A$1:$I$88,7,0))</f>
        <v>#REF!</v>
      </c>
      <c r="CI104" s="135" t="str">
        <f>IF(ISNA(VLOOKUP(A104,'Données projet (1)'!$A$113:$I$133,6,0)),0%,VLOOKUP(A104,'Données projet (1)'!$A$113:$I$133,6,0)*VLOOKUP('Données projet (1)'!$B$12,'Paramètres (1)'!$A$1:$I$88,7,0))</f>
        <v>#REF!</v>
      </c>
      <c r="CJ104" s="135" t="str">
        <f t="shared" si="44"/>
        <v>#REF!</v>
      </c>
      <c r="CK104" s="142" t="str">
        <f>EXP(-LN(2)/35)*CK103+(1-EXP(-LN(2)/35))/(LN(2)/35)*CG104*CH104*VLOOKUP('Données projet (1)'!$B$12,'Paramètres (1)'!$A$1:$I$88,3,0)*0.475*44/12</f>
        <v>#REF!</v>
      </c>
      <c r="CL104" s="142" t="str">
        <f>EXP(-LN(2)/25)*CL103+(1-EXP(-LN(2)/25))/(LN(2)/25)*'Calculateur (1)'!CG104*'Calculateur (1)'!CI104*VLOOKUP('Données projet (1)'!$B$12,'Paramètres (1)'!$A$1:$I$88,3,0)*0.475*44/12</f>
        <v>#REF!</v>
      </c>
      <c r="CM104" s="142" t="str">
        <f>EXP(-LN(2)/2)*CM103+(1-EXP(-LN(2)/2))/(LN(2)/2)*CG104*CJ104*VLOOKUP('Données projet (1)'!$B$12,'Paramètres (1)'!$A$1:$I$88,3,0)*0.475*44/12</f>
        <v>#REF!</v>
      </c>
      <c r="CN104" s="143" t="str">
        <f t="shared" si="45"/>
        <v>#REF!</v>
      </c>
      <c r="CO104" s="139" t="str">
        <f t="shared" si="46"/>
        <v>#REF!</v>
      </c>
      <c r="CP104" s="131">
        <f t="shared" si="47"/>
        <v>10</v>
      </c>
      <c r="CQ104" s="131" t="str">
        <f t="shared" si="124"/>
        <v>#REF!</v>
      </c>
      <c r="CR104" s="131" t="str">
        <f t="shared" si="48"/>
        <v>#REF!</v>
      </c>
      <c r="CS104" s="131" t="str">
        <f t="array" ref="CS104">INDEX(CR:CR,MIN(IF(ISNUMBER(CR104:CR300),ROW(CR104:CR300),"")))</f>
        <v/>
      </c>
      <c r="CT104" s="131" t="str">
        <f t="shared" si="125"/>
        <v>#REF!</v>
      </c>
      <c r="CU104" s="138" t="str">
        <f>CT104*VLOOKUP('Données projet (1)'!$B$13,'Paramètres (1)'!$A$1:$I$88,3,0)*VLOOKUP('Données projet (1)'!$B$13,'Paramètres (1)'!$A$1:$I$88,5,0)</f>
        <v>#REF!</v>
      </c>
      <c r="CV104" s="130" t="str">
        <f t="shared" si="126"/>
        <v>#REF!</v>
      </c>
      <c r="CW104" s="141" t="str">
        <f t="shared" si="49"/>
        <v>#REF!</v>
      </c>
      <c r="CX104" s="133" t="str">
        <f t="shared" si="50"/>
        <v>#REF!</v>
      </c>
      <c r="CY104" s="133" t="str">
        <f t="shared" si="51"/>
        <v>#REF!</v>
      </c>
      <c r="CZ104" s="133" t="str">
        <f t="shared" si="127"/>
        <v>#REF!</v>
      </c>
      <c r="DA104" s="134" t="str">
        <f t="shared" si="52"/>
        <v>#REF!</v>
      </c>
      <c r="DB104" s="134" t="str">
        <f t="shared" si="53"/>
        <v>#REF!</v>
      </c>
      <c r="DC104" s="135" t="str">
        <f>IF(ISNA(VLOOKUP(A104,'Données projet (1)'!$A$139:$I$159,5,0)),0%,VLOOKUP(A104,'Données projet (1)'!$A$139:$I$159,5,0)*VLOOKUP('Données projet (1)'!$B$13,'Paramètres (1)'!$A$1:$I$88,7,0))</f>
        <v>#REF!</v>
      </c>
      <c r="DD104" s="135" t="str">
        <f>IF(ISNA(VLOOKUP(A104,'Données projet (1)'!$A$139:$I$159,6,0)),0%,VLOOKUP(A104,'Données projet (1)'!$A$139:$I$159,6,0)*VLOOKUP('Données projet (1)'!$B$13,'Paramètres (1)'!$A$1:$I$88,7,0))</f>
        <v>#REF!</v>
      </c>
      <c r="DE104" s="135" t="str">
        <f t="shared" si="54"/>
        <v>#REF!</v>
      </c>
      <c r="DF104" s="142" t="str">
        <f>EXP(-LN(2)/35)*DF103+(1-EXP(-LN(2)/35))/(LN(2)/35)*DB104*DC104*VLOOKUP('Données projet (1)'!$B$13,'Paramètres (1)'!$A$1:$I$88,3,0)*0.475*44/12</f>
        <v>#REF!</v>
      </c>
      <c r="DG104" s="142" t="str">
        <f>EXP(-LN(2)/25)*DG103+(1-EXP(-LN(2)/25))/(LN(2)/25)*'Calculateur (1)'!DB104*'Calculateur (1)'!DD104*VLOOKUP('Données projet (1)'!$B$13,'Paramètres (1)'!$A$1:$I$88,3,0)*0.475*44/12</f>
        <v>#REF!</v>
      </c>
      <c r="DH104" s="142" t="str">
        <f>EXP(-LN(2)/2)*DH103+(1-EXP(-LN(2)/2))/(LN(2)/2)*DB104*DE104*VLOOKUP('Données projet (1)'!$B$13,'Paramètres (1)'!$A$1:$I$88,3,0)*0.475*44/12</f>
        <v>#REF!</v>
      </c>
      <c r="DI104" s="143" t="str">
        <f t="shared" si="55"/>
        <v>#REF!</v>
      </c>
      <c r="DJ104" s="139" t="str">
        <f t="shared" si="56"/>
        <v>#REF!</v>
      </c>
      <c r="DK104" s="131">
        <f t="shared" si="57"/>
        <v>10</v>
      </c>
      <c r="DL104" s="131" t="str">
        <f t="shared" si="128"/>
        <v>#REF!</v>
      </c>
      <c r="DM104" s="131" t="str">
        <f t="shared" si="58"/>
        <v>#REF!</v>
      </c>
      <c r="DN104" s="131" t="str">
        <f t="array" ref="DN104">INDEX(DM:DM,MIN(IF(ISNUMBER(DM104:DM300),ROW(DM104:DM300),"")))</f>
        <v/>
      </c>
      <c r="DO104" s="131" t="str">
        <f t="shared" si="129"/>
        <v>#REF!</v>
      </c>
      <c r="DP104" s="138" t="str">
        <f>DO104*VLOOKUP('Données projet (1)'!$B$14,'Paramètres (1)'!$A$1:$I$88,3,0)*VLOOKUP('Données projet (1)'!$B$14,'Paramètres (1)'!$A$1:$I$88,5,0)</f>
        <v>#REF!</v>
      </c>
      <c r="DQ104" s="130" t="str">
        <f t="shared" si="130"/>
        <v>#REF!</v>
      </c>
      <c r="DR104" s="141" t="str">
        <f t="shared" si="59"/>
        <v>#REF!</v>
      </c>
      <c r="DS104" s="133" t="str">
        <f t="shared" si="60"/>
        <v>#REF!</v>
      </c>
      <c r="DT104" s="133" t="str">
        <f t="shared" si="61"/>
        <v>#REF!</v>
      </c>
      <c r="DU104" s="133" t="str">
        <f t="shared" si="131"/>
        <v>#REF!</v>
      </c>
      <c r="DV104" s="134" t="str">
        <f t="shared" si="62"/>
        <v>#REF!</v>
      </c>
      <c r="DW104" s="134" t="str">
        <f t="shared" si="63"/>
        <v>#REF!</v>
      </c>
      <c r="DX104" s="135" t="str">
        <f>IF(ISNA(VLOOKUP(A104,'Données projet (1)'!$A$165:$I$185,5,0)),0%,VLOOKUP(A104,'Données projet (1)'!$A$165:$I$185,5,0)*VLOOKUP('Données projet (1)'!$B$14,'Paramètres (1)'!$A$1:$I$88,7,0))</f>
        <v>#REF!</v>
      </c>
      <c r="DY104" s="135" t="str">
        <f>IF(ISNA(VLOOKUP(A104,'Données projet (1)'!$A$165:$I$185,6,0)),0%,VLOOKUP(A104,'Données projet (1)'!$A$165:$I$185,6,0)*VLOOKUP('Données projet (1)'!$B$14,'Paramètres (1)'!$A$1:$I$88,7,0))</f>
        <v>#REF!</v>
      </c>
      <c r="DZ104" s="135" t="str">
        <f t="shared" si="64"/>
        <v>#REF!</v>
      </c>
      <c r="EA104" s="142" t="str">
        <f>EXP(-LN(2)/35)*EA103+(1-EXP(-LN(2)/35))/(LN(2)/35)*DW104*DX104*VLOOKUP('Données projet (1)'!$B$14,'Paramètres (1)'!$A$1:$I$88,3,0)*0.475*44/12</f>
        <v>#REF!</v>
      </c>
      <c r="EB104" s="142" t="str">
        <f>EXP(-LN(2)/25)*EB103+(1-EXP(-LN(2)/25))/(LN(2)/25)*'Calculateur (1)'!DW104*'Calculateur (1)'!DY104*VLOOKUP('Données projet (1)'!$B$14,'Paramètres (1)'!$A$1:$I$88,3,0)*0.475*44/12</f>
        <v>#REF!</v>
      </c>
      <c r="EC104" s="142" t="str">
        <f>EXP(-LN(2)/2)*EC103+(1-EXP(-LN(2)/2))/(LN(2)/2)*DW104*DZ104*VLOOKUP('Données projet (1)'!$B$14,'Paramètres (1)'!$A$1:$I$88,3,0)*0.475*44/12</f>
        <v>#REF!</v>
      </c>
      <c r="ED104" s="143" t="str">
        <f t="shared" si="65"/>
        <v>#REF!</v>
      </c>
      <c r="EE104" s="139" t="str">
        <f t="shared" si="66"/>
        <v>#REF!</v>
      </c>
      <c r="EF104" s="131">
        <f t="shared" si="67"/>
        <v>10</v>
      </c>
      <c r="EG104" s="131" t="str">
        <f t="shared" si="132"/>
        <v>#REF!</v>
      </c>
      <c r="EH104" s="131" t="str">
        <f t="shared" si="68"/>
        <v>#REF!</v>
      </c>
      <c r="EI104" s="131" t="str">
        <f t="array" ref="EI104">INDEX(EH:EH,MIN(IF(ISNUMBER(EH104:EH300),ROW(EH104:EH300),"")))</f>
        <v/>
      </c>
      <c r="EJ104" s="131" t="str">
        <f t="shared" si="133"/>
        <v>#REF!</v>
      </c>
      <c r="EK104" s="138" t="str">
        <f>EJ104*VLOOKUP('Données projet (1)'!$B$15,'Paramètres (1)'!$A$1:$I$88,3,0)*VLOOKUP('Données projet (1)'!$B$15,'Paramètres (1)'!$A$1:$I$88,5,0)</f>
        <v>#REF!</v>
      </c>
      <c r="EL104" s="130" t="str">
        <f t="shared" si="134"/>
        <v>#REF!</v>
      </c>
      <c r="EM104" s="141" t="str">
        <f t="shared" si="69"/>
        <v>#REF!</v>
      </c>
      <c r="EN104" s="133" t="str">
        <f t="shared" si="70"/>
        <v>#REF!</v>
      </c>
      <c r="EO104" s="133" t="str">
        <f t="shared" si="71"/>
        <v>#REF!</v>
      </c>
      <c r="EP104" s="133" t="str">
        <f t="shared" si="135"/>
        <v>#REF!</v>
      </c>
      <c r="EQ104" s="134" t="str">
        <f t="shared" si="72"/>
        <v>#REF!</v>
      </c>
      <c r="ER104" s="134" t="str">
        <f t="shared" si="73"/>
        <v>#REF!</v>
      </c>
      <c r="ES104" s="135" t="str">
        <f>IF(ISNA(VLOOKUP(A104,'Données projet (1)'!$A$191:$I$211,5,0)),0%,VLOOKUP(A104,'Données projet (1)'!$A$191:$I$211,5,0)*VLOOKUP('Données projet (1)'!$B$15,'Paramètres (1)'!$A$1:$I$88,7,0))</f>
        <v>#REF!</v>
      </c>
      <c r="ET104" s="135" t="str">
        <f>IF(ISNA(VLOOKUP(A104,'Données projet (1)'!$A$191:$I$211,6,0)),0%,VLOOKUP(A104,'Données projet (1)'!$A$191:$I$211,6,0)*VLOOKUP('Données projet (1)'!$B$15,'Paramètres (1)'!$A$1:$I$88,7,0))</f>
        <v>#REF!</v>
      </c>
      <c r="EU104" s="135" t="str">
        <f t="shared" si="74"/>
        <v>#REF!</v>
      </c>
      <c r="EV104" s="142" t="str">
        <f>EXP(-LN(2)/35)*EV103+(1-EXP(-LN(2)/35))/(LN(2)/35)*ER104*ES104*VLOOKUP('Données projet (1)'!$B$15,'Paramètres (1)'!$A$1:$I$88,3,0)*0.475*44/12</f>
        <v>#REF!</v>
      </c>
      <c r="EW104" s="142" t="str">
        <f>EXP(-LN(2)/25)*EW103+(1-EXP(-LN(2)/25))/(LN(2)/25)*'Calculateur (1)'!ER104*'Calculateur (1)'!ET104*VLOOKUP('Données projet (1)'!$B$15,'Paramètres (1)'!$A$1:$I$88,3,0)*0.475*44/12</f>
        <v>#REF!</v>
      </c>
      <c r="EX104" s="142" t="str">
        <f>EXP(-LN(2)/2)*EX103+(1-EXP(-LN(2)/2))/(LN(2)/2)*ER104*EU104*VLOOKUP('Données projet (1)'!$B$15,'Paramètres (1)'!$A$1:$I$88,3,0)*0.475*44/12</f>
        <v>#REF!</v>
      </c>
      <c r="EY104" s="143" t="str">
        <f t="shared" si="75"/>
        <v>#REF!</v>
      </c>
      <c r="EZ104" s="139" t="str">
        <f t="shared" si="76"/>
        <v>#REF!</v>
      </c>
      <c r="FA104" s="131">
        <f t="shared" si="77"/>
        <v>10</v>
      </c>
      <c r="FB104" s="131" t="str">
        <f t="shared" si="136"/>
        <v>#REF!</v>
      </c>
      <c r="FC104" s="131" t="str">
        <f t="shared" si="78"/>
        <v>#REF!</v>
      </c>
      <c r="FD104" s="131" t="str">
        <f t="array" ref="FD104">INDEX(FC:FC,MIN(IF(ISNUMBER(FC104:FC300),ROW(FC104:FC300),"")))</f>
        <v/>
      </c>
      <c r="FE104" s="131" t="str">
        <f t="shared" si="137"/>
        <v>#REF!</v>
      </c>
      <c r="FF104" s="138" t="str">
        <f>FE104*VLOOKUP('Données projet (1)'!$B$16,'Paramètres (1)'!$A$1:$I$88,3,0)*VLOOKUP('Données projet (1)'!$B$16,'Paramètres (1)'!$A$1:$I$88,5,0)</f>
        <v>#REF!</v>
      </c>
      <c r="FG104" s="130" t="str">
        <f t="shared" si="138"/>
        <v>#REF!</v>
      </c>
      <c r="FH104" s="141" t="str">
        <f t="shared" si="79"/>
        <v>#REF!</v>
      </c>
      <c r="FI104" s="133" t="str">
        <f t="shared" si="80"/>
        <v>#REF!</v>
      </c>
      <c r="FJ104" s="133" t="str">
        <f t="shared" si="81"/>
        <v>#REF!</v>
      </c>
      <c r="FK104" s="133" t="str">
        <f t="shared" si="139"/>
        <v>#REF!</v>
      </c>
      <c r="FL104" s="134" t="str">
        <f t="shared" si="82"/>
        <v>#REF!</v>
      </c>
      <c r="FM104" s="134" t="str">
        <f t="shared" si="83"/>
        <v>#REF!</v>
      </c>
      <c r="FN104" s="135" t="str">
        <f>IF(ISNA(VLOOKUP(A104,'Données projet (1)'!$A$217:$I$237,5,0)),0%,VLOOKUP(A104,'Données projet (1)'!$A$217:$I$237,5,0)*VLOOKUP('Données projet (1)'!$B$16,'Paramètres (1)'!$A$1:$I$88,7,0))</f>
        <v>#REF!</v>
      </c>
      <c r="FO104" s="135" t="str">
        <f>IF(ISNA(VLOOKUP(A104,'Données projet (1)'!$A$217:$I$237,6,0)),0%,VLOOKUP(A104,'Données projet (1)'!$A$217:$I$237,6,0)*VLOOKUP('Données projet (1)'!$B$16,'Paramètres (1)'!$A$1:$I$88,7,0))</f>
        <v>#REF!</v>
      </c>
      <c r="FP104" s="135" t="str">
        <f t="shared" si="84"/>
        <v>#REF!</v>
      </c>
      <c r="FQ104" s="142" t="str">
        <f>EXP(-LN(2)/35)*FQ103+(1-EXP(-LN(2)/35))/(LN(2)/35)*FM104*FN104*VLOOKUP('Données projet (1)'!$B$16,'Paramètres (1)'!$A$1:$I$88,3,0)*0.475*44/12</f>
        <v>#REF!</v>
      </c>
      <c r="FR104" s="142" t="str">
        <f>EXP(-LN(2)/25)*FR103+(1-EXP(-LN(2)/25))/(LN(2)/25)*'Calculateur (1)'!FM104*'Calculateur (1)'!FO104*VLOOKUP('Données projet (1)'!$B$16,'Paramètres (1)'!$A$1:$I$88,3,0)*0.475*44/12</f>
        <v>#REF!</v>
      </c>
      <c r="FS104" s="142" t="str">
        <f>EXP(-LN(2)/2)*FS103+(1-EXP(-LN(2)/2))/(LN(2)/2)*FM104*FP104*VLOOKUP('Données projet (1)'!$B$16,'Paramètres (1)'!$A$1:$I$88,3,0)*0.475*44/12</f>
        <v>#REF!</v>
      </c>
      <c r="FT104" s="143" t="str">
        <f t="shared" si="85"/>
        <v>#REF!</v>
      </c>
      <c r="FU104" s="139" t="str">
        <f t="shared" si="86"/>
        <v>#REF!</v>
      </c>
      <c r="FV104" s="131">
        <f t="shared" si="87"/>
        <v>10</v>
      </c>
      <c r="FW104" s="131" t="str">
        <f t="shared" si="140"/>
        <v>#REF!</v>
      </c>
      <c r="FX104" s="131" t="str">
        <f t="shared" si="88"/>
        <v>#REF!</v>
      </c>
      <c r="FY104" s="131" t="str">
        <f t="array" ref="FY104">INDEX(FX:FX,MIN(IF(ISNUMBER(FX104:FX300),ROW(FX104:FX300),"")))</f>
        <v/>
      </c>
      <c r="FZ104" s="131" t="str">
        <f t="shared" si="141"/>
        <v>#REF!</v>
      </c>
      <c r="GA104" s="138" t="str">
        <f>FZ104*VLOOKUP('Données projet (1)'!$B$17,'Paramètres (1)'!$A$1:$I$88,3,0)*VLOOKUP('Données projet (1)'!$B$17,'Paramètres (1)'!$A$1:$I$88,5,0)</f>
        <v>#REF!</v>
      </c>
      <c r="GB104" s="130" t="str">
        <f t="shared" si="142"/>
        <v>#REF!</v>
      </c>
      <c r="GC104" s="141" t="str">
        <f t="shared" si="89"/>
        <v>#REF!</v>
      </c>
      <c r="GD104" s="133" t="str">
        <f t="shared" si="90"/>
        <v>#REF!</v>
      </c>
      <c r="GE104" s="133" t="str">
        <f t="shared" si="91"/>
        <v>#REF!</v>
      </c>
      <c r="GF104" s="133" t="str">
        <f t="shared" si="143"/>
        <v>#REF!</v>
      </c>
      <c r="GG104" s="134" t="str">
        <f t="shared" si="92"/>
        <v>#REF!</v>
      </c>
      <c r="GH104" s="134" t="str">
        <f t="shared" si="93"/>
        <v>#REF!</v>
      </c>
      <c r="GI104" s="135" t="str">
        <f>IF(ISNA(VLOOKUP(A104,'Données projet (1)'!$A$243:$I$263,5,0)),0%,VLOOKUP(A104,'Données projet (1)'!$A$243:$I$263,5,0)*VLOOKUP('Données projet (1)'!$B$17,'Paramètres (1)'!$A$1:$I$88,7,0))</f>
        <v>#REF!</v>
      </c>
      <c r="GJ104" s="135" t="str">
        <f>IF(ISNA(VLOOKUP(A104,'Données projet (1)'!$A$243:$I$263,6,0)),0%,VLOOKUP(A104,'Données projet (1)'!$A$243:$I$263,6,0)*VLOOKUP('Données projet (1)'!$B$17,'Paramètres (1)'!$A$1:$I$88,7,0))</f>
        <v>#REF!</v>
      </c>
      <c r="GK104" s="135" t="str">
        <f t="shared" si="94"/>
        <v>#REF!</v>
      </c>
      <c r="GL104" s="142" t="str">
        <f>EXP(-LN(2)/35)*GL103+(1-EXP(-LN(2)/35))/(LN(2)/35)*GH104*GI104*VLOOKUP('Données projet (1)'!$B$17,'Paramètres (1)'!$A$1:$I$88,3,0)*0.475*44/12</f>
        <v>#REF!</v>
      </c>
      <c r="GM104" s="142" t="str">
        <f>EXP(-LN(2)/25)*GM103+(1-EXP(-LN(2)/25))/(LN(2)/25)*'Calculateur (1)'!GH104*'Calculateur (1)'!GJ104*VLOOKUP('Données projet (1)'!$B$17,'Paramètres (1)'!$A$1:$I$88,3,0)*0.475*44/12</f>
        <v>#REF!</v>
      </c>
      <c r="GN104" s="142" t="str">
        <f>EXP(-LN(2)/2)*GN103+(1-EXP(-LN(2)/2))/(LN(2)/2)*GH104*GK104*VLOOKUP('Données projet (1)'!$B$17,'Paramètres (1)'!$A$1:$I$88,3,0)*0.475*44/12</f>
        <v>#REF!</v>
      </c>
      <c r="GO104" s="142" t="str">
        <f t="shared" si="95"/>
        <v>#REF!</v>
      </c>
      <c r="GP104" s="139" t="str">
        <f t="shared" si="96"/>
        <v>#REF!</v>
      </c>
      <c r="GQ104" s="131">
        <f t="shared" si="97"/>
        <v>10</v>
      </c>
      <c r="GR104" s="131" t="str">
        <f t="shared" si="144"/>
        <v>#REF!</v>
      </c>
      <c r="GS104" s="131" t="str">
        <f t="shared" si="98"/>
        <v>#REF!</v>
      </c>
      <c r="GT104" s="131" t="str">
        <f t="array" ref="GT104">INDEX(GS:GS,MIN(IF(ISNUMBER(GS104:GS300),ROW(GS104:GS300),"")))</f>
        <v/>
      </c>
      <c r="GU104" s="131" t="str">
        <f t="shared" si="145"/>
        <v>#REF!</v>
      </c>
      <c r="GV104" s="138" t="str">
        <f>GU104*VLOOKUP('Données projet (1)'!$B$18,'Paramètres (1)'!$A$1:$I$88,3,0)*VLOOKUP('Données projet (1)'!$B$18,'Paramètres (1)'!$A$1:$I$88,5,0)</f>
        <v>#REF!</v>
      </c>
      <c r="GW104" s="130" t="str">
        <f t="shared" si="146"/>
        <v>#REF!</v>
      </c>
      <c r="GX104" s="141" t="str">
        <f t="shared" si="99"/>
        <v>#REF!</v>
      </c>
      <c r="GY104" s="133" t="str">
        <f t="shared" si="100"/>
        <v>#REF!</v>
      </c>
      <c r="GZ104" s="133" t="str">
        <f t="shared" si="101"/>
        <v>#REF!</v>
      </c>
      <c r="HA104" s="133" t="str">
        <f t="shared" si="147"/>
        <v>#REF!</v>
      </c>
      <c r="HB104" s="134" t="str">
        <f t="shared" si="102"/>
        <v>#REF!</v>
      </c>
      <c r="HC104" s="134" t="str">
        <f t="shared" si="103"/>
        <v>#REF!</v>
      </c>
      <c r="HD104" s="135" t="str">
        <f>IF(ISNA(VLOOKUP(A104,'Données projet (1)'!$A$269:$I$289,5,0)),0%,VLOOKUP(A104,'Données projet (1)'!$A$269:$I$289,5,0)*VLOOKUP('Données projet (1)'!$B$18,'Paramètres (1)'!$A$1:$I$88,7,0))</f>
        <v>#REF!</v>
      </c>
      <c r="HE104" s="135" t="str">
        <f>IF(ISNA(VLOOKUP(A104,'Données projet (1)'!$A$269:$I$289,6,0)),0%,VLOOKUP(A104,'Données projet (1)'!$A$269:$I$289,6,0)*VLOOKUP('Données projet (1)'!$B$18,'Paramètres (1)'!$A$1:$I$88,7,0))</f>
        <v>#REF!</v>
      </c>
      <c r="HF104" s="135" t="str">
        <f t="shared" si="104"/>
        <v>#REF!</v>
      </c>
      <c r="HG104" s="142" t="str">
        <f>EXP(-LN(2)/35)*HG103+(1-EXP(-LN(2)/35))/(LN(2)/35)*HC104*HD104*VLOOKUP('Données projet (1)'!$B$18,'Paramètres (1)'!$A$1:$I$88,3,0)*0.475*44/12</f>
        <v>#REF!</v>
      </c>
      <c r="HH104" s="142" t="str">
        <f>EXP(-LN(2)/25)*HH103+(1-EXP(-LN(2)/25))/(LN(2)/25)*'Calculateur (1)'!HC104*'Calculateur (1)'!HE104*VLOOKUP('Données projet (1)'!$B$18,'Paramètres (1)'!$A$1:$I$88,3,0)*0.475*44/12</f>
        <v>#REF!</v>
      </c>
      <c r="HI104" s="142" t="str">
        <f>EXP(-LN(2)/2)*HI103+(1-EXP(-LN(2)/2))/(LN(2)/2)*HC104*HF104*VLOOKUP('Données projet (1)'!$B$18,'Paramètres (1)'!$A$1:$I$88,3,0)*0.475*44/12</f>
        <v>#REF!</v>
      </c>
      <c r="HJ104" s="143" t="str">
        <f t="shared" si="105"/>
        <v>#REF!</v>
      </c>
    </row>
    <row r="105" ht="14.25" customHeight="1">
      <c r="A105" s="125">
        <f t="shared" si="106"/>
        <v>102</v>
      </c>
      <c r="B105" s="126" t="str">
        <f t="shared" si="1"/>
        <v>#REF!</v>
      </c>
      <c r="C105" s="140" t="str">
        <f>'Calculateur (1)'!C104+'Scénario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5" s="127">
        <f t="shared" si="107"/>
        <v>0</v>
      </c>
      <c r="E105" s="127" t="str">
        <f t="shared" si="2"/>
        <v>#REF!</v>
      </c>
      <c r="F105" s="127" t="str">
        <f t="shared" si="3"/>
        <v>#REF!</v>
      </c>
      <c r="G105" s="127" t="str">
        <f t="shared" si="4"/>
        <v>#REF!</v>
      </c>
      <c r="H105" s="128" t="str">
        <f t="shared" si="5"/>
        <v>#REF!</v>
      </c>
      <c r="I105" s="129" t="str">
        <f t="shared" si="6"/>
        <v>#REF!</v>
      </c>
      <c r="J105" s="130">
        <f t="shared" si="7"/>
        <v>10</v>
      </c>
      <c r="K105" s="131" t="str">
        <f t="shared" si="108"/>
        <v>#REF!</v>
      </c>
      <c r="L105" s="131" t="str">
        <f t="shared" si="8"/>
        <v>#REF!</v>
      </c>
      <c r="M105" s="131" t="str">
        <f t="array" ref="M105">INDEX(L:L,MIN(IF(ISNUMBER(L105:L301),ROW(L105:L301),"")))</f>
        <v/>
      </c>
      <c r="N105" s="130" t="str">
        <f t="shared" si="109"/>
        <v>#REF!</v>
      </c>
      <c r="O105" s="130" t="str">
        <f>N105*VLOOKUP('Données projet (1)'!$B$9,'Paramètres (1)'!$A$1:$I$88,3,0)*VLOOKUP('Données projet (1)'!$B$9,'Paramètres (1)'!$A$1:$I$88,5,0)</f>
        <v>#REF!</v>
      </c>
      <c r="P105" s="130" t="str">
        <f t="shared" si="110"/>
        <v>#REF!</v>
      </c>
      <c r="Q105" s="141" t="str">
        <f t="shared" si="9"/>
        <v>#REF!</v>
      </c>
      <c r="R105" s="133" t="str">
        <f t="shared" si="10"/>
        <v>#REF!</v>
      </c>
      <c r="S105" s="133" t="str">
        <f t="shared" si="11"/>
        <v>#REF!</v>
      </c>
      <c r="T105" s="133" t="str">
        <f t="shared" si="111"/>
        <v>#REF!</v>
      </c>
      <c r="U105" s="134" t="str">
        <f t="shared" si="12"/>
        <v>#REF!</v>
      </c>
      <c r="V105" s="134" t="str">
        <f t="shared" si="13"/>
        <v>#REF!</v>
      </c>
      <c r="W105" s="135" t="str">
        <f>IF(ISNA(VLOOKUP(A105,'Données projet (1)'!$A$35:$I$55,5,0)),0%,VLOOKUP(A105,'Données projet (1)'!$A$35:$I$55,5,0)*VLOOKUP('Données projet (1)'!$B$9,'Paramètres (1)'!$A$1:$I$88,7,0))</f>
        <v>#REF!</v>
      </c>
      <c r="X105" s="135" t="str">
        <f>IF(ISNA(VLOOKUP(A105,'Données projet (1)'!$A$35:$I$55,6,0)),0%,VLOOKUP(A105,'Données projet (1)'!$A$35:$I$55,6,0)*VLOOKUP('Données projet (1)'!$B$9,'Paramètres (1)'!$A$1:$I$88,7,0))</f>
        <v>#REF!</v>
      </c>
      <c r="Y105" s="135" t="str">
        <f t="shared" si="14"/>
        <v>#REF!</v>
      </c>
      <c r="Z105" s="142" t="str">
        <f>EXP(-LN(2)/35)*Z104+(1-EXP(-LN(2)/35))/(LN(2)/35)*V105*W105*VLOOKUP('Données projet (1)'!$B$9,'Paramètres (1)'!$A$1:$I$88,3,0)*0.475*44/12</f>
        <v>#REF!</v>
      </c>
      <c r="AA105" s="142" t="str">
        <f>EXP(-LN(2)/25)*AA104+(1-EXP(-LN(2)/25))/(LN(2)/25)*'Calculateur (1)'!V105*'Calculateur (1)'!X105*VLOOKUP('Données projet (1)'!$B$9,'Paramètres (1)'!$A$1:$I$88,3,0)*0.475*44/12</f>
        <v>#REF!</v>
      </c>
      <c r="AB105" s="142" t="str">
        <f>EXP(-LN(2)/2)*AB104+(1-EXP(-LN(2)/2))/(LN(2)/2)*V105*Y105*VLOOKUP('Données projet (1)'!$B$9,'Paramètres (1)'!$A$1:$I$88,3,0)*0.475*44/12</f>
        <v>#REF!</v>
      </c>
      <c r="AC105" s="143" t="str">
        <f t="shared" si="15"/>
        <v>#REF!</v>
      </c>
      <c r="AD105" s="130" t="str">
        <f t="shared" si="16"/>
        <v>#REF!</v>
      </c>
      <c r="AE105" s="130">
        <f t="shared" si="17"/>
        <v>10</v>
      </c>
      <c r="AF105" s="131" t="str">
        <f t="shared" si="112"/>
        <v>#REF!</v>
      </c>
      <c r="AG105" s="131" t="str">
        <f t="shared" si="18"/>
        <v>#REF!</v>
      </c>
      <c r="AH105" s="131" t="str">
        <f t="array" ref="AH105">INDEX(AG:AG,MIN(IF(ISNUMBER(AG105:AG301),ROW(AG105:AG301),"")))</f>
        <v/>
      </c>
      <c r="AI105" s="130" t="str">
        <f t="shared" si="113"/>
        <v>#REF!</v>
      </c>
      <c r="AJ105" s="130" t="str">
        <f>AI105*VLOOKUP('Données projet (1)'!$B$10,'Paramètres (1)'!$A$1:$I$88,3,0)*VLOOKUP('Données projet (1)'!$B$10,'Paramètres (1)'!$A$1:$I$88,5,0)</f>
        <v>#REF!</v>
      </c>
      <c r="AK105" s="130" t="str">
        <f t="shared" si="114"/>
        <v>#REF!</v>
      </c>
      <c r="AL105" s="141" t="str">
        <f t="shared" si="19"/>
        <v>#REF!</v>
      </c>
      <c r="AM105" s="133" t="str">
        <f t="shared" si="20"/>
        <v>#REF!</v>
      </c>
      <c r="AN105" s="133" t="str">
        <f t="shared" si="21"/>
        <v>#REF!</v>
      </c>
      <c r="AO105" s="133" t="str">
        <f t="shared" si="115"/>
        <v>#REF!</v>
      </c>
      <c r="AP105" s="134" t="str">
        <f t="shared" si="22"/>
        <v>#REF!</v>
      </c>
      <c r="AQ105" s="134" t="str">
        <f t="shared" si="23"/>
        <v>#REF!</v>
      </c>
      <c r="AR105" s="135" t="str">
        <f>IF(ISNA(VLOOKUP(A105,'Données projet (1)'!$A$61:$I$81,5,0)),0%,VLOOKUP(A105,'Données projet (1)'!$A$61:$I$81,5,0)*VLOOKUP('Données projet (1)'!$B$10,'Paramètres (1)'!$A$1:$I$88,7,0))</f>
        <v>#REF!</v>
      </c>
      <c r="AS105" s="135" t="str">
        <f>IF(ISNA(VLOOKUP(A105,'Données projet (1)'!$A$61:$I$81,6,0)),0%,VLOOKUP(A105,'Données projet (1)'!$A$61:$I$81,6,0)*VLOOKUP('Données projet (1)'!$B$10,'Paramètres (1)'!$A$1:$I$88,7,0))</f>
        <v>#REF!</v>
      </c>
      <c r="AT105" s="135" t="str">
        <f t="shared" si="24"/>
        <v>#REF!</v>
      </c>
      <c r="AU105" s="142" t="str">
        <f>EXP(-LN(2)/35)*AU104+(1-EXP(-LN(2)/35))/(LN(2)/35)*AQ105*AR105*VLOOKUP('Données projet (1)'!$B$10,'Paramètres (1)'!$A$1:$I$88,3,0)*0.475*44/12</f>
        <v>#REF!</v>
      </c>
      <c r="AV105" s="142" t="str">
        <f>EXP(-LN(2)/25)*AV104+(1-EXP(-LN(2)/25))/(LN(2)/25)*'Calculateur (1)'!AQ105*'Calculateur (1)'!AS105*VLOOKUP('Données projet (1)'!$B$10,'Paramètres (1)'!$A$1:$I$88,3,0)*0.475*44/12</f>
        <v>#REF!</v>
      </c>
      <c r="AW105" s="142" t="str">
        <f>EXP(-LN(2)/2)*AW104+(1-EXP(-LN(2)/2))/(LN(2)/2)*AQ105*AT105*VLOOKUP('Données projet (1)'!$B$10,'Paramètres (1)'!$A$1:$I$88,3,0)*0.475*44/12</f>
        <v>#REF!</v>
      </c>
      <c r="AX105" s="142" t="str">
        <f t="shared" si="25"/>
        <v>#REF!</v>
      </c>
      <c r="AY105" s="137" t="str">
        <f t="shared" si="26"/>
        <v>#REF!</v>
      </c>
      <c r="AZ105" s="131">
        <f t="shared" si="27"/>
        <v>10</v>
      </c>
      <c r="BA105" s="131" t="str">
        <f t="shared" si="116"/>
        <v>#REF!</v>
      </c>
      <c r="BB105" s="131" t="str">
        <f t="shared" si="28"/>
        <v>#REF!</v>
      </c>
      <c r="BC105" s="131" t="str">
        <f t="array" ref="BC105">INDEX(BB:BB,MIN(IF(ISNUMBER(BB105:BB301),ROW(BB105:BB301),"")))</f>
        <v/>
      </c>
      <c r="BD105" s="131" t="str">
        <f t="shared" si="117"/>
        <v>#REF!</v>
      </c>
      <c r="BE105" s="130" t="str">
        <f>BD105*VLOOKUP('Données projet (1)'!$B$11,'Paramètres (1)'!$A$1:$I$88,3,0)*VLOOKUP('Données projet (1)'!$B$11,'Paramètres (1)'!$A$1:$I$88,5,0)</f>
        <v>#REF!</v>
      </c>
      <c r="BF105" s="130" t="str">
        <f t="shared" si="118"/>
        <v>#REF!</v>
      </c>
      <c r="BG105" s="141" t="str">
        <f t="shared" si="29"/>
        <v>#REF!</v>
      </c>
      <c r="BH105" s="133" t="str">
        <f t="shared" si="30"/>
        <v>#REF!</v>
      </c>
      <c r="BI105" s="133" t="str">
        <f t="shared" si="31"/>
        <v>#REF!</v>
      </c>
      <c r="BJ105" s="133" t="str">
        <f t="shared" si="119"/>
        <v>#REF!</v>
      </c>
      <c r="BK105" s="134" t="str">
        <f t="shared" si="32"/>
        <v>#REF!</v>
      </c>
      <c r="BL105" s="134" t="str">
        <f t="shared" si="33"/>
        <v>#REF!</v>
      </c>
      <c r="BM105" s="135" t="str">
        <f>IF(ISNA(VLOOKUP(A105,'Données projet (1)'!$A$87:$I$107,5,0)),0%,VLOOKUP(A105,'Données projet (1)'!$A$87:$I$107,5,0)*VLOOKUP('Données projet (1)'!$B$11,'Paramètres (1)'!$A$1:$I$88,7,0))</f>
        <v>#REF!</v>
      </c>
      <c r="BN105" s="135" t="str">
        <f>IF(ISNA(VLOOKUP(A105,'Données projet (1)'!$A$87:$I$107,6,0)),0%,VLOOKUP(A105,'Données projet (1)'!$A$87:$I$107,6,0)*VLOOKUP('Données projet (1)'!$B$11,'Paramètres (1)'!$A$1:$I$88,7,0))</f>
        <v>#REF!</v>
      </c>
      <c r="BO105" s="135" t="str">
        <f t="shared" si="34"/>
        <v>#REF!</v>
      </c>
      <c r="BP105" s="142" t="str">
        <f>EXP(-LN(2)/35)*BP104+(1-EXP(-LN(2)/35))/(LN(2)/35)*BL105*BM105*VLOOKUP('Données projet (1)'!$B$11,'Paramètres (1)'!$A$1:$I$88,3,0)*0.475*44/12</f>
        <v>#REF!</v>
      </c>
      <c r="BQ105" s="142" t="str">
        <f>EXP(-LN(2)/25)*BQ104+(1-EXP(-LN(2)/25))/(LN(2)/25)*'Calculateur (1)'!BL105*'Calculateur (1)'!BN105*VLOOKUP('Données projet (1)'!$B$11,'Paramètres (1)'!$A$1:$I$88,3,0)*0.475*44/12</f>
        <v>#REF!</v>
      </c>
      <c r="BR105" s="142" t="str">
        <f>EXP(-LN(2)/2)*BR104+(1-EXP(-LN(2)/2))/(LN(2)/2)*BL105*BO105*VLOOKUP('Données projet (1)'!$B$11,'Paramètres (1)'!$A$1:$I$88,3,0)*0.475*44/12</f>
        <v>#REF!</v>
      </c>
      <c r="BS105" s="143" t="str">
        <f t="shared" si="35"/>
        <v>#REF!</v>
      </c>
      <c r="BT105" s="139" t="str">
        <f t="shared" si="36"/>
        <v>#REF!</v>
      </c>
      <c r="BU105" s="131">
        <f t="shared" si="37"/>
        <v>10</v>
      </c>
      <c r="BV105" s="131" t="str">
        <f t="shared" si="120"/>
        <v>#REF!</v>
      </c>
      <c r="BW105" s="131" t="str">
        <f t="shared" si="38"/>
        <v>#REF!</v>
      </c>
      <c r="BX105" s="131" t="str">
        <f t="array" ref="BX105">INDEX(BW:BW,MIN(IF(ISNUMBER(BW105:BW301),ROW(BW105:BW301),"")))</f>
        <v/>
      </c>
      <c r="BY105" s="131" t="str">
        <f t="shared" si="121"/>
        <v>#REF!</v>
      </c>
      <c r="BZ105" s="130" t="str">
        <f>BY105*VLOOKUP('Données projet (1)'!$B$12,'Paramètres (1)'!$A$1:$I$88,3,0)*VLOOKUP('Données projet (1)'!$B$12,'Paramètres (1)'!$A$1:$I$88,5,0)</f>
        <v>#REF!</v>
      </c>
      <c r="CA105" s="130" t="str">
        <f t="shared" si="122"/>
        <v>#REF!</v>
      </c>
      <c r="CB105" s="141" t="str">
        <f t="shared" si="39"/>
        <v>#REF!</v>
      </c>
      <c r="CC105" s="133" t="str">
        <f t="shared" si="40"/>
        <v>#REF!</v>
      </c>
      <c r="CD105" s="133" t="str">
        <f t="shared" si="41"/>
        <v>#REF!</v>
      </c>
      <c r="CE105" s="133" t="str">
        <f t="shared" si="123"/>
        <v>#REF!</v>
      </c>
      <c r="CF105" s="134" t="str">
        <f t="shared" si="42"/>
        <v>#REF!</v>
      </c>
      <c r="CG105" s="134" t="str">
        <f t="shared" si="43"/>
        <v>#REF!</v>
      </c>
      <c r="CH105" s="135" t="str">
        <f>IF(ISNA(VLOOKUP(A105,'Données projet (1)'!$A$113:$I$133,5,0)),0%,VLOOKUP(A105,'Données projet (1)'!$A$113:$I$133,5,0)*VLOOKUP('Données projet (1)'!$B$12,'Paramètres (1)'!$A$1:$I$88,7,0))</f>
        <v>#REF!</v>
      </c>
      <c r="CI105" s="135" t="str">
        <f>IF(ISNA(VLOOKUP(A105,'Données projet (1)'!$A$113:$I$133,6,0)),0%,VLOOKUP(A105,'Données projet (1)'!$A$113:$I$133,6,0)*VLOOKUP('Données projet (1)'!$B$12,'Paramètres (1)'!$A$1:$I$88,7,0))</f>
        <v>#REF!</v>
      </c>
      <c r="CJ105" s="135" t="str">
        <f t="shared" si="44"/>
        <v>#REF!</v>
      </c>
      <c r="CK105" s="142" t="str">
        <f>EXP(-LN(2)/35)*CK104+(1-EXP(-LN(2)/35))/(LN(2)/35)*CG105*CH105*VLOOKUP('Données projet (1)'!$B$12,'Paramètres (1)'!$A$1:$I$88,3,0)*0.475*44/12</f>
        <v>#REF!</v>
      </c>
      <c r="CL105" s="142" t="str">
        <f>EXP(-LN(2)/25)*CL104+(1-EXP(-LN(2)/25))/(LN(2)/25)*'Calculateur (1)'!CG105*'Calculateur (1)'!CI105*VLOOKUP('Données projet (1)'!$B$12,'Paramètres (1)'!$A$1:$I$88,3,0)*0.475*44/12</f>
        <v>#REF!</v>
      </c>
      <c r="CM105" s="142" t="str">
        <f>EXP(-LN(2)/2)*CM104+(1-EXP(-LN(2)/2))/(LN(2)/2)*CG105*CJ105*VLOOKUP('Données projet (1)'!$B$12,'Paramètres (1)'!$A$1:$I$88,3,0)*0.475*44/12</f>
        <v>#REF!</v>
      </c>
      <c r="CN105" s="143" t="str">
        <f t="shared" si="45"/>
        <v>#REF!</v>
      </c>
      <c r="CO105" s="139" t="str">
        <f t="shared" si="46"/>
        <v>#REF!</v>
      </c>
      <c r="CP105" s="131">
        <f t="shared" si="47"/>
        <v>10</v>
      </c>
      <c r="CQ105" s="131" t="str">
        <f t="shared" si="124"/>
        <v>#REF!</v>
      </c>
      <c r="CR105" s="131" t="str">
        <f t="shared" si="48"/>
        <v>#REF!</v>
      </c>
      <c r="CS105" s="131" t="str">
        <f t="array" ref="CS105">INDEX(CR:CR,MIN(IF(ISNUMBER(CR105:CR301),ROW(CR105:CR301),"")))</f>
        <v/>
      </c>
      <c r="CT105" s="131" t="str">
        <f t="shared" si="125"/>
        <v>#REF!</v>
      </c>
      <c r="CU105" s="138" t="str">
        <f>CT105*VLOOKUP('Données projet (1)'!$B$13,'Paramètres (1)'!$A$1:$I$88,3,0)*VLOOKUP('Données projet (1)'!$B$13,'Paramètres (1)'!$A$1:$I$88,5,0)</f>
        <v>#REF!</v>
      </c>
      <c r="CV105" s="130" t="str">
        <f t="shared" si="126"/>
        <v>#REF!</v>
      </c>
      <c r="CW105" s="141" t="str">
        <f t="shared" si="49"/>
        <v>#REF!</v>
      </c>
      <c r="CX105" s="133" t="str">
        <f t="shared" si="50"/>
        <v>#REF!</v>
      </c>
      <c r="CY105" s="133" t="str">
        <f t="shared" si="51"/>
        <v>#REF!</v>
      </c>
      <c r="CZ105" s="133" t="str">
        <f t="shared" si="127"/>
        <v>#REF!</v>
      </c>
      <c r="DA105" s="134" t="str">
        <f t="shared" si="52"/>
        <v>#REF!</v>
      </c>
      <c r="DB105" s="134" t="str">
        <f t="shared" si="53"/>
        <v>#REF!</v>
      </c>
      <c r="DC105" s="135" t="str">
        <f>IF(ISNA(VLOOKUP(A105,'Données projet (1)'!$A$139:$I$159,5,0)),0%,VLOOKUP(A105,'Données projet (1)'!$A$139:$I$159,5,0)*VLOOKUP('Données projet (1)'!$B$13,'Paramètres (1)'!$A$1:$I$88,7,0))</f>
        <v>#REF!</v>
      </c>
      <c r="DD105" s="135" t="str">
        <f>IF(ISNA(VLOOKUP(A105,'Données projet (1)'!$A$139:$I$159,6,0)),0%,VLOOKUP(A105,'Données projet (1)'!$A$139:$I$159,6,0)*VLOOKUP('Données projet (1)'!$B$13,'Paramètres (1)'!$A$1:$I$88,7,0))</f>
        <v>#REF!</v>
      </c>
      <c r="DE105" s="135" t="str">
        <f t="shared" si="54"/>
        <v>#REF!</v>
      </c>
      <c r="DF105" s="142" t="str">
        <f>EXP(-LN(2)/35)*DF104+(1-EXP(-LN(2)/35))/(LN(2)/35)*DB105*DC105*VLOOKUP('Données projet (1)'!$B$13,'Paramètres (1)'!$A$1:$I$88,3,0)*0.475*44/12</f>
        <v>#REF!</v>
      </c>
      <c r="DG105" s="142" t="str">
        <f>EXP(-LN(2)/25)*DG104+(1-EXP(-LN(2)/25))/(LN(2)/25)*'Calculateur (1)'!DB105*'Calculateur (1)'!DD105*VLOOKUP('Données projet (1)'!$B$13,'Paramètres (1)'!$A$1:$I$88,3,0)*0.475*44/12</f>
        <v>#REF!</v>
      </c>
      <c r="DH105" s="142" t="str">
        <f>EXP(-LN(2)/2)*DH104+(1-EXP(-LN(2)/2))/(LN(2)/2)*DB105*DE105*VLOOKUP('Données projet (1)'!$B$13,'Paramètres (1)'!$A$1:$I$88,3,0)*0.475*44/12</f>
        <v>#REF!</v>
      </c>
      <c r="DI105" s="143" t="str">
        <f t="shared" si="55"/>
        <v>#REF!</v>
      </c>
      <c r="DJ105" s="139" t="str">
        <f t="shared" si="56"/>
        <v>#REF!</v>
      </c>
      <c r="DK105" s="131">
        <f t="shared" si="57"/>
        <v>10</v>
      </c>
      <c r="DL105" s="131" t="str">
        <f t="shared" si="128"/>
        <v>#REF!</v>
      </c>
      <c r="DM105" s="131" t="str">
        <f t="shared" si="58"/>
        <v>#REF!</v>
      </c>
      <c r="DN105" s="131" t="str">
        <f t="array" ref="DN105">INDEX(DM:DM,MIN(IF(ISNUMBER(DM105:DM301),ROW(DM105:DM301),"")))</f>
        <v/>
      </c>
      <c r="DO105" s="131" t="str">
        <f t="shared" si="129"/>
        <v>#REF!</v>
      </c>
      <c r="DP105" s="138" t="str">
        <f>DO105*VLOOKUP('Données projet (1)'!$B$14,'Paramètres (1)'!$A$1:$I$88,3,0)*VLOOKUP('Données projet (1)'!$B$14,'Paramètres (1)'!$A$1:$I$88,5,0)</f>
        <v>#REF!</v>
      </c>
      <c r="DQ105" s="130" t="str">
        <f t="shared" si="130"/>
        <v>#REF!</v>
      </c>
      <c r="DR105" s="141" t="str">
        <f t="shared" si="59"/>
        <v>#REF!</v>
      </c>
      <c r="DS105" s="133" t="str">
        <f t="shared" si="60"/>
        <v>#REF!</v>
      </c>
      <c r="DT105" s="133" t="str">
        <f t="shared" si="61"/>
        <v>#REF!</v>
      </c>
      <c r="DU105" s="133" t="str">
        <f t="shared" si="131"/>
        <v>#REF!</v>
      </c>
      <c r="DV105" s="134" t="str">
        <f t="shared" si="62"/>
        <v>#REF!</v>
      </c>
      <c r="DW105" s="134" t="str">
        <f t="shared" si="63"/>
        <v>#REF!</v>
      </c>
      <c r="DX105" s="135" t="str">
        <f>IF(ISNA(VLOOKUP(A105,'Données projet (1)'!$A$165:$I$185,5,0)),0%,VLOOKUP(A105,'Données projet (1)'!$A$165:$I$185,5,0)*VLOOKUP('Données projet (1)'!$B$14,'Paramètres (1)'!$A$1:$I$88,7,0))</f>
        <v>#REF!</v>
      </c>
      <c r="DY105" s="135" t="str">
        <f>IF(ISNA(VLOOKUP(A105,'Données projet (1)'!$A$165:$I$185,6,0)),0%,VLOOKUP(A105,'Données projet (1)'!$A$165:$I$185,6,0)*VLOOKUP('Données projet (1)'!$B$14,'Paramètres (1)'!$A$1:$I$88,7,0))</f>
        <v>#REF!</v>
      </c>
      <c r="DZ105" s="135" t="str">
        <f t="shared" si="64"/>
        <v>#REF!</v>
      </c>
      <c r="EA105" s="142" t="str">
        <f>EXP(-LN(2)/35)*EA104+(1-EXP(-LN(2)/35))/(LN(2)/35)*DW105*DX105*VLOOKUP('Données projet (1)'!$B$14,'Paramètres (1)'!$A$1:$I$88,3,0)*0.475*44/12</f>
        <v>#REF!</v>
      </c>
      <c r="EB105" s="142" t="str">
        <f>EXP(-LN(2)/25)*EB104+(1-EXP(-LN(2)/25))/(LN(2)/25)*'Calculateur (1)'!DW105*'Calculateur (1)'!DY105*VLOOKUP('Données projet (1)'!$B$14,'Paramètres (1)'!$A$1:$I$88,3,0)*0.475*44/12</f>
        <v>#REF!</v>
      </c>
      <c r="EC105" s="142" t="str">
        <f>EXP(-LN(2)/2)*EC104+(1-EXP(-LN(2)/2))/(LN(2)/2)*DW105*DZ105*VLOOKUP('Données projet (1)'!$B$14,'Paramètres (1)'!$A$1:$I$88,3,0)*0.475*44/12</f>
        <v>#REF!</v>
      </c>
      <c r="ED105" s="143" t="str">
        <f t="shared" si="65"/>
        <v>#REF!</v>
      </c>
      <c r="EE105" s="139" t="str">
        <f t="shared" si="66"/>
        <v>#REF!</v>
      </c>
      <c r="EF105" s="131">
        <f t="shared" si="67"/>
        <v>10</v>
      </c>
      <c r="EG105" s="131" t="str">
        <f t="shared" si="132"/>
        <v>#REF!</v>
      </c>
      <c r="EH105" s="131" t="str">
        <f t="shared" si="68"/>
        <v>#REF!</v>
      </c>
      <c r="EI105" s="131" t="str">
        <f t="array" ref="EI105">INDEX(EH:EH,MIN(IF(ISNUMBER(EH105:EH301),ROW(EH105:EH301),"")))</f>
        <v/>
      </c>
      <c r="EJ105" s="131" t="str">
        <f t="shared" si="133"/>
        <v>#REF!</v>
      </c>
      <c r="EK105" s="138" t="str">
        <f>EJ105*VLOOKUP('Données projet (1)'!$B$15,'Paramètres (1)'!$A$1:$I$88,3,0)*VLOOKUP('Données projet (1)'!$B$15,'Paramètres (1)'!$A$1:$I$88,5,0)</f>
        <v>#REF!</v>
      </c>
      <c r="EL105" s="130" t="str">
        <f t="shared" si="134"/>
        <v>#REF!</v>
      </c>
      <c r="EM105" s="141" t="str">
        <f t="shared" si="69"/>
        <v>#REF!</v>
      </c>
      <c r="EN105" s="133" t="str">
        <f t="shared" si="70"/>
        <v>#REF!</v>
      </c>
      <c r="EO105" s="133" t="str">
        <f t="shared" si="71"/>
        <v>#REF!</v>
      </c>
      <c r="EP105" s="133" t="str">
        <f t="shared" si="135"/>
        <v>#REF!</v>
      </c>
      <c r="EQ105" s="134" t="str">
        <f t="shared" si="72"/>
        <v>#REF!</v>
      </c>
      <c r="ER105" s="134" t="str">
        <f t="shared" si="73"/>
        <v>#REF!</v>
      </c>
      <c r="ES105" s="135" t="str">
        <f>IF(ISNA(VLOOKUP(A105,'Données projet (1)'!$A$191:$I$211,5,0)),0%,VLOOKUP(A105,'Données projet (1)'!$A$191:$I$211,5,0)*VLOOKUP('Données projet (1)'!$B$15,'Paramètres (1)'!$A$1:$I$88,7,0))</f>
        <v>#REF!</v>
      </c>
      <c r="ET105" s="135" t="str">
        <f>IF(ISNA(VLOOKUP(A105,'Données projet (1)'!$A$191:$I$211,6,0)),0%,VLOOKUP(A105,'Données projet (1)'!$A$191:$I$211,6,0)*VLOOKUP('Données projet (1)'!$B$15,'Paramètres (1)'!$A$1:$I$88,7,0))</f>
        <v>#REF!</v>
      </c>
      <c r="EU105" s="135" t="str">
        <f t="shared" si="74"/>
        <v>#REF!</v>
      </c>
      <c r="EV105" s="142" t="str">
        <f>EXP(-LN(2)/35)*EV104+(1-EXP(-LN(2)/35))/(LN(2)/35)*ER105*ES105*VLOOKUP('Données projet (1)'!$B$15,'Paramètres (1)'!$A$1:$I$88,3,0)*0.475*44/12</f>
        <v>#REF!</v>
      </c>
      <c r="EW105" s="142" t="str">
        <f>EXP(-LN(2)/25)*EW104+(1-EXP(-LN(2)/25))/(LN(2)/25)*'Calculateur (1)'!ER105*'Calculateur (1)'!ET105*VLOOKUP('Données projet (1)'!$B$15,'Paramètres (1)'!$A$1:$I$88,3,0)*0.475*44/12</f>
        <v>#REF!</v>
      </c>
      <c r="EX105" s="142" t="str">
        <f>EXP(-LN(2)/2)*EX104+(1-EXP(-LN(2)/2))/(LN(2)/2)*ER105*EU105*VLOOKUP('Données projet (1)'!$B$15,'Paramètres (1)'!$A$1:$I$88,3,0)*0.475*44/12</f>
        <v>#REF!</v>
      </c>
      <c r="EY105" s="143" t="str">
        <f t="shared" si="75"/>
        <v>#REF!</v>
      </c>
      <c r="EZ105" s="139" t="str">
        <f t="shared" si="76"/>
        <v>#REF!</v>
      </c>
      <c r="FA105" s="131">
        <f t="shared" si="77"/>
        <v>10</v>
      </c>
      <c r="FB105" s="131" t="str">
        <f t="shared" si="136"/>
        <v>#REF!</v>
      </c>
      <c r="FC105" s="131" t="str">
        <f t="shared" si="78"/>
        <v>#REF!</v>
      </c>
      <c r="FD105" s="131" t="str">
        <f t="array" ref="FD105">INDEX(FC:FC,MIN(IF(ISNUMBER(FC105:FC301),ROW(FC105:FC301),"")))</f>
        <v/>
      </c>
      <c r="FE105" s="131" t="str">
        <f t="shared" si="137"/>
        <v>#REF!</v>
      </c>
      <c r="FF105" s="138" t="str">
        <f>FE105*VLOOKUP('Données projet (1)'!$B$16,'Paramètres (1)'!$A$1:$I$88,3,0)*VLOOKUP('Données projet (1)'!$B$16,'Paramètres (1)'!$A$1:$I$88,5,0)</f>
        <v>#REF!</v>
      </c>
      <c r="FG105" s="130" t="str">
        <f t="shared" si="138"/>
        <v>#REF!</v>
      </c>
      <c r="FH105" s="141" t="str">
        <f t="shared" si="79"/>
        <v>#REF!</v>
      </c>
      <c r="FI105" s="133" t="str">
        <f t="shared" si="80"/>
        <v>#REF!</v>
      </c>
      <c r="FJ105" s="133" t="str">
        <f t="shared" si="81"/>
        <v>#REF!</v>
      </c>
      <c r="FK105" s="133" t="str">
        <f t="shared" si="139"/>
        <v>#REF!</v>
      </c>
      <c r="FL105" s="134" t="str">
        <f t="shared" si="82"/>
        <v>#REF!</v>
      </c>
      <c r="FM105" s="134" t="str">
        <f t="shared" si="83"/>
        <v>#REF!</v>
      </c>
      <c r="FN105" s="135" t="str">
        <f>IF(ISNA(VLOOKUP(A105,'Données projet (1)'!$A$217:$I$237,5,0)),0%,VLOOKUP(A105,'Données projet (1)'!$A$217:$I$237,5,0)*VLOOKUP('Données projet (1)'!$B$16,'Paramètres (1)'!$A$1:$I$88,7,0))</f>
        <v>#REF!</v>
      </c>
      <c r="FO105" s="135" t="str">
        <f>IF(ISNA(VLOOKUP(A105,'Données projet (1)'!$A$217:$I$237,6,0)),0%,VLOOKUP(A105,'Données projet (1)'!$A$217:$I$237,6,0)*VLOOKUP('Données projet (1)'!$B$16,'Paramètres (1)'!$A$1:$I$88,7,0))</f>
        <v>#REF!</v>
      </c>
      <c r="FP105" s="135" t="str">
        <f t="shared" si="84"/>
        <v>#REF!</v>
      </c>
      <c r="FQ105" s="142" t="str">
        <f>EXP(-LN(2)/35)*FQ104+(1-EXP(-LN(2)/35))/(LN(2)/35)*FM105*FN105*VLOOKUP('Données projet (1)'!$B$16,'Paramètres (1)'!$A$1:$I$88,3,0)*0.475*44/12</f>
        <v>#REF!</v>
      </c>
      <c r="FR105" s="142" t="str">
        <f>EXP(-LN(2)/25)*FR104+(1-EXP(-LN(2)/25))/(LN(2)/25)*'Calculateur (1)'!FM105*'Calculateur (1)'!FO105*VLOOKUP('Données projet (1)'!$B$16,'Paramètres (1)'!$A$1:$I$88,3,0)*0.475*44/12</f>
        <v>#REF!</v>
      </c>
      <c r="FS105" s="142" t="str">
        <f>EXP(-LN(2)/2)*FS104+(1-EXP(-LN(2)/2))/(LN(2)/2)*FM105*FP105*VLOOKUP('Données projet (1)'!$B$16,'Paramètres (1)'!$A$1:$I$88,3,0)*0.475*44/12</f>
        <v>#REF!</v>
      </c>
      <c r="FT105" s="143" t="str">
        <f t="shared" si="85"/>
        <v>#REF!</v>
      </c>
      <c r="FU105" s="139" t="str">
        <f t="shared" si="86"/>
        <v>#REF!</v>
      </c>
      <c r="FV105" s="131">
        <f t="shared" si="87"/>
        <v>10</v>
      </c>
      <c r="FW105" s="131" t="str">
        <f t="shared" si="140"/>
        <v>#REF!</v>
      </c>
      <c r="FX105" s="131" t="str">
        <f t="shared" si="88"/>
        <v>#REF!</v>
      </c>
      <c r="FY105" s="131" t="str">
        <f t="array" ref="FY105">INDEX(FX:FX,MIN(IF(ISNUMBER(FX105:FX301),ROW(FX105:FX301),"")))</f>
        <v/>
      </c>
      <c r="FZ105" s="131" t="str">
        <f t="shared" si="141"/>
        <v>#REF!</v>
      </c>
      <c r="GA105" s="138" t="str">
        <f>FZ105*VLOOKUP('Données projet (1)'!$B$17,'Paramètres (1)'!$A$1:$I$88,3,0)*VLOOKUP('Données projet (1)'!$B$17,'Paramètres (1)'!$A$1:$I$88,5,0)</f>
        <v>#REF!</v>
      </c>
      <c r="GB105" s="130" t="str">
        <f t="shared" si="142"/>
        <v>#REF!</v>
      </c>
      <c r="GC105" s="141" t="str">
        <f t="shared" si="89"/>
        <v>#REF!</v>
      </c>
      <c r="GD105" s="133" t="str">
        <f t="shared" si="90"/>
        <v>#REF!</v>
      </c>
      <c r="GE105" s="133" t="str">
        <f t="shared" si="91"/>
        <v>#REF!</v>
      </c>
      <c r="GF105" s="133" t="str">
        <f t="shared" si="143"/>
        <v>#REF!</v>
      </c>
      <c r="GG105" s="134" t="str">
        <f t="shared" si="92"/>
        <v>#REF!</v>
      </c>
      <c r="GH105" s="134" t="str">
        <f t="shared" si="93"/>
        <v>#REF!</v>
      </c>
      <c r="GI105" s="135" t="str">
        <f>IF(ISNA(VLOOKUP(A105,'Données projet (1)'!$A$243:$I$263,5,0)),0%,VLOOKUP(A105,'Données projet (1)'!$A$243:$I$263,5,0)*VLOOKUP('Données projet (1)'!$B$17,'Paramètres (1)'!$A$1:$I$88,7,0))</f>
        <v>#REF!</v>
      </c>
      <c r="GJ105" s="135" t="str">
        <f>IF(ISNA(VLOOKUP(A105,'Données projet (1)'!$A$243:$I$263,6,0)),0%,VLOOKUP(A105,'Données projet (1)'!$A$243:$I$263,6,0)*VLOOKUP('Données projet (1)'!$B$17,'Paramètres (1)'!$A$1:$I$88,7,0))</f>
        <v>#REF!</v>
      </c>
      <c r="GK105" s="135" t="str">
        <f t="shared" si="94"/>
        <v>#REF!</v>
      </c>
      <c r="GL105" s="142" t="str">
        <f>EXP(-LN(2)/35)*GL104+(1-EXP(-LN(2)/35))/(LN(2)/35)*GH105*GI105*VLOOKUP('Données projet (1)'!$B$17,'Paramètres (1)'!$A$1:$I$88,3,0)*0.475*44/12</f>
        <v>#REF!</v>
      </c>
      <c r="GM105" s="142" t="str">
        <f>EXP(-LN(2)/25)*GM104+(1-EXP(-LN(2)/25))/(LN(2)/25)*'Calculateur (1)'!GH105*'Calculateur (1)'!GJ105*VLOOKUP('Données projet (1)'!$B$17,'Paramètres (1)'!$A$1:$I$88,3,0)*0.475*44/12</f>
        <v>#REF!</v>
      </c>
      <c r="GN105" s="142" t="str">
        <f>EXP(-LN(2)/2)*GN104+(1-EXP(-LN(2)/2))/(LN(2)/2)*GH105*GK105*VLOOKUP('Données projet (1)'!$B$17,'Paramètres (1)'!$A$1:$I$88,3,0)*0.475*44/12</f>
        <v>#REF!</v>
      </c>
      <c r="GO105" s="142" t="str">
        <f t="shared" si="95"/>
        <v>#REF!</v>
      </c>
      <c r="GP105" s="139" t="str">
        <f t="shared" si="96"/>
        <v>#REF!</v>
      </c>
      <c r="GQ105" s="131">
        <f t="shared" si="97"/>
        <v>10</v>
      </c>
      <c r="GR105" s="131" t="str">
        <f t="shared" si="144"/>
        <v>#REF!</v>
      </c>
      <c r="GS105" s="131" t="str">
        <f t="shared" si="98"/>
        <v>#REF!</v>
      </c>
      <c r="GT105" s="131" t="str">
        <f t="array" ref="GT105">INDEX(GS:GS,MIN(IF(ISNUMBER(GS105:GS301),ROW(GS105:GS301),"")))</f>
        <v/>
      </c>
      <c r="GU105" s="131" t="str">
        <f t="shared" si="145"/>
        <v>#REF!</v>
      </c>
      <c r="GV105" s="138" t="str">
        <f>GU105*VLOOKUP('Données projet (1)'!$B$18,'Paramètres (1)'!$A$1:$I$88,3,0)*VLOOKUP('Données projet (1)'!$B$18,'Paramètres (1)'!$A$1:$I$88,5,0)</f>
        <v>#REF!</v>
      </c>
      <c r="GW105" s="130" t="str">
        <f t="shared" si="146"/>
        <v>#REF!</v>
      </c>
      <c r="GX105" s="141" t="str">
        <f t="shared" si="99"/>
        <v>#REF!</v>
      </c>
      <c r="GY105" s="133" t="str">
        <f t="shared" si="100"/>
        <v>#REF!</v>
      </c>
      <c r="GZ105" s="133" t="str">
        <f t="shared" si="101"/>
        <v>#REF!</v>
      </c>
      <c r="HA105" s="133" t="str">
        <f t="shared" si="147"/>
        <v>#REF!</v>
      </c>
      <c r="HB105" s="134" t="str">
        <f t="shared" si="102"/>
        <v>#REF!</v>
      </c>
      <c r="HC105" s="134" t="str">
        <f t="shared" si="103"/>
        <v>#REF!</v>
      </c>
      <c r="HD105" s="135" t="str">
        <f>IF(ISNA(VLOOKUP(A105,'Données projet (1)'!$A$269:$I$289,5,0)),0%,VLOOKUP(A105,'Données projet (1)'!$A$269:$I$289,5,0)*VLOOKUP('Données projet (1)'!$B$18,'Paramètres (1)'!$A$1:$I$88,7,0))</f>
        <v>#REF!</v>
      </c>
      <c r="HE105" s="135" t="str">
        <f>IF(ISNA(VLOOKUP(A105,'Données projet (1)'!$A$269:$I$289,6,0)),0%,VLOOKUP(A105,'Données projet (1)'!$A$269:$I$289,6,0)*VLOOKUP('Données projet (1)'!$B$18,'Paramètres (1)'!$A$1:$I$88,7,0))</f>
        <v>#REF!</v>
      </c>
      <c r="HF105" s="135" t="str">
        <f t="shared" si="104"/>
        <v>#REF!</v>
      </c>
      <c r="HG105" s="142" t="str">
        <f>EXP(-LN(2)/35)*HG104+(1-EXP(-LN(2)/35))/(LN(2)/35)*HC105*HD105*VLOOKUP('Données projet (1)'!$B$18,'Paramètres (1)'!$A$1:$I$88,3,0)*0.475*44/12</f>
        <v>#REF!</v>
      </c>
      <c r="HH105" s="142" t="str">
        <f>EXP(-LN(2)/25)*HH104+(1-EXP(-LN(2)/25))/(LN(2)/25)*'Calculateur (1)'!HC105*'Calculateur (1)'!HE105*VLOOKUP('Données projet (1)'!$B$18,'Paramètres (1)'!$A$1:$I$88,3,0)*0.475*44/12</f>
        <v>#REF!</v>
      </c>
      <c r="HI105" s="142" t="str">
        <f>EXP(-LN(2)/2)*HI104+(1-EXP(-LN(2)/2))/(LN(2)/2)*HC105*HF105*VLOOKUP('Données projet (1)'!$B$18,'Paramètres (1)'!$A$1:$I$88,3,0)*0.475*44/12</f>
        <v>#REF!</v>
      </c>
      <c r="HJ105" s="143" t="str">
        <f t="shared" si="105"/>
        <v>#REF!</v>
      </c>
    </row>
    <row r="106" ht="14.25" customHeight="1">
      <c r="A106" s="125">
        <f t="shared" si="106"/>
        <v>103</v>
      </c>
      <c r="B106" s="126" t="str">
        <f t="shared" si="1"/>
        <v>#REF!</v>
      </c>
      <c r="C106" s="140" t="str">
        <f>'Calculateur (1)'!C105+'Scénario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6" s="127">
        <f t="shared" si="107"/>
        <v>0</v>
      </c>
      <c r="E106" s="127" t="str">
        <f t="shared" si="2"/>
        <v>#REF!</v>
      </c>
      <c r="F106" s="127" t="str">
        <f t="shared" si="3"/>
        <v>#REF!</v>
      </c>
      <c r="G106" s="127" t="str">
        <f t="shared" si="4"/>
        <v>#REF!</v>
      </c>
      <c r="H106" s="128" t="str">
        <f t="shared" si="5"/>
        <v>#REF!</v>
      </c>
      <c r="I106" s="129" t="str">
        <f t="shared" si="6"/>
        <v>#REF!</v>
      </c>
      <c r="J106" s="130">
        <f t="shared" si="7"/>
        <v>10</v>
      </c>
      <c r="K106" s="131" t="str">
        <f t="shared" si="108"/>
        <v>#REF!</v>
      </c>
      <c r="L106" s="131" t="str">
        <f t="shared" si="8"/>
        <v>#REF!</v>
      </c>
      <c r="M106" s="131" t="str">
        <f t="array" ref="M106">INDEX(L:L,MIN(IF(ISNUMBER(L106:L302),ROW(L106:L302),"")))</f>
        <v/>
      </c>
      <c r="N106" s="130" t="str">
        <f t="shared" si="109"/>
        <v>#REF!</v>
      </c>
      <c r="O106" s="130" t="str">
        <f>N106*VLOOKUP('Données projet (1)'!$B$9,'Paramètres (1)'!$A$1:$I$88,3,0)*VLOOKUP('Données projet (1)'!$B$9,'Paramètres (1)'!$A$1:$I$88,5,0)</f>
        <v>#REF!</v>
      </c>
      <c r="P106" s="130" t="str">
        <f t="shared" si="110"/>
        <v>#REF!</v>
      </c>
      <c r="Q106" s="141" t="str">
        <f t="shared" si="9"/>
        <v>#REF!</v>
      </c>
      <c r="R106" s="133" t="str">
        <f t="shared" si="10"/>
        <v>#REF!</v>
      </c>
      <c r="S106" s="133" t="str">
        <f t="shared" si="11"/>
        <v>#REF!</v>
      </c>
      <c r="T106" s="133" t="str">
        <f t="shared" si="111"/>
        <v>#REF!</v>
      </c>
      <c r="U106" s="134" t="str">
        <f t="shared" si="12"/>
        <v>#REF!</v>
      </c>
      <c r="V106" s="134" t="str">
        <f t="shared" si="13"/>
        <v>#REF!</v>
      </c>
      <c r="W106" s="135" t="str">
        <f>IF(ISNA(VLOOKUP(A106,'Données projet (1)'!$A$35:$I$55,5,0)),0%,VLOOKUP(A106,'Données projet (1)'!$A$35:$I$55,5,0)*VLOOKUP('Données projet (1)'!$B$9,'Paramètres (1)'!$A$1:$I$88,7,0))</f>
        <v>#REF!</v>
      </c>
      <c r="X106" s="135" t="str">
        <f>IF(ISNA(VLOOKUP(A106,'Données projet (1)'!$A$35:$I$55,6,0)),0%,VLOOKUP(A106,'Données projet (1)'!$A$35:$I$55,6,0)*VLOOKUP('Données projet (1)'!$B$9,'Paramètres (1)'!$A$1:$I$88,7,0))</f>
        <v>#REF!</v>
      </c>
      <c r="Y106" s="135" t="str">
        <f t="shared" si="14"/>
        <v>#REF!</v>
      </c>
      <c r="Z106" s="142" t="str">
        <f>EXP(-LN(2)/35)*Z105+(1-EXP(-LN(2)/35))/(LN(2)/35)*V106*W106*VLOOKUP('Données projet (1)'!$B$9,'Paramètres (1)'!$A$1:$I$88,3,0)*0.475*44/12</f>
        <v>#REF!</v>
      </c>
      <c r="AA106" s="142" t="str">
        <f>EXP(-LN(2)/25)*AA105+(1-EXP(-LN(2)/25))/(LN(2)/25)*'Calculateur (1)'!V106*'Calculateur (1)'!X106*VLOOKUP('Données projet (1)'!$B$9,'Paramètres (1)'!$A$1:$I$88,3,0)*0.475*44/12</f>
        <v>#REF!</v>
      </c>
      <c r="AB106" s="142" t="str">
        <f>EXP(-LN(2)/2)*AB105+(1-EXP(-LN(2)/2))/(LN(2)/2)*V106*Y106*VLOOKUP('Données projet (1)'!$B$9,'Paramètres (1)'!$A$1:$I$88,3,0)*0.475*44/12</f>
        <v>#REF!</v>
      </c>
      <c r="AC106" s="143" t="str">
        <f t="shared" si="15"/>
        <v>#REF!</v>
      </c>
      <c r="AD106" s="130" t="str">
        <f t="shared" si="16"/>
        <v>#REF!</v>
      </c>
      <c r="AE106" s="130">
        <f t="shared" si="17"/>
        <v>10</v>
      </c>
      <c r="AF106" s="131" t="str">
        <f t="shared" si="112"/>
        <v>#REF!</v>
      </c>
      <c r="AG106" s="131" t="str">
        <f t="shared" si="18"/>
        <v>#REF!</v>
      </c>
      <c r="AH106" s="131" t="str">
        <f t="array" ref="AH106">INDEX(AG:AG,MIN(IF(ISNUMBER(AG106:AG302),ROW(AG106:AG302),"")))</f>
        <v/>
      </c>
      <c r="AI106" s="130" t="str">
        <f t="shared" si="113"/>
        <v>#REF!</v>
      </c>
      <c r="AJ106" s="130" t="str">
        <f>AI106*VLOOKUP('Données projet (1)'!$B$10,'Paramètres (1)'!$A$1:$I$88,3,0)*VLOOKUP('Données projet (1)'!$B$10,'Paramètres (1)'!$A$1:$I$88,5,0)</f>
        <v>#REF!</v>
      </c>
      <c r="AK106" s="130" t="str">
        <f t="shared" si="114"/>
        <v>#REF!</v>
      </c>
      <c r="AL106" s="141" t="str">
        <f t="shared" si="19"/>
        <v>#REF!</v>
      </c>
      <c r="AM106" s="133" t="str">
        <f t="shared" si="20"/>
        <v>#REF!</v>
      </c>
      <c r="AN106" s="133" t="str">
        <f t="shared" si="21"/>
        <v>#REF!</v>
      </c>
      <c r="AO106" s="133" t="str">
        <f t="shared" si="115"/>
        <v>#REF!</v>
      </c>
      <c r="AP106" s="134" t="str">
        <f t="shared" si="22"/>
        <v>#REF!</v>
      </c>
      <c r="AQ106" s="134" t="str">
        <f t="shared" si="23"/>
        <v>#REF!</v>
      </c>
      <c r="AR106" s="135" t="str">
        <f>IF(ISNA(VLOOKUP(A106,'Données projet (1)'!$A$61:$I$81,5,0)),0%,VLOOKUP(A106,'Données projet (1)'!$A$61:$I$81,5,0)*VLOOKUP('Données projet (1)'!$B$10,'Paramètres (1)'!$A$1:$I$88,7,0))</f>
        <v>#REF!</v>
      </c>
      <c r="AS106" s="135" t="str">
        <f>IF(ISNA(VLOOKUP(A106,'Données projet (1)'!$A$61:$I$81,6,0)),0%,VLOOKUP(A106,'Données projet (1)'!$A$61:$I$81,6,0)*VLOOKUP('Données projet (1)'!$B$10,'Paramètres (1)'!$A$1:$I$88,7,0))</f>
        <v>#REF!</v>
      </c>
      <c r="AT106" s="135" t="str">
        <f t="shared" si="24"/>
        <v>#REF!</v>
      </c>
      <c r="AU106" s="142" t="str">
        <f>EXP(-LN(2)/35)*AU105+(1-EXP(-LN(2)/35))/(LN(2)/35)*AQ106*AR106*VLOOKUP('Données projet (1)'!$B$10,'Paramètres (1)'!$A$1:$I$88,3,0)*0.475*44/12</f>
        <v>#REF!</v>
      </c>
      <c r="AV106" s="142" t="str">
        <f>EXP(-LN(2)/25)*AV105+(1-EXP(-LN(2)/25))/(LN(2)/25)*'Calculateur (1)'!AQ106*'Calculateur (1)'!AS106*VLOOKUP('Données projet (1)'!$B$10,'Paramètres (1)'!$A$1:$I$88,3,0)*0.475*44/12</f>
        <v>#REF!</v>
      </c>
      <c r="AW106" s="142" t="str">
        <f>EXP(-LN(2)/2)*AW105+(1-EXP(-LN(2)/2))/(LN(2)/2)*AQ106*AT106*VLOOKUP('Données projet (1)'!$B$10,'Paramètres (1)'!$A$1:$I$88,3,0)*0.475*44/12</f>
        <v>#REF!</v>
      </c>
      <c r="AX106" s="142" t="str">
        <f t="shared" si="25"/>
        <v>#REF!</v>
      </c>
      <c r="AY106" s="137" t="str">
        <f t="shared" si="26"/>
        <v>#REF!</v>
      </c>
      <c r="AZ106" s="131">
        <f t="shared" si="27"/>
        <v>10</v>
      </c>
      <c r="BA106" s="131" t="str">
        <f t="shared" si="116"/>
        <v>#REF!</v>
      </c>
      <c r="BB106" s="131" t="str">
        <f t="shared" si="28"/>
        <v>#REF!</v>
      </c>
      <c r="BC106" s="131" t="str">
        <f t="array" ref="BC106">INDEX(BB:BB,MIN(IF(ISNUMBER(BB106:BB302),ROW(BB106:BB302),"")))</f>
        <v/>
      </c>
      <c r="BD106" s="131" t="str">
        <f t="shared" si="117"/>
        <v>#REF!</v>
      </c>
      <c r="BE106" s="130" t="str">
        <f>BD106*VLOOKUP('Données projet (1)'!$B$11,'Paramètres (1)'!$A$1:$I$88,3,0)*VLOOKUP('Données projet (1)'!$B$11,'Paramètres (1)'!$A$1:$I$88,5,0)</f>
        <v>#REF!</v>
      </c>
      <c r="BF106" s="130" t="str">
        <f t="shared" si="118"/>
        <v>#REF!</v>
      </c>
      <c r="BG106" s="141" t="str">
        <f t="shared" si="29"/>
        <v>#REF!</v>
      </c>
      <c r="BH106" s="133" t="str">
        <f t="shared" si="30"/>
        <v>#REF!</v>
      </c>
      <c r="BI106" s="133" t="str">
        <f t="shared" si="31"/>
        <v>#REF!</v>
      </c>
      <c r="BJ106" s="133" t="str">
        <f t="shared" si="119"/>
        <v>#REF!</v>
      </c>
      <c r="BK106" s="134" t="str">
        <f t="shared" si="32"/>
        <v>#REF!</v>
      </c>
      <c r="BL106" s="134" t="str">
        <f t="shared" si="33"/>
        <v>#REF!</v>
      </c>
      <c r="BM106" s="135" t="str">
        <f>IF(ISNA(VLOOKUP(A106,'Données projet (1)'!$A$87:$I$107,5,0)),0%,VLOOKUP(A106,'Données projet (1)'!$A$87:$I$107,5,0)*VLOOKUP('Données projet (1)'!$B$11,'Paramètres (1)'!$A$1:$I$88,7,0))</f>
        <v>#REF!</v>
      </c>
      <c r="BN106" s="135" t="str">
        <f>IF(ISNA(VLOOKUP(A106,'Données projet (1)'!$A$87:$I$107,6,0)),0%,VLOOKUP(A106,'Données projet (1)'!$A$87:$I$107,6,0)*VLOOKUP('Données projet (1)'!$B$11,'Paramètres (1)'!$A$1:$I$88,7,0))</f>
        <v>#REF!</v>
      </c>
      <c r="BO106" s="135" t="str">
        <f t="shared" si="34"/>
        <v>#REF!</v>
      </c>
      <c r="BP106" s="142" t="str">
        <f>EXP(-LN(2)/35)*BP105+(1-EXP(-LN(2)/35))/(LN(2)/35)*BL106*BM106*VLOOKUP('Données projet (1)'!$B$11,'Paramètres (1)'!$A$1:$I$88,3,0)*0.475*44/12</f>
        <v>#REF!</v>
      </c>
      <c r="BQ106" s="142" t="str">
        <f>EXP(-LN(2)/25)*BQ105+(1-EXP(-LN(2)/25))/(LN(2)/25)*'Calculateur (1)'!BL106*'Calculateur (1)'!BN106*VLOOKUP('Données projet (1)'!$B$11,'Paramètres (1)'!$A$1:$I$88,3,0)*0.475*44/12</f>
        <v>#REF!</v>
      </c>
      <c r="BR106" s="142" t="str">
        <f>EXP(-LN(2)/2)*BR105+(1-EXP(-LN(2)/2))/(LN(2)/2)*BL106*BO106*VLOOKUP('Données projet (1)'!$B$11,'Paramètres (1)'!$A$1:$I$88,3,0)*0.475*44/12</f>
        <v>#REF!</v>
      </c>
      <c r="BS106" s="143" t="str">
        <f t="shared" si="35"/>
        <v>#REF!</v>
      </c>
      <c r="BT106" s="139" t="str">
        <f t="shared" si="36"/>
        <v>#REF!</v>
      </c>
      <c r="BU106" s="131">
        <f t="shared" si="37"/>
        <v>10</v>
      </c>
      <c r="BV106" s="131" t="str">
        <f t="shared" si="120"/>
        <v>#REF!</v>
      </c>
      <c r="BW106" s="131" t="str">
        <f t="shared" si="38"/>
        <v>#REF!</v>
      </c>
      <c r="BX106" s="131" t="str">
        <f t="array" ref="BX106">INDEX(BW:BW,MIN(IF(ISNUMBER(BW106:BW302),ROW(BW106:BW302),"")))</f>
        <v/>
      </c>
      <c r="BY106" s="131" t="str">
        <f t="shared" si="121"/>
        <v>#REF!</v>
      </c>
      <c r="BZ106" s="130" t="str">
        <f>BY106*VLOOKUP('Données projet (1)'!$B$12,'Paramètres (1)'!$A$1:$I$88,3,0)*VLOOKUP('Données projet (1)'!$B$12,'Paramètres (1)'!$A$1:$I$88,5,0)</f>
        <v>#REF!</v>
      </c>
      <c r="CA106" s="130" t="str">
        <f t="shared" si="122"/>
        <v>#REF!</v>
      </c>
      <c r="CB106" s="141" t="str">
        <f t="shared" si="39"/>
        <v>#REF!</v>
      </c>
      <c r="CC106" s="133" t="str">
        <f t="shared" si="40"/>
        <v>#REF!</v>
      </c>
      <c r="CD106" s="133" t="str">
        <f t="shared" si="41"/>
        <v>#REF!</v>
      </c>
      <c r="CE106" s="133" t="str">
        <f t="shared" si="123"/>
        <v>#REF!</v>
      </c>
      <c r="CF106" s="134" t="str">
        <f t="shared" si="42"/>
        <v>#REF!</v>
      </c>
      <c r="CG106" s="134" t="str">
        <f t="shared" si="43"/>
        <v>#REF!</v>
      </c>
      <c r="CH106" s="135" t="str">
        <f>IF(ISNA(VLOOKUP(A106,'Données projet (1)'!$A$113:$I$133,5,0)),0%,VLOOKUP(A106,'Données projet (1)'!$A$113:$I$133,5,0)*VLOOKUP('Données projet (1)'!$B$12,'Paramètres (1)'!$A$1:$I$88,7,0))</f>
        <v>#REF!</v>
      </c>
      <c r="CI106" s="135" t="str">
        <f>IF(ISNA(VLOOKUP(A106,'Données projet (1)'!$A$113:$I$133,6,0)),0%,VLOOKUP(A106,'Données projet (1)'!$A$113:$I$133,6,0)*VLOOKUP('Données projet (1)'!$B$12,'Paramètres (1)'!$A$1:$I$88,7,0))</f>
        <v>#REF!</v>
      </c>
      <c r="CJ106" s="135" t="str">
        <f t="shared" si="44"/>
        <v>#REF!</v>
      </c>
      <c r="CK106" s="142" t="str">
        <f>EXP(-LN(2)/35)*CK105+(1-EXP(-LN(2)/35))/(LN(2)/35)*CG106*CH106*VLOOKUP('Données projet (1)'!$B$12,'Paramètres (1)'!$A$1:$I$88,3,0)*0.475*44/12</f>
        <v>#REF!</v>
      </c>
      <c r="CL106" s="142" t="str">
        <f>EXP(-LN(2)/25)*CL105+(1-EXP(-LN(2)/25))/(LN(2)/25)*'Calculateur (1)'!CG106*'Calculateur (1)'!CI106*VLOOKUP('Données projet (1)'!$B$12,'Paramètres (1)'!$A$1:$I$88,3,0)*0.475*44/12</f>
        <v>#REF!</v>
      </c>
      <c r="CM106" s="142" t="str">
        <f>EXP(-LN(2)/2)*CM105+(1-EXP(-LN(2)/2))/(LN(2)/2)*CG106*CJ106*VLOOKUP('Données projet (1)'!$B$12,'Paramètres (1)'!$A$1:$I$88,3,0)*0.475*44/12</f>
        <v>#REF!</v>
      </c>
      <c r="CN106" s="143" t="str">
        <f t="shared" si="45"/>
        <v>#REF!</v>
      </c>
      <c r="CO106" s="139" t="str">
        <f t="shared" si="46"/>
        <v>#REF!</v>
      </c>
      <c r="CP106" s="131">
        <f t="shared" si="47"/>
        <v>10</v>
      </c>
      <c r="CQ106" s="131" t="str">
        <f t="shared" si="124"/>
        <v>#REF!</v>
      </c>
      <c r="CR106" s="131" t="str">
        <f t="shared" si="48"/>
        <v>#REF!</v>
      </c>
      <c r="CS106" s="131" t="str">
        <f t="array" ref="CS106">INDEX(CR:CR,MIN(IF(ISNUMBER(CR106:CR302),ROW(CR106:CR302),"")))</f>
        <v/>
      </c>
      <c r="CT106" s="131" t="str">
        <f t="shared" si="125"/>
        <v>#REF!</v>
      </c>
      <c r="CU106" s="138" t="str">
        <f>CT106*VLOOKUP('Données projet (1)'!$B$13,'Paramètres (1)'!$A$1:$I$88,3,0)*VLOOKUP('Données projet (1)'!$B$13,'Paramètres (1)'!$A$1:$I$88,5,0)</f>
        <v>#REF!</v>
      </c>
      <c r="CV106" s="130" t="str">
        <f t="shared" si="126"/>
        <v>#REF!</v>
      </c>
      <c r="CW106" s="141" t="str">
        <f t="shared" si="49"/>
        <v>#REF!</v>
      </c>
      <c r="CX106" s="133" t="str">
        <f t="shared" si="50"/>
        <v>#REF!</v>
      </c>
      <c r="CY106" s="133" t="str">
        <f t="shared" si="51"/>
        <v>#REF!</v>
      </c>
      <c r="CZ106" s="133" t="str">
        <f t="shared" si="127"/>
        <v>#REF!</v>
      </c>
      <c r="DA106" s="134" t="str">
        <f t="shared" si="52"/>
        <v>#REF!</v>
      </c>
      <c r="DB106" s="134" t="str">
        <f t="shared" si="53"/>
        <v>#REF!</v>
      </c>
      <c r="DC106" s="135" t="str">
        <f>IF(ISNA(VLOOKUP(A106,'Données projet (1)'!$A$139:$I$159,5,0)),0%,VLOOKUP(A106,'Données projet (1)'!$A$139:$I$159,5,0)*VLOOKUP('Données projet (1)'!$B$13,'Paramètres (1)'!$A$1:$I$88,7,0))</f>
        <v>#REF!</v>
      </c>
      <c r="DD106" s="135" t="str">
        <f>IF(ISNA(VLOOKUP(A106,'Données projet (1)'!$A$139:$I$159,6,0)),0%,VLOOKUP(A106,'Données projet (1)'!$A$139:$I$159,6,0)*VLOOKUP('Données projet (1)'!$B$13,'Paramètres (1)'!$A$1:$I$88,7,0))</f>
        <v>#REF!</v>
      </c>
      <c r="DE106" s="135" t="str">
        <f t="shared" si="54"/>
        <v>#REF!</v>
      </c>
      <c r="DF106" s="142" t="str">
        <f>EXP(-LN(2)/35)*DF105+(1-EXP(-LN(2)/35))/(LN(2)/35)*DB106*DC106*VLOOKUP('Données projet (1)'!$B$13,'Paramètres (1)'!$A$1:$I$88,3,0)*0.475*44/12</f>
        <v>#REF!</v>
      </c>
      <c r="DG106" s="142" t="str">
        <f>EXP(-LN(2)/25)*DG105+(1-EXP(-LN(2)/25))/(LN(2)/25)*'Calculateur (1)'!DB106*'Calculateur (1)'!DD106*VLOOKUP('Données projet (1)'!$B$13,'Paramètres (1)'!$A$1:$I$88,3,0)*0.475*44/12</f>
        <v>#REF!</v>
      </c>
      <c r="DH106" s="142" t="str">
        <f>EXP(-LN(2)/2)*DH105+(1-EXP(-LN(2)/2))/(LN(2)/2)*DB106*DE106*VLOOKUP('Données projet (1)'!$B$13,'Paramètres (1)'!$A$1:$I$88,3,0)*0.475*44/12</f>
        <v>#REF!</v>
      </c>
      <c r="DI106" s="143" t="str">
        <f t="shared" si="55"/>
        <v>#REF!</v>
      </c>
      <c r="DJ106" s="139" t="str">
        <f t="shared" si="56"/>
        <v>#REF!</v>
      </c>
      <c r="DK106" s="131">
        <f t="shared" si="57"/>
        <v>10</v>
      </c>
      <c r="DL106" s="131" t="str">
        <f t="shared" si="128"/>
        <v>#REF!</v>
      </c>
      <c r="DM106" s="131" t="str">
        <f t="shared" si="58"/>
        <v>#REF!</v>
      </c>
      <c r="DN106" s="131" t="str">
        <f t="array" ref="DN106">INDEX(DM:DM,MIN(IF(ISNUMBER(DM106:DM302),ROW(DM106:DM302),"")))</f>
        <v/>
      </c>
      <c r="DO106" s="131" t="str">
        <f t="shared" si="129"/>
        <v>#REF!</v>
      </c>
      <c r="DP106" s="138" t="str">
        <f>DO106*VLOOKUP('Données projet (1)'!$B$14,'Paramètres (1)'!$A$1:$I$88,3,0)*VLOOKUP('Données projet (1)'!$B$14,'Paramètres (1)'!$A$1:$I$88,5,0)</f>
        <v>#REF!</v>
      </c>
      <c r="DQ106" s="130" t="str">
        <f t="shared" si="130"/>
        <v>#REF!</v>
      </c>
      <c r="DR106" s="141" t="str">
        <f t="shared" si="59"/>
        <v>#REF!</v>
      </c>
      <c r="DS106" s="133" t="str">
        <f t="shared" si="60"/>
        <v>#REF!</v>
      </c>
      <c r="DT106" s="133" t="str">
        <f t="shared" si="61"/>
        <v>#REF!</v>
      </c>
      <c r="DU106" s="133" t="str">
        <f t="shared" si="131"/>
        <v>#REF!</v>
      </c>
      <c r="DV106" s="134" t="str">
        <f t="shared" si="62"/>
        <v>#REF!</v>
      </c>
      <c r="DW106" s="134" t="str">
        <f t="shared" si="63"/>
        <v>#REF!</v>
      </c>
      <c r="DX106" s="135" t="str">
        <f>IF(ISNA(VLOOKUP(A106,'Données projet (1)'!$A$165:$I$185,5,0)),0%,VLOOKUP(A106,'Données projet (1)'!$A$165:$I$185,5,0)*VLOOKUP('Données projet (1)'!$B$14,'Paramètres (1)'!$A$1:$I$88,7,0))</f>
        <v>#REF!</v>
      </c>
      <c r="DY106" s="135" t="str">
        <f>IF(ISNA(VLOOKUP(A106,'Données projet (1)'!$A$165:$I$185,6,0)),0%,VLOOKUP(A106,'Données projet (1)'!$A$165:$I$185,6,0)*VLOOKUP('Données projet (1)'!$B$14,'Paramètres (1)'!$A$1:$I$88,7,0))</f>
        <v>#REF!</v>
      </c>
      <c r="DZ106" s="135" t="str">
        <f t="shared" si="64"/>
        <v>#REF!</v>
      </c>
      <c r="EA106" s="142" t="str">
        <f>EXP(-LN(2)/35)*EA105+(1-EXP(-LN(2)/35))/(LN(2)/35)*DW106*DX106*VLOOKUP('Données projet (1)'!$B$14,'Paramètres (1)'!$A$1:$I$88,3,0)*0.475*44/12</f>
        <v>#REF!</v>
      </c>
      <c r="EB106" s="142" t="str">
        <f>EXP(-LN(2)/25)*EB105+(1-EXP(-LN(2)/25))/(LN(2)/25)*'Calculateur (1)'!DW106*'Calculateur (1)'!DY106*VLOOKUP('Données projet (1)'!$B$14,'Paramètres (1)'!$A$1:$I$88,3,0)*0.475*44/12</f>
        <v>#REF!</v>
      </c>
      <c r="EC106" s="142" t="str">
        <f>EXP(-LN(2)/2)*EC105+(1-EXP(-LN(2)/2))/(LN(2)/2)*DW106*DZ106*VLOOKUP('Données projet (1)'!$B$14,'Paramètres (1)'!$A$1:$I$88,3,0)*0.475*44/12</f>
        <v>#REF!</v>
      </c>
      <c r="ED106" s="143" t="str">
        <f t="shared" si="65"/>
        <v>#REF!</v>
      </c>
      <c r="EE106" s="139" t="str">
        <f t="shared" si="66"/>
        <v>#REF!</v>
      </c>
      <c r="EF106" s="131">
        <f t="shared" si="67"/>
        <v>10</v>
      </c>
      <c r="EG106" s="131" t="str">
        <f t="shared" si="132"/>
        <v>#REF!</v>
      </c>
      <c r="EH106" s="131" t="str">
        <f t="shared" si="68"/>
        <v>#REF!</v>
      </c>
      <c r="EI106" s="131" t="str">
        <f t="array" ref="EI106">INDEX(EH:EH,MIN(IF(ISNUMBER(EH106:EH302),ROW(EH106:EH302),"")))</f>
        <v/>
      </c>
      <c r="EJ106" s="131" t="str">
        <f t="shared" si="133"/>
        <v>#REF!</v>
      </c>
      <c r="EK106" s="138" t="str">
        <f>EJ106*VLOOKUP('Données projet (1)'!$B$15,'Paramètres (1)'!$A$1:$I$88,3,0)*VLOOKUP('Données projet (1)'!$B$15,'Paramètres (1)'!$A$1:$I$88,5,0)</f>
        <v>#REF!</v>
      </c>
      <c r="EL106" s="130" t="str">
        <f t="shared" si="134"/>
        <v>#REF!</v>
      </c>
      <c r="EM106" s="141" t="str">
        <f t="shared" si="69"/>
        <v>#REF!</v>
      </c>
      <c r="EN106" s="133" t="str">
        <f t="shared" si="70"/>
        <v>#REF!</v>
      </c>
      <c r="EO106" s="133" t="str">
        <f t="shared" si="71"/>
        <v>#REF!</v>
      </c>
      <c r="EP106" s="133" t="str">
        <f t="shared" si="135"/>
        <v>#REF!</v>
      </c>
      <c r="EQ106" s="134" t="str">
        <f t="shared" si="72"/>
        <v>#REF!</v>
      </c>
      <c r="ER106" s="134" t="str">
        <f t="shared" si="73"/>
        <v>#REF!</v>
      </c>
      <c r="ES106" s="135" t="str">
        <f>IF(ISNA(VLOOKUP(A106,'Données projet (1)'!$A$191:$I$211,5,0)),0%,VLOOKUP(A106,'Données projet (1)'!$A$191:$I$211,5,0)*VLOOKUP('Données projet (1)'!$B$15,'Paramètres (1)'!$A$1:$I$88,7,0))</f>
        <v>#REF!</v>
      </c>
      <c r="ET106" s="135" t="str">
        <f>IF(ISNA(VLOOKUP(A106,'Données projet (1)'!$A$191:$I$211,6,0)),0%,VLOOKUP(A106,'Données projet (1)'!$A$191:$I$211,6,0)*VLOOKUP('Données projet (1)'!$B$15,'Paramètres (1)'!$A$1:$I$88,7,0))</f>
        <v>#REF!</v>
      </c>
      <c r="EU106" s="135" t="str">
        <f t="shared" si="74"/>
        <v>#REF!</v>
      </c>
      <c r="EV106" s="142" t="str">
        <f>EXP(-LN(2)/35)*EV105+(1-EXP(-LN(2)/35))/(LN(2)/35)*ER106*ES106*VLOOKUP('Données projet (1)'!$B$15,'Paramètres (1)'!$A$1:$I$88,3,0)*0.475*44/12</f>
        <v>#REF!</v>
      </c>
      <c r="EW106" s="142" t="str">
        <f>EXP(-LN(2)/25)*EW105+(1-EXP(-LN(2)/25))/(LN(2)/25)*'Calculateur (1)'!ER106*'Calculateur (1)'!ET106*VLOOKUP('Données projet (1)'!$B$15,'Paramètres (1)'!$A$1:$I$88,3,0)*0.475*44/12</f>
        <v>#REF!</v>
      </c>
      <c r="EX106" s="142" t="str">
        <f>EXP(-LN(2)/2)*EX105+(1-EXP(-LN(2)/2))/(LN(2)/2)*ER106*EU106*VLOOKUP('Données projet (1)'!$B$15,'Paramètres (1)'!$A$1:$I$88,3,0)*0.475*44/12</f>
        <v>#REF!</v>
      </c>
      <c r="EY106" s="143" t="str">
        <f t="shared" si="75"/>
        <v>#REF!</v>
      </c>
      <c r="EZ106" s="139" t="str">
        <f t="shared" si="76"/>
        <v>#REF!</v>
      </c>
      <c r="FA106" s="131">
        <f t="shared" si="77"/>
        <v>10</v>
      </c>
      <c r="FB106" s="131" t="str">
        <f t="shared" si="136"/>
        <v>#REF!</v>
      </c>
      <c r="FC106" s="131" t="str">
        <f t="shared" si="78"/>
        <v>#REF!</v>
      </c>
      <c r="FD106" s="131" t="str">
        <f t="array" ref="FD106">INDEX(FC:FC,MIN(IF(ISNUMBER(FC106:FC302),ROW(FC106:FC302),"")))</f>
        <v/>
      </c>
      <c r="FE106" s="131" t="str">
        <f t="shared" si="137"/>
        <v>#REF!</v>
      </c>
      <c r="FF106" s="138" t="str">
        <f>FE106*VLOOKUP('Données projet (1)'!$B$16,'Paramètres (1)'!$A$1:$I$88,3,0)*VLOOKUP('Données projet (1)'!$B$16,'Paramètres (1)'!$A$1:$I$88,5,0)</f>
        <v>#REF!</v>
      </c>
      <c r="FG106" s="130" t="str">
        <f t="shared" si="138"/>
        <v>#REF!</v>
      </c>
      <c r="FH106" s="141" t="str">
        <f t="shared" si="79"/>
        <v>#REF!</v>
      </c>
      <c r="FI106" s="133" t="str">
        <f t="shared" si="80"/>
        <v>#REF!</v>
      </c>
      <c r="FJ106" s="133" t="str">
        <f t="shared" si="81"/>
        <v>#REF!</v>
      </c>
      <c r="FK106" s="133" t="str">
        <f t="shared" si="139"/>
        <v>#REF!</v>
      </c>
      <c r="FL106" s="134" t="str">
        <f t="shared" si="82"/>
        <v>#REF!</v>
      </c>
      <c r="FM106" s="134" t="str">
        <f t="shared" si="83"/>
        <v>#REF!</v>
      </c>
      <c r="FN106" s="135" t="str">
        <f>IF(ISNA(VLOOKUP(A106,'Données projet (1)'!$A$217:$I$237,5,0)),0%,VLOOKUP(A106,'Données projet (1)'!$A$217:$I$237,5,0)*VLOOKUP('Données projet (1)'!$B$16,'Paramètres (1)'!$A$1:$I$88,7,0))</f>
        <v>#REF!</v>
      </c>
      <c r="FO106" s="135" t="str">
        <f>IF(ISNA(VLOOKUP(A106,'Données projet (1)'!$A$217:$I$237,6,0)),0%,VLOOKUP(A106,'Données projet (1)'!$A$217:$I$237,6,0)*VLOOKUP('Données projet (1)'!$B$16,'Paramètres (1)'!$A$1:$I$88,7,0))</f>
        <v>#REF!</v>
      </c>
      <c r="FP106" s="135" t="str">
        <f t="shared" si="84"/>
        <v>#REF!</v>
      </c>
      <c r="FQ106" s="142" t="str">
        <f>EXP(-LN(2)/35)*FQ105+(1-EXP(-LN(2)/35))/(LN(2)/35)*FM106*FN106*VLOOKUP('Données projet (1)'!$B$16,'Paramètres (1)'!$A$1:$I$88,3,0)*0.475*44/12</f>
        <v>#REF!</v>
      </c>
      <c r="FR106" s="142" t="str">
        <f>EXP(-LN(2)/25)*FR105+(1-EXP(-LN(2)/25))/(LN(2)/25)*'Calculateur (1)'!FM106*'Calculateur (1)'!FO106*VLOOKUP('Données projet (1)'!$B$16,'Paramètres (1)'!$A$1:$I$88,3,0)*0.475*44/12</f>
        <v>#REF!</v>
      </c>
      <c r="FS106" s="142" t="str">
        <f>EXP(-LN(2)/2)*FS105+(1-EXP(-LN(2)/2))/(LN(2)/2)*FM106*FP106*VLOOKUP('Données projet (1)'!$B$16,'Paramètres (1)'!$A$1:$I$88,3,0)*0.475*44/12</f>
        <v>#REF!</v>
      </c>
      <c r="FT106" s="143" t="str">
        <f t="shared" si="85"/>
        <v>#REF!</v>
      </c>
      <c r="FU106" s="139" t="str">
        <f t="shared" si="86"/>
        <v>#REF!</v>
      </c>
      <c r="FV106" s="131">
        <f t="shared" si="87"/>
        <v>10</v>
      </c>
      <c r="FW106" s="131" t="str">
        <f t="shared" si="140"/>
        <v>#REF!</v>
      </c>
      <c r="FX106" s="131" t="str">
        <f t="shared" si="88"/>
        <v>#REF!</v>
      </c>
      <c r="FY106" s="131" t="str">
        <f t="array" ref="FY106">INDEX(FX:FX,MIN(IF(ISNUMBER(FX106:FX302),ROW(FX106:FX302),"")))</f>
        <v/>
      </c>
      <c r="FZ106" s="131" t="str">
        <f t="shared" si="141"/>
        <v>#REF!</v>
      </c>
      <c r="GA106" s="138" t="str">
        <f>FZ106*VLOOKUP('Données projet (1)'!$B$17,'Paramètres (1)'!$A$1:$I$88,3,0)*VLOOKUP('Données projet (1)'!$B$17,'Paramètres (1)'!$A$1:$I$88,5,0)</f>
        <v>#REF!</v>
      </c>
      <c r="GB106" s="130" t="str">
        <f t="shared" si="142"/>
        <v>#REF!</v>
      </c>
      <c r="GC106" s="141" t="str">
        <f t="shared" si="89"/>
        <v>#REF!</v>
      </c>
      <c r="GD106" s="133" t="str">
        <f t="shared" si="90"/>
        <v>#REF!</v>
      </c>
      <c r="GE106" s="133" t="str">
        <f t="shared" si="91"/>
        <v>#REF!</v>
      </c>
      <c r="GF106" s="133" t="str">
        <f t="shared" si="143"/>
        <v>#REF!</v>
      </c>
      <c r="GG106" s="134" t="str">
        <f t="shared" si="92"/>
        <v>#REF!</v>
      </c>
      <c r="GH106" s="134" t="str">
        <f t="shared" si="93"/>
        <v>#REF!</v>
      </c>
      <c r="GI106" s="135" t="str">
        <f>IF(ISNA(VLOOKUP(A106,'Données projet (1)'!$A$243:$I$263,5,0)),0%,VLOOKUP(A106,'Données projet (1)'!$A$243:$I$263,5,0)*VLOOKUP('Données projet (1)'!$B$17,'Paramètres (1)'!$A$1:$I$88,7,0))</f>
        <v>#REF!</v>
      </c>
      <c r="GJ106" s="135" t="str">
        <f>IF(ISNA(VLOOKUP(A106,'Données projet (1)'!$A$243:$I$263,6,0)),0%,VLOOKUP(A106,'Données projet (1)'!$A$243:$I$263,6,0)*VLOOKUP('Données projet (1)'!$B$17,'Paramètres (1)'!$A$1:$I$88,7,0))</f>
        <v>#REF!</v>
      </c>
      <c r="GK106" s="135" t="str">
        <f t="shared" si="94"/>
        <v>#REF!</v>
      </c>
      <c r="GL106" s="142" t="str">
        <f>EXP(-LN(2)/35)*GL105+(1-EXP(-LN(2)/35))/(LN(2)/35)*GH106*GI106*VLOOKUP('Données projet (1)'!$B$17,'Paramètres (1)'!$A$1:$I$88,3,0)*0.475*44/12</f>
        <v>#REF!</v>
      </c>
      <c r="GM106" s="142" t="str">
        <f>EXP(-LN(2)/25)*GM105+(1-EXP(-LN(2)/25))/(LN(2)/25)*'Calculateur (1)'!GH106*'Calculateur (1)'!GJ106*VLOOKUP('Données projet (1)'!$B$17,'Paramètres (1)'!$A$1:$I$88,3,0)*0.475*44/12</f>
        <v>#REF!</v>
      </c>
      <c r="GN106" s="142" t="str">
        <f>EXP(-LN(2)/2)*GN105+(1-EXP(-LN(2)/2))/(LN(2)/2)*GH106*GK106*VLOOKUP('Données projet (1)'!$B$17,'Paramètres (1)'!$A$1:$I$88,3,0)*0.475*44/12</f>
        <v>#REF!</v>
      </c>
      <c r="GO106" s="142" t="str">
        <f t="shared" si="95"/>
        <v>#REF!</v>
      </c>
      <c r="GP106" s="139" t="str">
        <f t="shared" si="96"/>
        <v>#REF!</v>
      </c>
      <c r="GQ106" s="131">
        <f t="shared" si="97"/>
        <v>10</v>
      </c>
      <c r="GR106" s="131" t="str">
        <f t="shared" si="144"/>
        <v>#REF!</v>
      </c>
      <c r="GS106" s="131" t="str">
        <f t="shared" si="98"/>
        <v>#REF!</v>
      </c>
      <c r="GT106" s="131" t="str">
        <f t="array" ref="GT106">INDEX(GS:GS,MIN(IF(ISNUMBER(GS106:GS302),ROW(GS106:GS302),"")))</f>
        <v/>
      </c>
      <c r="GU106" s="131" t="str">
        <f t="shared" si="145"/>
        <v>#REF!</v>
      </c>
      <c r="GV106" s="138" t="str">
        <f>GU106*VLOOKUP('Données projet (1)'!$B$18,'Paramètres (1)'!$A$1:$I$88,3,0)*VLOOKUP('Données projet (1)'!$B$18,'Paramètres (1)'!$A$1:$I$88,5,0)</f>
        <v>#REF!</v>
      </c>
      <c r="GW106" s="130" t="str">
        <f t="shared" si="146"/>
        <v>#REF!</v>
      </c>
      <c r="GX106" s="141" t="str">
        <f t="shared" si="99"/>
        <v>#REF!</v>
      </c>
      <c r="GY106" s="133" t="str">
        <f t="shared" si="100"/>
        <v>#REF!</v>
      </c>
      <c r="GZ106" s="133" t="str">
        <f t="shared" si="101"/>
        <v>#REF!</v>
      </c>
      <c r="HA106" s="133" t="str">
        <f t="shared" si="147"/>
        <v>#REF!</v>
      </c>
      <c r="HB106" s="134" t="str">
        <f t="shared" si="102"/>
        <v>#REF!</v>
      </c>
      <c r="HC106" s="134" t="str">
        <f t="shared" si="103"/>
        <v>#REF!</v>
      </c>
      <c r="HD106" s="135" t="str">
        <f>IF(ISNA(VLOOKUP(A106,'Données projet (1)'!$A$269:$I$289,5,0)),0%,VLOOKUP(A106,'Données projet (1)'!$A$269:$I$289,5,0)*VLOOKUP('Données projet (1)'!$B$18,'Paramètres (1)'!$A$1:$I$88,7,0))</f>
        <v>#REF!</v>
      </c>
      <c r="HE106" s="135" t="str">
        <f>IF(ISNA(VLOOKUP(A106,'Données projet (1)'!$A$269:$I$289,6,0)),0%,VLOOKUP(A106,'Données projet (1)'!$A$269:$I$289,6,0)*VLOOKUP('Données projet (1)'!$B$18,'Paramètres (1)'!$A$1:$I$88,7,0))</f>
        <v>#REF!</v>
      </c>
      <c r="HF106" s="135" t="str">
        <f t="shared" si="104"/>
        <v>#REF!</v>
      </c>
      <c r="HG106" s="142" t="str">
        <f>EXP(-LN(2)/35)*HG105+(1-EXP(-LN(2)/35))/(LN(2)/35)*HC106*HD106*VLOOKUP('Données projet (1)'!$B$18,'Paramètres (1)'!$A$1:$I$88,3,0)*0.475*44/12</f>
        <v>#REF!</v>
      </c>
      <c r="HH106" s="142" t="str">
        <f>EXP(-LN(2)/25)*HH105+(1-EXP(-LN(2)/25))/(LN(2)/25)*'Calculateur (1)'!HC106*'Calculateur (1)'!HE106*VLOOKUP('Données projet (1)'!$B$18,'Paramètres (1)'!$A$1:$I$88,3,0)*0.475*44/12</f>
        <v>#REF!</v>
      </c>
      <c r="HI106" s="142" t="str">
        <f>EXP(-LN(2)/2)*HI105+(1-EXP(-LN(2)/2))/(LN(2)/2)*HC106*HF106*VLOOKUP('Données projet (1)'!$B$18,'Paramètres (1)'!$A$1:$I$88,3,0)*0.475*44/12</f>
        <v>#REF!</v>
      </c>
      <c r="HJ106" s="143" t="str">
        <f t="shared" si="105"/>
        <v>#REF!</v>
      </c>
    </row>
    <row r="107" ht="14.25" customHeight="1">
      <c r="A107" s="125">
        <f t="shared" si="106"/>
        <v>104</v>
      </c>
      <c r="B107" s="126" t="str">
        <f t="shared" si="1"/>
        <v>#REF!</v>
      </c>
      <c r="C107" s="140" t="str">
        <f>'Calculateur (1)'!C106+'Scénario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7" s="127">
        <f t="shared" si="107"/>
        <v>0</v>
      </c>
      <c r="E107" s="127" t="str">
        <f t="shared" si="2"/>
        <v>#REF!</v>
      </c>
      <c r="F107" s="127" t="str">
        <f t="shared" si="3"/>
        <v>#REF!</v>
      </c>
      <c r="G107" s="127" t="str">
        <f t="shared" si="4"/>
        <v>#REF!</v>
      </c>
      <c r="H107" s="128" t="str">
        <f t="shared" si="5"/>
        <v>#REF!</v>
      </c>
      <c r="I107" s="129" t="str">
        <f t="shared" si="6"/>
        <v>#REF!</v>
      </c>
      <c r="J107" s="130">
        <f t="shared" si="7"/>
        <v>10</v>
      </c>
      <c r="K107" s="131" t="str">
        <f t="shared" si="108"/>
        <v>#REF!</v>
      </c>
      <c r="L107" s="131" t="str">
        <f t="shared" si="8"/>
        <v>#REF!</v>
      </c>
      <c r="M107" s="131" t="str">
        <f t="array" ref="M107">INDEX(L:L,MIN(IF(ISNUMBER(L107:L303),ROW(L107:L303),"")))</f>
        <v/>
      </c>
      <c r="N107" s="130" t="str">
        <f t="shared" si="109"/>
        <v>#REF!</v>
      </c>
      <c r="O107" s="130" t="str">
        <f>N107*VLOOKUP('Données projet (1)'!$B$9,'Paramètres (1)'!$A$1:$I$88,3,0)*VLOOKUP('Données projet (1)'!$B$9,'Paramètres (1)'!$A$1:$I$88,5,0)</f>
        <v>#REF!</v>
      </c>
      <c r="P107" s="130" t="str">
        <f t="shared" si="110"/>
        <v>#REF!</v>
      </c>
      <c r="Q107" s="141" t="str">
        <f t="shared" si="9"/>
        <v>#REF!</v>
      </c>
      <c r="R107" s="133" t="str">
        <f t="shared" si="10"/>
        <v>#REF!</v>
      </c>
      <c r="S107" s="133" t="str">
        <f t="shared" si="11"/>
        <v>#REF!</v>
      </c>
      <c r="T107" s="133" t="str">
        <f t="shared" si="111"/>
        <v>#REF!</v>
      </c>
      <c r="U107" s="134" t="str">
        <f t="shared" si="12"/>
        <v>#REF!</v>
      </c>
      <c r="V107" s="134" t="str">
        <f t="shared" si="13"/>
        <v>#REF!</v>
      </c>
      <c r="W107" s="135" t="str">
        <f>IF(ISNA(VLOOKUP(A107,'Données projet (1)'!$A$35:$I$55,5,0)),0%,VLOOKUP(A107,'Données projet (1)'!$A$35:$I$55,5,0)*VLOOKUP('Données projet (1)'!$B$9,'Paramètres (1)'!$A$1:$I$88,7,0))</f>
        <v>#REF!</v>
      </c>
      <c r="X107" s="135" t="str">
        <f>IF(ISNA(VLOOKUP(A107,'Données projet (1)'!$A$35:$I$55,6,0)),0%,VLOOKUP(A107,'Données projet (1)'!$A$35:$I$55,6,0)*VLOOKUP('Données projet (1)'!$B$9,'Paramètres (1)'!$A$1:$I$88,7,0))</f>
        <v>#REF!</v>
      </c>
      <c r="Y107" s="135" t="str">
        <f t="shared" si="14"/>
        <v>#REF!</v>
      </c>
      <c r="Z107" s="142" t="str">
        <f>EXP(-LN(2)/35)*Z106+(1-EXP(-LN(2)/35))/(LN(2)/35)*V107*W107*VLOOKUP('Données projet (1)'!$B$9,'Paramètres (1)'!$A$1:$I$88,3,0)*0.475*44/12</f>
        <v>#REF!</v>
      </c>
      <c r="AA107" s="142" t="str">
        <f>EXP(-LN(2)/25)*AA106+(1-EXP(-LN(2)/25))/(LN(2)/25)*'Calculateur (1)'!V107*'Calculateur (1)'!X107*VLOOKUP('Données projet (1)'!$B$9,'Paramètres (1)'!$A$1:$I$88,3,0)*0.475*44/12</f>
        <v>#REF!</v>
      </c>
      <c r="AB107" s="142" t="str">
        <f>EXP(-LN(2)/2)*AB106+(1-EXP(-LN(2)/2))/(LN(2)/2)*V107*Y107*VLOOKUP('Données projet (1)'!$B$9,'Paramètres (1)'!$A$1:$I$88,3,0)*0.475*44/12</f>
        <v>#REF!</v>
      </c>
      <c r="AC107" s="143" t="str">
        <f t="shared" si="15"/>
        <v>#REF!</v>
      </c>
      <c r="AD107" s="130" t="str">
        <f t="shared" si="16"/>
        <v>#REF!</v>
      </c>
      <c r="AE107" s="130">
        <f t="shared" si="17"/>
        <v>10</v>
      </c>
      <c r="AF107" s="131" t="str">
        <f t="shared" si="112"/>
        <v>#REF!</v>
      </c>
      <c r="AG107" s="131" t="str">
        <f t="shared" si="18"/>
        <v>#REF!</v>
      </c>
      <c r="AH107" s="131" t="str">
        <f t="array" ref="AH107">INDEX(AG:AG,MIN(IF(ISNUMBER(AG107:AG303),ROW(AG107:AG303),"")))</f>
        <v/>
      </c>
      <c r="AI107" s="130" t="str">
        <f t="shared" si="113"/>
        <v>#REF!</v>
      </c>
      <c r="AJ107" s="130" t="str">
        <f>AI107*VLOOKUP('Données projet (1)'!$B$10,'Paramètres (1)'!$A$1:$I$88,3,0)*VLOOKUP('Données projet (1)'!$B$10,'Paramètres (1)'!$A$1:$I$88,5,0)</f>
        <v>#REF!</v>
      </c>
      <c r="AK107" s="130" t="str">
        <f t="shared" si="114"/>
        <v>#REF!</v>
      </c>
      <c r="AL107" s="141" t="str">
        <f t="shared" si="19"/>
        <v>#REF!</v>
      </c>
      <c r="AM107" s="133" t="str">
        <f t="shared" si="20"/>
        <v>#REF!</v>
      </c>
      <c r="AN107" s="133" t="str">
        <f t="shared" si="21"/>
        <v>#REF!</v>
      </c>
      <c r="AO107" s="133" t="str">
        <f t="shared" si="115"/>
        <v>#REF!</v>
      </c>
      <c r="AP107" s="134" t="str">
        <f t="shared" si="22"/>
        <v>#REF!</v>
      </c>
      <c r="AQ107" s="134" t="str">
        <f t="shared" si="23"/>
        <v>#REF!</v>
      </c>
      <c r="AR107" s="135" t="str">
        <f>IF(ISNA(VLOOKUP(A107,'Données projet (1)'!$A$61:$I$81,5,0)),0%,VLOOKUP(A107,'Données projet (1)'!$A$61:$I$81,5,0)*VLOOKUP('Données projet (1)'!$B$10,'Paramètres (1)'!$A$1:$I$88,7,0))</f>
        <v>#REF!</v>
      </c>
      <c r="AS107" s="135" t="str">
        <f>IF(ISNA(VLOOKUP(A107,'Données projet (1)'!$A$61:$I$81,6,0)),0%,VLOOKUP(A107,'Données projet (1)'!$A$61:$I$81,6,0)*VLOOKUP('Données projet (1)'!$B$10,'Paramètres (1)'!$A$1:$I$88,7,0))</f>
        <v>#REF!</v>
      </c>
      <c r="AT107" s="135" t="str">
        <f t="shared" si="24"/>
        <v>#REF!</v>
      </c>
      <c r="AU107" s="142" t="str">
        <f>EXP(-LN(2)/35)*AU106+(1-EXP(-LN(2)/35))/(LN(2)/35)*AQ107*AR107*VLOOKUP('Données projet (1)'!$B$10,'Paramètres (1)'!$A$1:$I$88,3,0)*0.475*44/12</f>
        <v>#REF!</v>
      </c>
      <c r="AV107" s="142" t="str">
        <f>EXP(-LN(2)/25)*AV106+(1-EXP(-LN(2)/25))/(LN(2)/25)*'Calculateur (1)'!AQ107*'Calculateur (1)'!AS107*VLOOKUP('Données projet (1)'!$B$10,'Paramètres (1)'!$A$1:$I$88,3,0)*0.475*44/12</f>
        <v>#REF!</v>
      </c>
      <c r="AW107" s="142" t="str">
        <f>EXP(-LN(2)/2)*AW106+(1-EXP(-LN(2)/2))/(LN(2)/2)*AQ107*AT107*VLOOKUP('Données projet (1)'!$B$10,'Paramètres (1)'!$A$1:$I$88,3,0)*0.475*44/12</f>
        <v>#REF!</v>
      </c>
      <c r="AX107" s="142" t="str">
        <f t="shared" si="25"/>
        <v>#REF!</v>
      </c>
      <c r="AY107" s="137" t="str">
        <f t="shared" si="26"/>
        <v>#REF!</v>
      </c>
      <c r="AZ107" s="131">
        <f t="shared" si="27"/>
        <v>10</v>
      </c>
      <c r="BA107" s="131" t="str">
        <f t="shared" si="116"/>
        <v>#REF!</v>
      </c>
      <c r="BB107" s="131" t="str">
        <f t="shared" si="28"/>
        <v>#REF!</v>
      </c>
      <c r="BC107" s="131" t="str">
        <f t="array" ref="BC107">INDEX(BB:BB,MIN(IF(ISNUMBER(BB107:BB303),ROW(BB107:BB303),"")))</f>
        <v/>
      </c>
      <c r="BD107" s="131" t="str">
        <f t="shared" si="117"/>
        <v>#REF!</v>
      </c>
      <c r="BE107" s="130" t="str">
        <f>BD107*VLOOKUP('Données projet (1)'!$B$11,'Paramètres (1)'!$A$1:$I$88,3,0)*VLOOKUP('Données projet (1)'!$B$11,'Paramètres (1)'!$A$1:$I$88,5,0)</f>
        <v>#REF!</v>
      </c>
      <c r="BF107" s="130" t="str">
        <f t="shared" si="118"/>
        <v>#REF!</v>
      </c>
      <c r="BG107" s="141" t="str">
        <f t="shared" si="29"/>
        <v>#REF!</v>
      </c>
      <c r="BH107" s="133" t="str">
        <f t="shared" si="30"/>
        <v>#REF!</v>
      </c>
      <c r="BI107" s="133" t="str">
        <f t="shared" si="31"/>
        <v>#REF!</v>
      </c>
      <c r="BJ107" s="133" t="str">
        <f t="shared" si="119"/>
        <v>#REF!</v>
      </c>
      <c r="BK107" s="134" t="str">
        <f t="shared" si="32"/>
        <v>#REF!</v>
      </c>
      <c r="BL107" s="134" t="str">
        <f t="shared" si="33"/>
        <v>#REF!</v>
      </c>
      <c r="BM107" s="135" t="str">
        <f>IF(ISNA(VLOOKUP(A107,'Données projet (1)'!$A$87:$I$107,5,0)),0%,VLOOKUP(A107,'Données projet (1)'!$A$87:$I$107,5,0)*VLOOKUP('Données projet (1)'!$B$11,'Paramètres (1)'!$A$1:$I$88,7,0))</f>
        <v>#REF!</v>
      </c>
      <c r="BN107" s="135" t="str">
        <f>IF(ISNA(VLOOKUP(A107,'Données projet (1)'!$A$87:$I$107,6,0)),0%,VLOOKUP(A107,'Données projet (1)'!$A$87:$I$107,6,0)*VLOOKUP('Données projet (1)'!$B$11,'Paramètres (1)'!$A$1:$I$88,7,0))</f>
        <v>#REF!</v>
      </c>
      <c r="BO107" s="135" t="str">
        <f t="shared" si="34"/>
        <v>#REF!</v>
      </c>
      <c r="BP107" s="142" t="str">
        <f>EXP(-LN(2)/35)*BP106+(1-EXP(-LN(2)/35))/(LN(2)/35)*BL107*BM107*VLOOKUP('Données projet (1)'!$B$11,'Paramètres (1)'!$A$1:$I$88,3,0)*0.475*44/12</f>
        <v>#REF!</v>
      </c>
      <c r="BQ107" s="142" t="str">
        <f>EXP(-LN(2)/25)*BQ106+(1-EXP(-LN(2)/25))/(LN(2)/25)*'Calculateur (1)'!BL107*'Calculateur (1)'!BN107*VLOOKUP('Données projet (1)'!$B$11,'Paramètres (1)'!$A$1:$I$88,3,0)*0.475*44/12</f>
        <v>#REF!</v>
      </c>
      <c r="BR107" s="142" t="str">
        <f>EXP(-LN(2)/2)*BR106+(1-EXP(-LN(2)/2))/(LN(2)/2)*BL107*BO107*VLOOKUP('Données projet (1)'!$B$11,'Paramètres (1)'!$A$1:$I$88,3,0)*0.475*44/12</f>
        <v>#REF!</v>
      </c>
      <c r="BS107" s="143" t="str">
        <f t="shared" si="35"/>
        <v>#REF!</v>
      </c>
      <c r="BT107" s="139" t="str">
        <f t="shared" si="36"/>
        <v>#REF!</v>
      </c>
      <c r="BU107" s="131">
        <f t="shared" si="37"/>
        <v>10</v>
      </c>
      <c r="BV107" s="131" t="str">
        <f t="shared" si="120"/>
        <v>#REF!</v>
      </c>
      <c r="BW107" s="131" t="str">
        <f t="shared" si="38"/>
        <v>#REF!</v>
      </c>
      <c r="BX107" s="131" t="str">
        <f t="array" ref="BX107">INDEX(BW:BW,MIN(IF(ISNUMBER(BW107:BW303),ROW(BW107:BW303),"")))</f>
        <v/>
      </c>
      <c r="BY107" s="131" t="str">
        <f t="shared" si="121"/>
        <v>#REF!</v>
      </c>
      <c r="BZ107" s="130" t="str">
        <f>BY107*VLOOKUP('Données projet (1)'!$B$12,'Paramètres (1)'!$A$1:$I$88,3,0)*VLOOKUP('Données projet (1)'!$B$12,'Paramètres (1)'!$A$1:$I$88,5,0)</f>
        <v>#REF!</v>
      </c>
      <c r="CA107" s="130" t="str">
        <f t="shared" si="122"/>
        <v>#REF!</v>
      </c>
      <c r="CB107" s="141" t="str">
        <f t="shared" si="39"/>
        <v>#REF!</v>
      </c>
      <c r="CC107" s="133" t="str">
        <f t="shared" si="40"/>
        <v>#REF!</v>
      </c>
      <c r="CD107" s="133" t="str">
        <f t="shared" si="41"/>
        <v>#REF!</v>
      </c>
      <c r="CE107" s="133" t="str">
        <f t="shared" si="123"/>
        <v>#REF!</v>
      </c>
      <c r="CF107" s="134" t="str">
        <f t="shared" si="42"/>
        <v>#REF!</v>
      </c>
      <c r="CG107" s="134" t="str">
        <f t="shared" si="43"/>
        <v>#REF!</v>
      </c>
      <c r="CH107" s="135" t="str">
        <f>IF(ISNA(VLOOKUP(A107,'Données projet (1)'!$A$113:$I$133,5,0)),0%,VLOOKUP(A107,'Données projet (1)'!$A$113:$I$133,5,0)*VLOOKUP('Données projet (1)'!$B$12,'Paramètres (1)'!$A$1:$I$88,7,0))</f>
        <v>#REF!</v>
      </c>
      <c r="CI107" s="135" t="str">
        <f>IF(ISNA(VLOOKUP(A107,'Données projet (1)'!$A$113:$I$133,6,0)),0%,VLOOKUP(A107,'Données projet (1)'!$A$113:$I$133,6,0)*VLOOKUP('Données projet (1)'!$B$12,'Paramètres (1)'!$A$1:$I$88,7,0))</f>
        <v>#REF!</v>
      </c>
      <c r="CJ107" s="135" t="str">
        <f t="shared" si="44"/>
        <v>#REF!</v>
      </c>
      <c r="CK107" s="142" t="str">
        <f>EXP(-LN(2)/35)*CK106+(1-EXP(-LN(2)/35))/(LN(2)/35)*CG107*CH107*VLOOKUP('Données projet (1)'!$B$12,'Paramètres (1)'!$A$1:$I$88,3,0)*0.475*44/12</f>
        <v>#REF!</v>
      </c>
      <c r="CL107" s="142" t="str">
        <f>EXP(-LN(2)/25)*CL106+(1-EXP(-LN(2)/25))/(LN(2)/25)*'Calculateur (1)'!CG107*'Calculateur (1)'!CI107*VLOOKUP('Données projet (1)'!$B$12,'Paramètres (1)'!$A$1:$I$88,3,0)*0.475*44/12</f>
        <v>#REF!</v>
      </c>
      <c r="CM107" s="142" t="str">
        <f>EXP(-LN(2)/2)*CM106+(1-EXP(-LN(2)/2))/(LN(2)/2)*CG107*CJ107*VLOOKUP('Données projet (1)'!$B$12,'Paramètres (1)'!$A$1:$I$88,3,0)*0.475*44/12</f>
        <v>#REF!</v>
      </c>
      <c r="CN107" s="143" t="str">
        <f t="shared" si="45"/>
        <v>#REF!</v>
      </c>
      <c r="CO107" s="139" t="str">
        <f t="shared" si="46"/>
        <v>#REF!</v>
      </c>
      <c r="CP107" s="131">
        <f t="shared" si="47"/>
        <v>10</v>
      </c>
      <c r="CQ107" s="131" t="str">
        <f t="shared" si="124"/>
        <v>#REF!</v>
      </c>
      <c r="CR107" s="131" t="str">
        <f t="shared" si="48"/>
        <v>#REF!</v>
      </c>
      <c r="CS107" s="131" t="str">
        <f t="array" ref="CS107">INDEX(CR:CR,MIN(IF(ISNUMBER(CR107:CR303),ROW(CR107:CR303),"")))</f>
        <v/>
      </c>
      <c r="CT107" s="131" t="str">
        <f t="shared" si="125"/>
        <v>#REF!</v>
      </c>
      <c r="CU107" s="138" t="str">
        <f>CT107*VLOOKUP('Données projet (1)'!$B$13,'Paramètres (1)'!$A$1:$I$88,3,0)*VLOOKUP('Données projet (1)'!$B$13,'Paramètres (1)'!$A$1:$I$88,5,0)</f>
        <v>#REF!</v>
      </c>
      <c r="CV107" s="130" t="str">
        <f t="shared" si="126"/>
        <v>#REF!</v>
      </c>
      <c r="CW107" s="141" t="str">
        <f t="shared" si="49"/>
        <v>#REF!</v>
      </c>
      <c r="CX107" s="133" t="str">
        <f t="shared" si="50"/>
        <v>#REF!</v>
      </c>
      <c r="CY107" s="133" t="str">
        <f t="shared" si="51"/>
        <v>#REF!</v>
      </c>
      <c r="CZ107" s="133" t="str">
        <f t="shared" si="127"/>
        <v>#REF!</v>
      </c>
      <c r="DA107" s="134" t="str">
        <f t="shared" si="52"/>
        <v>#REF!</v>
      </c>
      <c r="DB107" s="134" t="str">
        <f t="shared" si="53"/>
        <v>#REF!</v>
      </c>
      <c r="DC107" s="135" t="str">
        <f>IF(ISNA(VLOOKUP(A107,'Données projet (1)'!$A$139:$I$159,5,0)),0%,VLOOKUP(A107,'Données projet (1)'!$A$139:$I$159,5,0)*VLOOKUP('Données projet (1)'!$B$13,'Paramètres (1)'!$A$1:$I$88,7,0))</f>
        <v>#REF!</v>
      </c>
      <c r="DD107" s="135" t="str">
        <f>IF(ISNA(VLOOKUP(A107,'Données projet (1)'!$A$139:$I$159,6,0)),0%,VLOOKUP(A107,'Données projet (1)'!$A$139:$I$159,6,0)*VLOOKUP('Données projet (1)'!$B$13,'Paramètres (1)'!$A$1:$I$88,7,0))</f>
        <v>#REF!</v>
      </c>
      <c r="DE107" s="135" t="str">
        <f t="shared" si="54"/>
        <v>#REF!</v>
      </c>
      <c r="DF107" s="142" t="str">
        <f>EXP(-LN(2)/35)*DF106+(1-EXP(-LN(2)/35))/(LN(2)/35)*DB107*DC107*VLOOKUP('Données projet (1)'!$B$13,'Paramètres (1)'!$A$1:$I$88,3,0)*0.475*44/12</f>
        <v>#REF!</v>
      </c>
      <c r="DG107" s="142" t="str">
        <f>EXP(-LN(2)/25)*DG106+(1-EXP(-LN(2)/25))/(LN(2)/25)*'Calculateur (1)'!DB107*'Calculateur (1)'!DD107*VLOOKUP('Données projet (1)'!$B$13,'Paramètres (1)'!$A$1:$I$88,3,0)*0.475*44/12</f>
        <v>#REF!</v>
      </c>
      <c r="DH107" s="142" t="str">
        <f>EXP(-LN(2)/2)*DH106+(1-EXP(-LN(2)/2))/(LN(2)/2)*DB107*DE107*VLOOKUP('Données projet (1)'!$B$13,'Paramètres (1)'!$A$1:$I$88,3,0)*0.475*44/12</f>
        <v>#REF!</v>
      </c>
      <c r="DI107" s="143" t="str">
        <f t="shared" si="55"/>
        <v>#REF!</v>
      </c>
      <c r="DJ107" s="139" t="str">
        <f t="shared" si="56"/>
        <v>#REF!</v>
      </c>
      <c r="DK107" s="131">
        <f t="shared" si="57"/>
        <v>10</v>
      </c>
      <c r="DL107" s="131" t="str">
        <f t="shared" si="128"/>
        <v>#REF!</v>
      </c>
      <c r="DM107" s="131" t="str">
        <f t="shared" si="58"/>
        <v>#REF!</v>
      </c>
      <c r="DN107" s="131" t="str">
        <f t="array" ref="DN107">INDEX(DM:DM,MIN(IF(ISNUMBER(DM107:DM303),ROW(DM107:DM303),"")))</f>
        <v/>
      </c>
      <c r="DO107" s="131" t="str">
        <f t="shared" si="129"/>
        <v>#REF!</v>
      </c>
      <c r="DP107" s="138" t="str">
        <f>DO107*VLOOKUP('Données projet (1)'!$B$14,'Paramètres (1)'!$A$1:$I$88,3,0)*VLOOKUP('Données projet (1)'!$B$14,'Paramètres (1)'!$A$1:$I$88,5,0)</f>
        <v>#REF!</v>
      </c>
      <c r="DQ107" s="130" t="str">
        <f t="shared" si="130"/>
        <v>#REF!</v>
      </c>
      <c r="DR107" s="141" t="str">
        <f t="shared" si="59"/>
        <v>#REF!</v>
      </c>
      <c r="DS107" s="133" t="str">
        <f t="shared" si="60"/>
        <v>#REF!</v>
      </c>
      <c r="DT107" s="133" t="str">
        <f t="shared" si="61"/>
        <v>#REF!</v>
      </c>
      <c r="DU107" s="133" t="str">
        <f t="shared" si="131"/>
        <v>#REF!</v>
      </c>
      <c r="DV107" s="134" t="str">
        <f t="shared" si="62"/>
        <v>#REF!</v>
      </c>
      <c r="DW107" s="134" t="str">
        <f t="shared" si="63"/>
        <v>#REF!</v>
      </c>
      <c r="DX107" s="135" t="str">
        <f>IF(ISNA(VLOOKUP(A107,'Données projet (1)'!$A$165:$I$185,5,0)),0%,VLOOKUP(A107,'Données projet (1)'!$A$165:$I$185,5,0)*VLOOKUP('Données projet (1)'!$B$14,'Paramètres (1)'!$A$1:$I$88,7,0))</f>
        <v>#REF!</v>
      </c>
      <c r="DY107" s="135" t="str">
        <f>IF(ISNA(VLOOKUP(A107,'Données projet (1)'!$A$165:$I$185,6,0)),0%,VLOOKUP(A107,'Données projet (1)'!$A$165:$I$185,6,0)*VLOOKUP('Données projet (1)'!$B$14,'Paramètres (1)'!$A$1:$I$88,7,0))</f>
        <v>#REF!</v>
      </c>
      <c r="DZ107" s="135" t="str">
        <f t="shared" si="64"/>
        <v>#REF!</v>
      </c>
      <c r="EA107" s="142" t="str">
        <f>EXP(-LN(2)/35)*EA106+(1-EXP(-LN(2)/35))/(LN(2)/35)*DW107*DX107*VLOOKUP('Données projet (1)'!$B$14,'Paramètres (1)'!$A$1:$I$88,3,0)*0.475*44/12</f>
        <v>#REF!</v>
      </c>
      <c r="EB107" s="142" t="str">
        <f>EXP(-LN(2)/25)*EB106+(1-EXP(-LN(2)/25))/(LN(2)/25)*'Calculateur (1)'!DW107*'Calculateur (1)'!DY107*VLOOKUP('Données projet (1)'!$B$14,'Paramètres (1)'!$A$1:$I$88,3,0)*0.475*44/12</f>
        <v>#REF!</v>
      </c>
      <c r="EC107" s="142" t="str">
        <f>EXP(-LN(2)/2)*EC106+(1-EXP(-LN(2)/2))/(LN(2)/2)*DW107*DZ107*VLOOKUP('Données projet (1)'!$B$14,'Paramètres (1)'!$A$1:$I$88,3,0)*0.475*44/12</f>
        <v>#REF!</v>
      </c>
      <c r="ED107" s="143" t="str">
        <f t="shared" si="65"/>
        <v>#REF!</v>
      </c>
      <c r="EE107" s="139" t="str">
        <f t="shared" si="66"/>
        <v>#REF!</v>
      </c>
      <c r="EF107" s="131">
        <f t="shared" si="67"/>
        <v>10</v>
      </c>
      <c r="EG107" s="131" t="str">
        <f t="shared" si="132"/>
        <v>#REF!</v>
      </c>
      <c r="EH107" s="131" t="str">
        <f t="shared" si="68"/>
        <v>#REF!</v>
      </c>
      <c r="EI107" s="131" t="str">
        <f t="array" ref="EI107">INDEX(EH:EH,MIN(IF(ISNUMBER(EH107:EH303),ROW(EH107:EH303),"")))</f>
        <v/>
      </c>
      <c r="EJ107" s="131" t="str">
        <f t="shared" si="133"/>
        <v>#REF!</v>
      </c>
      <c r="EK107" s="138" t="str">
        <f>EJ107*VLOOKUP('Données projet (1)'!$B$15,'Paramètres (1)'!$A$1:$I$88,3,0)*VLOOKUP('Données projet (1)'!$B$15,'Paramètres (1)'!$A$1:$I$88,5,0)</f>
        <v>#REF!</v>
      </c>
      <c r="EL107" s="130" t="str">
        <f t="shared" si="134"/>
        <v>#REF!</v>
      </c>
      <c r="EM107" s="141" t="str">
        <f t="shared" si="69"/>
        <v>#REF!</v>
      </c>
      <c r="EN107" s="133" t="str">
        <f t="shared" si="70"/>
        <v>#REF!</v>
      </c>
      <c r="EO107" s="133" t="str">
        <f t="shared" si="71"/>
        <v>#REF!</v>
      </c>
      <c r="EP107" s="133" t="str">
        <f t="shared" si="135"/>
        <v>#REF!</v>
      </c>
      <c r="EQ107" s="134" t="str">
        <f t="shared" si="72"/>
        <v>#REF!</v>
      </c>
      <c r="ER107" s="134" t="str">
        <f t="shared" si="73"/>
        <v>#REF!</v>
      </c>
      <c r="ES107" s="135" t="str">
        <f>IF(ISNA(VLOOKUP(A107,'Données projet (1)'!$A$191:$I$211,5,0)),0%,VLOOKUP(A107,'Données projet (1)'!$A$191:$I$211,5,0)*VLOOKUP('Données projet (1)'!$B$15,'Paramètres (1)'!$A$1:$I$88,7,0))</f>
        <v>#REF!</v>
      </c>
      <c r="ET107" s="135" t="str">
        <f>IF(ISNA(VLOOKUP(A107,'Données projet (1)'!$A$191:$I$211,6,0)),0%,VLOOKUP(A107,'Données projet (1)'!$A$191:$I$211,6,0)*VLOOKUP('Données projet (1)'!$B$15,'Paramètres (1)'!$A$1:$I$88,7,0))</f>
        <v>#REF!</v>
      </c>
      <c r="EU107" s="135" t="str">
        <f t="shared" si="74"/>
        <v>#REF!</v>
      </c>
      <c r="EV107" s="142" t="str">
        <f>EXP(-LN(2)/35)*EV106+(1-EXP(-LN(2)/35))/(LN(2)/35)*ER107*ES107*VLOOKUP('Données projet (1)'!$B$15,'Paramètres (1)'!$A$1:$I$88,3,0)*0.475*44/12</f>
        <v>#REF!</v>
      </c>
      <c r="EW107" s="142" t="str">
        <f>EXP(-LN(2)/25)*EW106+(1-EXP(-LN(2)/25))/(LN(2)/25)*'Calculateur (1)'!ER107*'Calculateur (1)'!ET107*VLOOKUP('Données projet (1)'!$B$15,'Paramètres (1)'!$A$1:$I$88,3,0)*0.475*44/12</f>
        <v>#REF!</v>
      </c>
      <c r="EX107" s="142" t="str">
        <f>EXP(-LN(2)/2)*EX106+(1-EXP(-LN(2)/2))/(LN(2)/2)*ER107*EU107*VLOOKUP('Données projet (1)'!$B$15,'Paramètres (1)'!$A$1:$I$88,3,0)*0.475*44/12</f>
        <v>#REF!</v>
      </c>
      <c r="EY107" s="143" t="str">
        <f t="shared" si="75"/>
        <v>#REF!</v>
      </c>
      <c r="EZ107" s="139" t="str">
        <f t="shared" si="76"/>
        <v>#REF!</v>
      </c>
      <c r="FA107" s="131">
        <f t="shared" si="77"/>
        <v>10</v>
      </c>
      <c r="FB107" s="131" t="str">
        <f t="shared" si="136"/>
        <v>#REF!</v>
      </c>
      <c r="FC107" s="131" t="str">
        <f t="shared" si="78"/>
        <v>#REF!</v>
      </c>
      <c r="FD107" s="131" t="str">
        <f t="array" ref="FD107">INDEX(FC:FC,MIN(IF(ISNUMBER(FC107:FC303),ROW(FC107:FC303),"")))</f>
        <v/>
      </c>
      <c r="FE107" s="131" t="str">
        <f t="shared" si="137"/>
        <v>#REF!</v>
      </c>
      <c r="FF107" s="138" t="str">
        <f>FE107*VLOOKUP('Données projet (1)'!$B$16,'Paramètres (1)'!$A$1:$I$88,3,0)*VLOOKUP('Données projet (1)'!$B$16,'Paramètres (1)'!$A$1:$I$88,5,0)</f>
        <v>#REF!</v>
      </c>
      <c r="FG107" s="130" t="str">
        <f t="shared" si="138"/>
        <v>#REF!</v>
      </c>
      <c r="FH107" s="141" t="str">
        <f t="shared" si="79"/>
        <v>#REF!</v>
      </c>
      <c r="FI107" s="133" t="str">
        <f t="shared" si="80"/>
        <v>#REF!</v>
      </c>
      <c r="FJ107" s="133" t="str">
        <f t="shared" si="81"/>
        <v>#REF!</v>
      </c>
      <c r="FK107" s="133" t="str">
        <f t="shared" si="139"/>
        <v>#REF!</v>
      </c>
      <c r="FL107" s="134" t="str">
        <f t="shared" si="82"/>
        <v>#REF!</v>
      </c>
      <c r="FM107" s="134" t="str">
        <f t="shared" si="83"/>
        <v>#REF!</v>
      </c>
      <c r="FN107" s="135" t="str">
        <f>IF(ISNA(VLOOKUP(A107,'Données projet (1)'!$A$217:$I$237,5,0)),0%,VLOOKUP(A107,'Données projet (1)'!$A$217:$I$237,5,0)*VLOOKUP('Données projet (1)'!$B$16,'Paramètres (1)'!$A$1:$I$88,7,0))</f>
        <v>#REF!</v>
      </c>
      <c r="FO107" s="135" t="str">
        <f>IF(ISNA(VLOOKUP(A107,'Données projet (1)'!$A$217:$I$237,6,0)),0%,VLOOKUP(A107,'Données projet (1)'!$A$217:$I$237,6,0)*VLOOKUP('Données projet (1)'!$B$16,'Paramètres (1)'!$A$1:$I$88,7,0))</f>
        <v>#REF!</v>
      </c>
      <c r="FP107" s="135" t="str">
        <f t="shared" si="84"/>
        <v>#REF!</v>
      </c>
      <c r="FQ107" s="142" t="str">
        <f>EXP(-LN(2)/35)*FQ106+(1-EXP(-LN(2)/35))/(LN(2)/35)*FM107*FN107*VLOOKUP('Données projet (1)'!$B$16,'Paramètres (1)'!$A$1:$I$88,3,0)*0.475*44/12</f>
        <v>#REF!</v>
      </c>
      <c r="FR107" s="142" t="str">
        <f>EXP(-LN(2)/25)*FR106+(1-EXP(-LN(2)/25))/(LN(2)/25)*'Calculateur (1)'!FM107*'Calculateur (1)'!FO107*VLOOKUP('Données projet (1)'!$B$16,'Paramètres (1)'!$A$1:$I$88,3,0)*0.475*44/12</f>
        <v>#REF!</v>
      </c>
      <c r="FS107" s="142" t="str">
        <f>EXP(-LN(2)/2)*FS106+(1-EXP(-LN(2)/2))/(LN(2)/2)*FM107*FP107*VLOOKUP('Données projet (1)'!$B$16,'Paramètres (1)'!$A$1:$I$88,3,0)*0.475*44/12</f>
        <v>#REF!</v>
      </c>
      <c r="FT107" s="143" t="str">
        <f t="shared" si="85"/>
        <v>#REF!</v>
      </c>
      <c r="FU107" s="139" t="str">
        <f t="shared" si="86"/>
        <v>#REF!</v>
      </c>
      <c r="FV107" s="131">
        <f t="shared" si="87"/>
        <v>10</v>
      </c>
      <c r="FW107" s="131" t="str">
        <f t="shared" si="140"/>
        <v>#REF!</v>
      </c>
      <c r="FX107" s="131" t="str">
        <f t="shared" si="88"/>
        <v>#REF!</v>
      </c>
      <c r="FY107" s="131" t="str">
        <f t="array" ref="FY107">INDEX(FX:FX,MIN(IF(ISNUMBER(FX107:FX303),ROW(FX107:FX303),"")))</f>
        <v/>
      </c>
      <c r="FZ107" s="131" t="str">
        <f t="shared" si="141"/>
        <v>#REF!</v>
      </c>
      <c r="GA107" s="138" t="str">
        <f>FZ107*VLOOKUP('Données projet (1)'!$B$17,'Paramètres (1)'!$A$1:$I$88,3,0)*VLOOKUP('Données projet (1)'!$B$17,'Paramètres (1)'!$A$1:$I$88,5,0)</f>
        <v>#REF!</v>
      </c>
      <c r="GB107" s="130" t="str">
        <f t="shared" si="142"/>
        <v>#REF!</v>
      </c>
      <c r="GC107" s="141" t="str">
        <f t="shared" si="89"/>
        <v>#REF!</v>
      </c>
      <c r="GD107" s="133" t="str">
        <f t="shared" si="90"/>
        <v>#REF!</v>
      </c>
      <c r="GE107" s="133" t="str">
        <f t="shared" si="91"/>
        <v>#REF!</v>
      </c>
      <c r="GF107" s="133" t="str">
        <f t="shared" si="143"/>
        <v>#REF!</v>
      </c>
      <c r="GG107" s="134" t="str">
        <f t="shared" si="92"/>
        <v>#REF!</v>
      </c>
      <c r="GH107" s="134" t="str">
        <f t="shared" si="93"/>
        <v>#REF!</v>
      </c>
      <c r="GI107" s="135" t="str">
        <f>IF(ISNA(VLOOKUP(A107,'Données projet (1)'!$A$243:$I$263,5,0)),0%,VLOOKUP(A107,'Données projet (1)'!$A$243:$I$263,5,0)*VLOOKUP('Données projet (1)'!$B$17,'Paramètres (1)'!$A$1:$I$88,7,0))</f>
        <v>#REF!</v>
      </c>
      <c r="GJ107" s="135" t="str">
        <f>IF(ISNA(VLOOKUP(A107,'Données projet (1)'!$A$243:$I$263,6,0)),0%,VLOOKUP(A107,'Données projet (1)'!$A$243:$I$263,6,0)*VLOOKUP('Données projet (1)'!$B$17,'Paramètres (1)'!$A$1:$I$88,7,0))</f>
        <v>#REF!</v>
      </c>
      <c r="GK107" s="135" t="str">
        <f t="shared" si="94"/>
        <v>#REF!</v>
      </c>
      <c r="GL107" s="142" t="str">
        <f>EXP(-LN(2)/35)*GL106+(1-EXP(-LN(2)/35))/(LN(2)/35)*GH107*GI107*VLOOKUP('Données projet (1)'!$B$17,'Paramètres (1)'!$A$1:$I$88,3,0)*0.475*44/12</f>
        <v>#REF!</v>
      </c>
      <c r="GM107" s="142" t="str">
        <f>EXP(-LN(2)/25)*GM106+(1-EXP(-LN(2)/25))/(LN(2)/25)*'Calculateur (1)'!GH107*'Calculateur (1)'!GJ107*VLOOKUP('Données projet (1)'!$B$17,'Paramètres (1)'!$A$1:$I$88,3,0)*0.475*44/12</f>
        <v>#REF!</v>
      </c>
      <c r="GN107" s="142" t="str">
        <f>EXP(-LN(2)/2)*GN106+(1-EXP(-LN(2)/2))/(LN(2)/2)*GH107*GK107*VLOOKUP('Données projet (1)'!$B$17,'Paramètres (1)'!$A$1:$I$88,3,0)*0.475*44/12</f>
        <v>#REF!</v>
      </c>
      <c r="GO107" s="142" t="str">
        <f t="shared" si="95"/>
        <v>#REF!</v>
      </c>
      <c r="GP107" s="139" t="str">
        <f t="shared" si="96"/>
        <v>#REF!</v>
      </c>
      <c r="GQ107" s="131">
        <f t="shared" si="97"/>
        <v>10</v>
      </c>
      <c r="GR107" s="131" t="str">
        <f t="shared" si="144"/>
        <v>#REF!</v>
      </c>
      <c r="GS107" s="131" t="str">
        <f t="shared" si="98"/>
        <v>#REF!</v>
      </c>
      <c r="GT107" s="131" t="str">
        <f t="array" ref="GT107">INDEX(GS:GS,MIN(IF(ISNUMBER(GS107:GS303),ROW(GS107:GS303),"")))</f>
        <v/>
      </c>
      <c r="GU107" s="131" t="str">
        <f t="shared" si="145"/>
        <v>#REF!</v>
      </c>
      <c r="GV107" s="138" t="str">
        <f>GU107*VLOOKUP('Données projet (1)'!$B$18,'Paramètres (1)'!$A$1:$I$88,3,0)*VLOOKUP('Données projet (1)'!$B$18,'Paramètres (1)'!$A$1:$I$88,5,0)</f>
        <v>#REF!</v>
      </c>
      <c r="GW107" s="130" t="str">
        <f t="shared" si="146"/>
        <v>#REF!</v>
      </c>
      <c r="GX107" s="141" t="str">
        <f t="shared" si="99"/>
        <v>#REF!</v>
      </c>
      <c r="GY107" s="133" t="str">
        <f t="shared" si="100"/>
        <v>#REF!</v>
      </c>
      <c r="GZ107" s="133" t="str">
        <f t="shared" si="101"/>
        <v>#REF!</v>
      </c>
      <c r="HA107" s="133" t="str">
        <f t="shared" si="147"/>
        <v>#REF!</v>
      </c>
      <c r="HB107" s="134" t="str">
        <f t="shared" si="102"/>
        <v>#REF!</v>
      </c>
      <c r="HC107" s="134" t="str">
        <f t="shared" si="103"/>
        <v>#REF!</v>
      </c>
      <c r="HD107" s="135" t="str">
        <f>IF(ISNA(VLOOKUP(A107,'Données projet (1)'!$A$269:$I$289,5,0)),0%,VLOOKUP(A107,'Données projet (1)'!$A$269:$I$289,5,0)*VLOOKUP('Données projet (1)'!$B$18,'Paramètres (1)'!$A$1:$I$88,7,0))</f>
        <v>#REF!</v>
      </c>
      <c r="HE107" s="135" t="str">
        <f>IF(ISNA(VLOOKUP(A107,'Données projet (1)'!$A$269:$I$289,6,0)),0%,VLOOKUP(A107,'Données projet (1)'!$A$269:$I$289,6,0)*VLOOKUP('Données projet (1)'!$B$18,'Paramètres (1)'!$A$1:$I$88,7,0))</f>
        <v>#REF!</v>
      </c>
      <c r="HF107" s="135" t="str">
        <f t="shared" si="104"/>
        <v>#REF!</v>
      </c>
      <c r="HG107" s="142" t="str">
        <f>EXP(-LN(2)/35)*HG106+(1-EXP(-LN(2)/35))/(LN(2)/35)*HC107*HD107*VLOOKUP('Données projet (1)'!$B$18,'Paramètres (1)'!$A$1:$I$88,3,0)*0.475*44/12</f>
        <v>#REF!</v>
      </c>
      <c r="HH107" s="142" t="str">
        <f>EXP(-LN(2)/25)*HH106+(1-EXP(-LN(2)/25))/(LN(2)/25)*'Calculateur (1)'!HC107*'Calculateur (1)'!HE107*VLOOKUP('Données projet (1)'!$B$18,'Paramètres (1)'!$A$1:$I$88,3,0)*0.475*44/12</f>
        <v>#REF!</v>
      </c>
      <c r="HI107" s="142" t="str">
        <f>EXP(-LN(2)/2)*HI106+(1-EXP(-LN(2)/2))/(LN(2)/2)*HC107*HF107*VLOOKUP('Données projet (1)'!$B$18,'Paramètres (1)'!$A$1:$I$88,3,0)*0.475*44/12</f>
        <v>#REF!</v>
      </c>
      <c r="HJ107" s="143" t="str">
        <f t="shared" si="105"/>
        <v>#REF!</v>
      </c>
    </row>
    <row r="108" ht="14.25" customHeight="1">
      <c r="A108" s="125">
        <f t="shared" si="106"/>
        <v>105</v>
      </c>
      <c r="B108" s="126" t="str">
        <f t="shared" si="1"/>
        <v>#REF!</v>
      </c>
      <c r="C108" s="140" t="str">
        <f>'Calculateur (1)'!C107+'Scénario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8" s="127">
        <f t="shared" si="107"/>
        <v>0</v>
      </c>
      <c r="E108" s="127" t="str">
        <f t="shared" si="2"/>
        <v>#REF!</v>
      </c>
      <c r="F108" s="127" t="str">
        <f t="shared" si="3"/>
        <v>#REF!</v>
      </c>
      <c r="G108" s="127" t="str">
        <f t="shared" si="4"/>
        <v>#REF!</v>
      </c>
      <c r="H108" s="128" t="str">
        <f t="shared" si="5"/>
        <v>#REF!</v>
      </c>
      <c r="I108" s="129" t="str">
        <f t="shared" si="6"/>
        <v>#REF!</v>
      </c>
      <c r="J108" s="130">
        <f t="shared" si="7"/>
        <v>10</v>
      </c>
      <c r="K108" s="131" t="str">
        <f t="shared" si="108"/>
        <v>#REF!</v>
      </c>
      <c r="L108" s="131" t="str">
        <f t="shared" si="8"/>
        <v>#REF!</v>
      </c>
      <c r="M108" s="131" t="str">
        <f t="array" ref="M108">INDEX(L:L,MIN(IF(ISNUMBER(L108:L304),ROW(L108:L304),"")))</f>
        <v/>
      </c>
      <c r="N108" s="130" t="str">
        <f t="shared" si="109"/>
        <v>#REF!</v>
      </c>
      <c r="O108" s="130" t="str">
        <f>N108*VLOOKUP('Données projet (1)'!$B$9,'Paramètres (1)'!$A$1:$I$88,3,0)*VLOOKUP('Données projet (1)'!$B$9,'Paramètres (1)'!$A$1:$I$88,5,0)</f>
        <v>#REF!</v>
      </c>
      <c r="P108" s="130" t="str">
        <f t="shared" si="110"/>
        <v>#REF!</v>
      </c>
      <c r="Q108" s="141" t="str">
        <f t="shared" si="9"/>
        <v>#REF!</v>
      </c>
      <c r="R108" s="133" t="str">
        <f t="shared" si="10"/>
        <v>#REF!</v>
      </c>
      <c r="S108" s="133" t="str">
        <f t="shared" si="11"/>
        <v>#REF!</v>
      </c>
      <c r="T108" s="133" t="str">
        <f t="shared" si="111"/>
        <v>#REF!</v>
      </c>
      <c r="U108" s="134" t="str">
        <f t="shared" si="12"/>
        <v>#REF!</v>
      </c>
      <c r="V108" s="134" t="str">
        <f t="shared" si="13"/>
        <v>#REF!</v>
      </c>
      <c r="W108" s="135" t="str">
        <f>IF(ISNA(VLOOKUP(A108,'Données projet (1)'!$A$35:$I$55,5,0)),0%,VLOOKUP(A108,'Données projet (1)'!$A$35:$I$55,5,0)*VLOOKUP('Données projet (1)'!$B$9,'Paramètres (1)'!$A$1:$I$88,7,0))</f>
        <v>#REF!</v>
      </c>
      <c r="X108" s="135" t="str">
        <f>IF(ISNA(VLOOKUP(A108,'Données projet (1)'!$A$35:$I$55,6,0)),0%,VLOOKUP(A108,'Données projet (1)'!$A$35:$I$55,6,0)*VLOOKUP('Données projet (1)'!$B$9,'Paramètres (1)'!$A$1:$I$88,7,0))</f>
        <v>#REF!</v>
      </c>
      <c r="Y108" s="135" t="str">
        <f t="shared" si="14"/>
        <v>#REF!</v>
      </c>
      <c r="Z108" s="142" t="str">
        <f>EXP(-LN(2)/35)*Z107+(1-EXP(-LN(2)/35))/(LN(2)/35)*V108*W108*VLOOKUP('Données projet (1)'!$B$9,'Paramètres (1)'!$A$1:$I$88,3,0)*0.475*44/12</f>
        <v>#REF!</v>
      </c>
      <c r="AA108" s="142" t="str">
        <f>EXP(-LN(2)/25)*AA107+(1-EXP(-LN(2)/25))/(LN(2)/25)*'Calculateur (1)'!V108*'Calculateur (1)'!X108*VLOOKUP('Données projet (1)'!$B$9,'Paramètres (1)'!$A$1:$I$88,3,0)*0.475*44/12</f>
        <v>#REF!</v>
      </c>
      <c r="AB108" s="142" t="str">
        <f>EXP(-LN(2)/2)*AB107+(1-EXP(-LN(2)/2))/(LN(2)/2)*V108*Y108*VLOOKUP('Données projet (1)'!$B$9,'Paramètres (1)'!$A$1:$I$88,3,0)*0.475*44/12</f>
        <v>#REF!</v>
      </c>
      <c r="AC108" s="143" t="str">
        <f t="shared" si="15"/>
        <v>#REF!</v>
      </c>
      <c r="AD108" s="130" t="str">
        <f t="shared" si="16"/>
        <v>#REF!</v>
      </c>
      <c r="AE108" s="130">
        <f t="shared" si="17"/>
        <v>10</v>
      </c>
      <c r="AF108" s="131" t="str">
        <f t="shared" si="112"/>
        <v>#REF!</v>
      </c>
      <c r="AG108" s="131" t="str">
        <f t="shared" si="18"/>
        <v>#REF!</v>
      </c>
      <c r="AH108" s="131" t="str">
        <f t="array" ref="AH108">INDEX(AG:AG,MIN(IF(ISNUMBER(AG108:AG304),ROW(AG108:AG304),"")))</f>
        <v/>
      </c>
      <c r="AI108" s="130" t="str">
        <f t="shared" si="113"/>
        <v>#REF!</v>
      </c>
      <c r="AJ108" s="130" t="str">
        <f>AI108*VLOOKUP('Données projet (1)'!$B$10,'Paramètres (1)'!$A$1:$I$88,3,0)*VLOOKUP('Données projet (1)'!$B$10,'Paramètres (1)'!$A$1:$I$88,5,0)</f>
        <v>#REF!</v>
      </c>
      <c r="AK108" s="130" t="str">
        <f t="shared" si="114"/>
        <v>#REF!</v>
      </c>
      <c r="AL108" s="141" t="str">
        <f t="shared" si="19"/>
        <v>#REF!</v>
      </c>
      <c r="AM108" s="133" t="str">
        <f t="shared" si="20"/>
        <v>#REF!</v>
      </c>
      <c r="AN108" s="133" t="str">
        <f t="shared" si="21"/>
        <v>#REF!</v>
      </c>
      <c r="AO108" s="133" t="str">
        <f t="shared" si="115"/>
        <v>#REF!</v>
      </c>
      <c r="AP108" s="134" t="str">
        <f t="shared" si="22"/>
        <v>#REF!</v>
      </c>
      <c r="AQ108" s="134" t="str">
        <f t="shared" si="23"/>
        <v>#REF!</v>
      </c>
      <c r="AR108" s="135" t="str">
        <f>IF(ISNA(VLOOKUP(A108,'Données projet (1)'!$A$61:$I$81,5,0)),0%,VLOOKUP(A108,'Données projet (1)'!$A$61:$I$81,5,0)*VLOOKUP('Données projet (1)'!$B$10,'Paramètres (1)'!$A$1:$I$88,7,0))</f>
        <v>#REF!</v>
      </c>
      <c r="AS108" s="135" t="str">
        <f>IF(ISNA(VLOOKUP(A108,'Données projet (1)'!$A$61:$I$81,6,0)),0%,VLOOKUP(A108,'Données projet (1)'!$A$61:$I$81,6,0)*VLOOKUP('Données projet (1)'!$B$10,'Paramètres (1)'!$A$1:$I$88,7,0))</f>
        <v>#REF!</v>
      </c>
      <c r="AT108" s="135" t="str">
        <f t="shared" si="24"/>
        <v>#REF!</v>
      </c>
      <c r="AU108" s="142" t="str">
        <f>EXP(-LN(2)/35)*AU107+(1-EXP(-LN(2)/35))/(LN(2)/35)*AQ108*AR108*VLOOKUP('Données projet (1)'!$B$10,'Paramètres (1)'!$A$1:$I$88,3,0)*0.475*44/12</f>
        <v>#REF!</v>
      </c>
      <c r="AV108" s="142" t="str">
        <f>EXP(-LN(2)/25)*AV107+(1-EXP(-LN(2)/25))/(LN(2)/25)*'Calculateur (1)'!AQ108*'Calculateur (1)'!AS108*VLOOKUP('Données projet (1)'!$B$10,'Paramètres (1)'!$A$1:$I$88,3,0)*0.475*44/12</f>
        <v>#REF!</v>
      </c>
      <c r="AW108" s="142" t="str">
        <f>EXP(-LN(2)/2)*AW107+(1-EXP(-LN(2)/2))/(LN(2)/2)*AQ108*AT108*VLOOKUP('Données projet (1)'!$B$10,'Paramètres (1)'!$A$1:$I$88,3,0)*0.475*44/12</f>
        <v>#REF!</v>
      </c>
      <c r="AX108" s="142" t="str">
        <f t="shared" si="25"/>
        <v>#REF!</v>
      </c>
      <c r="AY108" s="137" t="str">
        <f t="shared" si="26"/>
        <v>#REF!</v>
      </c>
      <c r="AZ108" s="131">
        <f t="shared" si="27"/>
        <v>10</v>
      </c>
      <c r="BA108" s="131" t="str">
        <f t="shared" si="116"/>
        <v>#REF!</v>
      </c>
      <c r="BB108" s="131" t="str">
        <f t="shared" si="28"/>
        <v>#REF!</v>
      </c>
      <c r="BC108" s="131" t="str">
        <f t="array" ref="BC108">INDEX(BB:BB,MIN(IF(ISNUMBER(BB108:BB304),ROW(BB108:BB304),"")))</f>
        <v/>
      </c>
      <c r="BD108" s="131" t="str">
        <f t="shared" si="117"/>
        <v>#REF!</v>
      </c>
      <c r="BE108" s="130" t="str">
        <f>BD108*VLOOKUP('Données projet (1)'!$B$11,'Paramètres (1)'!$A$1:$I$88,3,0)*VLOOKUP('Données projet (1)'!$B$11,'Paramètres (1)'!$A$1:$I$88,5,0)</f>
        <v>#REF!</v>
      </c>
      <c r="BF108" s="130" t="str">
        <f t="shared" si="118"/>
        <v>#REF!</v>
      </c>
      <c r="BG108" s="141" t="str">
        <f t="shared" si="29"/>
        <v>#REF!</v>
      </c>
      <c r="BH108" s="133" t="str">
        <f t="shared" si="30"/>
        <v>#REF!</v>
      </c>
      <c r="BI108" s="133" t="str">
        <f t="shared" si="31"/>
        <v>#REF!</v>
      </c>
      <c r="BJ108" s="133" t="str">
        <f t="shared" si="119"/>
        <v>#REF!</v>
      </c>
      <c r="BK108" s="134" t="str">
        <f t="shared" si="32"/>
        <v>#REF!</v>
      </c>
      <c r="BL108" s="134" t="str">
        <f t="shared" si="33"/>
        <v>#REF!</v>
      </c>
      <c r="BM108" s="135" t="str">
        <f>IF(ISNA(VLOOKUP(A108,'Données projet (1)'!$A$87:$I$107,5,0)),0%,VLOOKUP(A108,'Données projet (1)'!$A$87:$I$107,5,0)*VLOOKUP('Données projet (1)'!$B$11,'Paramètres (1)'!$A$1:$I$88,7,0))</f>
        <v>#REF!</v>
      </c>
      <c r="BN108" s="135" t="str">
        <f>IF(ISNA(VLOOKUP(A108,'Données projet (1)'!$A$87:$I$107,6,0)),0%,VLOOKUP(A108,'Données projet (1)'!$A$87:$I$107,6,0)*VLOOKUP('Données projet (1)'!$B$11,'Paramètres (1)'!$A$1:$I$88,7,0))</f>
        <v>#REF!</v>
      </c>
      <c r="BO108" s="135" t="str">
        <f t="shared" si="34"/>
        <v>#REF!</v>
      </c>
      <c r="BP108" s="142" t="str">
        <f>EXP(-LN(2)/35)*BP107+(1-EXP(-LN(2)/35))/(LN(2)/35)*BL108*BM108*VLOOKUP('Données projet (1)'!$B$11,'Paramètres (1)'!$A$1:$I$88,3,0)*0.475*44/12</f>
        <v>#REF!</v>
      </c>
      <c r="BQ108" s="142" t="str">
        <f>EXP(-LN(2)/25)*BQ107+(1-EXP(-LN(2)/25))/(LN(2)/25)*'Calculateur (1)'!BL108*'Calculateur (1)'!BN108*VLOOKUP('Données projet (1)'!$B$11,'Paramètres (1)'!$A$1:$I$88,3,0)*0.475*44/12</f>
        <v>#REF!</v>
      </c>
      <c r="BR108" s="142" t="str">
        <f>EXP(-LN(2)/2)*BR107+(1-EXP(-LN(2)/2))/(LN(2)/2)*BL108*BO108*VLOOKUP('Données projet (1)'!$B$11,'Paramètres (1)'!$A$1:$I$88,3,0)*0.475*44/12</f>
        <v>#REF!</v>
      </c>
      <c r="BS108" s="143" t="str">
        <f t="shared" si="35"/>
        <v>#REF!</v>
      </c>
      <c r="BT108" s="139" t="str">
        <f t="shared" si="36"/>
        <v>#REF!</v>
      </c>
      <c r="BU108" s="131">
        <f t="shared" si="37"/>
        <v>10</v>
      </c>
      <c r="BV108" s="131" t="str">
        <f t="shared" si="120"/>
        <v>#REF!</v>
      </c>
      <c r="BW108" s="131" t="str">
        <f t="shared" si="38"/>
        <v>#REF!</v>
      </c>
      <c r="BX108" s="131" t="str">
        <f t="array" ref="BX108">INDEX(BW:BW,MIN(IF(ISNUMBER(BW108:BW304),ROW(BW108:BW304),"")))</f>
        <v/>
      </c>
      <c r="BY108" s="131" t="str">
        <f t="shared" si="121"/>
        <v>#REF!</v>
      </c>
      <c r="BZ108" s="130" t="str">
        <f>BY108*VLOOKUP('Données projet (1)'!$B$12,'Paramètres (1)'!$A$1:$I$88,3,0)*VLOOKUP('Données projet (1)'!$B$12,'Paramètres (1)'!$A$1:$I$88,5,0)</f>
        <v>#REF!</v>
      </c>
      <c r="CA108" s="130" t="str">
        <f t="shared" si="122"/>
        <v>#REF!</v>
      </c>
      <c r="CB108" s="141" t="str">
        <f t="shared" si="39"/>
        <v>#REF!</v>
      </c>
      <c r="CC108" s="133" t="str">
        <f t="shared" si="40"/>
        <v>#REF!</v>
      </c>
      <c r="CD108" s="133" t="str">
        <f t="shared" si="41"/>
        <v>#REF!</v>
      </c>
      <c r="CE108" s="133" t="str">
        <f t="shared" si="123"/>
        <v>#REF!</v>
      </c>
      <c r="CF108" s="134" t="str">
        <f t="shared" si="42"/>
        <v>#REF!</v>
      </c>
      <c r="CG108" s="134" t="str">
        <f t="shared" si="43"/>
        <v>#REF!</v>
      </c>
      <c r="CH108" s="135" t="str">
        <f>IF(ISNA(VLOOKUP(A108,'Données projet (1)'!$A$113:$I$133,5,0)),0%,VLOOKUP(A108,'Données projet (1)'!$A$113:$I$133,5,0)*VLOOKUP('Données projet (1)'!$B$12,'Paramètres (1)'!$A$1:$I$88,7,0))</f>
        <v>#REF!</v>
      </c>
      <c r="CI108" s="135" t="str">
        <f>IF(ISNA(VLOOKUP(A108,'Données projet (1)'!$A$113:$I$133,6,0)),0%,VLOOKUP(A108,'Données projet (1)'!$A$113:$I$133,6,0)*VLOOKUP('Données projet (1)'!$B$12,'Paramètres (1)'!$A$1:$I$88,7,0))</f>
        <v>#REF!</v>
      </c>
      <c r="CJ108" s="135" t="str">
        <f t="shared" si="44"/>
        <v>#REF!</v>
      </c>
      <c r="CK108" s="142" t="str">
        <f>EXP(-LN(2)/35)*CK107+(1-EXP(-LN(2)/35))/(LN(2)/35)*CG108*CH108*VLOOKUP('Données projet (1)'!$B$12,'Paramètres (1)'!$A$1:$I$88,3,0)*0.475*44/12</f>
        <v>#REF!</v>
      </c>
      <c r="CL108" s="142" t="str">
        <f>EXP(-LN(2)/25)*CL107+(1-EXP(-LN(2)/25))/(LN(2)/25)*'Calculateur (1)'!CG108*'Calculateur (1)'!CI108*VLOOKUP('Données projet (1)'!$B$12,'Paramètres (1)'!$A$1:$I$88,3,0)*0.475*44/12</f>
        <v>#REF!</v>
      </c>
      <c r="CM108" s="142" t="str">
        <f>EXP(-LN(2)/2)*CM107+(1-EXP(-LN(2)/2))/(LN(2)/2)*CG108*CJ108*VLOOKUP('Données projet (1)'!$B$12,'Paramètres (1)'!$A$1:$I$88,3,0)*0.475*44/12</f>
        <v>#REF!</v>
      </c>
      <c r="CN108" s="143" t="str">
        <f t="shared" si="45"/>
        <v>#REF!</v>
      </c>
      <c r="CO108" s="139" t="str">
        <f t="shared" si="46"/>
        <v>#REF!</v>
      </c>
      <c r="CP108" s="131">
        <f t="shared" si="47"/>
        <v>10</v>
      </c>
      <c r="CQ108" s="131" t="str">
        <f t="shared" si="124"/>
        <v>#REF!</v>
      </c>
      <c r="CR108" s="131" t="str">
        <f t="shared" si="48"/>
        <v>#REF!</v>
      </c>
      <c r="CS108" s="131" t="str">
        <f t="array" ref="CS108">INDEX(CR:CR,MIN(IF(ISNUMBER(CR108:CR304),ROW(CR108:CR304),"")))</f>
        <v/>
      </c>
      <c r="CT108" s="131" t="str">
        <f t="shared" si="125"/>
        <v>#REF!</v>
      </c>
      <c r="CU108" s="138" t="str">
        <f>CT108*VLOOKUP('Données projet (1)'!$B$13,'Paramètres (1)'!$A$1:$I$88,3,0)*VLOOKUP('Données projet (1)'!$B$13,'Paramètres (1)'!$A$1:$I$88,5,0)</f>
        <v>#REF!</v>
      </c>
      <c r="CV108" s="130" t="str">
        <f t="shared" si="126"/>
        <v>#REF!</v>
      </c>
      <c r="CW108" s="141" t="str">
        <f t="shared" si="49"/>
        <v>#REF!</v>
      </c>
      <c r="CX108" s="133" t="str">
        <f t="shared" si="50"/>
        <v>#REF!</v>
      </c>
      <c r="CY108" s="133" t="str">
        <f t="shared" si="51"/>
        <v>#REF!</v>
      </c>
      <c r="CZ108" s="133" t="str">
        <f t="shared" si="127"/>
        <v>#REF!</v>
      </c>
      <c r="DA108" s="134" t="str">
        <f t="shared" si="52"/>
        <v>#REF!</v>
      </c>
      <c r="DB108" s="134" t="str">
        <f t="shared" si="53"/>
        <v>#REF!</v>
      </c>
      <c r="DC108" s="135" t="str">
        <f>IF(ISNA(VLOOKUP(A108,'Données projet (1)'!$A$139:$I$159,5,0)),0%,VLOOKUP(A108,'Données projet (1)'!$A$139:$I$159,5,0)*VLOOKUP('Données projet (1)'!$B$13,'Paramètres (1)'!$A$1:$I$88,7,0))</f>
        <v>#REF!</v>
      </c>
      <c r="DD108" s="135" t="str">
        <f>IF(ISNA(VLOOKUP(A108,'Données projet (1)'!$A$139:$I$159,6,0)),0%,VLOOKUP(A108,'Données projet (1)'!$A$139:$I$159,6,0)*VLOOKUP('Données projet (1)'!$B$13,'Paramètres (1)'!$A$1:$I$88,7,0))</f>
        <v>#REF!</v>
      </c>
      <c r="DE108" s="135" t="str">
        <f t="shared" si="54"/>
        <v>#REF!</v>
      </c>
      <c r="DF108" s="142" t="str">
        <f>EXP(-LN(2)/35)*DF107+(1-EXP(-LN(2)/35))/(LN(2)/35)*DB108*DC108*VLOOKUP('Données projet (1)'!$B$13,'Paramètres (1)'!$A$1:$I$88,3,0)*0.475*44/12</f>
        <v>#REF!</v>
      </c>
      <c r="DG108" s="142" t="str">
        <f>EXP(-LN(2)/25)*DG107+(1-EXP(-LN(2)/25))/(LN(2)/25)*'Calculateur (1)'!DB108*'Calculateur (1)'!DD108*VLOOKUP('Données projet (1)'!$B$13,'Paramètres (1)'!$A$1:$I$88,3,0)*0.475*44/12</f>
        <v>#REF!</v>
      </c>
      <c r="DH108" s="142" t="str">
        <f>EXP(-LN(2)/2)*DH107+(1-EXP(-LN(2)/2))/(LN(2)/2)*DB108*DE108*VLOOKUP('Données projet (1)'!$B$13,'Paramètres (1)'!$A$1:$I$88,3,0)*0.475*44/12</f>
        <v>#REF!</v>
      </c>
      <c r="DI108" s="143" t="str">
        <f t="shared" si="55"/>
        <v>#REF!</v>
      </c>
      <c r="DJ108" s="139" t="str">
        <f t="shared" si="56"/>
        <v>#REF!</v>
      </c>
      <c r="DK108" s="131">
        <f t="shared" si="57"/>
        <v>10</v>
      </c>
      <c r="DL108" s="131" t="str">
        <f t="shared" si="128"/>
        <v>#REF!</v>
      </c>
      <c r="DM108" s="131" t="str">
        <f t="shared" si="58"/>
        <v>#REF!</v>
      </c>
      <c r="DN108" s="131" t="str">
        <f t="array" ref="DN108">INDEX(DM:DM,MIN(IF(ISNUMBER(DM108:DM304),ROW(DM108:DM304),"")))</f>
        <v/>
      </c>
      <c r="DO108" s="131" t="str">
        <f t="shared" si="129"/>
        <v>#REF!</v>
      </c>
      <c r="DP108" s="138" t="str">
        <f>DO108*VLOOKUP('Données projet (1)'!$B$14,'Paramètres (1)'!$A$1:$I$88,3,0)*VLOOKUP('Données projet (1)'!$B$14,'Paramètres (1)'!$A$1:$I$88,5,0)</f>
        <v>#REF!</v>
      </c>
      <c r="DQ108" s="130" t="str">
        <f t="shared" si="130"/>
        <v>#REF!</v>
      </c>
      <c r="DR108" s="141" t="str">
        <f t="shared" si="59"/>
        <v>#REF!</v>
      </c>
      <c r="DS108" s="133" t="str">
        <f t="shared" si="60"/>
        <v>#REF!</v>
      </c>
      <c r="DT108" s="133" t="str">
        <f t="shared" si="61"/>
        <v>#REF!</v>
      </c>
      <c r="DU108" s="133" t="str">
        <f t="shared" si="131"/>
        <v>#REF!</v>
      </c>
      <c r="DV108" s="134" t="str">
        <f t="shared" si="62"/>
        <v>#REF!</v>
      </c>
      <c r="DW108" s="134" t="str">
        <f t="shared" si="63"/>
        <v>#REF!</v>
      </c>
      <c r="DX108" s="135" t="str">
        <f>IF(ISNA(VLOOKUP(A108,'Données projet (1)'!$A$165:$I$185,5,0)),0%,VLOOKUP(A108,'Données projet (1)'!$A$165:$I$185,5,0)*VLOOKUP('Données projet (1)'!$B$14,'Paramètres (1)'!$A$1:$I$88,7,0))</f>
        <v>#REF!</v>
      </c>
      <c r="DY108" s="135" t="str">
        <f>IF(ISNA(VLOOKUP(A108,'Données projet (1)'!$A$165:$I$185,6,0)),0%,VLOOKUP(A108,'Données projet (1)'!$A$165:$I$185,6,0)*VLOOKUP('Données projet (1)'!$B$14,'Paramètres (1)'!$A$1:$I$88,7,0))</f>
        <v>#REF!</v>
      </c>
      <c r="DZ108" s="135" t="str">
        <f t="shared" si="64"/>
        <v>#REF!</v>
      </c>
      <c r="EA108" s="142" t="str">
        <f>EXP(-LN(2)/35)*EA107+(1-EXP(-LN(2)/35))/(LN(2)/35)*DW108*DX108*VLOOKUP('Données projet (1)'!$B$14,'Paramètres (1)'!$A$1:$I$88,3,0)*0.475*44/12</f>
        <v>#REF!</v>
      </c>
      <c r="EB108" s="142" t="str">
        <f>EXP(-LN(2)/25)*EB107+(1-EXP(-LN(2)/25))/(LN(2)/25)*'Calculateur (1)'!DW108*'Calculateur (1)'!DY108*VLOOKUP('Données projet (1)'!$B$14,'Paramètres (1)'!$A$1:$I$88,3,0)*0.475*44/12</f>
        <v>#REF!</v>
      </c>
      <c r="EC108" s="142" t="str">
        <f>EXP(-LN(2)/2)*EC107+(1-EXP(-LN(2)/2))/(LN(2)/2)*DW108*DZ108*VLOOKUP('Données projet (1)'!$B$14,'Paramètres (1)'!$A$1:$I$88,3,0)*0.475*44/12</f>
        <v>#REF!</v>
      </c>
      <c r="ED108" s="143" t="str">
        <f t="shared" si="65"/>
        <v>#REF!</v>
      </c>
      <c r="EE108" s="139" t="str">
        <f t="shared" si="66"/>
        <v>#REF!</v>
      </c>
      <c r="EF108" s="131">
        <f t="shared" si="67"/>
        <v>10</v>
      </c>
      <c r="EG108" s="131" t="str">
        <f t="shared" si="132"/>
        <v>#REF!</v>
      </c>
      <c r="EH108" s="131" t="str">
        <f t="shared" si="68"/>
        <v>#REF!</v>
      </c>
      <c r="EI108" s="131" t="str">
        <f t="array" ref="EI108">INDEX(EH:EH,MIN(IF(ISNUMBER(EH108:EH304),ROW(EH108:EH304),"")))</f>
        <v/>
      </c>
      <c r="EJ108" s="131" t="str">
        <f t="shared" si="133"/>
        <v>#REF!</v>
      </c>
      <c r="EK108" s="138" t="str">
        <f>EJ108*VLOOKUP('Données projet (1)'!$B$15,'Paramètres (1)'!$A$1:$I$88,3,0)*VLOOKUP('Données projet (1)'!$B$15,'Paramètres (1)'!$A$1:$I$88,5,0)</f>
        <v>#REF!</v>
      </c>
      <c r="EL108" s="130" t="str">
        <f t="shared" si="134"/>
        <v>#REF!</v>
      </c>
      <c r="EM108" s="141" t="str">
        <f t="shared" si="69"/>
        <v>#REF!</v>
      </c>
      <c r="EN108" s="133" t="str">
        <f t="shared" si="70"/>
        <v>#REF!</v>
      </c>
      <c r="EO108" s="133" t="str">
        <f t="shared" si="71"/>
        <v>#REF!</v>
      </c>
      <c r="EP108" s="133" t="str">
        <f t="shared" si="135"/>
        <v>#REF!</v>
      </c>
      <c r="EQ108" s="134" t="str">
        <f t="shared" si="72"/>
        <v>#REF!</v>
      </c>
      <c r="ER108" s="134" t="str">
        <f t="shared" si="73"/>
        <v>#REF!</v>
      </c>
      <c r="ES108" s="135" t="str">
        <f>IF(ISNA(VLOOKUP(A108,'Données projet (1)'!$A$191:$I$211,5,0)),0%,VLOOKUP(A108,'Données projet (1)'!$A$191:$I$211,5,0)*VLOOKUP('Données projet (1)'!$B$15,'Paramètres (1)'!$A$1:$I$88,7,0))</f>
        <v>#REF!</v>
      </c>
      <c r="ET108" s="135" t="str">
        <f>IF(ISNA(VLOOKUP(A108,'Données projet (1)'!$A$191:$I$211,6,0)),0%,VLOOKUP(A108,'Données projet (1)'!$A$191:$I$211,6,0)*VLOOKUP('Données projet (1)'!$B$15,'Paramètres (1)'!$A$1:$I$88,7,0))</f>
        <v>#REF!</v>
      </c>
      <c r="EU108" s="135" t="str">
        <f t="shared" si="74"/>
        <v>#REF!</v>
      </c>
      <c r="EV108" s="142" t="str">
        <f>EXP(-LN(2)/35)*EV107+(1-EXP(-LN(2)/35))/(LN(2)/35)*ER108*ES108*VLOOKUP('Données projet (1)'!$B$15,'Paramètres (1)'!$A$1:$I$88,3,0)*0.475*44/12</f>
        <v>#REF!</v>
      </c>
      <c r="EW108" s="142" t="str">
        <f>EXP(-LN(2)/25)*EW107+(1-EXP(-LN(2)/25))/(LN(2)/25)*'Calculateur (1)'!ER108*'Calculateur (1)'!ET108*VLOOKUP('Données projet (1)'!$B$15,'Paramètres (1)'!$A$1:$I$88,3,0)*0.475*44/12</f>
        <v>#REF!</v>
      </c>
      <c r="EX108" s="142" t="str">
        <f>EXP(-LN(2)/2)*EX107+(1-EXP(-LN(2)/2))/(LN(2)/2)*ER108*EU108*VLOOKUP('Données projet (1)'!$B$15,'Paramètres (1)'!$A$1:$I$88,3,0)*0.475*44/12</f>
        <v>#REF!</v>
      </c>
      <c r="EY108" s="143" t="str">
        <f t="shared" si="75"/>
        <v>#REF!</v>
      </c>
      <c r="EZ108" s="139" t="str">
        <f t="shared" si="76"/>
        <v>#REF!</v>
      </c>
      <c r="FA108" s="131">
        <f t="shared" si="77"/>
        <v>10</v>
      </c>
      <c r="FB108" s="131" t="str">
        <f t="shared" si="136"/>
        <v>#REF!</v>
      </c>
      <c r="FC108" s="131" t="str">
        <f t="shared" si="78"/>
        <v>#REF!</v>
      </c>
      <c r="FD108" s="131" t="str">
        <f t="array" ref="FD108">INDEX(FC:FC,MIN(IF(ISNUMBER(FC108:FC304),ROW(FC108:FC304),"")))</f>
        <v/>
      </c>
      <c r="FE108" s="131" t="str">
        <f t="shared" si="137"/>
        <v>#REF!</v>
      </c>
      <c r="FF108" s="138" t="str">
        <f>FE108*VLOOKUP('Données projet (1)'!$B$16,'Paramètres (1)'!$A$1:$I$88,3,0)*VLOOKUP('Données projet (1)'!$B$16,'Paramètres (1)'!$A$1:$I$88,5,0)</f>
        <v>#REF!</v>
      </c>
      <c r="FG108" s="130" t="str">
        <f t="shared" si="138"/>
        <v>#REF!</v>
      </c>
      <c r="FH108" s="141" t="str">
        <f t="shared" si="79"/>
        <v>#REF!</v>
      </c>
      <c r="FI108" s="133" t="str">
        <f t="shared" si="80"/>
        <v>#REF!</v>
      </c>
      <c r="FJ108" s="133" t="str">
        <f t="shared" si="81"/>
        <v>#REF!</v>
      </c>
      <c r="FK108" s="133" t="str">
        <f t="shared" si="139"/>
        <v>#REF!</v>
      </c>
      <c r="FL108" s="134" t="str">
        <f t="shared" si="82"/>
        <v>#REF!</v>
      </c>
      <c r="FM108" s="134" t="str">
        <f t="shared" si="83"/>
        <v>#REF!</v>
      </c>
      <c r="FN108" s="135" t="str">
        <f>IF(ISNA(VLOOKUP(A108,'Données projet (1)'!$A$217:$I$237,5,0)),0%,VLOOKUP(A108,'Données projet (1)'!$A$217:$I$237,5,0)*VLOOKUP('Données projet (1)'!$B$16,'Paramètres (1)'!$A$1:$I$88,7,0))</f>
        <v>#REF!</v>
      </c>
      <c r="FO108" s="135" t="str">
        <f>IF(ISNA(VLOOKUP(A108,'Données projet (1)'!$A$217:$I$237,6,0)),0%,VLOOKUP(A108,'Données projet (1)'!$A$217:$I$237,6,0)*VLOOKUP('Données projet (1)'!$B$16,'Paramètres (1)'!$A$1:$I$88,7,0))</f>
        <v>#REF!</v>
      </c>
      <c r="FP108" s="135" t="str">
        <f t="shared" si="84"/>
        <v>#REF!</v>
      </c>
      <c r="FQ108" s="142" t="str">
        <f>EXP(-LN(2)/35)*FQ107+(1-EXP(-LN(2)/35))/(LN(2)/35)*FM108*FN108*VLOOKUP('Données projet (1)'!$B$16,'Paramètres (1)'!$A$1:$I$88,3,0)*0.475*44/12</f>
        <v>#REF!</v>
      </c>
      <c r="FR108" s="142" t="str">
        <f>EXP(-LN(2)/25)*FR107+(1-EXP(-LN(2)/25))/(LN(2)/25)*'Calculateur (1)'!FM108*'Calculateur (1)'!FO108*VLOOKUP('Données projet (1)'!$B$16,'Paramètres (1)'!$A$1:$I$88,3,0)*0.475*44/12</f>
        <v>#REF!</v>
      </c>
      <c r="FS108" s="142" t="str">
        <f>EXP(-LN(2)/2)*FS107+(1-EXP(-LN(2)/2))/(LN(2)/2)*FM108*FP108*VLOOKUP('Données projet (1)'!$B$16,'Paramètres (1)'!$A$1:$I$88,3,0)*0.475*44/12</f>
        <v>#REF!</v>
      </c>
      <c r="FT108" s="143" t="str">
        <f t="shared" si="85"/>
        <v>#REF!</v>
      </c>
      <c r="FU108" s="139" t="str">
        <f t="shared" si="86"/>
        <v>#REF!</v>
      </c>
      <c r="FV108" s="131">
        <f t="shared" si="87"/>
        <v>10</v>
      </c>
      <c r="FW108" s="131" t="str">
        <f t="shared" si="140"/>
        <v>#REF!</v>
      </c>
      <c r="FX108" s="131" t="str">
        <f t="shared" si="88"/>
        <v>#REF!</v>
      </c>
      <c r="FY108" s="131" t="str">
        <f t="array" ref="FY108">INDEX(FX:FX,MIN(IF(ISNUMBER(FX108:FX304),ROW(FX108:FX304),"")))</f>
        <v/>
      </c>
      <c r="FZ108" s="131" t="str">
        <f t="shared" si="141"/>
        <v>#REF!</v>
      </c>
      <c r="GA108" s="138" t="str">
        <f>FZ108*VLOOKUP('Données projet (1)'!$B$17,'Paramètres (1)'!$A$1:$I$88,3,0)*VLOOKUP('Données projet (1)'!$B$17,'Paramètres (1)'!$A$1:$I$88,5,0)</f>
        <v>#REF!</v>
      </c>
      <c r="GB108" s="130" t="str">
        <f t="shared" si="142"/>
        <v>#REF!</v>
      </c>
      <c r="GC108" s="141" t="str">
        <f t="shared" si="89"/>
        <v>#REF!</v>
      </c>
      <c r="GD108" s="133" t="str">
        <f t="shared" si="90"/>
        <v>#REF!</v>
      </c>
      <c r="GE108" s="133" t="str">
        <f t="shared" si="91"/>
        <v>#REF!</v>
      </c>
      <c r="GF108" s="133" t="str">
        <f t="shared" si="143"/>
        <v>#REF!</v>
      </c>
      <c r="GG108" s="134" t="str">
        <f t="shared" si="92"/>
        <v>#REF!</v>
      </c>
      <c r="GH108" s="134" t="str">
        <f t="shared" si="93"/>
        <v>#REF!</v>
      </c>
      <c r="GI108" s="135" t="str">
        <f>IF(ISNA(VLOOKUP(A108,'Données projet (1)'!$A$243:$I$263,5,0)),0%,VLOOKUP(A108,'Données projet (1)'!$A$243:$I$263,5,0)*VLOOKUP('Données projet (1)'!$B$17,'Paramètres (1)'!$A$1:$I$88,7,0))</f>
        <v>#REF!</v>
      </c>
      <c r="GJ108" s="135" t="str">
        <f>IF(ISNA(VLOOKUP(A108,'Données projet (1)'!$A$243:$I$263,6,0)),0%,VLOOKUP(A108,'Données projet (1)'!$A$243:$I$263,6,0)*VLOOKUP('Données projet (1)'!$B$17,'Paramètres (1)'!$A$1:$I$88,7,0))</f>
        <v>#REF!</v>
      </c>
      <c r="GK108" s="135" t="str">
        <f t="shared" si="94"/>
        <v>#REF!</v>
      </c>
      <c r="GL108" s="142" t="str">
        <f>EXP(-LN(2)/35)*GL107+(1-EXP(-LN(2)/35))/(LN(2)/35)*GH108*GI108*VLOOKUP('Données projet (1)'!$B$17,'Paramètres (1)'!$A$1:$I$88,3,0)*0.475*44/12</f>
        <v>#REF!</v>
      </c>
      <c r="GM108" s="142" t="str">
        <f>EXP(-LN(2)/25)*GM107+(1-EXP(-LN(2)/25))/(LN(2)/25)*'Calculateur (1)'!GH108*'Calculateur (1)'!GJ108*VLOOKUP('Données projet (1)'!$B$17,'Paramètres (1)'!$A$1:$I$88,3,0)*0.475*44/12</f>
        <v>#REF!</v>
      </c>
      <c r="GN108" s="142" t="str">
        <f>EXP(-LN(2)/2)*GN107+(1-EXP(-LN(2)/2))/(LN(2)/2)*GH108*GK108*VLOOKUP('Données projet (1)'!$B$17,'Paramètres (1)'!$A$1:$I$88,3,0)*0.475*44/12</f>
        <v>#REF!</v>
      </c>
      <c r="GO108" s="142" t="str">
        <f t="shared" si="95"/>
        <v>#REF!</v>
      </c>
      <c r="GP108" s="139" t="str">
        <f t="shared" si="96"/>
        <v>#REF!</v>
      </c>
      <c r="GQ108" s="131">
        <f t="shared" si="97"/>
        <v>10</v>
      </c>
      <c r="GR108" s="131" t="str">
        <f t="shared" si="144"/>
        <v>#REF!</v>
      </c>
      <c r="GS108" s="131" t="str">
        <f t="shared" si="98"/>
        <v>#REF!</v>
      </c>
      <c r="GT108" s="131" t="str">
        <f t="array" ref="GT108">INDEX(GS:GS,MIN(IF(ISNUMBER(GS108:GS304),ROW(GS108:GS304),"")))</f>
        <v/>
      </c>
      <c r="GU108" s="131" t="str">
        <f t="shared" si="145"/>
        <v>#REF!</v>
      </c>
      <c r="GV108" s="138" t="str">
        <f>GU108*VLOOKUP('Données projet (1)'!$B$18,'Paramètres (1)'!$A$1:$I$88,3,0)*VLOOKUP('Données projet (1)'!$B$18,'Paramètres (1)'!$A$1:$I$88,5,0)</f>
        <v>#REF!</v>
      </c>
      <c r="GW108" s="130" t="str">
        <f t="shared" si="146"/>
        <v>#REF!</v>
      </c>
      <c r="GX108" s="141" t="str">
        <f t="shared" si="99"/>
        <v>#REF!</v>
      </c>
      <c r="GY108" s="133" t="str">
        <f t="shared" si="100"/>
        <v>#REF!</v>
      </c>
      <c r="GZ108" s="133" t="str">
        <f t="shared" si="101"/>
        <v>#REF!</v>
      </c>
      <c r="HA108" s="133" t="str">
        <f t="shared" si="147"/>
        <v>#REF!</v>
      </c>
      <c r="HB108" s="134" t="str">
        <f t="shared" si="102"/>
        <v>#REF!</v>
      </c>
      <c r="HC108" s="134" t="str">
        <f t="shared" si="103"/>
        <v>#REF!</v>
      </c>
      <c r="HD108" s="135" t="str">
        <f>IF(ISNA(VLOOKUP(A108,'Données projet (1)'!$A$269:$I$289,5,0)),0%,VLOOKUP(A108,'Données projet (1)'!$A$269:$I$289,5,0)*VLOOKUP('Données projet (1)'!$B$18,'Paramètres (1)'!$A$1:$I$88,7,0))</f>
        <v>#REF!</v>
      </c>
      <c r="HE108" s="135" t="str">
        <f>IF(ISNA(VLOOKUP(A108,'Données projet (1)'!$A$269:$I$289,6,0)),0%,VLOOKUP(A108,'Données projet (1)'!$A$269:$I$289,6,0)*VLOOKUP('Données projet (1)'!$B$18,'Paramètres (1)'!$A$1:$I$88,7,0))</f>
        <v>#REF!</v>
      </c>
      <c r="HF108" s="135" t="str">
        <f t="shared" si="104"/>
        <v>#REF!</v>
      </c>
      <c r="HG108" s="142" t="str">
        <f>EXP(-LN(2)/35)*HG107+(1-EXP(-LN(2)/35))/(LN(2)/35)*HC108*HD108*VLOOKUP('Données projet (1)'!$B$18,'Paramètres (1)'!$A$1:$I$88,3,0)*0.475*44/12</f>
        <v>#REF!</v>
      </c>
      <c r="HH108" s="142" t="str">
        <f>EXP(-LN(2)/25)*HH107+(1-EXP(-LN(2)/25))/(LN(2)/25)*'Calculateur (1)'!HC108*'Calculateur (1)'!HE108*VLOOKUP('Données projet (1)'!$B$18,'Paramètres (1)'!$A$1:$I$88,3,0)*0.475*44/12</f>
        <v>#REF!</v>
      </c>
      <c r="HI108" s="142" t="str">
        <f>EXP(-LN(2)/2)*HI107+(1-EXP(-LN(2)/2))/(LN(2)/2)*HC108*HF108*VLOOKUP('Données projet (1)'!$B$18,'Paramètres (1)'!$A$1:$I$88,3,0)*0.475*44/12</f>
        <v>#REF!</v>
      </c>
      <c r="HJ108" s="143" t="str">
        <f t="shared" si="105"/>
        <v>#REF!</v>
      </c>
    </row>
    <row r="109" ht="14.25" customHeight="1">
      <c r="A109" s="125">
        <f t="shared" si="106"/>
        <v>106</v>
      </c>
      <c r="B109" s="126" t="str">
        <f t="shared" si="1"/>
        <v>#REF!</v>
      </c>
      <c r="C109" s="140" t="str">
        <f>'Calculateur (1)'!C108+'Scénario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9" s="127">
        <f t="shared" si="107"/>
        <v>0</v>
      </c>
      <c r="E109" s="127" t="str">
        <f t="shared" si="2"/>
        <v>#REF!</v>
      </c>
      <c r="F109" s="127" t="str">
        <f t="shared" si="3"/>
        <v>#REF!</v>
      </c>
      <c r="G109" s="127" t="str">
        <f t="shared" si="4"/>
        <v>#REF!</v>
      </c>
      <c r="H109" s="128" t="str">
        <f t="shared" si="5"/>
        <v>#REF!</v>
      </c>
      <c r="I109" s="129" t="str">
        <f t="shared" si="6"/>
        <v>#REF!</v>
      </c>
      <c r="J109" s="130">
        <f t="shared" si="7"/>
        <v>10</v>
      </c>
      <c r="K109" s="131" t="str">
        <f t="shared" si="108"/>
        <v>#REF!</v>
      </c>
      <c r="L109" s="131" t="str">
        <f t="shared" si="8"/>
        <v>#REF!</v>
      </c>
      <c r="M109" s="131" t="str">
        <f t="array" ref="M109">INDEX(L:L,MIN(IF(ISNUMBER(L109:L305),ROW(L109:L305),"")))</f>
        <v/>
      </c>
      <c r="N109" s="130" t="str">
        <f t="shared" si="109"/>
        <v>#REF!</v>
      </c>
      <c r="O109" s="130" t="str">
        <f>N109*VLOOKUP('Données projet (1)'!$B$9,'Paramètres (1)'!$A$1:$I$88,3,0)*VLOOKUP('Données projet (1)'!$B$9,'Paramètres (1)'!$A$1:$I$88,5,0)</f>
        <v>#REF!</v>
      </c>
      <c r="P109" s="130" t="str">
        <f t="shared" si="110"/>
        <v>#REF!</v>
      </c>
      <c r="Q109" s="141" t="str">
        <f t="shared" si="9"/>
        <v>#REF!</v>
      </c>
      <c r="R109" s="133" t="str">
        <f t="shared" si="10"/>
        <v>#REF!</v>
      </c>
      <c r="S109" s="133" t="str">
        <f t="shared" si="11"/>
        <v>#REF!</v>
      </c>
      <c r="T109" s="133" t="str">
        <f t="shared" si="111"/>
        <v>#REF!</v>
      </c>
      <c r="U109" s="134" t="str">
        <f t="shared" si="12"/>
        <v>#REF!</v>
      </c>
      <c r="V109" s="134" t="str">
        <f t="shared" si="13"/>
        <v>#REF!</v>
      </c>
      <c r="W109" s="135" t="str">
        <f>IF(ISNA(VLOOKUP(A109,'Données projet (1)'!$A$35:$I$55,5,0)),0%,VLOOKUP(A109,'Données projet (1)'!$A$35:$I$55,5,0)*VLOOKUP('Données projet (1)'!$B$9,'Paramètres (1)'!$A$1:$I$88,7,0))</f>
        <v>#REF!</v>
      </c>
      <c r="X109" s="135" t="str">
        <f>IF(ISNA(VLOOKUP(A109,'Données projet (1)'!$A$35:$I$55,6,0)),0%,VLOOKUP(A109,'Données projet (1)'!$A$35:$I$55,6,0)*VLOOKUP('Données projet (1)'!$B$9,'Paramètres (1)'!$A$1:$I$88,7,0))</f>
        <v>#REF!</v>
      </c>
      <c r="Y109" s="135" t="str">
        <f t="shared" si="14"/>
        <v>#REF!</v>
      </c>
      <c r="Z109" s="142" t="str">
        <f>EXP(-LN(2)/35)*Z108+(1-EXP(-LN(2)/35))/(LN(2)/35)*V109*W109*VLOOKUP('Données projet (1)'!$B$9,'Paramètres (1)'!$A$1:$I$88,3,0)*0.475*44/12</f>
        <v>#REF!</v>
      </c>
      <c r="AA109" s="142" t="str">
        <f>EXP(-LN(2)/25)*AA108+(1-EXP(-LN(2)/25))/(LN(2)/25)*'Calculateur (1)'!V109*'Calculateur (1)'!X109*VLOOKUP('Données projet (1)'!$B$9,'Paramètres (1)'!$A$1:$I$88,3,0)*0.475*44/12</f>
        <v>#REF!</v>
      </c>
      <c r="AB109" s="142" t="str">
        <f>EXP(-LN(2)/2)*AB108+(1-EXP(-LN(2)/2))/(LN(2)/2)*V109*Y109*VLOOKUP('Données projet (1)'!$B$9,'Paramètres (1)'!$A$1:$I$88,3,0)*0.475*44/12</f>
        <v>#REF!</v>
      </c>
      <c r="AC109" s="143" t="str">
        <f t="shared" si="15"/>
        <v>#REF!</v>
      </c>
      <c r="AD109" s="130" t="str">
        <f t="shared" si="16"/>
        <v>#REF!</v>
      </c>
      <c r="AE109" s="130">
        <f t="shared" si="17"/>
        <v>10</v>
      </c>
      <c r="AF109" s="131" t="str">
        <f t="shared" si="112"/>
        <v>#REF!</v>
      </c>
      <c r="AG109" s="131" t="str">
        <f t="shared" si="18"/>
        <v>#REF!</v>
      </c>
      <c r="AH109" s="131" t="str">
        <f t="array" ref="AH109">INDEX(AG:AG,MIN(IF(ISNUMBER(AG109:AG305),ROW(AG109:AG305),"")))</f>
        <v/>
      </c>
      <c r="AI109" s="130" t="str">
        <f t="shared" si="113"/>
        <v>#REF!</v>
      </c>
      <c r="AJ109" s="130" t="str">
        <f>AI109*VLOOKUP('Données projet (1)'!$B$10,'Paramètres (1)'!$A$1:$I$88,3,0)*VLOOKUP('Données projet (1)'!$B$10,'Paramètres (1)'!$A$1:$I$88,5,0)</f>
        <v>#REF!</v>
      </c>
      <c r="AK109" s="130" t="str">
        <f t="shared" si="114"/>
        <v>#REF!</v>
      </c>
      <c r="AL109" s="141" t="str">
        <f t="shared" si="19"/>
        <v>#REF!</v>
      </c>
      <c r="AM109" s="133" t="str">
        <f t="shared" si="20"/>
        <v>#REF!</v>
      </c>
      <c r="AN109" s="133" t="str">
        <f t="shared" si="21"/>
        <v>#REF!</v>
      </c>
      <c r="AO109" s="133" t="str">
        <f t="shared" si="115"/>
        <v>#REF!</v>
      </c>
      <c r="AP109" s="134" t="str">
        <f t="shared" si="22"/>
        <v>#REF!</v>
      </c>
      <c r="AQ109" s="134" t="str">
        <f t="shared" si="23"/>
        <v>#REF!</v>
      </c>
      <c r="AR109" s="135" t="str">
        <f>IF(ISNA(VLOOKUP(A109,'Données projet (1)'!$A$61:$I$81,5,0)),0%,VLOOKUP(A109,'Données projet (1)'!$A$61:$I$81,5,0)*VLOOKUP('Données projet (1)'!$B$10,'Paramètres (1)'!$A$1:$I$88,7,0))</f>
        <v>#REF!</v>
      </c>
      <c r="AS109" s="135" t="str">
        <f>IF(ISNA(VLOOKUP(A109,'Données projet (1)'!$A$61:$I$81,6,0)),0%,VLOOKUP(A109,'Données projet (1)'!$A$61:$I$81,6,0)*VLOOKUP('Données projet (1)'!$B$10,'Paramètres (1)'!$A$1:$I$88,7,0))</f>
        <v>#REF!</v>
      </c>
      <c r="AT109" s="135" t="str">
        <f t="shared" si="24"/>
        <v>#REF!</v>
      </c>
      <c r="AU109" s="142" t="str">
        <f>EXP(-LN(2)/35)*AU108+(1-EXP(-LN(2)/35))/(LN(2)/35)*AQ109*AR109*VLOOKUP('Données projet (1)'!$B$10,'Paramètres (1)'!$A$1:$I$88,3,0)*0.475*44/12</f>
        <v>#REF!</v>
      </c>
      <c r="AV109" s="142" t="str">
        <f>EXP(-LN(2)/25)*AV108+(1-EXP(-LN(2)/25))/(LN(2)/25)*'Calculateur (1)'!AQ109*'Calculateur (1)'!AS109*VLOOKUP('Données projet (1)'!$B$10,'Paramètres (1)'!$A$1:$I$88,3,0)*0.475*44/12</f>
        <v>#REF!</v>
      </c>
      <c r="AW109" s="142" t="str">
        <f>EXP(-LN(2)/2)*AW108+(1-EXP(-LN(2)/2))/(LN(2)/2)*AQ109*AT109*VLOOKUP('Données projet (1)'!$B$10,'Paramètres (1)'!$A$1:$I$88,3,0)*0.475*44/12</f>
        <v>#REF!</v>
      </c>
      <c r="AX109" s="142" t="str">
        <f t="shared" si="25"/>
        <v>#REF!</v>
      </c>
      <c r="AY109" s="137" t="str">
        <f t="shared" si="26"/>
        <v>#REF!</v>
      </c>
      <c r="AZ109" s="131">
        <f t="shared" si="27"/>
        <v>10</v>
      </c>
      <c r="BA109" s="131" t="str">
        <f t="shared" si="116"/>
        <v>#REF!</v>
      </c>
      <c r="BB109" s="131" t="str">
        <f t="shared" si="28"/>
        <v>#REF!</v>
      </c>
      <c r="BC109" s="131" t="str">
        <f t="array" ref="BC109">INDEX(BB:BB,MIN(IF(ISNUMBER(BB109:BB305),ROW(BB109:BB305),"")))</f>
        <v/>
      </c>
      <c r="BD109" s="131" t="str">
        <f t="shared" si="117"/>
        <v>#REF!</v>
      </c>
      <c r="BE109" s="130" t="str">
        <f>BD109*VLOOKUP('Données projet (1)'!$B$11,'Paramètres (1)'!$A$1:$I$88,3,0)*VLOOKUP('Données projet (1)'!$B$11,'Paramètres (1)'!$A$1:$I$88,5,0)</f>
        <v>#REF!</v>
      </c>
      <c r="BF109" s="130" t="str">
        <f t="shared" si="118"/>
        <v>#REF!</v>
      </c>
      <c r="BG109" s="141" t="str">
        <f t="shared" si="29"/>
        <v>#REF!</v>
      </c>
      <c r="BH109" s="133" t="str">
        <f t="shared" si="30"/>
        <v>#REF!</v>
      </c>
      <c r="BI109" s="133" t="str">
        <f t="shared" si="31"/>
        <v>#REF!</v>
      </c>
      <c r="BJ109" s="133" t="str">
        <f t="shared" si="119"/>
        <v>#REF!</v>
      </c>
      <c r="BK109" s="134" t="str">
        <f t="shared" si="32"/>
        <v>#REF!</v>
      </c>
      <c r="BL109" s="134" t="str">
        <f t="shared" si="33"/>
        <v>#REF!</v>
      </c>
      <c r="BM109" s="135" t="str">
        <f>IF(ISNA(VLOOKUP(A109,'Données projet (1)'!$A$87:$I$107,5,0)),0%,VLOOKUP(A109,'Données projet (1)'!$A$87:$I$107,5,0)*VLOOKUP('Données projet (1)'!$B$11,'Paramètres (1)'!$A$1:$I$88,7,0))</f>
        <v>#REF!</v>
      </c>
      <c r="BN109" s="135" t="str">
        <f>IF(ISNA(VLOOKUP(A109,'Données projet (1)'!$A$87:$I$107,6,0)),0%,VLOOKUP(A109,'Données projet (1)'!$A$87:$I$107,6,0)*VLOOKUP('Données projet (1)'!$B$11,'Paramètres (1)'!$A$1:$I$88,7,0))</f>
        <v>#REF!</v>
      </c>
      <c r="BO109" s="135" t="str">
        <f t="shared" si="34"/>
        <v>#REF!</v>
      </c>
      <c r="BP109" s="142" t="str">
        <f>EXP(-LN(2)/35)*BP108+(1-EXP(-LN(2)/35))/(LN(2)/35)*BL109*BM109*VLOOKUP('Données projet (1)'!$B$11,'Paramètres (1)'!$A$1:$I$88,3,0)*0.475*44/12</f>
        <v>#REF!</v>
      </c>
      <c r="BQ109" s="142" t="str">
        <f>EXP(-LN(2)/25)*BQ108+(1-EXP(-LN(2)/25))/(LN(2)/25)*'Calculateur (1)'!BL109*'Calculateur (1)'!BN109*VLOOKUP('Données projet (1)'!$B$11,'Paramètres (1)'!$A$1:$I$88,3,0)*0.475*44/12</f>
        <v>#REF!</v>
      </c>
      <c r="BR109" s="142" t="str">
        <f>EXP(-LN(2)/2)*BR108+(1-EXP(-LN(2)/2))/(LN(2)/2)*BL109*BO109*VLOOKUP('Données projet (1)'!$B$11,'Paramètres (1)'!$A$1:$I$88,3,0)*0.475*44/12</f>
        <v>#REF!</v>
      </c>
      <c r="BS109" s="143" t="str">
        <f t="shared" si="35"/>
        <v>#REF!</v>
      </c>
      <c r="BT109" s="139" t="str">
        <f t="shared" si="36"/>
        <v>#REF!</v>
      </c>
      <c r="BU109" s="131">
        <f t="shared" si="37"/>
        <v>10</v>
      </c>
      <c r="BV109" s="131" t="str">
        <f t="shared" si="120"/>
        <v>#REF!</v>
      </c>
      <c r="BW109" s="131" t="str">
        <f t="shared" si="38"/>
        <v>#REF!</v>
      </c>
      <c r="BX109" s="131" t="str">
        <f t="array" ref="BX109">INDEX(BW:BW,MIN(IF(ISNUMBER(BW109:BW305),ROW(BW109:BW305),"")))</f>
        <v/>
      </c>
      <c r="BY109" s="131" t="str">
        <f t="shared" si="121"/>
        <v>#REF!</v>
      </c>
      <c r="BZ109" s="130" t="str">
        <f>BY109*VLOOKUP('Données projet (1)'!$B$12,'Paramètres (1)'!$A$1:$I$88,3,0)*VLOOKUP('Données projet (1)'!$B$12,'Paramètres (1)'!$A$1:$I$88,5,0)</f>
        <v>#REF!</v>
      </c>
      <c r="CA109" s="130" t="str">
        <f t="shared" si="122"/>
        <v>#REF!</v>
      </c>
      <c r="CB109" s="141" t="str">
        <f t="shared" si="39"/>
        <v>#REF!</v>
      </c>
      <c r="CC109" s="133" t="str">
        <f t="shared" si="40"/>
        <v>#REF!</v>
      </c>
      <c r="CD109" s="133" t="str">
        <f t="shared" si="41"/>
        <v>#REF!</v>
      </c>
      <c r="CE109" s="133" t="str">
        <f t="shared" si="123"/>
        <v>#REF!</v>
      </c>
      <c r="CF109" s="134" t="str">
        <f t="shared" si="42"/>
        <v>#REF!</v>
      </c>
      <c r="CG109" s="134" t="str">
        <f t="shared" si="43"/>
        <v>#REF!</v>
      </c>
      <c r="CH109" s="135" t="str">
        <f>IF(ISNA(VLOOKUP(A109,'Données projet (1)'!$A$113:$I$133,5,0)),0%,VLOOKUP(A109,'Données projet (1)'!$A$113:$I$133,5,0)*VLOOKUP('Données projet (1)'!$B$12,'Paramètres (1)'!$A$1:$I$88,7,0))</f>
        <v>#REF!</v>
      </c>
      <c r="CI109" s="135" t="str">
        <f>IF(ISNA(VLOOKUP(A109,'Données projet (1)'!$A$113:$I$133,6,0)),0%,VLOOKUP(A109,'Données projet (1)'!$A$113:$I$133,6,0)*VLOOKUP('Données projet (1)'!$B$12,'Paramètres (1)'!$A$1:$I$88,7,0))</f>
        <v>#REF!</v>
      </c>
      <c r="CJ109" s="135" t="str">
        <f t="shared" si="44"/>
        <v>#REF!</v>
      </c>
      <c r="CK109" s="142" t="str">
        <f>EXP(-LN(2)/35)*CK108+(1-EXP(-LN(2)/35))/(LN(2)/35)*CG109*CH109*VLOOKUP('Données projet (1)'!$B$12,'Paramètres (1)'!$A$1:$I$88,3,0)*0.475*44/12</f>
        <v>#REF!</v>
      </c>
      <c r="CL109" s="142" t="str">
        <f>EXP(-LN(2)/25)*CL108+(1-EXP(-LN(2)/25))/(LN(2)/25)*'Calculateur (1)'!CG109*'Calculateur (1)'!CI109*VLOOKUP('Données projet (1)'!$B$12,'Paramètres (1)'!$A$1:$I$88,3,0)*0.475*44/12</f>
        <v>#REF!</v>
      </c>
      <c r="CM109" s="142" t="str">
        <f>EXP(-LN(2)/2)*CM108+(1-EXP(-LN(2)/2))/(LN(2)/2)*CG109*CJ109*VLOOKUP('Données projet (1)'!$B$12,'Paramètres (1)'!$A$1:$I$88,3,0)*0.475*44/12</f>
        <v>#REF!</v>
      </c>
      <c r="CN109" s="143" t="str">
        <f t="shared" si="45"/>
        <v>#REF!</v>
      </c>
      <c r="CO109" s="139" t="str">
        <f t="shared" si="46"/>
        <v>#REF!</v>
      </c>
      <c r="CP109" s="131">
        <f t="shared" si="47"/>
        <v>10</v>
      </c>
      <c r="CQ109" s="131" t="str">
        <f t="shared" si="124"/>
        <v>#REF!</v>
      </c>
      <c r="CR109" s="131" t="str">
        <f t="shared" si="48"/>
        <v>#REF!</v>
      </c>
      <c r="CS109" s="131" t="str">
        <f t="array" ref="CS109">INDEX(CR:CR,MIN(IF(ISNUMBER(CR109:CR305),ROW(CR109:CR305),"")))</f>
        <v/>
      </c>
      <c r="CT109" s="131" t="str">
        <f t="shared" si="125"/>
        <v>#REF!</v>
      </c>
      <c r="CU109" s="138" t="str">
        <f>CT109*VLOOKUP('Données projet (1)'!$B$13,'Paramètres (1)'!$A$1:$I$88,3,0)*VLOOKUP('Données projet (1)'!$B$13,'Paramètres (1)'!$A$1:$I$88,5,0)</f>
        <v>#REF!</v>
      </c>
      <c r="CV109" s="130" t="str">
        <f t="shared" si="126"/>
        <v>#REF!</v>
      </c>
      <c r="CW109" s="141" t="str">
        <f t="shared" si="49"/>
        <v>#REF!</v>
      </c>
      <c r="CX109" s="133" t="str">
        <f t="shared" si="50"/>
        <v>#REF!</v>
      </c>
      <c r="CY109" s="133" t="str">
        <f t="shared" si="51"/>
        <v>#REF!</v>
      </c>
      <c r="CZ109" s="133" t="str">
        <f t="shared" si="127"/>
        <v>#REF!</v>
      </c>
      <c r="DA109" s="134" t="str">
        <f t="shared" si="52"/>
        <v>#REF!</v>
      </c>
      <c r="DB109" s="134" t="str">
        <f t="shared" si="53"/>
        <v>#REF!</v>
      </c>
      <c r="DC109" s="135" t="str">
        <f>IF(ISNA(VLOOKUP(A109,'Données projet (1)'!$A$139:$I$159,5,0)),0%,VLOOKUP(A109,'Données projet (1)'!$A$139:$I$159,5,0)*VLOOKUP('Données projet (1)'!$B$13,'Paramètres (1)'!$A$1:$I$88,7,0))</f>
        <v>#REF!</v>
      </c>
      <c r="DD109" s="135" t="str">
        <f>IF(ISNA(VLOOKUP(A109,'Données projet (1)'!$A$139:$I$159,6,0)),0%,VLOOKUP(A109,'Données projet (1)'!$A$139:$I$159,6,0)*VLOOKUP('Données projet (1)'!$B$13,'Paramètres (1)'!$A$1:$I$88,7,0))</f>
        <v>#REF!</v>
      </c>
      <c r="DE109" s="135" t="str">
        <f t="shared" si="54"/>
        <v>#REF!</v>
      </c>
      <c r="DF109" s="142" t="str">
        <f>EXP(-LN(2)/35)*DF108+(1-EXP(-LN(2)/35))/(LN(2)/35)*DB109*DC109*VLOOKUP('Données projet (1)'!$B$13,'Paramètres (1)'!$A$1:$I$88,3,0)*0.475*44/12</f>
        <v>#REF!</v>
      </c>
      <c r="DG109" s="142" t="str">
        <f>EXP(-LN(2)/25)*DG108+(1-EXP(-LN(2)/25))/(LN(2)/25)*'Calculateur (1)'!DB109*'Calculateur (1)'!DD109*VLOOKUP('Données projet (1)'!$B$13,'Paramètres (1)'!$A$1:$I$88,3,0)*0.475*44/12</f>
        <v>#REF!</v>
      </c>
      <c r="DH109" s="142" t="str">
        <f>EXP(-LN(2)/2)*DH108+(1-EXP(-LN(2)/2))/(LN(2)/2)*DB109*DE109*VLOOKUP('Données projet (1)'!$B$13,'Paramètres (1)'!$A$1:$I$88,3,0)*0.475*44/12</f>
        <v>#REF!</v>
      </c>
      <c r="DI109" s="143" t="str">
        <f t="shared" si="55"/>
        <v>#REF!</v>
      </c>
      <c r="DJ109" s="139" t="str">
        <f t="shared" si="56"/>
        <v>#REF!</v>
      </c>
      <c r="DK109" s="131">
        <f t="shared" si="57"/>
        <v>10</v>
      </c>
      <c r="DL109" s="131" t="str">
        <f t="shared" si="128"/>
        <v>#REF!</v>
      </c>
      <c r="DM109" s="131" t="str">
        <f t="shared" si="58"/>
        <v>#REF!</v>
      </c>
      <c r="DN109" s="131" t="str">
        <f t="array" ref="DN109">INDEX(DM:DM,MIN(IF(ISNUMBER(DM109:DM305),ROW(DM109:DM305),"")))</f>
        <v/>
      </c>
      <c r="DO109" s="131" t="str">
        <f t="shared" si="129"/>
        <v>#REF!</v>
      </c>
      <c r="DP109" s="138" t="str">
        <f>DO109*VLOOKUP('Données projet (1)'!$B$14,'Paramètres (1)'!$A$1:$I$88,3,0)*VLOOKUP('Données projet (1)'!$B$14,'Paramètres (1)'!$A$1:$I$88,5,0)</f>
        <v>#REF!</v>
      </c>
      <c r="DQ109" s="130" t="str">
        <f t="shared" si="130"/>
        <v>#REF!</v>
      </c>
      <c r="DR109" s="141" t="str">
        <f t="shared" si="59"/>
        <v>#REF!</v>
      </c>
      <c r="DS109" s="133" t="str">
        <f t="shared" si="60"/>
        <v>#REF!</v>
      </c>
      <c r="DT109" s="133" t="str">
        <f t="shared" si="61"/>
        <v>#REF!</v>
      </c>
      <c r="DU109" s="133" t="str">
        <f t="shared" si="131"/>
        <v>#REF!</v>
      </c>
      <c r="DV109" s="134" t="str">
        <f t="shared" si="62"/>
        <v>#REF!</v>
      </c>
      <c r="DW109" s="134" t="str">
        <f t="shared" si="63"/>
        <v>#REF!</v>
      </c>
      <c r="DX109" s="135" t="str">
        <f>IF(ISNA(VLOOKUP(A109,'Données projet (1)'!$A$165:$I$185,5,0)),0%,VLOOKUP(A109,'Données projet (1)'!$A$165:$I$185,5,0)*VLOOKUP('Données projet (1)'!$B$14,'Paramètres (1)'!$A$1:$I$88,7,0))</f>
        <v>#REF!</v>
      </c>
      <c r="DY109" s="135" t="str">
        <f>IF(ISNA(VLOOKUP(A109,'Données projet (1)'!$A$165:$I$185,6,0)),0%,VLOOKUP(A109,'Données projet (1)'!$A$165:$I$185,6,0)*VLOOKUP('Données projet (1)'!$B$14,'Paramètres (1)'!$A$1:$I$88,7,0))</f>
        <v>#REF!</v>
      </c>
      <c r="DZ109" s="135" t="str">
        <f t="shared" si="64"/>
        <v>#REF!</v>
      </c>
      <c r="EA109" s="142" t="str">
        <f>EXP(-LN(2)/35)*EA108+(1-EXP(-LN(2)/35))/(LN(2)/35)*DW109*DX109*VLOOKUP('Données projet (1)'!$B$14,'Paramètres (1)'!$A$1:$I$88,3,0)*0.475*44/12</f>
        <v>#REF!</v>
      </c>
      <c r="EB109" s="142" t="str">
        <f>EXP(-LN(2)/25)*EB108+(1-EXP(-LN(2)/25))/(LN(2)/25)*'Calculateur (1)'!DW109*'Calculateur (1)'!DY109*VLOOKUP('Données projet (1)'!$B$14,'Paramètres (1)'!$A$1:$I$88,3,0)*0.475*44/12</f>
        <v>#REF!</v>
      </c>
      <c r="EC109" s="142" t="str">
        <f>EXP(-LN(2)/2)*EC108+(1-EXP(-LN(2)/2))/(LN(2)/2)*DW109*DZ109*VLOOKUP('Données projet (1)'!$B$14,'Paramètres (1)'!$A$1:$I$88,3,0)*0.475*44/12</f>
        <v>#REF!</v>
      </c>
      <c r="ED109" s="143" t="str">
        <f t="shared" si="65"/>
        <v>#REF!</v>
      </c>
      <c r="EE109" s="139" t="str">
        <f t="shared" si="66"/>
        <v>#REF!</v>
      </c>
      <c r="EF109" s="131">
        <f t="shared" si="67"/>
        <v>10</v>
      </c>
      <c r="EG109" s="131" t="str">
        <f t="shared" si="132"/>
        <v>#REF!</v>
      </c>
      <c r="EH109" s="131" t="str">
        <f t="shared" si="68"/>
        <v>#REF!</v>
      </c>
      <c r="EI109" s="131" t="str">
        <f t="array" ref="EI109">INDEX(EH:EH,MIN(IF(ISNUMBER(EH109:EH305),ROW(EH109:EH305),"")))</f>
        <v/>
      </c>
      <c r="EJ109" s="131" t="str">
        <f t="shared" si="133"/>
        <v>#REF!</v>
      </c>
      <c r="EK109" s="138" t="str">
        <f>EJ109*VLOOKUP('Données projet (1)'!$B$15,'Paramètres (1)'!$A$1:$I$88,3,0)*VLOOKUP('Données projet (1)'!$B$15,'Paramètres (1)'!$A$1:$I$88,5,0)</f>
        <v>#REF!</v>
      </c>
      <c r="EL109" s="130" t="str">
        <f t="shared" si="134"/>
        <v>#REF!</v>
      </c>
      <c r="EM109" s="141" t="str">
        <f t="shared" si="69"/>
        <v>#REF!</v>
      </c>
      <c r="EN109" s="133" t="str">
        <f t="shared" si="70"/>
        <v>#REF!</v>
      </c>
      <c r="EO109" s="133" t="str">
        <f t="shared" si="71"/>
        <v>#REF!</v>
      </c>
      <c r="EP109" s="133" t="str">
        <f t="shared" si="135"/>
        <v>#REF!</v>
      </c>
      <c r="EQ109" s="134" t="str">
        <f t="shared" si="72"/>
        <v>#REF!</v>
      </c>
      <c r="ER109" s="134" t="str">
        <f t="shared" si="73"/>
        <v>#REF!</v>
      </c>
      <c r="ES109" s="135" t="str">
        <f>IF(ISNA(VLOOKUP(A109,'Données projet (1)'!$A$191:$I$211,5,0)),0%,VLOOKUP(A109,'Données projet (1)'!$A$191:$I$211,5,0)*VLOOKUP('Données projet (1)'!$B$15,'Paramètres (1)'!$A$1:$I$88,7,0))</f>
        <v>#REF!</v>
      </c>
      <c r="ET109" s="135" t="str">
        <f>IF(ISNA(VLOOKUP(A109,'Données projet (1)'!$A$191:$I$211,6,0)),0%,VLOOKUP(A109,'Données projet (1)'!$A$191:$I$211,6,0)*VLOOKUP('Données projet (1)'!$B$15,'Paramètres (1)'!$A$1:$I$88,7,0))</f>
        <v>#REF!</v>
      </c>
      <c r="EU109" s="135" t="str">
        <f t="shared" si="74"/>
        <v>#REF!</v>
      </c>
      <c r="EV109" s="142" t="str">
        <f>EXP(-LN(2)/35)*EV108+(1-EXP(-LN(2)/35))/(LN(2)/35)*ER109*ES109*VLOOKUP('Données projet (1)'!$B$15,'Paramètres (1)'!$A$1:$I$88,3,0)*0.475*44/12</f>
        <v>#REF!</v>
      </c>
      <c r="EW109" s="142" t="str">
        <f>EXP(-LN(2)/25)*EW108+(1-EXP(-LN(2)/25))/(LN(2)/25)*'Calculateur (1)'!ER109*'Calculateur (1)'!ET109*VLOOKUP('Données projet (1)'!$B$15,'Paramètres (1)'!$A$1:$I$88,3,0)*0.475*44/12</f>
        <v>#REF!</v>
      </c>
      <c r="EX109" s="142" t="str">
        <f>EXP(-LN(2)/2)*EX108+(1-EXP(-LN(2)/2))/(LN(2)/2)*ER109*EU109*VLOOKUP('Données projet (1)'!$B$15,'Paramètres (1)'!$A$1:$I$88,3,0)*0.475*44/12</f>
        <v>#REF!</v>
      </c>
      <c r="EY109" s="143" t="str">
        <f t="shared" si="75"/>
        <v>#REF!</v>
      </c>
      <c r="EZ109" s="139" t="str">
        <f t="shared" si="76"/>
        <v>#REF!</v>
      </c>
      <c r="FA109" s="131">
        <f t="shared" si="77"/>
        <v>10</v>
      </c>
      <c r="FB109" s="131" t="str">
        <f t="shared" si="136"/>
        <v>#REF!</v>
      </c>
      <c r="FC109" s="131" t="str">
        <f t="shared" si="78"/>
        <v>#REF!</v>
      </c>
      <c r="FD109" s="131" t="str">
        <f t="array" ref="FD109">INDEX(FC:FC,MIN(IF(ISNUMBER(FC109:FC305),ROW(FC109:FC305),"")))</f>
        <v/>
      </c>
      <c r="FE109" s="131" t="str">
        <f t="shared" si="137"/>
        <v>#REF!</v>
      </c>
      <c r="FF109" s="138" t="str">
        <f>FE109*VLOOKUP('Données projet (1)'!$B$16,'Paramètres (1)'!$A$1:$I$88,3,0)*VLOOKUP('Données projet (1)'!$B$16,'Paramètres (1)'!$A$1:$I$88,5,0)</f>
        <v>#REF!</v>
      </c>
      <c r="FG109" s="130" t="str">
        <f t="shared" si="138"/>
        <v>#REF!</v>
      </c>
      <c r="FH109" s="141" t="str">
        <f t="shared" si="79"/>
        <v>#REF!</v>
      </c>
      <c r="FI109" s="133" t="str">
        <f t="shared" si="80"/>
        <v>#REF!</v>
      </c>
      <c r="FJ109" s="133" t="str">
        <f t="shared" si="81"/>
        <v>#REF!</v>
      </c>
      <c r="FK109" s="133" t="str">
        <f t="shared" si="139"/>
        <v>#REF!</v>
      </c>
      <c r="FL109" s="134" t="str">
        <f t="shared" si="82"/>
        <v>#REF!</v>
      </c>
      <c r="FM109" s="134" t="str">
        <f t="shared" si="83"/>
        <v>#REF!</v>
      </c>
      <c r="FN109" s="135" t="str">
        <f>IF(ISNA(VLOOKUP(A109,'Données projet (1)'!$A$217:$I$237,5,0)),0%,VLOOKUP(A109,'Données projet (1)'!$A$217:$I$237,5,0)*VLOOKUP('Données projet (1)'!$B$16,'Paramètres (1)'!$A$1:$I$88,7,0))</f>
        <v>#REF!</v>
      </c>
      <c r="FO109" s="135" t="str">
        <f>IF(ISNA(VLOOKUP(A109,'Données projet (1)'!$A$217:$I$237,6,0)),0%,VLOOKUP(A109,'Données projet (1)'!$A$217:$I$237,6,0)*VLOOKUP('Données projet (1)'!$B$16,'Paramètres (1)'!$A$1:$I$88,7,0))</f>
        <v>#REF!</v>
      </c>
      <c r="FP109" s="135" t="str">
        <f t="shared" si="84"/>
        <v>#REF!</v>
      </c>
      <c r="FQ109" s="142" t="str">
        <f>EXP(-LN(2)/35)*FQ108+(1-EXP(-LN(2)/35))/(LN(2)/35)*FM109*FN109*VLOOKUP('Données projet (1)'!$B$16,'Paramètres (1)'!$A$1:$I$88,3,0)*0.475*44/12</f>
        <v>#REF!</v>
      </c>
      <c r="FR109" s="142" t="str">
        <f>EXP(-LN(2)/25)*FR108+(1-EXP(-LN(2)/25))/(LN(2)/25)*'Calculateur (1)'!FM109*'Calculateur (1)'!FO109*VLOOKUP('Données projet (1)'!$B$16,'Paramètres (1)'!$A$1:$I$88,3,0)*0.475*44/12</f>
        <v>#REF!</v>
      </c>
      <c r="FS109" s="142" t="str">
        <f>EXP(-LN(2)/2)*FS108+(1-EXP(-LN(2)/2))/(LN(2)/2)*FM109*FP109*VLOOKUP('Données projet (1)'!$B$16,'Paramètres (1)'!$A$1:$I$88,3,0)*0.475*44/12</f>
        <v>#REF!</v>
      </c>
      <c r="FT109" s="143" t="str">
        <f t="shared" si="85"/>
        <v>#REF!</v>
      </c>
      <c r="FU109" s="139" t="str">
        <f t="shared" si="86"/>
        <v>#REF!</v>
      </c>
      <c r="FV109" s="131">
        <f t="shared" si="87"/>
        <v>10</v>
      </c>
      <c r="FW109" s="131" t="str">
        <f t="shared" si="140"/>
        <v>#REF!</v>
      </c>
      <c r="FX109" s="131" t="str">
        <f t="shared" si="88"/>
        <v>#REF!</v>
      </c>
      <c r="FY109" s="131" t="str">
        <f t="array" ref="FY109">INDEX(FX:FX,MIN(IF(ISNUMBER(FX109:FX305),ROW(FX109:FX305),"")))</f>
        <v/>
      </c>
      <c r="FZ109" s="131" t="str">
        <f t="shared" si="141"/>
        <v>#REF!</v>
      </c>
      <c r="GA109" s="138" t="str">
        <f>FZ109*VLOOKUP('Données projet (1)'!$B$17,'Paramètres (1)'!$A$1:$I$88,3,0)*VLOOKUP('Données projet (1)'!$B$17,'Paramètres (1)'!$A$1:$I$88,5,0)</f>
        <v>#REF!</v>
      </c>
      <c r="GB109" s="130" t="str">
        <f t="shared" si="142"/>
        <v>#REF!</v>
      </c>
      <c r="GC109" s="141" t="str">
        <f t="shared" si="89"/>
        <v>#REF!</v>
      </c>
      <c r="GD109" s="133" t="str">
        <f t="shared" si="90"/>
        <v>#REF!</v>
      </c>
      <c r="GE109" s="133" t="str">
        <f t="shared" si="91"/>
        <v>#REF!</v>
      </c>
      <c r="GF109" s="133" t="str">
        <f t="shared" si="143"/>
        <v>#REF!</v>
      </c>
      <c r="GG109" s="134" t="str">
        <f t="shared" si="92"/>
        <v>#REF!</v>
      </c>
      <c r="GH109" s="134" t="str">
        <f t="shared" si="93"/>
        <v>#REF!</v>
      </c>
      <c r="GI109" s="135" t="str">
        <f>IF(ISNA(VLOOKUP(A109,'Données projet (1)'!$A$243:$I$263,5,0)),0%,VLOOKUP(A109,'Données projet (1)'!$A$243:$I$263,5,0)*VLOOKUP('Données projet (1)'!$B$17,'Paramètres (1)'!$A$1:$I$88,7,0))</f>
        <v>#REF!</v>
      </c>
      <c r="GJ109" s="135" t="str">
        <f>IF(ISNA(VLOOKUP(A109,'Données projet (1)'!$A$243:$I$263,6,0)),0%,VLOOKUP(A109,'Données projet (1)'!$A$243:$I$263,6,0)*VLOOKUP('Données projet (1)'!$B$17,'Paramètres (1)'!$A$1:$I$88,7,0))</f>
        <v>#REF!</v>
      </c>
      <c r="GK109" s="135" t="str">
        <f t="shared" si="94"/>
        <v>#REF!</v>
      </c>
      <c r="GL109" s="142" t="str">
        <f>EXP(-LN(2)/35)*GL108+(1-EXP(-LN(2)/35))/(LN(2)/35)*GH109*GI109*VLOOKUP('Données projet (1)'!$B$17,'Paramètres (1)'!$A$1:$I$88,3,0)*0.475*44/12</f>
        <v>#REF!</v>
      </c>
      <c r="GM109" s="142" t="str">
        <f>EXP(-LN(2)/25)*GM108+(1-EXP(-LN(2)/25))/(LN(2)/25)*'Calculateur (1)'!GH109*'Calculateur (1)'!GJ109*VLOOKUP('Données projet (1)'!$B$17,'Paramètres (1)'!$A$1:$I$88,3,0)*0.475*44/12</f>
        <v>#REF!</v>
      </c>
      <c r="GN109" s="142" t="str">
        <f>EXP(-LN(2)/2)*GN108+(1-EXP(-LN(2)/2))/(LN(2)/2)*GH109*GK109*VLOOKUP('Données projet (1)'!$B$17,'Paramètres (1)'!$A$1:$I$88,3,0)*0.475*44/12</f>
        <v>#REF!</v>
      </c>
      <c r="GO109" s="142" t="str">
        <f t="shared" si="95"/>
        <v>#REF!</v>
      </c>
      <c r="GP109" s="139" t="str">
        <f t="shared" si="96"/>
        <v>#REF!</v>
      </c>
      <c r="GQ109" s="131">
        <f t="shared" si="97"/>
        <v>10</v>
      </c>
      <c r="GR109" s="131" t="str">
        <f t="shared" si="144"/>
        <v>#REF!</v>
      </c>
      <c r="GS109" s="131" t="str">
        <f t="shared" si="98"/>
        <v>#REF!</v>
      </c>
      <c r="GT109" s="131" t="str">
        <f t="array" ref="GT109">INDEX(GS:GS,MIN(IF(ISNUMBER(GS109:GS305),ROW(GS109:GS305),"")))</f>
        <v/>
      </c>
      <c r="GU109" s="131" t="str">
        <f t="shared" si="145"/>
        <v>#REF!</v>
      </c>
      <c r="GV109" s="138" t="str">
        <f>GU109*VLOOKUP('Données projet (1)'!$B$18,'Paramètres (1)'!$A$1:$I$88,3,0)*VLOOKUP('Données projet (1)'!$B$18,'Paramètres (1)'!$A$1:$I$88,5,0)</f>
        <v>#REF!</v>
      </c>
      <c r="GW109" s="130" t="str">
        <f t="shared" si="146"/>
        <v>#REF!</v>
      </c>
      <c r="GX109" s="141" t="str">
        <f t="shared" si="99"/>
        <v>#REF!</v>
      </c>
      <c r="GY109" s="133" t="str">
        <f t="shared" si="100"/>
        <v>#REF!</v>
      </c>
      <c r="GZ109" s="133" t="str">
        <f t="shared" si="101"/>
        <v>#REF!</v>
      </c>
      <c r="HA109" s="133" t="str">
        <f t="shared" si="147"/>
        <v>#REF!</v>
      </c>
      <c r="HB109" s="134" t="str">
        <f t="shared" si="102"/>
        <v>#REF!</v>
      </c>
      <c r="HC109" s="134" t="str">
        <f t="shared" si="103"/>
        <v>#REF!</v>
      </c>
      <c r="HD109" s="135" t="str">
        <f>IF(ISNA(VLOOKUP(A109,'Données projet (1)'!$A$269:$I$289,5,0)),0%,VLOOKUP(A109,'Données projet (1)'!$A$269:$I$289,5,0)*VLOOKUP('Données projet (1)'!$B$18,'Paramètres (1)'!$A$1:$I$88,7,0))</f>
        <v>#REF!</v>
      </c>
      <c r="HE109" s="135" t="str">
        <f>IF(ISNA(VLOOKUP(A109,'Données projet (1)'!$A$269:$I$289,6,0)),0%,VLOOKUP(A109,'Données projet (1)'!$A$269:$I$289,6,0)*VLOOKUP('Données projet (1)'!$B$18,'Paramètres (1)'!$A$1:$I$88,7,0))</f>
        <v>#REF!</v>
      </c>
      <c r="HF109" s="135" t="str">
        <f t="shared" si="104"/>
        <v>#REF!</v>
      </c>
      <c r="HG109" s="142" t="str">
        <f>EXP(-LN(2)/35)*HG108+(1-EXP(-LN(2)/35))/(LN(2)/35)*HC109*HD109*VLOOKUP('Données projet (1)'!$B$18,'Paramètres (1)'!$A$1:$I$88,3,0)*0.475*44/12</f>
        <v>#REF!</v>
      </c>
      <c r="HH109" s="142" t="str">
        <f>EXP(-LN(2)/25)*HH108+(1-EXP(-LN(2)/25))/(LN(2)/25)*'Calculateur (1)'!HC109*'Calculateur (1)'!HE109*VLOOKUP('Données projet (1)'!$B$18,'Paramètres (1)'!$A$1:$I$88,3,0)*0.475*44/12</f>
        <v>#REF!</v>
      </c>
      <c r="HI109" s="142" t="str">
        <f>EXP(-LN(2)/2)*HI108+(1-EXP(-LN(2)/2))/(LN(2)/2)*HC109*HF109*VLOOKUP('Données projet (1)'!$B$18,'Paramètres (1)'!$A$1:$I$88,3,0)*0.475*44/12</f>
        <v>#REF!</v>
      </c>
      <c r="HJ109" s="143" t="str">
        <f t="shared" si="105"/>
        <v>#REF!</v>
      </c>
    </row>
    <row r="110" ht="14.25" customHeight="1">
      <c r="A110" s="125">
        <f t="shared" si="106"/>
        <v>107</v>
      </c>
      <c r="B110" s="126" t="str">
        <f t="shared" si="1"/>
        <v>#REF!</v>
      </c>
      <c r="C110" s="140" t="str">
        <f>'Calculateur (1)'!C109+'Scénario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0" s="127">
        <f t="shared" si="107"/>
        <v>0</v>
      </c>
      <c r="E110" s="127" t="str">
        <f t="shared" si="2"/>
        <v>#REF!</v>
      </c>
      <c r="F110" s="127" t="str">
        <f t="shared" si="3"/>
        <v>#REF!</v>
      </c>
      <c r="G110" s="127" t="str">
        <f t="shared" si="4"/>
        <v>#REF!</v>
      </c>
      <c r="H110" s="128" t="str">
        <f t="shared" si="5"/>
        <v>#REF!</v>
      </c>
      <c r="I110" s="129" t="str">
        <f t="shared" si="6"/>
        <v>#REF!</v>
      </c>
      <c r="J110" s="130">
        <f t="shared" si="7"/>
        <v>10</v>
      </c>
      <c r="K110" s="131" t="str">
        <f t="shared" si="108"/>
        <v>#REF!</v>
      </c>
      <c r="L110" s="131" t="str">
        <f t="shared" si="8"/>
        <v>#REF!</v>
      </c>
      <c r="M110" s="131" t="str">
        <f t="array" ref="M110">INDEX(L:L,MIN(IF(ISNUMBER(L110:L306),ROW(L110:L306),"")))</f>
        <v/>
      </c>
      <c r="N110" s="130" t="str">
        <f t="shared" si="109"/>
        <v>#REF!</v>
      </c>
      <c r="O110" s="130" t="str">
        <f>N110*VLOOKUP('Données projet (1)'!$B$9,'Paramètres (1)'!$A$1:$I$88,3,0)*VLOOKUP('Données projet (1)'!$B$9,'Paramètres (1)'!$A$1:$I$88,5,0)</f>
        <v>#REF!</v>
      </c>
      <c r="P110" s="130" t="str">
        <f t="shared" si="110"/>
        <v>#REF!</v>
      </c>
      <c r="Q110" s="141" t="str">
        <f t="shared" si="9"/>
        <v>#REF!</v>
      </c>
      <c r="R110" s="133" t="str">
        <f t="shared" si="10"/>
        <v>#REF!</v>
      </c>
      <c r="S110" s="133" t="str">
        <f t="shared" si="11"/>
        <v>#REF!</v>
      </c>
      <c r="T110" s="133" t="str">
        <f t="shared" si="111"/>
        <v>#REF!</v>
      </c>
      <c r="U110" s="134" t="str">
        <f t="shared" si="12"/>
        <v>#REF!</v>
      </c>
      <c r="V110" s="134" t="str">
        <f t="shared" si="13"/>
        <v>#REF!</v>
      </c>
      <c r="W110" s="135" t="str">
        <f>IF(ISNA(VLOOKUP(A110,'Données projet (1)'!$A$35:$I$55,5,0)),0%,VLOOKUP(A110,'Données projet (1)'!$A$35:$I$55,5,0)*VLOOKUP('Données projet (1)'!$B$9,'Paramètres (1)'!$A$1:$I$88,7,0))</f>
        <v>#REF!</v>
      </c>
      <c r="X110" s="135" t="str">
        <f>IF(ISNA(VLOOKUP(A110,'Données projet (1)'!$A$35:$I$55,6,0)),0%,VLOOKUP(A110,'Données projet (1)'!$A$35:$I$55,6,0)*VLOOKUP('Données projet (1)'!$B$9,'Paramètres (1)'!$A$1:$I$88,7,0))</f>
        <v>#REF!</v>
      </c>
      <c r="Y110" s="135" t="str">
        <f t="shared" si="14"/>
        <v>#REF!</v>
      </c>
      <c r="Z110" s="142" t="str">
        <f>EXP(-LN(2)/35)*Z109+(1-EXP(-LN(2)/35))/(LN(2)/35)*V110*W110*VLOOKUP('Données projet (1)'!$B$9,'Paramètres (1)'!$A$1:$I$88,3,0)*0.475*44/12</f>
        <v>#REF!</v>
      </c>
      <c r="AA110" s="142" t="str">
        <f>EXP(-LN(2)/25)*AA109+(1-EXP(-LN(2)/25))/(LN(2)/25)*'Calculateur (1)'!V110*'Calculateur (1)'!X110*VLOOKUP('Données projet (1)'!$B$9,'Paramètres (1)'!$A$1:$I$88,3,0)*0.475*44/12</f>
        <v>#REF!</v>
      </c>
      <c r="AB110" s="142" t="str">
        <f>EXP(-LN(2)/2)*AB109+(1-EXP(-LN(2)/2))/(LN(2)/2)*V110*Y110*VLOOKUP('Données projet (1)'!$B$9,'Paramètres (1)'!$A$1:$I$88,3,0)*0.475*44/12</f>
        <v>#REF!</v>
      </c>
      <c r="AC110" s="143" t="str">
        <f t="shared" si="15"/>
        <v>#REF!</v>
      </c>
      <c r="AD110" s="130" t="str">
        <f t="shared" si="16"/>
        <v>#REF!</v>
      </c>
      <c r="AE110" s="130">
        <f t="shared" si="17"/>
        <v>10</v>
      </c>
      <c r="AF110" s="131" t="str">
        <f t="shared" si="112"/>
        <v>#REF!</v>
      </c>
      <c r="AG110" s="131" t="str">
        <f t="shared" si="18"/>
        <v>#REF!</v>
      </c>
      <c r="AH110" s="131" t="str">
        <f t="array" ref="AH110">INDEX(AG:AG,MIN(IF(ISNUMBER(AG110:AG306),ROW(AG110:AG306),"")))</f>
        <v/>
      </c>
      <c r="AI110" s="130" t="str">
        <f t="shared" si="113"/>
        <v>#REF!</v>
      </c>
      <c r="AJ110" s="130" t="str">
        <f>AI110*VLOOKUP('Données projet (1)'!$B$10,'Paramètres (1)'!$A$1:$I$88,3,0)*VLOOKUP('Données projet (1)'!$B$10,'Paramètres (1)'!$A$1:$I$88,5,0)</f>
        <v>#REF!</v>
      </c>
      <c r="AK110" s="130" t="str">
        <f t="shared" si="114"/>
        <v>#REF!</v>
      </c>
      <c r="AL110" s="141" t="str">
        <f t="shared" si="19"/>
        <v>#REF!</v>
      </c>
      <c r="AM110" s="133" t="str">
        <f t="shared" si="20"/>
        <v>#REF!</v>
      </c>
      <c r="AN110" s="133" t="str">
        <f t="shared" si="21"/>
        <v>#REF!</v>
      </c>
      <c r="AO110" s="133" t="str">
        <f t="shared" si="115"/>
        <v>#REF!</v>
      </c>
      <c r="AP110" s="134" t="str">
        <f t="shared" si="22"/>
        <v>#REF!</v>
      </c>
      <c r="AQ110" s="134" t="str">
        <f t="shared" si="23"/>
        <v>#REF!</v>
      </c>
      <c r="AR110" s="135" t="str">
        <f>IF(ISNA(VLOOKUP(A110,'Données projet (1)'!$A$61:$I$81,5,0)),0%,VLOOKUP(A110,'Données projet (1)'!$A$61:$I$81,5,0)*VLOOKUP('Données projet (1)'!$B$10,'Paramètres (1)'!$A$1:$I$88,7,0))</f>
        <v>#REF!</v>
      </c>
      <c r="AS110" s="135" t="str">
        <f>IF(ISNA(VLOOKUP(A110,'Données projet (1)'!$A$61:$I$81,6,0)),0%,VLOOKUP(A110,'Données projet (1)'!$A$61:$I$81,6,0)*VLOOKUP('Données projet (1)'!$B$10,'Paramètres (1)'!$A$1:$I$88,7,0))</f>
        <v>#REF!</v>
      </c>
      <c r="AT110" s="135" t="str">
        <f t="shared" si="24"/>
        <v>#REF!</v>
      </c>
      <c r="AU110" s="142" t="str">
        <f>EXP(-LN(2)/35)*AU109+(1-EXP(-LN(2)/35))/(LN(2)/35)*AQ110*AR110*VLOOKUP('Données projet (1)'!$B$10,'Paramètres (1)'!$A$1:$I$88,3,0)*0.475*44/12</f>
        <v>#REF!</v>
      </c>
      <c r="AV110" s="142" t="str">
        <f>EXP(-LN(2)/25)*AV109+(1-EXP(-LN(2)/25))/(LN(2)/25)*'Calculateur (1)'!AQ110*'Calculateur (1)'!AS110*VLOOKUP('Données projet (1)'!$B$10,'Paramètres (1)'!$A$1:$I$88,3,0)*0.475*44/12</f>
        <v>#REF!</v>
      </c>
      <c r="AW110" s="142" t="str">
        <f>EXP(-LN(2)/2)*AW109+(1-EXP(-LN(2)/2))/(LN(2)/2)*AQ110*AT110*VLOOKUP('Données projet (1)'!$B$10,'Paramètres (1)'!$A$1:$I$88,3,0)*0.475*44/12</f>
        <v>#REF!</v>
      </c>
      <c r="AX110" s="142" t="str">
        <f t="shared" si="25"/>
        <v>#REF!</v>
      </c>
      <c r="AY110" s="137" t="str">
        <f t="shared" si="26"/>
        <v>#REF!</v>
      </c>
      <c r="AZ110" s="131">
        <f t="shared" si="27"/>
        <v>10</v>
      </c>
      <c r="BA110" s="131" t="str">
        <f t="shared" si="116"/>
        <v>#REF!</v>
      </c>
      <c r="BB110" s="131" t="str">
        <f t="shared" si="28"/>
        <v>#REF!</v>
      </c>
      <c r="BC110" s="131" t="str">
        <f t="array" ref="BC110">INDEX(BB:BB,MIN(IF(ISNUMBER(BB110:BB306),ROW(BB110:BB306),"")))</f>
        <v/>
      </c>
      <c r="BD110" s="131" t="str">
        <f t="shared" si="117"/>
        <v>#REF!</v>
      </c>
      <c r="BE110" s="130" t="str">
        <f>BD110*VLOOKUP('Données projet (1)'!$B$11,'Paramètres (1)'!$A$1:$I$88,3,0)*VLOOKUP('Données projet (1)'!$B$11,'Paramètres (1)'!$A$1:$I$88,5,0)</f>
        <v>#REF!</v>
      </c>
      <c r="BF110" s="130" t="str">
        <f t="shared" si="118"/>
        <v>#REF!</v>
      </c>
      <c r="BG110" s="141" t="str">
        <f t="shared" si="29"/>
        <v>#REF!</v>
      </c>
      <c r="BH110" s="133" t="str">
        <f t="shared" si="30"/>
        <v>#REF!</v>
      </c>
      <c r="BI110" s="133" t="str">
        <f t="shared" si="31"/>
        <v>#REF!</v>
      </c>
      <c r="BJ110" s="133" t="str">
        <f t="shared" si="119"/>
        <v>#REF!</v>
      </c>
      <c r="BK110" s="134" t="str">
        <f t="shared" si="32"/>
        <v>#REF!</v>
      </c>
      <c r="BL110" s="134" t="str">
        <f t="shared" si="33"/>
        <v>#REF!</v>
      </c>
      <c r="BM110" s="135" t="str">
        <f>IF(ISNA(VLOOKUP(A110,'Données projet (1)'!$A$87:$I$107,5,0)),0%,VLOOKUP(A110,'Données projet (1)'!$A$87:$I$107,5,0)*VLOOKUP('Données projet (1)'!$B$11,'Paramètres (1)'!$A$1:$I$88,7,0))</f>
        <v>#REF!</v>
      </c>
      <c r="BN110" s="135" t="str">
        <f>IF(ISNA(VLOOKUP(A110,'Données projet (1)'!$A$87:$I$107,6,0)),0%,VLOOKUP(A110,'Données projet (1)'!$A$87:$I$107,6,0)*VLOOKUP('Données projet (1)'!$B$11,'Paramètres (1)'!$A$1:$I$88,7,0))</f>
        <v>#REF!</v>
      </c>
      <c r="BO110" s="135" t="str">
        <f t="shared" si="34"/>
        <v>#REF!</v>
      </c>
      <c r="BP110" s="142" t="str">
        <f>EXP(-LN(2)/35)*BP109+(1-EXP(-LN(2)/35))/(LN(2)/35)*BL110*BM110*VLOOKUP('Données projet (1)'!$B$11,'Paramètres (1)'!$A$1:$I$88,3,0)*0.475*44/12</f>
        <v>#REF!</v>
      </c>
      <c r="BQ110" s="142" t="str">
        <f>EXP(-LN(2)/25)*BQ109+(1-EXP(-LN(2)/25))/(LN(2)/25)*'Calculateur (1)'!BL110*'Calculateur (1)'!BN110*VLOOKUP('Données projet (1)'!$B$11,'Paramètres (1)'!$A$1:$I$88,3,0)*0.475*44/12</f>
        <v>#REF!</v>
      </c>
      <c r="BR110" s="142" t="str">
        <f>EXP(-LN(2)/2)*BR109+(1-EXP(-LN(2)/2))/(LN(2)/2)*BL110*BO110*VLOOKUP('Données projet (1)'!$B$11,'Paramètres (1)'!$A$1:$I$88,3,0)*0.475*44/12</f>
        <v>#REF!</v>
      </c>
      <c r="BS110" s="143" t="str">
        <f t="shared" si="35"/>
        <v>#REF!</v>
      </c>
      <c r="BT110" s="139" t="str">
        <f t="shared" si="36"/>
        <v>#REF!</v>
      </c>
      <c r="BU110" s="131">
        <f t="shared" si="37"/>
        <v>10</v>
      </c>
      <c r="BV110" s="131" t="str">
        <f t="shared" si="120"/>
        <v>#REF!</v>
      </c>
      <c r="BW110" s="131" t="str">
        <f t="shared" si="38"/>
        <v>#REF!</v>
      </c>
      <c r="BX110" s="131" t="str">
        <f t="array" ref="BX110">INDEX(BW:BW,MIN(IF(ISNUMBER(BW110:BW306),ROW(BW110:BW306),"")))</f>
        <v/>
      </c>
      <c r="BY110" s="131" t="str">
        <f t="shared" si="121"/>
        <v>#REF!</v>
      </c>
      <c r="BZ110" s="130" t="str">
        <f>BY110*VLOOKUP('Données projet (1)'!$B$12,'Paramètres (1)'!$A$1:$I$88,3,0)*VLOOKUP('Données projet (1)'!$B$12,'Paramètres (1)'!$A$1:$I$88,5,0)</f>
        <v>#REF!</v>
      </c>
      <c r="CA110" s="130" t="str">
        <f t="shared" si="122"/>
        <v>#REF!</v>
      </c>
      <c r="CB110" s="141" t="str">
        <f t="shared" si="39"/>
        <v>#REF!</v>
      </c>
      <c r="CC110" s="133" t="str">
        <f t="shared" si="40"/>
        <v>#REF!</v>
      </c>
      <c r="CD110" s="133" t="str">
        <f t="shared" si="41"/>
        <v>#REF!</v>
      </c>
      <c r="CE110" s="133" t="str">
        <f t="shared" si="123"/>
        <v>#REF!</v>
      </c>
      <c r="CF110" s="134" t="str">
        <f t="shared" si="42"/>
        <v>#REF!</v>
      </c>
      <c r="CG110" s="134" t="str">
        <f t="shared" si="43"/>
        <v>#REF!</v>
      </c>
      <c r="CH110" s="135" t="str">
        <f>IF(ISNA(VLOOKUP(A110,'Données projet (1)'!$A$113:$I$133,5,0)),0%,VLOOKUP(A110,'Données projet (1)'!$A$113:$I$133,5,0)*VLOOKUP('Données projet (1)'!$B$12,'Paramètres (1)'!$A$1:$I$88,7,0))</f>
        <v>#REF!</v>
      </c>
      <c r="CI110" s="135" t="str">
        <f>IF(ISNA(VLOOKUP(A110,'Données projet (1)'!$A$113:$I$133,6,0)),0%,VLOOKUP(A110,'Données projet (1)'!$A$113:$I$133,6,0)*VLOOKUP('Données projet (1)'!$B$12,'Paramètres (1)'!$A$1:$I$88,7,0))</f>
        <v>#REF!</v>
      </c>
      <c r="CJ110" s="135" t="str">
        <f t="shared" si="44"/>
        <v>#REF!</v>
      </c>
      <c r="CK110" s="142" t="str">
        <f>EXP(-LN(2)/35)*CK109+(1-EXP(-LN(2)/35))/(LN(2)/35)*CG110*CH110*VLOOKUP('Données projet (1)'!$B$12,'Paramètres (1)'!$A$1:$I$88,3,0)*0.475*44/12</f>
        <v>#REF!</v>
      </c>
      <c r="CL110" s="142" t="str">
        <f>EXP(-LN(2)/25)*CL109+(1-EXP(-LN(2)/25))/(LN(2)/25)*'Calculateur (1)'!CG110*'Calculateur (1)'!CI110*VLOOKUP('Données projet (1)'!$B$12,'Paramètres (1)'!$A$1:$I$88,3,0)*0.475*44/12</f>
        <v>#REF!</v>
      </c>
      <c r="CM110" s="142" t="str">
        <f>EXP(-LN(2)/2)*CM109+(1-EXP(-LN(2)/2))/(LN(2)/2)*CG110*CJ110*VLOOKUP('Données projet (1)'!$B$12,'Paramètres (1)'!$A$1:$I$88,3,0)*0.475*44/12</f>
        <v>#REF!</v>
      </c>
      <c r="CN110" s="143" t="str">
        <f t="shared" si="45"/>
        <v>#REF!</v>
      </c>
      <c r="CO110" s="139" t="str">
        <f t="shared" si="46"/>
        <v>#REF!</v>
      </c>
      <c r="CP110" s="131">
        <f t="shared" si="47"/>
        <v>10</v>
      </c>
      <c r="CQ110" s="131" t="str">
        <f t="shared" si="124"/>
        <v>#REF!</v>
      </c>
      <c r="CR110" s="131" t="str">
        <f t="shared" si="48"/>
        <v>#REF!</v>
      </c>
      <c r="CS110" s="131" t="str">
        <f t="array" ref="CS110">INDEX(CR:CR,MIN(IF(ISNUMBER(CR110:CR306),ROW(CR110:CR306),"")))</f>
        <v/>
      </c>
      <c r="CT110" s="131" t="str">
        <f t="shared" si="125"/>
        <v>#REF!</v>
      </c>
      <c r="CU110" s="138" t="str">
        <f>CT110*VLOOKUP('Données projet (1)'!$B$13,'Paramètres (1)'!$A$1:$I$88,3,0)*VLOOKUP('Données projet (1)'!$B$13,'Paramètres (1)'!$A$1:$I$88,5,0)</f>
        <v>#REF!</v>
      </c>
      <c r="CV110" s="130" t="str">
        <f t="shared" si="126"/>
        <v>#REF!</v>
      </c>
      <c r="CW110" s="141" t="str">
        <f t="shared" si="49"/>
        <v>#REF!</v>
      </c>
      <c r="CX110" s="133" t="str">
        <f t="shared" si="50"/>
        <v>#REF!</v>
      </c>
      <c r="CY110" s="133" t="str">
        <f t="shared" si="51"/>
        <v>#REF!</v>
      </c>
      <c r="CZ110" s="133" t="str">
        <f t="shared" si="127"/>
        <v>#REF!</v>
      </c>
      <c r="DA110" s="134" t="str">
        <f t="shared" si="52"/>
        <v>#REF!</v>
      </c>
      <c r="DB110" s="134" t="str">
        <f t="shared" si="53"/>
        <v>#REF!</v>
      </c>
      <c r="DC110" s="135" t="str">
        <f>IF(ISNA(VLOOKUP(A110,'Données projet (1)'!$A$139:$I$159,5,0)),0%,VLOOKUP(A110,'Données projet (1)'!$A$139:$I$159,5,0)*VLOOKUP('Données projet (1)'!$B$13,'Paramètres (1)'!$A$1:$I$88,7,0))</f>
        <v>#REF!</v>
      </c>
      <c r="DD110" s="135" t="str">
        <f>IF(ISNA(VLOOKUP(A110,'Données projet (1)'!$A$139:$I$159,6,0)),0%,VLOOKUP(A110,'Données projet (1)'!$A$139:$I$159,6,0)*VLOOKUP('Données projet (1)'!$B$13,'Paramètres (1)'!$A$1:$I$88,7,0))</f>
        <v>#REF!</v>
      </c>
      <c r="DE110" s="135" t="str">
        <f t="shared" si="54"/>
        <v>#REF!</v>
      </c>
      <c r="DF110" s="142" t="str">
        <f>EXP(-LN(2)/35)*DF109+(1-EXP(-LN(2)/35))/(LN(2)/35)*DB110*DC110*VLOOKUP('Données projet (1)'!$B$13,'Paramètres (1)'!$A$1:$I$88,3,0)*0.475*44/12</f>
        <v>#REF!</v>
      </c>
      <c r="DG110" s="142" t="str">
        <f>EXP(-LN(2)/25)*DG109+(1-EXP(-LN(2)/25))/(LN(2)/25)*'Calculateur (1)'!DB110*'Calculateur (1)'!DD110*VLOOKUP('Données projet (1)'!$B$13,'Paramètres (1)'!$A$1:$I$88,3,0)*0.475*44/12</f>
        <v>#REF!</v>
      </c>
      <c r="DH110" s="142" t="str">
        <f>EXP(-LN(2)/2)*DH109+(1-EXP(-LN(2)/2))/(LN(2)/2)*DB110*DE110*VLOOKUP('Données projet (1)'!$B$13,'Paramètres (1)'!$A$1:$I$88,3,0)*0.475*44/12</f>
        <v>#REF!</v>
      </c>
      <c r="DI110" s="143" t="str">
        <f t="shared" si="55"/>
        <v>#REF!</v>
      </c>
      <c r="DJ110" s="139" t="str">
        <f t="shared" si="56"/>
        <v>#REF!</v>
      </c>
      <c r="DK110" s="131">
        <f t="shared" si="57"/>
        <v>10</v>
      </c>
      <c r="DL110" s="131" t="str">
        <f t="shared" si="128"/>
        <v>#REF!</v>
      </c>
      <c r="DM110" s="131" t="str">
        <f t="shared" si="58"/>
        <v>#REF!</v>
      </c>
      <c r="DN110" s="131" t="str">
        <f t="array" ref="DN110">INDEX(DM:DM,MIN(IF(ISNUMBER(DM110:DM306),ROW(DM110:DM306),"")))</f>
        <v/>
      </c>
      <c r="DO110" s="131" t="str">
        <f t="shared" si="129"/>
        <v>#REF!</v>
      </c>
      <c r="DP110" s="138" t="str">
        <f>DO110*VLOOKUP('Données projet (1)'!$B$14,'Paramètres (1)'!$A$1:$I$88,3,0)*VLOOKUP('Données projet (1)'!$B$14,'Paramètres (1)'!$A$1:$I$88,5,0)</f>
        <v>#REF!</v>
      </c>
      <c r="DQ110" s="130" t="str">
        <f t="shared" si="130"/>
        <v>#REF!</v>
      </c>
      <c r="DR110" s="141" t="str">
        <f t="shared" si="59"/>
        <v>#REF!</v>
      </c>
      <c r="DS110" s="133" t="str">
        <f t="shared" si="60"/>
        <v>#REF!</v>
      </c>
      <c r="DT110" s="133" t="str">
        <f t="shared" si="61"/>
        <v>#REF!</v>
      </c>
      <c r="DU110" s="133" t="str">
        <f t="shared" si="131"/>
        <v>#REF!</v>
      </c>
      <c r="DV110" s="134" t="str">
        <f t="shared" si="62"/>
        <v>#REF!</v>
      </c>
      <c r="DW110" s="134" t="str">
        <f t="shared" si="63"/>
        <v>#REF!</v>
      </c>
      <c r="DX110" s="135" t="str">
        <f>IF(ISNA(VLOOKUP(A110,'Données projet (1)'!$A$165:$I$185,5,0)),0%,VLOOKUP(A110,'Données projet (1)'!$A$165:$I$185,5,0)*VLOOKUP('Données projet (1)'!$B$14,'Paramètres (1)'!$A$1:$I$88,7,0))</f>
        <v>#REF!</v>
      </c>
      <c r="DY110" s="135" t="str">
        <f>IF(ISNA(VLOOKUP(A110,'Données projet (1)'!$A$165:$I$185,6,0)),0%,VLOOKUP(A110,'Données projet (1)'!$A$165:$I$185,6,0)*VLOOKUP('Données projet (1)'!$B$14,'Paramètres (1)'!$A$1:$I$88,7,0))</f>
        <v>#REF!</v>
      </c>
      <c r="DZ110" s="135" t="str">
        <f t="shared" si="64"/>
        <v>#REF!</v>
      </c>
      <c r="EA110" s="142" t="str">
        <f>EXP(-LN(2)/35)*EA109+(1-EXP(-LN(2)/35))/(LN(2)/35)*DW110*DX110*VLOOKUP('Données projet (1)'!$B$14,'Paramètres (1)'!$A$1:$I$88,3,0)*0.475*44/12</f>
        <v>#REF!</v>
      </c>
      <c r="EB110" s="142" t="str">
        <f>EXP(-LN(2)/25)*EB109+(1-EXP(-LN(2)/25))/(LN(2)/25)*'Calculateur (1)'!DW110*'Calculateur (1)'!DY110*VLOOKUP('Données projet (1)'!$B$14,'Paramètres (1)'!$A$1:$I$88,3,0)*0.475*44/12</f>
        <v>#REF!</v>
      </c>
      <c r="EC110" s="142" t="str">
        <f>EXP(-LN(2)/2)*EC109+(1-EXP(-LN(2)/2))/(LN(2)/2)*DW110*DZ110*VLOOKUP('Données projet (1)'!$B$14,'Paramètres (1)'!$A$1:$I$88,3,0)*0.475*44/12</f>
        <v>#REF!</v>
      </c>
      <c r="ED110" s="143" t="str">
        <f t="shared" si="65"/>
        <v>#REF!</v>
      </c>
      <c r="EE110" s="139" t="str">
        <f t="shared" si="66"/>
        <v>#REF!</v>
      </c>
      <c r="EF110" s="131">
        <f t="shared" si="67"/>
        <v>10</v>
      </c>
      <c r="EG110" s="131" t="str">
        <f t="shared" si="132"/>
        <v>#REF!</v>
      </c>
      <c r="EH110" s="131" t="str">
        <f t="shared" si="68"/>
        <v>#REF!</v>
      </c>
      <c r="EI110" s="131" t="str">
        <f t="array" ref="EI110">INDEX(EH:EH,MIN(IF(ISNUMBER(EH110:EH306),ROW(EH110:EH306),"")))</f>
        <v/>
      </c>
      <c r="EJ110" s="131" t="str">
        <f t="shared" si="133"/>
        <v>#REF!</v>
      </c>
      <c r="EK110" s="138" t="str">
        <f>EJ110*VLOOKUP('Données projet (1)'!$B$15,'Paramètres (1)'!$A$1:$I$88,3,0)*VLOOKUP('Données projet (1)'!$B$15,'Paramètres (1)'!$A$1:$I$88,5,0)</f>
        <v>#REF!</v>
      </c>
      <c r="EL110" s="130" t="str">
        <f t="shared" si="134"/>
        <v>#REF!</v>
      </c>
      <c r="EM110" s="141" t="str">
        <f t="shared" si="69"/>
        <v>#REF!</v>
      </c>
      <c r="EN110" s="133" t="str">
        <f t="shared" si="70"/>
        <v>#REF!</v>
      </c>
      <c r="EO110" s="133" t="str">
        <f t="shared" si="71"/>
        <v>#REF!</v>
      </c>
      <c r="EP110" s="133" t="str">
        <f t="shared" si="135"/>
        <v>#REF!</v>
      </c>
      <c r="EQ110" s="134" t="str">
        <f t="shared" si="72"/>
        <v>#REF!</v>
      </c>
      <c r="ER110" s="134" t="str">
        <f t="shared" si="73"/>
        <v>#REF!</v>
      </c>
      <c r="ES110" s="135" t="str">
        <f>IF(ISNA(VLOOKUP(A110,'Données projet (1)'!$A$191:$I$211,5,0)),0%,VLOOKUP(A110,'Données projet (1)'!$A$191:$I$211,5,0)*VLOOKUP('Données projet (1)'!$B$15,'Paramètres (1)'!$A$1:$I$88,7,0))</f>
        <v>#REF!</v>
      </c>
      <c r="ET110" s="135" t="str">
        <f>IF(ISNA(VLOOKUP(A110,'Données projet (1)'!$A$191:$I$211,6,0)),0%,VLOOKUP(A110,'Données projet (1)'!$A$191:$I$211,6,0)*VLOOKUP('Données projet (1)'!$B$15,'Paramètres (1)'!$A$1:$I$88,7,0))</f>
        <v>#REF!</v>
      </c>
      <c r="EU110" s="135" t="str">
        <f t="shared" si="74"/>
        <v>#REF!</v>
      </c>
      <c r="EV110" s="142" t="str">
        <f>EXP(-LN(2)/35)*EV109+(1-EXP(-LN(2)/35))/(LN(2)/35)*ER110*ES110*VLOOKUP('Données projet (1)'!$B$15,'Paramètres (1)'!$A$1:$I$88,3,0)*0.475*44/12</f>
        <v>#REF!</v>
      </c>
      <c r="EW110" s="142" t="str">
        <f>EXP(-LN(2)/25)*EW109+(1-EXP(-LN(2)/25))/(LN(2)/25)*'Calculateur (1)'!ER110*'Calculateur (1)'!ET110*VLOOKUP('Données projet (1)'!$B$15,'Paramètres (1)'!$A$1:$I$88,3,0)*0.475*44/12</f>
        <v>#REF!</v>
      </c>
      <c r="EX110" s="142" t="str">
        <f>EXP(-LN(2)/2)*EX109+(1-EXP(-LN(2)/2))/(LN(2)/2)*ER110*EU110*VLOOKUP('Données projet (1)'!$B$15,'Paramètres (1)'!$A$1:$I$88,3,0)*0.475*44/12</f>
        <v>#REF!</v>
      </c>
      <c r="EY110" s="143" t="str">
        <f t="shared" si="75"/>
        <v>#REF!</v>
      </c>
      <c r="EZ110" s="139" t="str">
        <f t="shared" si="76"/>
        <v>#REF!</v>
      </c>
      <c r="FA110" s="131">
        <f t="shared" si="77"/>
        <v>10</v>
      </c>
      <c r="FB110" s="131" t="str">
        <f t="shared" si="136"/>
        <v>#REF!</v>
      </c>
      <c r="FC110" s="131" t="str">
        <f t="shared" si="78"/>
        <v>#REF!</v>
      </c>
      <c r="FD110" s="131" t="str">
        <f t="array" ref="FD110">INDEX(FC:FC,MIN(IF(ISNUMBER(FC110:FC306),ROW(FC110:FC306),"")))</f>
        <v/>
      </c>
      <c r="FE110" s="131" t="str">
        <f t="shared" si="137"/>
        <v>#REF!</v>
      </c>
      <c r="FF110" s="138" t="str">
        <f>FE110*VLOOKUP('Données projet (1)'!$B$16,'Paramètres (1)'!$A$1:$I$88,3,0)*VLOOKUP('Données projet (1)'!$B$16,'Paramètres (1)'!$A$1:$I$88,5,0)</f>
        <v>#REF!</v>
      </c>
      <c r="FG110" s="130" t="str">
        <f t="shared" si="138"/>
        <v>#REF!</v>
      </c>
      <c r="FH110" s="141" t="str">
        <f t="shared" si="79"/>
        <v>#REF!</v>
      </c>
      <c r="FI110" s="133" t="str">
        <f t="shared" si="80"/>
        <v>#REF!</v>
      </c>
      <c r="FJ110" s="133" t="str">
        <f t="shared" si="81"/>
        <v>#REF!</v>
      </c>
      <c r="FK110" s="133" t="str">
        <f t="shared" si="139"/>
        <v>#REF!</v>
      </c>
      <c r="FL110" s="134" t="str">
        <f t="shared" si="82"/>
        <v>#REF!</v>
      </c>
      <c r="FM110" s="134" t="str">
        <f t="shared" si="83"/>
        <v>#REF!</v>
      </c>
      <c r="FN110" s="135" t="str">
        <f>IF(ISNA(VLOOKUP(A110,'Données projet (1)'!$A$217:$I$237,5,0)),0%,VLOOKUP(A110,'Données projet (1)'!$A$217:$I$237,5,0)*VLOOKUP('Données projet (1)'!$B$16,'Paramètres (1)'!$A$1:$I$88,7,0))</f>
        <v>#REF!</v>
      </c>
      <c r="FO110" s="135" t="str">
        <f>IF(ISNA(VLOOKUP(A110,'Données projet (1)'!$A$217:$I$237,6,0)),0%,VLOOKUP(A110,'Données projet (1)'!$A$217:$I$237,6,0)*VLOOKUP('Données projet (1)'!$B$16,'Paramètres (1)'!$A$1:$I$88,7,0))</f>
        <v>#REF!</v>
      </c>
      <c r="FP110" s="135" t="str">
        <f t="shared" si="84"/>
        <v>#REF!</v>
      </c>
      <c r="FQ110" s="142" t="str">
        <f>EXP(-LN(2)/35)*FQ109+(1-EXP(-LN(2)/35))/(LN(2)/35)*FM110*FN110*VLOOKUP('Données projet (1)'!$B$16,'Paramètres (1)'!$A$1:$I$88,3,0)*0.475*44/12</f>
        <v>#REF!</v>
      </c>
      <c r="FR110" s="142" t="str">
        <f>EXP(-LN(2)/25)*FR109+(1-EXP(-LN(2)/25))/(LN(2)/25)*'Calculateur (1)'!FM110*'Calculateur (1)'!FO110*VLOOKUP('Données projet (1)'!$B$16,'Paramètres (1)'!$A$1:$I$88,3,0)*0.475*44/12</f>
        <v>#REF!</v>
      </c>
      <c r="FS110" s="142" t="str">
        <f>EXP(-LN(2)/2)*FS109+(1-EXP(-LN(2)/2))/(LN(2)/2)*FM110*FP110*VLOOKUP('Données projet (1)'!$B$16,'Paramètres (1)'!$A$1:$I$88,3,0)*0.475*44/12</f>
        <v>#REF!</v>
      </c>
      <c r="FT110" s="143" t="str">
        <f t="shared" si="85"/>
        <v>#REF!</v>
      </c>
      <c r="FU110" s="139" t="str">
        <f t="shared" si="86"/>
        <v>#REF!</v>
      </c>
      <c r="FV110" s="131">
        <f t="shared" si="87"/>
        <v>10</v>
      </c>
      <c r="FW110" s="131" t="str">
        <f t="shared" si="140"/>
        <v>#REF!</v>
      </c>
      <c r="FX110" s="131" t="str">
        <f t="shared" si="88"/>
        <v>#REF!</v>
      </c>
      <c r="FY110" s="131" t="str">
        <f t="array" ref="FY110">INDEX(FX:FX,MIN(IF(ISNUMBER(FX110:FX306),ROW(FX110:FX306),"")))</f>
        <v/>
      </c>
      <c r="FZ110" s="131" t="str">
        <f t="shared" si="141"/>
        <v>#REF!</v>
      </c>
      <c r="GA110" s="138" t="str">
        <f>FZ110*VLOOKUP('Données projet (1)'!$B$17,'Paramètres (1)'!$A$1:$I$88,3,0)*VLOOKUP('Données projet (1)'!$B$17,'Paramètres (1)'!$A$1:$I$88,5,0)</f>
        <v>#REF!</v>
      </c>
      <c r="GB110" s="130" t="str">
        <f t="shared" si="142"/>
        <v>#REF!</v>
      </c>
      <c r="GC110" s="141" t="str">
        <f t="shared" si="89"/>
        <v>#REF!</v>
      </c>
      <c r="GD110" s="133" t="str">
        <f t="shared" si="90"/>
        <v>#REF!</v>
      </c>
      <c r="GE110" s="133" t="str">
        <f t="shared" si="91"/>
        <v>#REF!</v>
      </c>
      <c r="GF110" s="133" t="str">
        <f t="shared" si="143"/>
        <v>#REF!</v>
      </c>
      <c r="GG110" s="134" t="str">
        <f t="shared" si="92"/>
        <v>#REF!</v>
      </c>
      <c r="GH110" s="134" t="str">
        <f t="shared" si="93"/>
        <v>#REF!</v>
      </c>
      <c r="GI110" s="135" t="str">
        <f>IF(ISNA(VLOOKUP(A110,'Données projet (1)'!$A$243:$I$263,5,0)),0%,VLOOKUP(A110,'Données projet (1)'!$A$243:$I$263,5,0)*VLOOKUP('Données projet (1)'!$B$17,'Paramètres (1)'!$A$1:$I$88,7,0))</f>
        <v>#REF!</v>
      </c>
      <c r="GJ110" s="135" t="str">
        <f>IF(ISNA(VLOOKUP(A110,'Données projet (1)'!$A$243:$I$263,6,0)),0%,VLOOKUP(A110,'Données projet (1)'!$A$243:$I$263,6,0)*VLOOKUP('Données projet (1)'!$B$17,'Paramètres (1)'!$A$1:$I$88,7,0))</f>
        <v>#REF!</v>
      </c>
      <c r="GK110" s="135" t="str">
        <f t="shared" si="94"/>
        <v>#REF!</v>
      </c>
      <c r="GL110" s="142" t="str">
        <f>EXP(-LN(2)/35)*GL109+(1-EXP(-LN(2)/35))/(LN(2)/35)*GH110*GI110*VLOOKUP('Données projet (1)'!$B$17,'Paramètres (1)'!$A$1:$I$88,3,0)*0.475*44/12</f>
        <v>#REF!</v>
      </c>
      <c r="GM110" s="142" t="str">
        <f>EXP(-LN(2)/25)*GM109+(1-EXP(-LN(2)/25))/(LN(2)/25)*'Calculateur (1)'!GH110*'Calculateur (1)'!GJ110*VLOOKUP('Données projet (1)'!$B$17,'Paramètres (1)'!$A$1:$I$88,3,0)*0.475*44/12</f>
        <v>#REF!</v>
      </c>
      <c r="GN110" s="142" t="str">
        <f>EXP(-LN(2)/2)*GN109+(1-EXP(-LN(2)/2))/(LN(2)/2)*GH110*GK110*VLOOKUP('Données projet (1)'!$B$17,'Paramètres (1)'!$A$1:$I$88,3,0)*0.475*44/12</f>
        <v>#REF!</v>
      </c>
      <c r="GO110" s="142" t="str">
        <f t="shared" si="95"/>
        <v>#REF!</v>
      </c>
      <c r="GP110" s="139" t="str">
        <f t="shared" si="96"/>
        <v>#REF!</v>
      </c>
      <c r="GQ110" s="131">
        <f t="shared" si="97"/>
        <v>10</v>
      </c>
      <c r="GR110" s="131" t="str">
        <f t="shared" si="144"/>
        <v>#REF!</v>
      </c>
      <c r="GS110" s="131" t="str">
        <f t="shared" si="98"/>
        <v>#REF!</v>
      </c>
      <c r="GT110" s="131" t="str">
        <f t="array" ref="GT110">INDEX(GS:GS,MIN(IF(ISNUMBER(GS110:GS306),ROW(GS110:GS306),"")))</f>
        <v/>
      </c>
      <c r="GU110" s="131" t="str">
        <f t="shared" si="145"/>
        <v>#REF!</v>
      </c>
      <c r="GV110" s="138" t="str">
        <f>GU110*VLOOKUP('Données projet (1)'!$B$18,'Paramètres (1)'!$A$1:$I$88,3,0)*VLOOKUP('Données projet (1)'!$B$18,'Paramètres (1)'!$A$1:$I$88,5,0)</f>
        <v>#REF!</v>
      </c>
      <c r="GW110" s="130" t="str">
        <f t="shared" si="146"/>
        <v>#REF!</v>
      </c>
      <c r="GX110" s="141" t="str">
        <f t="shared" si="99"/>
        <v>#REF!</v>
      </c>
      <c r="GY110" s="133" t="str">
        <f t="shared" si="100"/>
        <v>#REF!</v>
      </c>
      <c r="GZ110" s="133" t="str">
        <f t="shared" si="101"/>
        <v>#REF!</v>
      </c>
      <c r="HA110" s="133" t="str">
        <f t="shared" si="147"/>
        <v>#REF!</v>
      </c>
      <c r="HB110" s="134" t="str">
        <f t="shared" si="102"/>
        <v>#REF!</v>
      </c>
      <c r="HC110" s="134" t="str">
        <f t="shared" si="103"/>
        <v>#REF!</v>
      </c>
      <c r="HD110" s="135" t="str">
        <f>IF(ISNA(VLOOKUP(A110,'Données projet (1)'!$A$269:$I$289,5,0)),0%,VLOOKUP(A110,'Données projet (1)'!$A$269:$I$289,5,0)*VLOOKUP('Données projet (1)'!$B$18,'Paramètres (1)'!$A$1:$I$88,7,0))</f>
        <v>#REF!</v>
      </c>
      <c r="HE110" s="135" t="str">
        <f>IF(ISNA(VLOOKUP(A110,'Données projet (1)'!$A$269:$I$289,6,0)),0%,VLOOKUP(A110,'Données projet (1)'!$A$269:$I$289,6,0)*VLOOKUP('Données projet (1)'!$B$18,'Paramètres (1)'!$A$1:$I$88,7,0))</f>
        <v>#REF!</v>
      </c>
      <c r="HF110" s="135" t="str">
        <f t="shared" si="104"/>
        <v>#REF!</v>
      </c>
      <c r="HG110" s="142" t="str">
        <f>EXP(-LN(2)/35)*HG109+(1-EXP(-LN(2)/35))/(LN(2)/35)*HC110*HD110*VLOOKUP('Données projet (1)'!$B$18,'Paramètres (1)'!$A$1:$I$88,3,0)*0.475*44/12</f>
        <v>#REF!</v>
      </c>
      <c r="HH110" s="142" t="str">
        <f>EXP(-LN(2)/25)*HH109+(1-EXP(-LN(2)/25))/(LN(2)/25)*'Calculateur (1)'!HC110*'Calculateur (1)'!HE110*VLOOKUP('Données projet (1)'!$B$18,'Paramètres (1)'!$A$1:$I$88,3,0)*0.475*44/12</f>
        <v>#REF!</v>
      </c>
      <c r="HI110" s="142" t="str">
        <f>EXP(-LN(2)/2)*HI109+(1-EXP(-LN(2)/2))/(LN(2)/2)*HC110*HF110*VLOOKUP('Données projet (1)'!$B$18,'Paramètres (1)'!$A$1:$I$88,3,0)*0.475*44/12</f>
        <v>#REF!</v>
      </c>
      <c r="HJ110" s="143" t="str">
        <f t="shared" si="105"/>
        <v>#REF!</v>
      </c>
    </row>
    <row r="111" ht="14.25" customHeight="1">
      <c r="A111" s="125">
        <f t="shared" si="106"/>
        <v>108</v>
      </c>
      <c r="B111" s="126" t="str">
        <f t="shared" si="1"/>
        <v>#REF!</v>
      </c>
      <c r="C111" s="140" t="str">
        <f>'Calculateur (1)'!C110+'Scénario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1" s="127">
        <f t="shared" si="107"/>
        <v>0</v>
      </c>
      <c r="E111" s="127" t="str">
        <f t="shared" si="2"/>
        <v>#REF!</v>
      </c>
      <c r="F111" s="127" t="str">
        <f t="shared" si="3"/>
        <v>#REF!</v>
      </c>
      <c r="G111" s="127" t="str">
        <f t="shared" si="4"/>
        <v>#REF!</v>
      </c>
      <c r="H111" s="128" t="str">
        <f t="shared" si="5"/>
        <v>#REF!</v>
      </c>
      <c r="I111" s="129" t="str">
        <f t="shared" si="6"/>
        <v>#REF!</v>
      </c>
      <c r="J111" s="130">
        <f t="shared" si="7"/>
        <v>10</v>
      </c>
      <c r="K111" s="131" t="str">
        <f t="shared" si="108"/>
        <v>#REF!</v>
      </c>
      <c r="L111" s="131" t="str">
        <f t="shared" si="8"/>
        <v>#REF!</v>
      </c>
      <c r="M111" s="131" t="str">
        <f t="array" ref="M111">INDEX(L:L,MIN(IF(ISNUMBER(L111:L307),ROW(L111:L307),"")))</f>
        <v/>
      </c>
      <c r="N111" s="130" t="str">
        <f t="shared" si="109"/>
        <v>#REF!</v>
      </c>
      <c r="O111" s="130" t="str">
        <f>N111*VLOOKUP('Données projet (1)'!$B$9,'Paramètres (1)'!$A$1:$I$88,3,0)*VLOOKUP('Données projet (1)'!$B$9,'Paramètres (1)'!$A$1:$I$88,5,0)</f>
        <v>#REF!</v>
      </c>
      <c r="P111" s="130" t="str">
        <f t="shared" si="110"/>
        <v>#REF!</v>
      </c>
      <c r="Q111" s="141" t="str">
        <f t="shared" si="9"/>
        <v>#REF!</v>
      </c>
      <c r="R111" s="133" t="str">
        <f t="shared" si="10"/>
        <v>#REF!</v>
      </c>
      <c r="S111" s="133" t="str">
        <f t="shared" si="11"/>
        <v>#REF!</v>
      </c>
      <c r="T111" s="133" t="str">
        <f t="shared" si="111"/>
        <v>#REF!</v>
      </c>
      <c r="U111" s="134" t="str">
        <f t="shared" si="12"/>
        <v>#REF!</v>
      </c>
      <c r="V111" s="134" t="str">
        <f t="shared" si="13"/>
        <v>#REF!</v>
      </c>
      <c r="W111" s="135" t="str">
        <f>IF(ISNA(VLOOKUP(A111,'Données projet (1)'!$A$35:$I$55,5,0)),0%,VLOOKUP(A111,'Données projet (1)'!$A$35:$I$55,5,0)*VLOOKUP('Données projet (1)'!$B$9,'Paramètres (1)'!$A$1:$I$88,7,0))</f>
        <v>#REF!</v>
      </c>
      <c r="X111" s="135" t="str">
        <f>IF(ISNA(VLOOKUP(A111,'Données projet (1)'!$A$35:$I$55,6,0)),0%,VLOOKUP(A111,'Données projet (1)'!$A$35:$I$55,6,0)*VLOOKUP('Données projet (1)'!$B$9,'Paramètres (1)'!$A$1:$I$88,7,0))</f>
        <v>#REF!</v>
      </c>
      <c r="Y111" s="135" t="str">
        <f t="shared" si="14"/>
        <v>#REF!</v>
      </c>
      <c r="Z111" s="142" t="str">
        <f>EXP(-LN(2)/35)*Z110+(1-EXP(-LN(2)/35))/(LN(2)/35)*V111*W111*VLOOKUP('Données projet (1)'!$B$9,'Paramètres (1)'!$A$1:$I$88,3,0)*0.475*44/12</f>
        <v>#REF!</v>
      </c>
      <c r="AA111" s="142" t="str">
        <f>EXP(-LN(2)/25)*AA110+(1-EXP(-LN(2)/25))/(LN(2)/25)*'Calculateur (1)'!V111*'Calculateur (1)'!X111*VLOOKUP('Données projet (1)'!$B$9,'Paramètres (1)'!$A$1:$I$88,3,0)*0.475*44/12</f>
        <v>#REF!</v>
      </c>
      <c r="AB111" s="142" t="str">
        <f>EXP(-LN(2)/2)*AB110+(1-EXP(-LN(2)/2))/(LN(2)/2)*V111*Y111*VLOOKUP('Données projet (1)'!$B$9,'Paramètres (1)'!$A$1:$I$88,3,0)*0.475*44/12</f>
        <v>#REF!</v>
      </c>
      <c r="AC111" s="143" t="str">
        <f t="shared" si="15"/>
        <v>#REF!</v>
      </c>
      <c r="AD111" s="130" t="str">
        <f t="shared" si="16"/>
        <v>#REF!</v>
      </c>
      <c r="AE111" s="130">
        <f t="shared" si="17"/>
        <v>10</v>
      </c>
      <c r="AF111" s="131" t="str">
        <f t="shared" si="112"/>
        <v>#REF!</v>
      </c>
      <c r="AG111" s="131" t="str">
        <f t="shared" si="18"/>
        <v>#REF!</v>
      </c>
      <c r="AH111" s="131" t="str">
        <f t="array" ref="AH111">INDEX(AG:AG,MIN(IF(ISNUMBER(AG111:AG307),ROW(AG111:AG307),"")))</f>
        <v/>
      </c>
      <c r="AI111" s="130" t="str">
        <f t="shared" si="113"/>
        <v>#REF!</v>
      </c>
      <c r="AJ111" s="130" t="str">
        <f>AI111*VLOOKUP('Données projet (1)'!$B$10,'Paramètres (1)'!$A$1:$I$88,3,0)*VLOOKUP('Données projet (1)'!$B$10,'Paramètres (1)'!$A$1:$I$88,5,0)</f>
        <v>#REF!</v>
      </c>
      <c r="AK111" s="130" t="str">
        <f t="shared" si="114"/>
        <v>#REF!</v>
      </c>
      <c r="AL111" s="141" t="str">
        <f t="shared" si="19"/>
        <v>#REF!</v>
      </c>
      <c r="AM111" s="133" t="str">
        <f t="shared" si="20"/>
        <v>#REF!</v>
      </c>
      <c r="AN111" s="133" t="str">
        <f t="shared" si="21"/>
        <v>#REF!</v>
      </c>
      <c r="AO111" s="133" t="str">
        <f t="shared" si="115"/>
        <v>#REF!</v>
      </c>
      <c r="AP111" s="134" t="str">
        <f t="shared" si="22"/>
        <v>#REF!</v>
      </c>
      <c r="AQ111" s="134" t="str">
        <f t="shared" si="23"/>
        <v>#REF!</v>
      </c>
      <c r="AR111" s="135" t="str">
        <f>IF(ISNA(VLOOKUP(A111,'Données projet (1)'!$A$61:$I$81,5,0)),0%,VLOOKUP(A111,'Données projet (1)'!$A$61:$I$81,5,0)*VLOOKUP('Données projet (1)'!$B$10,'Paramètres (1)'!$A$1:$I$88,7,0))</f>
        <v>#REF!</v>
      </c>
      <c r="AS111" s="135" t="str">
        <f>IF(ISNA(VLOOKUP(A111,'Données projet (1)'!$A$61:$I$81,6,0)),0%,VLOOKUP(A111,'Données projet (1)'!$A$61:$I$81,6,0)*VLOOKUP('Données projet (1)'!$B$10,'Paramètres (1)'!$A$1:$I$88,7,0))</f>
        <v>#REF!</v>
      </c>
      <c r="AT111" s="135" t="str">
        <f t="shared" si="24"/>
        <v>#REF!</v>
      </c>
      <c r="AU111" s="142" t="str">
        <f>EXP(-LN(2)/35)*AU110+(1-EXP(-LN(2)/35))/(LN(2)/35)*AQ111*AR111*VLOOKUP('Données projet (1)'!$B$10,'Paramètres (1)'!$A$1:$I$88,3,0)*0.475*44/12</f>
        <v>#REF!</v>
      </c>
      <c r="AV111" s="142" t="str">
        <f>EXP(-LN(2)/25)*AV110+(1-EXP(-LN(2)/25))/(LN(2)/25)*'Calculateur (1)'!AQ111*'Calculateur (1)'!AS111*VLOOKUP('Données projet (1)'!$B$10,'Paramètres (1)'!$A$1:$I$88,3,0)*0.475*44/12</f>
        <v>#REF!</v>
      </c>
      <c r="AW111" s="142" t="str">
        <f>EXP(-LN(2)/2)*AW110+(1-EXP(-LN(2)/2))/(LN(2)/2)*AQ111*AT111*VLOOKUP('Données projet (1)'!$B$10,'Paramètres (1)'!$A$1:$I$88,3,0)*0.475*44/12</f>
        <v>#REF!</v>
      </c>
      <c r="AX111" s="142" t="str">
        <f t="shared" si="25"/>
        <v>#REF!</v>
      </c>
      <c r="AY111" s="137" t="str">
        <f t="shared" si="26"/>
        <v>#REF!</v>
      </c>
      <c r="AZ111" s="131">
        <f t="shared" si="27"/>
        <v>10</v>
      </c>
      <c r="BA111" s="131" t="str">
        <f t="shared" si="116"/>
        <v>#REF!</v>
      </c>
      <c r="BB111" s="131" t="str">
        <f t="shared" si="28"/>
        <v>#REF!</v>
      </c>
      <c r="BC111" s="131" t="str">
        <f t="array" ref="BC111">INDEX(BB:BB,MIN(IF(ISNUMBER(BB111:BB307),ROW(BB111:BB307),"")))</f>
        <v/>
      </c>
      <c r="BD111" s="131" t="str">
        <f t="shared" si="117"/>
        <v>#REF!</v>
      </c>
      <c r="BE111" s="130" t="str">
        <f>BD111*VLOOKUP('Données projet (1)'!$B$11,'Paramètres (1)'!$A$1:$I$88,3,0)*VLOOKUP('Données projet (1)'!$B$11,'Paramètres (1)'!$A$1:$I$88,5,0)</f>
        <v>#REF!</v>
      </c>
      <c r="BF111" s="130" t="str">
        <f t="shared" si="118"/>
        <v>#REF!</v>
      </c>
      <c r="BG111" s="141" t="str">
        <f t="shared" si="29"/>
        <v>#REF!</v>
      </c>
      <c r="BH111" s="133" t="str">
        <f t="shared" si="30"/>
        <v>#REF!</v>
      </c>
      <c r="BI111" s="133" t="str">
        <f t="shared" si="31"/>
        <v>#REF!</v>
      </c>
      <c r="BJ111" s="133" t="str">
        <f t="shared" si="119"/>
        <v>#REF!</v>
      </c>
      <c r="BK111" s="134" t="str">
        <f t="shared" si="32"/>
        <v>#REF!</v>
      </c>
      <c r="BL111" s="134" t="str">
        <f t="shared" si="33"/>
        <v>#REF!</v>
      </c>
      <c r="BM111" s="135" t="str">
        <f>IF(ISNA(VLOOKUP(A111,'Données projet (1)'!$A$87:$I$107,5,0)),0%,VLOOKUP(A111,'Données projet (1)'!$A$87:$I$107,5,0)*VLOOKUP('Données projet (1)'!$B$11,'Paramètres (1)'!$A$1:$I$88,7,0))</f>
        <v>#REF!</v>
      </c>
      <c r="BN111" s="135" t="str">
        <f>IF(ISNA(VLOOKUP(A111,'Données projet (1)'!$A$87:$I$107,6,0)),0%,VLOOKUP(A111,'Données projet (1)'!$A$87:$I$107,6,0)*VLOOKUP('Données projet (1)'!$B$11,'Paramètres (1)'!$A$1:$I$88,7,0))</f>
        <v>#REF!</v>
      </c>
      <c r="BO111" s="135" t="str">
        <f t="shared" si="34"/>
        <v>#REF!</v>
      </c>
      <c r="BP111" s="142" t="str">
        <f>EXP(-LN(2)/35)*BP110+(1-EXP(-LN(2)/35))/(LN(2)/35)*BL111*BM111*VLOOKUP('Données projet (1)'!$B$11,'Paramètres (1)'!$A$1:$I$88,3,0)*0.475*44/12</f>
        <v>#REF!</v>
      </c>
      <c r="BQ111" s="142" t="str">
        <f>EXP(-LN(2)/25)*BQ110+(1-EXP(-LN(2)/25))/(LN(2)/25)*'Calculateur (1)'!BL111*'Calculateur (1)'!BN111*VLOOKUP('Données projet (1)'!$B$11,'Paramètres (1)'!$A$1:$I$88,3,0)*0.475*44/12</f>
        <v>#REF!</v>
      </c>
      <c r="BR111" s="142" t="str">
        <f>EXP(-LN(2)/2)*BR110+(1-EXP(-LN(2)/2))/(LN(2)/2)*BL111*BO111*VLOOKUP('Données projet (1)'!$B$11,'Paramètres (1)'!$A$1:$I$88,3,0)*0.475*44/12</f>
        <v>#REF!</v>
      </c>
      <c r="BS111" s="143" t="str">
        <f t="shared" si="35"/>
        <v>#REF!</v>
      </c>
      <c r="BT111" s="139" t="str">
        <f t="shared" si="36"/>
        <v>#REF!</v>
      </c>
      <c r="BU111" s="131">
        <f t="shared" si="37"/>
        <v>10</v>
      </c>
      <c r="BV111" s="131" t="str">
        <f t="shared" si="120"/>
        <v>#REF!</v>
      </c>
      <c r="BW111" s="131" t="str">
        <f t="shared" si="38"/>
        <v>#REF!</v>
      </c>
      <c r="BX111" s="131" t="str">
        <f t="array" ref="BX111">INDEX(BW:BW,MIN(IF(ISNUMBER(BW111:BW307),ROW(BW111:BW307),"")))</f>
        <v/>
      </c>
      <c r="BY111" s="131" t="str">
        <f t="shared" si="121"/>
        <v>#REF!</v>
      </c>
      <c r="BZ111" s="130" t="str">
        <f>BY111*VLOOKUP('Données projet (1)'!$B$12,'Paramètres (1)'!$A$1:$I$88,3,0)*VLOOKUP('Données projet (1)'!$B$12,'Paramètres (1)'!$A$1:$I$88,5,0)</f>
        <v>#REF!</v>
      </c>
      <c r="CA111" s="130" t="str">
        <f t="shared" si="122"/>
        <v>#REF!</v>
      </c>
      <c r="CB111" s="141" t="str">
        <f t="shared" si="39"/>
        <v>#REF!</v>
      </c>
      <c r="CC111" s="133" t="str">
        <f t="shared" si="40"/>
        <v>#REF!</v>
      </c>
      <c r="CD111" s="133" t="str">
        <f t="shared" si="41"/>
        <v>#REF!</v>
      </c>
      <c r="CE111" s="133" t="str">
        <f t="shared" si="123"/>
        <v>#REF!</v>
      </c>
      <c r="CF111" s="134" t="str">
        <f t="shared" si="42"/>
        <v>#REF!</v>
      </c>
      <c r="CG111" s="134" t="str">
        <f t="shared" si="43"/>
        <v>#REF!</v>
      </c>
      <c r="CH111" s="135" t="str">
        <f>IF(ISNA(VLOOKUP(A111,'Données projet (1)'!$A$113:$I$133,5,0)),0%,VLOOKUP(A111,'Données projet (1)'!$A$113:$I$133,5,0)*VLOOKUP('Données projet (1)'!$B$12,'Paramètres (1)'!$A$1:$I$88,7,0))</f>
        <v>#REF!</v>
      </c>
      <c r="CI111" s="135" t="str">
        <f>IF(ISNA(VLOOKUP(A111,'Données projet (1)'!$A$113:$I$133,6,0)),0%,VLOOKUP(A111,'Données projet (1)'!$A$113:$I$133,6,0)*VLOOKUP('Données projet (1)'!$B$12,'Paramètres (1)'!$A$1:$I$88,7,0))</f>
        <v>#REF!</v>
      </c>
      <c r="CJ111" s="135" t="str">
        <f t="shared" si="44"/>
        <v>#REF!</v>
      </c>
      <c r="CK111" s="142" t="str">
        <f>EXP(-LN(2)/35)*CK110+(1-EXP(-LN(2)/35))/(LN(2)/35)*CG111*CH111*VLOOKUP('Données projet (1)'!$B$12,'Paramètres (1)'!$A$1:$I$88,3,0)*0.475*44/12</f>
        <v>#REF!</v>
      </c>
      <c r="CL111" s="142" t="str">
        <f>EXP(-LN(2)/25)*CL110+(1-EXP(-LN(2)/25))/(LN(2)/25)*'Calculateur (1)'!CG111*'Calculateur (1)'!CI111*VLOOKUP('Données projet (1)'!$B$12,'Paramètres (1)'!$A$1:$I$88,3,0)*0.475*44/12</f>
        <v>#REF!</v>
      </c>
      <c r="CM111" s="142" t="str">
        <f>EXP(-LN(2)/2)*CM110+(1-EXP(-LN(2)/2))/(LN(2)/2)*CG111*CJ111*VLOOKUP('Données projet (1)'!$B$12,'Paramètres (1)'!$A$1:$I$88,3,0)*0.475*44/12</f>
        <v>#REF!</v>
      </c>
      <c r="CN111" s="143" t="str">
        <f t="shared" si="45"/>
        <v>#REF!</v>
      </c>
      <c r="CO111" s="139" t="str">
        <f t="shared" si="46"/>
        <v>#REF!</v>
      </c>
      <c r="CP111" s="131">
        <f t="shared" si="47"/>
        <v>10</v>
      </c>
      <c r="CQ111" s="131" t="str">
        <f t="shared" si="124"/>
        <v>#REF!</v>
      </c>
      <c r="CR111" s="131" t="str">
        <f t="shared" si="48"/>
        <v>#REF!</v>
      </c>
      <c r="CS111" s="131" t="str">
        <f t="array" ref="CS111">INDEX(CR:CR,MIN(IF(ISNUMBER(CR111:CR307),ROW(CR111:CR307),"")))</f>
        <v/>
      </c>
      <c r="CT111" s="131" t="str">
        <f t="shared" si="125"/>
        <v>#REF!</v>
      </c>
      <c r="CU111" s="138" t="str">
        <f>CT111*VLOOKUP('Données projet (1)'!$B$13,'Paramètres (1)'!$A$1:$I$88,3,0)*VLOOKUP('Données projet (1)'!$B$13,'Paramètres (1)'!$A$1:$I$88,5,0)</f>
        <v>#REF!</v>
      </c>
      <c r="CV111" s="130" t="str">
        <f t="shared" si="126"/>
        <v>#REF!</v>
      </c>
      <c r="CW111" s="141" t="str">
        <f t="shared" si="49"/>
        <v>#REF!</v>
      </c>
      <c r="CX111" s="133" t="str">
        <f t="shared" si="50"/>
        <v>#REF!</v>
      </c>
      <c r="CY111" s="133" t="str">
        <f t="shared" si="51"/>
        <v>#REF!</v>
      </c>
      <c r="CZ111" s="133" t="str">
        <f t="shared" si="127"/>
        <v>#REF!</v>
      </c>
      <c r="DA111" s="134" t="str">
        <f t="shared" si="52"/>
        <v>#REF!</v>
      </c>
      <c r="DB111" s="134" t="str">
        <f t="shared" si="53"/>
        <v>#REF!</v>
      </c>
      <c r="DC111" s="135" t="str">
        <f>IF(ISNA(VLOOKUP(A111,'Données projet (1)'!$A$139:$I$159,5,0)),0%,VLOOKUP(A111,'Données projet (1)'!$A$139:$I$159,5,0)*VLOOKUP('Données projet (1)'!$B$13,'Paramètres (1)'!$A$1:$I$88,7,0))</f>
        <v>#REF!</v>
      </c>
      <c r="DD111" s="135" t="str">
        <f>IF(ISNA(VLOOKUP(A111,'Données projet (1)'!$A$139:$I$159,6,0)),0%,VLOOKUP(A111,'Données projet (1)'!$A$139:$I$159,6,0)*VLOOKUP('Données projet (1)'!$B$13,'Paramètres (1)'!$A$1:$I$88,7,0))</f>
        <v>#REF!</v>
      </c>
      <c r="DE111" s="135" t="str">
        <f t="shared" si="54"/>
        <v>#REF!</v>
      </c>
      <c r="DF111" s="142" t="str">
        <f>EXP(-LN(2)/35)*DF110+(1-EXP(-LN(2)/35))/(LN(2)/35)*DB111*DC111*VLOOKUP('Données projet (1)'!$B$13,'Paramètres (1)'!$A$1:$I$88,3,0)*0.475*44/12</f>
        <v>#REF!</v>
      </c>
      <c r="DG111" s="142" t="str">
        <f>EXP(-LN(2)/25)*DG110+(1-EXP(-LN(2)/25))/(LN(2)/25)*'Calculateur (1)'!DB111*'Calculateur (1)'!DD111*VLOOKUP('Données projet (1)'!$B$13,'Paramètres (1)'!$A$1:$I$88,3,0)*0.475*44/12</f>
        <v>#REF!</v>
      </c>
      <c r="DH111" s="142" t="str">
        <f>EXP(-LN(2)/2)*DH110+(1-EXP(-LN(2)/2))/(LN(2)/2)*DB111*DE111*VLOOKUP('Données projet (1)'!$B$13,'Paramètres (1)'!$A$1:$I$88,3,0)*0.475*44/12</f>
        <v>#REF!</v>
      </c>
      <c r="DI111" s="143" t="str">
        <f t="shared" si="55"/>
        <v>#REF!</v>
      </c>
      <c r="DJ111" s="139" t="str">
        <f t="shared" si="56"/>
        <v>#REF!</v>
      </c>
      <c r="DK111" s="131">
        <f t="shared" si="57"/>
        <v>10</v>
      </c>
      <c r="DL111" s="131" t="str">
        <f t="shared" si="128"/>
        <v>#REF!</v>
      </c>
      <c r="DM111" s="131" t="str">
        <f t="shared" si="58"/>
        <v>#REF!</v>
      </c>
      <c r="DN111" s="131" t="str">
        <f t="array" ref="DN111">INDEX(DM:DM,MIN(IF(ISNUMBER(DM111:DM307),ROW(DM111:DM307),"")))</f>
        <v/>
      </c>
      <c r="DO111" s="131" t="str">
        <f t="shared" si="129"/>
        <v>#REF!</v>
      </c>
      <c r="DP111" s="138" t="str">
        <f>DO111*VLOOKUP('Données projet (1)'!$B$14,'Paramètres (1)'!$A$1:$I$88,3,0)*VLOOKUP('Données projet (1)'!$B$14,'Paramètres (1)'!$A$1:$I$88,5,0)</f>
        <v>#REF!</v>
      </c>
      <c r="DQ111" s="130" t="str">
        <f t="shared" si="130"/>
        <v>#REF!</v>
      </c>
      <c r="DR111" s="141" t="str">
        <f t="shared" si="59"/>
        <v>#REF!</v>
      </c>
      <c r="DS111" s="133" t="str">
        <f t="shared" si="60"/>
        <v>#REF!</v>
      </c>
      <c r="DT111" s="133" t="str">
        <f t="shared" si="61"/>
        <v>#REF!</v>
      </c>
      <c r="DU111" s="133" t="str">
        <f t="shared" si="131"/>
        <v>#REF!</v>
      </c>
      <c r="DV111" s="134" t="str">
        <f t="shared" si="62"/>
        <v>#REF!</v>
      </c>
      <c r="DW111" s="134" t="str">
        <f t="shared" si="63"/>
        <v>#REF!</v>
      </c>
      <c r="DX111" s="135" t="str">
        <f>IF(ISNA(VLOOKUP(A111,'Données projet (1)'!$A$165:$I$185,5,0)),0%,VLOOKUP(A111,'Données projet (1)'!$A$165:$I$185,5,0)*VLOOKUP('Données projet (1)'!$B$14,'Paramètres (1)'!$A$1:$I$88,7,0))</f>
        <v>#REF!</v>
      </c>
      <c r="DY111" s="135" t="str">
        <f>IF(ISNA(VLOOKUP(A111,'Données projet (1)'!$A$165:$I$185,6,0)),0%,VLOOKUP(A111,'Données projet (1)'!$A$165:$I$185,6,0)*VLOOKUP('Données projet (1)'!$B$14,'Paramètres (1)'!$A$1:$I$88,7,0))</f>
        <v>#REF!</v>
      </c>
      <c r="DZ111" s="135" t="str">
        <f t="shared" si="64"/>
        <v>#REF!</v>
      </c>
      <c r="EA111" s="142" t="str">
        <f>EXP(-LN(2)/35)*EA110+(1-EXP(-LN(2)/35))/(LN(2)/35)*DW111*DX111*VLOOKUP('Données projet (1)'!$B$14,'Paramètres (1)'!$A$1:$I$88,3,0)*0.475*44/12</f>
        <v>#REF!</v>
      </c>
      <c r="EB111" s="142" t="str">
        <f>EXP(-LN(2)/25)*EB110+(1-EXP(-LN(2)/25))/(LN(2)/25)*'Calculateur (1)'!DW111*'Calculateur (1)'!DY111*VLOOKUP('Données projet (1)'!$B$14,'Paramètres (1)'!$A$1:$I$88,3,0)*0.475*44/12</f>
        <v>#REF!</v>
      </c>
      <c r="EC111" s="142" t="str">
        <f>EXP(-LN(2)/2)*EC110+(1-EXP(-LN(2)/2))/(LN(2)/2)*DW111*DZ111*VLOOKUP('Données projet (1)'!$B$14,'Paramètres (1)'!$A$1:$I$88,3,0)*0.475*44/12</f>
        <v>#REF!</v>
      </c>
      <c r="ED111" s="143" t="str">
        <f t="shared" si="65"/>
        <v>#REF!</v>
      </c>
      <c r="EE111" s="139" t="str">
        <f t="shared" si="66"/>
        <v>#REF!</v>
      </c>
      <c r="EF111" s="131">
        <f t="shared" si="67"/>
        <v>10</v>
      </c>
      <c r="EG111" s="131" t="str">
        <f t="shared" si="132"/>
        <v>#REF!</v>
      </c>
      <c r="EH111" s="131" t="str">
        <f t="shared" si="68"/>
        <v>#REF!</v>
      </c>
      <c r="EI111" s="131" t="str">
        <f t="array" ref="EI111">INDEX(EH:EH,MIN(IF(ISNUMBER(EH111:EH307),ROW(EH111:EH307),"")))</f>
        <v/>
      </c>
      <c r="EJ111" s="131" t="str">
        <f t="shared" si="133"/>
        <v>#REF!</v>
      </c>
      <c r="EK111" s="138" t="str">
        <f>EJ111*VLOOKUP('Données projet (1)'!$B$15,'Paramètres (1)'!$A$1:$I$88,3,0)*VLOOKUP('Données projet (1)'!$B$15,'Paramètres (1)'!$A$1:$I$88,5,0)</f>
        <v>#REF!</v>
      </c>
      <c r="EL111" s="130" t="str">
        <f t="shared" si="134"/>
        <v>#REF!</v>
      </c>
      <c r="EM111" s="141" t="str">
        <f t="shared" si="69"/>
        <v>#REF!</v>
      </c>
      <c r="EN111" s="133" t="str">
        <f t="shared" si="70"/>
        <v>#REF!</v>
      </c>
      <c r="EO111" s="133" t="str">
        <f t="shared" si="71"/>
        <v>#REF!</v>
      </c>
      <c r="EP111" s="133" t="str">
        <f t="shared" si="135"/>
        <v>#REF!</v>
      </c>
      <c r="EQ111" s="134" t="str">
        <f t="shared" si="72"/>
        <v>#REF!</v>
      </c>
      <c r="ER111" s="134" t="str">
        <f t="shared" si="73"/>
        <v>#REF!</v>
      </c>
      <c r="ES111" s="135" t="str">
        <f>IF(ISNA(VLOOKUP(A111,'Données projet (1)'!$A$191:$I$211,5,0)),0%,VLOOKUP(A111,'Données projet (1)'!$A$191:$I$211,5,0)*VLOOKUP('Données projet (1)'!$B$15,'Paramètres (1)'!$A$1:$I$88,7,0))</f>
        <v>#REF!</v>
      </c>
      <c r="ET111" s="135" t="str">
        <f>IF(ISNA(VLOOKUP(A111,'Données projet (1)'!$A$191:$I$211,6,0)),0%,VLOOKUP(A111,'Données projet (1)'!$A$191:$I$211,6,0)*VLOOKUP('Données projet (1)'!$B$15,'Paramètres (1)'!$A$1:$I$88,7,0))</f>
        <v>#REF!</v>
      </c>
      <c r="EU111" s="135" t="str">
        <f t="shared" si="74"/>
        <v>#REF!</v>
      </c>
      <c r="EV111" s="142" t="str">
        <f>EXP(-LN(2)/35)*EV110+(1-EXP(-LN(2)/35))/(LN(2)/35)*ER111*ES111*VLOOKUP('Données projet (1)'!$B$15,'Paramètres (1)'!$A$1:$I$88,3,0)*0.475*44/12</f>
        <v>#REF!</v>
      </c>
      <c r="EW111" s="142" t="str">
        <f>EXP(-LN(2)/25)*EW110+(1-EXP(-LN(2)/25))/(LN(2)/25)*'Calculateur (1)'!ER111*'Calculateur (1)'!ET111*VLOOKUP('Données projet (1)'!$B$15,'Paramètres (1)'!$A$1:$I$88,3,0)*0.475*44/12</f>
        <v>#REF!</v>
      </c>
      <c r="EX111" s="142" t="str">
        <f>EXP(-LN(2)/2)*EX110+(1-EXP(-LN(2)/2))/(LN(2)/2)*ER111*EU111*VLOOKUP('Données projet (1)'!$B$15,'Paramètres (1)'!$A$1:$I$88,3,0)*0.475*44/12</f>
        <v>#REF!</v>
      </c>
      <c r="EY111" s="143" t="str">
        <f t="shared" si="75"/>
        <v>#REF!</v>
      </c>
      <c r="EZ111" s="139" t="str">
        <f t="shared" si="76"/>
        <v>#REF!</v>
      </c>
      <c r="FA111" s="131">
        <f t="shared" si="77"/>
        <v>10</v>
      </c>
      <c r="FB111" s="131" t="str">
        <f t="shared" si="136"/>
        <v>#REF!</v>
      </c>
      <c r="FC111" s="131" t="str">
        <f t="shared" si="78"/>
        <v>#REF!</v>
      </c>
      <c r="FD111" s="131" t="str">
        <f t="array" ref="FD111">INDEX(FC:FC,MIN(IF(ISNUMBER(FC111:FC307),ROW(FC111:FC307),"")))</f>
        <v/>
      </c>
      <c r="FE111" s="131" t="str">
        <f t="shared" si="137"/>
        <v>#REF!</v>
      </c>
      <c r="FF111" s="138" t="str">
        <f>FE111*VLOOKUP('Données projet (1)'!$B$16,'Paramètres (1)'!$A$1:$I$88,3,0)*VLOOKUP('Données projet (1)'!$B$16,'Paramètres (1)'!$A$1:$I$88,5,0)</f>
        <v>#REF!</v>
      </c>
      <c r="FG111" s="130" t="str">
        <f t="shared" si="138"/>
        <v>#REF!</v>
      </c>
      <c r="FH111" s="141" t="str">
        <f t="shared" si="79"/>
        <v>#REF!</v>
      </c>
      <c r="FI111" s="133" t="str">
        <f t="shared" si="80"/>
        <v>#REF!</v>
      </c>
      <c r="FJ111" s="133" t="str">
        <f t="shared" si="81"/>
        <v>#REF!</v>
      </c>
      <c r="FK111" s="133" t="str">
        <f t="shared" si="139"/>
        <v>#REF!</v>
      </c>
      <c r="FL111" s="134" t="str">
        <f t="shared" si="82"/>
        <v>#REF!</v>
      </c>
      <c r="FM111" s="134" t="str">
        <f t="shared" si="83"/>
        <v>#REF!</v>
      </c>
      <c r="FN111" s="135" t="str">
        <f>IF(ISNA(VLOOKUP(A111,'Données projet (1)'!$A$217:$I$237,5,0)),0%,VLOOKUP(A111,'Données projet (1)'!$A$217:$I$237,5,0)*VLOOKUP('Données projet (1)'!$B$16,'Paramètres (1)'!$A$1:$I$88,7,0))</f>
        <v>#REF!</v>
      </c>
      <c r="FO111" s="135" t="str">
        <f>IF(ISNA(VLOOKUP(A111,'Données projet (1)'!$A$217:$I$237,6,0)),0%,VLOOKUP(A111,'Données projet (1)'!$A$217:$I$237,6,0)*VLOOKUP('Données projet (1)'!$B$16,'Paramètres (1)'!$A$1:$I$88,7,0))</f>
        <v>#REF!</v>
      </c>
      <c r="FP111" s="135" t="str">
        <f t="shared" si="84"/>
        <v>#REF!</v>
      </c>
      <c r="FQ111" s="142" t="str">
        <f>EXP(-LN(2)/35)*FQ110+(1-EXP(-LN(2)/35))/(LN(2)/35)*FM111*FN111*VLOOKUP('Données projet (1)'!$B$16,'Paramètres (1)'!$A$1:$I$88,3,0)*0.475*44/12</f>
        <v>#REF!</v>
      </c>
      <c r="FR111" s="142" t="str">
        <f>EXP(-LN(2)/25)*FR110+(1-EXP(-LN(2)/25))/(LN(2)/25)*'Calculateur (1)'!FM111*'Calculateur (1)'!FO111*VLOOKUP('Données projet (1)'!$B$16,'Paramètres (1)'!$A$1:$I$88,3,0)*0.475*44/12</f>
        <v>#REF!</v>
      </c>
      <c r="FS111" s="142" t="str">
        <f>EXP(-LN(2)/2)*FS110+(1-EXP(-LN(2)/2))/(LN(2)/2)*FM111*FP111*VLOOKUP('Données projet (1)'!$B$16,'Paramètres (1)'!$A$1:$I$88,3,0)*0.475*44/12</f>
        <v>#REF!</v>
      </c>
      <c r="FT111" s="143" t="str">
        <f t="shared" si="85"/>
        <v>#REF!</v>
      </c>
      <c r="FU111" s="139" t="str">
        <f t="shared" si="86"/>
        <v>#REF!</v>
      </c>
      <c r="FV111" s="131">
        <f t="shared" si="87"/>
        <v>10</v>
      </c>
      <c r="FW111" s="131" t="str">
        <f t="shared" si="140"/>
        <v>#REF!</v>
      </c>
      <c r="FX111" s="131" t="str">
        <f t="shared" si="88"/>
        <v>#REF!</v>
      </c>
      <c r="FY111" s="131" t="str">
        <f t="array" ref="FY111">INDEX(FX:FX,MIN(IF(ISNUMBER(FX111:FX307),ROW(FX111:FX307),"")))</f>
        <v/>
      </c>
      <c r="FZ111" s="131" t="str">
        <f t="shared" si="141"/>
        <v>#REF!</v>
      </c>
      <c r="GA111" s="138" t="str">
        <f>FZ111*VLOOKUP('Données projet (1)'!$B$17,'Paramètres (1)'!$A$1:$I$88,3,0)*VLOOKUP('Données projet (1)'!$B$17,'Paramètres (1)'!$A$1:$I$88,5,0)</f>
        <v>#REF!</v>
      </c>
      <c r="GB111" s="130" t="str">
        <f t="shared" si="142"/>
        <v>#REF!</v>
      </c>
      <c r="GC111" s="141" t="str">
        <f t="shared" si="89"/>
        <v>#REF!</v>
      </c>
      <c r="GD111" s="133" t="str">
        <f t="shared" si="90"/>
        <v>#REF!</v>
      </c>
      <c r="GE111" s="133" t="str">
        <f t="shared" si="91"/>
        <v>#REF!</v>
      </c>
      <c r="GF111" s="133" t="str">
        <f t="shared" si="143"/>
        <v>#REF!</v>
      </c>
      <c r="GG111" s="134" t="str">
        <f t="shared" si="92"/>
        <v>#REF!</v>
      </c>
      <c r="GH111" s="134" t="str">
        <f t="shared" si="93"/>
        <v>#REF!</v>
      </c>
      <c r="GI111" s="135" t="str">
        <f>IF(ISNA(VLOOKUP(A111,'Données projet (1)'!$A$243:$I$263,5,0)),0%,VLOOKUP(A111,'Données projet (1)'!$A$243:$I$263,5,0)*VLOOKUP('Données projet (1)'!$B$17,'Paramètres (1)'!$A$1:$I$88,7,0))</f>
        <v>#REF!</v>
      </c>
      <c r="GJ111" s="135" t="str">
        <f>IF(ISNA(VLOOKUP(A111,'Données projet (1)'!$A$243:$I$263,6,0)),0%,VLOOKUP(A111,'Données projet (1)'!$A$243:$I$263,6,0)*VLOOKUP('Données projet (1)'!$B$17,'Paramètres (1)'!$A$1:$I$88,7,0))</f>
        <v>#REF!</v>
      </c>
      <c r="GK111" s="135" t="str">
        <f t="shared" si="94"/>
        <v>#REF!</v>
      </c>
      <c r="GL111" s="142" t="str">
        <f>EXP(-LN(2)/35)*GL110+(1-EXP(-LN(2)/35))/(LN(2)/35)*GH111*GI111*VLOOKUP('Données projet (1)'!$B$17,'Paramètres (1)'!$A$1:$I$88,3,0)*0.475*44/12</f>
        <v>#REF!</v>
      </c>
      <c r="GM111" s="142" t="str">
        <f>EXP(-LN(2)/25)*GM110+(1-EXP(-LN(2)/25))/(LN(2)/25)*'Calculateur (1)'!GH111*'Calculateur (1)'!GJ111*VLOOKUP('Données projet (1)'!$B$17,'Paramètres (1)'!$A$1:$I$88,3,0)*0.475*44/12</f>
        <v>#REF!</v>
      </c>
      <c r="GN111" s="142" t="str">
        <f>EXP(-LN(2)/2)*GN110+(1-EXP(-LN(2)/2))/(LN(2)/2)*GH111*GK111*VLOOKUP('Données projet (1)'!$B$17,'Paramètres (1)'!$A$1:$I$88,3,0)*0.475*44/12</f>
        <v>#REF!</v>
      </c>
      <c r="GO111" s="142" t="str">
        <f t="shared" si="95"/>
        <v>#REF!</v>
      </c>
      <c r="GP111" s="139" t="str">
        <f t="shared" si="96"/>
        <v>#REF!</v>
      </c>
      <c r="GQ111" s="131">
        <f t="shared" si="97"/>
        <v>10</v>
      </c>
      <c r="GR111" s="131" t="str">
        <f t="shared" si="144"/>
        <v>#REF!</v>
      </c>
      <c r="GS111" s="131" t="str">
        <f t="shared" si="98"/>
        <v>#REF!</v>
      </c>
      <c r="GT111" s="131" t="str">
        <f t="array" ref="GT111">INDEX(GS:GS,MIN(IF(ISNUMBER(GS111:GS307),ROW(GS111:GS307),"")))</f>
        <v/>
      </c>
      <c r="GU111" s="131" t="str">
        <f t="shared" si="145"/>
        <v>#REF!</v>
      </c>
      <c r="GV111" s="138" t="str">
        <f>GU111*VLOOKUP('Données projet (1)'!$B$18,'Paramètres (1)'!$A$1:$I$88,3,0)*VLOOKUP('Données projet (1)'!$B$18,'Paramètres (1)'!$A$1:$I$88,5,0)</f>
        <v>#REF!</v>
      </c>
      <c r="GW111" s="130" t="str">
        <f t="shared" si="146"/>
        <v>#REF!</v>
      </c>
      <c r="GX111" s="141" t="str">
        <f t="shared" si="99"/>
        <v>#REF!</v>
      </c>
      <c r="GY111" s="133" t="str">
        <f t="shared" si="100"/>
        <v>#REF!</v>
      </c>
      <c r="GZ111" s="133" t="str">
        <f t="shared" si="101"/>
        <v>#REF!</v>
      </c>
      <c r="HA111" s="133" t="str">
        <f t="shared" si="147"/>
        <v>#REF!</v>
      </c>
      <c r="HB111" s="134" t="str">
        <f t="shared" si="102"/>
        <v>#REF!</v>
      </c>
      <c r="HC111" s="134" t="str">
        <f t="shared" si="103"/>
        <v>#REF!</v>
      </c>
      <c r="HD111" s="135" t="str">
        <f>IF(ISNA(VLOOKUP(A111,'Données projet (1)'!$A$269:$I$289,5,0)),0%,VLOOKUP(A111,'Données projet (1)'!$A$269:$I$289,5,0)*VLOOKUP('Données projet (1)'!$B$18,'Paramètres (1)'!$A$1:$I$88,7,0))</f>
        <v>#REF!</v>
      </c>
      <c r="HE111" s="135" t="str">
        <f>IF(ISNA(VLOOKUP(A111,'Données projet (1)'!$A$269:$I$289,6,0)),0%,VLOOKUP(A111,'Données projet (1)'!$A$269:$I$289,6,0)*VLOOKUP('Données projet (1)'!$B$18,'Paramètres (1)'!$A$1:$I$88,7,0))</f>
        <v>#REF!</v>
      </c>
      <c r="HF111" s="135" t="str">
        <f t="shared" si="104"/>
        <v>#REF!</v>
      </c>
      <c r="HG111" s="142" t="str">
        <f>EXP(-LN(2)/35)*HG110+(1-EXP(-LN(2)/35))/(LN(2)/35)*HC111*HD111*VLOOKUP('Données projet (1)'!$B$18,'Paramètres (1)'!$A$1:$I$88,3,0)*0.475*44/12</f>
        <v>#REF!</v>
      </c>
      <c r="HH111" s="142" t="str">
        <f>EXP(-LN(2)/25)*HH110+(1-EXP(-LN(2)/25))/(LN(2)/25)*'Calculateur (1)'!HC111*'Calculateur (1)'!HE111*VLOOKUP('Données projet (1)'!$B$18,'Paramètres (1)'!$A$1:$I$88,3,0)*0.475*44/12</f>
        <v>#REF!</v>
      </c>
      <c r="HI111" s="142" t="str">
        <f>EXP(-LN(2)/2)*HI110+(1-EXP(-LN(2)/2))/(LN(2)/2)*HC111*HF111*VLOOKUP('Données projet (1)'!$B$18,'Paramètres (1)'!$A$1:$I$88,3,0)*0.475*44/12</f>
        <v>#REF!</v>
      </c>
      <c r="HJ111" s="143" t="str">
        <f t="shared" si="105"/>
        <v>#REF!</v>
      </c>
    </row>
    <row r="112" ht="14.25" customHeight="1">
      <c r="A112" s="125">
        <f t="shared" si="106"/>
        <v>109</v>
      </c>
      <c r="B112" s="126" t="str">
        <f t="shared" si="1"/>
        <v>#REF!</v>
      </c>
      <c r="C112" s="140" t="str">
        <f>'Calculateur (1)'!C111+'Scénario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2" s="127">
        <f t="shared" si="107"/>
        <v>0</v>
      </c>
      <c r="E112" s="127" t="str">
        <f t="shared" si="2"/>
        <v>#REF!</v>
      </c>
      <c r="F112" s="127" t="str">
        <f t="shared" si="3"/>
        <v>#REF!</v>
      </c>
      <c r="G112" s="127" t="str">
        <f t="shared" si="4"/>
        <v>#REF!</v>
      </c>
      <c r="H112" s="128" t="str">
        <f t="shared" si="5"/>
        <v>#REF!</v>
      </c>
      <c r="I112" s="129" t="str">
        <f t="shared" si="6"/>
        <v>#REF!</v>
      </c>
      <c r="J112" s="130">
        <f t="shared" si="7"/>
        <v>10</v>
      </c>
      <c r="K112" s="131" t="str">
        <f t="shared" si="108"/>
        <v>#REF!</v>
      </c>
      <c r="L112" s="131" t="str">
        <f t="shared" si="8"/>
        <v>#REF!</v>
      </c>
      <c r="M112" s="131" t="str">
        <f t="array" ref="M112">INDEX(L:L,MIN(IF(ISNUMBER(L112:L308),ROW(L112:L308),"")))</f>
        <v/>
      </c>
      <c r="N112" s="130" t="str">
        <f t="shared" si="109"/>
        <v>#REF!</v>
      </c>
      <c r="O112" s="130" t="str">
        <f>N112*VLOOKUP('Données projet (1)'!$B$9,'Paramètres (1)'!$A$1:$I$88,3,0)*VLOOKUP('Données projet (1)'!$B$9,'Paramètres (1)'!$A$1:$I$88,5,0)</f>
        <v>#REF!</v>
      </c>
      <c r="P112" s="130" t="str">
        <f t="shared" si="110"/>
        <v>#REF!</v>
      </c>
      <c r="Q112" s="141" t="str">
        <f t="shared" si="9"/>
        <v>#REF!</v>
      </c>
      <c r="R112" s="133" t="str">
        <f t="shared" si="10"/>
        <v>#REF!</v>
      </c>
      <c r="S112" s="133" t="str">
        <f t="shared" si="11"/>
        <v>#REF!</v>
      </c>
      <c r="T112" s="133" t="str">
        <f t="shared" si="111"/>
        <v>#REF!</v>
      </c>
      <c r="U112" s="134" t="str">
        <f t="shared" si="12"/>
        <v>#REF!</v>
      </c>
      <c r="V112" s="134" t="str">
        <f t="shared" si="13"/>
        <v>#REF!</v>
      </c>
      <c r="W112" s="135" t="str">
        <f>IF(ISNA(VLOOKUP(A112,'Données projet (1)'!$A$35:$I$55,5,0)),0%,VLOOKUP(A112,'Données projet (1)'!$A$35:$I$55,5,0)*VLOOKUP('Données projet (1)'!$B$9,'Paramètres (1)'!$A$1:$I$88,7,0))</f>
        <v>#REF!</v>
      </c>
      <c r="X112" s="135" t="str">
        <f>IF(ISNA(VLOOKUP(A112,'Données projet (1)'!$A$35:$I$55,6,0)),0%,VLOOKUP(A112,'Données projet (1)'!$A$35:$I$55,6,0)*VLOOKUP('Données projet (1)'!$B$9,'Paramètres (1)'!$A$1:$I$88,7,0))</f>
        <v>#REF!</v>
      </c>
      <c r="Y112" s="135" t="str">
        <f t="shared" si="14"/>
        <v>#REF!</v>
      </c>
      <c r="Z112" s="142" t="str">
        <f>EXP(-LN(2)/35)*Z111+(1-EXP(-LN(2)/35))/(LN(2)/35)*V112*W112*VLOOKUP('Données projet (1)'!$B$9,'Paramètres (1)'!$A$1:$I$88,3,0)*0.475*44/12</f>
        <v>#REF!</v>
      </c>
      <c r="AA112" s="142" t="str">
        <f>EXP(-LN(2)/25)*AA111+(1-EXP(-LN(2)/25))/(LN(2)/25)*'Calculateur (1)'!V112*'Calculateur (1)'!X112*VLOOKUP('Données projet (1)'!$B$9,'Paramètres (1)'!$A$1:$I$88,3,0)*0.475*44/12</f>
        <v>#REF!</v>
      </c>
      <c r="AB112" s="142" t="str">
        <f>EXP(-LN(2)/2)*AB111+(1-EXP(-LN(2)/2))/(LN(2)/2)*V112*Y112*VLOOKUP('Données projet (1)'!$B$9,'Paramètres (1)'!$A$1:$I$88,3,0)*0.475*44/12</f>
        <v>#REF!</v>
      </c>
      <c r="AC112" s="143" t="str">
        <f t="shared" si="15"/>
        <v>#REF!</v>
      </c>
      <c r="AD112" s="130" t="str">
        <f t="shared" si="16"/>
        <v>#REF!</v>
      </c>
      <c r="AE112" s="130">
        <f t="shared" si="17"/>
        <v>10</v>
      </c>
      <c r="AF112" s="131" t="str">
        <f t="shared" si="112"/>
        <v>#REF!</v>
      </c>
      <c r="AG112" s="131" t="str">
        <f t="shared" si="18"/>
        <v>#REF!</v>
      </c>
      <c r="AH112" s="131" t="str">
        <f t="array" ref="AH112">INDEX(AG:AG,MIN(IF(ISNUMBER(AG112:AG308),ROW(AG112:AG308),"")))</f>
        <v/>
      </c>
      <c r="AI112" s="130" t="str">
        <f t="shared" si="113"/>
        <v>#REF!</v>
      </c>
      <c r="AJ112" s="130" t="str">
        <f>AI112*VLOOKUP('Données projet (1)'!$B$10,'Paramètres (1)'!$A$1:$I$88,3,0)*VLOOKUP('Données projet (1)'!$B$10,'Paramètres (1)'!$A$1:$I$88,5,0)</f>
        <v>#REF!</v>
      </c>
      <c r="AK112" s="130" t="str">
        <f t="shared" si="114"/>
        <v>#REF!</v>
      </c>
      <c r="AL112" s="141" t="str">
        <f t="shared" si="19"/>
        <v>#REF!</v>
      </c>
      <c r="AM112" s="133" t="str">
        <f t="shared" si="20"/>
        <v>#REF!</v>
      </c>
      <c r="AN112" s="133" t="str">
        <f t="shared" si="21"/>
        <v>#REF!</v>
      </c>
      <c r="AO112" s="133" t="str">
        <f t="shared" si="115"/>
        <v>#REF!</v>
      </c>
      <c r="AP112" s="134" t="str">
        <f t="shared" si="22"/>
        <v>#REF!</v>
      </c>
      <c r="AQ112" s="134" t="str">
        <f t="shared" si="23"/>
        <v>#REF!</v>
      </c>
      <c r="AR112" s="135" t="str">
        <f>IF(ISNA(VLOOKUP(A112,'Données projet (1)'!$A$61:$I$81,5,0)),0%,VLOOKUP(A112,'Données projet (1)'!$A$61:$I$81,5,0)*VLOOKUP('Données projet (1)'!$B$10,'Paramètres (1)'!$A$1:$I$88,7,0))</f>
        <v>#REF!</v>
      </c>
      <c r="AS112" s="135" t="str">
        <f>IF(ISNA(VLOOKUP(A112,'Données projet (1)'!$A$61:$I$81,6,0)),0%,VLOOKUP(A112,'Données projet (1)'!$A$61:$I$81,6,0)*VLOOKUP('Données projet (1)'!$B$10,'Paramètres (1)'!$A$1:$I$88,7,0))</f>
        <v>#REF!</v>
      </c>
      <c r="AT112" s="135" t="str">
        <f t="shared" si="24"/>
        <v>#REF!</v>
      </c>
      <c r="AU112" s="142" t="str">
        <f>EXP(-LN(2)/35)*AU111+(1-EXP(-LN(2)/35))/(LN(2)/35)*AQ112*AR112*VLOOKUP('Données projet (1)'!$B$10,'Paramètres (1)'!$A$1:$I$88,3,0)*0.475*44/12</f>
        <v>#REF!</v>
      </c>
      <c r="AV112" s="142" t="str">
        <f>EXP(-LN(2)/25)*AV111+(1-EXP(-LN(2)/25))/(LN(2)/25)*'Calculateur (1)'!AQ112*'Calculateur (1)'!AS112*VLOOKUP('Données projet (1)'!$B$10,'Paramètres (1)'!$A$1:$I$88,3,0)*0.475*44/12</f>
        <v>#REF!</v>
      </c>
      <c r="AW112" s="142" t="str">
        <f>EXP(-LN(2)/2)*AW111+(1-EXP(-LN(2)/2))/(LN(2)/2)*AQ112*AT112*VLOOKUP('Données projet (1)'!$B$10,'Paramètres (1)'!$A$1:$I$88,3,0)*0.475*44/12</f>
        <v>#REF!</v>
      </c>
      <c r="AX112" s="142" t="str">
        <f t="shared" si="25"/>
        <v>#REF!</v>
      </c>
      <c r="AY112" s="137" t="str">
        <f t="shared" si="26"/>
        <v>#REF!</v>
      </c>
      <c r="AZ112" s="131">
        <f t="shared" si="27"/>
        <v>10</v>
      </c>
      <c r="BA112" s="131" t="str">
        <f t="shared" si="116"/>
        <v>#REF!</v>
      </c>
      <c r="BB112" s="131" t="str">
        <f t="shared" si="28"/>
        <v>#REF!</v>
      </c>
      <c r="BC112" s="131" t="str">
        <f t="array" ref="BC112">INDEX(BB:BB,MIN(IF(ISNUMBER(BB112:BB308),ROW(BB112:BB308),"")))</f>
        <v/>
      </c>
      <c r="BD112" s="131" t="str">
        <f t="shared" si="117"/>
        <v>#REF!</v>
      </c>
      <c r="BE112" s="130" t="str">
        <f>BD112*VLOOKUP('Données projet (1)'!$B$11,'Paramètres (1)'!$A$1:$I$88,3,0)*VLOOKUP('Données projet (1)'!$B$11,'Paramètres (1)'!$A$1:$I$88,5,0)</f>
        <v>#REF!</v>
      </c>
      <c r="BF112" s="130" t="str">
        <f t="shared" si="118"/>
        <v>#REF!</v>
      </c>
      <c r="BG112" s="141" t="str">
        <f t="shared" si="29"/>
        <v>#REF!</v>
      </c>
      <c r="BH112" s="133" t="str">
        <f t="shared" si="30"/>
        <v>#REF!</v>
      </c>
      <c r="BI112" s="133" t="str">
        <f t="shared" si="31"/>
        <v>#REF!</v>
      </c>
      <c r="BJ112" s="133" t="str">
        <f t="shared" si="119"/>
        <v>#REF!</v>
      </c>
      <c r="BK112" s="134" t="str">
        <f t="shared" si="32"/>
        <v>#REF!</v>
      </c>
      <c r="BL112" s="134" t="str">
        <f t="shared" si="33"/>
        <v>#REF!</v>
      </c>
      <c r="BM112" s="135" t="str">
        <f>IF(ISNA(VLOOKUP(A112,'Données projet (1)'!$A$87:$I$107,5,0)),0%,VLOOKUP(A112,'Données projet (1)'!$A$87:$I$107,5,0)*VLOOKUP('Données projet (1)'!$B$11,'Paramètres (1)'!$A$1:$I$88,7,0))</f>
        <v>#REF!</v>
      </c>
      <c r="BN112" s="135" t="str">
        <f>IF(ISNA(VLOOKUP(A112,'Données projet (1)'!$A$87:$I$107,6,0)),0%,VLOOKUP(A112,'Données projet (1)'!$A$87:$I$107,6,0)*VLOOKUP('Données projet (1)'!$B$11,'Paramètres (1)'!$A$1:$I$88,7,0))</f>
        <v>#REF!</v>
      </c>
      <c r="BO112" s="135" t="str">
        <f t="shared" si="34"/>
        <v>#REF!</v>
      </c>
      <c r="BP112" s="142" t="str">
        <f>EXP(-LN(2)/35)*BP111+(1-EXP(-LN(2)/35))/(LN(2)/35)*BL112*BM112*VLOOKUP('Données projet (1)'!$B$11,'Paramètres (1)'!$A$1:$I$88,3,0)*0.475*44/12</f>
        <v>#REF!</v>
      </c>
      <c r="BQ112" s="142" t="str">
        <f>EXP(-LN(2)/25)*BQ111+(1-EXP(-LN(2)/25))/(LN(2)/25)*'Calculateur (1)'!BL112*'Calculateur (1)'!BN112*VLOOKUP('Données projet (1)'!$B$11,'Paramètres (1)'!$A$1:$I$88,3,0)*0.475*44/12</f>
        <v>#REF!</v>
      </c>
      <c r="BR112" s="142" t="str">
        <f>EXP(-LN(2)/2)*BR111+(1-EXP(-LN(2)/2))/(LN(2)/2)*BL112*BO112*VLOOKUP('Données projet (1)'!$B$11,'Paramètres (1)'!$A$1:$I$88,3,0)*0.475*44/12</f>
        <v>#REF!</v>
      </c>
      <c r="BS112" s="143" t="str">
        <f t="shared" si="35"/>
        <v>#REF!</v>
      </c>
      <c r="BT112" s="139" t="str">
        <f t="shared" si="36"/>
        <v>#REF!</v>
      </c>
      <c r="BU112" s="131">
        <f t="shared" si="37"/>
        <v>10</v>
      </c>
      <c r="BV112" s="131" t="str">
        <f t="shared" si="120"/>
        <v>#REF!</v>
      </c>
      <c r="BW112" s="131" t="str">
        <f t="shared" si="38"/>
        <v>#REF!</v>
      </c>
      <c r="BX112" s="131" t="str">
        <f t="array" ref="BX112">INDEX(BW:BW,MIN(IF(ISNUMBER(BW112:BW308),ROW(BW112:BW308),"")))</f>
        <v/>
      </c>
      <c r="BY112" s="131" t="str">
        <f t="shared" si="121"/>
        <v>#REF!</v>
      </c>
      <c r="BZ112" s="130" t="str">
        <f>BY112*VLOOKUP('Données projet (1)'!$B$12,'Paramètres (1)'!$A$1:$I$88,3,0)*VLOOKUP('Données projet (1)'!$B$12,'Paramètres (1)'!$A$1:$I$88,5,0)</f>
        <v>#REF!</v>
      </c>
      <c r="CA112" s="130" t="str">
        <f t="shared" si="122"/>
        <v>#REF!</v>
      </c>
      <c r="CB112" s="141" t="str">
        <f t="shared" si="39"/>
        <v>#REF!</v>
      </c>
      <c r="CC112" s="133" t="str">
        <f t="shared" si="40"/>
        <v>#REF!</v>
      </c>
      <c r="CD112" s="133" t="str">
        <f t="shared" si="41"/>
        <v>#REF!</v>
      </c>
      <c r="CE112" s="133" t="str">
        <f t="shared" si="123"/>
        <v>#REF!</v>
      </c>
      <c r="CF112" s="134" t="str">
        <f t="shared" si="42"/>
        <v>#REF!</v>
      </c>
      <c r="CG112" s="134" t="str">
        <f t="shared" si="43"/>
        <v>#REF!</v>
      </c>
      <c r="CH112" s="135" t="str">
        <f>IF(ISNA(VLOOKUP(A112,'Données projet (1)'!$A$113:$I$133,5,0)),0%,VLOOKUP(A112,'Données projet (1)'!$A$113:$I$133,5,0)*VLOOKUP('Données projet (1)'!$B$12,'Paramètres (1)'!$A$1:$I$88,7,0))</f>
        <v>#REF!</v>
      </c>
      <c r="CI112" s="135" t="str">
        <f>IF(ISNA(VLOOKUP(A112,'Données projet (1)'!$A$113:$I$133,6,0)),0%,VLOOKUP(A112,'Données projet (1)'!$A$113:$I$133,6,0)*VLOOKUP('Données projet (1)'!$B$12,'Paramètres (1)'!$A$1:$I$88,7,0))</f>
        <v>#REF!</v>
      </c>
      <c r="CJ112" s="135" t="str">
        <f t="shared" si="44"/>
        <v>#REF!</v>
      </c>
      <c r="CK112" s="142" t="str">
        <f>EXP(-LN(2)/35)*CK111+(1-EXP(-LN(2)/35))/(LN(2)/35)*CG112*CH112*VLOOKUP('Données projet (1)'!$B$12,'Paramètres (1)'!$A$1:$I$88,3,0)*0.475*44/12</f>
        <v>#REF!</v>
      </c>
      <c r="CL112" s="142" t="str">
        <f>EXP(-LN(2)/25)*CL111+(1-EXP(-LN(2)/25))/(LN(2)/25)*'Calculateur (1)'!CG112*'Calculateur (1)'!CI112*VLOOKUP('Données projet (1)'!$B$12,'Paramètres (1)'!$A$1:$I$88,3,0)*0.475*44/12</f>
        <v>#REF!</v>
      </c>
      <c r="CM112" s="142" t="str">
        <f>EXP(-LN(2)/2)*CM111+(1-EXP(-LN(2)/2))/(LN(2)/2)*CG112*CJ112*VLOOKUP('Données projet (1)'!$B$12,'Paramètres (1)'!$A$1:$I$88,3,0)*0.475*44/12</f>
        <v>#REF!</v>
      </c>
      <c r="CN112" s="143" t="str">
        <f t="shared" si="45"/>
        <v>#REF!</v>
      </c>
      <c r="CO112" s="139" t="str">
        <f t="shared" si="46"/>
        <v>#REF!</v>
      </c>
      <c r="CP112" s="131">
        <f t="shared" si="47"/>
        <v>10</v>
      </c>
      <c r="CQ112" s="131" t="str">
        <f t="shared" si="124"/>
        <v>#REF!</v>
      </c>
      <c r="CR112" s="131" t="str">
        <f t="shared" si="48"/>
        <v>#REF!</v>
      </c>
      <c r="CS112" s="131" t="str">
        <f t="array" ref="CS112">INDEX(CR:CR,MIN(IF(ISNUMBER(CR112:CR308),ROW(CR112:CR308),"")))</f>
        <v/>
      </c>
      <c r="CT112" s="131" t="str">
        <f t="shared" si="125"/>
        <v>#REF!</v>
      </c>
      <c r="CU112" s="138" t="str">
        <f>CT112*VLOOKUP('Données projet (1)'!$B$13,'Paramètres (1)'!$A$1:$I$88,3,0)*VLOOKUP('Données projet (1)'!$B$13,'Paramètres (1)'!$A$1:$I$88,5,0)</f>
        <v>#REF!</v>
      </c>
      <c r="CV112" s="130" t="str">
        <f t="shared" si="126"/>
        <v>#REF!</v>
      </c>
      <c r="CW112" s="141" t="str">
        <f t="shared" si="49"/>
        <v>#REF!</v>
      </c>
      <c r="CX112" s="133" t="str">
        <f t="shared" si="50"/>
        <v>#REF!</v>
      </c>
      <c r="CY112" s="133" t="str">
        <f t="shared" si="51"/>
        <v>#REF!</v>
      </c>
      <c r="CZ112" s="133" t="str">
        <f t="shared" si="127"/>
        <v>#REF!</v>
      </c>
      <c r="DA112" s="134" t="str">
        <f t="shared" si="52"/>
        <v>#REF!</v>
      </c>
      <c r="DB112" s="134" t="str">
        <f t="shared" si="53"/>
        <v>#REF!</v>
      </c>
      <c r="DC112" s="135" t="str">
        <f>IF(ISNA(VLOOKUP(A112,'Données projet (1)'!$A$139:$I$159,5,0)),0%,VLOOKUP(A112,'Données projet (1)'!$A$139:$I$159,5,0)*VLOOKUP('Données projet (1)'!$B$13,'Paramètres (1)'!$A$1:$I$88,7,0))</f>
        <v>#REF!</v>
      </c>
      <c r="DD112" s="135" t="str">
        <f>IF(ISNA(VLOOKUP(A112,'Données projet (1)'!$A$139:$I$159,6,0)),0%,VLOOKUP(A112,'Données projet (1)'!$A$139:$I$159,6,0)*VLOOKUP('Données projet (1)'!$B$13,'Paramètres (1)'!$A$1:$I$88,7,0))</f>
        <v>#REF!</v>
      </c>
      <c r="DE112" s="135" t="str">
        <f t="shared" si="54"/>
        <v>#REF!</v>
      </c>
      <c r="DF112" s="142" t="str">
        <f>EXP(-LN(2)/35)*DF111+(1-EXP(-LN(2)/35))/(LN(2)/35)*DB112*DC112*VLOOKUP('Données projet (1)'!$B$13,'Paramètres (1)'!$A$1:$I$88,3,0)*0.475*44/12</f>
        <v>#REF!</v>
      </c>
      <c r="DG112" s="142" t="str">
        <f>EXP(-LN(2)/25)*DG111+(1-EXP(-LN(2)/25))/(LN(2)/25)*'Calculateur (1)'!DB112*'Calculateur (1)'!DD112*VLOOKUP('Données projet (1)'!$B$13,'Paramètres (1)'!$A$1:$I$88,3,0)*0.475*44/12</f>
        <v>#REF!</v>
      </c>
      <c r="DH112" s="142" t="str">
        <f>EXP(-LN(2)/2)*DH111+(1-EXP(-LN(2)/2))/(LN(2)/2)*DB112*DE112*VLOOKUP('Données projet (1)'!$B$13,'Paramètres (1)'!$A$1:$I$88,3,0)*0.475*44/12</f>
        <v>#REF!</v>
      </c>
      <c r="DI112" s="143" t="str">
        <f t="shared" si="55"/>
        <v>#REF!</v>
      </c>
      <c r="DJ112" s="139" t="str">
        <f t="shared" si="56"/>
        <v>#REF!</v>
      </c>
      <c r="DK112" s="131">
        <f t="shared" si="57"/>
        <v>10</v>
      </c>
      <c r="DL112" s="131" t="str">
        <f t="shared" si="128"/>
        <v>#REF!</v>
      </c>
      <c r="DM112" s="131" t="str">
        <f t="shared" si="58"/>
        <v>#REF!</v>
      </c>
      <c r="DN112" s="131" t="str">
        <f t="array" ref="DN112">INDEX(DM:DM,MIN(IF(ISNUMBER(DM112:DM308),ROW(DM112:DM308),"")))</f>
        <v/>
      </c>
      <c r="DO112" s="131" t="str">
        <f t="shared" si="129"/>
        <v>#REF!</v>
      </c>
      <c r="DP112" s="138" t="str">
        <f>DO112*VLOOKUP('Données projet (1)'!$B$14,'Paramètres (1)'!$A$1:$I$88,3,0)*VLOOKUP('Données projet (1)'!$B$14,'Paramètres (1)'!$A$1:$I$88,5,0)</f>
        <v>#REF!</v>
      </c>
      <c r="DQ112" s="130" t="str">
        <f t="shared" si="130"/>
        <v>#REF!</v>
      </c>
      <c r="DR112" s="141" t="str">
        <f t="shared" si="59"/>
        <v>#REF!</v>
      </c>
      <c r="DS112" s="133" t="str">
        <f t="shared" si="60"/>
        <v>#REF!</v>
      </c>
      <c r="DT112" s="133" t="str">
        <f t="shared" si="61"/>
        <v>#REF!</v>
      </c>
      <c r="DU112" s="133" t="str">
        <f t="shared" si="131"/>
        <v>#REF!</v>
      </c>
      <c r="DV112" s="134" t="str">
        <f t="shared" si="62"/>
        <v>#REF!</v>
      </c>
      <c r="DW112" s="134" t="str">
        <f t="shared" si="63"/>
        <v>#REF!</v>
      </c>
      <c r="DX112" s="135" t="str">
        <f>IF(ISNA(VLOOKUP(A112,'Données projet (1)'!$A$165:$I$185,5,0)),0%,VLOOKUP(A112,'Données projet (1)'!$A$165:$I$185,5,0)*VLOOKUP('Données projet (1)'!$B$14,'Paramètres (1)'!$A$1:$I$88,7,0))</f>
        <v>#REF!</v>
      </c>
      <c r="DY112" s="135" t="str">
        <f>IF(ISNA(VLOOKUP(A112,'Données projet (1)'!$A$165:$I$185,6,0)),0%,VLOOKUP(A112,'Données projet (1)'!$A$165:$I$185,6,0)*VLOOKUP('Données projet (1)'!$B$14,'Paramètres (1)'!$A$1:$I$88,7,0))</f>
        <v>#REF!</v>
      </c>
      <c r="DZ112" s="135" t="str">
        <f t="shared" si="64"/>
        <v>#REF!</v>
      </c>
      <c r="EA112" s="142" t="str">
        <f>EXP(-LN(2)/35)*EA111+(1-EXP(-LN(2)/35))/(LN(2)/35)*DW112*DX112*VLOOKUP('Données projet (1)'!$B$14,'Paramètres (1)'!$A$1:$I$88,3,0)*0.475*44/12</f>
        <v>#REF!</v>
      </c>
      <c r="EB112" s="142" t="str">
        <f>EXP(-LN(2)/25)*EB111+(1-EXP(-LN(2)/25))/(LN(2)/25)*'Calculateur (1)'!DW112*'Calculateur (1)'!DY112*VLOOKUP('Données projet (1)'!$B$14,'Paramètres (1)'!$A$1:$I$88,3,0)*0.475*44/12</f>
        <v>#REF!</v>
      </c>
      <c r="EC112" s="142" t="str">
        <f>EXP(-LN(2)/2)*EC111+(1-EXP(-LN(2)/2))/(LN(2)/2)*DW112*DZ112*VLOOKUP('Données projet (1)'!$B$14,'Paramètres (1)'!$A$1:$I$88,3,0)*0.475*44/12</f>
        <v>#REF!</v>
      </c>
      <c r="ED112" s="143" t="str">
        <f t="shared" si="65"/>
        <v>#REF!</v>
      </c>
      <c r="EE112" s="139" t="str">
        <f t="shared" si="66"/>
        <v>#REF!</v>
      </c>
      <c r="EF112" s="131">
        <f t="shared" si="67"/>
        <v>10</v>
      </c>
      <c r="EG112" s="131" t="str">
        <f t="shared" si="132"/>
        <v>#REF!</v>
      </c>
      <c r="EH112" s="131" t="str">
        <f t="shared" si="68"/>
        <v>#REF!</v>
      </c>
      <c r="EI112" s="131" t="str">
        <f t="array" ref="EI112">INDEX(EH:EH,MIN(IF(ISNUMBER(EH112:EH308),ROW(EH112:EH308),"")))</f>
        <v/>
      </c>
      <c r="EJ112" s="131" t="str">
        <f t="shared" si="133"/>
        <v>#REF!</v>
      </c>
      <c r="EK112" s="138" t="str">
        <f>EJ112*VLOOKUP('Données projet (1)'!$B$15,'Paramètres (1)'!$A$1:$I$88,3,0)*VLOOKUP('Données projet (1)'!$B$15,'Paramètres (1)'!$A$1:$I$88,5,0)</f>
        <v>#REF!</v>
      </c>
      <c r="EL112" s="130" t="str">
        <f t="shared" si="134"/>
        <v>#REF!</v>
      </c>
      <c r="EM112" s="141" t="str">
        <f t="shared" si="69"/>
        <v>#REF!</v>
      </c>
      <c r="EN112" s="133" t="str">
        <f t="shared" si="70"/>
        <v>#REF!</v>
      </c>
      <c r="EO112" s="133" t="str">
        <f t="shared" si="71"/>
        <v>#REF!</v>
      </c>
      <c r="EP112" s="133" t="str">
        <f t="shared" si="135"/>
        <v>#REF!</v>
      </c>
      <c r="EQ112" s="134" t="str">
        <f t="shared" si="72"/>
        <v>#REF!</v>
      </c>
      <c r="ER112" s="134" t="str">
        <f t="shared" si="73"/>
        <v>#REF!</v>
      </c>
      <c r="ES112" s="135" t="str">
        <f>IF(ISNA(VLOOKUP(A112,'Données projet (1)'!$A$191:$I$211,5,0)),0%,VLOOKUP(A112,'Données projet (1)'!$A$191:$I$211,5,0)*VLOOKUP('Données projet (1)'!$B$15,'Paramètres (1)'!$A$1:$I$88,7,0))</f>
        <v>#REF!</v>
      </c>
      <c r="ET112" s="135" t="str">
        <f>IF(ISNA(VLOOKUP(A112,'Données projet (1)'!$A$191:$I$211,6,0)),0%,VLOOKUP(A112,'Données projet (1)'!$A$191:$I$211,6,0)*VLOOKUP('Données projet (1)'!$B$15,'Paramètres (1)'!$A$1:$I$88,7,0))</f>
        <v>#REF!</v>
      </c>
      <c r="EU112" s="135" t="str">
        <f t="shared" si="74"/>
        <v>#REF!</v>
      </c>
      <c r="EV112" s="142" t="str">
        <f>EXP(-LN(2)/35)*EV111+(1-EXP(-LN(2)/35))/(LN(2)/35)*ER112*ES112*VLOOKUP('Données projet (1)'!$B$15,'Paramètres (1)'!$A$1:$I$88,3,0)*0.475*44/12</f>
        <v>#REF!</v>
      </c>
      <c r="EW112" s="142" t="str">
        <f>EXP(-LN(2)/25)*EW111+(1-EXP(-LN(2)/25))/(LN(2)/25)*'Calculateur (1)'!ER112*'Calculateur (1)'!ET112*VLOOKUP('Données projet (1)'!$B$15,'Paramètres (1)'!$A$1:$I$88,3,0)*0.475*44/12</f>
        <v>#REF!</v>
      </c>
      <c r="EX112" s="142" t="str">
        <f>EXP(-LN(2)/2)*EX111+(1-EXP(-LN(2)/2))/(LN(2)/2)*ER112*EU112*VLOOKUP('Données projet (1)'!$B$15,'Paramètres (1)'!$A$1:$I$88,3,0)*0.475*44/12</f>
        <v>#REF!</v>
      </c>
      <c r="EY112" s="143" t="str">
        <f t="shared" si="75"/>
        <v>#REF!</v>
      </c>
      <c r="EZ112" s="139" t="str">
        <f t="shared" si="76"/>
        <v>#REF!</v>
      </c>
      <c r="FA112" s="131">
        <f t="shared" si="77"/>
        <v>10</v>
      </c>
      <c r="FB112" s="131" t="str">
        <f t="shared" si="136"/>
        <v>#REF!</v>
      </c>
      <c r="FC112" s="131" t="str">
        <f t="shared" si="78"/>
        <v>#REF!</v>
      </c>
      <c r="FD112" s="131" t="str">
        <f t="array" ref="FD112">INDEX(FC:FC,MIN(IF(ISNUMBER(FC112:FC308),ROW(FC112:FC308),"")))</f>
        <v/>
      </c>
      <c r="FE112" s="131" t="str">
        <f t="shared" si="137"/>
        <v>#REF!</v>
      </c>
      <c r="FF112" s="138" t="str">
        <f>FE112*VLOOKUP('Données projet (1)'!$B$16,'Paramètres (1)'!$A$1:$I$88,3,0)*VLOOKUP('Données projet (1)'!$B$16,'Paramètres (1)'!$A$1:$I$88,5,0)</f>
        <v>#REF!</v>
      </c>
      <c r="FG112" s="130" t="str">
        <f t="shared" si="138"/>
        <v>#REF!</v>
      </c>
      <c r="FH112" s="141" t="str">
        <f t="shared" si="79"/>
        <v>#REF!</v>
      </c>
      <c r="FI112" s="133" t="str">
        <f t="shared" si="80"/>
        <v>#REF!</v>
      </c>
      <c r="FJ112" s="133" t="str">
        <f t="shared" si="81"/>
        <v>#REF!</v>
      </c>
      <c r="FK112" s="133" t="str">
        <f t="shared" si="139"/>
        <v>#REF!</v>
      </c>
      <c r="FL112" s="134" t="str">
        <f t="shared" si="82"/>
        <v>#REF!</v>
      </c>
      <c r="FM112" s="134" t="str">
        <f t="shared" si="83"/>
        <v>#REF!</v>
      </c>
      <c r="FN112" s="135" t="str">
        <f>IF(ISNA(VLOOKUP(A112,'Données projet (1)'!$A$217:$I$237,5,0)),0%,VLOOKUP(A112,'Données projet (1)'!$A$217:$I$237,5,0)*VLOOKUP('Données projet (1)'!$B$16,'Paramètres (1)'!$A$1:$I$88,7,0))</f>
        <v>#REF!</v>
      </c>
      <c r="FO112" s="135" t="str">
        <f>IF(ISNA(VLOOKUP(A112,'Données projet (1)'!$A$217:$I$237,6,0)),0%,VLOOKUP(A112,'Données projet (1)'!$A$217:$I$237,6,0)*VLOOKUP('Données projet (1)'!$B$16,'Paramètres (1)'!$A$1:$I$88,7,0))</f>
        <v>#REF!</v>
      </c>
      <c r="FP112" s="135" t="str">
        <f t="shared" si="84"/>
        <v>#REF!</v>
      </c>
      <c r="FQ112" s="142" t="str">
        <f>EXP(-LN(2)/35)*FQ111+(1-EXP(-LN(2)/35))/(LN(2)/35)*FM112*FN112*VLOOKUP('Données projet (1)'!$B$16,'Paramètres (1)'!$A$1:$I$88,3,0)*0.475*44/12</f>
        <v>#REF!</v>
      </c>
      <c r="FR112" s="142" t="str">
        <f>EXP(-LN(2)/25)*FR111+(1-EXP(-LN(2)/25))/(LN(2)/25)*'Calculateur (1)'!FM112*'Calculateur (1)'!FO112*VLOOKUP('Données projet (1)'!$B$16,'Paramètres (1)'!$A$1:$I$88,3,0)*0.475*44/12</f>
        <v>#REF!</v>
      </c>
      <c r="FS112" s="142" t="str">
        <f>EXP(-LN(2)/2)*FS111+(1-EXP(-LN(2)/2))/(LN(2)/2)*FM112*FP112*VLOOKUP('Données projet (1)'!$B$16,'Paramètres (1)'!$A$1:$I$88,3,0)*0.475*44/12</f>
        <v>#REF!</v>
      </c>
      <c r="FT112" s="143" t="str">
        <f t="shared" si="85"/>
        <v>#REF!</v>
      </c>
      <c r="FU112" s="139" t="str">
        <f t="shared" si="86"/>
        <v>#REF!</v>
      </c>
      <c r="FV112" s="131">
        <f t="shared" si="87"/>
        <v>10</v>
      </c>
      <c r="FW112" s="131" t="str">
        <f t="shared" si="140"/>
        <v>#REF!</v>
      </c>
      <c r="FX112" s="131" t="str">
        <f t="shared" si="88"/>
        <v>#REF!</v>
      </c>
      <c r="FY112" s="131" t="str">
        <f t="array" ref="FY112">INDEX(FX:FX,MIN(IF(ISNUMBER(FX112:FX308),ROW(FX112:FX308),"")))</f>
        <v/>
      </c>
      <c r="FZ112" s="131" t="str">
        <f t="shared" si="141"/>
        <v>#REF!</v>
      </c>
      <c r="GA112" s="138" t="str">
        <f>FZ112*VLOOKUP('Données projet (1)'!$B$17,'Paramètres (1)'!$A$1:$I$88,3,0)*VLOOKUP('Données projet (1)'!$B$17,'Paramètres (1)'!$A$1:$I$88,5,0)</f>
        <v>#REF!</v>
      </c>
      <c r="GB112" s="130" t="str">
        <f t="shared" si="142"/>
        <v>#REF!</v>
      </c>
      <c r="GC112" s="141" t="str">
        <f t="shared" si="89"/>
        <v>#REF!</v>
      </c>
      <c r="GD112" s="133" t="str">
        <f t="shared" si="90"/>
        <v>#REF!</v>
      </c>
      <c r="GE112" s="133" t="str">
        <f t="shared" si="91"/>
        <v>#REF!</v>
      </c>
      <c r="GF112" s="133" t="str">
        <f t="shared" si="143"/>
        <v>#REF!</v>
      </c>
      <c r="GG112" s="134" t="str">
        <f t="shared" si="92"/>
        <v>#REF!</v>
      </c>
      <c r="GH112" s="134" t="str">
        <f t="shared" si="93"/>
        <v>#REF!</v>
      </c>
      <c r="GI112" s="135" t="str">
        <f>IF(ISNA(VLOOKUP(A112,'Données projet (1)'!$A$243:$I$263,5,0)),0%,VLOOKUP(A112,'Données projet (1)'!$A$243:$I$263,5,0)*VLOOKUP('Données projet (1)'!$B$17,'Paramètres (1)'!$A$1:$I$88,7,0))</f>
        <v>#REF!</v>
      </c>
      <c r="GJ112" s="135" t="str">
        <f>IF(ISNA(VLOOKUP(A112,'Données projet (1)'!$A$243:$I$263,6,0)),0%,VLOOKUP(A112,'Données projet (1)'!$A$243:$I$263,6,0)*VLOOKUP('Données projet (1)'!$B$17,'Paramètres (1)'!$A$1:$I$88,7,0))</f>
        <v>#REF!</v>
      </c>
      <c r="GK112" s="135" t="str">
        <f t="shared" si="94"/>
        <v>#REF!</v>
      </c>
      <c r="GL112" s="142" t="str">
        <f>EXP(-LN(2)/35)*GL111+(1-EXP(-LN(2)/35))/(LN(2)/35)*GH112*GI112*VLOOKUP('Données projet (1)'!$B$17,'Paramètres (1)'!$A$1:$I$88,3,0)*0.475*44/12</f>
        <v>#REF!</v>
      </c>
      <c r="GM112" s="142" t="str">
        <f>EXP(-LN(2)/25)*GM111+(1-EXP(-LN(2)/25))/(LN(2)/25)*'Calculateur (1)'!GH112*'Calculateur (1)'!GJ112*VLOOKUP('Données projet (1)'!$B$17,'Paramètres (1)'!$A$1:$I$88,3,0)*0.475*44/12</f>
        <v>#REF!</v>
      </c>
      <c r="GN112" s="142" t="str">
        <f>EXP(-LN(2)/2)*GN111+(1-EXP(-LN(2)/2))/(LN(2)/2)*GH112*GK112*VLOOKUP('Données projet (1)'!$B$17,'Paramètres (1)'!$A$1:$I$88,3,0)*0.475*44/12</f>
        <v>#REF!</v>
      </c>
      <c r="GO112" s="142" t="str">
        <f t="shared" si="95"/>
        <v>#REF!</v>
      </c>
      <c r="GP112" s="139" t="str">
        <f t="shared" si="96"/>
        <v>#REF!</v>
      </c>
      <c r="GQ112" s="131">
        <f t="shared" si="97"/>
        <v>10</v>
      </c>
      <c r="GR112" s="131" t="str">
        <f t="shared" si="144"/>
        <v>#REF!</v>
      </c>
      <c r="GS112" s="131" t="str">
        <f t="shared" si="98"/>
        <v>#REF!</v>
      </c>
      <c r="GT112" s="131" t="str">
        <f t="array" ref="GT112">INDEX(GS:GS,MIN(IF(ISNUMBER(GS112:GS308),ROW(GS112:GS308),"")))</f>
        <v/>
      </c>
      <c r="GU112" s="131" t="str">
        <f t="shared" si="145"/>
        <v>#REF!</v>
      </c>
      <c r="GV112" s="138" t="str">
        <f>GU112*VLOOKUP('Données projet (1)'!$B$18,'Paramètres (1)'!$A$1:$I$88,3,0)*VLOOKUP('Données projet (1)'!$B$18,'Paramètres (1)'!$A$1:$I$88,5,0)</f>
        <v>#REF!</v>
      </c>
      <c r="GW112" s="130" t="str">
        <f t="shared" si="146"/>
        <v>#REF!</v>
      </c>
      <c r="GX112" s="141" t="str">
        <f t="shared" si="99"/>
        <v>#REF!</v>
      </c>
      <c r="GY112" s="133" t="str">
        <f t="shared" si="100"/>
        <v>#REF!</v>
      </c>
      <c r="GZ112" s="133" t="str">
        <f t="shared" si="101"/>
        <v>#REF!</v>
      </c>
      <c r="HA112" s="133" t="str">
        <f t="shared" si="147"/>
        <v>#REF!</v>
      </c>
      <c r="HB112" s="134" t="str">
        <f t="shared" si="102"/>
        <v>#REF!</v>
      </c>
      <c r="HC112" s="134" t="str">
        <f t="shared" si="103"/>
        <v>#REF!</v>
      </c>
      <c r="HD112" s="135" t="str">
        <f>IF(ISNA(VLOOKUP(A112,'Données projet (1)'!$A$269:$I$289,5,0)),0%,VLOOKUP(A112,'Données projet (1)'!$A$269:$I$289,5,0)*VLOOKUP('Données projet (1)'!$B$18,'Paramètres (1)'!$A$1:$I$88,7,0))</f>
        <v>#REF!</v>
      </c>
      <c r="HE112" s="135" t="str">
        <f>IF(ISNA(VLOOKUP(A112,'Données projet (1)'!$A$269:$I$289,6,0)),0%,VLOOKUP(A112,'Données projet (1)'!$A$269:$I$289,6,0)*VLOOKUP('Données projet (1)'!$B$18,'Paramètres (1)'!$A$1:$I$88,7,0))</f>
        <v>#REF!</v>
      </c>
      <c r="HF112" s="135" t="str">
        <f t="shared" si="104"/>
        <v>#REF!</v>
      </c>
      <c r="HG112" s="142" t="str">
        <f>EXP(-LN(2)/35)*HG111+(1-EXP(-LN(2)/35))/(LN(2)/35)*HC112*HD112*VLOOKUP('Données projet (1)'!$B$18,'Paramètres (1)'!$A$1:$I$88,3,0)*0.475*44/12</f>
        <v>#REF!</v>
      </c>
      <c r="HH112" s="142" t="str">
        <f>EXP(-LN(2)/25)*HH111+(1-EXP(-LN(2)/25))/(LN(2)/25)*'Calculateur (1)'!HC112*'Calculateur (1)'!HE112*VLOOKUP('Données projet (1)'!$B$18,'Paramètres (1)'!$A$1:$I$88,3,0)*0.475*44/12</f>
        <v>#REF!</v>
      </c>
      <c r="HI112" s="142" t="str">
        <f>EXP(-LN(2)/2)*HI111+(1-EXP(-LN(2)/2))/(LN(2)/2)*HC112*HF112*VLOOKUP('Données projet (1)'!$B$18,'Paramètres (1)'!$A$1:$I$88,3,0)*0.475*44/12</f>
        <v>#REF!</v>
      </c>
      <c r="HJ112" s="143" t="str">
        <f t="shared" si="105"/>
        <v>#REF!</v>
      </c>
    </row>
    <row r="113" ht="14.25" customHeight="1">
      <c r="A113" s="125">
        <f t="shared" si="106"/>
        <v>110</v>
      </c>
      <c r="B113" s="126" t="str">
        <f t="shared" si="1"/>
        <v>#REF!</v>
      </c>
      <c r="C113" s="140" t="str">
        <f>'Calculateur (1)'!C112+'Scénario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3" s="127">
        <f t="shared" si="107"/>
        <v>0</v>
      </c>
      <c r="E113" s="127" t="str">
        <f t="shared" si="2"/>
        <v>#REF!</v>
      </c>
      <c r="F113" s="127" t="str">
        <f t="shared" si="3"/>
        <v>#REF!</v>
      </c>
      <c r="G113" s="127" t="str">
        <f t="shared" si="4"/>
        <v>#REF!</v>
      </c>
      <c r="H113" s="128" t="str">
        <f t="shared" si="5"/>
        <v>#REF!</v>
      </c>
      <c r="I113" s="129" t="str">
        <f t="shared" si="6"/>
        <v>#REF!</v>
      </c>
      <c r="J113" s="130">
        <f t="shared" si="7"/>
        <v>10</v>
      </c>
      <c r="K113" s="131" t="str">
        <f t="shared" si="108"/>
        <v>#REF!</v>
      </c>
      <c r="L113" s="131" t="str">
        <f t="shared" si="8"/>
        <v>#REF!</v>
      </c>
      <c r="M113" s="131" t="str">
        <f t="array" ref="M113">INDEX(L:L,MIN(IF(ISNUMBER(L113:L309),ROW(L113:L309),"")))</f>
        <v/>
      </c>
      <c r="N113" s="130" t="str">
        <f t="shared" si="109"/>
        <v>#REF!</v>
      </c>
      <c r="O113" s="130" t="str">
        <f>N113*VLOOKUP('Données projet (1)'!$B$9,'Paramètres (1)'!$A$1:$I$88,3,0)*VLOOKUP('Données projet (1)'!$B$9,'Paramètres (1)'!$A$1:$I$88,5,0)</f>
        <v>#REF!</v>
      </c>
      <c r="P113" s="130" t="str">
        <f t="shared" si="110"/>
        <v>#REF!</v>
      </c>
      <c r="Q113" s="141" t="str">
        <f t="shared" si="9"/>
        <v>#REF!</v>
      </c>
      <c r="R113" s="133" t="str">
        <f t="shared" si="10"/>
        <v>#REF!</v>
      </c>
      <c r="S113" s="133" t="str">
        <f t="shared" si="11"/>
        <v>#REF!</v>
      </c>
      <c r="T113" s="133" t="str">
        <f t="shared" si="111"/>
        <v>#REF!</v>
      </c>
      <c r="U113" s="134" t="str">
        <f t="shared" si="12"/>
        <v>#REF!</v>
      </c>
      <c r="V113" s="134" t="str">
        <f t="shared" si="13"/>
        <v>#REF!</v>
      </c>
      <c r="W113" s="135" t="str">
        <f>IF(ISNA(VLOOKUP(A113,'Données projet (1)'!$A$35:$I$55,5,0)),0%,VLOOKUP(A113,'Données projet (1)'!$A$35:$I$55,5,0)*VLOOKUP('Données projet (1)'!$B$9,'Paramètres (1)'!$A$1:$I$88,7,0))</f>
        <v>#REF!</v>
      </c>
      <c r="X113" s="135" t="str">
        <f>IF(ISNA(VLOOKUP(A113,'Données projet (1)'!$A$35:$I$55,6,0)),0%,VLOOKUP(A113,'Données projet (1)'!$A$35:$I$55,6,0)*VLOOKUP('Données projet (1)'!$B$9,'Paramètres (1)'!$A$1:$I$88,7,0))</f>
        <v>#REF!</v>
      </c>
      <c r="Y113" s="135" t="str">
        <f t="shared" si="14"/>
        <v>#REF!</v>
      </c>
      <c r="Z113" s="142" t="str">
        <f>EXP(-LN(2)/35)*Z112+(1-EXP(-LN(2)/35))/(LN(2)/35)*V113*W113*VLOOKUP('Données projet (1)'!$B$9,'Paramètres (1)'!$A$1:$I$88,3,0)*0.475*44/12</f>
        <v>#REF!</v>
      </c>
      <c r="AA113" s="142" t="str">
        <f>EXP(-LN(2)/25)*AA112+(1-EXP(-LN(2)/25))/(LN(2)/25)*'Calculateur (1)'!V113*'Calculateur (1)'!X113*VLOOKUP('Données projet (1)'!$B$9,'Paramètres (1)'!$A$1:$I$88,3,0)*0.475*44/12</f>
        <v>#REF!</v>
      </c>
      <c r="AB113" s="142" t="str">
        <f>EXP(-LN(2)/2)*AB112+(1-EXP(-LN(2)/2))/(LN(2)/2)*V113*Y113*VLOOKUP('Données projet (1)'!$B$9,'Paramètres (1)'!$A$1:$I$88,3,0)*0.475*44/12</f>
        <v>#REF!</v>
      </c>
      <c r="AC113" s="143" t="str">
        <f t="shared" si="15"/>
        <v>#REF!</v>
      </c>
      <c r="AD113" s="130" t="str">
        <f t="shared" si="16"/>
        <v>#REF!</v>
      </c>
      <c r="AE113" s="130">
        <f t="shared" si="17"/>
        <v>10</v>
      </c>
      <c r="AF113" s="131" t="str">
        <f t="shared" si="112"/>
        <v>#REF!</v>
      </c>
      <c r="AG113" s="131" t="str">
        <f t="shared" si="18"/>
        <v>#REF!</v>
      </c>
      <c r="AH113" s="131" t="str">
        <f t="array" ref="AH113">INDEX(AG:AG,MIN(IF(ISNUMBER(AG113:AG309),ROW(AG113:AG309),"")))</f>
        <v/>
      </c>
      <c r="AI113" s="130" t="str">
        <f t="shared" si="113"/>
        <v>#REF!</v>
      </c>
      <c r="AJ113" s="130" t="str">
        <f>AI113*VLOOKUP('Données projet (1)'!$B$10,'Paramètres (1)'!$A$1:$I$88,3,0)*VLOOKUP('Données projet (1)'!$B$10,'Paramètres (1)'!$A$1:$I$88,5,0)</f>
        <v>#REF!</v>
      </c>
      <c r="AK113" s="130" t="str">
        <f t="shared" si="114"/>
        <v>#REF!</v>
      </c>
      <c r="AL113" s="141" t="str">
        <f t="shared" si="19"/>
        <v>#REF!</v>
      </c>
      <c r="AM113" s="133" t="str">
        <f t="shared" si="20"/>
        <v>#REF!</v>
      </c>
      <c r="AN113" s="133" t="str">
        <f t="shared" si="21"/>
        <v>#REF!</v>
      </c>
      <c r="AO113" s="133" t="str">
        <f t="shared" si="115"/>
        <v>#REF!</v>
      </c>
      <c r="AP113" s="134" t="str">
        <f t="shared" si="22"/>
        <v>#REF!</v>
      </c>
      <c r="AQ113" s="134" t="str">
        <f t="shared" si="23"/>
        <v>#REF!</v>
      </c>
      <c r="AR113" s="135" t="str">
        <f>IF(ISNA(VLOOKUP(A113,'Données projet (1)'!$A$61:$I$81,5,0)),0%,VLOOKUP(A113,'Données projet (1)'!$A$61:$I$81,5,0)*VLOOKUP('Données projet (1)'!$B$10,'Paramètres (1)'!$A$1:$I$88,7,0))</f>
        <v>#REF!</v>
      </c>
      <c r="AS113" s="135" t="str">
        <f>IF(ISNA(VLOOKUP(A113,'Données projet (1)'!$A$61:$I$81,6,0)),0%,VLOOKUP(A113,'Données projet (1)'!$A$61:$I$81,6,0)*VLOOKUP('Données projet (1)'!$B$10,'Paramètres (1)'!$A$1:$I$88,7,0))</f>
        <v>#REF!</v>
      </c>
      <c r="AT113" s="135" t="str">
        <f t="shared" si="24"/>
        <v>#REF!</v>
      </c>
      <c r="AU113" s="142" t="str">
        <f>EXP(-LN(2)/35)*AU112+(1-EXP(-LN(2)/35))/(LN(2)/35)*AQ113*AR113*VLOOKUP('Données projet (1)'!$B$10,'Paramètres (1)'!$A$1:$I$88,3,0)*0.475*44/12</f>
        <v>#REF!</v>
      </c>
      <c r="AV113" s="142" t="str">
        <f>EXP(-LN(2)/25)*AV112+(1-EXP(-LN(2)/25))/(LN(2)/25)*'Calculateur (1)'!AQ113*'Calculateur (1)'!AS113*VLOOKUP('Données projet (1)'!$B$10,'Paramètres (1)'!$A$1:$I$88,3,0)*0.475*44/12</f>
        <v>#REF!</v>
      </c>
      <c r="AW113" s="142" t="str">
        <f>EXP(-LN(2)/2)*AW112+(1-EXP(-LN(2)/2))/(LN(2)/2)*AQ113*AT113*VLOOKUP('Données projet (1)'!$B$10,'Paramètres (1)'!$A$1:$I$88,3,0)*0.475*44/12</f>
        <v>#REF!</v>
      </c>
      <c r="AX113" s="142" t="str">
        <f t="shared" si="25"/>
        <v>#REF!</v>
      </c>
      <c r="AY113" s="137" t="str">
        <f t="shared" si="26"/>
        <v>#REF!</v>
      </c>
      <c r="AZ113" s="131">
        <f t="shared" si="27"/>
        <v>10</v>
      </c>
      <c r="BA113" s="131" t="str">
        <f t="shared" si="116"/>
        <v>#REF!</v>
      </c>
      <c r="BB113" s="131" t="str">
        <f t="shared" si="28"/>
        <v>#REF!</v>
      </c>
      <c r="BC113" s="131" t="str">
        <f t="array" ref="BC113">INDEX(BB:BB,MIN(IF(ISNUMBER(BB113:BB309),ROW(BB113:BB309),"")))</f>
        <v/>
      </c>
      <c r="BD113" s="131" t="str">
        <f t="shared" si="117"/>
        <v>#REF!</v>
      </c>
      <c r="BE113" s="130" t="str">
        <f>BD113*VLOOKUP('Données projet (1)'!$B$11,'Paramètres (1)'!$A$1:$I$88,3,0)*VLOOKUP('Données projet (1)'!$B$11,'Paramètres (1)'!$A$1:$I$88,5,0)</f>
        <v>#REF!</v>
      </c>
      <c r="BF113" s="130" t="str">
        <f t="shared" si="118"/>
        <v>#REF!</v>
      </c>
      <c r="BG113" s="141" t="str">
        <f t="shared" si="29"/>
        <v>#REF!</v>
      </c>
      <c r="BH113" s="133" t="str">
        <f t="shared" si="30"/>
        <v>#REF!</v>
      </c>
      <c r="BI113" s="133" t="str">
        <f t="shared" si="31"/>
        <v>#REF!</v>
      </c>
      <c r="BJ113" s="133" t="str">
        <f t="shared" si="119"/>
        <v>#REF!</v>
      </c>
      <c r="BK113" s="134" t="str">
        <f t="shared" si="32"/>
        <v>#REF!</v>
      </c>
      <c r="BL113" s="134" t="str">
        <f t="shared" si="33"/>
        <v>#REF!</v>
      </c>
      <c r="BM113" s="135" t="str">
        <f>IF(ISNA(VLOOKUP(A113,'Données projet (1)'!$A$87:$I$107,5,0)),0%,VLOOKUP(A113,'Données projet (1)'!$A$87:$I$107,5,0)*VLOOKUP('Données projet (1)'!$B$11,'Paramètres (1)'!$A$1:$I$88,7,0))</f>
        <v>#REF!</v>
      </c>
      <c r="BN113" s="135" t="str">
        <f>IF(ISNA(VLOOKUP(A113,'Données projet (1)'!$A$87:$I$107,6,0)),0%,VLOOKUP(A113,'Données projet (1)'!$A$87:$I$107,6,0)*VLOOKUP('Données projet (1)'!$B$11,'Paramètres (1)'!$A$1:$I$88,7,0))</f>
        <v>#REF!</v>
      </c>
      <c r="BO113" s="135" t="str">
        <f t="shared" si="34"/>
        <v>#REF!</v>
      </c>
      <c r="BP113" s="142" t="str">
        <f>EXP(-LN(2)/35)*BP112+(1-EXP(-LN(2)/35))/(LN(2)/35)*BL113*BM113*VLOOKUP('Données projet (1)'!$B$11,'Paramètres (1)'!$A$1:$I$88,3,0)*0.475*44/12</f>
        <v>#REF!</v>
      </c>
      <c r="BQ113" s="142" t="str">
        <f>EXP(-LN(2)/25)*BQ112+(1-EXP(-LN(2)/25))/(LN(2)/25)*'Calculateur (1)'!BL113*'Calculateur (1)'!BN113*VLOOKUP('Données projet (1)'!$B$11,'Paramètres (1)'!$A$1:$I$88,3,0)*0.475*44/12</f>
        <v>#REF!</v>
      </c>
      <c r="BR113" s="142" t="str">
        <f>EXP(-LN(2)/2)*BR112+(1-EXP(-LN(2)/2))/(LN(2)/2)*BL113*BO113*VLOOKUP('Données projet (1)'!$B$11,'Paramètres (1)'!$A$1:$I$88,3,0)*0.475*44/12</f>
        <v>#REF!</v>
      </c>
      <c r="BS113" s="143" t="str">
        <f t="shared" si="35"/>
        <v>#REF!</v>
      </c>
      <c r="BT113" s="139" t="str">
        <f t="shared" si="36"/>
        <v>#REF!</v>
      </c>
      <c r="BU113" s="131">
        <f t="shared" si="37"/>
        <v>10</v>
      </c>
      <c r="BV113" s="131" t="str">
        <f t="shared" si="120"/>
        <v>#REF!</v>
      </c>
      <c r="BW113" s="131" t="str">
        <f t="shared" si="38"/>
        <v>#REF!</v>
      </c>
      <c r="BX113" s="131" t="str">
        <f t="array" ref="BX113">INDEX(BW:BW,MIN(IF(ISNUMBER(BW113:BW309),ROW(BW113:BW309),"")))</f>
        <v/>
      </c>
      <c r="BY113" s="131" t="str">
        <f t="shared" si="121"/>
        <v>#REF!</v>
      </c>
      <c r="BZ113" s="130" t="str">
        <f>BY113*VLOOKUP('Données projet (1)'!$B$12,'Paramètres (1)'!$A$1:$I$88,3,0)*VLOOKUP('Données projet (1)'!$B$12,'Paramètres (1)'!$A$1:$I$88,5,0)</f>
        <v>#REF!</v>
      </c>
      <c r="CA113" s="130" t="str">
        <f t="shared" si="122"/>
        <v>#REF!</v>
      </c>
      <c r="CB113" s="141" t="str">
        <f t="shared" si="39"/>
        <v>#REF!</v>
      </c>
      <c r="CC113" s="133" t="str">
        <f t="shared" si="40"/>
        <v>#REF!</v>
      </c>
      <c r="CD113" s="133" t="str">
        <f t="shared" si="41"/>
        <v>#REF!</v>
      </c>
      <c r="CE113" s="133" t="str">
        <f t="shared" si="123"/>
        <v>#REF!</v>
      </c>
      <c r="CF113" s="134" t="str">
        <f t="shared" si="42"/>
        <v>#REF!</v>
      </c>
      <c r="CG113" s="134" t="str">
        <f t="shared" si="43"/>
        <v>#REF!</v>
      </c>
      <c r="CH113" s="135" t="str">
        <f>IF(ISNA(VLOOKUP(A113,'Données projet (1)'!$A$113:$I$133,5,0)),0%,VLOOKUP(A113,'Données projet (1)'!$A$113:$I$133,5,0)*VLOOKUP('Données projet (1)'!$B$12,'Paramètres (1)'!$A$1:$I$88,7,0))</f>
        <v>#REF!</v>
      </c>
      <c r="CI113" s="135" t="str">
        <f>IF(ISNA(VLOOKUP(A113,'Données projet (1)'!$A$113:$I$133,6,0)),0%,VLOOKUP(A113,'Données projet (1)'!$A$113:$I$133,6,0)*VLOOKUP('Données projet (1)'!$B$12,'Paramètres (1)'!$A$1:$I$88,7,0))</f>
        <v>#REF!</v>
      </c>
      <c r="CJ113" s="135" t="str">
        <f t="shared" si="44"/>
        <v>#REF!</v>
      </c>
      <c r="CK113" s="142" t="str">
        <f>EXP(-LN(2)/35)*CK112+(1-EXP(-LN(2)/35))/(LN(2)/35)*CG113*CH113*VLOOKUP('Données projet (1)'!$B$12,'Paramètres (1)'!$A$1:$I$88,3,0)*0.475*44/12</f>
        <v>#REF!</v>
      </c>
      <c r="CL113" s="142" t="str">
        <f>EXP(-LN(2)/25)*CL112+(1-EXP(-LN(2)/25))/(LN(2)/25)*'Calculateur (1)'!CG113*'Calculateur (1)'!CI113*VLOOKUP('Données projet (1)'!$B$12,'Paramètres (1)'!$A$1:$I$88,3,0)*0.475*44/12</f>
        <v>#REF!</v>
      </c>
      <c r="CM113" s="142" t="str">
        <f>EXP(-LN(2)/2)*CM112+(1-EXP(-LN(2)/2))/(LN(2)/2)*CG113*CJ113*VLOOKUP('Données projet (1)'!$B$12,'Paramètres (1)'!$A$1:$I$88,3,0)*0.475*44/12</f>
        <v>#REF!</v>
      </c>
      <c r="CN113" s="143" t="str">
        <f t="shared" si="45"/>
        <v>#REF!</v>
      </c>
      <c r="CO113" s="139" t="str">
        <f t="shared" si="46"/>
        <v>#REF!</v>
      </c>
      <c r="CP113" s="131">
        <f t="shared" si="47"/>
        <v>10</v>
      </c>
      <c r="CQ113" s="131" t="str">
        <f t="shared" si="124"/>
        <v>#REF!</v>
      </c>
      <c r="CR113" s="131" t="str">
        <f t="shared" si="48"/>
        <v>#REF!</v>
      </c>
      <c r="CS113" s="131" t="str">
        <f t="array" ref="CS113">INDEX(CR:CR,MIN(IF(ISNUMBER(CR113:CR309),ROW(CR113:CR309),"")))</f>
        <v/>
      </c>
      <c r="CT113" s="131" t="str">
        <f t="shared" si="125"/>
        <v>#REF!</v>
      </c>
      <c r="CU113" s="138" t="str">
        <f>CT113*VLOOKUP('Données projet (1)'!$B$13,'Paramètres (1)'!$A$1:$I$88,3,0)*VLOOKUP('Données projet (1)'!$B$13,'Paramètres (1)'!$A$1:$I$88,5,0)</f>
        <v>#REF!</v>
      </c>
      <c r="CV113" s="130" t="str">
        <f t="shared" si="126"/>
        <v>#REF!</v>
      </c>
      <c r="CW113" s="141" t="str">
        <f t="shared" si="49"/>
        <v>#REF!</v>
      </c>
      <c r="CX113" s="133" t="str">
        <f t="shared" si="50"/>
        <v>#REF!</v>
      </c>
      <c r="CY113" s="133" t="str">
        <f t="shared" si="51"/>
        <v>#REF!</v>
      </c>
      <c r="CZ113" s="133" t="str">
        <f t="shared" si="127"/>
        <v>#REF!</v>
      </c>
      <c r="DA113" s="134" t="str">
        <f t="shared" si="52"/>
        <v>#REF!</v>
      </c>
      <c r="DB113" s="134" t="str">
        <f t="shared" si="53"/>
        <v>#REF!</v>
      </c>
      <c r="DC113" s="135" t="str">
        <f>IF(ISNA(VLOOKUP(A113,'Données projet (1)'!$A$139:$I$159,5,0)),0%,VLOOKUP(A113,'Données projet (1)'!$A$139:$I$159,5,0)*VLOOKUP('Données projet (1)'!$B$13,'Paramètres (1)'!$A$1:$I$88,7,0))</f>
        <v>#REF!</v>
      </c>
      <c r="DD113" s="135" t="str">
        <f>IF(ISNA(VLOOKUP(A113,'Données projet (1)'!$A$139:$I$159,6,0)),0%,VLOOKUP(A113,'Données projet (1)'!$A$139:$I$159,6,0)*VLOOKUP('Données projet (1)'!$B$13,'Paramètres (1)'!$A$1:$I$88,7,0))</f>
        <v>#REF!</v>
      </c>
      <c r="DE113" s="135" t="str">
        <f t="shared" si="54"/>
        <v>#REF!</v>
      </c>
      <c r="DF113" s="142" t="str">
        <f>EXP(-LN(2)/35)*DF112+(1-EXP(-LN(2)/35))/(LN(2)/35)*DB113*DC113*VLOOKUP('Données projet (1)'!$B$13,'Paramètres (1)'!$A$1:$I$88,3,0)*0.475*44/12</f>
        <v>#REF!</v>
      </c>
      <c r="DG113" s="142" t="str">
        <f>EXP(-LN(2)/25)*DG112+(1-EXP(-LN(2)/25))/(LN(2)/25)*'Calculateur (1)'!DB113*'Calculateur (1)'!DD113*VLOOKUP('Données projet (1)'!$B$13,'Paramètres (1)'!$A$1:$I$88,3,0)*0.475*44/12</f>
        <v>#REF!</v>
      </c>
      <c r="DH113" s="142" t="str">
        <f>EXP(-LN(2)/2)*DH112+(1-EXP(-LN(2)/2))/(LN(2)/2)*DB113*DE113*VLOOKUP('Données projet (1)'!$B$13,'Paramètres (1)'!$A$1:$I$88,3,0)*0.475*44/12</f>
        <v>#REF!</v>
      </c>
      <c r="DI113" s="143" t="str">
        <f t="shared" si="55"/>
        <v>#REF!</v>
      </c>
      <c r="DJ113" s="139" t="str">
        <f t="shared" si="56"/>
        <v>#REF!</v>
      </c>
      <c r="DK113" s="131">
        <f t="shared" si="57"/>
        <v>10</v>
      </c>
      <c r="DL113" s="131" t="str">
        <f t="shared" si="128"/>
        <v>#REF!</v>
      </c>
      <c r="DM113" s="131" t="str">
        <f t="shared" si="58"/>
        <v>#REF!</v>
      </c>
      <c r="DN113" s="131" t="str">
        <f t="array" ref="DN113">INDEX(DM:DM,MIN(IF(ISNUMBER(DM113:DM309),ROW(DM113:DM309),"")))</f>
        <v/>
      </c>
      <c r="DO113" s="131" t="str">
        <f t="shared" si="129"/>
        <v>#REF!</v>
      </c>
      <c r="DP113" s="138" t="str">
        <f>DO113*VLOOKUP('Données projet (1)'!$B$14,'Paramètres (1)'!$A$1:$I$88,3,0)*VLOOKUP('Données projet (1)'!$B$14,'Paramètres (1)'!$A$1:$I$88,5,0)</f>
        <v>#REF!</v>
      </c>
      <c r="DQ113" s="130" t="str">
        <f t="shared" si="130"/>
        <v>#REF!</v>
      </c>
      <c r="DR113" s="141" t="str">
        <f t="shared" si="59"/>
        <v>#REF!</v>
      </c>
      <c r="DS113" s="133" t="str">
        <f t="shared" si="60"/>
        <v>#REF!</v>
      </c>
      <c r="DT113" s="133" t="str">
        <f t="shared" si="61"/>
        <v>#REF!</v>
      </c>
      <c r="DU113" s="133" t="str">
        <f t="shared" si="131"/>
        <v>#REF!</v>
      </c>
      <c r="DV113" s="134" t="str">
        <f t="shared" si="62"/>
        <v>#REF!</v>
      </c>
      <c r="DW113" s="134" t="str">
        <f t="shared" si="63"/>
        <v>#REF!</v>
      </c>
      <c r="DX113" s="135" t="str">
        <f>IF(ISNA(VLOOKUP(A113,'Données projet (1)'!$A$165:$I$185,5,0)),0%,VLOOKUP(A113,'Données projet (1)'!$A$165:$I$185,5,0)*VLOOKUP('Données projet (1)'!$B$14,'Paramètres (1)'!$A$1:$I$88,7,0))</f>
        <v>#REF!</v>
      </c>
      <c r="DY113" s="135" t="str">
        <f>IF(ISNA(VLOOKUP(A113,'Données projet (1)'!$A$165:$I$185,6,0)),0%,VLOOKUP(A113,'Données projet (1)'!$A$165:$I$185,6,0)*VLOOKUP('Données projet (1)'!$B$14,'Paramètres (1)'!$A$1:$I$88,7,0))</f>
        <v>#REF!</v>
      </c>
      <c r="DZ113" s="135" t="str">
        <f t="shared" si="64"/>
        <v>#REF!</v>
      </c>
      <c r="EA113" s="142" t="str">
        <f>EXP(-LN(2)/35)*EA112+(1-EXP(-LN(2)/35))/(LN(2)/35)*DW113*DX113*VLOOKUP('Données projet (1)'!$B$14,'Paramètres (1)'!$A$1:$I$88,3,0)*0.475*44/12</f>
        <v>#REF!</v>
      </c>
      <c r="EB113" s="142" t="str">
        <f>EXP(-LN(2)/25)*EB112+(1-EXP(-LN(2)/25))/(LN(2)/25)*'Calculateur (1)'!DW113*'Calculateur (1)'!DY113*VLOOKUP('Données projet (1)'!$B$14,'Paramètres (1)'!$A$1:$I$88,3,0)*0.475*44/12</f>
        <v>#REF!</v>
      </c>
      <c r="EC113" s="142" t="str">
        <f>EXP(-LN(2)/2)*EC112+(1-EXP(-LN(2)/2))/(LN(2)/2)*DW113*DZ113*VLOOKUP('Données projet (1)'!$B$14,'Paramètres (1)'!$A$1:$I$88,3,0)*0.475*44/12</f>
        <v>#REF!</v>
      </c>
      <c r="ED113" s="143" t="str">
        <f t="shared" si="65"/>
        <v>#REF!</v>
      </c>
      <c r="EE113" s="139" t="str">
        <f t="shared" si="66"/>
        <v>#REF!</v>
      </c>
      <c r="EF113" s="131">
        <f t="shared" si="67"/>
        <v>10</v>
      </c>
      <c r="EG113" s="131" t="str">
        <f t="shared" si="132"/>
        <v>#REF!</v>
      </c>
      <c r="EH113" s="131" t="str">
        <f t="shared" si="68"/>
        <v>#REF!</v>
      </c>
      <c r="EI113" s="131" t="str">
        <f t="array" ref="EI113">INDEX(EH:EH,MIN(IF(ISNUMBER(EH113:EH309),ROW(EH113:EH309),"")))</f>
        <v/>
      </c>
      <c r="EJ113" s="131" t="str">
        <f t="shared" si="133"/>
        <v>#REF!</v>
      </c>
      <c r="EK113" s="138" t="str">
        <f>EJ113*VLOOKUP('Données projet (1)'!$B$15,'Paramètres (1)'!$A$1:$I$88,3,0)*VLOOKUP('Données projet (1)'!$B$15,'Paramètres (1)'!$A$1:$I$88,5,0)</f>
        <v>#REF!</v>
      </c>
      <c r="EL113" s="130" t="str">
        <f t="shared" si="134"/>
        <v>#REF!</v>
      </c>
      <c r="EM113" s="141" t="str">
        <f t="shared" si="69"/>
        <v>#REF!</v>
      </c>
      <c r="EN113" s="133" t="str">
        <f t="shared" si="70"/>
        <v>#REF!</v>
      </c>
      <c r="EO113" s="133" t="str">
        <f t="shared" si="71"/>
        <v>#REF!</v>
      </c>
      <c r="EP113" s="133" t="str">
        <f t="shared" si="135"/>
        <v>#REF!</v>
      </c>
      <c r="EQ113" s="134" t="str">
        <f t="shared" si="72"/>
        <v>#REF!</v>
      </c>
      <c r="ER113" s="134" t="str">
        <f t="shared" si="73"/>
        <v>#REF!</v>
      </c>
      <c r="ES113" s="135" t="str">
        <f>IF(ISNA(VLOOKUP(A113,'Données projet (1)'!$A$191:$I$211,5,0)),0%,VLOOKUP(A113,'Données projet (1)'!$A$191:$I$211,5,0)*VLOOKUP('Données projet (1)'!$B$15,'Paramètres (1)'!$A$1:$I$88,7,0))</f>
        <v>#REF!</v>
      </c>
      <c r="ET113" s="135" t="str">
        <f>IF(ISNA(VLOOKUP(A113,'Données projet (1)'!$A$191:$I$211,6,0)),0%,VLOOKUP(A113,'Données projet (1)'!$A$191:$I$211,6,0)*VLOOKUP('Données projet (1)'!$B$15,'Paramètres (1)'!$A$1:$I$88,7,0))</f>
        <v>#REF!</v>
      </c>
      <c r="EU113" s="135" t="str">
        <f t="shared" si="74"/>
        <v>#REF!</v>
      </c>
      <c r="EV113" s="142" t="str">
        <f>EXP(-LN(2)/35)*EV112+(1-EXP(-LN(2)/35))/(LN(2)/35)*ER113*ES113*VLOOKUP('Données projet (1)'!$B$15,'Paramètres (1)'!$A$1:$I$88,3,0)*0.475*44/12</f>
        <v>#REF!</v>
      </c>
      <c r="EW113" s="142" t="str">
        <f>EXP(-LN(2)/25)*EW112+(1-EXP(-LN(2)/25))/(LN(2)/25)*'Calculateur (1)'!ER113*'Calculateur (1)'!ET113*VLOOKUP('Données projet (1)'!$B$15,'Paramètres (1)'!$A$1:$I$88,3,0)*0.475*44/12</f>
        <v>#REF!</v>
      </c>
      <c r="EX113" s="142" t="str">
        <f>EXP(-LN(2)/2)*EX112+(1-EXP(-LN(2)/2))/(LN(2)/2)*ER113*EU113*VLOOKUP('Données projet (1)'!$B$15,'Paramètres (1)'!$A$1:$I$88,3,0)*0.475*44/12</f>
        <v>#REF!</v>
      </c>
      <c r="EY113" s="143" t="str">
        <f t="shared" si="75"/>
        <v>#REF!</v>
      </c>
      <c r="EZ113" s="139" t="str">
        <f t="shared" si="76"/>
        <v>#REF!</v>
      </c>
      <c r="FA113" s="131">
        <f t="shared" si="77"/>
        <v>10</v>
      </c>
      <c r="FB113" s="131" t="str">
        <f t="shared" si="136"/>
        <v>#REF!</v>
      </c>
      <c r="FC113" s="131" t="str">
        <f t="shared" si="78"/>
        <v>#REF!</v>
      </c>
      <c r="FD113" s="131" t="str">
        <f t="array" ref="FD113">INDEX(FC:FC,MIN(IF(ISNUMBER(FC113:FC309),ROW(FC113:FC309),"")))</f>
        <v/>
      </c>
      <c r="FE113" s="131" t="str">
        <f t="shared" si="137"/>
        <v>#REF!</v>
      </c>
      <c r="FF113" s="138" t="str">
        <f>FE113*VLOOKUP('Données projet (1)'!$B$16,'Paramètres (1)'!$A$1:$I$88,3,0)*VLOOKUP('Données projet (1)'!$B$16,'Paramètres (1)'!$A$1:$I$88,5,0)</f>
        <v>#REF!</v>
      </c>
      <c r="FG113" s="130" t="str">
        <f t="shared" si="138"/>
        <v>#REF!</v>
      </c>
      <c r="FH113" s="141" t="str">
        <f t="shared" si="79"/>
        <v>#REF!</v>
      </c>
      <c r="FI113" s="133" t="str">
        <f t="shared" si="80"/>
        <v>#REF!</v>
      </c>
      <c r="FJ113" s="133" t="str">
        <f t="shared" si="81"/>
        <v>#REF!</v>
      </c>
      <c r="FK113" s="133" t="str">
        <f t="shared" si="139"/>
        <v>#REF!</v>
      </c>
      <c r="FL113" s="134" t="str">
        <f t="shared" si="82"/>
        <v>#REF!</v>
      </c>
      <c r="FM113" s="134" t="str">
        <f t="shared" si="83"/>
        <v>#REF!</v>
      </c>
      <c r="FN113" s="135" t="str">
        <f>IF(ISNA(VLOOKUP(A113,'Données projet (1)'!$A$217:$I$237,5,0)),0%,VLOOKUP(A113,'Données projet (1)'!$A$217:$I$237,5,0)*VLOOKUP('Données projet (1)'!$B$16,'Paramètres (1)'!$A$1:$I$88,7,0))</f>
        <v>#REF!</v>
      </c>
      <c r="FO113" s="135" t="str">
        <f>IF(ISNA(VLOOKUP(A113,'Données projet (1)'!$A$217:$I$237,6,0)),0%,VLOOKUP(A113,'Données projet (1)'!$A$217:$I$237,6,0)*VLOOKUP('Données projet (1)'!$B$16,'Paramètres (1)'!$A$1:$I$88,7,0))</f>
        <v>#REF!</v>
      </c>
      <c r="FP113" s="135" t="str">
        <f t="shared" si="84"/>
        <v>#REF!</v>
      </c>
      <c r="FQ113" s="142" t="str">
        <f>EXP(-LN(2)/35)*FQ112+(1-EXP(-LN(2)/35))/(LN(2)/35)*FM113*FN113*VLOOKUP('Données projet (1)'!$B$16,'Paramètres (1)'!$A$1:$I$88,3,0)*0.475*44/12</f>
        <v>#REF!</v>
      </c>
      <c r="FR113" s="142" t="str">
        <f>EXP(-LN(2)/25)*FR112+(1-EXP(-LN(2)/25))/(LN(2)/25)*'Calculateur (1)'!FM113*'Calculateur (1)'!FO113*VLOOKUP('Données projet (1)'!$B$16,'Paramètres (1)'!$A$1:$I$88,3,0)*0.475*44/12</f>
        <v>#REF!</v>
      </c>
      <c r="FS113" s="142" t="str">
        <f>EXP(-LN(2)/2)*FS112+(1-EXP(-LN(2)/2))/(LN(2)/2)*FM113*FP113*VLOOKUP('Données projet (1)'!$B$16,'Paramètres (1)'!$A$1:$I$88,3,0)*0.475*44/12</f>
        <v>#REF!</v>
      </c>
      <c r="FT113" s="143" t="str">
        <f t="shared" si="85"/>
        <v>#REF!</v>
      </c>
      <c r="FU113" s="139" t="str">
        <f t="shared" si="86"/>
        <v>#REF!</v>
      </c>
      <c r="FV113" s="131">
        <f t="shared" si="87"/>
        <v>10</v>
      </c>
      <c r="FW113" s="131" t="str">
        <f t="shared" si="140"/>
        <v>#REF!</v>
      </c>
      <c r="FX113" s="131" t="str">
        <f t="shared" si="88"/>
        <v>#REF!</v>
      </c>
      <c r="FY113" s="131" t="str">
        <f t="array" ref="FY113">INDEX(FX:FX,MIN(IF(ISNUMBER(FX113:FX309),ROW(FX113:FX309),"")))</f>
        <v/>
      </c>
      <c r="FZ113" s="131" t="str">
        <f t="shared" si="141"/>
        <v>#REF!</v>
      </c>
      <c r="GA113" s="138" t="str">
        <f>FZ113*VLOOKUP('Données projet (1)'!$B$17,'Paramètres (1)'!$A$1:$I$88,3,0)*VLOOKUP('Données projet (1)'!$B$17,'Paramètres (1)'!$A$1:$I$88,5,0)</f>
        <v>#REF!</v>
      </c>
      <c r="GB113" s="130" t="str">
        <f t="shared" si="142"/>
        <v>#REF!</v>
      </c>
      <c r="GC113" s="141" t="str">
        <f t="shared" si="89"/>
        <v>#REF!</v>
      </c>
      <c r="GD113" s="133" t="str">
        <f t="shared" si="90"/>
        <v>#REF!</v>
      </c>
      <c r="GE113" s="133" t="str">
        <f t="shared" si="91"/>
        <v>#REF!</v>
      </c>
      <c r="GF113" s="133" t="str">
        <f t="shared" si="143"/>
        <v>#REF!</v>
      </c>
      <c r="GG113" s="134" t="str">
        <f t="shared" si="92"/>
        <v>#REF!</v>
      </c>
      <c r="GH113" s="134" t="str">
        <f t="shared" si="93"/>
        <v>#REF!</v>
      </c>
      <c r="GI113" s="135" t="str">
        <f>IF(ISNA(VLOOKUP(A113,'Données projet (1)'!$A$243:$I$263,5,0)),0%,VLOOKUP(A113,'Données projet (1)'!$A$243:$I$263,5,0)*VLOOKUP('Données projet (1)'!$B$17,'Paramètres (1)'!$A$1:$I$88,7,0))</f>
        <v>#REF!</v>
      </c>
      <c r="GJ113" s="135" t="str">
        <f>IF(ISNA(VLOOKUP(A113,'Données projet (1)'!$A$243:$I$263,6,0)),0%,VLOOKUP(A113,'Données projet (1)'!$A$243:$I$263,6,0)*VLOOKUP('Données projet (1)'!$B$17,'Paramètres (1)'!$A$1:$I$88,7,0))</f>
        <v>#REF!</v>
      </c>
      <c r="GK113" s="135" t="str">
        <f t="shared" si="94"/>
        <v>#REF!</v>
      </c>
      <c r="GL113" s="142" t="str">
        <f>EXP(-LN(2)/35)*GL112+(1-EXP(-LN(2)/35))/(LN(2)/35)*GH113*GI113*VLOOKUP('Données projet (1)'!$B$17,'Paramètres (1)'!$A$1:$I$88,3,0)*0.475*44/12</f>
        <v>#REF!</v>
      </c>
      <c r="GM113" s="142" t="str">
        <f>EXP(-LN(2)/25)*GM112+(1-EXP(-LN(2)/25))/(LN(2)/25)*'Calculateur (1)'!GH113*'Calculateur (1)'!GJ113*VLOOKUP('Données projet (1)'!$B$17,'Paramètres (1)'!$A$1:$I$88,3,0)*0.475*44/12</f>
        <v>#REF!</v>
      </c>
      <c r="GN113" s="142" t="str">
        <f>EXP(-LN(2)/2)*GN112+(1-EXP(-LN(2)/2))/(LN(2)/2)*GH113*GK113*VLOOKUP('Données projet (1)'!$B$17,'Paramètres (1)'!$A$1:$I$88,3,0)*0.475*44/12</f>
        <v>#REF!</v>
      </c>
      <c r="GO113" s="142" t="str">
        <f t="shared" si="95"/>
        <v>#REF!</v>
      </c>
      <c r="GP113" s="139" t="str">
        <f t="shared" si="96"/>
        <v>#REF!</v>
      </c>
      <c r="GQ113" s="131">
        <f t="shared" si="97"/>
        <v>10</v>
      </c>
      <c r="GR113" s="131" t="str">
        <f t="shared" si="144"/>
        <v>#REF!</v>
      </c>
      <c r="GS113" s="131" t="str">
        <f t="shared" si="98"/>
        <v>#REF!</v>
      </c>
      <c r="GT113" s="131" t="str">
        <f t="array" ref="GT113">INDEX(GS:GS,MIN(IF(ISNUMBER(GS113:GS309),ROW(GS113:GS309),"")))</f>
        <v/>
      </c>
      <c r="GU113" s="131" t="str">
        <f t="shared" si="145"/>
        <v>#REF!</v>
      </c>
      <c r="GV113" s="138" t="str">
        <f>GU113*VLOOKUP('Données projet (1)'!$B$18,'Paramètres (1)'!$A$1:$I$88,3,0)*VLOOKUP('Données projet (1)'!$B$18,'Paramètres (1)'!$A$1:$I$88,5,0)</f>
        <v>#REF!</v>
      </c>
      <c r="GW113" s="130" t="str">
        <f t="shared" si="146"/>
        <v>#REF!</v>
      </c>
      <c r="GX113" s="141" t="str">
        <f t="shared" si="99"/>
        <v>#REF!</v>
      </c>
      <c r="GY113" s="133" t="str">
        <f t="shared" si="100"/>
        <v>#REF!</v>
      </c>
      <c r="GZ113" s="133" t="str">
        <f t="shared" si="101"/>
        <v>#REF!</v>
      </c>
      <c r="HA113" s="133" t="str">
        <f t="shared" si="147"/>
        <v>#REF!</v>
      </c>
      <c r="HB113" s="134" t="str">
        <f t="shared" si="102"/>
        <v>#REF!</v>
      </c>
      <c r="HC113" s="134" t="str">
        <f t="shared" si="103"/>
        <v>#REF!</v>
      </c>
      <c r="HD113" s="135" t="str">
        <f>IF(ISNA(VLOOKUP(A113,'Données projet (1)'!$A$269:$I$289,5,0)),0%,VLOOKUP(A113,'Données projet (1)'!$A$269:$I$289,5,0)*VLOOKUP('Données projet (1)'!$B$18,'Paramètres (1)'!$A$1:$I$88,7,0))</f>
        <v>#REF!</v>
      </c>
      <c r="HE113" s="135" t="str">
        <f>IF(ISNA(VLOOKUP(A113,'Données projet (1)'!$A$269:$I$289,6,0)),0%,VLOOKUP(A113,'Données projet (1)'!$A$269:$I$289,6,0)*VLOOKUP('Données projet (1)'!$B$18,'Paramètres (1)'!$A$1:$I$88,7,0))</f>
        <v>#REF!</v>
      </c>
      <c r="HF113" s="135" t="str">
        <f t="shared" si="104"/>
        <v>#REF!</v>
      </c>
      <c r="HG113" s="142" t="str">
        <f>EXP(-LN(2)/35)*HG112+(1-EXP(-LN(2)/35))/(LN(2)/35)*HC113*HD113*VLOOKUP('Données projet (1)'!$B$18,'Paramètres (1)'!$A$1:$I$88,3,0)*0.475*44/12</f>
        <v>#REF!</v>
      </c>
      <c r="HH113" s="142" t="str">
        <f>EXP(-LN(2)/25)*HH112+(1-EXP(-LN(2)/25))/(LN(2)/25)*'Calculateur (1)'!HC113*'Calculateur (1)'!HE113*VLOOKUP('Données projet (1)'!$B$18,'Paramètres (1)'!$A$1:$I$88,3,0)*0.475*44/12</f>
        <v>#REF!</v>
      </c>
      <c r="HI113" s="142" t="str">
        <f>EXP(-LN(2)/2)*HI112+(1-EXP(-LN(2)/2))/(LN(2)/2)*HC113*HF113*VLOOKUP('Données projet (1)'!$B$18,'Paramètres (1)'!$A$1:$I$88,3,0)*0.475*44/12</f>
        <v>#REF!</v>
      </c>
      <c r="HJ113" s="143" t="str">
        <f t="shared" si="105"/>
        <v>#REF!</v>
      </c>
    </row>
    <row r="114" ht="14.25" customHeight="1">
      <c r="A114" s="125">
        <f t="shared" si="106"/>
        <v>111</v>
      </c>
      <c r="B114" s="126" t="str">
        <f t="shared" si="1"/>
        <v>#REF!</v>
      </c>
      <c r="C114" s="140" t="str">
        <f>'Calculateur (1)'!C113+'Scénario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4" s="127">
        <f t="shared" si="107"/>
        <v>0</v>
      </c>
      <c r="E114" s="127" t="str">
        <f t="shared" si="2"/>
        <v>#REF!</v>
      </c>
      <c r="F114" s="127" t="str">
        <f t="shared" si="3"/>
        <v>#REF!</v>
      </c>
      <c r="G114" s="127" t="str">
        <f t="shared" si="4"/>
        <v>#REF!</v>
      </c>
      <c r="H114" s="128" t="str">
        <f t="shared" si="5"/>
        <v>#REF!</v>
      </c>
      <c r="I114" s="129" t="str">
        <f t="shared" si="6"/>
        <v>#REF!</v>
      </c>
      <c r="J114" s="130">
        <f t="shared" si="7"/>
        <v>10</v>
      </c>
      <c r="K114" s="131" t="str">
        <f t="shared" si="108"/>
        <v>#REF!</v>
      </c>
      <c r="L114" s="131" t="str">
        <f t="shared" si="8"/>
        <v>#REF!</v>
      </c>
      <c r="M114" s="131" t="str">
        <f t="array" ref="M114">INDEX(L:L,MIN(IF(ISNUMBER(L114:L310),ROW(L114:L310),"")))</f>
        <v/>
      </c>
      <c r="N114" s="130" t="str">
        <f t="shared" si="109"/>
        <v>#REF!</v>
      </c>
      <c r="O114" s="130" t="str">
        <f>N114*VLOOKUP('Données projet (1)'!$B$9,'Paramètres (1)'!$A$1:$I$88,3,0)*VLOOKUP('Données projet (1)'!$B$9,'Paramètres (1)'!$A$1:$I$88,5,0)</f>
        <v>#REF!</v>
      </c>
      <c r="P114" s="130" t="str">
        <f t="shared" si="110"/>
        <v>#REF!</v>
      </c>
      <c r="Q114" s="141" t="str">
        <f t="shared" si="9"/>
        <v>#REF!</v>
      </c>
      <c r="R114" s="133" t="str">
        <f t="shared" si="10"/>
        <v>#REF!</v>
      </c>
      <c r="S114" s="133" t="str">
        <f t="shared" si="11"/>
        <v>#REF!</v>
      </c>
      <c r="T114" s="133" t="str">
        <f t="shared" si="111"/>
        <v>#REF!</v>
      </c>
      <c r="U114" s="134" t="str">
        <f t="shared" si="12"/>
        <v>#REF!</v>
      </c>
      <c r="V114" s="134" t="str">
        <f t="shared" si="13"/>
        <v>#REF!</v>
      </c>
      <c r="W114" s="135" t="str">
        <f>IF(ISNA(VLOOKUP(A114,'Données projet (1)'!$A$35:$I$55,5,0)),0%,VLOOKUP(A114,'Données projet (1)'!$A$35:$I$55,5,0)*VLOOKUP('Données projet (1)'!$B$9,'Paramètres (1)'!$A$1:$I$88,7,0))</f>
        <v>#REF!</v>
      </c>
      <c r="X114" s="135" t="str">
        <f>IF(ISNA(VLOOKUP(A114,'Données projet (1)'!$A$35:$I$55,6,0)),0%,VLOOKUP(A114,'Données projet (1)'!$A$35:$I$55,6,0)*VLOOKUP('Données projet (1)'!$B$9,'Paramètres (1)'!$A$1:$I$88,7,0))</f>
        <v>#REF!</v>
      </c>
      <c r="Y114" s="135" t="str">
        <f t="shared" si="14"/>
        <v>#REF!</v>
      </c>
      <c r="Z114" s="142" t="str">
        <f>EXP(-LN(2)/35)*Z113+(1-EXP(-LN(2)/35))/(LN(2)/35)*V114*W114*VLOOKUP('Données projet (1)'!$B$9,'Paramètres (1)'!$A$1:$I$88,3,0)*0.475*44/12</f>
        <v>#REF!</v>
      </c>
      <c r="AA114" s="142" t="str">
        <f>EXP(-LN(2)/25)*AA113+(1-EXP(-LN(2)/25))/(LN(2)/25)*'Calculateur (1)'!V114*'Calculateur (1)'!X114*VLOOKUP('Données projet (1)'!$B$9,'Paramètres (1)'!$A$1:$I$88,3,0)*0.475*44/12</f>
        <v>#REF!</v>
      </c>
      <c r="AB114" s="142" t="str">
        <f>EXP(-LN(2)/2)*AB113+(1-EXP(-LN(2)/2))/(LN(2)/2)*V114*Y114*VLOOKUP('Données projet (1)'!$B$9,'Paramètres (1)'!$A$1:$I$88,3,0)*0.475*44/12</f>
        <v>#REF!</v>
      </c>
      <c r="AC114" s="143" t="str">
        <f t="shared" si="15"/>
        <v>#REF!</v>
      </c>
      <c r="AD114" s="130" t="str">
        <f t="shared" si="16"/>
        <v>#REF!</v>
      </c>
      <c r="AE114" s="130">
        <f t="shared" si="17"/>
        <v>10</v>
      </c>
      <c r="AF114" s="131" t="str">
        <f t="shared" si="112"/>
        <v>#REF!</v>
      </c>
      <c r="AG114" s="131" t="str">
        <f t="shared" si="18"/>
        <v>#REF!</v>
      </c>
      <c r="AH114" s="131" t="str">
        <f t="array" ref="AH114">INDEX(AG:AG,MIN(IF(ISNUMBER(AG114:AG310),ROW(AG114:AG310),"")))</f>
        <v/>
      </c>
      <c r="AI114" s="130" t="str">
        <f t="shared" si="113"/>
        <v>#REF!</v>
      </c>
      <c r="AJ114" s="130" t="str">
        <f>AI114*VLOOKUP('Données projet (1)'!$B$10,'Paramètres (1)'!$A$1:$I$88,3,0)*VLOOKUP('Données projet (1)'!$B$10,'Paramètres (1)'!$A$1:$I$88,5,0)</f>
        <v>#REF!</v>
      </c>
      <c r="AK114" s="130" t="str">
        <f t="shared" si="114"/>
        <v>#REF!</v>
      </c>
      <c r="AL114" s="141" t="str">
        <f t="shared" si="19"/>
        <v>#REF!</v>
      </c>
      <c r="AM114" s="133" t="str">
        <f t="shared" si="20"/>
        <v>#REF!</v>
      </c>
      <c r="AN114" s="133" t="str">
        <f t="shared" si="21"/>
        <v>#REF!</v>
      </c>
      <c r="AO114" s="133" t="str">
        <f t="shared" si="115"/>
        <v>#REF!</v>
      </c>
      <c r="AP114" s="134" t="str">
        <f t="shared" si="22"/>
        <v>#REF!</v>
      </c>
      <c r="AQ114" s="134" t="str">
        <f t="shared" si="23"/>
        <v>#REF!</v>
      </c>
      <c r="AR114" s="135" t="str">
        <f>IF(ISNA(VLOOKUP(A114,'Données projet (1)'!$A$61:$I$81,5,0)),0%,VLOOKUP(A114,'Données projet (1)'!$A$61:$I$81,5,0)*VLOOKUP('Données projet (1)'!$B$10,'Paramètres (1)'!$A$1:$I$88,7,0))</f>
        <v>#REF!</v>
      </c>
      <c r="AS114" s="135" t="str">
        <f>IF(ISNA(VLOOKUP(A114,'Données projet (1)'!$A$61:$I$81,6,0)),0%,VLOOKUP(A114,'Données projet (1)'!$A$61:$I$81,6,0)*VLOOKUP('Données projet (1)'!$B$10,'Paramètres (1)'!$A$1:$I$88,7,0))</f>
        <v>#REF!</v>
      </c>
      <c r="AT114" s="135" t="str">
        <f t="shared" si="24"/>
        <v>#REF!</v>
      </c>
      <c r="AU114" s="142" t="str">
        <f>EXP(-LN(2)/35)*AU113+(1-EXP(-LN(2)/35))/(LN(2)/35)*AQ114*AR114*VLOOKUP('Données projet (1)'!$B$10,'Paramètres (1)'!$A$1:$I$88,3,0)*0.475*44/12</f>
        <v>#REF!</v>
      </c>
      <c r="AV114" s="142" t="str">
        <f>EXP(-LN(2)/25)*AV113+(1-EXP(-LN(2)/25))/(LN(2)/25)*'Calculateur (1)'!AQ114*'Calculateur (1)'!AS114*VLOOKUP('Données projet (1)'!$B$10,'Paramètres (1)'!$A$1:$I$88,3,0)*0.475*44/12</f>
        <v>#REF!</v>
      </c>
      <c r="AW114" s="142" t="str">
        <f>EXP(-LN(2)/2)*AW113+(1-EXP(-LN(2)/2))/(LN(2)/2)*AQ114*AT114*VLOOKUP('Données projet (1)'!$B$10,'Paramètres (1)'!$A$1:$I$88,3,0)*0.475*44/12</f>
        <v>#REF!</v>
      </c>
      <c r="AX114" s="142" t="str">
        <f t="shared" si="25"/>
        <v>#REF!</v>
      </c>
      <c r="AY114" s="137" t="str">
        <f t="shared" si="26"/>
        <v>#REF!</v>
      </c>
      <c r="AZ114" s="131">
        <f t="shared" si="27"/>
        <v>10</v>
      </c>
      <c r="BA114" s="131" t="str">
        <f t="shared" si="116"/>
        <v>#REF!</v>
      </c>
      <c r="BB114" s="131" t="str">
        <f t="shared" si="28"/>
        <v>#REF!</v>
      </c>
      <c r="BC114" s="131" t="str">
        <f t="array" ref="BC114">INDEX(BB:BB,MIN(IF(ISNUMBER(BB114:BB310),ROW(BB114:BB310),"")))</f>
        <v/>
      </c>
      <c r="BD114" s="131" t="str">
        <f t="shared" si="117"/>
        <v>#REF!</v>
      </c>
      <c r="BE114" s="130" t="str">
        <f>BD114*VLOOKUP('Données projet (1)'!$B$11,'Paramètres (1)'!$A$1:$I$88,3,0)*VLOOKUP('Données projet (1)'!$B$11,'Paramètres (1)'!$A$1:$I$88,5,0)</f>
        <v>#REF!</v>
      </c>
      <c r="BF114" s="130" t="str">
        <f t="shared" si="118"/>
        <v>#REF!</v>
      </c>
      <c r="BG114" s="141" t="str">
        <f t="shared" si="29"/>
        <v>#REF!</v>
      </c>
      <c r="BH114" s="133" t="str">
        <f t="shared" si="30"/>
        <v>#REF!</v>
      </c>
      <c r="BI114" s="133" t="str">
        <f t="shared" si="31"/>
        <v>#REF!</v>
      </c>
      <c r="BJ114" s="133" t="str">
        <f t="shared" si="119"/>
        <v>#REF!</v>
      </c>
      <c r="BK114" s="134" t="str">
        <f t="shared" si="32"/>
        <v>#REF!</v>
      </c>
      <c r="BL114" s="134" t="str">
        <f t="shared" si="33"/>
        <v>#REF!</v>
      </c>
      <c r="BM114" s="135" t="str">
        <f>IF(ISNA(VLOOKUP(A114,'Données projet (1)'!$A$87:$I$107,5,0)),0%,VLOOKUP(A114,'Données projet (1)'!$A$87:$I$107,5,0)*VLOOKUP('Données projet (1)'!$B$11,'Paramètres (1)'!$A$1:$I$88,7,0))</f>
        <v>#REF!</v>
      </c>
      <c r="BN114" s="135" t="str">
        <f>IF(ISNA(VLOOKUP(A114,'Données projet (1)'!$A$87:$I$107,6,0)),0%,VLOOKUP(A114,'Données projet (1)'!$A$87:$I$107,6,0)*VLOOKUP('Données projet (1)'!$B$11,'Paramètres (1)'!$A$1:$I$88,7,0))</f>
        <v>#REF!</v>
      </c>
      <c r="BO114" s="135" t="str">
        <f t="shared" si="34"/>
        <v>#REF!</v>
      </c>
      <c r="BP114" s="142" t="str">
        <f>EXP(-LN(2)/35)*BP113+(1-EXP(-LN(2)/35))/(LN(2)/35)*BL114*BM114*VLOOKUP('Données projet (1)'!$B$11,'Paramètres (1)'!$A$1:$I$88,3,0)*0.475*44/12</f>
        <v>#REF!</v>
      </c>
      <c r="BQ114" s="142" t="str">
        <f>EXP(-LN(2)/25)*BQ113+(1-EXP(-LN(2)/25))/(LN(2)/25)*'Calculateur (1)'!BL114*'Calculateur (1)'!BN114*VLOOKUP('Données projet (1)'!$B$11,'Paramètres (1)'!$A$1:$I$88,3,0)*0.475*44/12</f>
        <v>#REF!</v>
      </c>
      <c r="BR114" s="142" t="str">
        <f>EXP(-LN(2)/2)*BR113+(1-EXP(-LN(2)/2))/(LN(2)/2)*BL114*BO114*VLOOKUP('Données projet (1)'!$B$11,'Paramètres (1)'!$A$1:$I$88,3,0)*0.475*44/12</f>
        <v>#REF!</v>
      </c>
      <c r="BS114" s="143" t="str">
        <f t="shared" si="35"/>
        <v>#REF!</v>
      </c>
      <c r="BT114" s="139" t="str">
        <f t="shared" si="36"/>
        <v>#REF!</v>
      </c>
      <c r="BU114" s="131">
        <f t="shared" si="37"/>
        <v>10</v>
      </c>
      <c r="BV114" s="131" t="str">
        <f t="shared" si="120"/>
        <v>#REF!</v>
      </c>
      <c r="BW114" s="131" t="str">
        <f t="shared" si="38"/>
        <v>#REF!</v>
      </c>
      <c r="BX114" s="131" t="str">
        <f t="array" ref="BX114">INDEX(BW:BW,MIN(IF(ISNUMBER(BW114:BW310),ROW(BW114:BW310),"")))</f>
        <v/>
      </c>
      <c r="BY114" s="131" t="str">
        <f t="shared" si="121"/>
        <v>#REF!</v>
      </c>
      <c r="BZ114" s="130" t="str">
        <f>BY114*VLOOKUP('Données projet (1)'!$B$12,'Paramètres (1)'!$A$1:$I$88,3,0)*VLOOKUP('Données projet (1)'!$B$12,'Paramètres (1)'!$A$1:$I$88,5,0)</f>
        <v>#REF!</v>
      </c>
      <c r="CA114" s="130" t="str">
        <f t="shared" si="122"/>
        <v>#REF!</v>
      </c>
      <c r="CB114" s="141" t="str">
        <f t="shared" si="39"/>
        <v>#REF!</v>
      </c>
      <c r="CC114" s="133" t="str">
        <f t="shared" si="40"/>
        <v>#REF!</v>
      </c>
      <c r="CD114" s="133" t="str">
        <f t="shared" si="41"/>
        <v>#REF!</v>
      </c>
      <c r="CE114" s="133" t="str">
        <f t="shared" si="123"/>
        <v>#REF!</v>
      </c>
      <c r="CF114" s="134" t="str">
        <f t="shared" si="42"/>
        <v>#REF!</v>
      </c>
      <c r="CG114" s="134" t="str">
        <f t="shared" si="43"/>
        <v>#REF!</v>
      </c>
      <c r="CH114" s="135" t="str">
        <f>IF(ISNA(VLOOKUP(A114,'Données projet (1)'!$A$113:$I$133,5,0)),0%,VLOOKUP(A114,'Données projet (1)'!$A$113:$I$133,5,0)*VLOOKUP('Données projet (1)'!$B$12,'Paramètres (1)'!$A$1:$I$88,7,0))</f>
        <v>#REF!</v>
      </c>
      <c r="CI114" s="135" t="str">
        <f>IF(ISNA(VLOOKUP(A114,'Données projet (1)'!$A$113:$I$133,6,0)),0%,VLOOKUP(A114,'Données projet (1)'!$A$113:$I$133,6,0)*VLOOKUP('Données projet (1)'!$B$12,'Paramètres (1)'!$A$1:$I$88,7,0))</f>
        <v>#REF!</v>
      </c>
      <c r="CJ114" s="135" t="str">
        <f t="shared" si="44"/>
        <v>#REF!</v>
      </c>
      <c r="CK114" s="142" t="str">
        <f>EXP(-LN(2)/35)*CK113+(1-EXP(-LN(2)/35))/(LN(2)/35)*CG114*CH114*VLOOKUP('Données projet (1)'!$B$12,'Paramètres (1)'!$A$1:$I$88,3,0)*0.475*44/12</f>
        <v>#REF!</v>
      </c>
      <c r="CL114" s="142" t="str">
        <f>EXP(-LN(2)/25)*CL113+(1-EXP(-LN(2)/25))/(LN(2)/25)*'Calculateur (1)'!CG114*'Calculateur (1)'!CI114*VLOOKUP('Données projet (1)'!$B$12,'Paramètres (1)'!$A$1:$I$88,3,0)*0.475*44/12</f>
        <v>#REF!</v>
      </c>
      <c r="CM114" s="142" t="str">
        <f>EXP(-LN(2)/2)*CM113+(1-EXP(-LN(2)/2))/(LN(2)/2)*CG114*CJ114*VLOOKUP('Données projet (1)'!$B$12,'Paramètres (1)'!$A$1:$I$88,3,0)*0.475*44/12</f>
        <v>#REF!</v>
      </c>
      <c r="CN114" s="143" t="str">
        <f t="shared" si="45"/>
        <v>#REF!</v>
      </c>
      <c r="CO114" s="139" t="str">
        <f t="shared" si="46"/>
        <v>#REF!</v>
      </c>
      <c r="CP114" s="131">
        <f t="shared" si="47"/>
        <v>10</v>
      </c>
      <c r="CQ114" s="131" t="str">
        <f t="shared" si="124"/>
        <v>#REF!</v>
      </c>
      <c r="CR114" s="131" t="str">
        <f t="shared" si="48"/>
        <v>#REF!</v>
      </c>
      <c r="CS114" s="131" t="str">
        <f t="array" ref="CS114">INDEX(CR:CR,MIN(IF(ISNUMBER(CR114:CR310),ROW(CR114:CR310),"")))</f>
        <v/>
      </c>
      <c r="CT114" s="131" t="str">
        <f t="shared" si="125"/>
        <v>#REF!</v>
      </c>
      <c r="CU114" s="138" t="str">
        <f>CT114*VLOOKUP('Données projet (1)'!$B$13,'Paramètres (1)'!$A$1:$I$88,3,0)*VLOOKUP('Données projet (1)'!$B$13,'Paramètres (1)'!$A$1:$I$88,5,0)</f>
        <v>#REF!</v>
      </c>
      <c r="CV114" s="130" t="str">
        <f t="shared" si="126"/>
        <v>#REF!</v>
      </c>
      <c r="CW114" s="141" t="str">
        <f t="shared" si="49"/>
        <v>#REF!</v>
      </c>
      <c r="CX114" s="133" t="str">
        <f t="shared" si="50"/>
        <v>#REF!</v>
      </c>
      <c r="CY114" s="133" t="str">
        <f t="shared" si="51"/>
        <v>#REF!</v>
      </c>
      <c r="CZ114" s="133" t="str">
        <f t="shared" si="127"/>
        <v>#REF!</v>
      </c>
      <c r="DA114" s="134" t="str">
        <f t="shared" si="52"/>
        <v>#REF!</v>
      </c>
      <c r="DB114" s="134" t="str">
        <f t="shared" si="53"/>
        <v>#REF!</v>
      </c>
      <c r="DC114" s="135" t="str">
        <f>IF(ISNA(VLOOKUP(A114,'Données projet (1)'!$A$139:$I$159,5,0)),0%,VLOOKUP(A114,'Données projet (1)'!$A$139:$I$159,5,0)*VLOOKUP('Données projet (1)'!$B$13,'Paramètres (1)'!$A$1:$I$88,7,0))</f>
        <v>#REF!</v>
      </c>
      <c r="DD114" s="135" t="str">
        <f>IF(ISNA(VLOOKUP(A114,'Données projet (1)'!$A$139:$I$159,6,0)),0%,VLOOKUP(A114,'Données projet (1)'!$A$139:$I$159,6,0)*VLOOKUP('Données projet (1)'!$B$13,'Paramètres (1)'!$A$1:$I$88,7,0))</f>
        <v>#REF!</v>
      </c>
      <c r="DE114" s="135" t="str">
        <f t="shared" si="54"/>
        <v>#REF!</v>
      </c>
      <c r="DF114" s="142" t="str">
        <f>EXP(-LN(2)/35)*DF113+(1-EXP(-LN(2)/35))/(LN(2)/35)*DB114*DC114*VLOOKUP('Données projet (1)'!$B$13,'Paramètres (1)'!$A$1:$I$88,3,0)*0.475*44/12</f>
        <v>#REF!</v>
      </c>
      <c r="DG114" s="142" t="str">
        <f>EXP(-LN(2)/25)*DG113+(1-EXP(-LN(2)/25))/(LN(2)/25)*'Calculateur (1)'!DB114*'Calculateur (1)'!DD114*VLOOKUP('Données projet (1)'!$B$13,'Paramètres (1)'!$A$1:$I$88,3,0)*0.475*44/12</f>
        <v>#REF!</v>
      </c>
      <c r="DH114" s="142" t="str">
        <f>EXP(-LN(2)/2)*DH113+(1-EXP(-LN(2)/2))/(LN(2)/2)*DB114*DE114*VLOOKUP('Données projet (1)'!$B$13,'Paramètres (1)'!$A$1:$I$88,3,0)*0.475*44/12</f>
        <v>#REF!</v>
      </c>
      <c r="DI114" s="143" t="str">
        <f t="shared" si="55"/>
        <v>#REF!</v>
      </c>
      <c r="DJ114" s="139" t="str">
        <f t="shared" si="56"/>
        <v>#REF!</v>
      </c>
      <c r="DK114" s="131">
        <f t="shared" si="57"/>
        <v>10</v>
      </c>
      <c r="DL114" s="131" t="str">
        <f t="shared" si="128"/>
        <v>#REF!</v>
      </c>
      <c r="DM114" s="131" t="str">
        <f t="shared" si="58"/>
        <v>#REF!</v>
      </c>
      <c r="DN114" s="131" t="str">
        <f t="array" ref="DN114">INDEX(DM:DM,MIN(IF(ISNUMBER(DM114:DM310),ROW(DM114:DM310),"")))</f>
        <v/>
      </c>
      <c r="DO114" s="131" t="str">
        <f t="shared" si="129"/>
        <v>#REF!</v>
      </c>
      <c r="DP114" s="138" t="str">
        <f>DO114*VLOOKUP('Données projet (1)'!$B$14,'Paramètres (1)'!$A$1:$I$88,3,0)*VLOOKUP('Données projet (1)'!$B$14,'Paramètres (1)'!$A$1:$I$88,5,0)</f>
        <v>#REF!</v>
      </c>
      <c r="DQ114" s="130" t="str">
        <f t="shared" si="130"/>
        <v>#REF!</v>
      </c>
      <c r="DR114" s="141" t="str">
        <f t="shared" si="59"/>
        <v>#REF!</v>
      </c>
      <c r="DS114" s="133" t="str">
        <f t="shared" si="60"/>
        <v>#REF!</v>
      </c>
      <c r="DT114" s="133" t="str">
        <f t="shared" si="61"/>
        <v>#REF!</v>
      </c>
      <c r="DU114" s="133" t="str">
        <f t="shared" si="131"/>
        <v>#REF!</v>
      </c>
      <c r="DV114" s="134" t="str">
        <f t="shared" si="62"/>
        <v>#REF!</v>
      </c>
      <c r="DW114" s="134" t="str">
        <f t="shared" si="63"/>
        <v>#REF!</v>
      </c>
      <c r="DX114" s="135" t="str">
        <f>IF(ISNA(VLOOKUP(A114,'Données projet (1)'!$A$165:$I$185,5,0)),0%,VLOOKUP(A114,'Données projet (1)'!$A$165:$I$185,5,0)*VLOOKUP('Données projet (1)'!$B$14,'Paramètres (1)'!$A$1:$I$88,7,0))</f>
        <v>#REF!</v>
      </c>
      <c r="DY114" s="135" t="str">
        <f>IF(ISNA(VLOOKUP(A114,'Données projet (1)'!$A$165:$I$185,6,0)),0%,VLOOKUP(A114,'Données projet (1)'!$A$165:$I$185,6,0)*VLOOKUP('Données projet (1)'!$B$14,'Paramètres (1)'!$A$1:$I$88,7,0))</f>
        <v>#REF!</v>
      </c>
      <c r="DZ114" s="135" t="str">
        <f t="shared" si="64"/>
        <v>#REF!</v>
      </c>
      <c r="EA114" s="142" t="str">
        <f>EXP(-LN(2)/35)*EA113+(1-EXP(-LN(2)/35))/(LN(2)/35)*DW114*DX114*VLOOKUP('Données projet (1)'!$B$14,'Paramètres (1)'!$A$1:$I$88,3,0)*0.475*44/12</f>
        <v>#REF!</v>
      </c>
      <c r="EB114" s="142" t="str">
        <f>EXP(-LN(2)/25)*EB113+(1-EXP(-LN(2)/25))/(LN(2)/25)*'Calculateur (1)'!DW114*'Calculateur (1)'!DY114*VLOOKUP('Données projet (1)'!$B$14,'Paramètres (1)'!$A$1:$I$88,3,0)*0.475*44/12</f>
        <v>#REF!</v>
      </c>
      <c r="EC114" s="142" t="str">
        <f>EXP(-LN(2)/2)*EC113+(1-EXP(-LN(2)/2))/(LN(2)/2)*DW114*DZ114*VLOOKUP('Données projet (1)'!$B$14,'Paramètres (1)'!$A$1:$I$88,3,0)*0.475*44/12</f>
        <v>#REF!</v>
      </c>
      <c r="ED114" s="143" t="str">
        <f t="shared" si="65"/>
        <v>#REF!</v>
      </c>
      <c r="EE114" s="139" t="str">
        <f t="shared" si="66"/>
        <v>#REF!</v>
      </c>
      <c r="EF114" s="131">
        <f t="shared" si="67"/>
        <v>10</v>
      </c>
      <c r="EG114" s="131" t="str">
        <f t="shared" si="132"/>
        <v>#REF!</v>
      </c>
      <c r="EH114" s="131" t="str">
        <f t="shared" si="68"/>
        <v>#REF!</v>
      </c>
      <c r="EI114" s="131" t="str">
        <f t="array" ref="EI114">INDEX(EH:EH,MIN(IF(ISNUMBER(EH114:EH310),ROW(EH114:EH310),"")))</f>
        <v/>
      </c>
      <c r="EJ114" s="131" t="str">
        <f t="shared" si="133"/>
        <v>#REF!</v>
      </c>
      <c r="EK114" s="138" t="str">
        <f>EJ114*VLOOKUP('Données projet (1)'!$B$15,'Paramètres (1)'!$A$1:$I$88,3,0)*VLOOKUP('Données projet (1)'!$B$15,'Paramètres (1)'!$A$1:$I$88,5,0)</f>
        <v>#REF!</v>
      </c>
      <c r="EL114" s="130" t="str">
        <f t="shared" si="134"/>
        <v>#REF!</v>
      </c>
      <c r="EM114" s="141" t="str">
        <f t="shared" si="69"/>
        <v>#REF!</v>
      </c>
      <c r="EN114" s="133" t="str">
        <f t="shared" si="70"/>
        <v>#REF!</v>
      </c>
      <c r="EO114" s="133" t="str">
        <f t="shared" si="71"/>
        <v>#REF!</v>
      </c>
      <c r="EP114" s="133" t="str">
        <f t="shared" si="135"/>
        <v>#REF!</v>
      </c>
      <c r="EQ114" s="134" t="str">
        <f t="shared" si="72"/>
        <v>#REF!</v>
      </c>
      <c r="ER114" s="134" t="str">
        <f t="shared" si="73"/>
        <v>#REF!</v>
      </c>
      <c r="ES114" s="135" t="str">
        <f>IF(ISNA(VLOOKUP(A114,'Données projet (1)'!$A$191:$I$211,5,0)),0%,VLOOKUP(A114,'Données projet (1)'!$A$191:$I$211,5,0)*VLOOKUP('Données projet (1)'!$B$15,'Paramètres (1)'!$A$1:$I$88,7,0))</f>
        <v>#REF!</v>
      </c>
      <c r="ET114" s="135" t="str">
        <f>IF(ISNA(VLOOKUP(A114,'Données projet (1)'!$A$191:$I$211,6,0)),0%,VLOOKUP(A114,'Données projet (1)'!$A$191:$I$211,6,0)*VLOOKUP('Données projet (1)'!$B$15,'Paramètres (1)'!$A$1:$I$88,7,0))</f>
        <v>#REF!</v>
      </c>
      <c r="EU114" s="135" t="str">
        <f t="shared" si="74"/>
        <v>#REF!</v>
      </c>
      <c r="EV114" s="142" t="str">
        <f>EXP(-LN(2)/35)*EV113+(1-EXP(-LN(2)/35))/(LN(2)/35)*ER114*ES114*VLOOKUP('Données projet (1)'!$B$15,'Paramètres (1)'!$A$1:$I$88,3,0)*0.475*44/12</f>
        <v>#REF!</v>
      </c>
      <c r="EW114" s="142" t="str">
        <f>EXP(-LN(2)/25)*EW113+(1-EXP(-LN(2)/25))/(LN(2)/25)*'Calculateur (1)'!ER114*'Calculateur (1)'!ET114*VLOOKUP('Données projet (1)'!$B$15,'Paramètres (1)'!$A$1:$I$88,3,0)*0.475*44/12</f>
        <v>#REF!</v>
      </c>
      <c r="EX114" s="142" t="str">
        <f>EXP(-LN(2)/2)*EX113+(1-EXP(-LN(2)/2))/(LN(2)/2)*ER114*EU114*VLOOKUP('Données projet (1)'!$B$15,'Paramètres (1)'!$A$1:$I$88,3,0)*0.475*44/12</f>
        <v>#REF!</v>
      </c>
      <c r="EY114" s="143" t="str">
        <f t="shared" si="75"/>
        <v>#REF!</v>
      </c>
      <c r="EZ114" s="139" t="str">
        <f t="shared" si="76"/>
        <v>#REF!</v>
      </c>
      <c r="FA114" s="131">
        <f t="shared" si="77"/>
        <v>10</v>
      </c>
      <c r="FB114" s="131" t="str">
        <f t="shared" si="136"/>
        <v>#REF!</v>
      </c>
      <c r="FC114" s="131" t="str">
        <f t="shared" si="78"/>
        <v>#REF!</v>
      </c>
      <c r="FD114" s="131" t="str">
        <f t="array" ref="FD114">INDEX(FC:FC,MIN(IF(ISNUMBER(FC114:FC310),ROW(FC114:FC310),"")))</f>
        <v/>
      </c>
      <c r="FE114" s="131" t="str">
        <f t="shared" si="137"/>
        <v>#REF!</v>
      </c>
      <c r="FF114" s="138" t="str">
        <f>FE114*VLOOKUP('Données projet (1)'!$B$16,'Paramètres (1)'!$A$1:$I$88,3,0)*VLOOKUP('Données projet (1)'!$B$16,'Paramètres (1)'!$A$1:$I$88,5,0)</f>
        <v>#REF!</v>
      </c>
      <c r="FG114" s="130" t="str">
        <f t="shared" si="138"/>
        <v>#REF!</v>
      </c>
      <c r="FH114" s="141" t="str">
        <f t="shared" si="79"/>
        <v>#REF!</v>
      </c>
      <c r="FI114" s="133" t="str">
        <f t="shared" si="80"/>
        <v>#REF!</v>
      </c>
      <c r="FJ114" s="133" t="str">
        <f t="shared" si="81"/>
        <v>#REF!</v>
      </c>
      <c r="FK114" s="133" t="str">
        <f t="shared" si="139"/>
        <v>#REF!</v>
      </c>
      <c r="FL114" s="134" t="str">
        <f t="shared" si="82"/>
        <v>#REF!</v>
      </c>
      <c r="FM114" s="134" t="str">
        <f t="shared" si="83"/>
        <v>#REF!</v>
      </c>
      <c r="FN114" s="135" t="str">
        <f>IF(ISNA(VLOOKUP(A114,'Données projet (1)'!$A$217:$I$237,5,0)),0%,VLOOKUP(A114,'Données projet (1)'!$A$217:$I$237,5,0)*VLOOKUP('Données projet (1)'!$B$16,'Paramètres (1)'!$A$1:$I$88,7,0))</f>
        <v>#REF!</v>
      </c>
      <c r="FO114" s="135" t="str">
        <f>IF(ISNA(VLOOKUP(A114,'Données projet (1)'!$A$217:$I$237,6,0)),0%,VLOOKUP(A114,'Données projet (1)'!$A$217:$I$237,6,0)*VLOOKUP('Données projet (1)'!$B$16,'Paramètres (1)'!$A$1:$I$88,7,0))</f>
        <v>#REF!</v>
      </c>
      <c r="FP114" s="135" t="str">
        <f t="shared" si="84"/>
        <v>#REF!</v>
      </c>
      <c r="FQ114" s="142" t="str">
        <f>EXP(-LN(2)/35)*FQ113+(1-EXP(-LN(2)/35))/(LN(2)/35)*FM114*FN114*VLOOKUP('Données projet (1)'!$B$16,'Paramètres (1)'!$A$1:$I$88,3,0)*0.475*44/12</f>
        <v>#REF!</v>
      </c>
      <c r="FR114" s="142" t="str">
        <f>EXP(-LN(2)/25)*FR113+(1-EXP(-LN(2)/25))/(LN(2)/25)*'Calculateur (1)'!FM114*'Calculateur (1)'!FO114*VLOOKUP('Données projet (1)'!$B$16,'Paramètres (1)'!$A$1:$I$88,3,0)*0.475*44/12</f>
        <v>#REF!</v>
      </c>
      <c r="FS114" s="142" t="str">
        <f>EXP(-LN(2)/2)*FS113+(1-EXP(-LN(2)/2))/(LN(2)/2)*FM114*FP114*VLOOKUP('Données projet (1)'!$B$16,'Paramètres (1)'!$A$1:$I$88,3,0)*0.475*44/12</f>
        <v>#REF!</v>
      </c>
      <c r="FT114" s="143" t="str">
        <f t="shared" si="85"/>
        <v>#REF!</v>
      </c>
      <c r="FU114" s="139" t="str">
        <f t="shared" si="86"/>
        <v>#REF!</v>
      </c>
      <c r="FV114" s="131">
        <f t="shared" si="87"/>
        <v>10</v>
      </c>
      <c r="FW114" s="131" t="str">
        <f t="shared" si="140"/>
        <v>#REF!</v>
      </c>
      <c r="FX114" s="131" t="str">
        <f t="shared" si="88"/>
        <v>#REF!</v>
      </c>
      <c r="FY114" s="131" t="str">
        <f t="array" ref="FY114">INDEX(FX:FX,MIN(IF(ISNUMBER(FX114:FX310),ROW(FX114:FX310),"")))</f>
        <v/>
      </c>
      <c r="FZ114" s="131" t="str">
        <f t="shared" si="141"/>
        <v>#REF!</v>
      </c>
      <c r="GA114" s="138" t="str">
        <f>FZ114*VLOOKUP('Données projet (1)'!$B$17,'Paramètres (1)'!$A$1:$I$88,3,0)*VLOOKUP('Données projet (1)'!$B$17,'Paramètres (1)'!$A$1:$I$88,5,0)</f>
        <v>#REF!</v>
      </c>
      <c r="GB114" s="130" t="str">
        <f t="shared" si="142"/>
        <v>#REF!</v>
      </c>
      <c r="GC114" s="141" t="str">
        <f t="shared" si="89"/>
        <v>#REF!</v>
      </c>
      <c r="GD114" s="133" t="str">
        <f t="shared" si="90"/>
        <v>#REF!</v>
      </c>
      <c r="GE114" s="133" t="str">
        <f t="shared" si="91"/>
        <v>#REF!</v>
      </c>
      <c r="GF114" s="133" t="str">
        <f t="shared" si="143"/>
        <v>#REF!</v>
      </c>
      <c r="GG114" s="134" t="str">
        <f t="shared" si="92"/>
        <v>#REF!</v>
      </c>
      <c r="GH114" s="134" t="str">
        <f t="shared" si="93"/>
        <v>#REF!</v>
      </c>
      <c r="GI114" s="135" t="str">
        <f>IF(ISNA(VLOOKUP(A114,'Données projet (1)'!$A$243:$I$263,5,0)),0%,VLOOKUP(A114,'Données projet (1)'!$A$243:$I$263,5,0)*VLOOKUP('Données projet (1)'!$B$17,'Paramètres (1)'!$A$1:$I$88,7,0))</f>
        <v>#REF!</v>
      </c>
      <c r="GJ114" s="135" t="str">
        <f>IF(ISNA(VLOOKUP(A114,'Données projet (1)'!$A$243:$I$263,6,0)),0%,VLOOKUP(A114,'Données projet (1)'!$A$243:$I$263,6,0)*VLOOKUP('Données projet (1)'!$B$17,'Paramètres (1)'!$A$1:$I$88,7,0))</f>
        <v>#REF!</v>
      </c>
      <c r="GK114" s="135" t="str">
        <f t="shared" si="94"/>
        <v>#REF!</v>
      </c>
      <c r="GL114" s="142" t="str">
        <f>EXP(-LN(2)/35)*GL113+(1-EXP(-LN(2)/35))/(LN(2)/35)*GH114*GI114*VLOOKUP('Données projet (1)'!$B$17,'Paramètres (1)'!$A$1:$I$88,3,0)*0.475*44/12</f>
        <v>#REF!</v>
      </c>
      <c r="GM114" s="142" t="str">
        <f>EXP(-LN(2)/25)*GM113+(1-EXP(-LN(2)/25))/(LN(2)/25)*'Calculateur (1)'!GH114*'Calculateur (1)'!GJ114*VLOOKUP('Données projet (1)'!$B$17,'Paramètres (1)'!$A$1:$I$88,3,0)*0.475*44/12</f>
        <v>#REF!</v>
      </c>
      <c r="GN114" s="142" t="str">
        <f>EXP(-LN(2)/2)*GN113+(1-EXP(-LN(2)/2))/(LN(2)/2)*GH114*GK114*VLOOKUP('Données projet (1)'!$B$17,'Paramètres (1)'!$A$1:$I$88,3,0)*0.475*44/12</f>
        <v>#REF!</v>
      </c>
      <c r="GO114" s="142" t="str">
        <f t="shared" si="95"/>
        <v>#REF!</v>
      </c>
      <c r="GP114" s="139" t="str">
        <f t="shared" si="96"/>
        <v>#REF!</v>
      </c>
      <c r="GQ114" s="131">
        <f t="shared" si="97"/>
        <v>10</v>
      </c>
      <c r="GR114" s="131" t="str">
        <f t="shared" si="144"/>
        <v>#REF!</v>
      </c>
      <c r="GS114" s="131" t="str">
        <f t="shared" si="98"/>
        <v>#REF!</v>
      </c>
      <c r="GT114" s="131" t="str">
        <f t="array" ref="GT114">INDEX(GS:GS,MIN(IF(ISNUMBER(GS114:GS310),ROW(GS114:GS310),"")))</f>
        <v/>
      </c>
      <c r="GU114" s="131" t="str">
        <f t="shared" si="145"/>
        <v>#REF!</v>
      </c>
      <c r="GV114" s="138" t="str">
        <f>GU114*VLOOKUP('Données projet (1)'!$B$18,'Paramètres (1)'!$A$1:$I$88,3,0)*VLOOKUP('Données projet (1)'!$B$18,'Paramètres (1)'!$A$1:$I$88,5,0)</f>
        <v>#REF!</v>
      </c>
      <c r="GW114" s="130" t="str">
        <f t="shared" si="146"/>
        <v>#REF!</v>
      </c>
      <c r="GX114" s="141" t="str">
        <f t="shared" si="99"/>
        <v>#REF!</v>
      </c>
      <c r="GY114" s="133" t="str">
        <f t="shared" si="100"/>
        <v>#REF!</v>
      </c>
      <c r="GZ114" s="133" t="str">
        <f t="shared" si="101"/>
        <v>#REF!</v>
      </c>
      <c r="HA114" s="133" t="str">
        <f t="shared" si="147"/>
        <v>#REF!</v>
      </c>
      <c r="HB114" s="134" t="str">
        <f t="shared" si="102"/>
        <v>#REF!</v>
      </c>
      <c r="HC114" s="134" t="str">
        <f t="shared" si="103"/>
        <v>#REF!</v>
      </c>
      <c r="HD114" s="135" t="str">
        <f>IF(ISNA(VLOOKUP(A114,'Données projet (1)'!$A$269:$I$289,5,0)),0%,VLOOKUP(A114,'Données projet (1)'!$A$269:$I$289,5,0)*VLOOKUP('Données projet (1)'!$B$18,'Paramètres (1)'!$A$1:$I$88,7,0))</f>
        <v>#REF!</v>
      </c>
      <c r="HE114" s="135" t="str">
        <f>IF(ISNA(VLOOKUP(A114,'Données projet (1)'!$A$269:$I$289,6,0)),0%,VLOOKUP(A114,'Données projet (1)'!$A$269:$I$289,6,0)*VLOOKUP('Données projet (1)'!$B$18,'Paramètres (1)'!$A$1:$I$88,7,0))</f>
        <v>#REF!</v>
      </c>
      <c r="HF114" s="135" t="str">
        <f t="shared" si="104"/>
        <v>#REF!</v>
      </c>
      <c r="HG114" s="142" t="str">
        <f>EXP(-LN(2)/35)*HG113+(1-EXP(-LN(2)/35))/(LN(2)/35)*HC114*HD114*VLOOKUP('Données projet (1)'!$B$18,'Paramètres (1)'!$A$1:$I$88,3,0)*0.475*44/12</f>
        <v>#REF!</v>
      </c>
      <c r="HH114" s="142" t="str">
        <f>EXP(-LN(2)/25)*HH113+(1-EXP(-LN(2)/25))/(LN(2)/25)*'Calculateur (1)'!HC114*'Calculateur (1)'!HE114*VLOOKUP('Données projet (1)'!$B$18,'Paramètres (1)'!$A$1:$I$88,3,0)*0.475*44/12</f>
        <v>#REF!</v>
      </c>
      <c r="HI114" s="142" t="str">
        <f>EXP(-LN(2)/2)*HI113+(1-EXP(-LN(2)/2))/(LN(2)/2)*HC114*HF114*VLOOKUP('Données projet (1)'!$B$18,'Paramètres (1)'!$A$1:$I$88,3,0)*0.475*44/12</f>
        <v>#REF!</v>
      </c>
      <c r="HJ114" s="143" t="str">
        <f t="shared" si="105"/>
        <v>#REF!</v>
      </c>
    </row>
    <row r="115" ht="14.25" customHeight="1">
      <c r="A115" s="125">
        <f t="shared" si="106"/>
        <v>112</v>
      </c>
      <c r="B115" s="126" t="str">
        <f t="shared" si="1"/>
        <v>#REF!</v>
      </c>
      <c r="C115" s="140" t="str">
        <f>'Calculateur (1)'!C114+'Scénario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5" s="127">
        <f t="shared" si="107"/>
        <v>0</v>
      </c>
      <c r="E115" s="127" t="str">
        <f t="shared" si="2"/>
        <v>#REF!</v>
      </c>
      <c r="F115" s="127" t="str">
        <f t="shared" si="3"/>
        <v>#REF!</v>
      </c>
      <c r="G115" s="127" t="str">
        <f t="shared" si="4"/>
        <v>#REF!</v>
      </c>
      <c r="H115" s="128" t="str">
        <f t="shared" si="5"/>
        <v>#REF!</v>
      </c>
      <c r="I115" s="129" t="str">
        <f t="shared" si="6"/>
        <v>#REF!</v>
      </c>
      <c r="J115" s="130">
        <f t="shared" si="7"/>
        <v>10</v>
      </c>
      <c r="K115" s="131" t="str">
        <f t="shared" si="108"/>
        <v>#REF!</v>
      </c>
      <c r="L115" s="131" t="str">
        <f t="shared" si="8"/>
        <v>#REF!</v>
      </c>
      <c r="M115" s="131" t="str">
        <f t="array" ref="M115">INDEX(L:L,MIN(IF(ISNUMBER(L115:L311),ROW(L115:L311),"")))</f>
        <v/>
      </c>
      <c r="N115" s="130" t="str">
        <f t="shared" si="109"/>
        <v>#REF!</v>
      </c>
      <c r="O115" s="130" t="str">
        <f>N115*VLOOKUP('Données projet (1)'!$B$9,'Paramètres (1)'!$A$1:$I$88,3,0)*VLOOKUP('Données projet (1)'!$B$9,'Paramètres (1)'!$A$1:$I$88,5,0)</f>
        <v>#REF!</v>
      </c>
      <c r="P115" s="130" t="str">
        <f t="shared" si="110"/>
        <v>#REF!</v>
      </c>
      <c r="Q115" s="141" t="str">
        <f t="shared" si="9"/>
        <v>#REF!</v>
      </c>
      <c r="R115" s="133" t="str">
        <f t="shared" si="10"/>
        <v>#REF!</v>
      </c>
      <c r="S115" s="133" t="str">
        <f t="shared" si="11"/>
        <v>#REF!</v>
      </c>
      <c r="T115" s="133" t="str">
        <f t="shared" si="111"/>
        <v>#REF!</v>
      </c>
      <c r="U115" s="134" t="str">
        <f t="shared" si="12"/>
        <v>#REF!</v>
      </c>
      <c r="V115" s="134" t="str">
        <f t="shared" si="13"/>
        <v>#REF!</v>
      </c>
      <c r="W115" s="135" t="str">
        <f>IF(ISNA(VLOOKUP(A115,'Données projet (1)'!$A$35:$I$55,5,0)),0%,VLOOKUP(A115,'Données projet (1)'!$A$35:$I$55,5,0)*VLOOKUP('Données projet (1)'!$B$9,'Paramètres (1)'!$A$1:$I$88,7,0))</f>
        <v>#REF!</v>
      </c>
      <c r="X115" s="135" t="str">
        <f>IF(ISNA(VLOOKUP(A115,'Données projet (1)'!$A$35:$I$55,6,0)),0%,VLOOKUP(A115,'Données projet (1)'!$A$35:$I$55,6,0)*VLOOKUP('Données projet (1)'!$B$9,'Paramètres (1)'!$A$1:$I$88,7,0))</f>
        <v>#REF!</v>
      </c>
      <c r="Y115" s="135" t="str">
        <f t="shared" si="14"/>
        <v>#REF!</v>
      </c>
      <c r="Z115" s="142" t="str">
        <f>EXP(-LN(2)/35)*Z114+(1-EXP(-LN(2)/35))/(LN(2)/35)*V115*W115*VLOOKUP('Données projet (1)'!$B$9,'Paramètres (1)'!$A$1:$I$88,3,0)*0.475*44/12</f>
        <v>#REF!</v>
      </c>
      <c r="AA115" s="142" t="str">
        <f>EXP(-LN(2)/25)*AA114+(1-EXP(-LN(2)/25))/(LN(2)/25)*'Calculateur (1)'!V115*'Calculateur (1)'!X115*VLOOKUP('Données projet (1)'!$B$9,'Paramètres (1)'!$A$1:$I$88,3,0)*0.475*44/12</f>
        <v>#REF!</v>
      </c>
      <c r="AB115" s="142" t="str">
        <f>EXP(-LN(2)/2)*AB114+(1-EXP(-LN(2)/2))/(LN(2)/2)*V115*Y115*VLOOKUP('Données projet (1)'!$B$9,'Paramètres (1)'!$A$1:$I$88,3,0)*0.475*44/12</f>
        <v>#REF!</v>
      </c>
      <c r="AC115" s="143" t="str">
        <f t="shared" si="15"/>
        <v>#REF!</v>
      </c>
      <c r="AD115" s="130" t="str">
        <f t="shared" si="16"/>
        <v>#REF!</v>
      </c>
      <c r="AE115" s="130">
        <f t="shared" si="17"/>
        <v>10</v>
      </c>
      <c r="AF115" s="131" t="str">
        <f t="shared" si="112"/>
        <v>#REF!</v>
      </c>
      <c r="AG115" s="131" t="str">
        <f t="shared" si="18"/>
        <v>#REF!</v>
      </c>
      <c r="AH115" s="131" t="str">
        <f t="array" ref="AH115">INDEX(AG:AG,MIN(IF(ISNUMBER(AG115:AG311),ROW(AG115:AG311),"")))</f>
        <v/>
      </c>
      <c r="AI115" s="130" t="str">
        <f t="shared" si="113"/>
        <v>#REF!</v>
      </c>
      <c r="AJ115" s="130" t="str">
        <f>AI115*VLOOKUP('Données projet (1)'!$B$10,'Paramètres (1)'!$A$1:$I$88,3,0)*VLOOKUP('Données projet (1)'!$B$10,'Paramètres (1)'!$A$1:$I$88,5,0)</f>
        <v>#REF!</v>
      </c>
      <c r="AK115" s="130" t="str">
        <f t="shared" si="114"/>
        <v>#REF!</v>
      </c>
      <c r="AL115" s="141" t="str">
        <f t="shared" si="19"/>
        <v>#REF!</v>
      </c>
      <c r="AM115" s="133" t="str">
        <f t="shared" si="20"/>
        <v>#REF!</v>
      </c>
      <c r="AN115" s="133" t="str">
        <f t="shared" si="21"/>
        <v>#REF!</v>
      </c>
      <c r="AO115" s="133" t="str">
        <f t="shared" si="115"/>
        <v>#REF!</v>
      </c>
      <c r="AP115" s="134" t="str">
        <f t="shared" si="22"/>
        <v>#REF!</v>
      </c>
      <c r="AQ115" s="134" t="str">
        <f t="shared" si="23"/>
        <v>#REF!</v>
      </c>
      <c r="AR115" s="135" t="str">
        <f>IF(ISNA(VLOOKUP(A115,'Données projet (1)'!$A$61:$I$81,5,0)),0%,VLOOKUP(A115,'Données projet (1)'!$A$61:$I$81,5,0)*VLOOKUP('Données projet (1)'!$B$10,'Paramètres (1)'!$A$1:$I$88,7,0))</f>
        <v>#REF!</v>
      </c>
      <c r="AS115" s="135" t="str">
        <f>IF(ISNA(VLOOKUP(A115,'Données projet (1)'!$A$61:$I$81,6,0)),0%,VLOOKUP(A115,'Données projet (1)'!$A$61:$I$81,6,0)*VLOOKUP('Données projet (1)'!$B$10,'Paramètres (1)'!$A$1:$I$88,7,0))</f>
        <v>#REF!</v>
      </c>
      <c r="AT115" s="135" t="str">
        <f t="shared" si="24"/>
        <v>#REF!</v>
      </c>
      <c r="AU115" s="142" t="str">
        <f>EXP(-LN(2)/35)*AU114+(1-EXP(-LN(2)/35))/(LN(2)/35)*AQ115*AR115*VLOOKUP('Données projet (1)'!$B$10,'Paramètres (1)'!$A$1:$I$88,3,0)*0.475*44/12</f>
        <v>#REF!</v>
      </c>
      <c r="AV115" s="142" t="str">
        <f>EXP(-LN(2)/25)*AV114+(1-EXP(-LN(2)/25))/(LN(2)/25)*'Calculateur (1)'!AQ115*'Calculateur (1)'!AS115*VLOOKUP('Données projet (1)'!$B$10,'Paramètres (1)'!$A$1:$I$88,3,0)*0.475*44/12</f>
        <v>#REF!</v>
      </c>
      <c r="AW115" s="142" t="str">
        <f>EXP(-LN(2)/2)*AW114+(1-EXP(-LN(2)/2))/(LN(2)/2)*AQ115*AT115*VLOOKUP('Données projet (1)'!$B$10,'Paramètres (1)'!$A$1:$I$88,3,0)*0.475*44/12</f>
        <v>#REF!</v>
      </c>
      <c r="AX115" s="142" t="str">
        <f t="shared" si="25"/>
        <v>#REF!</v>
      </c>
      <c r="AY115" s="137" t="str">
        <f t="shared" si="26"/>
        <v>#REF!</v>
      </c>
      <c r="AZ115" s="131">
        <f t="shared" si="27"/>
        <v>10</v>
      </c>
      <c r="BA115" s="131" t="str">
        <f t="shared" si="116"/>
        <v>#REF!</v>
      </c>
      <c r="BB115" s="131" t="str">
        <f t="shared" si="28"/>
        <v>#REF!</v>
      </c>
      <c r="BC115" s="131" t="str">
        <f t="array" ref="BC115">INDEX(BB:BB,MIN(IF(ISNUMBER(BB115:BB311),ROW(BB115:BB311),"")))</f>
        <v/>
      </c>
      <c r="BD115" s="131" t="str">
        <f t="shared" si="117"/>
        <v>#REF!</v>
      </c>
      <c r="BE115" s="130" t="str">
        <f>BD115*VLOOKUP('Données projet (1)'!$B$11,'Paramètres (1)'!$A$1:$I$88,3,0)*VLOOKUP('Données projet (1)'!$B$11,'Paramètres (1)'!$A$1:$I$88,5,0)</f>
        <v>#REF!</v>
      </c>
      <c r="BF115" s="130" t="str">
        <f t="shared" si="118"/>
        <v>#REF!</v>
      </c>
      <c r="BG115" s="141" t="str">
        <f t="shared" si="29"/>
        <v>#REF!</v>
      </c>
      <c r="BH115" s="133" t="str">
        <f t="shared" si="30"/>
        <v>#REF!</v>
      </c>
      <c r="BI115" s="133" t="str">
        <f t="shared" si="31"/>
        <v>#REF!</v>
      </c>
      <c r="BJ115" s="133" t="str">
        <f t="shared" si="119"/>
        <v>#REF!</v>
      </c>
      <c r="BK115" s="134" t="str">
        <f t="shared" si="32"/>
        <v>#REF!</v>
      </c>
      <c r="BL115" s="134" t="str">
        <f t="shared" si="33"/>
        <v>#REF!</v>
      </c>
      <c r="BM115" s="135" t="str">
        <f>IF(ISNA(VLOOKUP(A115,'Données projet (1)'!$A$87:$I$107,5,0)),0%,VLOOKUP(A115,'Données projet (1)'!$A$87:$I$107,5,0)*VLOOKUP('Données projet (1)'!$B$11,'Paramètres (1)'!$A$1:$I$88,7,0))</f>
        <v>#REF!</v>
      </c>
      <c r="BN115" s="135" t="str">
        <f>IF(ISNA(VLOOKUP(A115,'Données projet (1)'!$A$87:$I$107,6,0)),0%,VLOOKUP(A115,'Données projet (1)'!$A$87:$I$107,6,0)*VLOOKUP('Données projet (1)'!$B$11,'Paramètres (1)'!$A$1:$I$88,7,0))</f>
        <v>#REF!</v>
      </c>
      <c r="BO115" s="135" t="str">
        <f t="shared" si="34"/>
        <v>#REF!</v>
      </c>
      <c r="BP115" s="142" t="str">
        <f>EXP(-LN(2)/35)*BP114+(1-EXP(-LN(2)/35))/(LN(2)/35)*BL115*BM115*VLOOKUP('Données projet (1)'!$B$11,'Paramètres (1)'!$A$1:$I$88,3,0)*0.475*44/12</f>
        <v>#REF!</v>
      </c>
      <c r="BQ115" s="142" t="str">
        <f>EXP(-LN(2)/25)*BQ114+(1-EXP(-LN(2)/25))/(LN(2)/25)*'Calculateur (1)'!BL115*'Calculateur (1)'!BN115*VLOOKUP('Données projet (1)'!$B$11,'Paramètres (1)'!$A$1:$I$88,3,0)*0.475*44/12</f>
        <v>#REF!</v>
      </c>
      <c r="BR115" s="142" t="str">
        <f>EXP(-LN(2)/2)*BR114+(1-EXP(-LN(2)/2))/(LN(2)/2)*BL115*BO115*VLOOKUP('Données projet (1)'!$B$11,'Paramètres (1)'!$A$1:$I$88,3,0)*0.475*44/12</f>
        <v>#REF!</v>
      </c>
      <c r="BS115" s="143" t="str">
        <f t="shared" si="35"/>
        <v>#REF!</v>
      </c>
      <c r="BT115" s="139" t="str">
        <f t="shared" si="36"/>
        <v>#REF!</v>
      </c>
      <c r="BU115" s="131">
        <f t="shared" si="37"/>
        <v>10</v>
      </c>
      <c r="BV115" s="131" t="str">
        <f t="shared" si="120"/>
        <v>#REF!</v>
      </c>
      <c r="BW115" s="131" t="str">
        <f t="shared" si="38"/>
        <v>#REF!</v>
      </c>
      <c r="BX115" s="131" t="str">
        <f t="array" ref="BX115">INDEX(BW:BW,MIN(IF(ISNUMBER(BW115:BW311),ROW(BW115:BW311),"")))</f>
        <v/>
      </c>
      <c r="BY115" s="131" t="str">
        <f t="shared" si="121"/>
        <v>#REF!</v>
      </c>
      <c r="BZ115" s="130" t="str">
        <f>BY115*VLOOKUP('Données projet (1)'!$B$12,'Paramètres (1)'!$A$1:$I$88,3,0)*VLOOKUP('Données projet (1)'!$B$12,'Paramètres (1)'!$A$1:$I$88,5,0)</f>
        <v>#REF!</v>
      </c>
      <c r="CA115" s="130" t="str">
        <f t="shared" si="122"/>
        <v>#REF!</v>
      </c>
      <c r="CB115" s="141" t="str">
        <f t="shared" si="39"/>
        <v>#REF!</v>
      </c>
      <c r="CC115" s="133" t="str">
        <f t="shared" si="40"/>
        <v>#REF!</v>
      </c>
      <c r="CD115" s="133" t="str">
        <f t="shared" si="41"/>
        <v>#REF!</v>
      </c>
      <c r="CE115" s="133" t="str">
        <f t="shared" si="123"/>
        <v>#REF!</v>
      </c>
      <c r="CF115" s="134" t="str">
        <f t="shared" si="42"/>
        <v>#REF!</v>
      </c>
      <c r="CG115" s="134" t="str">
        <f t="shared" si="43"/>
        <v>#REF!</v>
      </c>
      <c r="CH115" s="135" t="str">
        <f>IF(ISNA(VLOOKUP(A115,'Données projet (1)'!$A$113:$I$133,5,0)),0%,VLOOKUP(A115,'Données projet (1)'!$A$113:$I$133,5,0)*VLOOKUP('Données projet (1)'!$B$12,'Paramètres (1)'!$A$1:$I$88,7,0))</f>
        <v>#REF!</v>
      </c>
      <c r="CI115" s="135" t="str">
        <f>IF(ISNA(VLOOKUP(A115,'Données projet (1)'!$A$113:$I$133,6,0)),0%,VLOOKUP(A115,'Données projet (1)'!$A$113:$I$133,6,0)*VLOOKUP('Données projet (1)'!$B$12,'Paramètres (1)'!$A$1:$I$88,7,0))</f>
        <v>#REF!</v>
      </c>
      <c r="CJ115" s="135" t="str">
        <f t="shared" si="44"/>
        <v>#REF!</v>
      </c>
      <c r="CK115" s="142" t="str">
        <f>EXP(-LN(2)/35)*CK114+(1-EXP(-LN(2)/35))/(LN(2)/35)*CG115*CH115*VLOOKUP('Données projet (1)'!$B$12,'Paramètres (1)'!$A$1:$I$88,3,0)*0.475*44/12</f>
        <v>#REF!</v>
      </c>
      <c r="CL115" s="142" t="str">
        <f>EXP(-LN(2)/25)*CL114+(1-EXP(-LN(2)/25))/(LN(2)/25)*'Calculateur (1)'!CG115*'Calculateur (1)'!CI115*VLOOKUP('Données projet (1)'!$B$12,'Paramètres (1)'!$A$1:$I$88,3,0)*0.475*44/12</f>
        <v>#REF!</v>
      </c>
      <c r="CM115" s="142" t="str">
        <f>EXP(-LN(2)/2)*CM114+(1-EXP(-LN(2)/2))/(LN(2)/2)*CG115*CJ115*VLOOKUP('Données projet (1)'!$B$12,'Paramètres (1)'!$A$1:$I$88,3,0)*0.475*44/12</f>
        <v>#REF!</v>
      </c>
      <c r="CN115" s="143" t="str">
        <f t="shared" si="45"/>
        <v>#REF!</v>
      </c>
      <c r="CO115" s="139" t="str">
        <f t="shared" si="46"/>
        <v>#REF!</v>
      </c>
      <c r="CP115" s="131">
        <f t="shared" si="47"/>
        <v>10</v>
      </c>
      <c r="CQ115" s="131" t="str">
        <f t="shared" si="124"/>
        <v>#REF!</v>
      </c>
      <c r="CR115" s="131" t="str">
        <f t="shared" si="48"/>
        <v>#REF!</v>
      </c>
      <c r="CS115" s="131" t="str">
        <f t="array" ref="CS115">INDEX(CR:CR,MIN(IF(ISNUMBER(CR115:CR311),ROW(CR115:CR311),"")))</f>
        <v/>
      </c>
      <c r="CT115" s="131" t="str">
        <f t="shared" si="125"/>
        <v>#REF!</v>
      </c>
      <c r="CU115" s="138" t="str">
        <f>CT115*VLOOKUP('Données projet (1)'!$B$13,'Paramètres (1)'!$A$1:$I$88,3,0)*VLOOKUP('Données projet (1)'!$B$13,'Paramètres (1)'!$A$1:$I$88,5,0)</f>
        <v>#REF!</v>
      </c>
      <c r="CV115" s="130" t="str">
        <f t="shared" si="126"/>
        <v>#REF!</v>
      </c>
      <c r="CW115" s="141" t="str">
        <f t="shared" si="49"/>
        <v>#REF!</v>
      </c>
      <c r="CX115" s="133" t="str">
        <f t="shared" si="50"/>
        <v>#REF!</v>
      </c>
      <c r="CY115" s="133" t="str">
        <f t="shared" si="51"/>
        <v>#REF!</v>
      </c>
      <c r="CZ115" s="133" t="str">
        <f t="shared" si="127"/>
        <v>#REF!</v>
      </c>
      <c r="DA115" s="134" t="str">
        <f t="shared" si="52"/>
        <v>#REF!</v>
      </c>
      <c r="DB115" s="134" t="str">
        <f t="shared" si="53"/>
        <v>#REF!</v>
      </c>
      <c r="DC115" s="135" t="str">
        <f>IF(ISNA(VLOOKUP(A115,'Données projet (1)'!$A$139:$I$159,5,0)),0%,VLOOKUP(A115,'Données projet (1)'!$A$139:$I$159,5,0)*VLOOKUP('Données projet (1)'!$B$13,'Paramètres (1)'!$A$1:$I$88,7,0))</f>
        <v>#REF!</v>
      </c>
      <c r="DD115" s="135" t="str">
        <f>IF(ISNA(VLOOKUP(A115,'Données projet (1)'!$A$139:$I$159,6,0)),0%,VLOOKUP(A115,'Données projet (1)'!$A$139:$I$159,6,0)*VLOOKUP('Données projet (1)'!$B$13,'Paramètres (1)'!$A$1:$I$88,7,0))</f>
        <v>#REF!</v>
      </c>
      <c r="DE115" s="135" t="str">
        <f t="shared" si="54"/>
        <v>#REF!</v>
      </c>
      <c r="DF115" s="142" t="str">
        <f>EXP(-LN(2)/35)*DF114+(1-EXP(-LN(2)/35))/(LN(2)/35)*DB115*DC115*VLOOKUP('Données projet (1)'!$B$13,'Paramètres (1)'!$A$1:$I$88,3,0)*0.475*44/12</f>
        <v>#REF!</v>
      </c>
      <c r="DG115" s="142" t="str">
        <f>EXP(-LN(2)/25)*DG114+(1-EXP(-LN(2)/25))/(LN(2)/25)*'Calculateur (1)'!DB115*'Calculateur (1)'!DD115*VLOOKUP('Données projet (1)'!$B$13,'Paramètres (1)'!$A$1:$I$88,3,0)*0.475*44/12</f>
        <v>#REF!</v>
      </c>
      <c r="DH115" s="142" t="str">
        <f>EXP(-LN(2)/2)*DH114+(1-EXP(-LN(2)/2))/(LN(2)/2)*DB115*DE115*VLOOKUP('Données projet (1)'!$B$13,'Paramètres (1)'!$A$1:$I$88,3,0)*0.475*44/12</f>
        <v>#REF!</v>
      </c>
      <c r="DI115" s="143" t="str">
        <f t="shared" si="55"/>
        <v>#REF!</v>
      </c>
      <c r="DJ115" s="139" t="str">
        <f t="shared" si="56"/>
        <v>#REF!</v>
      </c>
      <c r="DK115" s="131">
        <f t="shared" si="57"/>
        <v>10</v>
      </c>
      <c r="DL115" s="131" t="str">
        <f t="shared" si="128"/>
        <v>#REF!</v>
      </c>
      <c r="DM115" s="131" t="str">
        <f t="shared" si="58"/>
        <v>#REF!</v>
      </c>
      <c r="DN115" s="131" t="str">
        <f t="array" ref="DN115">INDEX(DM:DM,MIN(IF(ISNUMBER(DM115:DM311),ROW(DM115:DM311),"")))</f>
        <v/>
      </c>
      <c r="DO115" s="131" t="str">
        <f t="shared" si="129"/>
        <v>#REF!</v>
      </c>
      <c r="DP115" s="138" t="str">
        <f>DO115*VLOOKUP('Données projet (1)'!$B$14,'Paramètres (1)'!$A$1:$I$88,3,0)*VLOOKUP('Données projet (1)'!$B$14,'Paramètres (1)'!$A$1:$I$88,5,0)</f>
        <v>#REF!</v>
      </c>
      <c r="DQ115" s="130" t="str">
        <f t="shared" si="130"/>
        <v>#REF!</v>
      </c>
      <c r="DR115" s="141" t="str">
        <f t="shared" si="59"/>
        <v>#REF!</v>
      </c>
      <c r="DS115" s="133" t="str">
        <f t="shared" si="60"/>
        <v>#REF!</v>
      </c>
      <c r="DT115" s="133" t="str">
        <f t="shared" si="61"/>
        <v>#REF!</v>
      </c>
      <c r="DU115" s="133" t="str">
        <f t="shared" si="131"/>
        <v>#REF!</v>
      </c>
      <c r="DV115" s="134" t="str">
        <f t="shared" si="62"/>
        <v>#REF!</v>
      </c>
      <c r="DW115" s="134" t="str">
        <f t="shared" si="63"/>
        <v>#REF!</v>
      </c>
      <c r="DX115" s="135" t="str">
        <f>IF(ISNA(VLOOKUP(A115,'Données projet (1)'!$A$165:$I$185,5,0)),0%,VLOOKUP(A115,'Données projet (1)'!$A$165:$I$185,5,0)*VLOOKUP('Données projet (1)'!$B$14,'Paramètres (1)'!$A$1:$I$88,7,0))</f>
        <v>#REF!</v>
      </c>
      <c r="DY115" s="135" t="str">
        <f>IF(ISNA(VLOOKUP(A115,'Données projet (1)'!$A$165:$I$185,6,0)),0%,VLOOKUP(A115,'Données projet (1)'!$A$165:$I$185,6,0)*VLOOKUP('Données projet (1)'!$B$14,'Paramètres (1)'!$A$1:$I$88,7,0))</f>
        <v>#REF!</v>
      </c>
      <c r="DZ115" s="135" t="str">
        <f t="shared" si="64"/>
        <v>#REF!</v>
      </c>
      <c r="EA115" s="142" t="str">
        <f>EXP(-LN(2)/35)*EA114+(1-EXP(-LN(2)/35))/(LN(2)/35)*DW115*DX115*VLOOKUP('Données projet (1)'!$B$14,'Paramètres (1)'!$A$1:$I$88,3,0)*0.475*44/12</f>
        <v>#REF!</v>
      </c>
      <c r="EB115" s="142" t="str">
        <f>EXP(-LN(2)/25)*EB114+(1-EXP(-LN(2)/25))/(LN(2)/25)*'Calculateur (1)'!DW115*'Calculateur (1)'!DY115*VLOOKUP('Données projet (1)'!$B$14,'Paramètres (1)'!$A$1:$I$88,3,0)*0.475*44/12</f>
        <v>#REF!</v>
      </c>
      <c r="EC115" s="142" t="str">
        <f>EXP(-LN(2)/2)*EC114+(1-EXP(-LN(2)/2))/(LN(2)/2)*DW115*DZ115*VLOOKUP('Données projet (1)'!$B$14,'Paramètres (1)'!$A$1:$I$88,3,0)*0.475*44/12</f>
        <v>#REF!</v>
      </c>
      <c r="ED115" s="143" t="str">
        <f t="shared" si="65"/>
        <v>#REF!</v>
      </c>
      <c r="EE115" s="139" t="str">
        <f t="shared" si="66"/>
        <v>#REF!</v>
      </c>
      <c r="EF115" s="131">
        <f t="shared" si="67"/>
        <v>10</v>
      </c>
      <c r="EG115" s="131" t="str">
        <f t="shared" si="132"/>
        <v>#REF!</v>
      </c>
      <c r="EH115" s="131" t="str">
        <f t="shared" si="68"/>
        <v>#REF!</v>
      </c>
      <c r="EI115" s="131" t="str">
        <f t="array" ref="EI115">INDEX(EH:EH,MIN(IF(ISNUMBER(EH115:EH311),ROW(EH115:EH311),"")))</f>
        <v/>
      </c>
      <c r="EJ115" s="131" t="str">
        <f t="shared" si="133"/>
        <v>#REF!</v>
      </c>
      <c r="EK115" s="138" t="str">
        <f>EJ115*VLOOKUP('Données projet (1)'!$B$15,'Paramètres (1)'!$A$1:$I$88,3,0)*VLOOKUP('Données projet (1)'!$B$15,'Paramètres (1)'!$A$1:$I$88,5,0)</f>
        <v>#REF!</v>
      </c>
      <c r="EL115" s="130" t="str">
        <f t="shared" si="134"/>
        <v>#REF!</v>
      </c>
      <c r="EM115" s="141" t="str">
        <f t="shared" si="69"/>
        <v>#REF!</v>
      </c>
      <c r="EN115" s="133" t="str">
        <f t="shared" si="70"/>
        <v>#REF!</v>
      </c>
      <c r="EO115" s="133" t="str">
        <f t="shared" si="71"/>
        <v>#REF!</v>
      </c>
      <c r="EP115" s="133" t="str">
        <f t="shared" si="135"/>
        <v>#REF!</v>
      </c>
      <c r="EQ115" s="134" t="str">
        <f t="shared" si="72"/>
        <v>#REF!</v>
      </c>
      <c r="ER115" s="134" t="str">
        <f t="shared" si="73"/>
        <v>#REF!</v>
      </c>
      <c r="ES115" s="135" t="str">
        <f>IF(ISNA(VLOOKUP(A115,'Données projet (1)'!$A$191:$I$211,5,0)),0%,VLOOKUP(A115,'Données projet (1)'!$A$191:$I$211,5,0)*VLOOKUP('Données projet (1)'!$B$15,'Paramètres (1)'!$A$1:$I$88,7,0))</f>
        <v>#REF!</v>
      </c>
      <c r="ET115" s="135" t="str">
        <f>IF(ISNA(VLOOKUP(A115,'Données projet (1)'!$A$191:$I$211,6,0)),0%,VLOOKUP(A115,'Données projet (1)'!$A$191:$I$211,6,0)*VLOOKUP('Données projet (1)'!$B$15,'Paramètres (1)'!$A$1:$I$88,7,0))</f>
        <v>#REF!</v>
      </c>
      <c r="EU115" s="135" t="str">
        <f t="shared" si="74"/>
        <v>#REF!</v>
      </c>
      <c r="EV115" s="142" t="str">
        <f>EXP(-LN(2)/35)*EV114+(1-EXP(-LN(2)/35))/(LN(2)/35)*ER115*ES115*VLOOKUP('Données projet (1)'!$B$15,'Paramètres (1)'!$A$1:$I$88,3,0)*0.475*44/12</f>
        <v>#REF!</v>
      </c>
      <c r="EW115" s="142" t="str">
        <f>EXP(-LN(2)/25)*EW114+(1-EXP(-LN(2)/25))/(LN(2)/25)*'Calculateur (1)'!ER115*'Calculateur (1)'!ET115*VLOOKUP('Données projet (1)'!$B$15,'Paramètres (1)'!$A$1:$I$88,3,0)*0.475*44/12</f>
        <v>#REF!</v>
      </c>
      <c r="EX115" s="142" t="str">
        <f>EXP(-LN(2)/2)*EX114+(1-EXP(-LN(2)/2))/(LN(2)/2)*ER115*EU115*VLOOKUP('Données projet (1)'!$B$15,'Paramètres (1)'!$A$1:$I$88,3,0)*0.475*44/12</f>
        <v>#REF!</v>
      </c>
      <c r="EY115" s="143" t="str">
        <f t="shared" si="75"/>
        <v>#REF!</v>
      </c>
      <c r="EZ115" s="139" t="str">
        <f t="shared" si="76"/>
        <v>#REF!</v>
      </c>
      <c r="FA115" s="131">
        <f t="shared" si="77"/>
        <v>10</v>
      </c>
      <c r="FB115" s="131" t="str">
        <f t="shared" si="136"/>
        <v>#REF!</v>
      </c>
      <c r="FC115" s="131" t="str">
        <f t="shared" si="78"/>
        <v>#REF!</v>
      </c>
      <c r="FD115" s="131" t="str">
        <f t="array" ref="FD115">INDEX(FC:FC,MIN(IF(ISNUMBER(FC115:FC311),ROW(FC115:FC311),"")))</f>
        <v/>
      </c>
      <c r="FE115" s="131" t="str">
        <f t="shared" si="137"/>
        <v>#REF!</v>
      </c>
      <c r="FF115" s="138" t="str">
        <f>FE115*VLOOKUP('Données projet (1)'!$B$16,'Paramètres (1)'!$A$1:$I$88,3,0)*VLOOKUP('Données projet (1)'!$B$16,'Paramètres (1)'!$A$1:$I$88,5,0)</f>
        <v>#REF!</v>
      </c>
      <c r="FG115" s="130" t="str">
        <f t="shared" si="138"/>
        <v>#REF!</v>
      </c>
      <c r="FH115" s="141" t="str">
        <f t="shared" si="79"/>
        <v>#REF!</v>
      </c>
      <c r="FI115" s="133" t="str">
        <f t="shared" si="80"/>
        <v>#REF!</v>
      </c>
      <c r="FJ115" s="133" t="str">
        <f t="shared" si="81"/>
        <v>#REF!</v>
      </c>
      <c r="FK115" s="133" t="str">
        <f t="shared" si="139"/>
        <v>#REF!</v>
      </c>
      <c r="FL115" s="134" t="str">
        <f t="shared" si="82"/>
        <v>#REF!</v>
      </c>
      <c r="FM115" s="134" t="str">
        <f t="shared" si="83"/>
        <v>#REF!</v>
      </c>
      <c r="FN115" s="135" t="str">
        <f>IF(ISNA(VLOOKUP(A115,'Données projet (1)'!$A$217:$I$237,5,0)),0%,VLOOKUP(A115,'Données projet (1)'!$A$217:$I$237,5,0)*VLOOKUP('Données projet (1)'!$B$16,'Paramètres (1)'!$A$1:$I$88,7,0))</f>
        <v>#REF!</v>
      </c>
      <c r="FO115" s="135" t="str">
        <f>IF(ISNA(VLOOKUP(A115,'Données projet (1)'!$A$217:$I$237,6,0)),0%,VLOOKUP(A115,'Données projet (1)'!$A$217:$I$237,6,0)*VLOOKUP('Données projet (1)'!$B$16,'Paramètres (1)'!$A$1:$I$88,7,0))</f>
        <v>#REF!</v>
      </c>
      <c r="FP115" s="135" t="str">
        <f t="shared" si="84"/>
        <v>#REF!</v>
      </c>
      <c r="FQ115" s="142" t="str">
        <f>EXP(-LN(2)/35)*FQ114+(1-EXP(-LN(2)/35))/(LN(2)/35)*FM115*FN115*VLOOKUP('Données projet (1)'!$B$16,'Paramètres (1)'!$A$1:$I$88,3,0)*0.475*44/12</f>
        <v>#REF!</v>
      </c>
      <c r="FR115" s="142" t="str">
        <f>EXP(-LN(2)/25)*FR114+(1-EXP(-LN(2)/25))/(LN(2)/25)*'Calculateur (1)'!FM115*'Calculateur (1)'!FO115*VLOOKUP('Données projet (1)'!$B$16,'Paramètres (1)'!$A$1:$I$88,3,0)*0.475*44/12</f>
        <v>#REF!</v>
      </c>
      <c r="FS115" s="142" t="str">
        <f>EXP(-LN(2)/2)*FS114+(1-EXP(-LN(2)/2))/(LN(2)/2)*FM115*FP115*VLOOKUP('Données projet (1)'!$B$16,'Paramètres (1)'!$A$1:$I$88,3,0)*0.475*44/12</f>
        <v>#REF!</v>
      </c>
      <c r="FT115" s="143" t="str">
        <f t="shared" si="85"/>
        <v>#REF!</v>
      </c>
      <c r="FU115" s="139" t="str">
        <f t="shared" si="86"/>
        <v>#REF!</v>
      </c>
      <c r="FV115" s="131">
        <f t="shared" si="87"/>
        <v>10</v>
      </c>
      <c r="FW115" s="131" t="str">
        <f t="shared" si="140"/>
        <v>#REF!</v>
      </c>
      <c r="FX115" s="131" t="str">
        <f t="shared" si="88"/>
        <v>#REF!</v>
      </c>
      <c r="FY115" s="131" t="str">
        <f t="array" ref="FY115">INDEX(FX:FX,MIN(IF(ISNUMBER(FX115:FX311),ROW(FX115:FX311),"")))</f>
        <v/>
      </c>
      <c r="FZ115" s="131" t="str">
        <f t="shared" si="141"/>
        <v>#REF!</v>
      </c>
      <c r="GA115" s="138" t="str">
        <f>FZ115*VLOOKUP('Données projet (1)'!$B$17,'Paramètres (1)'!$A$1:$I$88,3,0)*VLOOKUP('Données projet (1)'!$B$17,'Paramètres (1)'!$A$1:$I$88,5,0)</f>
        <v>#REF!</v>
      </c>
      <c r="GB115" s="130" t="str">
        <f t="shared" si="142"/>
        <v>#REF!</v>
      </c>
      <c r="GC115" s="141" t="str">
        <f t="shared" si="89"/>
        <v>#REF!</v>
      </c>
      <c r="GD115" s="133" t="str">
        <f t="shared" si="90"/>
        <v>#REF!</v>
      </c>
      <c r="GE115" s="133" t="str">
        <f t="shared" si="91"/>
        <v>#REF!</v>
      </c>
      <c r="GF115" s="133" t="str">
        <f t="shared" si="143"/>
        <v>#REF!</v>
      </c>
      <c r="GG115" s="134" t="str">
        <f t="shared" si="92"/>
        <v>#REF!</v>
      </c>
      <c r="GH115" s="134" t="str">
        <f t="shared" si="93"/>
        <v>#REF!</v>
      </c>
      <c r="GI115" s="135" t="str">
        <f>IF(ISNA(VLOOKUP(A115,'Données projet (1)'!$A$243:$I$263,5,0)),0%,VLOOKUP(A115,'Données projet (1)'!$A$243:$I$263,5,0)*VLOOKUP('Données projet (1)'!$B$17,'Paramètres (1)'!$A$1:$I$88,7,0))</f>
        <v>#REF!</v>
      </c>
      <c r="GJ115" s="135" t="str">
        <f>IF(ISNA(VLOOKUP(A115,'Données projet (1)'!$A$243:$I$263,6,0)),0%,VLOOKUP(A115,'Données projet (1)'!$A$243:$I$263,6,0)*VLOOKUP('Données projet (1)'!$B$17,'Paramètres (1)'!$A$1:$I$88,7,0))</f>
        <v>#REF!</v>
      </c>
      <c r="GK115" s="135" t="str">
        <f t="shared" si="94"/>
        <v>#REF!</v>
      </c>
      <c r="GL115" s="142" t="str">
        <f>EXP(-LN(2)/35)*GL114+(1-EXP(-LN(2)/35))/(LN(2)/35)*GH115*GI115*VLOOKUP('Données projet (1)'!$B$17,'Paramètres (1)'!$A$1:$I$88,3,0)*0.475*44/12</f>
        <v>#REF!</v>
      </c>
      <c r="GM115" s="142" t="str">
        <f>EXP(-LN(2)/25)*GM114+(1-EXP(-LN(2)/25))/(LN(2)/25)*'Calculateur (1)'!GH115*'Calculateur (1)'!GJ115*VLOOKUP('Données projet (1)'!$B$17,'Paramètres (1)'!$A$1:$I$88,3,0)*0.475*44/12</f>
        <v>#REF!</v>
      </c>
      <c r="GN115" s="142" t="str">
        <f>EXP(-LN(2)/2)*GN114+(1-EXP(-LN(2)/2))/(LN(2)/2)*GH115*GK115*VLOOKUP('Données projet (1)'!$B$17,'Paramètres (1)'!$A$1:$I$88,3,0)*0.475*44/12</f>
        <v>#REF!</v>
      </c>
      <c r="GO115" s="142" t="str">
        <f t="shared" si="95"/>
        <v>#REF!</v>
      </c>
      <c r="GP115" s="139" t="str">
        <f t="shared" si="96"/>
        <v>#REF!</v>
      </c>
      <c r="GQ115" s="131">
        <f t="shared" si="97"/>
        <v>10</v>
      </c>
      <c r="GR115" s="131" t="str">
        <f t="shared" si="144"/>
        <v>#REF!</v>
      </c>
      <c r="GS115" s="131" t="str">
        <f t="shared" si="98"/>
        <v>#REF!</v>
      </c>
      <c r="GT115" s="131" t="str">
        <f t="array" ref="GT115">INDEX(GS:GS,MIN(IF(ISNUMBER(GS115:GS311),ROW(GS115:GS311),"")))</f>
        <v/>
      </c>
      <c r="GU115" s="131" t="str">
        <f t="shared" si="145"/>
        <v>#REF!</v>
      </c>
      <c r="GV115" s="138" t="str">
        <f>GU115*VLOOKUP('Données projet (1)'!$B$18,'Paramètres (1)'!$A$1:$I$88,3,0)*VLOOKUP('Données projet (1)'!$B$18,'Paramètres (1)'!$A$1:$I$88,5,0)</f>
        <v>#REF!</v>
      </c>
      <c r="GW115" s="130" t="str">
        <f t="shared" si="146"/>
        <v>#REF!</v>
      </c>
      <c r="GX115" s="141" t="str">
        <f t="shared" si="99"/>
        <v>#REF!</v>
      </c>
      <c r="GY115" s="133" t="str">
        <f t="shared" si="100"/>
        <v>#REF!</v>
      </c>
      <c r="GZ115" s="133" t="str">
        <f t="shared" si="101"/>
        <v>#REF!</v>
      </c>
      <c r="HA115" s="133" t="str">
        <f t="shared" si="147"/>
        <v>#REF!</v>
      </c>
      <c r="HB115" s="134" t="str">
        <f t="shared" si="102"/>
        <v>#REF!</v>
      </c>
      <c r="HC115" s="134" t="str">
        <f t="shared" si="103"/>
        <v>#REF!</v>
      </c>
      <c r="HD115" s="135" t="str">
        <f>IF(ISNA(VLOOKUP(A115,'Données projet (1)'!$A$269:$I$289,5,0)),0%,VLOOKUP(A115,'Données projet (1)'!$A$269:$I$289,5,0)*VLOOKUP('Données projet (1)'!$B$18,'Paramètres (1)'!$A$1:$I$88,7,0))</f>
        <v>#REF!</v>
      </c>
      <c r="HE115" s="135" t="str">
        <f>IF(ISNA(VLOOKUP(A115,'Données projet (1)'!$A$269:$I$289,6,0)),0%,VLOOKUP(A115,'Données projet (1)'!$A$269:$I$289,6,0)*VLOOKUP('Données projet (1)'!$B$18,'Paramètres (1)'!$A$1:$I$88,7,0))</f>
        <v>#REF!</v>
      </c>
      <c r="HF115" s="135" t="str">
        <f t="shared" si="104"/>
        <v>#REF!</v>
      </c>
      <c r="HG115" s="142" t="str">
        <f>EXP(-LN(2)/35)*HG114+(1-EXP(-LN(2)/35))/(LN(2)/35)*HC115*HD115*VLOOKUP('Données projet (1)'!$B$18,'Paramètres (1)'!$A$1:$I$88,3,0)*0.475*44/12</f>
        <v>#REF!</v>
      </c>
      <c r="HH115" s="142" t="str">
        <f>EXP(-LN(2)/25)*HH114+(1-EXP(-LN(2)/25))/(LN(2)/25)*'Calculateur (1)'!HC115*'Calculateur (1)'!HE115*VLOOKUP('Données projet (1)'!$B$18,'Paramètres (1)'!$A$1:$I$88,3,0)*0.475*44/12</f>
        <v>#REF!</v>
      </c>
      <c r="HI115" s="142" t="str">
        <f>EXP(-LN(2)/2)*HI114+(1-EXP(-LN(2)/2))/(LN(2)/2)*HC115*HF115*VLOOKUP('Données projet (1)'!$B$18,'Paramètres (1)'!$A$1:$I$88,3,0)*0.475*44/12</f>
        <v>#REF!</v>
      </c>
      <c r="HJ115" s="143" t="str">
        <f t="shared" si="105"/>
        <v>#REF!</v>
      </c>
    </row>
    <row r="116" ht="14.25" customHeight="1">
      <c r="A116" s="125">
        <f t="shared" si="106"/>
        <v>113</v>
      </c>
      <c r="B116" s="126" t="str">
        <f t="shared" si="1"/>
        <v>#REF!</v>
      </c>
      <c r="C116" s="140" t="str">
        <f>'Calculateur (1)'!C115+'Scénario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6" s="127">
        <f t="shared" si="107"/>
        <v>0</v>
      </c>
      <c r="E116" s="127" t="str">
        <f t="shared" si="2"/>
        <v>#REF!</v>
      </c>
      <c r="F116" s="127" t="str">
        <f t="shared" si="3"/>
        <v>#REF!</v>
      </c>
      <c r="G116" s="127" t="str">
        <f t="shared" si="4"/>
        <v>#REF!</v>
      </c>
      <c r="H116" s="128" t="str">
        <f t="shared" si="5"/>
        <v>#REF!</v>
      </c>
      <c r="I116" s="129" t="str">
        <f t="shared" si="6"/>
        <v>#REF!</v>
      </c>
      <c r="J116" s="130">
        <f t="shared" si="7"/>
        <v>10</v>
      </c>
      <c r="K116" s="131" t="str">
        <f t="shared" si="108"/>
        <v>#REF!</v>
      </c>
      <c r="L116" s="131" t="str">
        <f t="shared" si="8"/>
        <v>#REF!</v>
      </c>
      <c r="M116" s="131" t="str">
        <f t="array" ref="M116">INDEX(L:L,MIN(IF(ISNUMBER(L116:L312),ROW(L116:L312),"")))</f>
        <v/>
      </c>
      <c r="N116" s="130" t="str">
        <f t="shared" si="109"/>
        <v>#REF!</v>
      </c>
      <c r="O116" s="130" t="str">
        <f>N116*VLOOKUP('Données projet (1)'!$B$9,'Paramètres (1)'!$A$1:$I$88,3,0)*VLOOKUP('Données projet (1)'!$B$9,'Paramètres (1)'!$A$1:$I$88,5,0)</f>
        <v>#REF!</v>
      </c>
      <c r="P116" s="130" t="str">
        <f t="shared" si="110"/>
        <v>#REF!</v>
      </c>
      <c r="Q116" s="141" t="str">
        <f t="shared" si="9"/>
        <v>#REF!</v>
      </c>
      <c r="R116" s="133" t="str">
        <f t="shared" si="10"/>
        <v>#REF!</v>
      </c>
      <c r="S116" s="133" t="str">
        <f t="shared" si="11"/>
        <v>#REF!</v>
      </c>
      <c r="T116" s="133" t="str">
        <f t="shared" si="111"/>
        <v>#REF!</v>
      </c>
      <c r="U116" s="134" t="str">
        <f t="shared" si="12"/>
        <v>#REF!</v>
      </c>
      <c r="V116" s="134" t="str">
        <f t="shared" si="13"/>
        <v>#REF!</v>
      </c>
      <c r="W116" s="135" t="str">
        <f>IF(ISNA(VLOOKUP(A116,'Données projet (1)'!$A$35:$I$55,5,0)),0%,VLOOKUP(A116,'Données projet (1)'!$A$35:$I$55,5,0)*VLOOKUP('Données projet (1)'!$B$9,'Paramètres (1)'!$A$1:$I$88,7,0))</f>
        <v>#REF!</v>
      </c>
      <c r="X116" s="135" t="str">
        <f>IF(ISNA(VLOOKUP(A116,'Données projet (1)'!$A$35:$I$55,6,0)),0%,VLOOKUP(A116,'Données projet (1)'!$A$35:$I$55,6,0)*VLOOKUP('Données projet (1)'!$B$9,'Paramètres (1)'!$A$1:$I$88,7,0))</f>
        <v>#REF!</v>
      </c>
      <c r="Y116" s="135" t="str">
        <f t="shared" si="14"/>
        <v>#REF!</v>
      </c>
      <c r="Z116" s="142" t="str">
        <f>EXP(-LN(2)/35)*Z115+(1-EXP(-LN(2)/35))/(LN(2)/35)*V116*W116*VLOOKUP('Données projet (1)'!$B$9,'Paramètres (1)'!$A$1:$I$88,3,0)*0.475*44/12</f>
        <v>#REF!</v>
      </c>
      <c r="AA116" s="142" t="str">
        <f>EXP(-LN(2)/25)*AA115+(1-EXP(-LN(2)/25))/(LN(2)/25)*'Calculateur (1)'!V116*'Calculateur (1)'!X116*VLOOKUP('Données projet (1)'!$B$9,'Paramètres (1)'!$A$1:$I$88,3,0)*0.475*44/12</f>
        <v>#REF!</v>
      </c>
      <c r="AB116" s="142" t="str">
        <f>EXP(-LN(2)/2)*AB115+(1-EXP(-LN(2)/2))/(LN(2)/2)*V116*Y116*VLOOKUP('Données projet (1)'!$B$9,'Paramètres (1)'!$A$1:$I$88,3,0)*0.475*44/12</f>
        <v>#REF!</v>
      </c>
      <c r="AC116" s="143" t="str">
        <f t="shared" si="15"/>
        <v>#REF!</v>
      </c>
      <c r="AD116" s="130" t="str">
        <f t="shared" si="16"/>
        <v>#REF!</v>
      </c>
      <c r="AE116" s="130">
        <f t="shared" si="17"/>
        <v>10</v>
      </c>
      <c r="AF116" s="131" t="str">
        <f t="shared" si="112"/>
        <v>#REF!</v>
      </c>
      <c r="AG116" s="131" t="str">
        <f t="shared" si="18"/>
        <v>#REF!</v>
      </c>
      <c r="AH116" s="131" t="str">
        <f t="array" ref="AH116">INDEX(AG:AG,MIN(IF(ISNUMBER(AG116:AG312),ROW(AG116:AG312),"")))</f>
        <v/>
      </c>
      <c r="AI116" s="130" t="str">
        <f t="shared" si="113"/>
        <v>#REF!</v>
      </c>
      <c r="AJ116" s="130" t="str">
        <f>AI116*VLOOKUP('Données projet (1)'!$B$10,'Paramètres (1)'!$A$1:$I$88,3,0)*VLOOKUP('Données projet (1)'!$B$10,'Paramètres (1)'!$A$1:$I$88,5,0)</f>
        <v>#REF!</v>
      </c>
      <c r="AK116" s="130" t="str">
        <f t="shared" si="114"/>
        <v>#REF!</v>
      </c>
      <c r="AL116" s="141" t="str">
        <f t="shared" si="19"/>
        <v>#REF!</v>
      </c>
      <c r="AM116" s="133" t="str">
        <f t="shared" si="20"/>
        <v>#REF!</v>
      </c>
      <c r="AN116" s="133" t="str">
        <f t="shared" si="21"/>
        <v>#REF!</v>
      </c>
      <c r="AO116" s="133" t="str">
        <f t="shared" si="115"/>
        <v>#REF!</v>
      </c>
      <c r="AP116" s="134" t="str">
        <f t="shared" si="22"/>
        <v>#REF!</v>
      </c>
      <c r="AQ116" s="134" t="str">
        <f t="shared" si="23"/>
        <v>#REF!</v>
      </c>
      <c r="AR116" s="135" t="str">
        <f>IF(ISNA(VLOOKUP(A116,'Données projet (1)'!$A$61:$I$81,5,0)),0%,VLOOKUP(A116,'Données projet (1)'!$A$61:$I$81,5,0)*VLOOKUP('Données projet (1)'!$B$10,'Paramètres (1)'!$A$1:$I$88,7,0))</f>
        <v>#REF!</v>
      </c>
      <c r="AS116" s="135" t="str">
        <f>IF(ISNA(VLOOKUP(A116,'Données projet (1)'!$A$61:$I$81,6,0)),0%,VLOOKUP(A116,'Données projet (1)'!$A$61:$I$81,6,0)*VLOOKUP('Données projet (1)'!$B$10,'Paramètres (1)'!$A$1:$I$88,7,0))</f>
        <v>#REF!</v>
      </c>
      <c r="AT116" s="135" t="str">
        <f t="shared" si="24"/>
        <v>#REF!</v>
      </c>
      <c r="AU116" s="142" t="str">
        <f>EXP(-LN(2)/35)*AU115+(1-EXP(-LN(2)/35))/(LN(2)/35)*AQ116*AR116*VLOOKUP('Données projet (1)'!$B$10,'Paramètres (1)'!$A$1:$I$88,3,0)*0.475*44/12</f>
        <v>#REF!</v>
      </c>
      <c r="AV116" s="142" t="str">
        <f>EXP(-LN(2)/25)*AV115+(1-EXP(-LN(2)/25))/(LN(2)/25)*'Calculateur (1)'!AQ116*'Calculateur (1)'!AS116*VLOOKUP('Données projet (1)'!$B$10,'Paramètres (1)'!$A$1:$I$88,3,0)*0.475*44/12</f>
        <v>#REF!</v>
      </c>
      <c r="AW116" s="142" t="str">
        <f>EXP(-LN(2)/2)*AW115+(1-EXP(-LN(2)/2))/(LN(2)/2)*AQ116*AT116*VLOOKUP('Données projet (1)'!$B$10,'Paramètres (1)'!$A$1:$I$88,3,0)*0.475*44/12</f>
        <v>#REF!</v>
      </c>
      <c r="AX116" s="142" t="str">
        <f t="shared" si="25"/>
        <v>#REF!</v>
      </c>
      <c r="AY116" s="137" t="str">
        <f t="shared" si="26"/>
        <v>#REF!</v>
      </c>
      <c r="AZ116" s="131">
        <f t="shared" si="27"/>
        <v>10</v>
      </c>
      <c r="BA116" s="131" t="str">
        <f t="shared" si="116"/>
        <v>#REF!</v>
      </c>
      <c r="BB116" s="131" t="str">
        <f t="shared" si="28"/>
        <v>#REF!</v>
      </c>
      <c r="BC116" s="131" t="str">
        <f t="array" ref="BC116">INDEX(BB:BB,MIN(IF(ISNUMBER(BB116:BB312),ROW(BB116:BB312),"")))</f>
        <v/>
      </c>
      <c r="BD116" s="131" t="str">
        <f t="shared" si="117"/>
        <v>#REF!</v>
      </c>
      <c r="BE116" s="130" t="str">
        <f>BD116*VLOOKUP('Données projet (1)'!$B$11,'Paramètres (1)'!$A$1:$I$88,3,0)*VLOOKUP('Données projet (1)'!$B$11,'Paramètres (1)'!$A$1:$I$88,5,0)</f>
        <v>#REF!</v>
      </c>
      <c r="BF116" s="130" t="str">
        <f t="shared" si="118"/>
        <v>#REF!</v>
      </c>
      <c r="BG116" s="141" t="str">
        <f t="shared" si="29"/>
        <v>#REF!</v>
      </c>
      <c r="BH116" s="133" t="str">
        <f t="shared" si="30"/>
        <v>#REF!</v>
      </c>
      <c r="BI116" s="133" t="str">
        <f t="shared" si="31"/>
        <v>#REF!</v>
      </c>
      <c r="BJ116" s="133" t="str">
        <f t="shared" si="119"/>
        <v>#REF!</v>
      </c>
      <c r="BK116" s="134" t="str">
        <f t="shared" si="32"/>
        <v>#REF!</v>
      </c>
      <c r="BL116" s="134" t="str">
        <f t="shared" si="33"/>
        <v>#REF!</v>
      </c>
      <c r="BM116" s="135" t="str">
        <f>IF(ISNA(VLOOKUP(A116,'Données projet (1)'!$A$87:$I$107,5,0)),0%,VLOOKUP(A116,'Données projet (1)'!$A$87:$I$107,5,0)*VLOOKUP('Données projet (1)'!$B$11,'Paramètres (1)'!$A$1:$I$88,7,0))</f>
        <v>#REF!</v>
      </c>
      <c r="BN116" s="135" t="str">
        <f>IF(ISNA(VLOOKUP(A116,'Données projet (1)'!$A$87:$I$107,6,0)),0%,VLOOKUP(A116,'Données projet (1)'!$A$87:$I$107,6,0)*VLOOKUP('Données projet (1)'!$B$11,'Paramètres (1)'!$A$1:$I$88,7,0))</f>
        <v>#REF!</v>
      </c>
      <c r="BO116" s="135" t="str">
        <f t="shared" si="34"/>
        <v>#REF!</v>
      </c>
      <c r="BP116" s="142" t="str">
        <f>EXP(-LN(2)/35)*BP115+(1-EXP(-LN(2)/35))/(LN(2)/35)*BL116*BM116*VLOOKUP('Données projet (1)'!$B$11,'Paramètres (1)'!$A$1:$I$88,3,0)*0.475*44/12</f>
        <v>#REF!</v>
      </c>
      <c r="BQ116" s="142" t="str">
        <f>EXP(-LN(2)/25)*BQ115+(1-EXP(-LN(2)/25))/(LN(2)/25)*'Calculateur (1)'!BL116*'Calculateur (1)'!BN116*VLOOKUP('Données projet (1)'!$B$11,'Paramètres (1)'!$A$1:$I$88,3,0)*0.475*44/12</f>
        <v>#REF!</v>
      </c>
      <c r="BR116" s="142" t="str">
        <f>EXP(-LN(2)/2)*BR115+(1-EXP(-LN(2)/2))/(LN(2)/2)*BL116*BO116*VLOOKUP('Données projet (1)'!$B$11,'Paramètres (1)'!$A$1:$I$88,3,0)*0.475*44/12</f>
        <v>#REF!</v>
      </c>
      <c r="BS116" s="143" t="str">
        <f t="shared" si="35"/>
        <v>#REF!</v>
      </c>
      <c r="BT116" s="139" t="str">
        <f t="shared" si="36"/>
        <v>#REF!</v>
      </c>
      <c r="BU116" s="131">
        <f t="shared" si="37"/>
        <v>10</v>
      </c>
      <c r="BV116" s="131" t="str">
        <f t="shared" si="120"/>
        <v>#REF!</v>
      </c>
      <c r="BW116" s="131" t="str">
        <f t="shared" si="38"/>
        <v>#REF!</v>
      </c>
      <c r="BX116" s="131" t="str">
        <f t="array" ref="BX116">INDEX(BW:BW,MIN(IF(ISNUMBER(BW116:BW312),ROW(BW116:BW312),"")))</f>
        <v/>
      </c>
      <c r="BY116" s="131" t="str">
        <f t="shared" si="121"/>
        <v>#REF!</v>
      </c>
      <c r="BZ116" s="130" t="str">
        <f>BY116*VLOOKUP('Données projet (1)'!$B$12,'Paramètres (1)'!$A$1:$I$88,3,0)*VLOOKUP('Données projet (1)'!$B$12,'Paramètres (1)'!$A$1:$I$88,5,0)</f>
        <v>#REF!</v>
      </c>
      <c r="CA116" s="130" t="str">
        <f t="shared" si="122"/>
        <v>#REF!</v>
      </c>
      <c r="CB116" s="141" t="str">
        <f t="shared" si="39"/>
        <v>#REF!</v>
      </c>
      <c r="CC116" s="133" t="str">
        <f t="shared" si="40"/>
        <v>#REF!</v>
      </c>
      <c r="CD116" s="133" t="str">
        <f t="shared" si="41"/>
        <v>#REF!</v>
      </c>
      <c r="CE116" s="133" t="str">
        <f t="shared" si="123"/>
        <v>#REF!</v>
      </c>
      <c r="CF116" s="134" t="str">
        <f t="shared" si="42"/>
        <v>#REF!</v>
      </c>
      <c r="CG116" s="134" t="str">
        <f t="shared" si="43"/>
        <v>#REF!</v>
      </c>
      <c r="CH116" s="135" t="str">
        <f>IF(ISNA(VLOOKUP(A116,'Données projet (1)'!$A$113:$I$133,5,0)),0%,VLOOKUP(A116,'Données projet (1)'!$A$113:$I$133,5,0)*VLOOKUP('Données projet (1)'!$B$12,'Paramètres (1)'!$A$1:$I$88,7,0))</f>
        <v>#REF!</v>
      </c>
      <c r="CI116" s="135" t="str">
        <f>IF(ISNA(VLOOKUP(A116,'Données projet (1)'!$A$113:$I$133,6,0)),0%,VLOOKUP(A116,'Données projet (1)'!$A$113:$I$133,6,0)*VLOOKUP('Données projet (1)'!$B$12,'Paramètres (1)'!$A$1:$I$88,7,0))</f>
        <v>#REF!</v>
      </c>
      <c r="CJ116" s="135" t="str">
        <f t="shared" si="44"/>
        <v>#REF!</v>
      </c>
      <c r="CK116" s="142" t="str">
        <f>EXP(-LN(2)/35)*CK115+(1-EXP(-LN(2)/35))/(LN(2)/35)*CG116*CH116*VLOOKUP('Données projet (1)'!$B$12,'Paramètres (1)'!$A$1:$I$88,3,0)*0.475*44/12</f>
        <v>#REF!</v>
      </c>
      <c r="CL116" s="142" t="str">
        <f>EXP(-LN(2)/25)*CL115+(1-EXP(-LN(2)/25))/(LN(2)/25)*'Calculateur (1)'!CG116*'Calculateur (1)'!CI116*VLOOKUP('Données projet (1)'!$B$12,'Paramètres (1)'!$A$1:$I$88,3,0)*0.475*44/12</f>
        <v>#REF!</v>
      </c>
      <c r="CM116" s="142" t="str">
        <f>EXP(-LN(2)/2)*CM115+(1-EXP(-LN(2)/2))/(LN(2)/2)*CG116*CJ116*VLOOKUP('Données projet (1)'!$B$12,'Paramètres (1)'!$A$1:$I$88,3,0)*0.475*44/12</f>
        <v>#REF!</v>
      </c>
      <c r="CN116" s="143" t="str">
        <f t="shared" si="45"/>
        <v>#REF!</v>
      </c>
      <c r="CO116" s="139" t="str">
        <f t="shared" si="46"/>
        <v>#REF!</v>
      </c>
      <c r="CP116" s="131">
        <f t="shared" si="47"/>
        <v>10</v>
      </c>
      <c r="CQ116" s="131" t="str">
        <f t="shared" si="124"/>
        <v>#REF!</v>
      </c>
      <c r="CR116" s="131" t="str">
        <f t="shared" si="48"/>
        <v>#REF!</v>
      </c>
      <c r="CS116" s="131" t="str">
        <f t="array" ref="CS116">INDEX(CR:CR,MIN(IF(ISNUMBER(CR116:CR312),ROW(CR116:CR312),"")))</f>
        <v/>
      </c>
      <c r="CT116" s="131" t="str">
        <f t="shared" si="125"/>
        <v>#REF!</v>
      </c>
      <c r="CU116" s="138" t="str">
        <f>CT116*VLOOKUP('Données projet (1)'!$B$13,'Paramètres (1)'!$A$1:$I$88,3,0)*VLOOKUP('Données projet (1)'!$B$13,'Paramètres (1)'!$A$1:$I$88,5,0)</f>
        <v>#REF!</v>
      </c>
      <c r="CV116" s="130" t="str">
        <f t="shared" si="126"/>
        <v>#REF!</v>
      </c>
      <c r="CW116" s="141" t="str">
        <f t="shared" si="49"/>
        <v>#REF!</v>
      </c>
      <c r="CX116" s="133" t="str">
        <f t="shared" si="50"/>
        <v>#REF!</v>
      </c>
      <c r="CY116" s="133" t="str">
        <f t="shared" si="51"/>
        <v>#REF!</v>
      </c>
      <c r="CZ116" s="133" t="str">
        <f t="shared" si="127"/>
        <v>#REF!</v>
      </c>
      <c r="DA116" s="134" t="str">
        <f t="shared" si="52"/>
        <v>#REF!</v>
      </c>
      <c r="DB116" s="134" t="str">
        <f t="shared" si="53"/>
        <v>#REF!</v>
      </c>
      <c r="DC116" s="135" t="str">
        <f>IF(ISNA(VLOOKUP(A116,'Données projet (1)'!$A$139:$I$159,5,0)),0%,VLOOKUP(A116,'Données projet (1)'!$A$139:$I$159,5,0)*VLOOKUP('Données projet (1)'!$B$13,'Paramètres (1)'!$A$1:$I$88,7,0))</f>
        <v>#REF!</v>
      </c>
      <c r="DD116" s="135" t="str">
        <f>IF(ISNA(VLOOKUP(A116,'Données projet (1)'!$A$139:$I$159,6,0)),0%,VLOOKUP(A116,'Données projet (1)'!$A$139:$I$159,6,0)*VLOOKUP('Données projet (1)'!$B$13,'Paramètres (1)'!$A$1:$I$88,7,0))</f>
        <v>#REF!</v>
      </c>
      <c r="DE116" s="135" t="str">
        <f t="shared" si="54"/>
        <v>#REF!</v>
      </c>
      <c r="DF116" s="142" t="str">
        <f>EXP(-LN(2)/35)*DF115+(1-EXP(-LN(2)/35))/(LN(2)/35)*DB116*DC116*VLOOKUP('Données projet (1)'!$B$13,'Paramètres (1)'!$A$1:$I$88,3,0)*0.475*44/12</f>
        <v>#REF!</v>
      </c>
      <c r="DG116" s="142" t="str">
        <f>EXP(-LN(2)/25)*DG115+(1-EXP(-LN(2)/25))/(LN(2)/25)*'Calculateur (1)'!DB116*'Calculateur (1)'!DD116*VLOOKUP('Données projet (1)'!$B$13,'Paramètres (1)'!$A$1:$I$88,3,0)*0.475*44/12</f>
        <v>#REF!</v>
      </c>
      <c r="DH116" s="142" t="str">
        <f>EXP(-LN(2)/2)*DH115+(1-EXP(-LN(2)/2))/(LN(2)/2)*DB116*DE116*VLOOKUP('Données projet (1)'!$B$13,'Paramètres (1)'!$A$1:$I$88,3,0)*0.475*44/12</f>
        <v>#REF!</v>
      </c>
      <c r="DI116" s="143" t="str">
        <f t="shared" si="55"/>
        <v>#REF!</v>
      </c>
      <c r="DJ116" s="139" t="str">
        <f t="shared" si="56"/>
        <v>#REF!</v>
      </c>
      <c r="DK116" s="131">
        <f t="shared" si="57"/>
        <v>10</v>
      </c>
      <c r="DL116" s="131" t="str">
        <f t="shared" si="128"/>
        <v>#REF!</v>
      </c>
      <c r="DM116" s="131" t="str">
        <f t="shared" si="58"/>
        <v>#REF!</v>
      </c>
      <c r="DN116" s="131" t="str">
        <f t="array" ref="DN116">INDEX(DM:DM,MIN(IF(ISNUMBER(DM116:DM312),ROW(DM116:DM312),"")))</f>
        <v/>
      </c>
      <c r="DO116" s="131" t="str">
        <f t="shared" si="129"/>
        <v>#REF!</v>
      </c>
      <c r="DP116" s="138" t="str">
        <f>DO116*VLOOKUP('Données projet (1)'!$B$14,'Paramètres (1)'!$A$1:$I$88,3,0)*VLOOKUP('Données projet (1)'!$B$14,'Paramètres (1)'!$A$1:$I$88,5,0)</f>
        <v>#REF!</v>
      </c>
      <c r="DQ116" s="130" t="str">
        <f t="shared" si="130"/>
        <v>#REF!</v>
      </c>
      <c r="DR116" s="141" t="str">
        <f t="shared" si="59"/>
        <v>#REF!</v>
      </c>
      <c r="DS116" s="133" t="str">
        <f t="shared" si="60"/>
        <v>#REF!</v>
      </c>
      <c r="DT116" s="133" t="str">
        <f t="shared" si="61"/>
        <v>#REF!</v>
      </c>
      <c r="DU116" s="133" t="str">
        <f t="shared" si="131"/>
        <v>#REF!</v>
      </c>
      <c r="DV116" s="134" t="str">
        <f t="shared" si="62"/>
        <v>#REF!</v>
      </c>
      <c r="DW116" s="134" t="str">
        <f t="shared" si="63"/>
        <v>#REF!</v>
      </c>
      <c r="DX116" s="135" t="str">
        <f>IF(ISNA(VLOOKUP(A116,'Données projet (1)'!$A$165:$I$185,5,0)),0%,VLOOKUP(A116,'Données projet (1)'!$A$165:$I$185,5,0)*VLOOKUP('Données projet (1)'!$B$14,'Paramètres (1)'!$A$1:$I$88,7,0))</f>
        <v>#REF!</v>
      </c>
      <c r="DY116" s="135" t="str">
        <f>IF(ISNA(VLOOKUP(A116,'Données projet (1)'!$A$165:$I$185,6,0)),0%,VLOOKUP(A116,'Données projet (1)'!$A$165:$I$185,6,0)*VLOOKUP('Données projet (1)'!$B$14,'Paramètres (1)'!$A$1:$I$88,7,0))</f>
        <v>#REF!</v>
      </c>
      <c r="DZ116" s="135" t="str">
        <f t="shared" si="64"/>
        <v>#REF!</v>
      </c>
      <c r="EA116" s="142" t="str">
        <f>EXP(-LN(2)/35)*EA115+(1-EXP(-LN(2)/35))/(LN(2)/35)*DW116*DX116*VLOOKUP('Données projet (1)'!$B$14,'Paramètres (1)'!$A$1:$I$88,3,0)*0.475*44/12</f>
        <v>#REF!</v>
      </c>
      <c r="EB116" s="142" t="str">
        <f>EXP(-LN(2)/25)*EB115+(1-EXP(-LN(2)/25))/(LN(2)/25)*'Calculateur (1)'!DW116*'Calculateur (1)'!DY116*VLOOKUP('Données projet (1)'!$B$14,'Paramètres (1)'!$A$1:$I$88,3,0)*0.475*44/12</f>
        <v>#REF!</v>
      </c>
      <c r="EC116" s="142" t="str">
        <f>EXP(-LN(2)/2)*EC115+(1-EXP(-LN(2)/2))/(LN(2)/2)*DW116*DZ116*VLOOKUP('Données projet (1)'!$B$14,'Paramètres (1)'!$A$1:$I$88,3,0)*0.475*44/12</f>
        <v>#REF!</v>
      </c>
      <c r="ED116" s="143" t="str">
        <f t="shared" si="65"/>
        <v>#REF!</v>
      </c>
      <c r="EE116" s="139" t="str">
        <f t="shared" si="66"/>
        <v>#REF!</v>
      </c>
      <c r="EF116" s="131">
        <f t="shared" si="67"/>
        <v>10</v>
      </c>
      <c r="EG116" s="131" t="str">
        <f t="shared" si="132"/>
        <v>#REF!</v>
      </c>
      <c r="EH116" s="131" t="str">
        <f t="shared" si="68"/>
        <v>#REF!</v>
      </c>
      <c r="EI116" s="131" t="str">
        <f t="array" ref="EI116">INDEX(EH:EH,MIN(IF(ISNUMBER(EH116:EH312),ROW(EH116:EH312),"")))</f>
        <v/>
      </c>
      <c r="EJ116" s="131" t="str">
        <f t="shared" si="133"/>
        <v>#REF!</v>
      </c>
      <c r="EK116" s="138" t="str">
        <f>EJ116*VLOOKUP('Données projet (1)'!$B$15,'Paramètres (1)'!$A$1:$I$88,3,0)*VLOOKUP('Données projet (1)'!$B$15,'Paramètres (1)'!$A$1:$I$88,5,0)</f>
        <v>#REF!</v>
      </c>
      <c r="EL116" s="130" t="str">
        <f t="shared" si="134"/>
        <v>#REF!</v>
      </c>
      <c r="EM116" s="141" t="str">
        <f t="shared" si="69"/>
        <v>#REF!</v>
      </c>
      <c r="EN116" s="133" t="str">
        <f t="shared" si="70"/>
        <v>#REF!</v>
      </c>
      <c r="EO116" s="133" t="str">
        <f t="shared" si="71"/>
        <v>#REF!</v>
      </c>
      <c r="EP116" s="133" t="str">
        <f t="shared" si="135"/>
        <v>#REF!</v>
      </c>
      <c r="EQ116" s="134" t="str">
        <f t="shared" si="72"/>
        <v>#REF!</v>
      </c>
      <c r="ER116" s="134" t="str">
        <f t="shared" si="73"/>
        <v>#REF!</v>
      </c>
      <c r="ES116" s="135" t="str">
        <f>IF(ISNA(VLOOKUP(A116,'Données projet (1)'!$A$191:$I$211,5,0)),0%,VLOOKUP(A116,'Données projet (1)'!$A$191:$I$211,5,0)*VLOOKUP('Données projet (1)'!$B$15,'Paramètres (1)'!$A$1:$I$88,7,0))</f>
        <v>#REF!</v>
      </c>
      <c r="ET116" s="135" t="str">
        <f>IF(ISNA(VLOOKUP(A116,'Données projet (1)'!$A$191:$I$211,6,0)),0%,VLOOKUP(A116,'Données projet (1)'!$A$191:$I$211,6,0)*VLOOKUP('Données projet (1)'!$B$15,'Paramètres (1)'!$A$1:$I$88,7,0))</f>
        <v>#REF!</v>
      </c>
      <c r="EU116" s="135" t="str">
        <f t="shared" si="74"/>
        <v>#REF!</v>
      </c>
      <c r="EV116" s="142" t="str">
        <f>EXP(-LN(2)/35)*EV115+(1-EXP(-LN(2)/35))/(LN(2)/35)*ER116*ES116*VLOOKUP('Données projet (1)'!$B$15,'Paramètres (1)'!$A$1:$I$88,3,0)*0.475*44/12</f>
        <v>#REF!</v>
      </c>
      <c r="EW116" s="142" t="str">
        <f>EXP(-LN(2)/25)*EW115+(1-EXP(-LN(2)/25))/(LN(2)/25)*'Calculateur (1)'!ER116*'Calculateur (1)'!ET116*VLOOKUP('Données projet (1)'!$B$15,'Paramètres (1)'!$A$1:$I$88,3,0)*0.475*44/12</f>
        <v>#REF!</v>
      </c>
      <c r="EX116" s="142" t="str">
        <f>EXP(-LN(2)/2)*EX115+(1-EXP(-LN(2)/2))/(LN(2)/2)*ER116*EU116*VLOOKUP('Données projet (1)'!$B$15,'Paramètres (1)'!$A$1:$I$88,3,0)*0.475*44/12</f>
        <v>#REF!</v>
      </c>
      <c r="EY116" s="143" t="str">
        <f t="shared" si="75"/>
        <v>#REF!</v>
      </c>
      <c r="EZ116" s="139" t="str">
        <f t="shared" si="76"/>
        <v>#REF!</v>
      </c>
      <c r="FA116" s="131">
        <f t="shared" si="77"/>
        <v>10</v>
      </c>
      <c r="FB116" s="131" t="str">
        <f t="shared" si="136"/>
        <v>#REF!</v>
      </c>
      <c r="FC116" s="131" t="str">
        <f t="shared" si="78"/>
        <v>#REF!</v>
      </c>
      <c r="FD116" s="131" t="str">
        <f t="array" ref="FD116">INDEX(FC:FC,MIN(IF(ISNUMBER(FC116:FC312),ROW(FC116:FC312),"")))</f>
        <v/>
      </c>
      <c r="FE116" s="131" t="str">
        <f t="shared" si="137"/>
        <v>#REF!</v>
      </c>
      <c r="FF116" s="138" t="str">
        <f>FE116*VLOOKUP('Données projet (1)'!$B$16,'Paramètres (1)'!$A$1:$I$88,3,0)*VLOOKUP('Données projet (1)'!$B$16,'Paramètres (1)'!$A$1:$I$88,5,0)</f>
        <v>#REF!</v>
      </c>
      <c r="FG116" s="130" t="str">
        <f t="shared" si="138"/>
        <v>#REF!</v>
      </c>
      <c r="FH116" s="141" t="str">
        <f t="shared" si="79"/>
        <v>#REF!</v>
      </c>
      <c r="FI116" s="133" t="str">
        <f t="shared" si="80"/>
        <v>#REF!</v>
      </c>
      <c r="FJ116" s="133" t="str">
        <f t="shared" si="81"/>
        <v>#REF!</v>
      </c>
      <c r="FK116" s="133" t="str">
        <f t="shared" si="139"/>
        <v>#REF!</v>
      </c>
      <c r="FL116" s="134" t="str">
        <f t="shared" si="82"/>
        <v>#REF!</v>
      </c>
      <c r="FM116" s="134" t="str">
        <f t="shared" si="83"/>
        <v>#REF!</v>
      </c>
      <c r="FN116" s="135" t="str">
        <f>IF(ISNA(VLOOKUP(A116,'Données projet (1)'!$A$217:$I$237,5,0)),0%,VLOOKUP(A116,'Données projet (1)'!$A$217:$I$237,5,0)*VLOOKUP('Données projet (1)'!$B$16,'Paramètres (1)'!$A$1:$I$88,7,0))</f>
        <v>#REF!</v>
      </c>
      <c r="FO116" s="135" t="str">
        <f>IF(ISNA(VLOOKUP(A116,'Données projet (1)'!$A$217:$I$237,6,0)),0%,VLOOKUP(A116,'Données projet (1)'!$A$217:$I$237,6,0)*VLOOKUP('Données projet (1)'!$B$16,'Paramètres (1)'!$A$1:$I$88,7,0))</f>
        <v>#REF!</v>
      </c>
      <c r="FP116" s="135" t="str">
        <f t="shared" si="84"/>
        <v>#REF!</v>
      </c>
      <c r="FQ116" s="142" t="str">
        <f>EXP(-LN(2)/35)*FQ115+(1-EXP(-LN(2)/35))/(LN(2)/35)*FM116*FN116*VLOOKUP('Données projet (1)'!$B$16,'Paramètres (1)'!$A$1:$I$88,3,0)*0.475*44/12</f>
        <v>#REF!</v>
      </c>
      <c r="FR116" s="142" t="str">
        <f>EXP(-LN(2)/25)*FR115+(1-EXP(-LN(2)/25))/(LN(2)/25)*'Calculateur (1)'!FM116*'Calculateur (1)'!FO116*VLOOKUP('Données projet (1)'!$B$16,'Paramètres (1)'!$A$1:$I$88,3,0)*0.475*44/12</f>
        <v>#REF!</v>
      </c>
      <c r="FS116" s="142" t="str">
        <f>EXP(-LN(2)/2)*FS115+(1-EXP(-LN(2)/2))/(LN(2)/2)*FM116*FP116*VLOOKUP('Données projet (1)'!$B$16,'Paramètres (1)'!$A$1:$I$88,3,0)*0.475*44/12</f>
        <v>#REF!</v>
      </c>
      <c r="FT116" s="143" t="str">
        <f t="shared" si="85"/>
        <v>#REF!</v>
      </c>
      <c r="FU116" s="139" t="str">
        <f t="shared" si="86"/>
        <v>#REF!</v>
      </c>
      <c r="FV116" s="131">
        <f t="shared" si="87"/>
        <v>10</v>
      </c>
      <c r="FW116" s="131" t="str">
        <f t="shared" si="140"/>
        <v>#REF!</v>
      </c>
      <c r="FX116" s="131" t="str">
        <f t="shared" si="88"/>
        <v>#REF!</v>
      </c>
      <c r="FY116" s="131" t="str">
        <f t="array" ref="FY116">INDEX(FX:FX,MIN(IF(ISNUMBER(FX116:FX312),ROW(FX116:FX312),"")))</f>
        <v/>
      </c>
      <c r="FZ116" s="131" t="str">
        <f t="shared" si="141"/>
        <v>#REF!</v>
      </c>
      <c r="GA116" s="138" t="str">
        <f>FZ116*VLOOKUP('Données projet (1)'!$B$17,'Paramètres (1)'!$A$1:$I$88,3,0)*VLOOKUP('Données projet (1)'!$B$17,'Paramètres (1)'!$A$1:$I$88,5,0)</f>
        <v>#REF!</v>
      </c>
      <c r="GB116" s="130" t="str">
        <f t="shared" si="142"/>
        <v>#REF!</v>
      </c>
      <c r="GC116" s="141" t="str">
        <f t="shared" si="89"/>
        <v>#REF!</v>
      </c>
      <c r="GD116" s="133" t="str">
        <f t="shared" si="90"/>
        <v>#REF!</v>
      </c>
      <c r="GE116" s="133" t="str">
        <f t="shared" si="91"/>
        <v>#REF!</v>
      </c>
      <c r="GF116" s="133" t="str">
        <f t="shared" si="143"/>
        <v>#REF!</v>
      </c>
      <c r="GG116" s="134" t="str">
        <f t="shared" si="92"/>
        <v>#REF!</v>
      </c>
      <c r="GH116" s="134" t="str">
        <f t="shared" si="93"/>
        <v>#REF!</v>
      </c>
      <c r="GI116" s="135" t="str">
        <f>IF(ISNA(VLOOKUP(A116,'Données projet (1)'!$A$243:$I$263,5,0)),0%,VLOOKUP(A116,'Données projet (1)'!$A$243:$I$263,5,0)*VLOOKUP('Données projet (1)'!$B$17,'Paramètres (1)'!$A$1:$I$88,7,0))</f>
        <v>#REF!</v>
      </c>
      <c r="GJ116" s="135" t="str">
        <f>IF(ISNA(VLOOKUP(A116,'Données projet (1)'!$A$243:$I$263,6,0)),0%,VLOOKUP(A116,'Données projet (1)'!$A$243:$I$263,6,0)*VLOOKUP('Données projet (1)'!$B$17,'Paramètres (1)'!$A$1:$I$88,7,0))</f>
        <v>#REF!</v>
      </c>
      <c r="GK116" s="135" t="str">
        <f t="shared" si="94"/>
        <v>#REF!</v>
      </c>
      <c r="GL116" s="142" t="str">
        <f>EXP(-LN(2)/35)*GL115+(1-EXP(-LN(2)/35))/(LN(2)/35)*GH116*GI116*VLOOKUP('Données projet (1)'!$B$17,'Paramètres (1)'!$A$1:$I$88,3,0)*0.475*44/12</f>
        <v>#REF!</v>
      </c>
      <c r="GM116" s="142" t="str">
        <f>EXP(-LN(2)/25)*GM115+(1-EXP(-LN(2)/25))/(LN(2)/25)*'Calculateur (1)'!GH116*'Calculateur (1)'!GJ116*VLOOKUP('Données projet (1)'!$B$17,'Paramètres (1)'!$A$1:$I$88,3,0)*0.475*44/12</f>
        <v>#REF!</v>
      </c>
      <c r="GN116" s="142" t="str">
        <f>EXP(-LN(2)/2)*GN115+(1-EXP(-LN(2)/2))/(LN(2)/2)*GH116*GK116*VLOOKUP('Données projet (1)'!$B$17,'Paramètres (1)'!$A$1:$I$88,3,0)*0.475*44/12</f>
        <v>#REF!</v>
      </c>
      <c r="GO116" s="142" t="str">
        <f t="shared" si="95"/>
        <v>#REF!</v>
      </c>
      <c r="GP116" s="139" t="str">
        <f t="shared" si="96"/>
        <v>#REF!</v>
      </c>
      <c r="GQ116" s="131">
        <f t="shared" si="97"/>
        <v>10</v>
      </c>
      <c r="GR116" s="131" t="str">
        <f t="shared" si="144"/>
        <v>#REF!</v>
      </c>
      <c r="GS116" s="131" t="str">
        <f t="shared" si="98"/>
        <v>#REF!</v>
      </c>
      <c r="GT116" s="131" t="str">
        <f t="array" ref="GT116">INDEX(GS:GS,MIN(IF(ISNUMBER(GS116:GS312),ROW(GS116:GS312),"")))</f>
        <v/>
      </c>
      <c r="GU116" s="131" t="str">
        <f t="shared" si="145"/>
        <v>#REF!</v>
      </c>
      <c r="GV116" s="138" t="str">
        <f>GU116*VLOOKUP('Données projet (1)'!$B$18,'Paramètres (1)'!$A$1:$I$88,3,0)*VLOOKUP('Données projet (1)'!$B$18,'Paramètres (1)'!$A$1:$I$88,5,0)</f>
        <v>#REF!</v>
      </c>
      <c r="GW116" s="130" t="str">
        <f t="shared" si="146"/>
        <v>#REF!</v>
      </c>
      <c r="GX116" s="141" t="str">
        <f t="shared" si="99"/>
        <v>#REF!</v>
      </c>
      <c r="GY116" s="133" t="str">
        <f t="shared" si="100"/>
        <v>#REF!</v>
      </c>
      <c r="GZ116" s="133" t="str">
        <f t="shared" si="101"/>
        <v>#REF!</v>
      </c>
      <c r="HA116" s="133" t="str">
        <f t="shared" si="147"/>
        <v>#REF!</v>
      </c>
      <c r="HB116" s="134" t="str">
        <f t="shared" si="102"/>
        <v>#REF!</v>
      </c>
      <c r="HC116" s="134" t="str">
        <f t="shared" si="103"/>
        <v>#REF!</v>
      </c>
      <c r="HD116" s="135" t="str">
        <f>IF(ISNA(VLOOKUP(A116,'Données projet (1)'!$A$269:$I$289,5,0)),0%,VLOOKUP(A116,'Données projet (1)'!$A$269:$I$289,5,0)*VLOOKUP('Données projet (1)'!$B$18,'Paramètres (1)'!$A$1:$I$88,7,0))</f>
        <v>#REF!</v>
      </c>
      <c r="HE116" s="135" t="str">
        <f>IF(ISNA(VLOOKUP(A116,'Données projet (1)'!$A$269:$I$289,6,0)),0%,VLOOKUP(A116,'Données projet (1)'!$A$269:$I$289,6,0)*VLOOKUP('Données projet (1)'!$B$18,'Paramètres (1)'!$A$1:$I$88,7,0))</f>
        <v>#REF!</v>
      </c>
      <c r="HF116" s="135" t="str">
        <f t="shared" si="104"/>
        <v>#REF!</v>
      </c>
      <c r="HG116" s="142" t="str">
        <f>EXP(-LN(2)/35)*HG115+(1-EXP(-LN(2)/35))/(LN(2)/35)*HC116*HD116*VLOOKUP('Données projet (1)'!$B$18,'Paramètres (1)'!$A$1:$I$88,3,0)*0.475*44/12</f>
        <v>#REF!</v>
      </c>
      <c r="HH116" s="142" t="str">
        <f>EXP(-LN(2)/25)*HH115+(1-EXP(-LN(2)/25))/(LN(2)/25)*'Calculateur (1)'!HC116*'Calculateur (1)'!HE116*VLOOKUP('Données projet (1)'!$B$18,'Paramètres (1)'!$A$1:$I$88,3,0)*0.475*44/12</f>
        <v>#REF!</v>
      </c>
      <c r="HI116" s="142" t="str">
        <f>EXP(-LN(2)/2)*HI115+(1-EXP(-LN(2)/2))/(LN(2)/2)*HC116*HF116*VLOOKUP('Données projet (1)'!$B$18,'Paramètres (1)'!$A$1:$I$88,3,0)*0.475*44/12</f>
        <v>#REF!</v>
      </c>
      <c r="HJ116" s="143" t="str">
        <f t="shared" si="105"/>
        <v>#REF!</v>
      </c>
    </row>
    <row r="117" ht="14.25" customHeight="1">
      <c r="A117" s="125">
        <f t="shared" si="106"/>
        <v>114</v>
      </c>
      <c r="B117" s="126" t="str">
        <f t="shared" si="1"/>
        <v>#REF!</v>
      </c>
      <c r="C117" s="140" t="str">
        <f>'Calculateur (1)'!C116+'Scénario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7" s="127">
        <f t="shared" si="107"/>
        <v>0</v>
      </c>
      <c r="E117" s="127" t="str">
        <f t="shared" si="2"/>
        <v>#REF!</v>
      </c>
      <c r="F117" s="127" t="str">
        <f t="shared" si="3"/>
        <v>#REF!</v>
      </c>
      <c r="G117" s="127" t="str">
        <f t="shared" si="4"/>
        <v>#REF!</v>
      </c>
      <c r="H117" s="128" t="str">
        <f t="shared" si="5"/>
        <v>#REF!</v>
      </c>
      <c r="I117" s="129" t="str">
        <f t="shared" si="6"/>
        <v>#REF!</v>
      </c>
      <c r="J117" s="130">
        <f t="shared" si="7"/>
        <v>10</v>
      </c>
      <c r="K117" s="131" t="str">
        <f t="shared" si="108"/>
        <v>#REF!</v>
      </c>
      <c r="L117" s="131" t="str">
        <f t="shared" si="8"/>
        <v>#REF!</v>
      </c>
      <c r="M117" s="131" t="str">
        <f t="array" ref="M117">INDEX(L:L,MIN(IF(ISNUMBER(L117:L313),ROW(L117:L313),"")))</f>
        <v/>
      </c>
      <c r="N117" s="130" t="str">
        <f t="shared" si="109"/>
        <v>#REF!</v>
      </c>
      <c r="O117" s="130" t="str">
        <f>N117*VLOOKUP('Données projet (1)'!$B$9,'Paramètres (1)'!$A$1:$I$88,3,0)*VLOOKUP('Données projet (1)'!$B$9,'Paramètres (1)'!$A$1:$I$88,5,0)</f>
        <v>#REF!</v>
      </c>
      <c r="P117" s="130" t="str">
        <f t="shared" si="110"/>
        <v>#REF!</v>
      </c>
      <c r="Q117" s="141" t="str">
        <f t="shared" si="9"/>
        <v>#REF!</v>
      </c>
      <c r="R117" s="133" t="str">
        <f t="shared" si="10"/>
        <v>#REF!</v>
      </c>
      <c r="S117" s="133" t="str">
        <f t="shared" si="11"/>
        <v>#REF!</v>
      </c>
      <c r="T117" s="133" t="str">
        <f t="shared" si="111"/>
        <v>#REF!</v>
      </c>
      <c r="U117" s="134" t="str">
        <f t="shared" si="12"/>
        <v>#REF!</v>
      </c>
      <c r="V117" s="134" t="str">
        <f t="shared" si="13"/>
        <v>#REF!</v>
      </c>
      <c r="W117" s="135" t="str">
        <f>IF(ISNA(VLOOKUP(A117,'Données projet (1)'!$A$35:$I$55,5,0)),0%,VLOOKUP(A117,'Données projet (1)'!$A$35:$I$55,5,0)*VLOOKUP('Données projet (1)'!$B$9,'Paramètres (1)'!$A$1:$I$88,7,0))</f>
        <v>#REF!</v>
      </c>
      <c r="X117" s="135" t="str">
        <f>IF(ISNA(VLOOKUP(A117,'Données projet (1)'!$A$35:$I$55,6,0)),0%,VLOOKUP(A117,'Données projet (1)'!$A$35:$I$55,6,0)*VLOOKUP('Données projet (1)'!$B$9,'Paramètres (1)'!$A$1:$I$88,7,0))</f>
        <v>#REF!</v>
      </c>
      <c r="Y117" s="135" t="str">
        <f t="shared" si="14"/>
        <v>#REF!</v>
      </c>
      <c r="Z117" s="142" t="str">
        <f>EXP(-LN(2)/35)*Z116+(1-EXP(-LN(2)/35))/(LN(2)/35)*V117*W117*VLOOKUP('Données projet (1)'!$B$9,'Paramètres (1)'!$A$1:$I$88,3,0)*0.475*44/12</f>
        <v>#REF!</v>
      </c>
      <c r="AA117" s="142" t="str">
        <f>EXP(-LN(2)/25)*AA116+(1-EXP(-LN(2)/25))/(LN(2)/25)*'Calculateur (1)'!V117*'Calculateur (1)'!X117*VLOOKUP('Données projet (1)'!$B$9,'Paramètres (1)'!$A$1:$I$88,3,0)*0.475*44/12</f>
        <v>#REF!</v>
      </c>
      <c r="AB117" s="142" t="str">
        <f>EXP(-LN(2)/2)*AB116+(1-EXP(-LN(2)/2))/(LN(2)/2)*V117*Y117*VLOOKUP('Données projet (1)'!$B$9,'Paramètres (1)'!$A$1:$I$88,3,0)*0.475*44/12</f>
        <v>#REF!</v>
      </c>
      <c r="AC117" s="143" t="str">
        <f t="shared" si="15"/>
        <v>#REF!</v>
      </c>
      <c r="AD117" s="130" t="str">
        <f t="shared" si="16"/>
        <v>#REF!</v>
      </c>
      <c r="AE117" s="130">
        <f t="shared" si="17"/>
        <v>10</v>
      </c>
      <c r="AF117" s="131" t="str">
        <f t="shared" si="112"/>
        <v>#REF!</v>
      </c>
      <c r="AG117" s="131" t="str">
        <f t="shared" si="18"/>
        <v>#REF!</v>
      </c>
      <c r="AH117" s="131" t="str">
        <f t="array" ref="AH117">INDEX(AG:AG,MIN(IF(ISNUMBER(AG117:AG313),ROW(AG117:AG313),"")))</f>
        <v/>
      </c>
      <c r="AI117" s="130" t="str">
        <f t="shared" si="113"/>
        <v>#REF!</v>
      </c>
      <c r="AJ117" s="130" t="str">
        <f>AI117*VLOOKUP('Données projet (1)'!$B$10,'Paramètres (1)'!$A$1:$I$88,3,0)*VLOOKUP('Données projet (1)'!$B$10,'Paramètres (1)'!$A$1:$I$88,5,0)</f>
        <v>#REF!</v>
      </c>
      <c r="AK117" s="130" t="str">
        <f t="shared" si="114"/>
        <v>#REF!</v>
      </c>
      <c r="AL117" s="141" t="str">
        <f t="shared" si="19"/>
        <v>#REF!</v>
      </c>
      <c r="AM117" s="133" t="str">
        <f t="shared" si="20"/>
        <v>#REF!</v>
      </c>
      <c r="AN117" s="133" t="str">
        <f t="shared" si="21"/>
        <v>#REF!</v>
      </c>
      <c r="AO117" s="133" t="str">
        <f t="shared" si="115"/>
        <v>#REF!</v>
      </c>
      <c r="AP117" s="134" t="str">
        <f t="shared" si="22"/>
        <v>#REF!</v>
      </c>
      <c r="AQ117" s="134" t="str">
        <f t="shared" si="23"/>
        <v>#REF!</v>
      </c>
      <c r="AR117" s="135" t="str">
        <f>IF(ISNA(VLOOKUP(A117,'Données projet (1)'!$A$61:$I$81,5,0)),0%,VLOOKUP(A117,'Données projet (1)'!$A$61:$I$81,5,0)*VLOOKUP('Données projet (1)'!$B$10,'Paramètres (1)'!$A$1:$I$88,7,0))</f>
        <v>#REF!</v>
      </c>
      <c r="AS117" s="135" t="str">
        <f>IF(ISNA(VLOOKUP(A117,'Données projet (1)'!$A$61:$I$81,6,0)),0%,VLOOKUP(A117,'Données projet (1)'!$A$61:$I$81,6,0)*VLOOKUP('Données projet (1)'!$B$10,'Paramètres (1)'!$A$1:$I$88,7,0))</f>
        <v>#REF!</v>
      </c>
      <c r="AT117" s="135" t="str">
        <f t="shared" si="24"/>
        <v>#REF!</v>
      </c>
      <c r="AU117" s="142" t="str">
        <f>EXP(-LN(2)/35)*AU116+(1-EXP(-LN(2)/35))/(LN(2)/35)*AQ117*AR117*VLOOKUP('Données projet (1)'!$B$10,'Paramètres (1)'!$A$1:$I$88,3,0)*0.475*44/12</f>
        <v>#REF!</v>
      </c>
      <c r="AV117" s="142" t="str">
        <f>EXP(-LN(2)/25)*AV116+(1-EXP(-LN(2)/25))/(LN(2)/25)*'Calculateur (1)'!AQ117*'Calculateur (1)'!AS117*VLOOKUP('Données projet (1)'!$B$10,'Paramètres (1)'!$A$1:$I$88,3,0)*0.475*44/12</f>
        <v>#REF!</v>
      </c>
      <c r="AW117" s="142" t="str">
        <f>EXP(-LN(2)/2)*AW116+(1-EXP(-LN(2)/2))/(LN(2)/2)*AQ117*AT117*VLOOKUP('Données projet (1)'!$B$10,'Paramètres (1)'!$A$1:$I$88,3,0)*0.475*44/12</f>
        <v>#REF!</v>
      </c>
      <c r="AX117" s="142" t="str">
        <f t="shared" si="25"/>
        <v>#REF!</v>
      </c>
      <c r="AY117" s="137" t="str">
        <f t="shared" si="26"/>
        <v>#REF!</v>
      </c>
      <c r="AZ117" s="131">
        <f t="shared" si="27"/>
        <v>10</v>
      </c>
      <c r="BA117" s="131" t="str">
        <f t="shared" si="116"/>
        <v>#REF!</v>
      </c>
      <c r="BB117" s="131" t="str">
        <f t="shared" si="28"/>
        <v>#REF!</v>
      </c>
      <c r="BC117" s="131" t="str">
        <f t="array" ref="BC117">INDEX(BB:BB,MIN(IF(ISNUMBER(BB117:BB313),ROW(BB117:BB313),"")))</f>
        <v/>
      </c>
      <c r="BD117" s="131" t="str">
        <f t="shared" si="117"/>
        <v>#REF!</v>
      </c>
      <c r="BE117" s="130" t="str">
        <f>BD117*VLOOKUP('Données projet (1)'!$B$11,'Paramètres (1)'!$A$1:$I$88,3,0)*VLOOKUP('Données projet (1)'!$B$11,'Paramètres (1)'!$A$1:$I$88,5,0)</f>
        <v>#REF!</v>
      </c>
      <c r="BF117" s="130" t="str">
        <f t="shared" si="118"/>
        <v>#REF!</v>
      </c>
      <c r="BG117" s="141" t="str">
        <f t="shared" si="29"/>
        <v>#REF!</v>
      </c>
      <c r="BH117" s="133" t="str">
        <f t="shared" si="30"/>
        <v>#REF!</v>
      </c>
      <c r="BI117" s="133" t="str">
        <f t="shared" si="31"/>
        <v>#REF!</v>
      </c>
      <c r="BJ117" s="133" t="str">
        <f t="shared" si="119"/>
        <v>#REF!</v>
      </c>
      <c r="BK117" s="134" t="str">
        <f t="shared" si="32"/>
        <v>#REF!</v>
      </c>
      <c r="BL117" s="134" t="str">
        <f t="shared" si="33"/>
        <v>#REF!</v>
      </c>
      <c r="BM117" s="135" t="str">
        <f>IF(ISNA(VLOOKUP(A117,'Données projet (1)'!$A$87:$I$107,5,0)),0%,VLOOKUP(A117,'Données projet (1)'!$A$87:$I$107,5,0)*VLOOKUP('Données projet (1)'!$B$11,'Paramètres (1)'!$A$1:$I$88,7,0))</f>
        <v>#REF!</v>
      </c>
      <c r="BN117" s="135" t="str">
        <f>IF(ISNA(VLOOKUP(A117,'Données projet (1)'!$A$87:$I$107,6,0)),0%,VLOOKUP(A117,'Données projet (1)'!$A$87:$I$107,6,0)*VLOOKUP('Données projet (1)'!$B$11,'Paramètres (1)'!$A$1:$I$88,7,0))</f>
        <v>#REF!</v>
      </c>
      <c r="BO117" s="135" t="str">
        <f t="shared" si="34"/>
        <v>#REF!</v>
      </c>
      <c r="BP117" s="142" t="str">
        <f>EXP(-LN(2)/35)*BP116+(1-EXP(-LN(2)/35))/(LN(2)/35)*BL117*BM117*VLOOKUP('Données projet (1)'!$B$11,'Paramètres (1)'!$A$1:$I$88,3,0)*0.475*44/12</f>
        <v>#REF!</v>
      </c>
      <c r="BQ117" s="142" t="str">
        <f>EXP(-LN(2)/25)*BQ116+(1-EXP(-LN(2)/25))/(LN(2)/25)*'Calculateur (1)'!BL117*'Calculateur (1)'!BN117*VLOOKUP('Données projet (1)'!$B$11,'Paramètres (1)'!$A$1:$I$88,3,0)*0.475*44/12</f>
        <v>#REF!</v>
      </c>
      <c r="BR117" s="142" t="str">
        <f>EXP(-LN(2)/2)*BR116+(1-EXP(-LN(2)/2))/(LN(2)/2)*BL117*BO117*VLOOKUP('Données projet (1)'!$B$11,'Paramètres (1)'!$A$1:$I$88,3,0)*0.475*44/12</f>
        <v>#REF!</v>
      </c>
      <c r="BS117" s="143" t="str">
        <f t="shared" si="35"/>
        <v>#REF!</v>
      </c>
      <c r="BT117" s="139" t="str">
        <f t="shared" si="36"/>
        <v>#REF!</v>
      </c>
      <c r="BU117" s="131">
        <f t="shared" si="37"/>
        <v>10</v>
      </c>
      <c r="BV117" s="131" t="str">
        <f t="shared" si="120"/>
        <v>#REF!</v>
      </c>
      <c r="BW117" s="131" t="str">
        <f t="shared" si="38"/>
        <v>#REF!</v>
      </c>
      <c r="BX117" s="131" t="str">
        <f t="array" ref="BX117">INDEX(BW:BW,MIN(IF(ISNUMBER(BW117:BW313),ROW(BW117:BW313),"")))</f>
        <v/>
      </c>
      <c r="BY117" s="131" t="str">
        <f t="shared" si="121"/>
        <v>#REF!</v>
      </c>
      <c r="BZ117" s="130" t="str">
        <f>BY117*VLOOKUP('Données projet (1)'!$B$12,'Paramètres (1)'!$A$1:$I$88,3,0)*VLOOKUP('Données projet (1)'!$B$12,'Paramètres (1)'!$A$1:$I$88,5,0)</f>
        <v>#REF!</v>
      </c>
      <c r="CA117" s="130" t="str">
        <f t="shared" si="122"/>
        <v>#REF!</v>
      </c>
      <c r="CB117" s="141" t="str">
        <f t="shared" si="39"/>
        <v>#REF!</v>
      </c>
      <c r="CC117" s="133" t="str">
        <f t="shared" si="40"/>
        <v>#REF!</v>
      </c>
      <c r="CD117" s="133" t="str">
        <f t="shared" si="41"/>
        <v>#REF!</v>
      </c>
      <c r="CE117" s="133" t="str">
        <f t="shared" si="123"/>
        <v>#REF!</v>
      </c>
      <c r="CF117" s="134" t="str">
        <f t="shared" si="42"/>
        <v>#REF!</v>
      </c>
      <c r="CG117" s="134" t="str">
        <f t="shared" si="43"/>
        <v>#REF!</v>
      </c>
      <c r="CH117" s="135" t="str">
        <f>IF(ISNA(VLOOKUP(A117,'Données projet (1)'!$A$113:$I$133,5,0)),0%,VLOOKUP(A117,'Données projet (1)'!$A$113:$I$133,5,0)*VLOOKUP('Données projet (1)'!$B$12,'Paramètres (1)'!$A$1:$I$88,7,0))</f>
        <v>#REF!</v>
      </c>
      <c r="CI117" s="135" t="str">
        <f>IF(ISNA(VLOOKUP(A117,'Données projet (1)'!$A$113:$I$133,6,0)),0%,VLOOKUP(A117,'Données projet (1)'!$A$113:$I$133,6,0)*VLOOKUP('Données projet (1)'!$B$12,'Paramètres (1)'!$A$1:$I$88,7,0))</f>
        <v>#REF!</v>
      </c>
      <c r="CJ117" s="135" t="str">
        <f t="shared" si="44"/>
        <v>#REF!</v>
      </c>
      <c r="CK117" s="142" t="str">
        <f>EXP(-LN(2)/35)*CK116+(1-EXP(-LN(2)/35))/(LN(2)/35)*CG117*CH117*VLOOKUP('Données projet (1)'!$B$12,'Paramètres (1)'!$A$1:$I$88,3,0)*0.475*44/12</f>
        <v>#REF!</v>
      </c>
      <c r="CL117" s="142" t="str">
        <f>EXP(-LN(2)/25)*CL116+(1-EXP(-LN(2)/25))/(LN(2)/25)*'Calculateur (1)'!CG117*'Calculateur (1)'!CI117*VLOOKUP('Données projet (1)'!$B$12,'Paramètres (1)'!$A$1:$I$88,3,0)*0.475*44/12</f>
        <v>#REF!</v>
      </c>
      <c r="CM117" s="142" t="str">
        <f>EXP(-LN(2)/2)*CM116+(1-EXP(-LN(2)/2))/(LN(2)/2)*CG117*CJ117*VLOOKUP('Données projet (1)'!$B$12,'Paramètres (1)'!$A$1:$I$88,3,0)*0.475*44/12</f>
        <v>#REF!</v>
      </c>
      <c r="CN117" s="143" t="str">
        <f t="shared" si="45"/>
        <v>#REF!</v>
      </c>
      <c r="CO117" s="139" t="str">
        <f t="shared" si="46"/>
        <v>#REF!</v>
      </c>
      <c r="CP117" s="131">
        <f t="shared" si="47"/>
        <v>10</v>
      </c>
      <c r="CQ117" s="131" t="str">
        <f t="shared" si="124"/>
        <v>#REF!</v>
      </c>
      <c r="CR117" s="131" t="str">
        <f t="shared" si="48"/>
        <v>#REF!</v>
      </c>
      <c r="CS117" s="131" t="str">
        <f t="array" ref="CS117">INDEX(CR:CR,MIN(IF(ISNUMBER(CR117:CR313),ROW(CR117:CR313),"")))</f>
        <v/>
      </c>
      <c r="CT117" s="131" t="str">
        <f t="shared" si="125"/>
        <v>#REF!</v>
      </c>
      <c r="CU117" s="138" t="str">
        <f>CT117*VLOOKUP('Données projet (1)'!$B$13,'Paramètres (1)'!$A$1:$I$88,3,0)*VLOOKUP('Données projet (1)'!$B$13,'Paramètres (1)'!$A$1:$I$88,5,0)</f>
        <v>#REF!</v>
      </c>
      <c r="CV117" s="130" t="str">
        <f t="shared" si="126"/>
        <v>#REF!</v>
      </c>
      <c r="CW117" s="141" t="str">
        <f t="shared" si="49"/>
        <v>#REF!</v>
      </c>
      <c r="CX117" s="133" t="str">
        <f t="shared" si="50"/>
        <v>#REF!</v>
      </c>
      <c r="CY117" s="133" t="str">
        <f t="shared" si="51"/>
        <v>#REF!</v>
      </c>
      <c r="CZ117" s="133" t="str">
        <f t="shared" si="127"/>
        <v>#REF!</v>
      </c>
      <c r="DA117" s="134" t="str">
        <f t="shared" si="52"/>
        <v>#REF!</v>
      </c>
      <c r="DB117" s="134" t="str">
        <f t="shared" si="53"/>
        <v>#REF!</v>
      </c>
      <c r="DC117" s="135" t="str">
        <f>IF(ISNA(VLOOKUP(A117,'Données projet (1)'!$A$139:$I$159,5,0)),0%,VLOOKUP(A117,'Données projet (1)'!$A$139:$I$159,5,0)*VLOOKUP('Données projet (1)'!$B$13,'Paramètres (1)'!$A$1:$I$88,7,0))</f>
        <v>#REF!</v>
      </c>
      <c r="DD117" s="135" t="str">
        <f>IF(ISNA(VLOOKUP(A117,'Données projet (1)'!$A$139:$I$159,6,0)),0%,VLOOKUP(A117,'Données projet (1)'!$A$139:$I$159,6,0)*VLOOKUP('Données projet (1)'!$B$13,'Paramètres (1)'!$A$1:$I$88,7,0))</f>
        <v>#REF!</v>
      </c>
      <c r="DE117" s="135" t="str">
        <f t="shared" si="54"/>
        <v>#REF!</v>
      </c>
      <c r="DF117" s="142" t="str">
        <f>EXP(-LN(2)/35)*DF116+(1-EXP(-LN(2)/35))/(LN(2)/35)*DB117*DC117*VLOOKUP('Données projet (1)'!$B$13,'Paramètres (1)'!$A$1:$I$88,3,0)*0.475*44/12</f>
        <v>#REF!</v>
      </c>
      <c r="DG117" s="142" t="str">
        <f>EXP(-LN(2)/25)*DG116+(1-EXP(-LN(2)/25))/(LN(2)/25)*'Calculateur (1)'!DB117*'Calculateur (1)'!DD117*VLOOKUP('Données projet (1)'!$B$13,'Paramètres (1)'!$A$1:$I$88,3,0)*0.475*44/12</f>
        <v>#REF!</v>
      </c>
      <c r="DH117" s="142" t="str">
        <f>EXP(-LN(2)/2)*DH116+(1-EXP(-LN(2)/2))/(LN(2)/2)*DB117*DE117*VLOOKUP('Données projet (1)'!$B$13,'Paramètres (1)'!$A$1:$I$88,3,0)*0.475*44/12</f>
        <v>#REF!</v>
      </c>
      <c r="DI117" s="143" t="str">
        <f t="shared" si="55"/>
        <v>#REF!</v>
      </c>
      <c r="DJ117" s="139" t="str">
        <f t="shared" si="56"/>
        <v>#REF!</v>
      </c>
      <c r="DK117" s="131">
        <f t="shared" si="57"/>
        <v>10</v>
      </c>
      <c r="DL117" s="131" t="str">
        <f t="shared" si="128"/>
        <v>#REF!</v>
      </c>
      <c r="DM117" s="131" t="str">
        <f t="shared" si="58"/>
        <v>#REF!</v>
      </c>
      <c r="DN117" s="131" t="str">
        <f t="array" ref="DN117">INDEX(DM:DM,MIN(IF(ISNUMBER(DM117:DM313),ROW(DM117:DM313),"")))</f>
        <v/>
      </c>
      <c r="DO117" s="131" t="str">
        <f t="shared" si="129"/>
        <v>#REF!</v>
      </c>
      <c r="DP117" s="138" t="str">
        <f>DO117*VLOOKUP('Données projet (1)'!$B$14,'Paramètres (1)'!$A$1:$I$88,3,0)*VLOOKUP('Données projet (1)'!$B$14,'Paramètres (1)'!$A$1:$I$88,5,0)</f>
        <v>#REF!</v>
      </c>
      <c r="DQ117" s="130" t="str">
        <f t="shared" si="130"/>
        <v>#REF!</v>
      </c>
      <c r="DR117" s="141" t="str">
        <f t="shared" si="59"/>
        <v>#REF!</v>
      </c>
      <c r="DS117" s="133" t="str">
        <f t="shared" si="60"/>
        <v>#REF!</v>
      </c>
      <c r="DT117" s="133" t="str">
        <f t="shared" si="61"/>
        <v>#REF!</v>
      </c>
      <c r="DU117" s="133" t="str">
        <f t="shared" si="131"/>
        <v>#REF!</v>
      </c>
      <c r="DV117" s="134" t="str">
        <f t="shared" si="62"/>
        <v>#REF!</v>
      </c>
      <c r="DW117" s="134" t="str">
        <f t="shared" si="63"/>
        <v>#REF!</v>
      </c>
      <c r="DX117" s="135" t="str">
        <f>IF(ISNA(VLOOKUP(A117,'Données projet (1)'!$A$165:$I$185,5,0)),0%,VLOOKUP(A117,'Données projet (1)'!$A$165:$I$185,5,0)*VLOOKUP('Données projet (1)'!$B$14,'Paramètres (1)'!$A$1:$I$88,7,0))</f>
        <v>#REF!</v>
      </c>
      <c r="DY117" s="135" t="str">
        <f>IF(ISNA(VLOOKUP(A117,'Données projet (1)'!$A$165:$I$185,6,0)),0%,VLOOKUP(A117,'Données projet (1)'!$A$165:$I$185,6,0)*VLOOKUP('Données projet (1)'!$B$14,'Paramètres (1)'!$A$1:$I$88,7,0))</f>
        <v>#REF!</v>
      </c>
      <c r="DZ117" s="135" t="str">
        <f t="shared" si="64"/>
        <v>#REF!</v>
      </c>
      <c r="EA117" s="142" t="str">
        <f>EXP(-LN(2)/35)*EA116+(1-EXP(-LN(2)/35))/(LN(2)/35)*DW117*DX117*VLOOKUP('Données projet (1)'!$B$14,'Paramètres (1)'!$A$1:$I$88,3,0)*0.475*44/12</f>
        <v>#REF!</v>
      </c>
      <c r="EB117" s="142" t="str">
        <f>EXP(-LN(2)/25)*EB116+(1-EXP(-LN(2)/25))/(LN(2)/25)*'Calculateur (1)'!DW117*'Calculateur (1)'!DY117*VLOOKUP('Données projet (1)'!$B$14,'Paramètres (1)'!$A$1:$I$88,3,0)*0.475*44/12</f>
        <v>#REF!</v>
      </c>
      <c r="EC117" s="142" t="str">
        <f>EXP(-LN(2)/2)*EC116+(1-EXP(-LN(2)/2))/(LN(2)/2)*DW117*DZ117*VLOOKUP('Données projet (1)'!$B$14,'Paramètres (1)'!$A$1:$I$88,3,0)*0.475*44/12</f>
        <v>#REF!</v>
      </c>
      <c r="ED117" s="143" t="str">
        <f t="shared" si="65"/>
        <v>#REF!</v>
      </c>
      <c r="EE117" s="139" t="str">
        <f t="shared" si="66"/>
        <v>#REF!</v>
      </c>
      <c r="EF117" s="131">
        <f t="shared" si="67"/>
        <v>10</v>
      </c>
      <c r="EG117" s="131" t="str">
        <f t="shared" si="132"/>
        <v>#REF!</v>
      </c>
      <c r="EH117" s="131" t="str">
        <f t="shared" si="68"/>
        <v>#REF!</v>
      </c>
      <c r="EI117" s="131" t="str">
        <f t="array" ref="EI117">INDEX(EH:EH,MIN(IF(ISNUMBER(EH117:EH313),ROW(EH117:EH313),"")))</f>
        <v/>
      </c>
      <c r="EJ117" s="131" t="str">
        <f t="shared" si="133"/>
        <v>#REF!</v>
      </c>
      <c r="EK117" s="138" t="str">
        <f>EJ117*VLOOKUP('Données projet (1)'!$B$15,'Paramètres (1)'!$A$1:$I$88,3,0)*VLOOKUP('Données projet (1)'!$B$15,'Paramètres (1)'!$A$1:$I$88,5,0)</f>
        <v>#REF!</v>
      </c>
      <c r="EL117" s="130" t="str">
        <f t="shared" si="134"/>
        <v>#REF!</v>
      </c>
      <c r="EM117" s="141" t="str">
        <f t="shared" si="69"/>
        <v>#REF!</v>
      </c>
      <c r="EN117" s="133" t="str">
        <f t="shared" si="70"/>
        <v>#REF!</v>
      </c>
      <c r="EO117" s="133" t="str">
        <f t="shared" si="71"/>
        <v>#REF!</v>
      </c>
      <c r="EP117" s="133" t="str">
        <f t="shared" si="135"/>
        <v>#REF!</v>
      </c>
      <c r="EQ117" s="134" t="str">
        <f t="shared" si="72"/>
        <v>#REF!</v>
      </c>
      <c r="ER117" s="134" t="str">
        <f t="shared" si="73"/>
        <v>#REF!</v>
      </c>
      <c r="ES117" s="135" t="str">
        <f>IF(ISNA(VLOOKUP(A117,'Données projet (1)'!$A$191:$I$211,5,0)),0%,VLOOKUP(A117,'Données projet (1)'!$A$191:$I$211,5,0)*VLOOKUP('Données projet (1)'!$B$15,'Paramètres (1)'!$A$1:$I$88,7,0))</f>
        <v>#REF!</v>
      </c>
      <c r="ET117" s="135" t="str">
        <f>IF(ISNA(VLOOKUP(A117,'Données projet (1)'!$A$191:$I$211,6,0)),0%,VLOOKUP(A117,'Données projet (1)'!$A$191:$I$211,6,0)*VLOOKUP('Données projet (1)'!$B$15,'Paramètres (1)'!$A$1:$I$88,7,0))</f>
        <v>#REF!</v>
      </c>
      <c r="EU117" s="135" t="str">
        <f t="shared" si="74"/>
        <v>#REF!</v>
      </c>
      <c r="EV117" s="142" t="str">
        <f>EXP(-LN(2)/35)*EV116+(1-EXP(-LN(2)/35))/(LN(2)/35)*ER117*ES117*VLOOKUP('Données projet (1)'!$B$15,'Paramètres (1)'!$A$1:$I$88,3,0)*0.475*44/12</f>
        <v>#REF!</v>
      </c>
      <c r="EW117" s="142" t="str">
        <f>EXP(-LN(2)/25)*EW116+(1-EXP(-LN(2)/25))/(LN(2)/25)*'Calculateur (1)'!ER117*'Calculateur (1)'!ET117*VLOOKUP('Données projet (1)'!$B$15,'Paramètres (1)'!$A$1:$I$88,3,0)*0.475*44/12</f>
        <v>#REF!</v>
      </c>
      <c r="EX117" s="142" t="str">
        <f>EXP(-LN(2)/2)*EX116+(1-EXP(-LN(2)/2))/(LN(2)/2)*ER117*EU117*VLOOKUP('Données projet (1)'!$B$15,'Paramètres (1)'!$A$1:$I$88,3,0)*0.475*44/12</f>
        <v>#REF!</v>
      </c>
      <c r="EY117" s="143" t="str">
        <f t="shared" si="75"/>
        <v>#REF!</v>
      </c>
      <c r="EZ117" s="139" t="str">
        <f t="shared" si="76"/>
        <v>#REF!</v>
      </c>
      <c r="FA117" s="131">
        <f t="shared" si="77"/>
        <v>10</v>
      </c>
      <c r="FB117" s="131" t="str">
        <f t="shared" si="136"/>
        <v>#REF!</v>
      </c>
      <c r="FC117" s="131" t="str">
        <f t="shared" si="78"/>
        <v>#REF!</v>
      </c>
      <c r="FD117" s="131" t="str">
        <f t="array" ref="FD117">INDEX(FC:FC,MIN(IF(ISNUMBER(FC117:FC313),ROW(FC117:FC313),"")))</f>
        <v/>
      </c>
      <c r="FE117" s="131" t="str">
        <f t="shared" si="137"/>
        <v>#REF!</v>
      </c>
      <c r="FF117" s="138" t="str">
        <f>FE117*VLOOKUP('Données projet (1)'!$B$16,'Paramètres (1)'!$A$1:$I$88,3,0)*VLOOKUP('Données projet (1)'!$B$16,'Paramètres (1)'!$A$1:$I$88,5,0)</f>
        <v>#REF!</v>
      </c>
      <c r="FG117" s="130" t="str">
        <f t="shared" si="138"/>
        <v>#REF!</v>
      </c>
      <c r="FH117" s="141" t="str">
        <f t="shared" si="79"/>
        <v>#REF!</v>
      </c>
      <c r="FI117" s="133" t="str">
        <f t="shared" si="80"/>
        <v>#REF!</v>
      </c>
      <c r="FJ117" s="133" t="str">
        <f t="shared" si="81"/>
        <v>#REF!</v>
      </c>
      <c r="FK117" s="133" t="str">
        <f t="shared" si="139"/>
        <v>#REF!</v>
      </c>
      <c r="FL117" s="134" t="str">
        <f t="shared" si="82"/>
        <v>#REF!</v>
      </c>
      <c r="FM117" s="134" t="str">
        <f t="shared" si="83"/>
        <v>#REF!</v>
      </c>
      <c r="FN117" s="135" t="str">
        <f>IF(ISNA(VLOOKUP(A117,'Données projet (1)'!$A$217:$I$237,5,0)),0%,VLOOKUP(A117,'Données projet (1)'!$A$217:$I$237,5,0)*VLOOKUP('Données projet (1)'!$B$16,'Paramètres (1)'!$A$1:$I$88,7,0))</f>
        <v>#REF!</v>
      </c>
      <c r="FO117" s="135" t="str">
        <f>IF(ISNA(VLOOKUP(A117,'Données projet (1)'!$A$217:$I$237,6,0)),0%,VLOOKUP(A117,'Données projet (1)'!$A$217:$I$237,6,0)*VLOOKUP('Données projet (1)'!$B$16,'Paramètres (1)'!$A$1:$I$88,7,0))</f>
        <v>#REF!</v>
      </c>
      <c r="FP117" s="135" t="str">
        <f t="shared" si="84"/>
        <v>#REF!</v>
      </c>
      <c r="FQ117" s="142" t="str">
        <f>EXP(-LN(2)/35)*FQ116+(1-EXP(-LN(2)/35))/(LN(2)/35)*FM117*FN117*VLOOKUP('Données projet (1)'!$B$16,'Paramètres (1)'!$A$1:$I$88,3,0)*0.475*44/12</f>
        <v>#REF!</v>
      </c>
      <c r="FR117" s="142" t="str">
        <f>EXP(-LN(2)/25)*FR116+(1-EXP(-LN(2)/25))/(LN(2)/25)*'Calculateur (1)'!FM117*'Calculateur (1)'!FO117*VLOOKUP('Données projet (1)'!$B$16,'Paramètres (1)'!$A$1:$I$88,3,0)*0.475*44/12</f>
        <v>#REF!</v>
      </c>
      <c r="FS117" s="142" t="str">
        <f>EXP(-LN(2)/2)*FS116+(1-EXP(-LN(2)/2))/(LN(2)/2)*FM117*FP117*VLOOKUP('Données projet (1)'!$B$16,'Paramètres (1)'!$A$1:$I$88,3,0)*0.475*44/12</f>
        <v>#REF!</v>
      </c>
      <c r="FT117" s="143" t="str">
        <f t="shared" si="85"/>
        <v>#REF!</v>
      </c>
      <c r="FU117" s="139" t="str">
        <f t="shared" si="86"/>
        <v>#REF!</v>
      </c>
      <c r="FV117" s="131">
        <f t="shared" si="87"/>
        <v>10</v>
      </c>
      <c r="FW117" s="131" t="str">
        <f t="shared" si="140"/>
        <v>#REF!</v>
      </c>
      <c r="FX117" s="131" t="str">
        <f t="shared" si="88"/>
        <v>#REF!</v>
      </c>
      <c r="FY117" s="131" t="str">
        <f t="array" ref="FY117">INDEX(FX:FX,MIN(IF(ISNUMBER(FX117:FX313),ROW(FX117:FX313),"")))</f>
        <v/>
      </c>
      <c r="FZ117" s="131" t="str">
        <f t="shared" si="141"/>
        <v>#REF!</v>
      </c>
      <c r="GA117" s="138" t="str">
        <f>FZ117*VLOOKUP('Données projet (1)'!$B$17,'Paramètres (1)'!$A$1:$I$88,3,0)*VLOOKUP('Données projet (1)'!$B$17,'Paramètres (1)'!$A$1:$I$88,5,0)</f>
        <v>#REF!</v>
      </c>
      <c r="GB117" s="130" t="str">
        <f t="shared" si="142"/>
        <v>#REF!</v>
      </c>
      <c r="GC117" s="141" t="str">
        <f t="shared" si="89"/>
        <v>#REF!</v>
      </c>
      <c r="GD117" s="133" t="str">
        <f t="shared" si="90"/>
        <v>#REF!</v>
      </c>
      <c r="GE117" s="133" t="str">
        <f t="shared" si="91"/>
        <v>#REF!</v>
      </c>
      <c r="GF117" s="133" t="str">
        <f t="shared" si="143"/>
        <v>#REF!</v>
      </c>
      <c r="GG117" s="134" t="str">
        <f t="shared" si="92"/>
        <v>#REF!</v>
      </c>
      <c r="GH117" s="134" t="str">
        <f t="shared" si="93"/>
        <v>#REF!</v>
      </c>
      <c r="GI117" s="135" t="str">
        <f>IF(ISNA(VLOOKUP(A117,'Données projet (1)'!$A$243:$I$263,5,0)),0%,VLOOKUP(A117,'Données projet (1)'!$A$243:$I$263,5,0)*VLOOKUP('Données projet (1)'!$B$17,'Paramètres (1)'!$A$1:$I$88,7,0))</f>
        <v>#REF!</v>
      </c>
      <c r="GJ117" s="135" t="str">
        <f>IF(ISNA(VLOOKUP(A117,'Données projet (1)'!$A$243:$I$263,6,0)),0%,VLOOKUP(A117,'Données projet (1)'!$A$243:$I$263,6,0)*VLOOKUP('Données projet (1)'!$B$17,'Paramètres (1)'!$A$1:$I$88,7,0))</f>
        <v>#REF!</v>
      </c>
      <c r="GK117" s="135" t="str">
        <f t="shared" si="94"/>
        <v>#REF!</v>
      </c>
      <c r="GL117" s="142" t="str">
        <f>EXP(-LN(2)/35)*GL116+(1-EXP(-LN(2)/35))/(LN(2)/35)*GH117*GI117*VLOOKUP('Données projet (1)'!$B$17,'Paramètres (1)'!$A$1:$I$88,3,0)*0.475*44/12</f>
        <v>#REF!</v>
      </c>
      <c r="GM117" s="142" t="str">
        <f>EXP(-LN(2)/25)*GM116+(1-EXP(-LN(2)/25))/(LN(2)/25)*'Calculateur (1)'!GH117*'Calculateur (1)'!GJ117*VLOOKUP('Données projet (1)'!$B$17,'Paramètres (1)'!$A$1:$I$88,3,0)*0.475*44/12</f>
        <v>#REF!</v>
      </c>
      <c r="GN117" s="142" t="str">
        <f>EXP(-LN(2)/2)*GN116+(1-EXP(-LN(2)/2))/(LN(2)/2)*GH117*GK117*VLOOKUP('Données projet (1)'!$B$17,'Paramètres (1)'!$A$1:$I$88,3,0)*0.475*44/12</f>
        <v>#REF!</v>
      </c>
      <c r="GO117" s="142" t="str">
        <f t="shared" si="95"/>
        <v>#REF!</v>
      </c>
      <c r="GP117" s="139" t="str">
        <f t="shared" si="96"/>
        <v>#REF!</v>
      </c>
      <c r="GQ117" s="131">
        <f t="shared" si="97"/>
        <v>10</v>
      </c>
      <c r="GR117" s="131" t="str">
        <f t="shared" si="144"/>
        <v>#REF!</v>
      </c>
      <c r="GS117" s="131" t="str">
        <f t="shared" si="98"/>
        <v>#REF!</v>
      </c>
      <c r="GT117" s="131" t="str">
        <f t="array" ref="GT117">INDEX(GS:GS,MIN(IF(ISNUMBER(GS117:GS313),ROW(GS117:GS313),"")))</f>
        <v/>
      </c>
      <c r="GU117" s="131" t="str">
        <f t="shared" si="145"/>
        <v>#REF!</v>
      </c>
      <c r="GV117" s="138" t="str">
        <f>GU117*VLOOKUP('Données projet (1)'!$B$18,'Paramètres (1)'!$A$1:$I$88,3,0)*VLOOKUP('Données projet (1)'!$B$18,'Paramètres (1)'!$A$1:$I$88,5,0)</f>
        <v>#REF!</v>
      </c>
      <c r="GW117" s="130" t="str">
        <f t="shared" si="146"/>
        <v>#REF!</v>
      </c>
      <c r="GX117" s="141" t="str">
        <f t="shared" si="99"/>
        <v>#REF!</v>
      </c>
      <c r="GY117" s="133" t="str">
        <f t="shared" si="100"/>
        <v>#REF!</v>
      </c>
      <c r="GZ117" s="133" t="str">
        <f t="shared" si="101"/>
        <v>#REF!</v>
      </c>
      <c r="HA117" s="133" t="str">
        <f t="shared" si="147"/>
        <v>#REF!</v>
      </c>
      <c r="HB117" s="134" t="str">
        <f t="shared" si="102"/>
        <v>#REF!</v>
      </c>
      <c r="HC117" s="134" t="str">
        <f t="shared" si="103"/>
        <v>#REF!</v>
      </c>
      <c r="HD117" s="135" t="str">
        <f>IF(ISNA(VLOOKUP(A117,'Données projet (1)'!$A$269:$I$289,5,0)),0%,VLOOKUP(A117,'Données projet (1)'!$A$269:$I$289,5,0)*VLOOKUP('Données projet (1)'!$B$18,'Paramètres (1)'!$A$1:$I$88,7,0))</f>
        <v>#REF!</v>
      </c>
      <c r="HE117" s="135" t="str">
        <f>IF(ISNA(VLOOKUP(A117,'Données projet (1)'!$A$269:$I$289,6,0)),0%,VLOOKUP(A117,'Données projet (1)'!$A$269:$I$289,6,0)*VLOOKUP('Données projet (1)'!$B$18,'Paramètres (1)'!$A$1:$I$88,7,0))</f>
        <v>#REF!</v>
      </c>
      <c r="HF117" s="135" t="str">
        <f t="shared" si="104"/>
        <v>#REF!</v>
      </c>
      <c r="HG117" s="142" t="str">
        <f>EXP(-LN(2)/35)*HG116+(1-EXP(-LN(2)/35))/(LN(2)/35)*HC117*HD117*VLOOKUP('Données projet (1)'!$B$18,'Paramètres (1)'!$A$1:$I$88,3,0)*0.475*44/12</f>
        <v>#REF!</v>
      </c>
      <c r="HH117" s="142" t="str">
        <f>EXP(-LN(2)/25)*HH116+(1-EXP(-LN(2)/25))/(LN(2)/25)*'Calculateur (1)'!HC117*'Calculateur (1)'!HE117*VLOOKUP('Données projet (1)'!$B$18,'Paramètres (1)'!$A$1:$I$88,3,0)*0.475*44/12</f>
        <v>#REF!</v>
      </c>
      <c r="HI117" s="142" t="str">
        <f>EXP(-LN(2)/2)*HI116+(1-EXP(-LN(2)/2))/(LN(2)/2)*HC117*HF117*VLOOKUP('Données projet (1)'!$B$18,'Paramètres (1)'!$A$1:$I$88,3,0)*0.475*44/12</f>
        <v>#REF!</v>
      </c>
      <c r="HJ117" s="143" t="str">
        <f t="shared" si="105"/>
        <v>#REF!</v>
      </c>
    </row>
    <row r="118" ht="14.25" customHeight="1">
      <c r="A118" s="125">
        <f t="shared" si="106"/>
        <v>115</v>
      </c>
      <c r="B118" s="126" t="str">
        <f t="shared" si="1"/>
        <v>#REF!</v>
      </c>
      <c r="C118" s="140" t="str">
        <f>'Calculateur (1)'!C117+'Scénario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8" s="127">
        <f t="shared" si="107"/>
        <v>0</v>
      </c>
      <c r="E118" s="127" t="str">
        <f t="shared" si="2"/>
        <v>#REF!</v>
      </c>
      <c r="F118" s="127" t="str">
        <f t="shared" si="3"/>
        <v>#REF!</v>
      </c>
      <c r="G118" s="127" t="str">
        <f t="shared" si="4"/>
        <v>#REF!</v>
      </c>
      <c r="H118" s="128" t="str">
        <f t="shared" si="5"/>
        <v>#REF!</v>
      </c>
      <c r="I118" s="129" t="str">
        <f t="shared" si="6"/>
        <v>#REF!</v>
      </c>
      <c r="J118" s="130">
        <f t="shared" si="7"/>
        <v>10</v>
      </c>
      <c r="K118" s="131" t="str">
        <f t="shared" si="108"/>
        <v>#REF!</v>
      </c>
      <c r="L118" s="131" t="str">
        <f t="shared" si="8"/>
        <v>#REF!</v>
      </c>
      <c r="M118" s="131" t="str">
        <f t="array" ref="M118">INDEX(L:L,MIN(IF(ISNUMBER(L118:L314),ROW(L118:L314),"")))</f>
        <v/>
      </c>
      <c r="N118" s="130" t="str">
        <f t="shared" si="109"/>
        <v>#REF!</v>
      </c>
      <c r="O118" s="130" t="str">
        <f>N118*VLOOKUP('Données projet (1)'!$B$9,'Paramètres (1)'!$A$1:$I$88,3,0)*VLOOKUP('Données projet (1)'!$B$9,'Paramètres (1)'!$A$1:$I$88,5,0)</f>
        <v>#REF!</v>
      </c>
      <c r="P118" s="130" t="str">
        <f t="shared" si="110"/>
        <v>#REF!</v>
      </c>
      <c r="Q118" s="141" t="str">
        <f t="shared" si="9"/>
        <v>#REF!</v>
      </c>
      <c r="R118" s="133" t="str">
        <f t="shared" si="10"/>
        <v>#REF!</v>
      </c>
      <c r="S118" s="133" t="str">
        <f t="shared" si="11"/>
        <v>#REF!</v>
      </c>
      <c r="T118" s="133" t="str">
        <f t="shared" si="111"/>
        <v>#REF!</v>
      </c>
      <c r="U118" s="134" t="str">
        <f t="shared" si="12"/>
        <v>#REF!</v>
      </c>
      <c r="V118" s="134" t="str">
        <f t="shared" si="13"/>
        <v>#REF!</v>
      </c>
      <c r="W118" s="135" t="str">
        <f>IF(ISNA(VLOOKUP(A118,'Données projet (1)'!$A$35:$I$55,5,0)),0%,VLOOKUP(A118,'Données projet (1)'!$A$35:$I$55,5,0)*VLOOKUP('Données projet (1)'!$B$9,'Paramètres (1)'!$A$1:$I$88,7,0))</f>
        <v>#REF!</v>
      </c>
      <c r="X118" s="135" t="str">
        <f>IF(ISNA(VLOOKUP(A118,'Données projet (1)'!$A$35:$I$55,6,0)),0%,VLOOKUP(A118,'Données projet (1)'!$A$35:$I$55,6,0)*VLOOKUP('Données projet (1)'!$B$9,'Paramètres (1)'!$A$1:$I$88,7,0))</f>
        <v>#REF!</v>
      </c>
      <c r="Y118" s="135" t="str">
        <f t="shared" si="14"/>
        <v>#REF!</v>
      </c>
      <c r="Z118" s="142" t="str">
        <f>EXP(-LN(2)/35)*Z117+(1-EXP(-LN(2)/35))/(LN(2)/35)*V118*W118*VLOOKUP('Données projet (1)'!$B$9,'Paramètres (1)'!$A$1:$I$88,3,0)*0.475*44/12</f>
        <v>#REF!</v>
      </c>
      <c r="AA118" s="142" t="str">
        <f>EXP(-LN(2)/25)*AA117+(1-EXP(-LN(2)/25))/(LN(2)/25)*'Calculateur (1)'!V118*'Calculateur (1)'!X118*VLOOKUP('Données projet (1)'!$B$9,'Paramètres (1)'!$A$1:$I$88,3,0)*0.475*44/12</f>
        <v>#REF!</v>
      </c>
      <c r="AB118" s="142" t="str">
        <f>EXP(-LN(2)/2)*AB117+(1-EXP(-LN(2)/2))/(LN(2)/2)*V118*Y118*VLOOKUP('Données projet (1)'!$B$9,'Paramètres (1)'!$A$1:$I$88,3,0)*0.475*44/12</f>
        <v>#REF!</v>
      </c>
      <c r="AC118" s="143" t="str">
        <f t="shared" si="15"/>
        <v>#REF!</v>
      </c>
      <c r="AD118" s="130" t="str">
        <f t="shared" si="16"/>
        <v>#REF!</v>
      </c>
      <c r="AE118" s="130">
        <f t="shared" si="17"/>
        <v>10</v>
      </c>
      <c r="AF118" s="131" t="str">
        <f t="shared" si="112"/>
        <v>#REF!</v>
      </c>
      <c r="AG118" s="131" t="str">
        <f t="shared" si="18"/>
        <v>#REF!</v>
      </c>
      <c r="AH118" s="131" t="str">
        <f t="array" ref="AH118">INDEX(AG:AG,MIN(IF(ISNUMBER(AG118:AG314),ROW(AG118:AG314),"")))</f>
        <v/>
      </c>
      <c r="AI118" s="130" t="str">
        <f t="shared" si="113"/>
        <v>#REF!</v>
      </c>
      <c r="AJ118" s="130" t="str">
        <f>AI118*VLOOKUP('Données projet (1)'!$B$10,'Paramètres (1)'!$A$1:$I$88,3,0)*VLOOKUP('Données projet (1)'!$B$10,'Paramètres (1)'!$A$1:$I$88,5,0)</f>
        <v>#REF!</v>
      </c>
      <c r="AK118" s="130" t="str">
        <f t="shared" si="114"/>
        <v>#REF!</v>
      </c>
      <c r="AL118" s="141" t="str">
        <f t="shared" si="19"/>
        <v>#REF!</v>
      </c>
      <c r="AM118" s="133" t="str">
        <f t="shared" si="20"/>
        <v>#REF!</v>
      </c>
      <c r="AN118" s="133" t="str">
        <f t="shared" si="21"/>
        <v>#REF!</v>
      </c>
      <c r="AO118" s="133" t="str">
        <f t="shared" si="115"/>
        <v>#REF!</v>
      </c>
      <c r="AP118" s="134" t="str">
        <f t="shared" si="22"/>
        <v>#REF!</v>
      </c>
      <c r="AQ118" s="134" t="str">
        <f t="shared" si="23"/>
        <v>#REF!</v>
      </c>
      <c r="AR118" s="135" t="str">
        <f>IF(ISNA(VLOOKUP(A118,'Données projet (1)'!$A$61:$I$81,5,0)),0%,VLOOKUP(A118,'Données projet (1)'!$A$61:$I$81,5,0)*VLOOKUP('Données projet (1)'!$B$10,'Paramètres (1)'!$A$1:$I$88,7,0))</f>
        <v>#REF!</v>
      </c>
      <c r="AS118" s="135" t="str">
        <f>IF(ISNA(VLOOKUP(A118,'Données projet (1)'!$A$61:$I$81,6,0)),0%,VLOOKUP(A118,'Données projet (1)'!$A$61:$I$81,6,0)*VLOOKUP('Données projet (1)'!$B$10,'Paramètres (1)'!$A$1:$I$88,7,0))</f>
        <v>#REF!</v>
      </c>
      <c r="AT118" s="135" t="str">
        <f t="shared" si="24"/>
        <v>#REF!</v>
      </c>
      <c r="AU118" s="142" t="str">
        <f>EXP(-LN(2)/35)*AU117+(1-EXP(-LN(2)/35))/(LN(2)/35)*AQ118*AR118*VLOOKUP('Données projet (1)'!$B$10,'Paramètres (1)'!$A$1:$I$88,3,0)*0.475*44/12</f>
        <v>#REF!</v>
      </c>
      <c r="AV118" s="142" t="str">
        <f>EXP(-LN(2)/25)*AV117+(1-EXP(-LN(2)/25))/(LN(2)/25)*'Calculateur (1)'!AQ118*'Calculateur (1)'!AS118*VLOOKUP('Données projet (1)'!$B$10,'Paramètres (1)'!$A$1:$I$88,3,0)*0.475*44/12</f>
        <v>#REF!</v>
      </c>
      <c r="AW118" s="142" t="str">
        <f>EXP(-LN(2)/2)*AW117+(1-EXP(-LN(2)/2))/(LN(2)/2)*AQ118*AT118*VLOOKUP('Données projet (1)'!$B$10,'Paramètres (1)'!$A$1:$I$88,3,0)*0.475*44/12</f>
        <v>#REF!</v>
      </c>
      <c r="AX118" s="142" t="str">
        <f t="shared" si="25"/>
        <v>#REF!</v>
      </c>
      <c r="AY118" s="137" t="str">
        <f t="shared" si="26"/>
        <v>#REF!</v>
      </c>
      <c r="AZ118" s="131">
        <f t="shared" si="27"/>
        <v>10</v>
      </c>
      <c r="BA118" s="131" t="str">
        <f t="shared" si="116"/>
        <v>#REF!</v>
      </c>
      <c r="BB118" s="131" t="str">
        <f t="shared" si="28"/>
        <v>#REF!</v>
      </c>
      <c r="BC118" s="131" t="str">
        <f t="array" ref="BC118">INDEX(BB:BB,MIN(IF(ISNUMBER(BB118:BB314),ROW(BB118:BB314),"")))</f>
        <v/>
      </c>
      <c r="BD118" s="131" t="str">
        <f t="shared" si="117"/>
        <v>#REF!</v>
      </c>
      <c r="BE118" s="130" t="str">
        <f>BD118*VLOOKUP('Données projet (1)'!$B$11,'Paramètres (1)'!$A$1:$I$88,3,0)*VLOOKUP('Données projet (1)'!$B$11,'Paramètres (1)'!$A$1:$I$88,5,0)</f>
        <v>#REF!</v>
      </c>
      <c r="BF118" s="130" t="str">
        <f t="shared" si="118"/>
        <v>#REF!</v>
      </c>
      <c r="BG118" s="141" t="str">
        <f t="shared" si="29"/>
        <v>#REF!</v>
      </c>
      <c r="BH118" s="133" t="str">
        <f t="shared" si="30"/>
        <v>#REF!</v>
      </c>
      <c r="BI118" s="133" t="str">
        <f t="shared" si="31"/>
        <v>#REF!</v>
      </c>
      <c r="BJ118" s="133" t="str">
        <f t="shared" si="119"/>
        <v>#REF!</v>
      </c>
      <c r="BK118" s="134" t="str">
        <f t="shared" si="32"/>
        <v>#REF!</v>
      </c>
      <c r="BL118" s="134" t="str">
        <f t="shared" si="33"/>
        <v>#REF!</v>
      </c>
      <c r="BM118" s="135" t="str">
        <f>IF(ISNA(VLOOKUP(A118,'Données projet (1)'!$A$87:$I$107,5,0)),0%,VLOOKUP(A118,'Données projet (1)'!$A$87:$I$107,5,0)*VLOOKUP('Données projet (1)'!$B$11,'Paramètres (1)'!$A$1:$I$88,7,0))</f>
        <v>#REF!</v>
      </c>
      <c r="BN118" s="135" t="str">
        <f>IF(ISNA(VLOOKUP(A118,'Données projet (1)'!$A$87:$I$107,6,0)),0%,VLOOKUP(A118,'Données projet (1)'!$A$87:$I$107,6,0)*VLOOKUP('Données projet (1)'!$B$11,'Paramètres (1)'!$A$1:$I$88,7,0))</f>
        <v>#REF!</v>
      </c>
      <c r="BO118" s="135" t="str">
        <f t="shared" si="34"/>
        <v>#REF!</v>
      </c>
      <c r="BP118" s="142" t="str">
        <f>EXP(-LN(2)/35)*BP117+(1-EXP(-LN(2)/35))/(LN(2)/35)*BL118*BM118*VLOOKUP('Données projet (1)'!$B$11,'Paramètres (1)'!$A$1:$I$88,3,0)*0.475*44/12</f>
        <v>#REF!</v>
      </c>
      <c r="BQ118" s="142" t="str">
        <f>EXP(-LN(2)/25)*BQ117+(1-EXP(-LN(2)/25))/(LN(2)/25)*'Calculateur (1)'!BL118*'Calculateur (1)'!BN118*VLOOKUP('Données projet (1)'!$B$11,'Paramètres (1)'!$A$1:$I$88,3,0)*0.475*44/12</f>
        <v>#REF!</v>
      </c>
      <c r="BR118" s="142" t="str">
        <f>EXP(-LN(2)/2)*BR117+(1-EXP(-LN(2)/2))/(LN(2)/2)*BL118*BO118*VLOOKUP('Données projet (1)'!$B$11,'Paramètres (1)'!$A$1:$I$88,3,0)*0.475*44/12</f>
        <v>#REF!</v>
      </c>
      <c r="BS118" s="143" t="str">
        <f t="shared" si="35"/>
        <v>#REF!</v>
      </c>
      <c r="BT118" s="139" t="str">
        <f t="shared" si="36"/>
        <v>#REF!</v>
      </c>
      <c r="BU118" s="131">
        <f t="shared" si="37"/>
        <v>10</v>
      </c>
      <c r="BV118" s="131" t="str">
        <f t="shared" si="120"/>
        <v>#REF!</v>
      </c>
      <c r="BW118" s="131" t="str">
        <f t="shared" si="38"/>
        <v>#REF!</v>
      </c>
      <c r="BX118" s="131" t="str">
        <f t="array" ref="BX118">INDEX(BW:BW,MIN(IF(ISNUMBER(BW118:BW314),ROW(BW118:BW314),"")))</f>
        <v/>
      </c>
      <c r="BY118" s="131" t="str">
        <f t="shared" si="121"/>
        <v>#REF!</v>
      </c>
      <c r="BZ118" s="130" t="str">
        <f>BY118*VLOOKUP('Données projet (1)'!$B$12,'Paramètres (1)'!$A$1:$I$88,3,0)*VLOOKUP('Données projet (1)'!$B$12,'Paramètres (1)'!$A$1:$I$88,5,0)</f>
        <v>#REF!</v>
      </c>
      <c r="CA118" s="130" t="str">
        <f t="shared" si="122"/>
        <v>#REF!</v>
      </c>
      <c r="CB118" s="141" t="str">
        <f t="shared" si="39"/>
        <v>#REF!</v>
      </c>
      <c r="CC118" s="133" t="str">
        <f t="shared" si="40"/>
        <v>#REF!</v>
      </c>
      <c r="CD118" s="133" t="str">
        <f t="shared" si="41"/>
        <v>#REF!</v>
      </c>
      <c r="CE118" s="133" t="str">
        <f t="shared" si="123"/>
        <v>#REF!</v>
      </c>
      <c r="CF118" s="134" t="str">
        <f t="shared" si="42"/>
        <v>#REF!</v>
      </c>
      <c r="CG118" s="134" t="str">
        <f t="shared" si="43"/>
        <v>#REF!</v>
      </c>
      <c r="CH118" s="135" t="str">
        <f>IF(ISNA(VLOOKUP(A118,'Données projet (1)'!$A$113:$I$133,5,0)),0%,VLOOKUP(A118,'Données projet (1)'!$A$113:$I$133,5,0)*VLOOKUP('Données projet (1)'!$B$12,'Paramètres (1)'!$A$1:$I$88,7,0))</f>
        <v>#REF!</v>
      </c>
      <c r="CI118" s="135" t="str">
        <f>IF(ISNA(VLOOKUP(A118,'Données projet (1)'!$A$113:$I$133,6,0)),0%,VLOOKUP(A118,'Données projet (1)'!$A$113:$I$133,6,0)*VLOOKUP('Données projet (1)'!$B$12,'Paramètres (1)'!$A$1:$I$88,7,0))</f>
        <v>#REF!</v>
      </c>
      <c r="CJ118" s="135" t="str">
        <f t="shared" si="44"/>
        <v>#REF!</v>
      </c>
      <c r="CK118" s="142" t="str">
        <f>EXP(-LN(2)/35)*CK117+(1-EXP(-LN(2)/35))/(LN(2)/35)*CG118*CH118*VLOOKUP('Données projet (1)'!$B$12,'Paramètres (1)'!$A$1:$I$88,3,0)*0.475*44/12</f>
        <v>#REF!</v>
      </c>
      <c r="CL118" s="142" t="str">
        <f>EXP(-LN(2)/25)*CL117+(1-EXP(-LN(2)/25))/(LN(2)/25)*'Calculateur (1)'!CG118*'Calculateur (1)'!CI118*VLOOKUP('Données projet (1)'!$B$12,'Paramètres (1)'!$A$1:$I$88,3,0)*0.475*44/12</f>
        <v>#REF!</v>
      </c>
      <c r="CM118" s="142" t="str">
        <f>EXP(-LN(2)/2)*CM117+(1-EXP(-LN(2)/2))/(LN(2)/2)*CG118*CJ118*VLOOKUP('Données projet (1)'!$B$12,'Paramètres (1)'!$A$1:$I$88,3,0)*0.475*44/12</f>
        <v>#REF!</v>
      </c>
      <c r="CN118" s="143" t="str">
        <f t="shared" si="45"/>
        <v>#REF!</v>
      </c>
      <c r="CO118" s="139" t="str">
        <f t="shared" si="46"/>
        <v>#REF!</v>
      </c>
      <c r="CP118" s="131">
        <f t="shared" si="47"/>
        <v>10</v>
      </c>
      <c r="CQ118" s="131" t="str">
        <f t="shared" si="124"/>
        <v>#REF!</v>
      </c>
      <c r="CR118" s="131" t="str">
        <f t="shared" si="48"/>
        <v>#REF!</v>
      </c>
      <c r="CS118" s="131" t="str">
        <f t="array" ref="CS118">INDEX(CR:CR,MIN(IF(ISNUMBER(CR118:CR314),ROW(CR118:CR314),"")))</f>
        <v/>
      </c>
      <c r="CT118" s="131" t="str">
        <f t="shared" si="125"/>
        <v>#REF!</v>
      </c>
      <c r="CU118" s="138" t="str">
        <f>CT118*VLOOKUP('Données projet (1)'!$B$13,'Paramètres (1)'!$A$1:$I$88,3,0)*VLOOKUP('Données projet (1)'!$B$13,'Paramètres (1)'!$A$1:$I$88,5,0)</f>
        <v>#REF!</v>
      </c>
      <c r="CV118" s="130" t="str">
        <f t="shared" si="126"/>
        <v>#REF!</v>
      </c>
      <c r="CW118" s="141" t="str">
        <f t="shared" si="49"/>
        <v>#REF!</v>
      </c>
      <c r="CX118" s="133" t="str">
        <f t="shared" si="50"/>
        <v>#REF!</v>
      </c>
      <c r="CY118" s="133" t="str">
        <f t="shared" si="51"/>
        <v>#REF!</v>
      </c>
      <c r="CZ118" s="133" t="str">
        <f t="shared" si="127"/>
        <v>#REF!</v>
      </c>
      <c r="DA118" s="134" t="str">
        <f t="shared" si="52"/>
        <v>#REF!</v>
      </c>
      <c r="DB118" s="134" t="str">
        <f t="shared" si="53"/>
        <v>#REF!</v>
      </c>
      <c r="DC118" s="135" t="str">
        <f>IF(ISNA(VLOOKUP(A118,'Données projet (1)'!$A$139:$I$159,5,0)),0%,VLOOKUP(A118,'Données projet (1)'!$A$139:$I$159,5,0)*VLOOKUP('Données projet (1)'!$B$13,'Paramètres (1)'!$A$1:$I$88,7,0))</f>
        <v>#REF!</v>
      </c>
      <c r="DD118" s="135" t="str">
        <f>IF(ISNA(VLOOKUP(A118,'Données projet (1)'!$A$139:$I$159,6,0)),0%,VLOOKUP(A118,'Données projet (1)'!$A$139:$I$159,6,0)*VLOOKUP('Données projet (1)'!$B$13,'Paramètres (1)'!$A$1:$I$88,7,0))</f>
        <v>#REF!</v>
      </c>
      <c r="DE118" s="135" t="str">
        <f t="shared" si="54"/>
        <v>#REF!</v>
      </c>
      <c r="DF118" s="142" t="str">
        <f>EXP(-LN(2)/35)*DF117+(1-EXP(-LN(2)/35))/(LN(2)/35)*DB118*DC118*VLOOKUP('Données projet (1)'!$B$13,'Paramètres (1)'!$A$1:$I$88,3,0)*0.475*44/12</f>
        <v>#REF!</v>
      </c>
      <c r="DG118" s="142" t="str">
        <f>EXP(-LN(2)/25)*DG117+(1-EXP(-LN(2)/25))/(LN(2)/25)*'Calculateur (1)'!DB118*'Calculateur (1)'!DD118*VLOOKUP('Données projet (1)'!$B$13,'Paramètres (1)'!$A$1:$I$88,3,0)*0.475*44/12</f>
        <v>#REF!</v>
      </c>
      <c r="DH118" s="142" t="str">
        <f>EXP(-LN(2)/2)*DH117+(1-EXP(-LN(2)/2))/(LN(2)/2)*DB118*DE118*VLOOKUP('Données projet (1)'!$B$13,'Paramètres (1)'!$A$1:$I$88,3,0)*0.475*44/12</f>
        <v>#REF!</v>
      </c>
      <c r="DI118" s="143" t="str">
        <f t="shared" si="55"/>
        <v>#REF!</v>
      </c>
      <c r="DJ118" s="139" t="str">
        <f t="shared" si="56"/>
        <v>#REF!</v>
      </c>
      <c r="DK118" s="131">
        <f t="shared" si="57"/>
        <v>10</v>
      </c>
      <c r="DL118" s="131" t="str">
        <f t="shared" si="128"/>
        <v>#REF!</v>
      </c>
      <c r="DM118" s="131" t="str">
        <f t="shared" si="58"/>
        <v>#REF!</v>
      </c>
      <c r="DN118" s="131" t="str">
        <f t="array" ref="DN118">INDEX(DM:DM,MIN(IF(ISNUMBER(DM118:DM314),ROW(DM118:DM314),"")))</f>
        <v/>
      </c>
      <c r="DO118" s="131" t="str">
        <f t="shared" si="129"/>
        <v>#REF!</v>
      </c>
      <c r="DP118" s="138" t="str">
        <f>DO118*VLOOKUP('Données projet (1)'!$B$14,'Paramètres (1)'!$A$1:$I$88,3,0)*VLOOKUP('Données projet (1)'!$B$14,'Paramètres (1)'!$A$1:$I$88,5,0)</f>
        <v>#REF!</v>
      </c>
      <c r="DQ118" s="130" t="str">
        <f t="shared" si="130"/>
        <v>#REF!</v>
      </c>
      <c r="DR118" s="141" t="str">
        <f t="shared" si="59"/>
        <v>#REF!</v>
      </c>
      <c r="DS118" s="133" t="str">
        <f t="shared" si="60"/>
        <v>#REF!</v>
      </c>
      <c r="DT118" s="133" t="str">
        <f t="shared" si="61"/>
        <v>#REF!</v>
      </c>
      <c r="DU118" s="133" t="str">
        <f t="shared" si="131"/>
        <v>#REF!</v>
      </c>
      <c r="DV118" s="134" t="str">
        <f t="shared" si="62"/>
        <v>#REF!</v>
      </c>
      <c r="DW118" s="134" t="str">
        <f t="shared" si="63"/>
        <v>#REF!</v>
      </c>
      <c r="DX118" s="135" t="str">
        <f>IF(ISNA(VLOOKUP(A118,'Données projet (1)'!$A$165:$I$185,5,0)),0%,VLOOKUP(A118,'Données projet (1)'!$A$165:$I$185,5,0)*VLOOKUP('Données projet (1)'!$B$14,'Paramètres (1)'!$A$1:$I$88,7,0))</f>
        <v>#REF!</v>
      </c>
      <c r="DY118" s="135" t="str">
        <f>IF(ISNA(VLOOKUP(A118,'Données projet (1)'!$A$165:$I$185,6,0)),0%,VLOOKUP(A118,'Données projet (1)'!$A$165:$I$185,6,0)*VLOOKUP('Données projet (1)'!$B$14,'Paramètres (1)'!$A$1:$I$88,7,0))</f>
        <v>#REF!</v>
      </c>
      <c r="DZ118" s="135" t="str">
        <f t="shared" si="64"/>
        <v>#REF!</v>
      </c>
      <c r="EA118" s="142" t="str">
        <f>EXP(-LN(2)/35)*EA117+(1-EXP(-LN(2)/35))/(LN(2)/35)*DW118*DX118*VLOOKUP('Données projet (1)'!$B$14,'Paramètres (1)'!$A$1:$I$88,3,0)*0.475*44/12</f>
        <v>#REF!</v>
      </c>
      <c r="EB118" s="142" t="str">
        <f>EXP(-LN(2)/25)*EB117+(1-EXP(-LN(2)/25))/(LN(2)/25)*'Calculateur (1)'!DW118*'Calculateur (1)'!DY118*VLOOKUP('Données projet (1)'!$B$14,'Paramètres (1)'!$A$1:$I$88,3,0)*0.475*44/12</f>
        <v>#REF!</v>
      </c>
      <c r="EC118" s="142" t="str">
        <f>EXP(-LN(2)/2)*EC117+(1-EXP(-LN(2)/2))/(LN(2)/2)*DW118*DZ118*VLOOKUP('Données projet (1)'!$B$14,'Paramètres (1)'!$A$1:$I$88,3,0)*0.475*44/12</f>
        <v>#REF!</v>
      </c>
      <c r="ED118" s="143" t="str">
        <f t="shared" si="65"/>
        <v>#REF!</v>
      </c>
      <c r="EE118" s="139" t="str">
        <f t="shared" si="66"/>
        <v>#REF!</v>
      </c>
      <c r="EF118" s="131">
        <f t="shared" si="67"/>
        <v>10</v>
      </c>
      <c r="EG118" s="131" t="str">
        <f t="shared" si="132"/>
        <v>#REF!</v>
      </c>
      <c r="EH118" s="131" t="str">
        <f t="shared" si="68"/>
        <v>#REF!</v>
      </c>
      <c r="EI118" s="131" t="str">
        <f t="array" ref="EI118">INDEX(EH:EH,MIN(IF(ISNUMBER(EH118:EH314),ROW(EH118:EH314),"")))</f>
        <v/>
      </c>
      <c r="EJ118" s="131" t="str">
        <f t="shared" si="133"/>
        <v>#REF!</v>
      </c>
      <c r="EK118" s="138" t="str">
        <f>EJ118*VLOOKUP('Données projet (1)'!$B$15,'Paramètres (1)'!$A$1:$I$88,3,0)*VLOOKUP('Données projet (1)'!$B$15,'Paramètres (1)'!$A$1:$I$88,5,0)</f>
        <v>#REF!</v>
      </c>
      <c r="EL118" s="130" t="str">
        <f t="shared" si="134"/>
        <v>#REF!</v>
      </c>
      <c r="EM118" s="141" t="str">
        <f t="shared" si="69"/>
        <v>#REF!</v>
      </c>
      <c r="EN118" s="133" t="str">
        <f t="shared" si="70"/>
        <v>#REF!</v>
      </c>
      <c r="EO118" s="133" t="str">
        <f t="shared" si="71"/>
        <v>#REF!</v>
      </c>
      <c r="EP118" s="133" t="str">
        <f t="shared" si="135"/>
        <v>#REF!</v>
      </c>
      <c r="EQ118" s="134" t="str">
        <f t="shared" si="72"/>
        <v>#REF!</v>
      </c>
      <c r="ER118" s="134" t="str">
        <f t="shared" si="73"/>
        <v>#REF!</v>
      </c>
      <c r="ES118" s="135" t="str">
        <f>IF(ISNA(VLOOKUP(A118,'Données projet (1)'!$A$191:$I$211,5,0)),0%,VLOOKUP(A118,'Données projet (1)'!$A$191:$I$211,5,0)*VLOOKUP('Données projet (1)'!$B$15,'Paramètres (1)'!$A$1:$I$88,7,0))</f>
        <v>#REF!</v>
      </c>
      <c r="ET118" s="135" t="str">
        <f>IF(ISNA(VLOOKUP(A118,'Données projet (1)'!$A$191:$I$211,6,0)),0%,VLOOKUP(A118,'Données projet (1)'!$A$191:$I$211,6,0)*VLOOKUP('Données projet (1)'!$B$15,'Paramètres (1)'!$A$1:$I$88,7,0))</f>
        <v>#REF!</v>
      </c>
      <c r="EU118" s="135" t="str">
        <f t="shared" si="74"/>
        <v>#REF!</v>
      </c>
      <c r="EV118" s="142" t="str">
        <f>EXP(-LN(2)/35)*EV117+(1-EXP(-LN(2)/35))/(LN(2)/35)*ER118*ES118*VLOOKUP('Données projet (1)'!$B$15,'Paramètres (1)'!$A$1:$I$88,3,0)*0.475*44/12</f>
        <v>#REF!</v>
      </c>
      <c r="EW118" s="142" t="str">
        <f>EXP(-LN(2)/25)*EW117+(1-EXP(-LN(2)/25))/(LN(2)/25)*'Calculateur (1)'!ER118*'Calculateur (1)'!ET118*VLOOKUP('Données projet (1)'!$B$15,'Paramètres (1)'!$A$1:$I$88,3,0)*0.475*44/12</f>
        <v>#REF!</v>
      </c>
      <c r="EX118" s="142" t="str">
        <f>EXP(-LN(2)/2)*EX117+(1-EXP(-LN(2)/2))/(LN(2)/2)*ER118*EU118*VLOOKUP('Données projet (1)'!$B$15,'Paramètres (1)'!$A$1:$I$88,3,0)*0.475*44/12</f>
        <v>#REF!</v>
      </c>
      <c r="EY118" s="143" t="str">
        <f t="shared" si="75"/>
        <v>#REF!</v>
      </c>
      <c r="EZ118" s="139" t="str">
        <f t="shared" si="76"/>
        <v>#REF!</v>
      </c>
      <c r="FA118" s="131">
        <f t="shared" si="77"/>
        <v>10</v>
      </c>
      <c r="FB118" s="131" t="str">
        <f t="shared" si="136"/>
        <v>#REF!</v>
      </c>
      <c r="FC118" s="131" t="str">
        <f t="shared" si="78"/>
        <v>#REF!</v>
      </c>
      <c r="FD118" s="131" t="str">
        <f t="array" ref="FD118">INDEX(FC:FC,MIN(IF(ISNUMBER(FC118:FC314),ROW(FC118:FC314),"")))</f>
        <v/>
      </c>
      <c r="FE118" s="131" t="str">
        <f t="shared" si="137"/>
        <v>#REF!</v>
      </c>
      <c r="FF118" s="138" t="str">
        <f>FE118*VLOOKUP('Données projet (1)'!$B$16,'Paramètres (1)'!$A$1:$I$88,3,0)*VLOOKUP('Données projet (1)'!$B$16,'Paramètres (1)'!$A$1:$I$88,5,0)</f>
        <v>#REF!</v>
      </c>
      <c r="FG118" s="130" t="str">
        <f t="shared" si="138"/>
        <v>#REF!</v>
      </c>
      <c r="FH118" s="141" t="str">
        <f t="shared" si="79"/>
        <v>#REF!</v>
      </c>
      <c r="FI118" s="133" t="str">
        <f t="shared" si="80"/>
        <v>#REF!</v>
      </c>
      <c r="FJ118" s="133" t="str">
        <f t="shared" si="81"/>
        <v>#REF!</v>
      </c>
      <c r="FK118" s="133" t="str">
        <f t="shared" si="139"/>
        <v>#REF!</v>
      </c>
      <c r="FL118" s="134" t="str">
        <f t="shared" si="82"/>
        <v>#REF!</v>
      </c>
      <c r="FM118" s="134" t="str">
        <f t="shared" si="83"/>
        <v>#REF!</v>
      </c>
      <c r="FN118" s="135" t="str">
        <f>IF(ISNA(VLOOKUP(A118,'Données projet (1)'!$A$217:$I$237,5,0)),0%,VLOOKUP(A118,'Données projet (1)'!$A$217:$I$237,5,0)*VLOOKUP('Données projet (1)'!$B$16,'Paramètres (1)'!$A$1:$I$88,7,0))</f>
        <v>#REF!</v>
      </c>
      <c r="FO118" s="135" t="str">
        <f>IF(ISNA(VLOOKUP(A118,'Données projet (1)'!$A$217:$I$237,6,0)),0%,VLOOKUP(A118,'Données projet (1)'!$A$217:$I$237,6,0)*VLOOKUP('Données projet (1)'!$B$16,'Paramètres (1)'!$A$1:$I$88,7,0))</f>
        <v>#REF!</v>
      </c>
      <c r="FP118" s="135" t="str">
        <f t="shared" si="84"/>
        <v>#REF!</v>
      </c>
      <c r="FQ118" s="142" t="str">
        <f>EXP(-LN(2)/35)*FQ117+(1-EXP(-LN(2)/35))/(LN(2)/35)*FM118*FN118*VLOOKUP('Données projet (1)'!$B$16,'Paramètres (1)'!$A$1:$I$88,3,0)*0.475*44/12</f>
        <v>#REF!</v>
      </c>
      <c r="FR118" s="142" t="str">
        <f>EXP(-LN(2)/25)*FR117+(1-EXP(-LN(2)/25))/(LN(2)/25)*'Calculateur (1)'!FM118*'Calculateur (1)'!FO118*VLOOKUP('Données projet (1)'!$B$16,'Paramètres (1)'!$A$1:$I$88,3,0)*0.475*44/12</f>
        <v>#REF!</v>
      </c>
      <c r="FS118" s="142" t="str">
        <f>EXP(-LN(2)/2)*FS117+(1-EXP(-LN(2)/2))/(LN(2)/2)*FM118*FP118*VLOOKUP('Données projet (1)'!$B$16,'Paramètres (1)'!$A$1:$I$88,3,0)*0.475*44/12</f>
        <v>#REF!</v>
      </c>
      <c r="FT118" s="143" t="str">
        <f t="shared" si="85"/>
        <v>#REF!</v>
      </c>
      <c r="FU118" s="139" t="str">
        <f t="shared" si="86"/>
        <v>#REF!</v>
      </c>
      <c r="FV118" s="131">
        <f t="shared" si="87"/>
        <v>10</v>
      </c>
      <c r="FW118" s="131" t="str">
        <f t="shared" si="140"/>
        <v>#REF!</v>
      </c>
      <c r="FX118" s="131" t="str">
        <f t="shared" si="88"/>
        <v>#REF!</v>
      </c>
      <c r="FY118" s="131" t="str">
        <f t="array" ref="FY118">INDEX(FX:FX,MIN(IF(ISNUMBER(FX118:FX314),ROW(FX118:FX314),"")))</f>
        <v/>
      </c>
      <c r="FZ118" s="131" t="str">
        <f t="shared" si="141"/>
        <v>#REF!</v>
      </c>
      <c r="GA118" s="138" t="str">
        <f>FZ118*VLOOKUP('Données projet (1)'!$B$17,'Paramètres (1)'!$A$1:$I$88,3,0)*VLOOKUP('Données projet (1)'!$B$17,'Paramètres (1)'!$A$1:$I$88,5,0)</f>
        <v>#REF!</v>
      </c>
      <c r="GB118" s="130" t="str">
        <f t="shared" si="142"/>
        <v>#REF!</v>
      </c>
      <c r="GC118" s="141" t="str">
        <f t="shared" si="89"/>
        <v>#REF!</v>
      </c>
      <c r="GD118" s="133" t="str">
        <f t="shared" si="90"/>
        <v>#REF!</v>
      </c>
      <c r="GE118" s="133" t="str">
        <f t="shared" si="91"/>
        <v>#REF!</v>
      </c>
      <c r="GF118" s="133" t="str">
        <f t="shared" si="143"/>
        <v>#REF!</v>
      </c>
      <c r="GG118" s="134" t="str">
        <f t="shared" si="92"/>
        <v>#REF!</v>
      </c>
      <c r="GH118" s="134" t="str">
        <f t="shared" si="93"/>
        <v>#REF!</v>
      </c>
      <c r="GI118" s="135" t="str">
        <f>IF(ISNA(VLOOKUP(A118,'Données projet (1)'!$A$243:$I$263,5,0)),0%,VLOOKUP(A118,'Données projet (1)'!$A$243:$I$263,5,0)*VLOOKUP('Données projet (1)'!$B$17,'Paramètres (1)'!$A$1:$I$88,7,0))</f>
        <v>#REF!</v>
      </c>
      <c r="GJ118" s="135" t="str">
        <f>IF(ISNA(VLOOKUP(A118,'Données projet (1)'!$A$243:$I$263,6,0)),0%,VLOOKUP(A118,'Données projet (1)'!$A$243:$I$263,6,0)*VLOOKUP('Données projet (1)'!$B$17,'Paramètres (1)'!$A$1:$I$88,7,0))</f>
        <v>#REF!</v>
      </c>
      <c r="GK118" s="135" t="str">
        <f t="shared" si="94"/>
        <v>#REF!</v>
      </c>
      <c r="GL118" s="142" t="str">
        <f>EXP(-LN(2)/35)*GL117+(1-EXP(-LN(2)/35))/(LN(2)/35)*GH118*GI118*VLOOKUP('Données projet (1)'!$B$17,'Paramètres (1)'!$A$1:$I$88,3,0)*0.475*44/12</f>
        <v>#REF!</v>
      </c>
      <c r="GM118" s="142" t="str">
        <f>EXP(-LN(2)/25)*GM117+(1-EXP(-LN(2)/25))/(LN(2)/25)*'Calculateur (1)'!GH118*'Calculateur (1)'!GJ118*VLOOKUP('Données projet (1)'!$B$17,'Paramètres (1)'!$A$1:$I$88,3,0)*0.475*44/12</f>
        <v>#REF!</v>
      </c>
      <c r="GN118" s="142" t="str">
        <f>EXP(-LN(2)/2)*GN117+(1-EXP(-LN(2)/2))/(LN(2)/2)*GH118*GK118*VLOOKUP('Données projet (1)'!$B$17,'Paramètres (1)'!$A$1:$I$88,3,0)*0.475*44/12</f>
        <v>#REF!</v>
      </c>
      <c r="GO118" s="142" t="str">
        <f t="shared" si="95"/>
        <v>#REF!</v>
      </c>
      <c r="GP118" s="139" t="str">
        <f t="shared" si="96"/>
        <v>#REF!</v>
      </c>
      <c r="GQ118" s="131">
        <f t="shared" si="97"/>
        <v>10</v>
      </c>
      <c r="GR118" s="131" t="str">
        <f t="shared" si="144"/>
        <v>#REF!</v>
      </c>
      <c r="GS118" s="131" t="str">
        <f t="shared" si="98"/>
        <v>#REF!</v>
      </c>
      <c r="GT118" s="131" t="str">
        <f t="array" ref="GT118">INDEX(GS:GS,MIN(IF(ISNUMBER(GS118:GS314),ROW(GS118:GS314),"")))</f>
        <v/>
      </c>
      <c r="GU118" s="131" t="str">
        <f t="shared" si="145"/>
        <v>#REF!</v>
      </c>
      <c r="GV118" s="138" t="str">
        <f>GU118*VLOOKUP('Données projet (1)'!$B$18,'Paramètres (1)'!$A$1:$I$88,3,0)*VLOOKUP('Données projet (1)'!$B$18,'Paramètres (1)'!$A$1:$I$88,5,0)</f>
        <v>#REF!</v>
      </c>
      <c r="GW118" s="130" t="str">
        <f t="shared" si="146"/>
        <v>#REF!</v>
      </c>
      <c r="GX118" s="141" t="str">
        <f t="shared" si="99"/>
        <v>#REF!</v>
      </c>
      <c r="GY118" s="133" t="str">
        <f t="shared" si="100"/>
        <v>#REF!</v>
      </c>
      <c r="GZ118" s="133" t="str">
        <f t="shared" si="101"/>
        <v>#REF!</v>
      </c>
      <c r="HA118" s="133" t="str">
        <f t="shared" si="147"/>
        <v>#REF!</v>
      </c>
      <c r="HB118" s="134" t="str">
        <f t="shared" si="102"/>
        <v>#REF!</v>
      </c>
      <c r="HC118" s="134" t="str">
        <f t="shared" si="103"/>
        <v>#REF!</v>
      </c>
      <c r="HD118" s="135" t="str">
        <f>IF(ISNA(VLOOKUP(A118,'Données projet (1)'!$A$269:$I$289,5,0)),0%,VLOOKUP(A118,'Données projet (1)'!$A$269:$I$289,5,0)*VLOOKUP('Données projet (1)'!$B$18,'Paramètres (1)'!$A$1:$I$88,7,0))</f>
        <v>#REF!</v>
      </c>
      <c r="HE118" s="135" t="str">
        <f>IF(ISNA(VLOOKUP(A118,'Données projet (1)'!$A$269:$I$289,6,0)),0%,VLOOKUP(A118,'Données projet (1)'!$A$269:$I$289,6,0)*VLOOKUP('Données projet (1)'!$B$18,'Paramètres (1)'!$A$1:$I$88,7,0))</f>
        <v>#REF!</v>
      </c>
      <c r="HF118" s="135" t="str">
        <f t="shared" si="104"/>
        <v>#REF!</v>
      </c>
      <c r="HG118" s="142" t="str">
        <f>EXP(-LN(2)/35)*HG117+(1-EXP(-LN(2)/35))/(LN(2)/35)*HC118*HD118*VLOOKUP('Données projet (1)'!$B$18,'Paramètres (1)'!$A$1:$I$88,3,0)*0.475*44/12</f>
        <v>#REF!</v>
      </c>
      <c r="HH118" s="142" t="str">
        <f>EXP(-LN(2)/25)*HH117+(1-EXP(-LN(2)/25))/(LN(2)/25)*'Calculateur (1)'!HC118*'Calculateur (1)'!HE118*VLOOKUP('Données projet (1)'!$B$18,'Paramètres (1)'!$A$1:$I$88,3,0)*0.475*44/12</f>
        <v>#REF!</v>
      </c>
      <c r="HI118" s="142" t="str">
        <f>EXP(-LN(2)/2)*HI117+(1-EXP(-LN(2)/2))/(LN(2)/2)*HC118*HF118*VLOOKUP('Données projet (1)'!$B$18,'Paramètres (1)'!$A$1:$I$88,3,0)*0.475*44/12</f>
        <v>#REF!</v>
      </c>
      <c r="HJ118" s="143" t="str">
        <f t="shared" si="105"/>
        <v>#REF!</v>
      </c>
    </row>
    <row r="119" ht="14.25" customHeight="1">
      <c r="A119" s="125">
        <f t="shared" si="106"/>
        <v>116</v>
      </c>
      <c r="B119" s="126" t="str">
        <f t="shared" si="1"/>
        <v>#REF!</v>
      </c>
      <c r="C119" s="140" t="str">
        <f>'Calculateur (1)'!C118+'Scénario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9" s="127">
        <f t="shared" si="107"/>
        <v>0</v>
      </c>
      <c r="E119" s="127" t="str">
        <f t="shared" si="2"/>
        <v>#REF!</v>
      </c>
      <c r="F119" s="127" t="str">
        <f t="shared" si="3"/>
        <v>#REF!</v>
      </c>
      <c r="G119" s="127" t="str">
        <f t="shared" si="4"/>
        <v>#REF!</v>
      </c>
      <c r="H119" s="128" t="str">
        <f t="shared" si="5"/>
        <v>#REF!</v>
      </c>
      <c r="I119" s="129" t="str">
        <f t="shared" si="6"/>
        <v>#REF!</v>
      </c>
      <c r="J119" s="130">
        <f t="shared" si="7"/>
        <v>10</v>
      </c>
      <c r="K119" s="131" t="str">
        <f t="shared" si="108"/>
        <v>#REF!</v>
      </c>
      <c r="L119" s="131" t="str">
        <f t="shared" si="8"/>
        <v>#REF!</v>
      </c>
      <c r="M119" s="131" t="str">
        <f t="array" ref="M119">INDEX(L:L,MIN(IF(ISNUMBER(L119:L315),ROW(L119:L315),"")))</f>
        <v/>
      </c>
      <c r="N119" s="130" t="str">
        <f t="shared" si="109"/>
        <v>#REF!</v>
      </c>
      <c r="O119" s="130" t="str">
        <f>N119*VLOOKUP('Données projet (1)'!$B$9,'Paramètres (1)'!$A$1:$I$88,3,0)*VLOOKUP('Données projet (1)'!$B$9,'Paramètres (1)'!$A$1:$I$88,5,0)</f>
        <v>#REF!</v>
      </c>
      <c r="P119" s="130" t="str">
        <f t="shared" si="110"/>
        <v>#REF!</v>
      </c>
      <c r="Q119" s="141" t="str">
        <f t="shared" si="9"/>
        <v>#REF!</v>
      </c>
      <c r="R119" s="133" t="str">
        <f t="shared" si="10"/>
        <v>#REF!</v>
      </c>
      <c r="S119" s="133" t="str">
        <f t="shared" si="11"/>
        <v>#REF!</v>
      </c>
      <c r="T119" s="133" t="str">
        <f t="shared" si="111"/>
        <v>#REF!</v>
      </c>
      <c r="U119" s="134" t="str">
        <f t="shared" si="12"/>
        <v>#REF!</v>
      </c>
      <c r="V119" s="134" t="str">
        <f t="shared" si="13"/>
        <v>#REF!</v>
      </c>
      <c r="W119" s="135" t="str">
        <f>IF(ISNA(VLOOKUP(A119,'Données projet (1)'!$A$35:$I$55,5,0)),0%,VLOOKUP(A119,'Données projet (1)'!$A$35:$I$55,5,0)*VLOOKUP('Données projet (1)'!$B$9,'Paramètres (1)'!$A$1:$I$88,7,0))</f>
        <v>#REF!</v>
      </c>
      <c r="X119" s="135" t="str">
        <f>IF(ISNA(VLOOKUP(A119,'Données projet (1)'!$A$35:$I$55,6,0)),0%,VLOOKUP(A119,'Données projet (1)'!$A$35:$I$55,6,0)*VLOOKUP('Données projet (1)'!$B$9,'Paramètres (1)'!$A$1:$I$88,7,0))</f>
        <v>#REF!</v>
      </c>
      <c r="Y119" s="135" t="str">
        <f t="shared" si="14"/>
        <v>#REF!</v>
      </c>
      <c r="Z119" s="142" t="str">
        <f>EXP(-LN(2)/35)*Z118+(1-EXP(-LN(2)/35))/(LN(2)/35)*V119*W119*VLOOKUP('Données projet (1)'!$B$9,'Paramètres (1)'!$A$1:$I$88,3,0)*0.475*44/12</f>
        <v>#REF!</v>
      </c>
      <c r="AA119" s="142" t="str">
        <f>EXP(-LN(2)/25)*AA118+(1-EXP(-LN(2)/25))/(LN(2)/25)*'Calculateur (1)'!V119*'Calculateur (1)'!X119*VLOOKUP('Données projet (1)'!$B$9,'Paramètres (1)'!$A$1:$I$88,3,0)*0.475*44/12</f>
        <v>#REF!</v>
      </c>
      <c r="AB119" s="142" t="str">
        <f>EXP(-LN(2)/2)*AB118+(1-EXP(-LN(2)/2))/(LN(2)/2)*V119*Y119*VLOOKUP('Données projet (1)'!$B$9,'Paramètres (1)'!$A$1:$I$88,3,0)*0.475*44/12</f>
        <v>#REF!</v>
      </c>
      <c r="AC119" s="143" t="str">
        <f t="shared" si="15"/>
        <v>#REF!</v>
      </c>
      <c r="AD119" s="130" t="str">
        <f t="shared" si="16"/>
        <v>#REF!</v>
      </c>
      <c r="AE119" s="130">
        <f t="shared" si="17"/>
        <v>10</v>
      </c>
      <c r="AF119" s="131" t="str">
        <f t="shared" si="112"/>
        <v>#REF!</v>
      </c>
      <c r="AG119" s="131" t="str">
        <f t="shared" si="18"/>
        <v>#REF!</v>
      </c>
      <c r="AH119" s="131" t="str">
        <f t="array" ref="AH119">INDEX(AG:AG,MIN(IF(ISNUMBER(AG119:AG315),ROW(AG119:AG315),"")))</f>
        <v/>
      </c>
      <c r="AI119" s="130" t="str">
        <f t="shared" si="113"/>
        <v>#REF!</v>
      </c>
      <c r="AJ119" s="130" t="str">
        <f>AI119*VLOOKUP('Données projet (1)'!$B$10,'Paramètres (1)'!$A$1:$I$88,3,0)*VLOOKUP('Données projet (1)'!$B$10,'Paramètres (1)'!$A$1:$I$88,5,0)</f>
        <v>#REF!</v>
      </c>
      <c r="AK119" s="130" t="str">
        <f t="shared" si="114"/>
        <v>#REF!</v>
      </c>
      <c r="AL119" s="141" t="str">
        <f t="shared" si="19"/>
        <v>#REF!</v>
      </c>
      <c r="AM119" s="133" t="str">
        <f t="shared" si="20"/>
        <v>#REF!</v>
      </c>
      <c r="AN119" s="133" t="str">
        <f t="shared" si="21"/>
        <v>#REF!</v>
      </c>
      <c r="AO119" s="133" t="str">
        <f t="shared" si="115"/>
        <v>#REF!</v>
      </c>
      <c r="AP119" s="134" t="str">
        <f t="shared" si="22"/>
        <v>#REF!</v>
      </c>
      <c r="AQ119" s="134" t="str">
        <f t="shared" si="23"/>
        <v>#REF!</v>
      </c>
      <c r="AR119" s="135" t="str">
        <f>IF(ISNA(VLOOKUP(A119,'Données projet (1)'!$A$61:$I$81,5,0)),0%,VLOOKUP(A119,'Données projet (1)'!$A$61:$I$81,5,0)*VLOOKUP('Données projet (1)'!$B$10,'Paramètres (1)'!$A$1:$I$88,7,0))</f>
        <v>#REF!</v>
      </c>
      <c r="AS119" s="135" t="str">
        <f>IF(ISNA(VLOOKUP(A119,'Données projet (1)'!$A$61:$I$81,6,0)),0%,VLOOKUP(A119,'Données projet (1)'!$A$61:$I$81,6,0)*VLOOKUP('Données projet (1)'!$B$10,'Paramètres (1)'!$A$1:$I$88,7,0))</f>
        <v>#REF!</v>
      </c>
      <c r="AT119" s="135" t="str">
        <f t="shared" si="24"/>
        <v>#REF!</v>
      </c>
      <c r="AU119" s="142" t="str">
        <f>EXP(-LN(2)/35)*AU118+(1-EXP(-LN(2)/35))/(LN(2)/35)*AQ119*AR119*VLOOKUP('Données projet (1)'!$B$10,'Paramètres (1)'!$A$1:$I$88,3,0)*0.475*44/12</f>
        <v>#REF!</v>
      </c>
      <c r="AV119" s="142" t="str">
        <f>EXP(-LN(2)/25)*AV118+(1-EXP(-LN(2)/25))/(LN(2)/25)*'Calculateur (1)'!AQ119*'Calculateur (1)'!AS119*VLOOKUP('Données projet (1)'!$B$10,'Paramètres (1)'!$A$1:$I$88,3,0)*0.475*44/12</f>
        <v>#REF!</v>
      </c>
      <c r="AW119" s="142" t="str">
        <f>EXP(-LN(2)/2)*AW118+(1-EXP(-LN(2)/2))/(LN(2)/2)*AQ119*AT119*VLOOKUP('Données projet (1)'!$B$10,'Paramètres (1)'!$A$1:$I$88,3,0)*0.475*44/12</f>
        <v>#REF!</v>
      </c>
      <c r="AX119" s="142" t="str">
        <f t="shared" si="25"/>
        <v>#REF!</v>
      </c>
      <c r="AY119" s="137" t="str">
        <f t="shared" si="26"/>
        <v>#REF!</v>
      </c>
      <c r="AZ119" s="131">
        <f t="shared" si="27"/>
        <v>10</v>
      </c>
      <c r="BA119" s="131" t="str">
        <f t="shared" si="116"/>
        <v>#REF!</v>
      </c>
      <c r="BB119" s="131" t="str">
        <f t="shared" si="28"/>
        <v>#REF!</v>
      </c>
      <c r="BC119" s="131" t="str">
        <f t="array" ref="BC119">INDEX(BB:BB,MIN(IF(ISNUMBER(BB119:BB315),ROW(BB119:BB315),"")))</f>
        <v/>
      </c>
      <c r="BD119" s="131" t="str">
        <f t="shared" si="117"/>
        <v>#REF!</v>
      </c>
      <c r="BE119" s="130" t="str">
        <f>BD119*VLOOKUP('Données projet (1)'!$B$11,'Paramètres (1)'!$A$1:$I$88,3,0)*VLOOKUP('Données projet (1)'!$B$11,'Paramètres (1)'!$A$1:$I$88,5,0)</f>
        <v>#REF!</v>
      </c>
      <c r="BF119" s="130" t="str">
        <f t="shared" si="118"/>
        <v>#REF!</v>
      </c>
      <c r="BG119" s="141" t="str">
        <f t="shared" si="29"/>
        <v>#REF!</v>
      </c>
      <c r="BH119" s="133" t="str">
        <f t="shared" si="30"/>
        <v>#REF!</v>
      </c>
      <c r="BI119" s="133" t="str">
        <f t="shared" si="31"/>
        <v>#REF!</v>
      </c>
      <c r="BJ119" s="133" t="str">
        <f t="shared" si="119"/>
        <v>#REF!</v>
      </c>
      <c r="BK119" s="134" t="str">
        <f t="shared" si="32"/>
        <v>#REF!</v>
      </c>
      <c r="BL119" s="134" t="str">
        <f t="shared" si="33"/>
        <v>#REF!</v>
      </c>
      <c r="BM119" s="135" t="str">
        <f>IF(ISNA(VLOOKUP(A119,'Données projet (1)'!$A$87:$I$107,5,0)),0%,VLOOKUP(A119,'Données projet (1)'!$A$87:$I$107,5,0)*VLOOKUP('Données projet (1)'!$B$11,'Paramètres (1)'!$A$1:$I$88,7,0))</f>
        <v>#REF!</v>
      </c>
      <c r="BN119" s="135" t="str">
        <f>IF(ISNA(VLOOKUP(A119,'Données projet (1)'!$A$87:$I$107,6,0)),0%,VLOOKUP(A119,'Données projet (1)'!$A$87:$I$107,6,0)*VLOOKUP('Données projet (1)'!$B$11,'Paramètres (1)'!$A$1:$I$88,7,0))</f>
        <v>#REF!</v>
      </c>
      <c r="BO119" s="135" t="str">
        <f t="shared" si="34"/>
        <v>#REF!</v>
      </c>
      <c r="BP119" s="142" t="str">
        <f>EXP(-LN(2)/35)*BP118+(1-EXP(-LN(2)/35))/(LN(2)/35)*BL119*BM119*VLOOKUP('Données projet (1)'!$B$11,'Paramètres (1)'!$A$1:$I$88,3,0)*0.475*44/12</f>
        <v>#REF!</v>
      </c>
      <c r="BQ119" s="142" t="str">
        <f>EXP(-LN(2)/25)*BQ118+(1-EXP(-LN(2)/25))/(LN(2)/25)*'Calculateur (1)'!BL119*'Calculateur (1)'!BN119*VLOOKUP('Données projet (1)'!$B$11,'Paramètres (1)'!$A$1:$I$88,3,0)*0.475*44/12</f>
        <v>#REF!</v>
      </c>
      <c r="BR119" s="142" t="str">
        <f>EXP(-LN(2)/2)*BR118+(1-EXP(-LN(2)/2))/(LN(2)/2)*BL119*BO119*VLOOKUP('Données projet (1)'!$B$11,'Paramètres (1)'!$A$1:$I$88,3,0)*0.475*44/12</f>
        <v>#REF!</v>
      </c>
      <c r="BS119" s="143" t="str">
        <f t="shared" si="35"/>
        <v>#REF!</v>
      </c>
      <c r="BT119" s="139" t="str">
        <f t="shared" si="36"/>
        <v>#REF!</v>
      </c>
      <c r="BU119" s="131">
        <f t="shared" si="37"/>
        <v>10</v>
      </c>
      <c r="BV119" s="131" t="str">
        <f t="shared" si="120"/>
        <v>#REF!</v>
      </c>
      <c r="BW119" s="131" t="str">
        <f t="shared" si="38"/>
        <v>#REF!</v>
      </c>
      <c r="BX119" s="131" t="str">
        <f t="array" ref="BX119">INDEX(BW:BW,MIN(IF(ISNUMBER(BW119:BW315),ROW(BW119:BW315),"")))</f>
        <v/>
      </c>
      <c r="BY119" s="131" t="str">
        <f t="shared" si="121"/>
        <v>#REF!</v>
      </c>
      <c r="BZ119" s="130" t="str">
        <f>BY119*VLOOKUP('Données projet (1)'!$B$12,'Paramètres (1)'!$A$1:$I$88,3,0)*VLOOKUP('Données projet (1)'!$B$12,'Paramètres (1)'!$A$1:$I$88,5,0)</f>
        <v>#REF!</v>
      </c>
      <c r="CA119" s="130" t="str">
        <f t="shared" si="122"/>
        <v>#REF!</v>
      </c>
      <c r="CB119" s="141" t="str">
        <f t="shared" si="39"/>
        <v>#REF!</v>
      </c>
      <c r="CC119" s="133" t="str">
        <f t="shared" si="40"/>
        <v>#REF!</v>
      </c>
      <c r="CD119" s="133" t="str">
        <f t="shared" si="41"/>
        <v>#REF!</v>
      </c>
      <c r="CE119" s="133" t="str">
        <f t="shared" si="123"/>
        <v>#REF!</v>
      </c>
      <c r="CF119" s="134" t="str">
        <f t="shared" si="42"/>
        <v>#REF!</v>
      </c>
      <c r="CG119" s="134" t="str">
        <f t="shared" si="43"/>
        <v>#REF!</v>
      </c>
      <c r="CH119" s="135" t="str">
        <f>IF(ISNA(VLOOKUP(A119,'Données projet (1)'!$A$113:$I$133,5,0)),0%,VLOOKUP(A119,'Données projet (1)'!$A$113:$I$133,5,0)*VLOOKUP('Données projet (1)'!$B$12,'Paramètres (1)'!$A$1:$I$88,7,0))</f>
        <v>#REF!</v>
      </c>
      <c r="CI119" s="135" t="str">
        <f>IF(ISNA(VLOOKUP(A119,'Données projet (1)'!$A$113:$I$133,6,0)),0%,VLOOKUP(A119,'Données projet (1)'!$A$113:$I$133,6,0)*VLOOKUP('Données projet (1)'!$B$12,'Paramètres (1)'!$A$1:$I$88,7,0))</f>
        <v>#REF!</v>
      </c>
      <c r="CJ119" s="135" t="str">
        <f t="shared" si="44"/>
        <v>#REF!</v>
      </c>
      <c r="CK119" s="142" t="str">
        <f>EXP(-LN(2)/35)*CK118+(1-EXP(-LN(2)/35))/(LN(2)/35)*CG119*CH119*VLOOKUP('Données projet (1)'!$B$12,'Paramètres (1)'!$A$1:$I$88,3,0)*0.475*44/12</f>
        <v>#REF!</v>
      </c>
      <c r="CL119" s="142" t="str">
        <f>EXP(-LN(2)/25)*CL118+(1-EXP(-LN(2)/25))/(LN(2)/25)*'Calculateur (1)'!CG119*'Calculateur (1)'!CI119*VLOOKUP('Données projet (1)'!$B$12,'Paramètres (1)'!$A$1:$I$88,3,0)*0.475*44/12</f>
        <v>#REF!</v>
      </c>
      <c r="CM119" s="142" t="str">
        <f>EXP(-LN(2)/2)*CM118+(1-EXP(-LN(2)/2))/(LN(2)/2)*CG119*CJ119*VLOOKUP('Données projet (1)'!$B$12,'Paramètres (1)'!$A$1:$I$88,3,0)*0.475*44/12</f>
        <v>#REF!</v>
      </c>
      <c r="CN119" s="143" t="str">
        <f t="shared" si="45"/>
        <v>#REF!</v>
      </c>
      <c r="CO119" s="139" t="str">
        <f t="shared" si="46"/>
        <v>#REF!</v>
      </c>
      <c r="CP119" s="131">
        <f t="shared" si="47"/>
        <v>10</v>
      </c>
      <c r="CQ119" s="131" t="str">
        <f t="shared" si="124"/>
        <v>#REF!</v>
      </c>
      <c r="CR119" s="131" t="str">
        <f t="shared" si="48"/>
        <v>#REF!</v>
      </c>
      <c r="CS119" s="131" t="str">
        <f t="array" ref="CS119">INDEX(CR:CR,MIN(IF(ISNUMBER(CR119:CR315),ROW(CR119:CR315),"")))</f>
        <v/>
      </c>
      <c r="CT119" s="131" t="str">
        <f t="shared" si="125"/>
        <v>#REF!</v>
      </c>
      <c r="CU119" s="138" t="str">
        <f>CT119*VLOOKUP('Données projet (1)'!$B$13,'Paramètres (1)'!$A$1:$I$88,3,0)*VLOOKUP('Données projet (1)'!$B$13,'Paramètres (1)'!$A$1:$I$88,5,0)</f>
        <v>#REF!</v>
      </c>
      <c r="CV119" s="130" t="str">
        <f t="shared" si="126"/>
        <v>#REF!</v>
      </c>
      <c r="CW119" s="141" t="str">
        <f t="shared" si="49"/>
        <v>#REF!</v>
      </c>
      <c r="CX119" s="133" t="str">
        <f t="shared" si="50"/>
        <v>#REF!</v>
      </c>
      <c r="CY119" s="133" t="str">
        <f t="shared" si="51"/>
        <v>#REF!</v>
      </c>
      <c r="CZ119" s="133" t="str">
        <f t="shared" si="127"/>
        <v>#REF!</v>
      </c>
      <c r="DA119" s="134" t="str">
        <f t="shared" si="52"/>
        <v>#REF!</v>
      </c>
      <c r="DB119" s="134" t="str">
        <f t="shared" si="53"/>
        <v>#REF!</v>
      </c>
      <c r="DC119" s="135" t="str">
        <f>IF(ISNA(VLOOKUP(A119,'Données projet (1)'!$A$139:$I$159,5,0)),0%,VLOOKUP(A119,'Données projet (1)'!$A$139:$I$159,5,0)*VLOOKUP('Données projet (1)'!$B$13,'Paramètres (1)'!$A$1:$I$88,7,0))</f>
        <v>#REF!</v>
      </c>
      <c r="DD119" s="135" t="str">
        <f>IF(ISNA(VLOOKUP(A119,'Données projet (1)'!$A$139:$I$159,6,0)),0%,VLOOKUP(A119,'Données projet (1)'!$A$139:$I$159,6,0)*VLOOKUP('Données projet (1)'!$B$13,'Paramètres (1)'!$A$1:$I$88,7,0))</f>
        <v>#REF!</v>
      </c>
      <c r="DE119" s="135" t="str">
        <f t="shared" si="54"/>
        <v>#REF!</v>
      </c>
      <c r="DF119" s="142" t="str">
        <f>EXP(-LN(2)/35)*DF118+(1-EXP(-LN(2)/35))/(LN(2)/35)*DB119*DC119*VLOOKUP('Données projet (1)'!$B$13,'Paramètres (1)'!$A$1:$I$88,3,0)*0.475*44/12</f>
        <v>#REF!</v>
      </c>
      <c r="DG119" s="142" t="str">
        <f>EXP(-LN(2)/25)*DG118+(1-EXP(-LN(2)/25))/(LN(2)/25)*'Calculateur (1)'!DB119*'Calculateur (1)'!DD119*VLOOKUP('Données projet (1)'!$B$13,'Paramètres (1)'!$A$1:$I$88,3,0)*0.475*44/12</f>
        <v>#REF!</v>
      </c>
      <c r="DH119" s="142" t="str">
        <f>EXP(-LN(2)/2)*DH118+(1-EXP(-LN(2)/2))/(LN(2)/2)*DB119*DE119*VLOOKUP('Données projet (1)'!$B$13,'Paramètres (1)'!$A$1:$I$88,3,0)*0.475*44/12</f>
        <v>#REF!</v>
      </c>
      <c r="DI119" s="143" t="str">
        <f t="shared" si="55"/>
        <v>#REF!</v>
      </c>
      <c r="DJ119" s="139" t="str">
        <f t="shared" si="56"/>
        <v>#REF!</v>
      </c>
      <c r="DK119" s="131">
        <f t="shared" si="57"/>
        <v>10</v>
      </c>
      <c r="DL119" s="131" t="str">
        <f t="shared" si="128"/>
        <v>#REF!</v>
      </c>
      <c r="DM119" s="131" t="str">
        <f t="shared" si="58"/>
        <v>#REF!</v>
      </c>
      <c r="DN119" s="131" t="str">
        <f t="array" ref="DN119">INDEX(DM:DM,MIN(IF(ISNUMBER(DM119:DM315),ROW(DM119:DM315),"")))</f>
        <v/>
      </c>
      <c r="DO119" s="131" t="str">
        <f t="shared" si="129"/>
        <v>#REF!</v>
      </c>
      <c r="DP119" s="138" t="str">
        <f>DO119*VLOOKUP('Données projet (1)'!$B$14,'Paramètres (1)'!$A$1:$I$88,3,0)*VLOOKUP('Données projet (1)'!$B$14,'Paramètres (1)'!$A$1:$I$88,5,0)</f>
        <v>#REF!</v>
      </c>
      <c r="DQ119" s="130" t="str">
        <f t="shared" si="130"/>
        <v>#REF!</v>
      </c>
      <c r="DR119" s="141" t="str">
        <f t="shared" si="59"/>
        <v>#REF!</v>
      </c>
      <c r="DS119" s="133" t="str">
        <f t="shared" si="60"/>
        <v>#REF!</v>
      </c>
      <c r="DT119" s="133" t="str">
        <f t="shared" si="61"/>
        <v>#REF!</v>
      </c>
      <c r="DU119" s="133" t="str">
        <f t="shared" si="131"/>
        <v>#REF!</v>
      </c>
      <c r="DV119" s="134" t="str">
        <f t="shared" si="62"/>
        <v>#REF!</v>
      </c>
      <c r="DW119" s="134" t="str">
        <f t="shared" si="63"/>
        <v>#REF!</v>
      </c>
      <c r="DX119" s="135" t="str">
        <f>IF(ISNA(VLOOKUP(A119,'Données projet (1)'!$A$165:$I$185,5,0)),0%,VLOOKUP(A119,'Données projet (1)'!$A$165:$I$185,5,0)*VLOOKUP('Données projet (1)'!$B$14,'Paramètres (1)'!$A$1:$I$88,7,0))</f>
        <v>#REF!</v>
      </c>
      <c r="DY119" s="135" t="str">
        <f>IF(ISNA(VLOOKUP(A119,'Données projet (1)'!$A$165:$I$185,6,0)),0%,VLOOKUP(A119,'Données projet (1)'!$A$165:$I$185,6,0)*VLOOKUP('Données projet (1)'!$B$14,'Paramètres (1)'!$A$1:$I$88,7,0))</f>
        <v>#REF!</v>
      </c>
      <c r="DZ119" s="135" t="str">
        <f t="shared" si="64"/>
        <v>#REF!</v>
      </c>
      <c r="EA119" s="142" t="str">
        <f>EXP(-LN(2)/35)*EA118+(1-EXP(-LN(2)/35))/(LN(2)/35)*DW119*DX119*VLOOKUP('Données projet (1)'!$B$14,'Paramètres (1)'!$A$1:$I$88,3,0)*0.475*44/12</f>
        <v>#REF!</v>
      </c>
      <c r="EB119" s="142" t="str">
        <f>EXP(-LN(2)/25)*EB118+(1-EXP(-LN(2)/25))/(LN(2)/25)*'Calculateur (1)'!DW119*'Calculateur (1)'!DY119*VLOOKUP('Données projet (1)'!$B$14,'Paramètres (1)'!$A$1:$I$88,3,0)*0.475*44/12</f>
        <v>#REF!</v>
      </c>
      <c r="EC119" s="142" t="str">
        <f>EXP(-LN(2)/2)*EC118+(1-EXP(-LN(2)/2))/(LN(2)/2)*DW119*DZ119*VLOOKUP('Données projet (1)'!$B$14,'Paramètres (1)'!$A$1:$I$88,3,0)*0.475*44/12</f>
        <v>#REF!</v>
      </c>
      <c r="ED119" s="143" t="str">
        <f t="shared" si="65"/>
        <v>#REF!</v>
      </c>
      <c r="EE119" s="139" t="str">
        <f t="shared" si="66"/>
        <v>#REF!</v>
      </c>
      <c r="EF119" s="131">
        <f t="shared" si="67"/>
        <v>10</v>
      </c>
      <c r="EG119" s="131" t="str">
        <f t="shared" si="132"/>
        <v>#REF!</v>
      </c>
      <c r="EH119" s="131" t="str">
        <f t="shared" si="68"/>
        <v>#REF!</v>
      </c>
      <c r="EI119" s="131" t="str">
        <f t="array" ref="EI119">INDEX(EH:EH,MIN(IF(ISNUMBER(EH119:EH315),ROW(EH119:EH315),"")))</f>
        <v/>
      </c>
      <c r="EJ119" s="131" t="str">
        <f t="shared" si="133"/>
        <v>#REF!</v>
      </c>
      <c r="EK119" s="138" t="str">
        <f>EJ119*VLOOKUP('Données projet (1)'!$B$15,'Paramètres (1)'!$A$1:$I$88,3,0)*VLOOKUP('Données projet (1)'!$B$15,'Paramètres (1)'!$A$1:$I$88,5,0)</f>
        <v>#REF!</v>
      </c>
      <c r="EL119" s="130" t="str">
        <f t="shared" si="134"/>
        <v>#REF!</v>
      </c>
      <c r="EM119" s="141" t="str">
        <f t="shared" si="69"/>
        <v>#REF!</v>
      </c>
      <c r="EN119" s="133" t="str">
        <f t="shared" si="70"/>
        <v>#REF!</v>
      </c>
      <c r="EO119" s="133" t="str">
        <f t="shared" si="71"/>
        <v>#REF!</v>
      </c>
      <c r="EP119" s="133" t="str">
        <f t="shared" si="135"/>
        <v>#REF!</v>
      </c>
      <c r="EQ119" s="134" t="str">
        <f t="shared" si="72"/>
        <v>#REF!</v>
      </c>
      <c r="ER119" s="134" t="str">
        <f t="shared" si="73"/>
        <v>#REF!</v>
      </c>
      <c r="ES119" s="135" t="str">
        <f>IF(ISNA(VLOOKUP(A119,'Données projet (1)'!$A$191:$I$211,5,0)),0%,VLOOKUP(A119,'Données projet (1)'!$A$191:$I$211,5,0)*VLOOKUP('Données projet (1)'!$B$15,'Paramètres (1)'!$A$1:$I$88,7,0))</f>
        <v>#REF!</v>
      </c>
      <c r="ET119" s="135" t="str">
        <f>IF(ISNA(VLOOKUP(A119,'Données projet (1)'!$A$191:$I$211,6,0)),0%,VLOOKUP(A119,'Données projet (1)'!$A$191:$I$211,6,0)*VLOOKUP('Données projet (1)'!$B$15,'Paramètres (1)'!$A$1:$I$88,7,0))</f>
        <v>#REF!</v>
      </c>
      <c r="EU119" s="135" t="str">
        <f t="shared" si="74"/>
        <v>#REF!</v>
      </c>
      <c r="EV119" s="142" t="str">
        <f>EXP(-LN(2)/35)*EV118+(1-EXP(-LN(2)/35))/(LN(2)/35)*ER119*ES119*VLOOKUP('Données projet (1)'!$B$15,'Paramètres (1)'!$A$1:$I$88,3,0)*0.475*44/12</f>
        <v>#REF!</v>
      </c>
      <c r="EW119" s="142" t="str">
        <f>EXP(-LN(2)/25)*EW118+(1-EXP(-LN(2)/25))/(LN(2)/25)*'Calculateur (1)'!ER119*'Calculateur (1)'!ET119*VLOOKUP('Données projet (1)'!$B$15,'Paramètres (1)'!$A$1:$I$88,3,0)*0.475*44/12</f>
        <v>#REF!</v>
      </c>
      <c r="EX119" s="142" t="str">
        <f>EXP(-LN(2)/2)*EX118+(1-EXP(-LN(2)/2))/(LN(2)/2)*ER119*EU119*VLOOKUP('Données projet (1)'!$B$15,'Paramètres (1)'!$A$1:$I$88,3,0)*0.475*44/12</f>
        <v>#REF!</v>
      </c>
      <c r="EY119" s="143" t="str">
        <f t="shared" si="75"/>
        <v>#REF!</v>
      </c>
      <c r="EZ119" s="139" t="str">
        <f t="shared" si="76"/>
        <v>#REF!</v>
      </c>
      <c r="FA119" s="131">
        <f t="shared" si="77"/>
        <v>10</v>
      </c>
      <c r="FB119" s="131" t="str">
        <f t="shared" si="136"/>
        <v>#REF!</v>
      </c>
      <c r="FC119" s="131" t="str">
        <f t="shared" si="78"/>
        <v>#REF!</v>
      </c>
      <c r="FD119" s="131" t="str">
        <f t="array" ref="FD119">INDEX(FC:FC,MIN(IF(ISNUMBER(FC119:FC315),ROW(FC119:FC315),"")))</f>
        <v/>
      </c>
      <c r="FE119" s="131" t="str">
        <f t="shared" si="137"/>
        <v>#REF!</v>
      </c>
      <c r="FF119" s="138" t="str">
        <f>FE119*VLOOKUP('Données projet (1)'!$B$16,'Paramètres (1)'!$A$1:$I$88,3,0)*VLOOKUP('Données projet (1)'!$B$16,'Paramètres (1)'!$A$1:$I$88,5,0)</f>
        <v>#REF!</v>
      </c>
      <c r="FG119" s="130" t="str">
        <f t="shared" si="138"/>
        <v>#REF!</v>
      </c>
      <c r="FH119" s="141" t="str">
        <f t="shared" si="79"/>
        <v>#REF!</v>
      </c>
      <c r="FI119" s="133" t="str">
        <f t="shared" si="80"/>
        <v>#REF!</v>
      </c>
      <c r="FJ119" s="133" t="str">
        <f t="shared" si="81"/>
        <v>#REF!</v>
      </c>
      <c r="FK119" s="133" t="str">
        <f t="shared" si="139"/>
        <v>#REF!</v>
      </c>
      <c r="FL119" s="134" t="str">
        <f t="shared" si="82"/>
        <v>#REF!</v>
      </c>
      <c r="FM119" s="134" t="str">
        <f t="shared" si="83"/>
        <v>#REF!</v>
      </c>
      <c r="FN119" s="135" t="str">
        <f>IF(ISNA(VLOOKUP(A119,'Données projet (1)'!$A$217:$I$237,5,0)),0%,VLOOKUP(A119,'Données projet (1)'!$A$217:$I$237,5,0)*VLOOKUP('Données projet (1)'!$B$16,'Paramètres (1)'!$A$1:$I$88,7,0))</f>
        <v>#REF!</v>
      </c>
      <c r="FO119" s="135" t="str">
        <f>IF(ISNA(VLOOKUP(A119,'Données projet (1)'!$A$217:$I$237,6,0)),0%,VLOOKUP(A119,'Données projet (1)'!$A$217:$I$237,6,0)*VLOOKUP('Données projet (1)'!$B$16,'Paramètres (1)'!$A$1:$I$88,7,0))</f>
        <v>#REF!</v>
      </c>
      <c r="FP119" s="135" t="str">
        <f t="shared" si="84"/>
        <v>#REF!</v>
      </c>
      <c r="FQ119" s="142" t="str">
        <f>EXP(-LN(2)/35)*FQ118+(1-EXP(-LN(2)/35))/(LN(2)/35)*FM119*FN119*VLOOKUP('Données projet (1)'!$B$16,'Paramètres (1)'!$A$1:$I$88,3,0)*0.475*44/12</f>
        <v>#REF!</v>
      </c>
      <c r="FR119" s="142" t="str">
        <f>EXP(-LN(2)/25)*FR118+(1-EXP(-LN(2)/25))/(LN(2)/25)*'Calculateur (1)'!FM119*'Calculateur (1)'!FO119*VLOOKUP('Données projet (1)'!$B$16,'Paramètres (1)'!$A$1:$I$88,3,0)*0.475*44/12</f>
        <v>#REF!</v>
      </c>
      <c r="FS119" s="142" t="str">
        <f>EXP(-LN(2)/2)*FS118+(1-EXP(-LN(2)/2))/(LN(2)/2)*FM119*FP119*VLOOKUP('Données projet (1)'!$B$16,'Paramètres (1)'!$A$1:$I$88,3,0)*0.475*44/12</f>
        <v>#REF!</v>
      </c>
      <c r="FT119" s="143" t="str">
        <f t="shared" si="85"/>
        <v>#REF!</v>
      </c>
      <c r="FU119" s="139" t="str">
        <f t="shared" si="86"/>
        <v>#REF!</v>
      </c>
      <c r="FV119" s="131">
        <f t="shared" si="87"/>
        <v>10</v>
      </c>
      <c r="FW119" s="131" t="str">
        <f t="shared" si="140"/>
        <v>#REF!</v>
      </c>
      <c r="FX119" s="131" t="str">
        <f t="shared" si="88"/>
        <v>#REF!</v>
      </c>
      <c r="FY119" s="131" t="str">
        <f t="array" ref="FY119">INDEX(FX:FX,MIN(IF(ISNUMBER(FX119:FX315),ROW(FX119:FX315),"")))</f>
        <v/>
      </c>
      <c r="FZ119" s="131" t="str">
        <f t="shared" si="141"/>
        <v>#REF!</v>
      </c>
      <c r="GA119" s="138" t="str">
        <f>FZ119*VLOOKUP('Données projet (1)'!$B$17,'Paramètres (1)'!$A$1:$I$88,3,0)*VLOOKUP('Données projet (1)'!$B$17,'Paramètres (1)'!$A$1:$I$88,5,0)</f>
        <v>#REF!</v>
      </c>
      <c r="GB119" s="130" t="str">
        <f t="shared" si="142"/>
        <v>#REF!</v>
      </c>
      <c r="GC119" s="141" t="str">
        <f t="shared" si="89"/>
        <v>#REF!</v>
      </c>
      <c r="GD119" s="133" t="str">
        <f t="shared" si="90"/>
        <v>#REF!</v>
      </c>
      <c r="GE119" s="133" t="str">
        <f t="shared" si="91"/>
        <v>#REF!</v>
      </c>
      <c r="GF119" s="133" t="str">
        <f t="shared" si="143"/>
        <v>#REF!</v>
      </c>
      <c r="GG119" s="134" t="str">
        <f t="shared" si="92"/>
        <v>#REF!</v>
      </c>
      <c r="GH119" s="134" t="str">
        <f t="shared" si="93"/>
        <v>#REF!</v>
      </c>
      <c r="GI119" s="135" t="str">
        <f>IF(ISNA(VLOOKUP(A119,'Données projet (1)'!$A$243:$I$263,5,0)),0%,VLOOKUP(A119,'Données projet (1)'!$A$243:$I$263,5,0)*VLOOKUP('Données projet (1)'!$B$17,'Paramètres (1)'!$A$1:$I$88,7,0))</f>
        <v>#REF!</v>
      </c>
      <c r="GJ119" s="135" t="str">
        <f>IF(ISNA(VLOOKUP(A119,'Données projet (1)'!$A$243:$I$263,6,0)),0%,VLOOKUP(A119,'Données projet (1)'!$A$243:$I$263,6,0)*VLOOKUP('Données projet (1)'!$B$17,'Paramètres (1)'!$A$1:$I$88,7,0))</f>
        <v>#REF!</v>
      </c>
      <c r="GK119" s="135" t="str">
        <f t="shared" si="94"/>
        <v>#REF!</v>
      </c>
      <c r="GL119" s="142" t="str">
        <f>EXP(-LN(2)/35)*GL118+(1-EXP(-LN(2)/35))/(LN(2)/35)*GH119*GI119*VLOOKUP('Données projet (1)'!$B$17,'Paramètres (1)'!$A$1:$I$88,3,0)*0.475*44/12</f>
        <v>#REF!</v>
      </c>
      <c r="GM119" s="142" t="str">
        <f>EXP(-LN(2)/25)*GM118+(1-EXP(-LN(2)/25))/(LN(2)/25)*'Calculateur (1)'!GH119*'Calculateur (1)'!GJ119*VLOOKUP('Données projet (1)'!$B$17,'Paramètres (1)'!$A$1:$I$88,3,0)*0.475*44/12</f>
        <v>#REF!</v>
      </c>
      <c r="GN119" s="142" t="str">
        <f>EXP(-LN(2)/2)*GN118+(1-EXP(-LN(2)/2))/(LN(2)/2)*GH119*GK119*VLOOKUP('Données projet (1)'!$B$17,'Paramètres (1)'!$A$1:$I$88,3,0)*0.475*44/12</f>
        <v>#REF!</v>
      </c>
      <c r="GO119" s="142" t="str">
        <f t="shared" si="95"/>
        <v>#REF!</v>
      </c>
      <c r="GP119" s="139" t="str">
        <f t="shared" si="96"/>
        <v>#REF!</v>
      </c>
      <c r="GQ119" s="131">
        <f t="shared" si="97"/>
        <v>10</v>
      </c>
      <c r="GR119" s="131" t="str">
        <f t="shared" si="144"/>
        <v>#REF!</v>
      </c>
      <c r="GS119" s="131" t="str">
        <f t="shared" si="98"/>
        <v>#REF!</v>
      </c>
      <c r="GT119" s="131" t="str">
        <f t="array" ref="GT119">INDEX(GS:GS,MIN(IF(ISNUMBER(GS119:GS315),ROW(GS119:GS315),"")))</f>
        <v/>
      </c>
      <c r="GU119" s="131" t="str">
        <f t="shared" si="145"/>
        <v>#REF!</v>
      </c>
      <c r="GV119" s="138" t="str">
        <f>GU119*VLOOKUP('Données projet (1)'!$B$18,'Paramètres (1)'!$A$1:$I$88,3,0)*VLOOKUP('Données projet (1)'!$B$18,'Paramètres (1)'!$A$1:$I$88,5,0)</f>
        <v>#REF!</v>
      </c>
      <c r="GW119" s="130" t="str">
        <f t="shared" si="146"/>
        <v>#REF!</v>
      </c>
      <c r="GX119" s="141" t="str">
        <f t="shared" si="99"/>
        <v>#REF!</v>
      </c>
      <c r="GY119" s="133" t="str">
        <f t="shared" si="100"/>
        <v>#REF!</v>
      </c>
      <c r="GZ119" s="133" t="str">
        <f t="shared" si="101"/>
        <v>#REF!</v>
      </c>
      <c r="HA119" s="133" t="str">
        <f t="shared" si="147"/>
        <v>#REF!</v>
      </c>
      <c r="HB119" s="134" t="str">
        <f t="shared" si="102"/>
        <v>#REF!</v>
      </c>
      <c r="HC119" s="134" t="str">
        <f t="shared" si="103"/>
        <v>#REF!</v>
      </c>
      <c r="HD119" s="135" t="str">
        <f>IF(ISNA(VLOOKUP(A119,'Données projet (1)'!$A$269:$I$289,5,0)),0%,VLOOKUP(A119,'Données projet (1)'!$A$269:$I$289,5,0)*VLOOKUP('Données projet (1)'!$B$18,'Paramètres (1)'!$A$1:$I$88,7,0))</f>
        <v>#REF!</v>
      </c>
      <c r="HE119" s="135" t="str">
        <f>IF(ISNA(VLOOKUP(A119,'Données projet (1)'!$A$269:$I$289,6,0)),0%,VLOOKUP(A119,'Données projet (1)'!$A$269:$I$289,6,0)*VLOOKUP('Données projet (1)'!$B$18,'Paramètres (1)'!$A$1:$I$88,7,0))</f>
        <v>#REF!</v>
      </c>
      <c r="HF119" s="135" t="str">
        <f t="shared" si="104"/>
        <v>#REF!</v>
      </c>
      <c r="HG119" s="142" t="str">
        <f>EXP(-LN(2)/35)*HG118+(1-EXP(-LN(2)/35))/(LN(2)/35)*HC119*HD119*VLOOKUP('Données projet (1)'!$B$18,'Paramètres (1)'!$A$1:$I$88,3,0)*0.475*44/12</f>
        <v>#REF!</v>
      </c>
      <c r="HH119" s="142" t="str">
        <f>EXP(-LN(2)/25)*HH118+(1-EXP(-LN(2)/25))/(LN(2)/25)*'Calculateur (1)'!HC119*'Calculateur (1)'!HE119*VLOOKUP('Données projet (1)'!$B$18,'Paramètres (1)'!$A$1:$I$88,3,0)*0.475*44/12</f>
        <v>#REF!</v>
      </c>
      <c r="HI119" s="142" t="str">
        <f>EXP(-LN(2)/2)*HI118+(1-EXP(-LN(2)/2))/(LN(2)/2)*HC119*HF119*VLOOKUP('Données projet (1)'!$B$18,'Paramètres (1)'!$A$1:$I$88,3,0)*0.475*44/12</f>
        <v>#REF!</v>
      </c>
      <c r="HJ119" s="143" t="str">
        <f t="shared" si="105"/>
        <v>#REF!</v>
      </c>
    </row>
    <row r="120" ht="14.25" customHeight="1">
      <c r="A120" s="125">
        <f t="shared" si="106"/>
        <v>117</v>
      </c>
      <c r="B120" s="126" t="str">
        <f t="shared" si="1"/>
        <v>#REF!</v>
      </c>
      <c r="C120" s="140" t="str">
        <f>'Calculateur (1)'!C119+'Scénario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0" s="127">
        <f t="shared" si="107"/>
        <v>0</v>
      </c>
      <c r="E120" s="127" t="str">
        <f t="shared" si="2"/>
        <v>#REF!</v>
      </c>
      <c r="F120" s="127" t="str">
        <f t="shared" si="3"/>
        <v>#REF!</v>
      </c>
      <c r="G120" s="127" t="str">
        <f t="shared" si="4"/>
        <v>#REF!</v>
      </c>
      <c r="H120" s="128" t="str">
        <f t="shared" si="5"/>
        <v>#REF!</v>
      </c>
      <c r="I120" s="129" t="str">
        <f t="shared" si="6"/>
        <v>#REF!</v>
      </c>
      <c r="J120" s="130">
        <f t="shared" si="7"/>
        <v>10</v>
      </c>
      <c r="K120" s="131" t="str">
        <f t="shared" si="108"/>
        <v>#REF!</v>
      </c>
      <c r="L120" s="131" t="str">
        <f t="shared" si="8"/>
        <v>#REF!</v>
      </c>
      <c r="M120" s="131" t="str">
        <f t="array" ref="M120">INDEX(L:L,MIN(IF(ISNUMBER(L120:L316),ROW(L120:L316),"")))</f>
        <v/>
      </c>
      <c r="N120" s="130" t="str">
        <f t="shared" si="109"/>
        <v>#REF!</v>
      </c>
      <c r="O120" s="130" t="str">
        <f>N120*VLOOKUP('Données projet (1)'!$B$9,'Paramètres (1)'!$A$1:$I$88,3,0)*VLOOKUP('Données projet (1)'!$B$9,'Paramètres (1)'!$A$1:$I$88,5,0)</f>
        <v>#REF!</v>
      </c>
      <c r="P120" s="130" t="str">
        <f t="shared" si="110"/>
        <v>#REF!</v>
      </c>
      <c r="Q120" s="141" t="str">
        <f t="shared" si="9"/>
        <v>#REF!</v>
      </c>
      <c r="R120" s="133" t="str">
        <f t="shared" si="10"/>
        <v>#REF!</v>
      </c>
      <c r="S120" s="133" t="str">
        <f t="shared" si="11"/>
        <v>#REF!</v>
      </c>
      <c r="T120" s="133" t="str">
        <f t="shared" si="111"/>
        <v>#REF!</v>
      </c>
      <c r="U120" s="134" t="str">
        <f t="shared" si="12"/>
        <v>#REF!</v>
      </c>
      <c r="V120" s="134" t="str">
        <f t="shared" si="13"/>
        <v>#REF!</v>
      </c>
      <c r="W120" s="135" t="str">
        <f>IF(ISNA(VLOOKUP(A120,'Données projet (1)'!$A$35:$I$55,5,0)),0%,VLOOKUP(A120,'Données projet (1)'!$A$35:$I$55,5,0)*VLOOKUP('Données projet (1)'!$B$9,'Paramètres (1)'!$A$1:$I$88,7,0))</f>
        <v>#REF!</v>
      </c>
      <c r="X120" s="135" t="str">
        <f>IF(ISNA(VLOOKUP(A120,'Données projet (1)'!$A$35:$I$55,6,0)),0%,VLOOKUP(A120,'Données projet (1)'!$A$35:$I$55,6,0)*VLOOKUP('Données projet (1)'!$B$9,'Paramètres (1)'!$A$1:$I$88,7,0))</f>
        <v>#REF!</v>
      </c>
      <c r="Y120" s="135" t="str">
        <f t="shared" si="14"/>
        <v>#REF!</v>
      </c>
      <c r="Z120" s="142" t="str">
        <f>EXP(-LN(2)/35)*Z119+(1-EXP(-LN(2)/35))/(LN(2)/35)*V120*W120*VLOOKUP('Données projet (1)'!$B$9,'Paramètres (1)'!$A$1:$I$88,3,0)*0.475*44/12</f>
        <v>#REF!</v>
      </c>
      <c r="AA120" s="142" t="str">
        <f>EXP(-LN(2)/25)*AA119+(1-EXP(-LN(2)/25))/(LN(2)/25)*'Calculateur (1)'!V120*'Calculateur (1)'!X120*VLOOKUP('Données projet (1)'!$B$9,'Paramètres (1)'!$A$1:$I$88,3,0)*0.475*44/12</f>
        <v>#REF!</v>
      </c>
      <c r="AB120" s="142" t="str">
        <f>EXP(-LN(2)/2)*AB119+(1-EXP(-LN(2)/2))/(LN(2)/2)*V120*Y120*VLOOKUP('Données projet (1)'!$B$9,'Paramètres (1)'!$A$1:$I$88,3,0)*0.475*44/12</f>
        <v>#REF!</v>
      </c>
      <c r="AC120" s="143" t="str">
        <f t="shared" si="15"/>
        <v>#REF!</v>
      </c>
      <c r="AD120" s="130" t="str">
        <f t="shared" si="16"/>
        <v>#REF!</v>
      </c>
      <c r="AE120" s="130">
        <f t="shared" si="17"/>
        <v>10</v>
      </c>
      <c r="AF120" s="131" t="str">
        <f t="shared" si="112"/>
        <v>#REF!</v>
      </c>
      <c r="AG120" s="131" t="str">
        <f t="shared" si="18"/>
        <v>#REF!</v>
      </c>
      <c r="AH120" s="131" t="str">
        <f t="array" ref="AH120">INDEX(AG:AG,MIN(IF(ISNUMBER(AG120:AG316),ROW(AG120:AG316),"")))</f>
        <v/>
      </c>
      <c r="AI120" s="130" t="str">
        <f t="shared" si="113"/>
        <v>#REF!</v>
      </c>
      <c r="AJ120" s="130" t="str">
        <f>AI120*VLOOKUP('Données projet (1)'!$B$10,'Paramètres (1)'!$A$1:$I$88,3,0)*VLOOKUP('Données projet (1)'!$B$10,'Paramètres (1)'!$A$1:$I$88,5,0)</f>
        <v>#REF!</v>
      </c>
      <c r="AK120" s="130" t="str">
        <f t="shared" si="114"/>
        <v>#REF!</v>
      </c>
      <c r="AL120" s="141" t="str">
        <f t="shared" si="19"/>
        <v>#REF!</v>
      </c>
      <c r="AM120" s="133" t="str">
        <f t="shared" si="20"/>
        <v>#REF!</v>
      </c>
      <c r="AN120" s="133" t="str">
        <f t="shared" si="21"/>
        <v>#REF!</v>
      </c>
      <c r="AO120" s="133" t="str">
        <f t="shared" si="115"/>
        <v>#REF!</v>
      </c>
      <c r="AP120" s="134" t="str">
        <f t="shared" si="22"/>
        <v>#REF!</v>
      </c>
      <c r="AQ120" s="134" t="str">
        <f t="shared" si="23"/>
        <v>#REF!</v>
      </c>
      <c r="AR120" s="135" t="str">
        <f>IF(ISNA(VLOOKUP(A120,'Données projet (1)'!$A$61:$I$81,5,0)),0%,VLOOKUP(A120,'Données projet (1)'!$A$61:$I$81,5,0)*VLOOKUP('Données projet (1)'!$B$10,'Paramètres (1)'!$A$1:$I$88,7,0))</f>
        <v>#REF!</v>
      </c>
      <c r="AS120" s="135" t="str">
        <f>IF(ISNA(VLOOKUP(A120,'Données projet (1)'!$A$61:$I$81,6,0)),0%,VLOOKUP(A120,'Données projet (1)'!$A$61:$I$81,6,0)*VLOOKUP('Données projet (1)'!$B$10,'Paramètres (1)'!$A$1:$I$88,7,0))</f>
        <v>#REF!</v>
      </c>
      <c r="AT120" s="135" t="str">
        <f t="shared" si="24"/>
        <v>#REF!</v>
      </c>
      <c r="AU120" s="142" t="str">
        <f>EXP(-LN(2)/35)*AU119+(1-EXP(-LN(2)/35))/(LN(2)/35)*AQ120*AR120*VLOOKUP('Données projet (1)'!$B$10,'Paramètres (1)'!$A$1:$I$88,3,0)*0.475*44/12</f>
        <v>#REF!</v>
      </c>
      <c r="AV120" s="142" t="str">
        <f>EXP(-LN(2)/25)*AV119+(1-EXP(-LN(2)/25))/(LN(2)/25)*'Calculateur (1)'!AQ120*'Calculateur (1)'!AS120*VLOOKUP('Données projet (1)'!$B$10,'Paramètres (1)'!$A$1:$I$88,3,0)*0.475*44/12</f>
        <v>#REF!</v>
      </c>
      <c r="AW120" s="142" t="str">
        <f>EXP(-LN(2)/2)*AW119+(1-EXP(-LN(2)/2))/(LN(2)/2)*AQ120*AT120*VLOOKUP('Données projet (1)'!$B$10,'Paramètres (1)'!$A$1:$I$88,3,0)*0.475*44/12</f>
        <v>#REF!</v>
      </c>
      <c r="AX120" s="142" t="str">
        <f t="shared" si="25"/>
        <v>#REF!</v>
      </c>
      <c r="AY120" s="137" t="str">
        <f t="shared" si="26"/>
        <v>#REF!</v>
      </c>
      <c r="AZ120" s="131">
        <f t="shared" si="27"/>
        <v>10</v>
      </c>
      <c r="BA120" s="131" t="str">
        <f t="shared" si="116"/>
        <v>#REF!</v>
      </c>
      <c r="BB120" s="131" t="str">
        <f t="shared" si="28"/>
        <v>#REF!</v>
      </c>
      <c r="BC120" s="131" t="str">
        <f t="array" ref="BC120">INDEX(BB:BB,MIN(IF(ISNUMBER(BB120:BB316),ROW(BB120:BB316),"")))</f>
        <v/>
      </c>
      <c r="BD120" s="131" t="str">
        <f t="shared" si="117"/>
        <v>#REF!</v>
      </c>
      <c r="BE120" s="130" t="str">
        <f>BD120*VLOOKUP('Données projet (1)'!$B$11,'Paramètres (1)'!$A$1:$I$88,3,0)*VLOOKUP('Données projet (1)'!$B$11,'Paramètres (1)'!$A$1:$I$88,5,0)</f>
        <v>#REF!</v>
      </c>
      <c r="BF120" s="130" t="str">
        <f t="shared" si="118"/>
        <v>#REF!</v>
      </c>
      <c r="BG120" s="141" t="str">
        <f t="shared" si="29"/>
        <v>#REF!</v>
      </c>
      <c r="BH120" s="133" t="str">
        <f t="shared" si="30"/>
        <v>#REF!</v>
      </c>
      <c r="BI120" s="133" t="str">
        <f t="shared" si="31"/>
        <v>#REF!</v>
      </c>
      <c r="BJ120" s="133" t="str">
        <f t="shared" si="119"/>
        <v>#REF!</v>
      </c>
      <c r="BK120" s="134" t="str">
        <f t="shared" si="32"/>
        <v>#REF!</v>
      </c>
      <c r="BL120" s="134" t="str">
        <f t="shared" si="33"/>
        <v>#REF!</v>
      </c>
      <c r="BM120" s="135" t="str">
        <f>IF(ISNA(VLOOKUP(A120,'Données projet (1)'!$A$87:$I$107,5,0)),0%,VLOOKUP(A120,'Données projet (1)'!$A$87:$I$107,5,0)*VLOOKUP('Données projet (1)'!$B$11,'Paramètres (1)'!$A$1:$I$88,7,0))</f>
        <v>#REF!</v>
      </c>
      <c r="BN120" s="135" t="str">
        <f>IF(ISNA(VLOOKUP(A120,'Données projet (1)'!$A$87:$I$107,6,0)),0%,VLOOKUP(A120,'Données projet (1)'!$A$87:$I$107,6,0)*VLOOKUP('Données projet (1)'!$B$11,'Paramètres (1)'!$A$1:$I$88,7,0))</f>
        <v>#REF!</v>
      </c>
      <c r="BO120" s="135" t="str">
        <f t="shared" si="34"/>
        <v>#REF!</v>
      </c>
      <c r="BP120" s="142" t="str">
        <f>EXP(-LN(2)/35)*BP119+(1-EXP(-LN(2)/35))/(LN(2)/35)*BL120*BM120*VLOOKUP('Données projet (1)'!$B$11,'Paramètres (1)'!$A$1:$I$88,3,0)*0.475*44/12</f>
        <v>#REF!</v>
      </c>
      <c r="BQ120" s="142" t="str">
        <f>EXP(-LN(2)/25)*BQ119+(1-EXP(-LN(2)/25))/(LN(2)/25)*'Calculateur (1)'!BL120*'Calculateur (1)'!BN120*VLOOKUP('Données projet (1)'!$B$11,'Paramètres (1)'!$A$1:$I$88,3,0)*0.475*44/12</f>
        <v>#REF!</v>
      </c>
      <c r="BR120" s="142" t="str">
        <f>EXP(-LN(2)/2)*BR119+(1-EXP(-LN(2)/2))/(LN(2)/2)*BL120*BO120*VLOOKUP('Données projet (1)'!$B$11,'Paramètres (1)'!$A$1:$I$88,3,0)*0.475*44/12</f>
        <v>#REF!</v>
      </c>
      <c r="BS120" s="143" t="str">
        <f t="shared" si="35"/>
        <v>#REF!</v>
      </c>
      <c r="BT120" s="139" t="str">
        <f t="shared" si="36"/>
        <v>#REF!</v>
      </c>
      <c r="BU120" s="131">
        <f t="shared" si="37"/>
        <v>10</v>
      </c>
      <c r="BV120" s="131" t="str">
        <f t="shared" si="120"/>
        <v>#REF!</v>
      </c>
      <c r="BW120" s="131" t="str">
        <f t="shared" si="38"/>
        <v>#REF!</v>
      </c>
      <c r="BX120" s="131" t="str">
        <f t="array" ref="BX120">INDEX(BW:BW,MIN(IF(ISNUMBER(BW120:BW316),ROW(BW120:BW316),"")))</f>
        <v/>
      </c>
      <c r="BY120" s="131" t="str">
        <f t="shared" si="121"/>
        <v>#REF!</v>
      </c>
      <c r="BZ120" s="130" t="str">
        <f>BY120*VLOOKUP('Données projet (1)'!$B$12,'Paramètres (1)'!$A$1:$I$88,3,0)*VLOOKUP('Données projet (1)'!$B$12,'Paramètres (1)'!$A$1:$I$88,5,0)</f>
        <v>#REF!</v>
      </c>
      <c r="CA120" s="130" t="str">
        <f t="shared" si="122"/>
        <v>#REF!</v>
      </c>
      <c r="CB120" s="141" t="str">
        <f t="shared" si="39"/>
        <v>#REF!</v>
      </c>
      <c r="CC120" s="133" t="str">
        <f t="shared" si="40"/>
        <v>#REF!</v>
      </c>
      <c r="CD120" s="133" t="str">
        <f t="shared" si="41"/>
        <v>#REF!</v>
      </c>
      <c r="CE120" s="133" t="str">
        <f t="shared" si="123"/>
        <v>#REF!</v>
      </c>
      <c r="CF120" s="134" t="str">
        <f t="shared" si="42"/>
        <v>#REF!</v>
      </c>
      <c r="CG120" s="134" t="str">
        <f t="shared" si="43"/>
        <v>#REF!</v>
      </c>
      <c r="CH120" s="135" t="str">
        <f>IF(ISNA(VLOOKUP(A120,'Données projet (1)'!$A$113:$I$133,5,0)),0%,VLOOKUP(A120,'Données projet (1)'!$A$113:$I$133,5,0)*VLOOKUP('Données projet (1)'!$B$12,'Paramètres (1)'!$A$1:$I$88,7,0))</f>
        <v>#REF!</v>
      </c>
      <c r="CI120" s="135" t="str">
        <f>IF(ISNA(VLOOKUP(A120,'Données projet (1)'!$A$113:$I$133,6,0)),0%,VLOOKUP(A120,'Données projet (1)'!$A$113:$I$133,6,0)*VLOOKUP('Données projet (1)'!$B$12,'Paramètres (1)'!$A$1:$I$88,7,0))</f>
        <v>#REF!</v>
      </c>
      <c r="CJ120" s="135" t="str">
        <f t="shared" si="44"/>
        <v>#REF!</v>
      </c>
      <c r="CK120" s="142" t="str">
        <f>EXP(-LN(2)/35)*CK119+(1-EXP(-LN(2)/35))/(LN(2)/35)*CG120*CH120*VLOOKUP('Données projet (1)'!$B$12,'Paramètres (1)'!$A$1:$I$88,3,0)*0.475*44/12</f>
        <v>#REF!</v>
      </c>
      <c r="CL120" s="142" t="str">
        <f>EXP(-LN(2)/25)*CL119+(1-EXP(-LN(2)/25))/(LN(2)/25)*'Calculateur (1)'!CG120*'Calculateur (1)'!CI120*VLOOKUP('Données projet (1)'!$B$12,'Paramètres (1)'!$A$1:$I$88,3,0)*0.475*44/12</f>
        <v>#REF!</v>
      </c>
      <c r="CM120" s="142" t="str">
        <f>EXP(-LN(2)/2)*CM119+(1-EXP(-LN(2)/2))/(LN(2)/2)*CG120*CJ120*VLOOKUP('Données projet (1)'!$B$12,'Paramètres (1)'!$A$1:$I$88,3,0)*0.475*44/12</f>
        <v>#REF!</v>
      </c>
      <c r="CN120" s="143" t="str">
        <f t="shared" si="45"/>
        <v>#REF!</v>
      </c>
      <c r="CO120" s="139" t="str">
        <f t="shared" si="46"/>
        <v>#REF!</v>
      </c>
      <c r="CP120" s="131">
        <f t="shared" si="47"/>
        <v>10</v>
      </c>
      <c r="CQ120" s="131" t="str">
        <f t="shared" si="124"/>
        <v>#REF!</v>
      </c>
      <c r="CR120" s="131" t="str">
        <f t="shared" si="48"/>
        <v>#REF!</v>
      </c>
      <c r="CS120" s="131" t="str">
        <f t="array" ref="CS120">INDEX(CR:CR,MIN(IF(ISNUMBER(CR120:CR316),ROW(CR120:CR316),"")))</f>
        <v/>
      </c>
      <c r="CT120" s="131" t="str">
        <f t="shared" si="125"/>
        <v>#REF!</v>
      </c>
      <c r="CU120" s="138" t="str">
        <f>CT120*VLOOKUP('Données projet (1)'!$B$13,'Paramètres (1)'!$A$1:$I$88,3,0)*VLOOKUP('Données projet (1)'!$B$13,'Paramètres (1)'!$A$1:$I$88,5,0)</f>
        <v>#REF!</v>
      </c>
      <c r="CV120" s="130" t="str">
        <f t="shared" si="126"/>
        <v>#REF!</v>
      </c>
      <c r="CW120" s="141" t="str">
        <f t="shared" si="49"/>
        <v>#REF!</v>
      </c>
      <c r="CX120" s="133" t="str">
        <f t="shared" si="50"/>
        <v>#REF!</v>
      </c>
      <c r="CY120" s="133" t="str">
        <f t="shared" si="51"/>
        <v>#REF!</v>
      </c>
      <c r="CZ120" s="133" t="str">
        <f t="shared" si="127"/>
        <v>#REF!</v>
      </c>
      <c r="DA120" s="134" t="str">
        <f t="shared" si="52"/>
        <v>#REF!</v>
      </c>
      <c r="DB120" s="134" t="str">
        <f t="shared" si="53"/>
        <v>#REF!</v>
      </c>
      <c r="DC120" s="135" t="str">
        <f>IF(ISNA(VLOOKUP(A120,'Données projet (1)'!$A$139:$I$159,5,0)),0%,VLOOKUP(A120,'Données projet (1)'!$A$139:$I$159,5,0)*VLOOKUP('Données projet (1)'!$B$13,'Paramètres (1)'!$A$1:$I$88,7,0))</f>
        <v>#REF!</v>
      </c>
      <c r="DD120" s="135" t="str">
        <f>IF(ISNA(VLOOKUP(A120,'Données projet (1)'!$A$139:$I$159,6,0)),0%,VLOOKUP(A120,'Données projet (1)'!$A$139:$I$159,6,0)*VLOOKUP('Données projet (1)'!$B$13,'Paramètres (1)'!$A$1:$I$88,7,0))</f>
        <v>#REF!</v>
      </c>
      <c r="DE120" s="135" t="str">
        <f t="shared" si="54"/>
        <v>#REF!</v>
      </c>
      <c r="DF120" s="142" t="str">
        <f>EXP(-LN(2)/35)*DF119+(1-EXP(-LN(2)/35))/(LN(2)/35)*DB120*DC120*VLOOKUP('Données projet (1)'!$B$13,'Paramètres (1)'!$A$1:$I$88,3,0)*0.475*44/12</f>
        <v>#REF!</v>
      </c>
      <c r="DG120" s="142" t="str">
        <f>EXP(-LN(2)/25)*DG119+(1-EXP(-LN(2)/25))/(LN(2)/25)*'Calculateur (1)'!DB120*'Calculateur (1)'!DD120*VLOOKUP('Données projet (1)'!$B$13,'Paramètres (1)'!$A$1:$I$88,3,0)*0.475*44/12</f>
        <v>#REF!</v>
      </c>
      <c r="DH120" s="142" t="str">
        <f>EXP(-LN(2)/2)*DH119+(1-EXP(-LN(2)/2))/(LN(2)/2)*DB120*DE120*VLOOKUP('Données projet (1)'!$B$13,'Paramètres (1)'!$A$1:$I$88,3,0)*0.475*44/12</f>
        <v>#REF!</v>
      </c>
      <c r="DI120" s="143" t="str">
        <f t="shared" si="55"/>
        <v>#REF!</v>
      </c>
      <c r="DJ120" s="139" t="str">
        <f t="shared" si="56"/>
        <v>#REF!</v>
      </c>
      <c r="DK120" s="131">
        <f t="shared" si="57"/>
        <v>10</v>
      </c>
      <c r="DL120" s="131" t="str">
        <f t="shared" si="128"/>
        <v>#REF!</v>
      </c>
      <c r="DM120" s="131" t="str">
        <f t="shared" si="58"/>
        <v>#REF!</v>
      </c>
      <c r="DN120" s="131" t="str">
        <f t="array" ref="DN120">INDEX(DM:DM,MIN(IF(ISNUMBER(DM120:DM316),ROW(DM120:DM316),"")))</f>
        <v/>
      </c>
      <c r="DO120" s="131" t="str">
        <f t="shared" si="129"/>
        <v>#REF!</v>
      </c>
      <c r="DP120" s="138" t="str">
        <f>DO120*VLOOKUP('Données projet (1)'!$B$14,'Paramètres (1)'!$A$1:$I$88,3,0)*VLOOKUP('Données projet (1)'!$B$14,'Paramètres (1)'!$A$1:$I$88,5,0)</f>
        <v>#REF!</v>
      </c>
      <c r="DQ120" s="130" t="str">
        <f t="shared" si="130"/>
        <v>#REF!</v>
      </c>
      <c r="DR120" s="141" t="str">
        <f t="shared" si="59"/>
        <v>#REF!</v>
      </c>
      <c r="DS120" s="133" t="str">
        <f t="shared" si="60"/>
        <v>#REF!</v>
      </c>
      <c r="DT120" s="133" t="str">
        <f t="shared" si="61"/>
        <v>#REF!</v>
      </c>
      <c r="DU120" s="133" t="str">
        <f t="shared" si="131"/>
        <v>#REF!</v>
      </c>
      <c r="DV120" s="134" t="str">
        <f t="shared" si="62"/>
        <v>#REF!</v>
      </c>
      <c r="DW120" s="134" t="str">
        <f t="shared" si="63"/>
        <v>#REF!</v>
      </c>
      <c r="DX120" s="135" t="str">
        <f>IF(ISNA(VLOOKUP(A120,'Données projet (1)'!$A$165:$I$185,5,0)),0%,VLOOKUP(A120,'Données projet (1)'!$A$165:$I$185,5,0)*VLOOKUP('Données projet (1)'!$B$14,'Paramètres (1)'!$A$1:$I$88,7,0))</f>
        <v>#REF!</v>
      </c>
      <c r="DY120" s="135" t="str">
        <f>IF(ISNA(VLOOKUP(A120,'Données projet (1)'!$A$165:$I$185,6,0)),0%,VLOOKUP(A120,'Données projet (1)'!$A$165:$I$185,6,0)*VLOOKUP('Données projet (1)'!$B$14,'Paramètres (1)'!$A$1:$I$88,7,0))</f>
        <v>#REF!</v>
      </c>
      <c r="DZ120" s="135" t="str">
        <f t="shared" si="64"/>
        <v>#REF!</v>
      </c>
      <c r="EA120" s="142" t="str">
        <f>EXP(-LN(2)/35)*EA119+(1-EXP(-LN(2)/35))/(LN(2)/35)*DW120*DX120*VLOOKUP('Données projet (1)'!$B$14,'Paramètres (1)'!$A$1:$I$88,3,0)*0.475*44/12</f>
        <v>#REF!</v>
      </c>
      <c r="EB120" s="142" t="str">
        <f>EXP(-LN(2)/25)*EB119+(1-EXP(-LN(2)/25))/(LN(2)/25)*'Calculateur (1)'!DW120*'Calculateur (1)'!DY120*VLOOKUP('Données projet (1)'!$B$14,'Paramètres (1)'!$A$1:$I$88,3,0)*0.475*44/12</f>
        <v>#REF!</v>
      </c>
      <c r="EC120" s="142" t="str">
        <f>EXP(-LN(2)/2)*EC119+(1-EXP(-LN(2)/2))/(LN(2)/2)*DW120*DZ120*VLOOKUP('Données projet (1)'!$B$14,'Paramètres (1)'!$A$1:$I$88,3,0)*0.475*44/12</f>
        <v>#REF!</v>
      </c>
      <c r="ED120" s="143" t="str">
        <f t="shared" si="65"/>
        <v>#REF!</v>
      </c>
      <c r="EE120" s="139" t="str">
        <f t="shared" si="66"/>
        <v>#REF!</v>
      </c>
      <c r="EF120" s="131">
        <f t="shared" si="67"/>
        <v>10</v>
      </c>
      <c r="EG120" s="131" t="str">
        <f t="shared" si="132"/>
        <v>#REF!</v>
      </c>
      <c r="EH120" s="131" t="str">
        <f t="shared" si="68"/>
        <v>#REF!</v>
      </c>
      <c r="EI120" s="131" t="str">
        <f t="array" ref="EI120">INDEX(EH:EH,MIN(IF(ISNUMBER(EH120:EH316),ROW(EH120:EH316),"")))</f>
        <v/>
      </c>
      <c r="EJ120" s="131" t="str">
        <f t="shared" si="133"/>
        <v>#REF!</v>
      </c>
      <c r="EK120" s="138" t="str">
        <f>EJ120*VLOOKUP('Données projet (1)'!$B$15,'Paramètres (1)'!$A$1:$I$88,3,0)*VLOOKUP('Données projet (1)'!$B$15,'Paramètres (1)'!$A$1:$I$88,5,0)</f>
        <v>#REF!</v>
      </c>
      <c r="EL120" s="130" t="str">
        <f t="shared" si="134"/>
        <v>#REF!</v>
      </c>
      <c r="EM120" s="141" t="str">
        <f t="shared" si="69"/>
        <v>#REF!</v>
      </c>
      <c r="EN120" s="133" t="str">
        <f t="shared" si="70"/>
        <v>#REF!</v>
      </c>
      <c r="EO120" s="133" t="str">
        <f t="shared" si="71"/>
        <v>#REF!</v>
      </c>
      <c r="EP120" s="133" t="str">
        <f t="shared" si="135"/>
        <v>#REF!</v>
      </c>
      <c r="EQ120" s="134" t="str">
        <f t="shared" si="72"/>
        <v>#REF!</v>
      </c>
      <c r="ER120" s="134" t="str">
        <f t="shared" si="73"/>
        <v>#REF!</v>
      </c>
      <c r="ES120" s="135" t="str">
        <f>IF(ISNA(VLOOKUP(A120,'Données projet (1)'!$A$191:$I$211,5,0)),0%,VLOOKUP(A120,'Données projet (1)'!$A$191:$I$211,5,0)*VLOOKUP('Données projet (1)'!$B$15,'Paramètres (1)'!$A$1:$I$88,7,0))</f>
        <v>#REF!</v>
      </c>
      <c r="ET120" s="135" t="str">
        <f>IF(ISNA(VLOOKUP(A120,'Données projet (1)'!$A$191:$I$211,6,0)),0%,VLOOKUP(A120,'Données projet (1)'!$A$191:$I$211,6,0)*VLOOKUP('Données projet (1)'!$B$15,'Paramètres (1)'!$A$1:$I$88,7,0))</f>
        <v>#REF!</v>
      </c>
      <c r="EU120" s="135" t="str">
        <f t="shared" si="74"/>
        <v>#REF!</v>
      </c>
      <c r="EV120" s="142" t="str">
        <f>EXP(-LN(2)/35)*EV119+(1-EXP(-LN(2)/35))/(LN(2)/35)*ER120*ES120*VLOOKUP('Données projet (1)'!$B$15,'Paramètres (1)'!$A$1:$I$88,3,0)*0.475*44/12</f>
        <v>#REF!</v>
      </c>
      <c r="EW120" s="142" t="str">
        <f>EXP(-LN(2)/25)*EW119+(1-EXP(-LN(2)/25))/(LN(2)/25)*'Calculateur (1)'!ER120*'Calculateur (1)'!ET120*VLOOKUP('Données projet (1)'!$B$15,'Paramètres (1)'!$A$1:$I$88,3,0)*0.475*44/12</f>
        <v>#REF!</v>
      </c>
      <c r="EX120" s="142" t="str">
        <f>EXP(-LN(2)/2)*EX119+(1-EXP(-LN(2)/2))/(LN(2)/2)*ER120*EU120*VLOOKUP('Données projet (1)'!$B$15,'Paramètres (1)'!$A$1:$I$88,3,0)*0.475*44/12</f>
        <v>#REF!</v>
      </c>
      <c r="EY120" s="143" t="str">
        <f t="shared" si="75"/>
        <v>#REF!</v>
      </c>
      <c r="EZ120" s="139" t="str">
        <f t="shared" si="76"/>
        <v>#REF!</v>
      </c>
      <c r="FA120" s="131">
        <f t="shared" si="77"/>
        <v>10</v>
      </c>
      <c r="FB120" s="131" t="str">
        <f t="shared" si="136"/>
        <v>#REF!</v>
      </c>
      <c r="FC120" s="131" t="str">
        <f t="shared" si="78"/>
        <v>#REF!</v>
      </c>
      <c r="FD120" s="131" t="str">
        <f t="array" ref="FD120">INDEX(FC:FC,MIN(IF(ISNUMBER(FC120:FC316),ROW(FC120:FC316),"")))</f>
        <v/>
      </c>
      <c r="FE120" s="131" t="str">
        <f t="shared" si="137"/>
        <v>#REF!</v>
      </c>
      <c r="FF120" s="138" t="str">
        <f>FE120*VLOOKUP('Données projet (1)'!$B$16,'Paramètres (1)'!$A$1:$I$88,3,0)*VLOOKUP('Données projet (1)'!$B$16,'Paramètres (1)'!$A$1:$I$88,5,0)</f>
        <v>#REF!</v>
      </c>
      <c r="FG120" s="130" t="str">
        <f t="shared" si="138"/>
        <v>#REF!</v>
      </c>
      <c r="FH120" s="141" t="str">
        <f t="shared" si="79"/>
        <v>#REF!</v>
      </c>
      <c r="FI120" s="133" t="str">
        <f t="shared" si="80"/>
        <v>#REF!</v>
      </c>
      <c r="FJ120" s="133" t="str">
        <f t="shared" si="81"/>
        <v>#REF!</v>
      </c>
      <c r="FK120" s="133" t="str">
        <f t="shared" si="139"/>
        <v>#REF!</v>
      </c>
      <c r="FL120" s="134" t="str">
        <f t="shared" si="82"/>
        <v>#REF!</v>
      </c>
      <c r="FM120" s="134" t="str">
        <f t="shared" si="83"/>
        <v>#REF!</v>
      </c>
      <c r="FN120" s="135" t="str">
        <f>IF(ISNA(VLOOKUP(A120,'Données projet (1)'!$A$217:$I$237,5,0)),0%,VLOOKUP(A120,'Données projet (1)'!$A$217:$I$237,5,0)*VLOOKUP('Données projet (1)'!$B$16,'Paramètres (1)'!$A$1:$I$88,7,0))</f>
        <v>#REF!</v>
      </c>
      <c r="FO120" s="135" t="str">
        <f>IF(ISNA(VLOOKUP(A120,'Données projet (1)'!$A$217:$I$237,6,0)),0%,VLOOKUP(A120,'Données projet (1)'!$A$217:$I$237,6,0)*VLOOKUP('Données projet (1)'!$B$16,'Paramètres (1)'!$A$1:$I$88,7,0))</f>
        <v>#REF!</v>
      </c>
      <c r="FP120" s="135" t="str">
        <f t="shared" si="84"/>
        <v>#REF!</v>
      </c>
      <c r="FQ120" s="142" t="str">
        <f>EXP(-LN(2)/35)*FQ119+(1-EXP(-LN(2)/35))/(LN(2)/35)*FM120*FN120*VLOOKUP('Données projet (1)'!$B$16,'Paramètres (1)'!$A$1:$I$88,3,0)*0.475*44/12</f>
        <v>#REF!</v>
      </c>
      <c r="FR120" s="142" t="str">
        <f>EXP(-LN(2)/25)*FR119+(1-EXP(-LN(2)/25))/(LN(2)/25)*'Calculateur (1)'!FM120*'Calculateur (1)'!FO120*VLOOKUP('Données projet (1)'!$B$16,'Paramètres (1)'!$A$1:$I$88,3,0)*0.475*44/12</f>
        <v>#REF!</v>
      </c>
      <c r="FS120" s="142" t="str">
        <f>EXP(-LN(2)/2)*FS119+(1-EXP(-LN(2)/2))/(LN(2)/2)*FM120*FP120*VLOOKUP('Données projet (1)'!$B$16,'Paramètres (1)'!$A$1:$I$88,3,0)*0.475*44/12</f>
        <v>#REF!</v>
      </c>
      <c r="FT120" s="143" t="str">
        <f t="shared" si="85"/>
        <v>#REF!</v>
      </c>
      <c r="FU120" s="139" t="str">
        <f t="shared" si="86"/>
        <v>#REF!</v>
      </c>
      <c r="FV120" s="131">
        <f t="shared" si="87"/>
        <v>10</v>
      </c>
      <c r="FW120" s="131" t="str">
        <f t="shared" si="140"/>
        <v>#REF!</v>
      </c>
      <c r="FX120" s="131" t="str">
        <f t="shared" si="88"/>
        <v>#REF!</v>
      </c>
      <c r="FY120" s="131" t="str">
        <f t="array" ref="FY120">INDEX(FX:FX,MIN(IF(ISNUMBER(FX120:FX316),ROW(FX120:FX316),"")))</f>
        <v/>
      </c>
      <c r="FZ120" s="131" t="str">
        <f t="shared" si="141"/>
        <v>#REF!</v>
      </c>
      <c r="GA120" s="138" t="str">
        <f>FZ120*VLOOKUP('Données projet (1)'!$B$17,'Paramètres (1)'!$A$1:$I$88,3,0)*VLOOKUP('Données projet (1)'!$B$17,'Paramètres (1)'!$A$1:$I$88,5,0)</f>
        <v>#REF!</v>
      </c>
      <c r="GB120" s="130" t="str">
        <f t="shared" si="142"/>
        <v>#REF!</v>
      </c>
      <c r="GC120" s="141" t="str">
        <f t="shared" si="89"/>
        <v>#REF!</v>
      </c>
      <c r="GD120" s="133" t="str">
        <f t="shared" si="90"/>
        <v>#REF!</v>
      </c>
      <c r="GE120" s="133" t="str">
        <f t="shared" si="91"/>
        <v>#REF!</v>
      </c>
      <c r="GF120" s="133" t="str">
        <f t="shared" si="143"/>
        <v>#REF!</v>
      </c>
      <c r="GG120" s="134" t="str">
        <f t="shared" si="92"/>
        <v>#REF!</v>
      </c>
      <c r="GH120" s="134" t="str">
        <f t="shared" si="93"/>
        <v>#REF!</v>
      </c>
      <c r="GI120" s="135" t="str">
        <f>IF(ISNA(VLOOKUP(A120,'Données projet (1)'!$A$243:$I$263,5,0)),0%,VLOOKUP(A120,'Données projet (1)'!$A$243:$I$263,5,0)*VLOOKUP('Données projet (1)'!$B$17,'Paramètres (1)'!$A$1:$I$88,7,0))</f>
        <v>#REF!</v>
      </c>
      <c r="GJ120" s="135" t="str">
        <f>IF(ISNA(VLOOKUP(A120,'Données projet (1)'!$A$243:$I$263,6,0)),0%,VLOOKUP(A120,'Données projet (1)'!$A$243:$I$263,6,0)*VLOOKUP('Données projet (1)'!$B$17,'Paramètres (1)'!$A$1:$I$88,7,0))</f>
        <v>#REF!</v>
      </c>
      <c r="GK120" s="135" t="str">
        <f t="shared" si="94"/>
        <v>#REF!</v>
      </c>
      <c r="GL120" s="142" t="str">
        <f>EXP(-LN(2)/35)*GL119+(1-EXP(-LN(2)/35))/(LN(2)/35)*GH120*GI120*VLOOKUP('Données projet (1)'!$B$17,'Paramètres (1)'!$A$1:$I$88,3,0)*0.475*44/12</f>
        <v>#REF!</v>
      </c>
      <c r="GM120" s="142" t="str">
        <f>EXP(-LN(2)/25)*GM119+(1-EXP(-LN(2)/25))/(LN(2)/25)*'Calculateur (1)'!GH120*'Calculateur (1)'!GJ120*VLOOKUP('Données projet (1)'!$B$17,'Paramètres (1)'!$A$1:$I$88,3,0)*0.475*44/12</f>
        <v>#REF!</v>
      </c>
      <c r="GN120" s="142" t="str">
        <f>EXP(-LN(2)/2)*GN119+(1-EXP(-LN(2)/2))/(LN(2)/2)*GH120*GK120*VLOOKUP('Données projet (1)'!$B$17,'Paramètres (1)'!$A$1:$I$88,3,0)*0.475*44/12</f>
        <v>#REF!</v>
      </c>
      <c r="GO120" s="142" t="str">
        <f t="shared" si="95"/>
        <v>#REF!</v>
      </c>
      <c r="GP120" s="139" t="str">
        <f t="shared" si="96"/>
        <v>#REF!</v>
      </c>
      <c r="GQ120" s="131">
        <f t="shared" si="97"/>
        <v>10</v>
      </c>
      <c r="GR120" s="131" t="str">
        <f t="shared" si="144"/>
        <v>#REF!</v>
      </c>
      <c r="GS120" s="131" t="str">
        <f t="shared" si="98"/>
        <v>#REF!</v>
      </c>
      <c r="GT120" s="131" t="str">
        <f t="array" ref="GT120">INDEX(GS:GS,MIN(IF(ISNUMBER(GS120:GS316),ROW(GS120:GS316),"")))</f>
        <v/>
      </c>
      <c r="GU120" s="131" t="str">
        <f t="shared" si="145"/>
        <v>#REF!</v>
      </c>
      <c r="GV120" s="138" t="str">
        <f>GU120*VLOOKUP('Données projet (1)'!$B$18,'Paramètres (1)'!$A$1:$I$88,3,0)*VLOOKUP('Données projet (1)'!$B$18,'Paramètres (1)'!$A$1:$I$88,5,0)</f>
        <v>#REF!</v>
      </c>
      <c r="GW120" s="130" t="str">
        <f t="shared" si="146"/>
        <v>#REF!</v>
      </c>
      <c r="GX120" s="141" t="str">
        <f t="shared" si="99"/>
        <v>#REF!</v>
      </c>
      <c r="GY120" s="133" t="str">
        <f t="shared" si="100"/>
        <v>#REF!</v>
      </c>
      <c r="GZ120" s="133" t="str">
        <f t="shared" si="101"/>
        <v>#REF!</v>
      </c>
      <c r="HA120" s="133" t="str">
        <f t="shared" si="147"/>
        <v>#REF!</v>
      </c>
      <c r="HB120" s="134" t="str">
        <f t="shared" si="102"/>
        <v>#REF!</v>
      </c>
      <c r="HC120" s="134" t="str">
        <f t="shared" si="103"/>
        <v>#REF!</v>
      </c>
      <c r="HD120" s="135" t="str">
        <f>IF(ISNA(VLOOKUP(A120,'Données projet (1)'!$A$269:$I$289,5,0)),0%,VLOOKUP(A120,'Données projet (1)'!$A$269:$I$289,5,0)*VLOOKUP('Données projet (1)'!$B$18,'Paramètres (1)'!$A$1:$I$88,7,0))</f>
        <v>#REF!</v>
      </c>
      <c r="HE120" s="135" t="str">
        <f>IF(ISNA(VLOOKUP(A120,'Données projet (1)'!$A$269:$I$289,6,0)),0%,VLOOKUP(A120,'Données projet (1)'!$A$269:$I$289,6,0)*VLOOKUP('Données projet (1)'!$B$18,'Paramètres (1)'!$A$1:$I$88,7,0))</f>
        <v>#REF!</v>
      </c>
      <c r="HF120" s="135" t="str">
        <f t="shared" si="104"/>
        <v>#REF!</v>
      </c>
      <c r="HG120" s="142" t="str">
        <f>EXP(-LN(2)/35)*HG119+(1-EXP(-LN(2)/35))/(LN(2)/35)*HC120*HD120*VLOOKUP('Données projet (1)'!$B$18,'Paramètres (1)'!$A$1:$I$88,3,0)*0.475*44/12</f>
        <v>#REF!</v>
      </c>
      <c r="HH120" s="142" t="str">
        <f>EXP(-LN(2)/25)*HH119+(1-EXP(-LN(2)/25))/(LN(2)/25)*'Calculateur (1)'!HC120*'Calculateur (1)'!HE120*VLOOKUP('Données projet (1)'!$B$18,'Paramètres (1)'!$A$1:$I$88,3,0)*0.475*44/12</f>
        <v>#REF!</v>
      </c>
      <c r="HI120" s="142" t="str">
        <f>EXP(-LN(2)/2)*HI119+(1-EXP(-LN(2)/2))/(LN(2)/2)*HC120*HF120*VLOOKUP('Données projet (1)'!$B$18,'Paramètres (1)'!$A$1:$I$88,3,0)*0.475*44/12</f>
        <v>#REF!</v>
      </c>
      <c r="HJ120" s="143" t="str">
        <f t="shared" si="105"/>
        <v>#REF!</v>
      </c>
    </row>
    <row r="121" ht="14.25" customHeight="1">
      <c r="A121" s="125">
        <f t="shared" si="106"/>
        <v>118</v>
      </c>
      <c r="B121" s="126" t="str">
        <f t="shared" si="1"/>
        <v>#REF!</v>
      </c>
      <c r="C121" s="140" t="str">
        <f>'Calculateur (1)'!C120+'Scénario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1" s="127">
        <f t="shared" si="107"/>
        <v>0</v>
      </c>
      <c r="E121" s="127" t="str">
        <f t="shared" si="2"/>
        <v>#REF!</v>
      </c>
      <c r="F121" s="127" t="str">
        <f t="shared" si="3"/>
        <v>#REF!</v>
      </c>
      <c r="G121" s="127" t="str">
        <f t="shared" si="4"/>
        <v>#REF!</v>
      </c>
      <c r="H121" s="128" t="str">
        <f t="shared" si="5"/>
        <v>#REF!</v>
      </c>
      <c r="I121" s="129" t="str">
        <f t="shared" si="6"/>
        <v>#REF!</v>
      </c>
      <c r="J121" s="130">
        <f t="shared" si="7"/>
        <v>10</v>
      </c>
      <c r="K121" s="131" t="str">
        <f t="shared" si="108"/>
        <v>#REF!</v>
      </c>
      <c r="L121" s="131" t="str">
        <f t="shared" si="8"/>
        <v>#REF!</v>
      </c>
      <c r="M121" s="131" t="str">
        <f t="array" ref="M121">INDEX(L:L,MIN(IF(ISNUMBER(L121:L317),ROW(L121:L317),"")))</f>
        <v/>
      </c>
      <c r="N121" s="130" t="str">
        <f t="shared" si="109"/>
        <v>#REF!</v>
      </c>
      <c r="O121" s="130" t="str">
        <f>N121*VLOOKUP('Données projet (1)'!$B$9,'Paramètres (1)'!$A$1:$I$88,3,0)*VLOOKUP('Données projet (1)'!$B$9,'Paramètres (1)'!$A$1:$I$88,5,0)</f>
        <v>#REF!</v>
      </c>
      <c r="P121" s="130" t="str">
        <f t="shared" si="110"/>
        <v>#REF!</v>
      </c>
      <c r="Q121" s="141" t="str">
        <f t="shared" si="9"/>
        <v>#REF!</v>
      </c>
      <c r="R121" s="133" t="str">
        <f t="shared" si="10"/>
        <v>#REF!</v>
      </c>
      <c r="S121" s="133" t="str">
        <f t="shared" si="11"/>
        <v>#REF!</v>
      </c>
      <c r="T121" s="133" t="str">
        <f t="shared" si="111"/>
        <v>#REF!</v>
      </c>
      <c r="U121" s="134" t="str">
        <f t="shared" si="12"/>
        <v>#REF!</v>
      </c>
      <c r="V121" s="134" t="str">
        <f t="shared" si="13"/>
        <v>#REF!</v>
      </c>
      <c r="W121" s="135" t="str">
        <f>IF(ISNA(VLOOKUP(A121,'Données projet (1)'!$A$35:$I$55,5,0)),0%,VLOOKUP(A121,'Données projet (1)'!$A$35:$I$55,5,0)*VLOOKUP('Données projet (1)'!$B$9,'Paramètres (1)'!$A$1:$I$88,7,0))</f>
        <v>#REF!</v>
      </c>
      <c r="X121" s="135" t="str">
        <f>IF(ISNA(VLOOKUP(A121,'Données projet (1)'!$A$35:$I$55,6,0)),0%,VLOOKUP(A121,'Données projet (1)'!$A$35:$I$55,6,0)*VLOOKUP('Données projet (1)'!$B$9,'Paramètres (1)'!$A$1:$I$88,7,0))</f>
        <v>#REF!</v>
      </c>
      <c r="Y121" s="135" t="str">
        <f t="shared" si="14"/>
        <v>#REF!</v>
      </c>
      <c r="Z121" s="142" t="str">
        <f>EXP(-LN(2)/35)*Z120+(1-EXP(-LN(2)/35))/(LN(2)/35)*V121*W121*VLOOKUP('Données projet (1)'!$B$9,'Paramètres (1)'!$A$1:$I$88,3,0)*0.475*44/12</f>
        <v>#REF!</v>
      </c>
      <c r="AA121" s="142" t="str">
        <f>EXP(-LN(2)/25)*AA120+(1-EXP(-LN(2)/25))/(LN(2)/25)*'Calculateur (1)'!V121*'Calculateur (1)'!X121*VLOOKUP('Données projet (1)'!$B$9,'Paramètres (1)'!$A$1:$I$88,3,0)*0.475*44/12</f>
        <v>#REF!</v>
      </c>
      <c r="AB121" s="142" t="str">
        <f>EXP(-LN(2)/2)*AB120+(1-EXP(-LN(2)/2))/(LN(2)/2)*V121*Y121*VLOOKUP('Données projet (1)'!$B$9,'Paramètres (1)'!$A$1:$I$88,3,0)*0.475*44/12</f>
        <v>#REF!</v>
      </c>
      <c r="AC121" s="143" t="str">
        <f t="shared" si="15"/>
        <v>#REF!</v>
      </c>
      <c r="AD121" s="130" t="str">
        <f t="shared" si="16"/>
        <v>#REF!</v>
      </c>
      <c r="AE121" s="130">
        <f t="shared" si="17"/>
        <v>10</v>
      </c>
      <c r="AF121" s="131" t="str">
        <f t="shared" si="112"/>
        <v>#REF!</v>
      </c>
      <c r="AG121" s="131" t="str">
        <f t="shared" si="18"/>
        <v>#REF!</v>
      </c>
      <c r="AH121" s="131" t="str">
        <f t="array" ref="AH121">INDEX(AG:AG,MIN(IF(ISNUMBER(AG121:AG317),ROW(AG121:AG317),"")))</f>
        <v/>
      </c>
      <c r="AI121" s="130" t="str">
        <f t="shared" si="113"/>
        <v>#REF!</v>
      </c>
      <c r="AJ121" s="130" t="str">
        <f>AI121*VLOOKUP('Données projet (1)'!$B$10,'Paramètres (1)'!$A$1:$I$88,3,0)*VLOOKUP('Données projet (1)'!$B$10,'Paramètres (1)'!$A$1:$I$88,5,0)</f>
        <v>#REF!</v>
      </c>
      <c r="AK121" s="130" t="str">
        <f t="shared" si="114"/>
        <v>#REF!</v>
      </c>
      <c r="AL121" s="141" t="str">
        <f t="shared" si="19"/>
        <v>#REF!</v>
      </c>
      <c r="AM121" s="133" t="str">
        <f t="shared" si="20"/>
        <v>#REF!</v>
      </c>
      <c r="AN121" s="133" t="str">
        <f t="shared" si="21"/>
        <v>#REF!</v>
      </c>
      <c r="AO121" s="133" t="str">
        <f t="shared" si="115"/>
        <v>#REF!</v>
      </c>
      <c r="AP121" s="134" t="str">
        <f t="shared" si="22"/>
        <v>#REF!</v>
      </c>
      <c r="AQ121" s="134" t="str">
        <f t="shared" si="23"/>
        <v>#REF!</v>
      </c>
      <c r="AR121" s="135" t="str">
        <f>IF(ISNA(VLOOKUP(A121,'Données projet (1)'!$A$61:$I$81,5,0)),0%,VLOOKUP(A121,'Données projet (1)'!$A$61:$I$81,5,0)*VLOOKUP('Données projet (1)'!$B$10,'Paramètres (1)'!$A$1:$I$88,7,0))</f>
        <v>#REF!</v>
      </c>
      <c r="AS121" s="135" t="str">
        <f>IF(ISNA(VLOOKUP(A121,'Données projet (1)'!$A$61:$I$81,6,0)),0%,VLOOKUP(A121,'Données projet (1)'!$A$61:$I$81,6,0)*VLOOKUP('Données projet (1)'!$B$10,'Paramètres (1)'!$A$1:$I$88,7,0))</f>
        <v>#REF!</v>
      </c>
      <c r="AT121" s="135" t="str">
        <f t="shared" si="24"/>
        <v>#REF!</v>
      </c>
      <c r="AU121" s="142" t="str">
        <f>EXP(-LN(2)/35)*AU120+(1-EXP(-LN(2)/35))/(LN(2)/35)*AQ121*AR121*VLOOKUP('Données projet (1)'!$B$10,'Paramètres (1)'!$A$1:$I$88,3,0)*0.475*44/12</f>
        <v>#REF!</v>
      </c>
      <c r="AV121" s="142" t="str">
        <f>EXP(-LN(2)/25)*AV120+(1-EXP(-LN(2)/25))/(LN(2)/25)*'Calculateur (1)'!AQ121*'Calculateur (1)'!AS121*VLOOKUP('Données projet (1)'!$B$10,'Paramètres (1)'!$A$1:$I$88,3,0)*0.475*44/12</f>
        <v>#REF!</v>
      </c>
      <c r="AW121" s="142" t="str">
        <f>EXP(-LN(2)/2)*AW120+(1-EXP(-LN(2)/2))/(LN(2)/2)*AQ121*AT121*VLOOKUP('Données projet (1)'!$B$10,'Paramètres (1)'!$A$1:$I$88,3,0)*0.475*44/12</f>
        <v>#REF!</v>
      </c>
      <c r="AX121" s="142" t="str">
        <f t="shared" si="25"/>
        <v>#REF!</v>
      </c>
      <c r="AY121" s="137" t="str">
        <f t="shared" si="26"/>
        <v>#REF!</v>
      </c>
      <c r="AZ121" s="131">
        <f t="shared" si="27"/>
        <v>10</v>
      </c>
      <c r="BA121" s="131" t="str">
        <f t="shared" si="116"/>
        <v>#REF!</v>
      </c>
      <c r="BB121" s="131" t="str">
        <f t="shared" si="28"/>
        <v>#REF!</v>
      </c>
      <c r="BC121" s="131" t="str">
        <f t="array" ref="BC121">INDEX(BB:BB,MIN(IF(ISNUMBER(BB121:BB317),ROW(BB121:BB317),"")))</f>
        <v/>
      </c>
      <c r="BD121" s="131" t="str">
        <f t="shared" si="117"/>
        <v>#REF!</v>
      </c>
      <c r="BE121" s="130" t="str">
        <f>BD121*VLOOKUP('Données projet (1)'!$B$11,'Paramètres (1)'!$A$1:$I$88,3,0)*VLOOKUP('Données projet (1)'!$B$11,'Paramètres (1)'!$A$1:$I$88,5,0)</f>
        <v>#REF!</v>
      </c>
      <c r="BF121" s="130" t="str">
        <f t="shared" si="118"/>
        <v>#REF!</v>
      </c>
      <c r="BG121" s="141" t="str">
        <f t="shared" si="29"/>
        <v>#REF!</v>
      </c>
      <c r="BH121" s="133" t="str">
        <f t="shared" si="30"/>
        <v>#REF!</v>
      </c>
      <c r="BI121" s="133" t="str">
        <f t="shared" si="31"/>
        <v>#REF!</v>
      </c>
      <c r="BJ121" s="133" t="str">
        <f t="shared" si="119"/>
        <v>#REF!</v>
      </c>
      <c r="BK121" s="134" t="str">
        <f t="shared" si="32"/>
        <v>#REF!</v>
      </c>
      <c r="BL121" s="134" t="str">
        <f t="shared" si="33"/>
        <v>#REF!</v>
      </c>
      <c r="BM121" s="135" t="str">
        <f>IF(ISNA(VLOOKUP(A121,'Données projet (1)'!$A$87:$I$107,5,0)),0%,VLOOKUP(A121,'Données projet (1)'!$A$87:$I$107,5,0)*VLOOKUP('Données projet (1)'!$B$11,'Paramètres (1)'!$A$1:$I$88,7,0))</f>
        <v>#REF!</v>
      </c>
      <c r="BN121" s="135" t="str">
        <f>IF(ISNA(VLOOKUP(A121,'Données projet (1)'!$A$87:$I$107,6,0)),0%,VLOOKUP(A121,'Données projet (1)'!$A$87:$I$107,6,0)*VLOOKUP('Données projet (1)'!$B$11,'Paramètres (1)'!$A$1:$I$88,7,0))</f>
        <v>#REF!</v>
      </c>
      <c r="BO121" s="135" t="str">
        <f t="shared" si="34"/>
        <v>#REF!</v>
      </c>
      <c r="BP121" s="142" t="str">
        <f>EXP(-LN(2)/35)*BP120+(1-EXP(-LN(2)/35))/(LN(2)/35)*BL121*BM121*VLOOKUP('Données projet (1)'!$B$11,'Paramètres (1)'!$A$1:$I$88,3,0)*0.475*44/12</f>
        <v>#REF!</v>
      </c>
      <c r="BQ121" s="142" t="str">
        <f>EXP(-LN(2)/25)*BQ120+(1-EXP(-LN(2)/25))/(LN(2)/25)*'Calculateur (1)'!BL121*'Calculateur (1)'!BN121*VLOOKUP('Données projet (1)'!$B$11,'Paramètres (1)'!$A$1:$I$88,3,0)*0.475*44/12</f>
        <v>#REF!</v>
      </c>
      <c r="BR121" s="142" t="str">
        <f>EXP(-LN(2)/2)*BR120+(1-EXP(-LN(2)/2))/(LN(2)/2)*BL121*BO121*VLOOKUP('Données projet (1)'!$B$11,'Paramètres (1)'!$A$1:$I$88,3,0)*0.475*44/12</f>
        <v>#REF!</v>
      </c>
      <c r="BS121" s="143" t="str">
        <f t="shared" si="35"/>
        <v>#REF!</v>
      </c>
      <c r="BT121" s="139" t="str">
        <f t="shared" si="36"/>
        <v>#REF!</v>
      </c>
      <c r="BU121" s="131">
        <f t="shared" si="37"/>
        <v>10</v>
      </c>
      <c r="BV121" s="131" t="str">
        <f t="shared" si="120"/>
        <v>#REF!</v>
      </c>
      <c r="BW121" s="131" t="str">
        <f t="shared" si="38"/>
        <v>#REF!</v>
      </c>
      <c r="BX121" s="131" t="str">
        <f t="array" ref="BX121">INDEX(BW:BW,MIN(IF(ISNUMBER(BW121:BW317),ROW(BW121:BW317),"")))</f>
        <v/>
      </c>
      <c r="BY121" s="131" t="str">
        <f t="shared" si="121"/>
        <v>#REF!</v>
      </c>
      <c r="BZ121" s="130" t="str">
        <f>BY121*VLOOKUP('Données projet (1)'!$B$12,'Paramètres (1)'!$A$1:$I$88,3,0)*VLOOKUP('Données projet (1)'!$B$12,'Paramètres (1)'!$A$1:$I$88,5,0)</f>
        <v>#REF!</v>
      </c>
      <c r="CA121" s="130" t="str">
        <f t="shared" si="122"/>
        <v>#REF!</v>
      </c>
      <c r="CB121" s="141" t="str">
        <f t="shared" si="39"/>
        <v>#REF!</v>
      </c>
      <c r="CC121" s="133" t="str">
        <f t="shared" si="40"/>
        <v>#REF!</v>
      </c>
      <c r="CD121" s="133" t="str">
        <f t="shared" si="41"/>
        <v>#REF!</v>
      </c>
      <c r="CE121" s="133" t="str">
        <f t="shared" si="123"/>
        <v>#REF!</v>
      </c>
      <c r="CF121" s="134" t="str">
        <f t="shared" si="42"/>
        <v>#REF!</v>
      </c>
      <c r="CG121" s="134" t="str">
        <f t="shared" si="43"/>
        <v>#REF!</v>
      </c>
      <c r="CH121" s="135" t="str">
        <f>IF(ISNA(VLOOKUP(A121,'Données projet (1)'!$A$113:$I$133,5,0)),0%,VLOOKUP(A121,'Données projet (1)'!$A$113:$I$133,5,0)*VLOOKUP('Données projet (1)'!$B$12,'Paramètres (1)'!$A$1:$I$88,7,0))</f>
        <v>#REF!</v>
      </c>
      <c r="CI121" s="135" t="str">
        <f>IF(ISNA(VLOOKUP(A121,'Données projet (1)'!$A$113:$I$133,6,0)),0%,VLOOKUP(A121,'Données projet (1)'!$A$113:$I$133,6,0)*VLOOKUP('Données projet (1)'!$B$12,'Paramètres (1)'!$A$1:$I$88,7,0))</f>
        <v>#REF!</v>
      </c>
      <c r="CJ121" s="135" t="str">
        <f t="shared" si="44"/>
        <v>#REF!</v>
      </c>
      <c r="CK121" s="142" t="str">
        <f>EXP(-LN(2)/35)*CK120+(1-EXP(-LN(2)/35))/(LN(2)/35)*CG121*CH121*VLOOKUP('Données projet (1)'!$B$12,'Paramètres (1)'!$A$1:$I$88,3,0)*0.475*44/12</f>
        <v>#REF!</v>
      </c>
      <c r="CL121" s="142" t="str">
        <f>EXP(-LN(2)/25)*CL120+(1-EXP(-LN(2)/25))/(LN(2)/25)*'Calculateur (1)'!CG121*'Calculateur (1)'!CI121*VLOOKUP('Données projet (1)'!$B$12,'Paramètres (1)'!$A$1:$I$88,3,0)*0.475*44/12</f>
        <v>#REF!</v>
      </c>
      <c r="CM121" s="142" t="str">
        <f>EXP(-LN(2)/2)*CM120+(1-EXP(-LN(2)/2))/(LN(2)/2)*CG121*CJ121*VLOOKUP('Données projet (1)'!$B$12,'Paramètres (1)'!$A$1:$I$88,3,0)*0.475*44/12</f>
        <v>#REF!</v>
      </c>
      <c r="CN121" s="143" t="str">
        <f t="shared" si="45"/>
        <v>#REF!</v>
      </c>
      <c r="CO121" s="139" t="str">
        <f t="shared" si="46"/>
        <v>#REF!</v>
      </c>
      <c r="CP121" s="131">
        <f t="shared" si="47"/>
        <v>10</v>
      </c>
      <c r="CQ121" s="131" t="str">
        <f t="shared" si="124"/>
        <v>#REF!</v>
      </c>
      <c r="CR121" s="131" t="str">
        <f t="shared" si="48"/>
        <v>#REF!</v>
      </c>
      <c r="CS121" s="131" t="str">
        <f t="array" ref="CS121">INDEX(CR:CR,MIN(IF(ISNUMBER(CR121:CR317),ROW(CR121:CR317),"")))</f>
        <v/>
      </c>
      <c r="CT121" s="131" t="str">
        <f t="shared" si="125"/>
        <v>#REF!</v>
      </c>
      <c r="CU121" s="138" t="str">
        <f>CT121*VLOOKUP('Données projet (1)'!$B$13,'Paramètres (1)'!$A$1:$I$88,3,0)*VLOOKUP('Données projet (1)'!$B$13,'Paramètres (1)'!$A$1:$I$88,5,0)</f>
        <v>#REF!</v>
      </c>
      <c r="CV121" s="130" t="str">
        <f t="shared" si="126"/>
        <v>#REF!</v>
      </c>
      <c r="CW121" s="141" t="str">
        <f t="shared" si="49"/>
        <v>#REF!</v>
      </c>
      <c r="CX121" s="133" t="str">
        <f t="shared" si="50"/>
        <v>#REF!</v>
      </c>
      <c r="CY121" s="133" t="str">
        <f t="shared" si="51"/>
        <v>#REF!</v>
      </c>
      <c r="CZ121" s="133" t="str">
        <f t="shared" si="127"/>
        <v>#REF!</v>
      </c>
      <c r="DA121" s="134" t="str">
        <f t="shared" si="52"/>
        <v>#REF!</v>
      </c>
      <c r="DB121" s="134" t="str">
        <f t="shared" si="53"/>
        <v>#REF!</v>
      </c>
      <c r="DC121" s="135" t="str">
        <f>IF(ISNA(VLOOKUP(A121,'Données projet (1)'!$A$139:$I$159,5,0)),0%,VLOOKUP(A121,'Données projet (1)'!$A$139:$I$159,5,0)*VLOOKUP('Données projet (1)'!$B$13,'Paramètres (1)'!$A$1:$I$88,7,0))</f>
        <v>#REF!</v>
      </c>
      <c r="DD121" s="135" t="str">
        <f>IF(ISNA(VLOOKUP(A121,'Données projet (1)'!$A$139:$I$159,6,0)),0%,VLOOKUP(A121,'Données projet (1)'!$A$139:$I$159,6,0)*VLOOKUP('Données projet (1)'!$B$13,'Paramètres (1)'!$A$1:$I$88,7,0))</f>
        <v>#REF!</v>
      </c>
      <c r="DE121" s="135" t="str">
        <f t="shared" si="54"/>
        <v>#REF!</v>
      </c>
      <c r="DF121" s="142" t="str">
        <f>EXP(-LN(2)/35)*DF120+(1-EXP(-LN(2)/35))/(LN(2)/35)*DB121*DC121*VLOOKUP('Données projet (1)'!$B$13,'Paramètres (1)'!$A$1:$I$88,3,0)*0.475*44/12</f>
        <v>#REF!</v>
      </c>
      <c r="DG121" s="142" t="str">
        <f>EXP(-LN(2)/25)*DG120+(1-EXP(-LN(2)/25))/(LN(2)/25)*'Calculateur (1)'!DB121*'Calculateur (1)'!DD121*VLOOKUP('Données projet (1)'!$B$13,'Paramètres (1)'!$A$1:$I$88,3,0)*0.475*44/12</f>
        <v>#REF!</v>
      </c>
      <c r="DH121" s="142" t="str">
        <f>EXP(-LN(2)/2)*DH120+(1-EXP(-LN(2)/2))/(LN(2)/2)*DB121*DE121*VLOOKUP('Données projet (1)'!$B$13,'Paramètres (1)'!$A$1:$I$88,3,0)*0.475*44/12</f>
        <v>#REF!</v>
      </c>
      <c r="DI121" s="143" t="str">
        <f t="shared" si="55"/>
        <v>#REF!</v>
      </c>
      <c r="DJ121" s="139" t="str">
        <f t="shared" si="56"/>
        <v>#REF!</v>
      </c>
      <c r="DK121" s="131">
        <f t="shared" si="57"/>
        <v>10</v>
      </c>
      <c r="DL121" s="131" t="str">
        <f t="shared" si="128"/>
        <v>#REF!</v>
      </c>
      <c r="DM121" s="131" t="str">
        <f t="shared" si="58"/>
        <v>#REF!</v>
      </c>
      <c r="DN121" s="131" t="str">
        <f t="array" ref="DN121">INDEX(DM:DM,MIN(IF(ISNUMBER(DM121:DM317),ROW(DM121:DM317),"")))</f>
        <v/>
      </c>
      <c r="DO121" s="131" t="str">
        <f t="shared" si="129"/>
        <v>#REF!</v>
      </c>
      <c r="DP121" s="138" t="str">
        <f>DO121*VLOOKUP('Données projet (1)'!$B$14,'Paramètres (1)'!$A$1:$I$88,3,0)*VLOOKUP('Données projet (1)'!$B$14,'Paramètres (1)'!$A$1:$I$88,5,0)</f>
        <v>#REF!</v>
      </c>
      <c r="DQ121" s="130" t="str">
        <f t="shared" si="130"/>
        <v>#REF!</v>
      </c>
      <c r="DR121" s="141" t="str">
        <f t="shared" si="59"/>
        <v>#REF!</v>
      </c>
      <c r="DS121" s="133" t="str">
        <f t="shared" si="60"/>
        <v>#REF!</v>
      </c>
      <c r="DT121" s="133" t="str">
        <f t="shared" si="61"/>
        <v>#REF!</v>
      </c>
      <c r="DU121" s="133" t="str">
        <f t="shared" si="131"/>
        <v>#REF!</v>
      </c>
      <c r="DV121" s="134" t="str">
        <f t="shared" si="62"/>
        <v>#REF!</v>
      </c>
      <c r="DW121" s="134" t="str">
        <f t="shared" si="63"/>
        <v>#REF!</v>
      </c>
      <c r="DX121" s="135" t="str">
        <f>IF(ISNA(VLOOKUP(A121,'Données projet (1)'!$A$165:$I$185,5,0)),0%,VLOOKUP(A121,'Données projet (1)'!$A$165:$I$185,5,0)*VLOOKUP('Données projet (1)'!$B$14,'Paramètres (1)'!$A$1:$I$88,7,0))</f>
        <v>#REF!</v>
      </c>
      <c r="DY121" s="135" t="str">
        <f>IF(ISNA(VLOOKUP(A121,'Données projet (1)'!$A$165:$I$185,6,0)),0%,VLOOKUP(A121,'Données projet (1)'!$A$165:$I$185,6,0)*VLOOKUP('Données projet (1)'!$B$14,'Paramètres (1)'!$A$1:$I$88,7,0))</f>
        <v>#REF!</v>
      </c>
      <c r="DZ121" s="135" t="str">
        <f t="shared" si="64"/>
        <v>#REF!</v>
      </c>
      <c r="EA121" s="142" t="str">
        <f>EXP(-LN(2)/35)*EA120+(1-EXP(-LN(2)/35))/(LN(2)/35)*DW121*DX121*VLOOKUP('Données projet (1)'!$B$14,'Paramètres (1)'!$A$1:$I$88,3,0)*0.475*44/12</f>
        <v>#REF!</v>
      </c>
      <c r="EB121" s="142" t="str">
        <f>EXP(-LN(2)/25)*EB120+(1-EXP(-LN(2)/25))/(LN(2)/25)*'Calculateur (1)'!DW121*'Calculateur (1)'!DY121*VLOOKUP('Données projet (1)'!$B$14,'Paramètres (1)'!$A$1:$I$88,3,0)*0.475*44/12</f>
        <v>#REF!</v>
      </c>
      <c r="EC121" s="142" t="str">
        <f>EXP(-LN(2)/2)*EC120+(1-EXP(-LN(2)/2))/(LN(2)/2)*DW121*DZ121*VLOOKUP('Données projet (1)'!$B$14,'Paramètres (1)'!$A$1:$I$88,3,0)*0.475*44/12</f>
        <v>#REF!</v>
      </c>
      <c r="ED121" s="143" t="str">
        <f t="shared" si="65"/>
        <v>#REF!</v>
      </c>
      <c r="EE121" s="139" t="str">
        <f t="shared" si="66"/>
        <v>#REF!</v>
      </c>
      <c r="EF121" s="131">
        <f t="shared" si="67"/>
        <v>10</v>
      </c>
      <c r="EG121" s="131" t="str">
        <f t="shared" si="132"/>
        <v>#REF!</v>
      </c>
      <c r="EH121" s="131" t="str">
        <f t="shared" si="68"/>
        <v>#REF!</v>
      </c>
      <c r="EI121" s="131" t="str">
        <f t="array" ref="EI121">INDEX(EH:EH,MIN(IF(ISNUMBER(EH121:EH317),ROW(EH121:EH317),"")))</f>
        <v/>
      </c>
      <c r="EJ121" s="131" t="str">
        <f t="shared" si="133"/>
        <v>#REF!</v>
      </c>
      <c r="EK121" s="138" t="str">
        <f>EJ121*VLOOKUP('Données projet (1)'!$B$15,'Paramètres (1)'!$A$1:$I$88,3,0)*VLOOKUP('Données projet (1)'!$B$15,'Paramètres (1)'!$A$1:$I$88,5,0)</f>
        <v>#REF!</v>
      </c>
      <c r="EL121" s="130" t="str">
        <f t="shared" si="134"/>
        <v>#REF!</v>
      </c>
      <c r="EM121" s="141" t="str">
        <f t="shared" si="69"/>
        <v>#REF!</v>
      </c>
      <c r="EN121" s="133" t="str">
        <f t="shared" si="70"/>
        <v>#REF!</v>
      </c>
      <c r="EO121" s="133" t="str">
        <f t="shared" si="71"/>
        <v>#REF!</v>
      </c>
      <c r="EP121" s="133" t="str">
        <f t="shared" si="135"/>
        <v>#REF!</v>
      </c>
      <c r="EQ121" s="134" t="str">
        <f t="shared" si="72"/>
        <v>#REF!</v>
      </c>
      <c r="ER121" s="134" t="str">
        <f t="shared" si="73"/>
        <v>#REF!</v>
      </c>
      <c r="ES121" s="135" t="str">
        <f>IF(ISNA(VLOOKUP(A121,'Données projet (1)'!$A$191:$I$211,5,0)),0%,VLOOKUP(A121,'Données projet (1)'!$A$191:$I$211,5,0)*VLOOKUP('Données projet (1)'!$B$15,'Paramètres (1)'!$A$1:$I$88,7,0))</f>
        <v>#REF!</v>
      </c>
      <c r="ET121" s="135" t="str">
        <f>IF(ISNA(VLOOKUP(A121,'Données projet (1)'!$A$191:$I$211,6,0)),0%,VLOOKUP(A121,'Données projet (1)'!$A$191:$I$211,6,0)*VLOOKUP('Données projet (1)'!$B$15,'Paramètres (1)'!$A$1:$I$88,7,0))</f>
        <v>#REF!</v>
      </c>
      <c r="EU121" s="135" t="str">
        <f t="shared" si="74"/>
        <v>#REF!</v>
      </c>
      <c r="EV121" s="142" t="str">
        <f>EXP(-LN(2)/35)*EV120+(1-EXP(-LN(2)/35))/(LN(2)/35)*ER121*ES121*VLOOKUP('Données projet (1)'!$B$15,'Paramètres (1)'!$A$1:$I$88,3,0)*0.475*44/12</f>
        <v>#REF!</v>
      </c>
      <c r="EW121" s="142" t="str">
        <f>EXP(-LN(2)/25)*EW120+(1-EXP(-LN(2)/25))/(LN(2)/25)*'Calculateur (1)'!ER121*'Calculateur (1)'!ET121*VLOOKUP('Données projet (1)'!$B$15,'Paramètres (1)'!$A$1:$I$88,3,0)*0.475*44/12</f>
        <v>#REF!</v>
      </c>
      <c r="EX121" s="142" t="str">
        <f>EXP(-LN(2)/2)*EX120+(1-EXP(-LN(2)/2))/(LN(2)/2)*ER121*EU121*VLOOKUP('Données projet (1)'!$B$15,'Paramètres (1)'!$A$1:$I$88,3,0)*0.475*44/12</f>
        <v>#REF!</v>
      </c>
      <c r="EY121" s="143" t="str">
        <f t="shared" si="75"/>
        <v>#REF!</v>
      </c>
      <c r="EZ121" s="139" t="str">
        <f t="shared" si="76"/>
        <v>#REF!</v>
      </c>
      <c r="FA121" s="131">
        <f t="shared" si="77"/>
        <v>10</v>
      </c>
      <c r="FB121" s="131" t="str">
        <f t="shared" si="136"/>
        <v>#REF!</v>
      </c>
      <c r="FC121" s="131" t="str">
        <f t="shared" si="78"/>
        <v>#REF!</v>
      </c>
      <c r="FD121" s="131" t="str">
        <f t="array" ref="FD121">INDEX(FC:FC,MIN(IF(ISNUMBER(FC121:FC317),ROW(FC121:FC317),"")))</f>
        <v/>
      </c>
      <c r="FE121" s="131" t="str">
        <f t="shared" si="137"/>
        <v>#REF!</v>
      </c>
      <c r="FF121" s="138" t="str">
        <f>FE121*VLOOKUP('Données projet (1)'!$B$16,'Paramètres (1)'!$A$1:$I$88,3,0)*VLOOKUP('Données projet (1)'!$B$16,'Paramètres (1)'!$A$1:$I$88,5,0)</f>
        <v>#REF!</v>
      </c>
      <c r="FG121" s="130" t="str">
        <f t="shared" si="138"/>
        <v>#REF!</v>
      </c>
      <c r="FH121" s="141" t="str">
        <f t="shared" si="79"/>
        <v>#REF!</v>
      </c>
      <c r="FI121" s="133" t="str">
        <f t="shared" si="80"/>
        <v>#REF!</v>
      </c>
      <c r="FJ121" s="133" t="str">
        <f t="shared" si="81"/>
        <v>#REF!</v>
      </c>
      <c r="FK121" s="133" t="str">
        <f t="shared" si="139"/>
        <v>#REF!</v>
      </c>
      <c r="FL121" s="134" t="str">
        <f t="shared" si="82"/>
        <v>#REF!</v>
      </c>
      <c r="FM121" s="134" t="str">
        <f t="shared" si="83"/>
        <v>#REF!</v>
      </c>
      <c r="FN121" s="135" t="str">
        <f>IF(ISNA(VLOOKUP(A121,'Données projet (1)'!$A$217:$I$237,5,0)),0%,VLOOKUP(A121,'Données projet (1)'!$A$217:$I$237,5,0)*VLOOKUP('Données projet (1)'!$B$16,'Paramètres (1)'!$A$1:$I$88,7,0))</f>
        <v>#REF!</v>
      </c>
      <c r="FO121" s="135" t="str">
        <f>IF(ISNA(VLOOKUP(A121,'Données projet (1)'!$A$217:$I$237,6,0)),0%,VLOOKUP(A121,'Données projet (1)'!$A$217:$I$237,6,0)*VLOOKUP('Données projet (1)'!$B$16,'Paramètres (1)'!$A$1:$I$88,7,0))</f>
        <v>#REF!</v>
      </c>
      <c r="FP121" s="135" t="str">
        <f t="shared" si="84"/>
        <v>#REF!</v>
      </c>
      <c r="FQ121" s="142" t="str">
        <f>EXP(-LN(2)/35)*FQ120+(1-EXP(-LN(2)/35))/(LN(2)/35)*FM121*FN121*VLOOKUP('Données projet (1)'!$B$16,'Paramètres (1)'!$A$1:$I$88,3,0)*0.475*44/12</f>
        <v>#REF!</v>
      </c>
      <c r="FR121" s="142" t="str">
        <f>EXP(-LN(2)/25)*FR120+(1-EXP(-LN(2)/25))/(LN(2)/25)*'Calculateur (1)'!FM121*'Calculateur (1)'!FO121*VLOOKUP('Données projet (1)'!$B$16,'Paramètres (1)'!$A$1:$I$88,3,0)*0.475*44/12</f>
        <v>#REF!</v>
      </c>
      <c r="FS121" s="142" t="str">
        <f>EXP(-LN(2)/2)*FS120+(1-EXP(-LN(2)/2))/(LN(2)/2)*FM121*FP121*VLOOKUP('Données projet (1)'!$B$16,'Paramètres (1)'!$A$1:$I$88,3,0)*0.475*44/12</f>
        <v>#REF!</v>
      </c>
      <c r="FT121" s="143" t="str">
        <f t="shared" si="85"/>
        <v>#REF!</v>
      </c>
      <c r="FU121" s="139" t="str">
        <f t="shared" si="86"/>
        <v>#REF!</v>
      </c>
      <c r="FV121" s="131">
        <f t="shared" si="87"/>
        <v>10</v>
      </c>
      <c r="FW121" s="131" t="str">
        <f t="shared" si="140"/>
        <v>#REF!</v>
      </c>
      <c r="FX121" s="131" t="str">
        <f t="shared" si="88"/>
        <v>#REF!</v>
      </c>
      <c r="FY121" s="131" t="str">
        <f t="array" ref="FY121">INDEX(FX:FX,MIN(IF(ISNUMBER(FX121:FX317),ROW(FX121:FX317),"")))</f>
        <v/>
      </c>
      <c r="FZ121" s="131" t="str">
        <f t="shared" si="141"/>
        <v>#REF!</v>
      </c>
      <c r="GA121" s="138" t="str">
        <f>FZ121*VLOOKUP('Données projet (1)'!$B$17,'Paramètres (1)'!$A$1:$I$88,3,0)*VLOOKUP('Données projet (1)'!$B$17,'Paramètres (1)'!$A$1:$I$88,5,0)</f>
        <v>#REF!</v>
      </c>
      <c r="GB121" s="130" t="str">
        <f t="shared" si="142"/>
        <v>#REF!</v>
      </c>
      <c r="GC121" s="141" t="str">
        <f t="shared" si="89"/>
        <v>#REF!</v>
      </c>
      <c r="GD121" s="133" t="str">
        <f t="shared" si="90"/>
        <v>#REF!</v>
      </c>
      <c r="GE121" s="133" t="str">
        <f t="shared" si="91"/>
        <v>#REF!</v>
      </c>
      <c r="GF121" s="133" t="str">
        <f t="shared" si="143"/>
        <v>#REF!</v>
      </c>
      <c r="GG121" s="134" t="str">
        <f t="shared" si="92"/>
        <v>#REF!</v>
      </c>
      <c r="GH121" s="134" t="str">
        <f t="shared" si="93"/>
        <v>#REF!</v>
      </c>
      <c r="GI121" s="135" t="str">
        <f>IF(ISNA(VLOOKUP(A121,'Données projet (1)'!$A$243:$I$263,5,0)),0%,VLOOKUP(A121,'Données projet (1)'!$A$243:$I$263,5,0)*VLOOKUP('Données projet (1)'!$B$17,'Paramètres (1)'!$A$1:$I$88,7,0))</f>
        <v>#REF!</v>
      </c>
      <c r="GJ121" s="135" t="str">
        <f>IF(ISNA(VLOOKUP(A121,'Données projet (1)'!$A$243:$I$263,6,0)),0%,VLOOKUP(A121,'Données projet (1)'!$A$243:$I$263,6,0)*VLOOKUP('Données projet (1)'!$B$17,'Paramètres (1)'!$A$1:$I$88,7,0))</f>
        <v>#REF!</v>
      </c>
      <c r="GK121" s="135" t="str">
        <f t="shared" si="94"/>
        <v>#REF!</v>
      </c>
      <c r="GL121" s="142" t="str">
        <f>EXP(-LN(2)/35)*GL120+(1-EXP(-LN(2)/35))/(LN(2)/35)*GH121*GI121*VLOOKUP('Données projet (1)'!$B$17,'Paramètres (1)'!$A$1:$I$88,3,0)*0.475*44/12</f>
        <v>#REF!</v>
      </c>
      <c r="GM121" s="142" t="str">
        <f>EXP(-LN(2)/25)*GM120+(1-EXP(-LN(2)/25))/(LN(2)/25)*'Calculateur (1)'!GH121*'Calculateur (1)'!GJ121*VLOOKUP('Données projet (1)'!$B$17,'Paramètres (1)'!$A$1:$I$88,3,0)*0.475*44/12</f>
        <v>#REF!</v>
      </c>
      <c r="GN121" s="142" t="str">
        <f>EXP(-LN(2)/2)*GN120+(1-EXP(-LN(2)/2))/(LN(2)/2)*GH121*GK121*VLOOKUP('Données projet (1)'!$B$17,'Paramètres (1)'!$A$1:$I$88,3,0)*0.475*44/12</f>
        <v>#REF!</v>
      </c>
      <c r="GO121" s="142" t="str">
        <f t="shared" si="95"/>
        <v>#REF!</v>
      </c>
      <c r="GP121" s="139" t="str">
        <f t="shared" si="96"/>
        <v>#REF!</v>
      </c>
      <c r="GQ121" s="131">
        <f t="shared" si="97"/>
        <v>10</v>
      </c>
      <c r="GR121" s="131" t="str">
        <f t="shared" si="144"/>
        <v>#REF!</v>
      </c>
      <c r="GS121" s="131" t="str">
        <f t="shared" si="98"/>
        <v>#REF!</v>
      </c>
      <c r="GT121" s="131" t="str">
        <f t="array" ref="GT121">INDEX(GS:GS,MIN(IF(ISNUMBER(GS121:GS317),ROW(GS121:GS317),"")))</f>
        <v/>
      </c>
      <c r="GU121" s="131" t="str">
        <f t="shared" si="145"/>
        <v>#REF!</v>
      </c>
      <c r="GV121" s="138" t="str">
        <f>GU121*VLOOKUP('Données projet (1)'!$B$18,'Paramètres (1)'!$A$1:$I$88,3,0)*VLOOKUP('Données projet (1)'!$B$18,'Paramètres (1)'!$A$1:$I$88,5,0)</f>
        <v>#REF!</v>
      </c>
      <c r="GW121" s="130" t="str">
        <f t="shared" si="146"/>
        <v>#REF!</v>
      </c>
      <c r="GX121" s="141" t="str">
        <f t="shared" si="99"/>
        <v>#REF!</v>
      </c>
      <c r="GY121" s="133" t="str">
        <f t="shared" si="100"/>
        <v>#REF!</v>
      </c>
      <c r="GZ121" s="133" t="str">
        <f t="shared" si="101"/>
        <v>#REF!</v>
      </c>
      <c r="HA121" s="133" t="str">
        <f t="shared" si="147"/>
        <v>#REF!</v>
      </c>
      <c r="HB121" s="134" t="str">
        <f t="shared" si="102"/>
        <v>#REF!</v>
      </c>
      <c r="HC121" s="134" t="str">
        <f t="shared" si="103"/>
        <v>#REF!</v>
      </c>
      <c r="HD121" s="135" t="str">
        <f>IF(ISNA(VLOOKUP(A121,'Données projet (1)'!$A$269:$I$289,5,0)),0%,VLOOKUP(A121,'Données projet (1)'!$A$269:$I$289,5,0)*VLOOKUP('Données projet (1)'!$B$18,'Paramètres (1)'!$A$1:$I$88,7,0))</f>
        <v>#REF!</v>
      </c>
      <c r="HE121" s="135" t="str">
        <f>IF(ISNA(VLOOKUP(A121,'Données projet (1)'!$A$269:$I$289,6,0)),0%,VLOOKUP(A121,'Données projet (1)'!$A$269:$I$289,6,0)*VLOOKUP('Données projet (1)'!$B$18,'Paramètres (1)'!$A$1:$I$88,7,0))</f>
        <v>#REF!</v>
      </c>
      <c r="HF121" s="135" t="str">
        <f t="shared" si="104"/>
        <v>#REF!</v>
      </c>
      <c r="HG121" s="142" t="str">
        <f>EXP(-LN(2)/35)*HG120+(1-EXP(-LN(2)/35))/(LN(2)/35)*HC121*HD121*VLOOKUP('Données projet (1)'!$B$18,'Paramètres (1)'!$A$1:$I$88,3,0)*0.475*44/12</f>
        <v>#REF!</v>
      </c>
      <c r="HH121" s="142" t="str">
        <f>EXP(-LN(2)/25)*HH120+(1-EXP(-LN(2)/25))/(LN(2)/25)*'Calculateur (1)'!HC121*'Calculateur (1)'!HE121*VLOOKUP('Données projet (1)'!$B$18,'Paramètres (1)'!$A$1:$I$88,3,0)*0.475*44/12</f>
        <v>#REF!</v>
      </c>
      <c r="HI121" s="142" t="str">
        <f>EXP(-LN(2)/2)*HI120+(1-EXP(-LN(2)/2))/(LN(2)/2)*HC121*HF121*VLOOKUP('Données projet (1)'!$B$18,'Paramètres (1)'!$A$1:$I$88,3,0)*0.475*44/12</f>
        <v>#REF!</v>
      </c>
      <c r="HJ121" s="143" t="str">
        <f t="shared" si="105"/>
        <v>#REF!</v>
      </c>
    </row>
    <row r="122" ht="14.25" customHeight="1">
      <c r="A122" s="125">
        <f t="shared" si="106"/>
        <v>119</v>
      </c>
      <c r="B122" s="126" t="str">
        <f t="shared" si="1"/>
        <v>#REF!</v>
      </c>
      <c r="C122" s="140" t="str">
        <f>'Calculateur (1)'!C121+'Scénario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2" s="127">
        <f t="shared" si="107"/>
        <v>0</v>
      </c>
      <c r="E122" s="127" t="str">
        <f t="shared" si="2"/>
        <v>#REF!</v>
      </c>
      <c r="F122" s="127" t="str">
        <f t="shared" si="3"/>
        <v>#REF!</v>
      </c>
      <c r="G122" s="127" t="str">
        <f t="shared" si="4"/>
        <v>#REF!</v>
      </c>
      <c r="H122" s="128" t="str">
        <f t="shared" si="5"/>
        <v>#REF!</v>
      </c>
      <c r="I122" s="129" t="str">
        <f t="shared" si="6"/>
        <v>#REF!</v>
      </c>
      <c r="J122" s="130">
        <f t="shared" si="7"/>
        <v>10</v>
      </c>
      <c r="K122" s="131" t="str">
        <f t="shared" si="108"/>
        <v>#REF!</v>
      </c>
      <c r="L122" s="131" t="str">
        <f t="shared" si="8"/>
        <v>#REF!</v>
      </c>
      <c r="M122" s="131" t="str">
        <f t="array" ref="M122">INDEX(L:L,MIN(IF(ISNUMBER(L122:L318),ROW(L122:L318),"")))</f>
        <v/>
      </c>
      <c r="N122" s="130" t="str">
        <f t="shared" si="109"/>
        <v>#REF!</v>
      </c>
      <c r="O122" s="130" t="str">
        <f>N122*VLOOKUP('Données projet (1)'!$B$9,'Paramètres (1)'!$A$1:$I$88,3,0)*VLOOKUP('Données projet (1)'!$B$9,'Paramètres (1)'!$A$1:$I$88,5,0)</f>
        <v>#REF!</v>
      </c>
      <c r="P122" s="130" t="str">
        <f t="shared" si="110"/>
        <v>#REF!</v>
      </c>
      <c r="Q122" s="141" t="str">
        <f t="shared" si="9"/>
        <v>#REF!</v>
      </c>
      <c r="R122" s="133" t="str">
        <f t="shared" si="10"/>
        <v>#REF!</v>
      </c>
      <c r="S122" s="133" t="str">
        <f t="shared" si="11"/>
        <v>#REF!</v>
      </c>
      <c r="T122" s="133" t="str">
        <f t="shared" si="111"/>
        <v>#REF!</v>
      </c>
      <c r="U122" s="134" t="str">
        <f t="shared" si="12"/>
        <v>#REF!</v>
      </c>
      <c r="V122" s="134" t="str">
        <f t="shared" si="13"/>
        <v>#REF!</v>
      </c>
      <c r="W122" s="135" t="str">
        <f>IF(ISNA(VLOOKUP(A122,'Données projet (1)'!$A$35:$I$55,5,0)),0%,VLOOKUP(A122,'Données projet (1)'!$A$35:$I$55,5,0)*VLOOKUP('Données projet (1)'!$B$9,'Paramètres (1)'!$A$1:$I$88,7,0))</f>
        <v>#REF!</v>
      </c>
      <c r="X122" s="135" t="str">
        <f>IF(ISNA(VLOOKUP(A122,'Données projet (1)'!$A$35:$I$55,6,0)),0%,VLOOKUP(A122,'Données projet (1)'!$A$35:$I$55,6,0)*VLOOKUP('Données projet (1)'!$B$9,'Paramètres (1)'!$A$1:$I$88,7,0))</f>
        <v>#REF!</v>
      </c>
      <c r="Y122" s="135" t="str">
        <f t="shared" si="14"/>
        <v>#REF!</v>
      </c>
      <c r="Z122" s="142" t="str">
        <f>EXP(-LN(2)/35)*Z121+(1-EXP(-LN(2)/35))/(LN(2)/35)*V122*W122*VLOOKUP('Données projet (1)'!$B$9,'Paramètres (1)'!$A$1:$I$88,3,0)*0.475*44/12</f>
        <v>#REF!</v>
      </c>
      <c r="AA122" s="142" t="str">
        <f>EXP(-LN(2)/25)*AA121+(1-EXP(-LN(2)/25))/(LN(2)/25)*'Calculateur (1)'!V122*'Calculateur (1)'!X122*VLOOKUP('Données projet (1)'!$B$9,'Paramètres (1)'!$A$1:$I$88,3,0)*0.475*44/12</f>
        <v>#REF!</v>
      </c>
      <c r="AB122" s="142" t="str">
        <f>EXP(-LN(2)/2)*AB121+(1-EXP(-LN(2)/2))/(LN(2)/2)*V122*Y122*VLOOKUP('Données projet (1)'!$B$9,'Paramètres (1)'!$A$1:$I$88,3,0)*0.475*44/12</f>
        <v>#REF!</v>
      </c>
      <c r="AC122" s="143" t="str">
        <f t="shared" si="15"/>
        <v>#REF!</v>
      </c>
      <c r="AD122" s="130" t="str">
        <f t="shared" si="16"/>
        <v>#REF!</v>
      </c>
      <c r="AE122" s="130">
        <f t="shared" si="17"/>
        <v>10</v>
      </c>
      <c r="AF122" s="131" t="str">
        <f t="shared" si="112"/>
        <v>#REF!</v>
      </c>
      <c r="AG122" s="131" t="str">
        <f t="shared" si="18"/>
        <v>#REF!</v>
      </c>
      <c r="AH122" s="131" t="str">
        <f t="array" ref="AH122">INDEX(AG:AG,MIN(IF(ISNUMBER(AG122:AG318),ROW(AG122:AG318),"")))</f>
        <v/>
      </c>
      <c r="AI122" s="130" t="str">
        <f t="shared" si="113"/>
        <v>#REF!</v>
      </c>
      <c r="AJ122" s="130" t="str">
        <f>AI122*VLOOKUP('Données projet (1)'!$B$10,'Paramètres (1)'!$A$1:$I$88,3,0)*VLOOKUP('Données projet (1)'!$B$10,'Paramètres (1)'!$A$1:$I$88,5,0)</f>
        <v>#REF!</v>
      </c>
      <c r="AK122" s="130" t="str">
        <f t="shared" si="114"/>
        <v>#REF!</v>
      </c>
      <c r="AL122" s="141" t="str">
        <f t="shared" si="19"/>
        <v>#REF!</v>
      </c>
      <c r="AM122" s="133" t="str">
        <f t="shared" si="20"/>
        <v>#REF!</v>
      </c>
      <c r="AN122" s="133" t="str">
        <f t="shared" si="21"/>
        <v>#REF!</v>
      </c>
      <c r="AO122" s="133" t="str">
        <f t="shared" si="115"/>
        <v>#REF!</v>
      </c>
      <c r="AP122" s="134" t="str">
        <f t="shared" si="22"/>
        <v>#REF!</v>
      </c>
      <c r="AQ122" s="134" t="str">
        <f t="shared" si="23"/>
        <v>#REF!</v>
      </c>
      <c r="AR122" s="135" t="str">
        <f>IF(ISNA(VLOOKUP(A122,'Données projet (1)'!$A$61:$I$81,5,0)),0%,VLOOKUP(A122,'Données projet (1)'!$A$61:$I$81,5,0)*VLOOKUP('Données projet (1)'!$B$10,'Paramètres (1)'!$A$1:$I$88,7,0))</f>
        <v>#REF!</v>
      </c>
      <c r="AS122" s="135" t="str">
        <f>IF(ISNA(VLOOKUP(A122,'Données projet (1)'!$A$61:$I$81,6,0)),0%,VLOOKUP(A122,'Données projet (1)'!$A$61:$I$81,6,0)*VLOOKUP('Données projet (1)'!$B$10,'Paramètres (1)'!$A$1:$I$88,7,0))</f>
        <v>#REF!</v>
      </c>
      <c r="AT122" s="135" t="str">
        <f t="shared" si="24"/>
        <v>#REF!</v>
      </c>
      <c r="AU122" s="142" t="str">
        <f>EXP(-LN(2)/35)*AU121+(1-EXP(-LN(2)/35))/(LN(2)/35)*AQ122*AR122*VLOOKUP('Données projet (1)'!$B$10,'Paramètres (1)'!$A$1:$I$88,3,0)*0.475*44/12</f>
        <v>#REF!</v>
      </c>
      <c r="AV122" s="142" t="str">
        <f>EXP(-LN(2)/25)*AV121+(1-EXP(-LN(2)/25))/(LN(2)/25)*'Calculateur (1)'!AQ122*'Calculateur (1)'!AS122*VLOOKUP('Données projet (1)'!$B$10,'Paramètres (1)'!$A$1:$I$88,3,0)*0.475*44/12</f>
        <v>#REF!</v>
      </c>
      <c r="AW122" s="142" t="str">
        <f>EXP(-LN(2)/2)*AW121+(1-EXP(-LN(2)/2))/(LN(2)/2)*AQ122*AT122*VLOOKUP('Données projet (1)'!$B$10,'Paramètres (1)'!$A$1:$I$88,3,0)*0.475*44/12</f>
        <v>#REF!</v>
      </c>
      <c r="AX122" s="142" t="str">
        <f t="shared" si="25"/>
        <v>#REF!</v>
      </c>
      <c r="AY122" s="137" t="str">
        <f t="shared" si="26"/>
        <v>#REF!</v>
      </c>
      <c r="AZ122" s="131">
        <f t="shared" si="27"/>
        <v>10</v>
      </c>
      <c r="BA122" s="131" t="str">
        <f t="shared" si="116"/>
        <v>#REF!</v>
      </c>
      <c r="BB122" s="131" t="str">
        <f t="shared" si="28"/>
        <v>#REF!</v>
      </c>
      <c r="BC122" s="131" t="str">
        <f t="array" ref="BC122">INDEX(BB:BB,MIN(IF(ISNUMBER(BB122:BB318),ROW(BB122:BB318),"")))</f>
        <v/>
      </c>
      <c r="BD122" s="131" t="str">
        <f t="shared" si="117"/>
        <v>#REF!</v>
      </c>
      <c r="BE122" s="130" t="str">
        <f>BD122*VLOOKUP('Données projet (1)'!$B$11,'Paramètres (1)'!$A$1:$I$88,3,0)*VLOOKUP('Données projet (1)'!$B$11,'Paramètres (1)'!$A$1:$I$88,5,0)</f>
        <v>#REF!</v>
      </c>
      <c r="BF122" s="130" t="str">
        <f t="shared" si="118"/>
        <v>#REF!</v>
      </c>
      <c r="BG122" s="141" t="str">
        <f t="shared" si="29"/>
        <v>#REF!</v>
      </c>
      <c r="BH122" s="133" t="str">
        <f t="shared" si="30"/>
        <v>#REF!</v>
      </c>
      <c r="BI122" s="133" t="str">
        <f t="shared" si="31"/>
        <v>#REF!</v>
      </c>
      <c r="BJ122" s="133" t="str">
        <f t="shared" si="119"/>
        <v>#REF!</v>
      </c>
      <c r="BK122" s="134" t="str">
        <f t="shared" si="32"/>
        <v>#REF!</v>
      </c>
      <c r="BL122" s="134" t="str">
        <f t="shared" si="33"/>
        <v>#REF!</v>
      </c>
      <c r="BM122" s="135" t="str">
        <f>IF(ISNA(VLOOKUP(A122,'Données projet (1)'!$A$87:$I$107,5,0)),0%,VLOOKUP(A122,'Données projet (1)'!$A$87:$I$107,5,0)*VLOOKUP('Données projet (1)'!$B$11,'Paramètres (1)'!$A$1:$I$88,7,0))</f>
        <v>#REF!</v>
      </c>
      <c r="BN122" s="135" t="str">
        <f>IF(ISNA(VLOOKUP(A122,'Données projet (1)'!$A$87:$I$107,6,0)),0%,VLOOKUP(A122,'Données projet (1)'!$A$87:$I$107,6,0)*VLOOKUP('Données projet (1)'!$B$11,'Paramètres (1)'!$A$1:$I$88,7,0))</f>
        <v>#REF!</v>
      </c>
      <c r="BO122" s="135" t="str">
        <f t="shared" si="34"/>
        <v>#REF!</v>
      </c>
      <c r="BP122" s="142" t="str">
        <f>EXP(-LN(2)/35)*BP121+(1-EXP(-LN(2)/35))/(LN(2)/35)*BL122*BM122*VLOOKUP('Données projet (1)'!$B$11,'Paramètres (1)'!$A$1:$I$88,3,0)*0.475*44/12</f>
        <v>#REF!</v>
      </c>
      <c r="BQ122" s="142" t="str">
        <f>EXP(-LN(2)/25)*BQ121+(1-EXP(-LN(2)/25))/(LN(2)/25)*'Calculateur (1)'!BL122*'Calculateur (1)'!BN122*VLOOKUP('Données projet (1)'!$B$11,'Paramètres (1)'!$A$1:$I$88,3,0)*0.475*44/12</f>
        <v>#REF!</v>
      </c>
      <c r="BR122" s="142" t="str">
        <f>EXP(-LN(2)/2)*BR121+(1-EXP(-LN(2)/2))/(LN(2)/2)*BL122*BO122*VLOOKUP('Données projet (1)'!$B$11,'Paramètres (1)'!$A$1:$I$88,3,0)*0.475*44/12</f>
        <v>#REF!</v>
      </c>
      <c r="BS122" s="143" t="str">
        <f t="shared" si="35"/>
        <v>#REF!</v>
      </c>
      <c r="BT122" s="139" t="str">
        <f t="shared" si="36"/>
        <v>#REF!</v>
      </c>
      <c r="BU122" s="131">
        <f t="shared" si="37"/>
        <v>10</v>
      </c>
      <c r="BV122" s="131" t="str">
        <f t="shared" si="120"/>
        <v>#REF!</v>
      </c>
      <c r="BW122" s="131" t="str">
        <f t="shared" si="38"/>
        <v>#REF!</v>
      </c>
      <c r="BX122" s="131" t="str">
        <f t="array" ref="BX122">INDEX(BW:BW,MIN(IF(ISNUMBER(BW122:BW318),ROW(BW122:BW318),"")))</f>
        <v/>
      </c>
      <c r="BY122" s="131" t="str">
        <f t="shared" si="121"/>
        <v>#REF!</v>
      </c>
      <c r="BZ122" s="130" t="str">
        <f>BY122*VLOOKUP('Données projet (1)'!$B$12,'Paramètres (1)'!$A$1:$I$88,3,0)*VLOOKUP('Données projet (1)'!$B$12,'Paramètres (1)'!$A$1:$I$88,5,0)</f>
        <v>#REF!</v>
      </c>
      <c r="CA122" s="130" t="str">
        <f t="shared" si="122"/>
        <v>#REF!</v>
      </c>
      <c r="CB122" s="141" t="str">
        <f t="shared" si="39"/>
        <v>#REF!</v>
      </c>
      <c r="CC122" s="133" t="str">
        <f t="shared" si="40"/>
        <v>#REF!</v>
      </c>
      <c r="CD122" s="133" t="str">
        <f t="shared" si="41"/>
        <v>#REF!</v>
      </c>
      <c r="CE122" s="133" t="str">
        <f t="shared" si="123"/>
        <v>#REF!</v>
      </c>
      <c r="CF122" s="134" t="str">
        <f t="shared" si="42"/>
        <v>#REF!</v>
      </c>
      <c r="CG122" s="134" t="str">
        <f t="shared" si="43"/>
        <v>#REF!</v>
      </c>
      <c r="CH122" s="135" t="str">
        <f>IF(ISNA(VLOOKUP(A122,'Données projet (1)'!$A$113:$I$133,5,0)),0%,VLOOKUP(A122,'Données projet (1)'!$A$113:$I$133,5,0)*VLOOKUP('Données projet (1)'!$B$12,'Paramètres (1)'!$A$1:$I$88,7,0))</f>
        <v>#REF!</v>
      </c>
      <c r="CI122" s="135" t="str">
        <f>IF(ISNA(VLOOKUP(A122,'Données projet (1)'!$A$113:$I$133,6,0)),0%,VLOOKUP(A122,'Données projet (1)'!$A$113:$I$133,6,0)*VLOOKUP('Données projet (1)'!$B$12,'Paramètres (1)'!$A$1:$I$88,7,0))</f>
        <v>#REF!</v>
      </c>
      <c r="CJ122" s="135" t="str">
        <f t="shared" si="44"/>
        <v>#REF!</v>
      </c>
      <c r="CK122" s="142" t="str">
        <f>EXP(-LN(2)/35)*CK121+(1-EXP(-LN(2)/35))/(LN(2)/35)*CG122*CH122*VLOOKUP('Données projet (1)'!$B$12,'Paramètres (1)'!$A$1:$I$88,3,0)*0.475*44/12</f>
        <v>#REF!</v>
      </c>
      <c r="CL122" s="142" t="str">
        <f>EXP(-LN(2)/25)*CL121+(1-EXP(-LN(2)/25))/(LN(2)/25)*'Calculateur (1)'!CG122*'Calculateur (1)'!CI122*VLOOKUP('Données projet (1)'!$B$12,'Paramètres (1)'!$A$1:$I$88,3,0)*0.475*44/12</f>
        <v>#REF!</v>
      </c>
      <c r="CM122" s="142" t="str">
        <f>EXP(-LN(2)/2)*CM121+(1-EXP(-LN(2)/2))/(LN(2)/2)*CG122*CJ122*VLOOKUP('Données projet (1)'!$B$12,'Paramètres (1)'!$A$1:$I$88,3,0)*0.475*44/12</f>
        <v>#REF!</v>
      </c>
      <c r="CN122" s="143" t="str">
        <f t="shared" si="45"/>
        <v>#REF!</v>
      </c>
      <c r="CO122" s="139" t="str">
        <f t="shared" si="46"/>
        <v>#REF!</v>
      </c>
      <c r="CP122" s="131">
        <f t="shared" si="47"/>
        <v>10</v>
      </c>
      <c r="CQ122" s="131" t="str">
        <f t="shared" si="124"/>
        <v>#REF!</v>
      </c>
      <c r="CR122" s="131" t="str">
        <f t="shared" si="48"/>
        <v>#REF!</v>
      </c>
      <c r="CS122" s="131" t="str">
        <f t="array" ref="CS122">INDEX(CR:CR,MIN(IF(ISNUMBER(CR122:CR318),ROW(CR122:CR318),"")))</f>
        <v/>
      </c>
      <c r="CT122" s="131" t="str">
        <f t="shared" si="125"/>
        <v>#REF!</v>
      </c>
      <c r="CU122" s="138" t="str">
        <f>CT122*VLOOKUP('Données projet (1)'!$B$13,'Paramètres (1)'!$A$1:$I$88,3,0)*VLOOKUP('Données projet (1)'!$B$13,'Paramètres (1)'!$A$1:$I$88,5,0)</f>
        <v>#REF!</v>
      </c>
      <c r="CV122" s="130" t="str">
        <f t="shared" si="126"/>
        <v>#REF!</v>
      </c>
      <c r="CW122" s="141" t="str">
        <f t="shared" si="49"/>
        <v>#REF!</v>
      </c>
      <c r="CX122" s="133" t="str">
        <f t="shared" si="50"/>
        <v>#REF!</v>
      </c>
      <c r="CY122" s="133" t="str">
        <f t="shared" si="51"/>
        <v>#REF!</v>
      </c>
      <c r="CZ122" s="133" t="str">
        <f t="shared" si="127"/>
        <v>#REF!</v>
      </c>
      <c r="DA122" s="134" t="str">
        <f t="shared" si="52"/>
        <v>#REF!</v>
      </c>
      <c r="DB122" s="134" t="str">
        <f t="shared" si="53"/>
        <v>#REF!</v>
      </c>
      <c r="DC122" s="135" t="str">
        <f>IF(ISNA(VLOOKUP(A122,'Données projet (1)'!$A$139:$I$159,5,0)),0%,VLOOKUP(A122,'Données projet (1)'!$A$139:$I$159,5,0)*VLOOKUP('Données projet (1)'!$B$13,'Paramètres (1)'!$A$1:$I$88,7,0))</f>
        <v>#REF!</v>
      </c>
      <c r="DD122" s="135" t="str">
        <f>IF(ISNA(VLOOKUP(A122,'Données projet (1)'!$A$139:$I$159,6,0)),0%,VLOOKUP(A122,'Données projet (1)'!$A$139:$I$159,6,0)*VLOOKUP('Données projet (1)'!$B$13,'Paramètres (1)'!$A$1:$I$88,7,0))</f>
        <v>#REF!</v>
      </c>
      <c r="DE122" s="135" t="str">
        <f t="shared" si="54"/>
        <v>#REF!</v>
      </c>
      <c r="DF122" s="142" t="str">
        <f>EXP(-LN(2)/35)*DF121+(1-EXP(-LN(2)/35))/(LN(2)/35)*DB122*DC122*VLOOKUP('Données projet (1)'!$B$13,'Paramètres (1)'!$A$1:$I$88,3,0)*0.475*44/12</f>
        <v>#REF!</v>
      </c>
      <c r="DG122" s="142" t="str">
        <f>EXP(-LN(2)/25)*DG121+(1-EXP(-LN(2)/25))/(LN(2)/25)*'Calculateur (1)'!DB122*'Calculateur (1)'!DD122*VLOOKUP('Données projet (1)'!$B$13,'Paramètres (1)'!$A$1:$I$88,3,0)*0.475*44/12</f>
        <v>#REF!</v>
      </c>
      <c r="DH122" s="142" t="str">
        <f>EXP(-LN(2)/2)*DH121+(1-EXP(-LN(2)/2))/(LN(2)/2)*DB122*DE122*VLOOKUP('Données projet (1)'!$B$13,'Paramètres (1)'!$A$1:$I$88,3,0)*0.475*44/12</f>
        <v>#REF!</v>
      </c>
      <c r="DI122" s="143" t="str">
        <f t="shared" si="55"/>
        <v>#REF!</v>
      </c>
      <c r="DJ122" s="139" t="str">
        <f t="shared" si="56"/>
        <v>#REF!</v>
      </c>
      <c r="DK122" s="131">
        <f t="shared" si="57"/>
        <v>10</v>
      </c>
      <c r="DL122" s="131" t="str">
        <f t="shared" si="128"/>
        <v>#REF!</v>
      </c>
      <c r="DM122" s="131" t="str">
        <f t="shared" si="58"/>
        <v>#REF!</v>
      </c>
      <c r="DN122" s="131" t="str">
        <f t="array" ref="DN122">INDEX(DM:DM,MIN(IF(ISNUMBER(DM122:DM318),ROW(DM122:DM318),"")))</f>
        <v/>
      </c>
      <c r="DO122" s="131" t="str">
        <f t="shared" si="129"/>
        <v>#REF!</v>
      </c>
      <c r="DP122" s="138" t="str">
        <f>DO122*VLOOKUP('Données projet (1)'!$B$14,'Paramètres (1)'!$A$1:$I$88,3,0)*VLOOKUP('Données projet (1)'!$B$14,'Paramètres (1)'!$A$1:$I$88,5,0)</f>
        <v>#REF!</v>
      </c>
      <c r="DQ122" s="130" t="str">
        <f t="shared" si="130"/>
        <v>#REF!</v>
      </c>
      <c r="DR122" s="141" t="str">
        <f t="shared" si="59"/>
        <v>#REF!</v>
      </c>
      <c r="DS122" s="133" t="str">
        <f t="shared" si="60"/>
        <v>#REF!</v>
      </c>
      <c r="DT122" s="133" t="str">
        <f t="shared" si="61"/>
        <v>#REF!</v>
      </c>
      <c r="DU122" s="133" t="str">
        <f t="shared" si="131"/>
        <v>#REF!</v>
      </c>
      <c r="DV122" s="134" t="str">
        <f t="shared" si="62"/>
        <v>#REF!</v>
      </c>
      <c r="DW122" s="134" t="str">
        <f t="shared" si="63"/>
        <v>#REF!</v>
      </c>
      <c r="DX122" s="135" t="str">
        <f>IF(ISNA(VLOOKUP(A122,'Données projet (1)'!$A$165:$I$185,5,0)),0%,VLOOKUP(A122,'Données projet (1)'!$A$165:$I$185,5,0)*VLOOKUP('Données projet (1)'!$B$14,'Paramètres (1)'!$A$1:$I$88,7,0))</f>
        <v>#REF!</v>
      </c>
      <c r="DY122" s="135" t="str">
        <f>IF(ISNA(VLOOKUP(A122,'Données projet (1)'!$A$165:$I$185,6,0)),0%,VLOOKUP(A122,'Données projet (1)'!$A$165:$I$185,6,0)*VLOOKUP('Données projet (1)'!$B$14,'Paramètres (1)'!$A$1:$I$88,7,0))</f>
        <v>#REF!</v>
      </c>
      <c r="DZ122" s="135" t="str">
        <f t="shared" si="64"/>
        <v>#REF!</v>
      </c>
      <c r="EA122" s="142" t="str">
        <f>EXP(-LN(2)/35)*EA121+(1-EXP(-LN(2)/35))/(LN(2)/35)*DW122*DX122*VLOOKUP('Données projet (1)'!$B$14,'Paramètres (1)'!$A$1:$I$88,3,0)*0.475*44/12</f>
        <v>#REF!</v>
      </c>
      <c r="EB122" s="142" t="str">
        <f>EXP(-LN(2)/25)*EB121+(1-EXP(-LN(2)/25))/(LN(2)/25)*'Calculateur (1)'!DW122*'Calculateur (1)'!DY122*VLOOKUP('Données projet (1)'!$B$14,'Paramètres (1)'!$A$1:$I$88,3,0)*0.475*44/12</f>
        <v>#REF!</v>
      </c>
      <c r="EC122" s="142" t="str">
        <f>EXP(-LN(2)/2)*EC121+(1-EXP(-LN(2)/2))/(LN(2)/2)*DW122*DZ122*VLOOKUP('Données projet (1)'!$B$14,'Paramètres (1)'!$A$1:$I$88,3,0)*0.475*44/12</f>
        <v>#REF!</v>
      </c>
      <c r="ED122" s="143" t="str">
        <f t="shared" si="65"/>
        <v>#REF!</v>
      </c>
      <c r="EE122" s="139" t="str">
        <f t="shared" si="66"/>
        <v>#REF!</v>
      </c>
      <c r="EF122" s="131">
        <f t="shared" si="67"/>
        <v>10</v>
      </c>
      <c r="EG122" s="131" t="str">
        <f t="shared" si="132"/>
        <v>#REF!</v>
      </c>
      <c r="EH122" s="131" t="str">
        <f t="shared" si="68"/>
        <v>#REF!</v>
      </c>
      <c r="EI122" s="131" t="str">
        <f t="array" ref="EI122">INDEX(EH:EH,MIN(IF(ISNUMBER(EH122:EH318),ROW(EH122:EH318),"")))</f>
        <v/>
      </c>
      <c r="EJ122" s="131" t="str">
        <f t="shared" si="133"/>
        <v>#REF!</v>
      </c>
      <c r="EK122" s="138" t="str">
        <f>EJ122*VLOOKUP('Données projet (1)'!$B$15,'Paramètres (1)'!$A$1:$I$88,3,0)*VLOOKUP('Données projet (1)'!$B$15,'Paramètres (1)'!$A$1:$I$88,5,0)</f>
        <v>#REF!</v>
      </c>
      <c r="EL122" s="130" t="str">
        <f t="shared" si="134"/>
        <v>#REF!</v>
      </c>
      <c r="EM122" s="141" t="str">
        <f t="shared" si="69"/>
        <v>#REF!</v>
      </c>
      <c r="EN122" s="133" t="str">
        <f t="shared" si="70"/>
        <v>#REF!</v>
      </c>
      <c r="EO122" s="133" t="str">
        <f t="shared" si="71"/>
        <v>#REF!</v>
      </c>
      <c r="EP122" s="133" t="str">
        <f t="shared" si="135"/>
        <v>#REF!</v>
      </c>
      <c r="EQ122" s="134" t="str">
        <f t="shared" si="72"/>
        <v>#REF!</v>
      </c>
      <c r="ER122" s="134" t="str">
        <f t="shared" si="73"/>
        <v>#REF!</v>
      </c>
      <c r="ES122" s="135" t="str">
        <f>IF(ISNA(VLOOKUP(A122,'Données projet (1)'!$A$191:$I$211,5,0)),0%,VLOOKUP(A122,'Données projet (1)'!$A$191:$I$211,5,0)*VLOOKUP('Données projet (1)'!$B$15,'Paramètres (1)'!$A$1:$I$88,7,0))</f>
        <v>#REF!</v>
      </c>
      <c r="ET122" s="135" t="str">
        <f>IF(ISNA(VLOOKUP(A122,'Données projet (1)'!$A$191:$I$211,6,0)),0%,VLOOKUP(A122,'Données projet (1)'!$A$191:$I$211,6,0)*VLOOKUP('Données projet (1)'!$B$15,'Paramètres (1)'!$A$1:$I$88,7,0))</f>
        <v>#REF!</v>
      </c>
      <c r="EU122" s="135" t="str">
        <f t="shared" si="74"/>
        <v>#REF!</v>
      </c>
      <c r="EV122" s="142" t="str">
        <f>EXP(-LN(2)/35)*EV121+(1-EXP(-LN(2)/35))/(LN(2)/35)*ER122*ES122*VLOOKUP('Données projet (1)'!$B$15,'Paramètres (1)'!$A$1:$I$88,3,0)*0.475*44/12</f>
        <v>#REF!</v>
      </c>
      <c r="EW122" s="142" t="str">
        <f>EXP(-LN(2)/25)*EW121+(1-EXP(-LN(2)/25))/(LN(2)/25)*'Calculateur (1)'!ER122*'Calculateur (1)'!ET122*VLOOKUP('Données projet (1)'!$B$15,'Paramètres (1)'!$A$1:$I$88,3,0)*0.475*44/12</f>
        <v>#REF!</v>
      </c>
      <c r="EX122" s="142" t="str">
        <f>EXP(-LN(2)/2)*EX121+(1-EXP(-LN(2)/2))/(LN(2)/2)*ER122*EU122*VLOOKUP('Données projet (1)'!$B$15,'Paramètres (1)'!$A$1:$I$88,3,0)*0.475*44/12</f>
        <v>#REF!</v>
      </c>
      <c r="EY122" s="143" t="str">
        <f t="shared" si="75"/>
        <v>#REF!</v>
      </c>
      <c r="EZ122" s="139" t="str">
        <f t="shared" si="76"/>
        <v>#REF!</v>
      </c>
      <c r="FA122" s="131">
        <f t="shared" si="77"/>
        <v>10</v>
      </c>
      <c r="FB122" s="131" t="str">
        <f t="shared" si="136"/>
        <v>#REF!</v>
      </c>
      <c r="FC122" s="131" t="str">
        <f t="shared" si="78"/>
        <v>#REF!</v>
      </c>
      <c r="FD122" s="131" t="str">
        <f t="array" ref="FD122">INDEX(FC:FC,MIN(IF(ISNUMBER(FC122:FC318),ROW(FC122:FC318),"")))</f>
        <v/>
      </c>
      <c r="FE122" s="131" t="str">
        <f t="shared" si="137"/>
        <v>#REF!</v>
      </c>
      <c r="FF122" s="138" t="str">
        <f>FE122*VLOOKUP('Données projet (1)'!$B$16,'Paramètres (1)'!$A$1:$I$88,3,0)*VLOOKUP('Données projet (1)'!$B$16,'Paramètres (1)'!$A$1:$I$88,5,0)</f>
        <v>#REF!</v>
      </c>
      <c r="FG122" s="130" t="str">
        <f t="shared" si="138"/>
        <v>#REF!</v>
      </c>
      <c r="FH122" s="141" t="str">
        <f t="shared" si="79"/>
        <v>#REF!</v>
      </c>
      <c r="FI122" s="133" t="str">
        <f t="shared" si="80"/>
        <v>#REF!</v>
      </c>
      <c r="FJ122" s="133" t="str">
        <f t="shared" si="81"/>
        <v>#REF!</v>
      </c>
      <c r="FK122" s="133" t="str">
        <f t="shared" si="139"/>
        <v>#REF!</v>
      </c>
      <c r="FL122" s="134" t="str">
        <f t="shared" si="82"/>
        <v>#REF!</v>
      </c>
      <c r="FM122" s="134" t="str">
        <f t="shared" si="83"/>
        <v>#REF!</v>
      </c>
      <c r="FN122" s="135" t="str">
        <f>IF(ISNA(VLOOKUP(A122,'Données projet (1)'!$A$217:$I$237,5,0)),0%,VLOOKUP(A122,'Données projet (1)'!$A$217:$I$237,5,0)*VLOOKUP('Données projet (1)'!$B$16,'Paramètres (1)'!$A$1:$I$88,7,0))</f>
        <v>#REF!</v>
      </c>
      <c r="FO122" s="135" t="str">
        <f>IF(ISNA(VLOOKUP(A122,'Données projet (1)'!$A$217:$I$237,6,0)),0%,VLOOKUP(A122,'Données projet (1)'!$A$217:$I$237,6,0)*VLOOKUP('Données projet (1)'!$B$16,'Paramètres (1)'!$A$1:$I$88,7,0))</f>
        <v>#REF!</v>
      </c>
      <c r="FP122" s="135" t="str">
        <f t="shared" si="84"/>
        <v>#REF!</v>
      </c>
      <c r="FQ122" s="142" t="str">
        <f>EXP(-LN(2)/35)*FQ121+(1-EXP(-LN(2)/35))/(LN(2)/35)*FM122*FN122*VLOOKUP('Données projet (1)'!$B$16,'Paramètres (1)'!$A$1:$I$88,3,0)*0.475*44/12</f>
        <v>#REF!</v>
      </c>
      <c r="FR122" s="142" t="str">
        <f>EXP(-LN(2)/25)*FR121+(1-EXP(-LN(2)/25))/(LN(2)/25)*'Calculateur (1)'!FM122*'Calculateur (1)'!FO122*VLOOKUP('Données projet (1)'!$B$16,'Paramètres (1)'!$A$1:$I$88,3,0)*0.475*44/12</f>
        <v>#REF!</v>
      </c>
      <c r="FS122" s="142" t="str">
        <f>EXP(-LN(2)/2)*FS121+(1-EXP(-LN(2)/2))/(LN(2)/2)*FM122*FP122*VLOOKUP('Données projet (1)'!$B$16,'Paramètres (1)'!$A$1:$I$88,3,0)*0.475*44/12</f>
        <v>#REF!</v>
      </c>
      <c r="FT122" s="143" t="str">
        <f t="shared" si="85"/>
        <v>#REF!</v>
      </c>
      <c r="FU122" s="139" t="str">
        <f t="shared" si="86"/>
        <v>#REF!</v>
      </c>
      <c r="FV122" s="131">
        <f t="shared" si="87"/>
        <v>10</v>
      </c>
      <c r="FW122" s="131" t="str">
        <f t="shared" si="140"/>
        <v>#REF!</v>
      </c>
      <c r="FX122" s="131" t="str">
        <f t="shared" si="88"/>
        <v>#REF!</v>
      </c>
      <c r="FY122" s="131" t="str">
        <f t="array" ref="FY122">INDEX(FX:FX,MIN(IF(ISNUMBER(FX122:FX318),ROW(FX122:FX318),"")))</f>
        <v/>
      </c>
      <c r="FZ122" s="131" t="str">
        <f t="shared" si="141"/>
        <v>#REF!</v>
      </c>
      <c r="GA122" s="138" t="str">
        <f>FZ122*VLOOKUP('Données projet (1)'!$B$17,'Paramètres (1)'!$A$1:$I$88,3,0)*VLOOKUP('Données projet (1)'!$B$17,'Paramètres (1)'!$A$1:$I$88,5,0)</f>
        <v>#REF!</v>
      </c>
      <c r="GB122" s="130" t="str">
        <f t="shared" si="142"/>
        <v>#REF!</v>
      </c>
      <c r="GC122" s="141" t="str">
        <f t="shared" si="89"/>
        <v>#REF!</v>
      </c>
      <c r="GD122" s="133" t="str">
        <f t="shared" si="90"/>
        <v>#REF!</v>
      </c>
      <c r="GE122" s="133" t="str">
        <f t="shared" si="91"/>
        <v>#REF!</v>
      </c>
      <c r="GF122" s="133" t="str">
        <f t="shared" si="143"/>
        <v>#REF!</v>
      </c>
      <c r="GG122" s="134" t="str">
        <f t="shared" si="92"/>
        <v>#REF!</v>
      </c>
      <c r="GH122" s="134" t="str">
        <f t="shared" si="93"/>
        <v>#REF!</v>
      </c>
      <c r="GI122" s="135" t="str">
        <f>IF(ISNA(VLOOKUP(A122,'Données projet (1)'!$A$243:$I$263,5,0)),0%,VLOOKUP(A122,'Données projet (1)'!$A$243:$I$263,5,0)*VLOOKUP('Données projet (1)'!$B$17,'Paramètres (1)'!$A$1:$I$88,7,0))</f>
        <v>#REF!</v>
      </c>
      <c r="GJ122" s="135" t="str">
        <f>IF(ISNA(VLOOKUP(A122,'Données projet (1)'!$A$243:$I$263,6,0)),0%,VLOOKUP(A122,'Données projet (1)'!$A$243:$I$263,6,0)*VLOOKUP('Données projet (1)'!$B$17,'Paramètres (1)'!$A$1:$I$88,7,0))</f>
        <v>#REF!</v>
      </c>
      <c r="GK122" s="135" t="str">
        <f t="shared" si="94"/>
        <v>#REF!</v>
      </c>
      <c r="GL122" s="142" t="str">
        <f>EXP(-LN(2)/35)*GL121+(1-EXP(-LN(2)/35))/(LN(2)/35)*GH122*GI122*VLOOKUP('Données projet (1)'!$B$17,'Paramètres (1)'!$A$1:$I$88,3,0)*0.475*44/12</f>
        <v>#REF!</v>
      </c>
      <c r="GM122" s="142" t="str">
        <f>EXP(-LN(2)/25)*GM121+(1-EXP(-LN(2)/25))/(LN(2)/25)*'Calculateur (1)'!GH122*'Calculateur (1)'!GJ122*VLOOKUP('Données projet (1)'!$B$17,'Paramètres (1)'!$A$1:$I$88,3,0)*0.475*44/12</f>
        <v>#REF!</v>
      </c>
      <c r="GN122" s="142" t="str">
        <f>EXP(-LN(2)/2)*GN121+(1-EXP(-LN(2)/2))/(LN(2)/2)*GH122*GK122*VLOOKUP('Données projet (1)'!$B$17,'Paramètres (1)'!$A$1:$I$88,3,0)*0.475*44/12</f>
        <v>#REF!</v>
      </c>
      <c r="GO122" s="142" t="str">
        <f t="shared" si="95"/>
        <v>#REF!</v>
      </c>
      <c r="GP122" s="139" t="str">
        <f t="shared" si="96"/>
        <v>#REF!</v>
      </c>
      <c r="GQ122" s="131">
        <f t="shared" si="97"/>
        <v>10</v>
      </c>
      <c r="GR122" s="131" t="str">
        <f t="shared" si="144"/>
        <v>#REF!</v>
      </c>
      <c r="GS122" s="131" t="str">
        <f t="shared" si="98"/>
        <v>#REF!</v>
      </c>
      <c r="GT122" s="131" t="str">
        <f t="array" ref="GT122">INDEX(GS:GS,MIN(IF(ISNUMBER(GS122:GS318),ROW(GS122:GS318),"")))</f>
        <v/>
      </c>
      <c r="GU122" s="131" t="str">
        <f t="shared" si="145"/>
        <v>#REF!</v>
      </c>
      <c r="GV122" s="138" t="str">
        <f>GU122*VLOOKUP('Données projet (1)'!$B$18,'Paramètres (1)'!$A$1:$I$88,3,0)*VLOOKUP('Données projet (1)'!$B$18,'Paramètres (1)'!$A$1:$I$88,5,0)</f>
        <v>#REF!</v>
      </c>
      <c r="GW122" s="130" t="str">
        <f t="shared" si="146"/>
        <v>#REF!</v>
      </c>
      <c r="GX122" s="141" t="str">
        <f t="shared" si="99"/>
        <v>#REF!</v>
      </c>
      <c r="GY122" s="133" t="str">
        <f t="shared" si="100"/>
        <v>#REF!</v>
      </c>
      <c r="GZ122" s="133" t="str">
        <f t="shared" si="101"/>
        <v>#REF!</v>
      </c>
      <c r="HA122" s="133" t="str">
        <f t="shared" si="147"/>
        <v>#REF!</v>
      </c>
      <c r="HB122" s="134" t="str">
        <f t="shared" si="102"/>
        <v>#REF!</v>
      </c>
      <c r="HC122" s="134" t="str">
        <f t="shared" si="103"/>
        <v>#REF!</v>
      </c>
      <c r="HD122" s="135" t="str">
        <f>IF(ISNA(VLOOKUP(A122,'Données projet (1)'!$A$269:$I$289,5,0)),0%,VLOOKUP(A122,'Données projet (1)'!$A$269:$I$289,5,0)*VLOOKUP('Données projet (1)'!$B$18,'Paramètres (1)'!$A$1:$I$88,7,0))</f>
        <v>#REF!</v>
      </c>
      <c r="HE122" s="135" t="str">
        <f>IF(ISNA(VLOOKUP(A122,'Données projet (1)'!$A$269:$I$289,6,0)),0%,VLOOKUP(A122,'Données projet (1)'!$A$269:$I$289,6,0)*VLOOKUP('Données projet (1)'!$B$18,'Paramètres (1)'!$A$1:$I$88,7,0))</f>
        <v>#REF!</v>
      </c>
      <c r="HF122" s="135" t="str">
        <f t="shared" si="104"/>
        <v>#REF!</v>
      </c>
      <c r="HG122" s="142" t="str">
        <f>EXP(-LN(2)/35)*HG121+(1-EXP(-LN(2)/35))/(LN(2)/35)*HC122*HD122*VLOOKUP('Données projet (1)'!$B$18,'Paramètres (1)'!$A$1:$I$88,3,0)*0.475*44/12</f>
        <v>#REF!</v>
      </c>
      <c r="HH122" s="142" t="str">
        <f>EXP(-LN(2)/25)*HH121+(1-EXP(-LN(2)/25))/(LN(2)/25)*'Calculateur (1)'!HC122*'Calculateur (1)'!HE122*VLOOKUP('Données projet (1)'!$B$18,'Paramètres (1)'!$A$1:$I$88,3,0)*0.475*44/12</f>
        <v>#REF!</v>
      </c>
      <c r="HI122" s="142" t="str">
        <f>EXP(-LN(2)/2)*HI121+(1-EXP(-LN(2)/2))/(LN(2)/2)*HC122*HF122*VLOOKUP('Données projet (1)'!$B$18,'Paramètres (1)'!$A$1:$I$88,3,0)*0.475*44/12</f>
        <v>#REF!</v>
      </c>
      <c r="HJ122" s="143" t="str">
        <f t="shared" si="105"/>
        <v>#REF!</v>
      </c>
    </row>
    <row r="123" ht="14.25" customHeight="1">
      <c r="A123" s="125">
        <f t="shared" si="106"/>
        <v>120</v>
      </c>
      <c r="B123" s="126" t="str">
        <f t="shared" si="1"/>
        <v>#REF!</v>
      </c>
      <c r="C123" s="140" t="str">
        <f>'Calculateur (1)'!C122+'Scénario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3" s="127">
        <f t="shared" si="107"/>
        <v>0</v>
      </c>
      <c r="E123" s="127" t="str">
        <f t="shared" si="2"/>
        <v>#REF!</v>
      </c>
      <c r="F123" s="127" t="str">
        <f t="shared" si="3"/>
        <v>#REF!</v>
      </c>
      <c r="G123" s="127" t="str">
        <f t="shared" si="4"/>
        <v>#REF!</v>
      </c>
      <c r="H123" s="128" t="str">
        <f t="shared" si="5"/>
        <v>#REF!</v>
      </c>
      <c r="I123" s="129" t="str">
        <f t="shared" si="6"/>
        <v>#REF!</v>
      </c>
      <c r="J123" s="130">
        <f t="shared" si="7"/>
        <v>10</v>
      </c>
      <c r="K123" s="131" t="str">
        <f t="shared" si="108"/>
        <v>#REF!</v>
      </c>
      <c r="L123" s="131" t="str">
        <f t="shared" si="8"/>
        <v>#REF!</v>
      </c>
      <c r="M123" s="131" t="str">
        <f t="array" ref="M123">INDEX(L:L,MIN(IF(ISNUMBER(L123:L319),ROW(L123:L319),"")))</f>
        <v/>
      </c>
      <c r="N123" s="130" t="str">
        <f t="shared" si="109"/>
        <v>#REF!</v>
      </c>
      <c r="O123" s="130" t="str">
        <f>N123*VLOOKUP('Données projet (1)'!$B$9,'Paramètres (1)'!$A$1:$I$88,3,0)*VLOOKUP('Données projet (1)'!$B$9,'Paramètres (1)'!$A$1:$I$88,5,0)</f>
        <v>#REF!</v>
      </c>
      <c r="P123" s="130" t="str">
        <f t="shared" si="110"/>
        <v>#REF!</v>
      </c>
      <c r="Q123" s="141" t="str">
        <f t="shared" si="9"/>
        <v>#REF!</v>
      </c>
      <c r="R123" s="133" t="str">
        <f t="shared" si="10"/>
        <v>#REF!</v>
      </c>
      <c r="S123" s="133" t="str">
        <f t="shared" si="11"/>
        <v>#REF!</v>
      </c>
      <c r="T123" s="133" t="str">
        <f t="shared" si="111"/>
        <v>#REF!</v>
      </c>
      <c r="U123" s="134" t="str">
        <f t="shared" si="12"/>
        <v>#REF!</v>
      </c>
      <c r="V123" s="134" t="str">
        <f t="shared" si="13"/>
        <v>#REF!</v>
      </c>
      <c r="W123" s="135" t="str">
        <f>IF(ISNA(VLOOKUP(A123,'Données projet (1)'!$A$35:$I$55,5,0)),0%,VLOOKUP(A123,'Données projet (1)'!$A$35:$I$55,5,0)*VLOOKUP('Données projet (1)'!$B$9,'Paramètres (1)'!$A$1:$I$88,7,0))</f>
        <v>#REF!</v>
      </c>
      <c r="X123" s="135" t="str">
        <f>IF(ISNA(VLOOKUP(A123,'Données projet (1)'!$A$35:$I$55,6,0)),0%,VLOOKUP(A123,'Données projet (1)'!$A$35:$I$55,6,0)*VLOOKUP('Données projet (1)'!$B$9,'Paramètres (1)'!$A$1:$I$88,7,0))</f>
        <v>#REF!</v>
      </c>
      <c r="Y123" s="135" t="str">
        <f t="shared" si="14"/>
        <v>#REF!</v>
      </c>
      <c r="Z123" s="142" t="str">
        <f>EXP(-LN(2)/35)*Z122+(1-EXP(-LN(2)/35))/(LN(2)/35)*V123*W123*VLOOKUP('Données projet (1)'!$B$9,'Paramètres (1)'!$A$1:$I$88,3,0)*0.475*44/12</f>
        <v>#REF!</v>
      </c>
      <c r="AA123" s="142" t="str">
        <f>EXP(-LN(2)/25)*AA122+(1-EXP(-LN(2)/25))/(LN(2)/25)*'Calculateur (1)'!V123*'Calculateur (1)'!X123*VLOOKUP('Données projet (1)'!$B$9,'Paramètres (1)'!$A$1:$I$88,3,0)*0.475*44/12</f>
        <v>#REF!</v>
      </c>
      <c r="AB123" s="142" t="str">
        <f>EXP(-LN(2)/2)*AB122+(1-EXP(-LN(2)/2))/(LN(2)/2)*V123*Y123*VLOOKUP('Données projet (1)'!$B$9,'Paramètres (1)'!$A$1:$I$88,3,0)*0.475*44/12</f>
        <v>#REF!</v>
      </c>
      <c r="AC123" s="143" t="str">
        <f t="shared" si="15"/>
        <v>#REF!</v>
      </c>
      <c r="AD123" s="130" t="str">
        <f t="shared" si="16"/>
        <v>#REF!</v>
      </c>
      <c r="AE123" s="130">
        <f t="shared" si="17"/>
        <v>10</v>
      </c>
      <c r="AF123" s="131" t="str">
        <f t="shared" si="112"/>
        <v>#REF!</v>
      </c>
      <c r="AG123" s="131" t="str">
        <f t="shared" si="18"/>
        <v>#REF!</v>
      </c>
      <c r="AH123" s="131" t="str">
        <f t="array" ref="AH123">INDEX(AG:AG,MIN(IF(ISNUMBER(AG123:AG319),ROW(AG123:AG319),"")))</f>
        <v/>
      </c>
      <c r="AI123" s="130" t="str">
        <f t="shared" si="113"/>
        <v>#REF!</v>
      </c>
      <c r="AJ123" s="130" t="str">
        <f>AI123*VLOOKUP('Données projet (1)'!$B$10,'Paramètres (1)'!$A$1:$I$88,3,0)*VLOOKUP('Données projet (1)'!$B$10,'Paramètres (1)'!$A$1:$I$88,5,0)</f>
        <v>#REF!</v>
      </c>
      <c r="AK123" s="130" t="str">
        <f t="shared" si="114"/>
        <v>#REF!</v>
      </c>
      <c r="AL123" s="141" t="str">
        <f t="shared" si="19"/>
        <v>#REF!</v>
      </c>
      <c r="AM123" s="133" t="str">
        <f t="shared" si="20"/>
        <v>#REF!</v>
      </c>
      <c r="AN123" s="133" t="str">
        <f t="shared" si="21"/>
        <v>#REF!</v>
      </c>
      <c r="AO123" s="133" t="str">
        <f t="shared" si="115"/>
        <v>#REF!</v>
      </c>
      <c r="AP123" s="134" t="str">
        <f t="shared" si="22"/>
        <v>#REF!</v>
      </c>
      <c r="AQ123" s="134" t="str">
        <f t="shared" si="23"/>
        <v>#REF!</v>
      </c>
      <c r="AR123" s="135" t="str">
        <f>IF(ISNA(VLOOKUP(A123,'Données projet (1)'!$A$61:$I$81,5,0)),0%,VLOOKUP(A123,'Données projet (1)'!$A$61:$I$81,5,0)*VLOOKUP('Données projet (1)'!$B$10,'Paramètres (1)'!$A$1:$I$88,7,0))</f>
        <v>#REF!</v>
      </c>
      <c r="AS123" s="135" t="str">
        <f>IF(ISNA(VLOOKUP(A123,'Données projet (1)'!$A$61:$I$81,6,0)),0%,VLOOKUP(A123,'Données projet (1)'!$A$61:$I$81,6,0)*VLOOKUP('Données projet (1)'!$B$10,'Paramètres (1)'!$A$1:$I$88,7,0))</f>
        <v>#REF!</v>
      </c>
      <c r="AT123" s="135" t="str">
        <f t="shared" si="24"/>
        <v>#REF!</v>
      </c>
      <c r="AU123" s="142" t="str">
        <f>EXP(-LN(2)/35)*AU122+(1-EXP(-LN(2)/35))/(LN(2)/35)*AQ123*AR123*VLOOKUP('Données projet (1)'!$B$10,'Paramètres (1)'!$A$1:$I$88,3,0)*0.475*44/12</f>
        <v>#REF!</v>
      </c>
      <c r="AV123" s="142" t="str">
        <f>EXP(-LN(2)/25)*AV122+(1-EXP(-LN(2)/25))/(LN(2)/25)*'Calculateur (1)'!AQ123*'Calculateur (1)'!AS123*VLOOKUP('Données projet (1)'!$B$10,'Paramètres (1)'!$A$1:$I$88,3,0)*0.475*44/12</f>
        <v>#REF!</v>
      </c>
      <c r="AW123" s="142" t="str">
        <f>EXP(-LN(2)/2)*AW122+(1-EXP(-LN(2)/2))/(LN(2)/2)*AQ123*AT123*VLOOKUP('Données projet (1)'!$B$10,'Paramètres (1)'!$A$1:$I$88,3,0)*0.475*44/12</f>
        <v>#REF!</v>
      </c>
      <c r="AX123" s="142" t="str">
        <f t="shared" si="25"/>
        <v>#REF!</v>
      </c>
      <c r="AY123" s="137" t="str">
        <f t="shared" si="26"/>
        <v>#REF!</v>
      </c>
      <c r="AZ123" s="131">
        <f t="shared" si="27"/>
        <v>10</v>
      </c>
      <c r="BA123" s="131" t="str">
        <f t="shared" si="116"/>
        <v>#REF!</v>
      </c>
      <c r="BB123" s="131" t="str">
        <f t="shared" si="28"/>
        <v>#REF!</v>
      </c>
      <c r="BC123" s="131" t="str">
        <f t="array" ref="BC123">INDEX(BB:BB,MIN(IF(ISNUMBER(BB123:BB319),ROW(BB123:BB319),"")))</f>
        <v/>
      </c>
      <c r="BD123" s="131" t="str">
        <f t="shared" si="117"/>
        <v>#REF!</v>
      </c>
      <c r="BE123" s="130" t="str">
        <f>BD123*VLOOKUP('Données projet (1)'!$B$11,'Paramètres (1)'!$A$1:$I$88,3,0)*VLOOKUP('Données projet (1)'!$B$11,'Paramètres (1)'!$A$1:$I$88,5,0)</f>
        <v>#REF!</v>
      </c>
      <c r="BF123" s="130" t="str">
        <f t="shared" si="118"/>
        <v>#REF!</v>
      </c>
      <c r="BG123" s="141" t="str">
        <f t="shared" si="29"/>
        <v>#REF!</v>
      </c>
      <c r="BH123" s="133" t="str">
        <f t="shared" si="30"/>
        <v>#REF!</v>
      </c>
      <c r="BI123" s="133" t="str">
        <f t="shared" si="31"/>
        <v>#REF!</v>
      </c>
      <c r="BJ123" s="133" t="str">
        <f t="shared" si="119"/>
        <v>#REF!</v>
      </c>
      <c r="BK123" s="134" t="str">
        <f t="shared" si="32"/>
        <v>#REF!</v>
      </c>
      <c r="BL123" s="134" t="str">
        <f t="shared" si="33"/>
        <v>#REF!</v>
      </c>
      <c r="BM123" s="135" t="str">
        <f>IF(ISNA(VLOOKUP(A123,'Données projet (1)'!$A$87:$I$107,5,0)),0%,VLOOKUP(A123,'Données projet (1)'!$A$87:$I$107,5,0)*VLOOKUP('Données projet (1)'!$B$11,'Paramètres (1)'!$A$1:$I$88,7,0))</f>
        <v>#REF!</v>
      </c>
      <c r="BN123" s="135" t="str">
        <f>IF(ISNA(VLOOKUP(A123,'Données projet (1)'!$A$87:$I$107,6,0)),0%,VLOOKUP(A123,'Données projet (1)'!$A$87:$I$107,6,0)*VLOOKUP('Données projet (1)'!$B$11,'Paramètres (1)'!$A$1:$I$88,7,0))</f>
        <v>#REF!</v>
      </c>
      <c r="BO123" s="135" t="str">
        <f t="shared" si="34"/>
        <v>#REF!</v>
      </c>
      <c r="BP123" s="142" t="str">
        <f>EXP(-LN(2)/35)*BP122+(1-EXP(-LN(2)/35))/(LN(2)/35)*BL123*BM123*VLOOKUP('Données projet (1)'!$B$11,'Paramètres (1)'!$A$1:$I$88,3,0)*0.475*44/12</f>
        <v>#REF!</v>
      </c>
      <c r="BQ123" s="142" t="str">
        <f>EXP(-LN(2)/25)*BQ122+(1-EXP(-LN(2)/25))/(LN(2)/25)*'Calculateur (1)'!BL123*'Calculateur (1)'!BN123*VLOOKUP('Données projet (1)'!$B$11,'Paramètres (1)'!$A$1:$I$88,3,0)*0.475*44/12</f>
        <v>#REF!</v>
      </c>
      <c r="BR123" s="142" t="str">
        <f>EXP(-LN(2)/2)*BR122+(1-EXP(-LN(2)/2))/(LN(2)/2)*BL123*BO123*VLOOKUP('Données projet (1)'!$B$11,'Paramètres (1)'!$A$1:$I$88,3,0)*0.475*44/12</f>
        <v>#REF!</v>
      </c>
      <c r="BS123" s="143" t="str">
        <f t="shared" si="35"/>
        <v>#REF!</v>
      </c>
      <c r="BT123" s="139" t="str">
        <f t="shared" si="36"/>
        <v>#REF!</v>
      </c>
      <c r="BU123" s="131">
        <f t="shared" si="37"/>
        <v>10</v>
      </c>
      <c r="BV123" s="131" t="str">
        <f t="shared" si="120"/>
        <v>#REF!</v>
      </c>
      <c r="BW123" s="131" t="str">
        <f t="shared" si="38"/>
        <v>#REF!</v>
      </c>
      <c r="BX123" s="131" t="str">
        <f t="array" ref="BX123">INDEX(BW:BW,MIN(IF(ISNUMBER(BW123:BW319),ROW(BW123:BW319),"")))</f>
        <v/>
      </c>
      <c r="BY123" s="131" t="str">
        <f t="shared" si="121"/>
        <v>#REF!</v>
      </c>
      <c r="BZ123" s="130" t="str">
        <f>BY123*VLOOKUP('Données projet (1)'!$B$12,'Paramètres (1)'!$A$1:$I$88,3,0)*VLOOKUP('Données projet (1)'!$B$12,'Paramètres (1)'!$A$1:$I$88,5,0)</f>
        <v>#REF!</v>
      </c>
      <c r="CA123" s="130" t="str">
        <f t="shared" si="122"/>
        <v>#REF!</v>
      </c>
      <c r="CB123" s="141" t="str">
        <f t="shared" si="39"/>
        <v>#REF!</v>
      </c>
      <c r="CC123" s="133" t="str">
        <f t="shared" si="40"/>
        <v>#REF!</v>
      </c>
      <c r="CD123" s="133" t="str">
        <f t="shared" si="41"/>
        <v>#REF!</v>
      </c>
      <c r="CE123" s="133" t="str">
        <f t="shared" si="123"/>
        <v>#REF!</v>
      </c>
      <c r="CF123" s="134" t="str">
        <f t="shared" si="42"/>
        <v>#REF!</v>
      </c>
      <c r="CG123" s="134" t="str">
        <f t="shared" si="43"/>
        <v>#REF!</v>
      </c>
      <c r="CH123" s="135" t="str">
        <f>IF(ISNA(VLOOKUP(A123,'Données projet (1)'!$A$113:$I$133,5,0)),0%,VLOOKUP(A123,'Données projet (1)'!$A$113:$I$133,5,0)*VLOOKUP('Données projet (1)'!$B$12,'Paramètres (1)'!$A$1:$I$88,7,0))</f>
        <v>#REF!</v>
      </c>
      <c r="CI123" s="135" t="str">
        <f>IF(ISNA(VLOOKUP(A123,'Données projet (1)'!$A$113:$I$133,6,0)),0%,VLOOKUP(A123,'Données projet (1)'!$A$113:$I$133,6,0)*VLOOKUP('Données projet (1)'!$B$12,'Paramètres (1)'!$A$1:$I$88,7,0))</f>
        <v>#REF!</v>
      </c>
      <c r="CJ123" s="135" t="str">
        <f t="shared" si="44"/>
        <v>#REF!</v>
      </c>
      <c r="CK123" s="142" t="str">
        <f>EXP(-LN(2)/35)*CK122+(1-EXP(-LN(2)/35))/(LN(2)/35)*CG123*CH123*VLOOKUP('Données projet (1)'!$B$12,'Paramètres (1)'!$A$1:$I$88,3,0)*0.475*44/12</f>
        <v>#REF!</v>
      </c>
      <c r="CL123" s="142" t="str">
        <f>EXP(-LN(2)/25)*CL122+(1-EXP(-LN(2)/25))/(LN(2)/25)*'Calculateur (1)'!CG123*'Calculateur (1)'!CI123*VLOOKUP('Données projet (1)'!$B$12,'Paramètres (1)'!$A$1:$I$88,3,0)*0.475*44/12</f>
        <v>#REF!</v>
      </c>
      <c r="CM123" s="142" t="str">
        <f>EXP(-LN(2)/2)*CM122+(1-EXP(-LN(2)/2))/(LN(2)/2)*CG123*CJ123*VLOOKUP('Données projet (1)'!$B$12,'Paramètres (1)'!$A$1:$I$88,3,0)*0.475*44/12</f>
        <v>#REF!</v>
      </c>
      <c r="CN123" s="143" t="str">
        <f t="shared" si="45"/>
        <v>#REF!</v>
      </c>
      <c r="CO123" s="139" t="str">
        <f t="shared" si="46"/>
        <v>#REF!</v>
      </c>
      <c r="CP123" s="131">
        <f t="shared" si="47"/>
        <v>10</v>
      </c>
      <c r="CQ123" s="131" t="str">
        <f t="shared" si="124"/>
        <v>#REF!</v>
      </c>
      <c r="CR123" s="131" t="str">
        <f t="shared" si="48"/>
        <v>#REF!</v>
      </c>
      <c r="CS123" s="131" t="str">
        <f t="array" ref="CS123">INDEX(CR:CR,MIN(IF(ISNUMBER(CR123:CR319),ROW(CR123:CR319),"")))</f>
        <v/>
      </c>
      <c r="CT123" s="131" t="str">
        <f t="shared" si="125"/>
        <v>#REF!</v>
      </c>
      <c r="CU123" s="138" t="str">
        <f>CT123*VLOOKUP('Données projet (1)'!$B$13,'Paramètres (1)'!$A$1:$I$88,3,0)*VLOOKUP('Données projet (1)'!$B$13,'Paramètres (1)'!$A$1:$I$88,5,0)</f>
        <v>#REF!</v>
      </c>
      <c r="CV123" s="130" t="str">
        <f t="shared" si="126"/>
        <v>#REF!</v>
      </c>
      <c r="CW123" s="141" t="str">
        <f t="shared" si="49"/>
        <v>#REF!</v>
      </c>
      <c r="CX123" s="133" t="str">
        <f t="shared" si="50"/>
        <v>#REF!</v>
      </c>
      <c r="CY123" s="133" t="str">
        <f t="shared" si="51"/>
        <v>#REF!</v>
      </c>
      <c r="CZ123" s="133" t="str">
        <f t="shared" si="127"/>
        <v>#REF!</v>
      </c>
      <c r="DA123" s="134" t="str">
        <f t="shared" si="52"/>
        <v>#REF!</v>
      </c>
      <c r="DB123" s="134" t="str">
        <f t="shared" si="53"/>
        <v>#REF!</v>
      </c>
      <c r="DC123" s="135" t="str">
        <f>IF(ISNA(VLOOKUP(A123,'Données projet (1)'!$A$139:$I$159,5,0)),0%,VLOOKUP(A123,'Données projet (1)'!$A$139:$I$159,5,0)*VLOOKUP('Données projet (1)'!$B$13,'Paramètres (1)'!$A$1:$I$88,7,0))</f>
        <v>#REF!</v>
      </c>
      <c r="DD123" s="135" t="str">
        <f>IF(ISNA(VLOOKUP(A123,'Données projet (1)'!$A$139:$I$159,6,0)),0%,VLOOKUP(A123,'Données projet (1)'!$A$139:$I$159,6,0)*VLOOKUP('Données projet (1)'!$B$13,'Paramètres (1)'!$A$1:$I$88,7,0))</f>
        <v>#REF!</v>
      </c>
      <c r="DE123" s="135" t="str">
        <f t="shared" si="54"/>
        <v>#REF!</v>
      </c>
      <c r="DF123" s="142" t="str">
        <f>EXP(-LN(2)/35)*DF122+(1-EXP(-LN(2)/35))/(LN(2)/35)*DB123*DC123*VLOOKUP('Données projet (1)'!$B$13,'Paramètres (1)'!$A$1:$I$88,3,0)*0.475*44/12</f>
        <v>#REF!</v>
      </c>
      <c r="DG123" s="142" t="str">
        <f>EXP(-LN(2)/25)*DG122+(1-EXP(-LN(2)/25))/(LN(2)/25)*'Calculateur (1)'!DB123*'Calculateur (1)'!DD123*VLOOKUP('Données projet (1)'!$B$13,'Paramètres (1)'!$A$1:$I$88,3,0)*0.475*44/12</f>
        <v>#REF!</v>
      </c>
      <c r="DH123" s="142" t="str">
        <f>EXP(-LN(2)/2)*DH122+(1-EXP(-LN(2)/2))/(LN(2)/2)*DB123*DE123*VLOOKUP('Données projet (1)'!$B$13,'Paramètres (1)'!$A$1:$I$88,3,0)*0.475*44/12</f>
        <v>#REF!</v>
      </c>
      <c r="DI123" s="143" t="str">
        <f t="shared" si="55"/>
        <v>#REF!</v>
      </c>
      <c r="DJ123" s="139" t="str">
        <f t="shared" si="56"/>
        <v>#REF!</v>
      </c>
      <c r="DK123" s="131">
        <f t="shared" si="57"/>
        <v>10</v>
      </c>
      <c r="DL123" s="131" t="str">
        <f t="shared" si="128"/>
        <v>#REF!</v>
      </c>
      <c r="DM123" s="131" t="str">
        <f t="shared" si="58"/>
        <v>#REF!</v>
      </c>
      <c r="DN123" s="131" t="str">
        <f t="array" ref="DN123">INDEX(DM:DM,MIN(IF(ISNUMBER(DM123:DM319),ROW(DM123:DM319),"")))</f>
        <v/>
      </c>
      <c r="DO123" s="131" t="str">
        <f t="shared" si="129"/>
        <v>#REF!</v>
      </c>
      <c r="DP123" s="138" t="str">
        <f>DO123*VLOOKUP('Données projet (1)'!$B$14,'Paramètres (1)'!$A$1:$I$88,3,0)*VLOOKUP('Données projet (1)'!$B$14,'Paramètres (1)'!$A$1:$I$88,5,0)</f>
        <v>#REF!</v>
      </c>
      <c r="DQ123" s="130" t="str">
        <f t="shared" si="130"/>
        <v>#REF!</v>
      </c>
      <c r="DR123" s="141" t="str">
        <f t="shared" si="59"/>
        <v>#REF!</v>
      </c>
      <c r="DS123" s="133" t="str">
        <f t="shared" si="60"/>
        <v>#REF!</v>
      </c>
      <c r="DT123" s="133" t="str">
        <f t="shared" si="61"/>
        <v>#REF!</v>
      </c>
      <c r="DU123" s="133" t="str">
        <f t="shared" si="131"/>
        <v>#REF!</v>
      </c>
      <c r="DV123" s="134" t="str">
        <f t="shared" si="62"/>
        <v>#REF!</v>
      </c>
      <c r="DW123" s="134" t="str">
        <f t="shared" si="63"/>
        <v>#REF!</v>
      </c>
      <c r="DX123" s="135" t="str">
        <f>IF(ISNA(VLOOKUP(A123,'Données projet (1)'!$A$165:$I$185,5,0)),0%,VLOOKUP(A123,'Données projet (1)'!$A$165:$I$185,5,0)*VLOOKUP('Données projet (1)'!$B$14,'Paramètres (1)'!$A$1:$I$88,7,0))</f>
        <v>#REF!</v>
      </c>
      <c r="DY123" s="135" t="str">
        <f>IF(ISNA(VLOOKUP(A123,'Données projet (1)'!$A$165:$I$185,6,0)),0%,VLOOKUP(A123,'Données projet (1)'!$A$165:$I$185,6,0)*VLOOKUP('Données projet (1)'!$B$14,'Paramètres (1)'!$A$1:$I$88,7,0))</f>
        <v>#REF!</v>
      </c>
      <c r="DZ123" s="135" t="str">
        <f t="shared" si="64"/>
        <v>#REF!</v>
      </c>
      <c r="EA123" s="142" t="str">
        <f>EXP(-LN(2)/35)*EA122+(1-EXP(-LN(2)/35))/(LN(2)/35)*DW123*DX123*VLOOKUP('Données projet (1)'!$B$14,'Paramètres (1)'!$A$1:$I$88,3,0)*0.475*44/12</f>
        <v>#REF!</v>
      </c>
      <c r="EB123" s="142" t="str">
        <f>EXP(-LN(2)/25)*EB122+(1-EXP(-LN(2)/25))/(LN(2)/25)*'Calculateur (1)'!DW123*'Calculateur (1)'!DY123*VLOOKUP('Données projet (1)'!$B$14,'Paramètres (1)'!$A$1:$I$88,3,0)*0.475*44/12</f>
        <v>#REF!</v>
      </c>
      <c r="EC123" s="142" t="str">
        <f>EXP(-LN(2)/2)*EC122+(1-EXP(-LN(2)/2))/(LN(2)/2)*DW123*DZ123*VLOOKUP('Données projet (1)'!$B$14,'Paramètres (1)'!$A$1:$I$88,3,0)*0.475*44/12</f>
        <v>#REF!</v>
      </c>
      <c r="ED123" s="143" t="str">
        <f t="shared" si="65"/>
        <v>#REF!</v>
      </c>
      <c r="EE123" s="139" t="str">
        <f t="shared" si="66"/>
        <v>#REF!</v>
      </c>
      <c r="EF123" s="131">
        <f t="shared" si="67"/>
        <v>10</v>
      </c>
      <c r="EG123" s="131" t="str">
        <f t="shared" si="132"/>
        <v>#REF!</v>
      </c>
      <c r="EH123" s="131" t="str">
        <f t="shared" si="68"/>
        <v>#REF!</v>
      </c>
      <c r="EI123" s="131" t="str">
        <f t="array" ref="EI123">INDEX(EH:EH,MIN(IF(ISNUMBER(EH123:EH319),ROW(EH123:EH319),"")))</f>
        <v/>
      </c>
      <c r="EJ123" s="131" t="str">
        <f t="shared" si="133"/>
        <v>#REF!</v>
      </c>
      <c r="EK123" s="138" t="str">
        <f>EJ123*VLOOKUP('Données projet (1)'!$B$15,'Paramètres (1)'!$A$1:$I$88,3,0)*VLOOKUP('Données projet (1)'!$B$15,'Paramètres (1)'!$A$1:$I$88,5,0)</f>
        <v>#REF!</v>
      </c>
      <c r="EL123" s="130" t="str">
        <f t="shared" si="134"/>
        <v>#REF!</v>
      </c>
      <c r="EM123" s="141" t="str">
        <f t="shared" si="69"/>
        <v>#REF!</v>
      </c>
      <c r="EN123" s="133" t="str">
        <f t="shared" si="70"/>
        <v>#REF!</v>
      </c>
      <c r="EO123" s="133" t="str">
        <f t="shared" si="71"/>
        <v>#REF!</v>
      </c>
      <c r="EP123" s="133" t="str">
        <f t="shared" si="135"/>
        <v>#REF!</v>
      </c>
      <c r="EQ123" s="134" t="str">
        <f t="shared" si="72"/>
        <v>#REF!</v>
      </c>
      <c r="ER123" s="134" t="str">
        <f t="shared" si="73"/>
        <v>#REF!</v>
      </c>
      <c r="ES123" s="135" t="str">
        <f>IF(ISNA(VLOOKUP(A123,'Données projet (1)'!$A$191:$I$211,5,0)),0%,VLOOKUP(A123,'Données projet (1)'!$A$191:$I$211,5,0)*VLOOKUP('Données projet (1)'!$B$15,'Paramètres (1)'!$A$1:$I$88,7,0))</f>
        <v>#REF!</v>
      </c>
      <c r="ET123" s="135" t="str">
        <f>IF(ISNA(VLOOKUP(A123,'Données projet (1)'!$A$191:$I$211,6,0)),0%,VLOOKUP(A123,'Données projet (1)'!$A$191:$I$211,6,0)*VLOOKUP('Données projet (1)'!$B$15,'Paramètres (1)'!$A$1:$I$88,7,0))</f>
        <v>#REF!</v>
      </c>
      <c r="EU123" s="135" t="str">
        <f t="shared" si="74"/>
        <v>#REF!</v>
      </c>
      <c r="EV123" s="142" t="str">
        <f>EXP(-LN(2)/35)*EV122+(1-EXP(-LN(2)/35))/(LN(2)/35)*ER123*ES123*VLOOKUP('Données projet (1)'!$B$15,'Paramètres (1)'!$A$1:$I$88,3,0)*0.475*44/12</f>
        <v>#REF!</v>
      </c>
      <c r="EW123" s="142" t="str">
        <f>EXP(-LN(2)/25)*EW122+(1-EXP(-LN(2)/25))/(LN(2)/25)*'Calculateur (1)'!ER123*'Calculateur (1)'!ET123*VLOOKUP('Données projet (1)'!$B$15,'Paramètres (1)'!$A$1:$I$88,3,0)*0.475*44/12</f>
        <v>#REF!</v>
      </c>
      <c r="EX123" s="142" t="str">
        <f>EXP(-LN(2)/2)*EX122+(1-EXP(-LN(2)/2))/(LN(2)/2)*ER123*EU123*VLOOKUP('Données projet (1)'!$B$15,'Paramètres (1)'!$A$1:$I$88,3,0)*0.475*44/12</f>
        <v>#REF!</v>
      </c>
      <c r="EY123" s="143" t="str">
        <f t="shared" si="75"/>
        <v>#REF!</v>
      </c>
      <c r="EZ123" s="139" t="str">
        <f t="shared" si="76"/>
        <v>#REF!</v>
      </c>
      <c r="FA123" s="131">
        <f t="shared" si="77"/>
        <v>10</v>
      </c>
      <c r="FB123" s="131" t="str">
        <f t="shared" si="136"/>
        <v>#REF!</v>
      </c>
      <c r="FC123" s="131" t="str">
        <f t="shared" si="78"/>
        <v>#REF!</v>
      </c>
      <c r="FD123" s="131" t="str">
        <f t="array" ref="FD123">INDEX(FC:FC,MIN(IF(ISNUMBER(FC123:FC319),ROW(FC123:FC319),"")))</f>
        <v/>
      </c>
      <c r="FE123" s="131" t="str">
        <f t="shared" si="137"/>
        <v>#REF!</v>
      </c>
      <c r="FF123" s="138" t="str">
        <f>FE123*VLOOKUP('Données projet (1)'!$B$16,'Paramètres (1)'!$A$1:$I$88,3,0)*VLOOKUP('Données projet (1)'!$B$16,'Paramètres (1)'!$A$1:$I$88,5,0)</f>
        <v>#REF!</v>
      </c>
      <c r="FG123" s="130" t="str">
        <f t="shared" si="138"/>
        <v>#REF!</v>
      </c>
      <c r="FH123" s="141" t="str">
        <f t="shared" si="79"/>
        <v>#REF!</v>
      </c>
      <c r="FI123" s="133" t="str">
        <f t="shared" si="80"/>
        <v>#REF!</v>
      </c>
      <c r="FJ123" s="133" t="str">
        <f t="shared" si="81"/>
        <v>#REF!</v>
      </c>
      <c r="FK123" s="133" t="str">
        <f t="shared" si="139"/>
        <v>#REF!</v>
      </c>
      <c r="FL123" s="134" t="str">
        <f t="shared" si="82"/>
        <v>#REF!</v>
      </c>
      <c r="FM123" s="134" t="str">
        <f t="shared" si="83"/>
        <v>#REF!</v>
      </c>
      <c r="FN123" s="135" t="str">
        <f>IF(ISNA(VLOOKUP(A123,'Données projet (1)'!$A$217:$I$237,5,0)),0%,VLOOKUP(A123,'Données projet (1)'!$A$217:$I$237,5,0)*VLOOKUP('Données projet (1)'!$B$16,'Paramètres (1)'!$A$1:$I$88,7,0))</f>
        <v>#REF!</v>
      </c>
      <c r="FO123" s="135" t="str">
        <f>IF(ISNA(VLOOKUP(A123,'Données projet (1)'!$A$217:$I$237,6,0)),0%,VLOOKUP(A123,'Données projet (1)'!$A$217:$I$237,6,0)*VLOOKUP('Données projet (1)'!$B$16,'Paramètres (1)'!$A$1:$I$88,7,0))</f>
        <v>#REF!</v>
      </c>
      <c r="FP123" s="135" t="str">
        <f t="shared" si="84"/>
        <v>#REF!</v>
      </c>
      <c r="FQ123" s="142" t="str">
        <f>EXP(-LN(2)/35)*FQ122+(1-EXP(-LN(2)/35))/(LN(2)/35)*FM123*FN123*VLOOKUP('Données projet (1)'!$B$16,'Paramètres (1)'!$A$1:$I$88,3,0)*0.475*44/12</f>
        <v>#REF!</v>
      </c>
      <c r="FR123" s="142" t="str">
        <f>EXP(-LN(2)/25)*FR122+(1-EXP(-LN(2)/25))/(LN(2)/25)*'Calculateur (1)'!FM123*'Calculateur (1)'!FO123*VLOOKUP('Données projet (1)'!$B$16,'Paramètres (1)'!$A$1:$I$88,3,0)*0.475*44/12</f>
        <v>#REF!</v>
      </c>
      <c r="FS123" s="142" t="str">
        <f>EXP(-LN(2)/2)*FS122+(1-EXP(-LN(2)/2))/(LN(2)/2)*FM123*FP123*VLOOKUP('Données projet (1)'!$B$16,'Paramètres (1)'!$A$1:$I$88,3,0)*0.475*44/12</f>
        <v>#REF!</v>
      </c>
      <c r="FT123" s="143" t="str">
        <f t="shared" si="85"/>
        <v>#REF!</v>
      </c>
      <c r="FU123" s="139" t="str">
        <f t="shared" si="86"/>
        <v>#REF!</v>
      </c>
      <c r="FV123" s="131">
        <f t="shared" si="87"/>
        <v>10</v>
      </c>
      <c r="FW123" s="131" t="str">
        <f t="shared" si="140"/>
        <v>#REF!</v>
      </c>
      <c r="FX123" s="131" t="str">
        <f t="shared" si="88"/>
        <v>#REF!</v>
      </c>
      <c r="FY123" s="131" t="str">
        <f t="array" ref="FY123">INDEX(FX:FX,MIN(IF(ISNUMBER(FX123:FX319),ROW(FX123:FX319),"")))</f>
        <v/>
      </c>
      <c r="FZ123" s="131" t="str">
        <f t="shared" si="141"/>
        <v>#REF!</v>
      </c>
      <c r="GA123" s="138" t="str">
        <f>FZ123*VLOOKUP('Données projet (1)'!$B$17,'Paramètres (1)'!$A$1:$I$88,3,0)*VLOOKUP('Données projet (1)'!$B$17,'Paramètres (1)'!$A$1:$I$88,5,0)</f>
        <v>#REF!</v>
      </c>
      <c r="GB123" s="130" t="str">
        <f t="shared" si="142"/>
        <v>#REF!</v>
      </c>
      <c r="GC123" s="141" t="str">
        <f t="shared" si="89"/>
        <v>#REF!</v>
      </c>
      <c r="GD123" s="133" t="str">
        <f t="shared" si="90"/>
        <v>#REF!</v>
      </c>
      <c r="GE123" s="133" t="str">
        <f t="shared" si="91"/>
        <v>#REF!</v>
      </c>
      <c r="GF123" s="133" t="str">
        <f t="shared" si="143"/>
        <v>#REF!</v>
      </c>
      <c r="GG123" s="134" t="str">
        <f t="shared" si="92"/>
        <v>#REF!</v>
      </c>
      <c r="GH123" s="134" t="str">
        <f t="shared" si="93"/>
        <v>#REF!</v>
      </c>
      <c r="GI123" s="135" t="str">
        <f>IF(ISNA(VLOOKUP(A123,'Données projet (1)'!$A$243:$I$263,5,0)),0%,VLOOKUP(A123,'Données projet (1)'!$A$243:$I$263,5,0)*VLOOKUP('Données projet (1)'!$B$17,'Paramètres (1)'!$A$1:$I$88,7,0))</f>
        <v>#REF!</v>
      </c>
      <c r="GJ123" s="135" t="str">
        <f>IF(ISNA(VLOOKUP(A123,'Données projet (1)'!$A$243:$I$263,6,0)),0%,VLOOKUP(A123,'Données projet (1)'!$A$243:$I$263,6,0)*VLOOKUP('Données projet (1)'!$B$17,'Paramètres (1)'!$A$1:$I$88,7,0))</f>
        <v>#REF!</v>
      </c>
      <c r="GK123" s="135" t="str">
        <f t="shared" si="94"/>
        <v>#REF!</v>
      </c>
      <c r="GL123" s="142" t="str">
        <f>EXP(-LN(2)/35)*GL122+(1-EXP(-LN(2)/35))/(LN(2)/35)*GH123*GI123*VLOOKUP('Données projet (1)'!$B$17,'Paramètres (1)'!$A$1:$I$88,3,0)*0.475*44/12</f>
        <v>#REF!</v>
      </c>
      <c r="GM123" s="142" t="str">
        <f>EXP(-LN(2)/25)*GM122+(1-EXP(-LN(2)/25))/(LN(2)/25)*'Calculateur (1)'!GH123*'Calculateur (1)'!GJ123*VLOOKUP('Données projet (1)'!$B$17,'Paramètres (1)'!$A$1:$I$88,3,0)*0.475*44/12</f>
        <v>#REF!</v>
      </c>
      <c r="GN123" s="142" t="str">
        <f>EXP(-LN(2)/2)*GN122+(1-EXP(-LN(2)/2))/(LN(2)/2)*GH123*GK123*VLOOKUP('Données projet (1)'!$B$17,'Paramètres (1)'!$A$1:$I$88,3,0)*0.475*44/12</f>
        <v>#REF!</v>
      </c>
      <c r="GO123" s="142" t="str">
        <f t="shared" si="95"/>
        <v>#REF!</v>
      </c>
      <c r="GP123" s="139" t="str">
        <f t="shared" si="96"/>
        <v>#REF!</v>
      </c>
      <c r="GQ123" s="131">
        <f t="shared" si="97"/>
        <v>10</v>
      </c>
      <c r="GR123" s="131" t="str">
        <f t="shared" si="144"/>
        <v>#REF!</v>
      </c>
      <c r="GS123" s="131" t="str">
        <f t="shared" si="98"/>
        <v>#REF!</v>
      </c>
      <c r="GT123" s="131" t="str">
        <f t="array" ref="GT123">INDEX(GS:GS,MIN(IF(ISNUMBER(GS123:GS319),ROW(GS123:GS319),"")))</f>
        <v/>
      </c>
      <c r="GU123" s="131" t="str">
        <f t="shared" si="145"/>
        <v>#REF!</v>
      </c>
      <c r="GV123" s="138" t="str">
        <f>GU123*VLOOKUP('Données projet (1)'!$B$18,'Paramètres (1)'!$A$1:$I$88,3,0)*VLOOKUP('Données projet (1)'!$B$18,'Paramètres (1)'!$A$1:$I$88,5,0)</f>
        <v>#REF!</v>
      </c>
      <c r="GW123" s="130" t="str">
        <f t="shared" si="146"/>
        <v>#REF!</v>
      </c>
      <c r="GX123" s="141" t="str">
        <f t="shared" si="99"/>
        <v>#REF!</v>
      </c>
      <c r="GY123" s="133" t="str">
        <f t="shared" si="100"/>
        <v>#REF!</v>
      </c>
      <c r="GZ123" s="133" t="str">
        <f t="shared" si="101"/>
        <v>#REF!</v>
      </c>
      <c r="HA123" s="133" t="str">
        <f t="shared" si="147"/>
        <v>#REF!</v>
      </c>
      <c r="HB123" s="134" t="str">
        <f t="shared" si="102"/>
        <v>#REF!</v>
      </c>
      <c r="HC123" s="134" t="str">
        <f t="shared" si="103"/>
        <v>#REF!</v>
      </c>
      <c r="HD123" s="135" t="str">
        <f>IF(ISNA(VLOOKUP(A123,'Données projet (1)'!$A$269:$I$289,5,0)),0%,VLOOKUP(A123,'Données projet (1)'!$A$269:$I$289,5,0)*VLOOKUP('Données projet (1)'!$B$18,'Paramètres (1)'!$A$1:$I$88,7,0))</f>
        <v>#REF!</v>
      </c>
      <c r="HE123" s="135" t="str">
        <f>IF(ISNA(VLOOKUP(A123,'Données projet (1)'!$A$269:$I$289,6,0)),0%,VLOOKUP(A123,'Données projet (1)'!$A$269:$I$289,6,0)*VLOOKUP('Données projet (1)'!$B$18,'Paramètres (1)'!$A$1:$I$88,7,0))</f>
        <v>#REF!</v>
      </c>
      <c r="HF123" s="135" t="str">
        <f t="shared" si="104"/>
        <v>#REF!</v>
      </c>
      <c r="HG123" s="142" t="str">
        <f>EXP(-LN(2)/35)*HG122+(1-EXP(-LN(2)/35))/(LN(2)/35)*HC123*HD123*VLOOKUP('Données projet (1)'!$B$18,'Paramètres (1)'!$A$1:$I$88,3,0)*0.475*44/12</f>
        <v>#REF!</v>
      </c>
      <c r="HH123" s="142" t="str">
        <f>EXP(-LN(2)/25)*HH122+(1-EXP(-LN(2)/25))/(LN(2)/25)*'Calculateur (1)'!HC123*'Calculateur (1)'!HE123*VLOOKUP('Données projet (1)'!$B$18,'Paramètres (1)'!$A$1:$I$88,3,0)*0.475*44/12</f>
        <v>#REF!</v>
      </c>
      <c r="HI123" s="142" t="str">
        <f>EXP(-LN(2)/2)*HI122+(1-EXP(-LN(2)/2))/(LN(2)/2)*HC123*HF123*VLOOKUP('Données projet (1)'!$B$18,'Paramètres (1)'!$A$1:$I$88,3,0)*0.475*44/12</f>
        <v>#REF!</v>
      </c>
      <c r="HJ123" s="143" t="str">
        <f t="shared" si="105"/>
        <v>#REF!</v>
      </c>
    </row>
    <row r="124" ht="14.25" customHeight="1">
      <c r="A124" s="125">
        <f t="shared" si="106"/>
        <v>121</v>
      </c>
      <c r="B124" s="126" t="str">
        <f t="shared" si="1"/>
        <v>#REF!</v>
      </c>
      <c r="C124" s="140" t="str">
        <f>'Calculateur (1)'!C123+'Scénario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4" s="127">
        <f t="shared" si="107"/>
        <v>0</v>
      </c>
      <c r="E124" s="127" t="str">
        <f t="shared" si="2"/>
        <v>#REF!</v>
      </c>
      <c r="F124" s="127" t="str">
        <f t="shared" si="3"/>
        <v>#REF!</v>
      </c>
      <c r="G124" s="127" t="str">
        <f t="shared" si="4"/>
        <v>#REF!</v>
      </c>
      <c r="H124" s="128" t="str">
        <f t="shared" si="5"/>
        <v>#REF!</v>
      </c>
      <c r="I124" s="129" t="str">
        <f t="shared" si="6"/>
        <v>#REF!</v>
      </c>
      <c r="J124" s="130">
        <f t="shared" si="7"/>
        <v>10</v>
      </c>
      <c r="K124" s="131" t="str">
        <f t="shared" si="108"/>
        <v>#REF!</v>
      </c>
      <c r="L124" s="131" t="str">
        <f t="shared" si="8"/>
        <v>#REF!</v>
      </c>
      <c r="M124" s="131" t="str">
        <f t="array" ref="M124">INDEX(L:L,MIN(IF(ISNUMBER(L124:L320),ROW(L124:L320),"")))</f>
        <v/>
      </c>
      <c r="N124" s="130" t="str">
        <f t="shared" si="109"/>
        <v>#REF!</v>
      </c>
      <c r="O124" s="130" t="str">
        <f>N124*VLOOKUP('Données projet (1)'!$B$9,'Paramètres (1)'!$A$1:$I$88,3,0)*VLOOKUP('Données projet (1)'!$B$9,'Paramètres (1)'!$A$1:$I$88,5,0)</f>
        <v>#REF!</v>
      </c>
      <c r="P124" s="130" t="str">
        <f t="shared" si="110"/>
        <v>#REF!</v>
      </c>
      <c r="Q124" s="141" t="str">
        <f t="shared" si="9"/>
        <v>#REF!</v>
      </c>
      <c r="R124" s="133" t="str">
        <f t="shared" si="10"/>
        <v>#REF!</v>
      </c>
      <c r="S124" s="133" t="str">
        <f t="shared" si="11"/>
        <v>#REF!</v>
      </c>
      <c r="T124" s="133" t="str">
        <f t="shared" si="111"/>
        <v>#REF!</v>
      </c>
      <c r="U124" s="134" t="str">
        <f t="shared" si="12"/>
        <v>#REF!</v>
      </c>
      <c r="V124" s="134" t="str">
        <f t="shared" si="13"/>
        <v>#REF!</v>
      </c>
      <c r="W124" s="135" t="str">
        <f>IF(ISNA(VLOOKUP(A124,'Données projet (1)'!$A$35:$I$55,5,0)),0%,VLOOKUP(A124,'Données projet (1)'!$A$35:$I$55,5,0)*VLOOKUP('Données projet (1)'!$B$9,'Paramètres (1)'!$A$1:$I$88,7,0))</f>
        <v>#REF!</v>
      </c>
      <c r="X124" s="135" t="str">
        <f>IF(ISNA(VLOOKUP(A124,'Données projet (1)'!$A$35:$I$55,6,0)),0%,VLOOKUP(A124,'Données projet (1)'!$A$35:$I$55,6,0)*VLOOKUP('Données projet (1)'!$B$9,'Paramètres (1)'!$A$1:$I$88,7,0))</f>
        <v>#REF!</v>
      </c>
      <c r="Y124" s="135" t="str">
        <f t="shared" si="14"/>
        <v>#REF!</v>
      </c>
      <c r="Z124" s="142" t="str">
        <f>EXP(-LN(2)/35)*Z123+(1-EXP(-LN(2)/35))/(LN(2)/35)*V124*W124*VLOOKUP('Données projet (1)'!$B$9,'Paramètres (1)'!$A$1:$I$88,3,0)*0.475*44/12</f>
        <v>#REF!</v>
      </c>
      <c r="AA124" s="142" t="str">
        <f>EXP(-LN(2)/25)*AA123+(1-EXP(-LN(2)/25))/(LN(2)/25)*'Calculateur (1)'!V124*'Calculateur (1)'!X124*VLOOKUP('Données projet (1)'!$B$9,'Paramètres (1)'!$A$1:$I$88,3,0)*0.475*44/12</f>
        <v>#REF!</v>
      </c>
      <c r="AB124" s="142" t="str">
        <f>EXP(-LN(2)/2)*AB123+(1-EXP(-LN(2)/2))/(LN(2)/2)*V124*Y124*VLOOKUP('Données projet (1)'!$B$9,'Paramètres (1)'!$A$1:$I$88,3,0)*0.475*44/12</f>
        <v>#REF!</v>
      </c>
      <c r="AC124" s="143" t="str">
        <f t="shared" si="15"/>
        <v>#REF!</v>
      </c>
      <c r="AD124" s="130" t="str">
        <f t="shared" si="16"/>
        <v>#REF!</v>
      </c>
      <c r="AE124" s="130">
        <f t="shared" si="17"/>
        <v>10</v>
      </c>
      <c r="AF124" s="131" t="str">
        <f t="shared" si="112"/>
        <v>#REF!</v>
      </c>
      <c r="AG124" s="131" t="str">
        <f t="shared" si="18"/>
        <v>#REF!</v>
      </c>
      <c r="AH124" s="131" t="str">
        <f t="array" ref="AH124">INDEX(AG:AG,MIN(IF(ISNUMBER(AG124:AG320),ROW(AG124:AG320),"")))</f>
        <v/>
      </c>
      <c r="AI124" s="130" t="str">
        <f t="shared" si="113"/>
        <v>#REF!</v>
      </c>
      <c r="AJ124" s="130" t="str">
        <f>AI124*VLOOKUP('Données projet (1)'!$B$10,'Paramètres (1)'!$A$1:$I$88,3,0)*VLOOKUP('Données projet (1)'!$B$10,'Paramètres (1)'!$A$1:$I$88,5,0)</f>
        <v>#REF!</v>
      </c>
      <c r="AK124" s="130" t="str">
        <f t="shared" si="114"/>
        <v>#REF!</v>
      </c>
      <c r="AL124" s="141" t="str">
        <f t="shared" si="19"/>
        <v>#REF!</v>
      </c>
      <c r="AM124" s="133" t="str">
        <f t="shared" si="20"/>
        <v>#REF!</v>
      </c>
      <c r="AN124" s="133" t="str">
        <f t="shared" si="21"/>
        <v>#REF!</v>
      </c>
      <c r="AO124" s="133" t="str">
        <f t="shared" si="115"/>
        <v>#REF!</v>
      </c>
      <c r="AP124" s="134" t="str">
        <f t="shared" si="22"/>
        <v>#REF!</v>
      </c>
      <c r="AQ124" s="134" t="str">
        <f t="shared" si="23"/>
        <v>#REF!</v>
      </c>
      <c r="AR124" s="135" t="str">
        <f>IF(ISNA(VLOOKUP(A124,'Données projet (1)'!$A$61:$I$81,5,0)),0%,VLOOKUP(A124,'Données projet (1)'!$A$61:$I$81,5,0)*VLOOKUP('Données projet (1)'!$B$10,'Paramètres (1)'!$A$1:$I$88,7,0))</f>
        <v>#REF!</v>
      </c>
      <c r="AS124" s="135" t="str">
        <f>IF(ISNA(VLOOKUP(A124,'Données projet (1)'!$A$61:$I$81,6,0)),0%,VLOOKUP(A124,'Données projet (1)'!$A$61:$I$81,6,0)*VLOOKUP('Données projet (1)'!$B$10,'Paramètres (1)'!$A$1:$I$88,7,0))</f>
        <v>#REF!</v>
      </c>
      <c r="AT124" s="135" t="str">
        <f t="shared" si="24"/>
        <v>#REF!</v>
      </c>
      <c r="AU124" s="142" t="str">
        <f>EXP(-LN(2)/35)*AU123+(1-EXP(-LN(2)/35))/(LN(2)/35)*AQ124*AR124*VLOOKUP('Données projet (1)'!$B$10,'Paramètres (1)'!$A$1:$I$88,3,0)*0.475*44/12</f>
        <v>#REF!</v>
      </c>
      <c r="AV124" s="142" t="str">
        <f>EXP(-LN(2)/25)*AV123+(1-EXP(-LN(2)/25))/(LN(2)/25)*'Calculateur (1)'!AQ124*'Calculateur (1)'!AS124*VLOOKUP('Données projet (1)'!$B$10,'Paramètres (1)'!$A$1:$I$88,3,0)*0.475*44/12</f>
        <v>#REF!</v>
      </c>
      <c r="AW124" s="142" t="str">
        <f>EXP(-LN(2)/2)*AW123+(1-EXP(-LN(2)/2))/(LN(2)/2)*AQ124*AT124*VLOOKUP('Données projet (1)'!$B$10,'Paramètres (1)'!$A$1:$I$88,3,0)*0.475*44/12</f>
        <v>#REF!</v>
      </c>
      <c r="AX124" s="142" t="str">
        <f t="shared" si="25"/>
        <v>#REF!</v>
      </c>
      <c r="AY124" s="137" t="str">
        <f t="shared" si="26"/>
        <v>#REF!</v>
      </c>
      <c r="AZ124" s="131">
        <f t="shared" si="27"/>
        <v>10</v>
      </c>
      <c r="BA124" s="131" t="str">
        <f t="shared" si="116"/>
        <v>#REF!</v>
      </c>
      <c r="BB124" s="131" t="str">
        <f t="shared" si="28"/>
        <v>#REF!</v>
      </c>
      <c r="BC124" s="131" t="str">
        <f t="array" ref="BC124">INDEX(BB:BB,MIN(IF(ISNUMBER(BB124:BB320),ROW(BB124:BB320),"")))</f>
        <v/>
      </c>
      <c r="BD124" s="131" t="str">
        <f t="shared" si="117"/>
        <v>#REF!</v>
      </c>
      <c r="BE124" s="130" t="str">
        <f>BD124*VLOOKUP('Données projet (1)'!$B$11,'Paramètres (1)'!$A$1:$I$88,3,0)*VLOOKUP('Données projet (1)'!$B$11,'Paramètres (1)'!$A$1:$I$88,5,0)</f>
        <v>#REF!</v>
      </c>
      <c r="BF124" s="130" t="str">
        <f t="shared" si="118"/>
        <v>#REF!</v>
      </c>
      <c r="BG124" s="141" t="str">
        <f t="shared" si="29"/>
        <v>#REF!</v>
      </c>
      <c r="BH124" s="133" t="str">
        <f t="shared" si="30"/>
        <v>#REF!</v>
      </c>
      <c r="BI124" s="133" t="str">
        <f t="shared" si="31"/>
        <v>#REF!</v>
      </c>
      <c r="BJ124" s="133" t="str">
        <f t="shared" si="119"/>
        <v>#REF!</v>
      </c>
      <c r="BK124" s="134" t="str">
        <f t="shared" si="32"/>
        <v>#REF!</v>
      </c>
      <c r="BL124" s="134" t="str">
        <f t="shared" si="33"/>
        <v>#REF!</v>
      </c>
      <c r="BM124" s="135" t="str">
        <f>IF(ISNA(VLOOKUP(A124,'Données projet (1)'!$A$87:$I$107,5,0)),0%,VLOOKUP(A124,'Données projet (1)'!$A$87:$I$107,5,0)*VLOOKUP('Données projet (1)'!$B$11,'Paramètres (1)'!$A$1:$I$88,7,0))</f>
        <v>#REF!</v>
      </c>
      <c r="BN124" s="135" t="str">
        <f>IF(ISNA(VLOOKUP(A124,'Données projet (1)'!$A$87:$I$107,6,0)),0%,VLOOKUP(A124,'Données projet (1)'!$A$87:$I$107,6,0)*VLOOKUP('Données projet (1)'!$B$11,'Paramètres (1)'!$A$1:$I$88,7,0))</f>
        <v>#REF!</v>
      </c>
      <c r="BO124" s="135" t="str">
        <f t="shared" si="34"/>
        <v>#REF!</v>
      </c>
      <c r="BP124" s="142" t="str">
        <f>EXP(-LN(2)/35)*BP123+(1-EXP(-LN(2)/35))/(LN(2)/35)*BL124*BM124*VLOOKUP('Données projet (1)'!$B$11,'Paramètres (1)'!$A$1:$I$88,3,0)*0.475*44/12</f>
        <v>#REF!</v>
      </c>
      <c r="BQ124" s="142" t="str">
        <f>EXP(-LN(2)/25)*BQ123+(1-EXP(-LN(2)/25))/(LN(2)/25)*'Calculateur (1)'!BL124*'Calculateur (1)'!BN124*VLOOKUP('Données projet (1)'!$B$11,'Paramètres (1)'!$A$1:$I$88,3,0)*0.475*44/12</f>
        <v>#REF!</v>
      </c>
      <c r="BR124" s="142" t="str">
        <f>EXP(-LN(2)/2)*BR123+(1-EXP(-LN(2)/2))/(LN(2)/2)*BL124*BO124*VLOOKUP('Données projet (1)'!$B$11,'Paramètres (1)'!$A$1:$I$88,3,0)*0.475*44/12</f>
        <v>#REF!</v>
      </c>
      <c r="BS124" s="143" t="str">
        <f t="shared" si="35"/>
        <v>#REF!</v>
      </c>
      <c r="BT124" s="139" t="str">
        <f t="shared" si="36"/>
        <v>#REF!</v>
      </c>
      <c r="BU124" s="131">
        <f t="shared" si="37"/>
        <v>10</v>
      </c>
      <c r="BV124" s="131" t="str">
        <f t="shared" si="120"/>
        <v>#REF!</v>
      </c>
      <c r="BW124" s="131" t="str">
        <f t="shared" si="38"/>
        <v>#REF!</v>
      </c>
      <c r="BX124" s="131" t="str">
        <f t="array" ref="BX124">INDEX(BW:BW,MIN(IF(ISNUMBER(BW124:BW320),ROW(BW124:BW320),"")))</f>
        <v/>
      </c>
      <c r="BY124" s="131" t="str">
        <f t="shared" si="121"/>
        <v>#REF!</v>
      </c>
      <c r="BZ124" s="130" t="str">
        <f>BY124*VLOOKUP('Données projet (1)'!$B$12,'Paramètres (1)'!$A$1:$I$88,3,0)*VLOOKUP('Données projet (1)'!$B$12,'Paramètres (1)'!$A$1:$I$88,5,0)</f>
        <v>#REF!</v>
      </c>
      <c r="CA124" s="130" t="str">
        <f t="shared" si="122"/>
        <v>#REF!</v>
      </c>
      <c r="CB124" s="141" t="str">
        <f t="shared" si="39"/>
        <v>#REF!</v>
      </c>
      <c r="CC124" s="133" t="str">
        <f t="shared" si="40"/>
        <v>#REF!</v>
      </c>
      <c r="CD124" s="133" t="str">
        <f t="shared" si="41"/>
        <v>#REF!</v>
      </c>
      <c r="CE124" s="133" t="str">
        <f t="shared" si="123"/>
        <v>#REF!</v>
      </c>
      <c r="CF124" s="134" t="str">
        <f t="shared" si="42"/>
        <v>#REF!</v>
      </c>
      <c r="CG124" s="134" t="str">
        <f t="shared" si="43"/>
        <v>#REF!</v>
      </c>
      <c r="CH124" s="135" t="str">
        <f>IF(ISNA(VLOOKUP(A124,'Données projet (1)'!$A$113:$I$133,5,0)),0%,VLOOKUP(A124,'Données projet (1)'!$A$113:$I$133,5,0)*VLOOKUP('Données projet (1)'!$B$12,'Paramètres (1)'!$A$1:$I$88,7,0))</f>
        <v>#REF!</v>
      </c>
      <c r="CI124" s="135" t="str">
        <f>IF(ISNA(VLOOKUP(A124,'Données projet (1)'!$A$113:$I$133,6,0)),0%,VLOOKUP(A124,'Données projet (1)'!$A$113:$I$133,6,0)*VLOOKUP('Données projet (1)'!$B$12,'Paramètres (1)'!$A$1:$I$88,7,0))</f>
        <v>#REF!</v>
      </c>
      <c r="CJ124" s="135" t="str">
        <f t="shared" si="44"/>
        <v>#REF!</v>
      </c>
      <c r="CK124" s="142" t="str">
        <f>EXP(-LN(2)/35)*CK123+(1-EXP(-LN(2)/35))/(LN(2)/35)*CG124*CH124*VLOOKUP('Données projet (1)'!$B$12,'Paramètres (1)'!$A$1:$I$88,3,0)*0.475*44/12</f>
        <v>#REF!</v>
      </c>
      <c r="CL124" s="142" t="str">
        <f>EXP(-LN(2)/25)*CL123+(1-EXP(-LN(2)/25))/(LN(2)/25)*'Calculateur (1)'!CG124*'Calculateur (1)'!CI124*VLOOKUP('Données projet (1)'!$B$12,'Paramètres (1)'!$A$1:$I$88,3,0)*0.475*44/12</f>
        <v>#REF!</v>
      </c>
      <c r="CM124" s="142" t="str">
        <f>EXP(-LN(2)/2)*CM123+(1-EXP(-LN(2)/2))/(LN(2)/2)*CG124*CJ124*VLOOKUP('Données projet (1)'!$B$12,'Paramètres (1)'!$A$1:$I$88,3,0)*0.475*44/12</f>
        <v>#REF!</v>
      </c>
      <c r="CN124" s="143" t="str">
        <f t="shared" si="45"/>
        <v>#REF!</v>
      </c>
      <c r="CO124" s="139" t="str">
        <f t="shared" si="46"/>
        <v>#REF!</v>
      </c>
      <c r="CP124" s="131">
        <f t="shared" si="47"/>
        <v>10</v>
      </c>
      <c r="CQ124" s="131" t="str">
        <f t="shared" si="124"/>
        <v>#REF!</v>
      </c>
      <c r="CR124" s="131" t="str">
        <f t="shared" si="48"/>
        <v>#REF!</v>
      </c>
      <c r="CS124" s="131" t="str">
        <f t="array" ref="CS124">INDEX(CR:CR,MIN(IF(ISNUMBER(CR124:CR320),ROW(CR124:CR320),"")))</f>
        <v/>
      </c>
      <c r="CT124" s="131" t="str">
        <f t="shared" si="125"/>
        <v>#REF!</v>
      </c>
      <c r="CU124" s="138" t="str">
        <f>CT124*VLOOKUP('Données projet (1)'!$B$13,'Paramètres (1)'!$A$1:$I$88,3,0)*VLOOKUP('Données projet (1)'!$B$13,'Paramètres (1)'!$A$1:$I$88,5,0)</f>
        <v>#REF!</v>
      </c>
      <c r="CV124" s="130" t="str">
        <f t="shared" si="126"/>
        <v>#REF!</v>
      </c>
      <c r="CW124" s="141" t="str">
        <f t="shared" si="49"/>
        <v>#REF!</v>
      </c>
      <c r="CX124" s="133" t="str">
        <f t="shared" si="50"/>
        <v>#REF!</v>
      </c>
      <c r="CY124" s="133" t="str">
        <f t="shared" si="51"/>
        <v>#REF!</v>
      </c>
      <c r="CZ124" s="133" t="str">
        <f t="shared" si="127"/>
        <v>#REF!</v>
      </c>
      <c r="DA124" s="134" t="str">
        <f t="shared" si="52"/>
        <v>#REF!</v>
      </c>
      <c r="DB124" s="134" t="str">
        <f t="shared" si="53"/>
        <v>#REF!</v>
      </c>
      <c r="DC124" s="135" t="str">
        <f>IF(ISNA(VLOOKUP(A124,'Données projet (1)'!$A$139:$I$159,5,0)),0%,VLOOKUP(A124,'Données projet (1)'!$A$139:$I$159,5,0)*VLOOKUP('Données projet (1)'!$B$13,'Paramètres (1)'!$A$1:$I$88,7,0))</f>
        <v>#REF!</v>
      </c>
      <c r="DD124" s="135" t="str">
        <f>IF(ISNA(VLOOKUP(A124,'Données projet (1)'!$A$139:$I$159,6,0)),0%,VLOOKUP(A124,'Données projet (1)'!$A$139:$I$159,6,0)*VLOOKUP('Données projet (1)'!$B$13,'Paramètres (1)'!$A$1:$I$88,7,0))</f>
        <v>#REF!</v>
      </c>
      <c r="DE124" s="135" t="str">
        <f t="shared" si="54"/>
        <v>#REF!</v>
      </c>
      <c r="DF124" s="142" t="str">
        <f>EXP(-LN(2)/35)*DF123+(1-EXP(-LN(2)/35))/(LN(2)/35)*DB124*DC124*VLOOKUP('Données projet (1)'!$B$13,'Paramètres (1)'!$A$1:$I$88,3,0)*0.475*44/12</f>
        <v>#REF!</v>
      </c>
      <c r="DG124" s="142" t="str">
        <f>EXP(-LN(2)/25)*DG123+(1-EXP(-LN(2)/25))/(LN(2)/25)*'Calculateur (1)'!DB124*'Calculateur (1)'!DD124*VLOOKUP('Données projet (1)'!$B$13,'Paramètres (1)'!$A$1:$I$88,3,0)*0.475*44/12</f>
        <v>#REF!</v>
      </c>
      <c r="DH124" s="142" t="str">
        <f>EXP(-LN(2)/2)*DH123+(1-EXP(-LN(2)/2))/(LN(2)/2)*DB124*DE124*VLOOKUP('Données projet (1)'!$B$13,'Paramètres (1)'!$A$1:$I$88,3,0)*0.475*44/12</f>
        <v>#REF!</v>
      </c>
      <c r="DI124" s="143" t="str">
        <f t="shared" si="55"/>
        <v>#REF!</v>
      </c>
      <c r="DJ124" s="139" t="str">
        <f t="shared" si="56"/>
        <v>#REF!</v>
      </c>
      <c r="DK124" s="131">
        <f t="shared" si="57"/>
        <v>10</v>
      </c>
      <c r="DL124" s="131" t="str">
        <f t="shared" si="128"/>
        <v>#REF!</v>
      </c>
      <c r="DM124" s="131" t="str">
        <f t="shared" si="58"/>
        <v>#REF!</v>
      </c>
      <c r="DN124" s="131" t="str">
        <f t="array" ref="DN124">INDEX(DM:DM,MIN(IF(ISNUMBER(DM124:DM320),ROW(DM124:DM320),"")))</f>
        <v/>
      </c>
      <c r="DO124" s="131" t="str">
        <f t="shared" si="129"/>
        <v>#REF!</v>
      </c>
      <c r="DP124" s="138" t="str">
        <f>DO124*VLOOKUP('Données projet (1)'!$B$14,'Paramètres (1)'!$A$1:$I$88,3,0)*VLOOKUP('Données projet (1)'!$B$14,'Paramètres (1)'!$A$1:$I$88,5,0)</f>
        <v>#REF!</v>
      </c>
      <c r="DQ124" s="130" t="str">
        <f t="shared" si="130"/>
        <v>#REF!</v>
      </c>
      <c r="DR124" s="141" t="str">
        <f t="shared" si="59"/>
        <v>#REF!</v>
      </c>
      <c r="DS124" s="133" t="str">
        <f t="shared" si="60"/>
        <v>#REF!</v>
      </c>
      <c r="DT124" s="133" t="str">
        <f t="shared" si="61"/>
        <v>#REF!</v>
      </c>
      <c r="DU124" s="133" t="str">
        <f t="shared" si="131"/>
        <v>#REF!</v>
      </c>
      <c r="DV124" s="134" t="str">
        <f t="shared" si="62"/>
        <v>#REF!</v>
      </c>
      <c r="DW124" s="134" t="str">
        <f t="shared" si="63"/>
        <v>#REF!</v>
      </c>
      <c r="DX124" s="135" t="str">
        <f>IF(ISNA(VLOOKUP(A124,'Données projet (1)'!$A$165:$I$185,5,0)),0%,VLOOKUP(A124,'Données projet (1)'!$A$165:$I$185,5,0)*VLOOKUP('Données projet (1)'!$B$14,'Paramètres (1)'!$A$1:$I$88,7,0))</f>
        <v>#REF!</v>
      </c>
      <c r="DY124" s="135" t="str">
        <f>IF(ISNA(VLOOKUP(A124,'Données projet (1)'!$A$165:$I$185,6,0)),0%,VLOOKUP(A124,'Données projet (1)'!$A$165:$I$185,6,0)*VLOOKUP('Données projet (1)'!$B$14,'Paramètres (1)'!$A$1:$I$88,7,0))</f>
        <v>#REF!</v>
      </c>
      <c r="DZ124" s="135" t="str">
        <f t="shared" si="64"/>
        <v>#REF!</v>
      </c>
      <c r="EA124" s="142" t="str">
        <f>EXP(-LN(2)/35)*EA123+(1-EXP(-LN(2)/35))/(LN(2)/35)*DW124*DX124*VLOOKUP('Données projet (1)'!$B$14,'Paramètres (1)'!$A$1:$I$88,3,0)*0.475*44/12</f>
        <v>#REF!</v>
      </c>
      <c r="EB124" s="142" t="str">
        <f>EXP(-LN(2)/25)*EB123+(1-EXP(-LN(2)/25))/(LN(2)/25)*'Calculateur (1)'!DW124*'Calculateur (1)'!DY124*VLOOKUP('Données projet (1)'!$B$14,'Paramètres (1)'!$A$1:$I$88,3,0)*0.475*44/12</f>
        <v>#REF!</v>
      </c>
      <c r="EC124" s="142" t="str">
        <f>EXP(-LN(2)/2)*EC123+(1-EXP(-LN(2)/2))/(LN(2)/2)*DW124*DZ124*VLOOKUP('Données projet (1)'!$B$14,'Paramètres (1)'!$A$1:$I$88,3,0)*0.475*44/12</f>
        <v>#REF!</v>
      </c>
      <c r="ED124" s="143" t="str">
        <f t="shared" si="65"/>
        <v>#REF!</v>
      </c>
      <c r="EE124" s="139" t="str">
        <f t="shared" si="66"/>
        <v>#REF!</v>
      </c>
      <c r="EF124" s="131">
        <f t="shared" si="67"/>
        <v>10</v>
      </c>
      <c r="EG124" s="131" t="str">
        <f t="shared" si="132"/>
        <v>#REF!</v>
      </c>
      <c r="EH124" s="131" t="str">
        <f t="shared" si="68"/>
        <v>#REF!</v>
      </c>
      <c r="EI124" s="131" t="str">
        <f t="array" ref="EI124">INDEX(EH:EH,MIN(IF(ISNUMBER(EH124:EH320),ROW(EH124:EH320),"")))</f>
        <v/>
      </c>
      <c r="EJ124" s="131" t="str">
        <f t="shared" si="133"/>
        <v>#REF!</v>
      </c>
      <c r="EK124" s="138" t="str">
        <f>EJ124*VLOOKUP('Données projet (1)'!$B$15,'Paramètres (1)'!$A$1:$I$88,3,0)*VLOOKUP('Données projet (1)'!$B$15,'Paramètres (1)'!$A$1:$I$88,5,0)</f>
        <v>#REF!</v>
      </c>
      <c r="EL124" s="130" t="str">
        <f t="shared" si="134"/>
        <v>#REF!</v>
      </c>
      <c r="EM124" s="141" t="str">
        <f t="shared" si="69"/>
        <v>#REF!</v>
      </c>
      <c r="EN124" s="133" t="str">
        <f t="shared" si="70"/>
        <v>#REF!</v>
      </c>
      <c r="EO124" s="133" t="str">
        <f t="shared" si="71"/>
        <v>#REF!</v>
      </c>
      <c r="EP124" s="133" t="str">
        <f t="shared" si="135"/>
        <v>#REF!</v>
      </c>
      <c r="EQ124" s="134" t="str">
        <f t="shared" si="72"/>
        <v>#REF!</v>
      </c>
      <c r="ER124" s="134" t="str">
        <f t="shared" si="73"/>
        <v>#REF!</v>
      </c>
      <c r="ES124" s="135" t="str">
        <f>IF(ISNA(VLOOKUP(A124,'Données projet (1)'!$A$191:$I$211,5,0)),0%,VLOOKUP(A124,'Données projet (1)'!$A$191:$I$211,5,0)*VLOOKUP('Données projet (1)'!$B$15,'Paramètres (1)'!$A$1:$I$88,7,0))</f>
        <v>#REF!</v>
      </c>
      <c r="ET124" s="135" t="str">
        <f>IF(ISNA(VLOOKUP(A124,'Données projet (1)'!$A$191:$I$211,6,0)),0%,VLOOKUP(A124,'Données projet (1)'!$A$191:$I$211,6,0)*VLOOKUP('Données projet (1)'!$B$15,'Paramètres (1)'!$A$1:$I$88,7,0))</f>
        <v>#REF!</v>
      </c>
      <c r="EU124" s="135" t="str">
        <f t="shared" si="74"/>
        <v>#REF!</v>
      </c>
      <c r="EV124" s="142" t="str">
        <f>EXP(-LN(2)/35)*EV123+(1-EXP(-LN(2)/35))/(LN(2)/35)*ER124*ES124*VLOOKUP('Données projet (1)'!$B$15,'Paramètres (1)'!$A$1:$I$88,3,0)*0.475*44/12</f>
        <v>#REF!</v>
      </c>
      <c r="EW124" s="142" t="str">
        <f>EXP(-LN(2)/25)*EW123+(1-EXP(-LN(2)/25))/(LN(2)/25)*'Calculateur (1)'!ER124*'Calculateur (1)'!ET124*VLOOKUP('Données projet (1)'!$B$15,'Paramètres (1)'!$A$1:$I$88,3,0)*0.475*44/12</f>
        <v>#REF!</v>
      </c>
      <c r="EX124" s="142" t="str">
        <f>EXP(-LN(2)/2)*EX123+(1-EXP(-LN(2)/2))/(LN(2)/2)*ER124*EU124*VLOOKUP('Données projet (1)'!$B$15,'Paramètres (1)'!$A$1:$I$88,3,0)*0.475*44/12</f>
        <v>#REF!</v>
      </c>
      <c r="EY124" s="143" t="str">
        <f t="shared" si="75"/>
        <v>#REF!</v>
      </c>
      <c r="EZ124" s="139" t="str">
        <f t="shared" si="76"/>
        <v>#REF!</v>
      </c>
      <c r="FA124" s="131">
        <f t="shared" si="77"/>
        <v>10</v>
      </c>
      <c r="FB124" s="131" t="str">
        <f t="shared" si="136"/>
        <v>#REF!</v>
      </c>
      <c r="FC124" s="131" t="str">
        <f t="shared" si="78"/>
        <v>#REF!</v>
      </c>
      <c r="FD124" s="131" t="str">
        <f t="array" ref="FD124">INDEX(FC:FC,MIN(IF(ISNUMBER(FC124:FC320),ROW(FC124:FC320),"")))</f>
        <v/>
      </c>
      <c r="FE124" s="131" t="str">
        <f t="shared" si="137"/>
        <v>#REF!</v>
      </c>
      <c r="FF124" s="138" t="str">
        <f>FE124*VLOOKUP('Données projet (1)'!$B$16,'Paramètres (1)'!$A$1:$I$88,3,0)*VLOOKUP('Données projet (1)'!$B$16,'Paramètres (1)'!$A$1:$I$88,5,0)</f>
        <v>#REF!</v>
      </c>
      <c r="FG124" s="130" t="str">
        <f t="shared" si="138"/>
        <v>#REF!</v>
      </c>
      <c r="FH124" s="141" t="str">
        <f t="shared" si="79"/>
        <v>#REF!</v>
      </c>
      <c r="FI124" s="133" t="str">
        <f t="shared" si="80"/>
        <v>#REF!</v>
      </c>
      <c r="FJ124" s="133" t="str">
        <f t="shared" si="81"/>
        <v>#REF!</v>
      </c>
      <c r="FK124" s="133" t="str">
        <f t="shared" si="139"/>
        <v>#REF!</v>
      </c>
      <c r="FL124" s="134" t="str">
        <f t="shared" si="82"/>
        <v>#REF!</v>
      </c>
      <c r="FM124" s="134" t="str">
        <f t="shared" si="83"/>
        <v>#REF!</v>
      </c>
      <c r="FN124" s="135" t="str">
        <f>IF(ISNA(VLOOKUP(A124,'Données projet (1)'!$A$217:$I$237,5,0)),0%,VLOOKUP(A124,'Données projet (1)'!$A$217:$I$237,5,0)*VLOOKUP('Données projet (1)'!$B$16,'Paramètres (1)'!$A$1:$I$88,7,0))</f>
        <v>#REF!</v>
      </c>
      <c r="FO124" s="135" t="str">
        <f>IF(ISNA(VLOOKUP(A124,'Données projet (1)'!$A$217:$I$237,6,0)),0%,VLOOKUP(A124,'Données projet (1)'!$A$217:$I$237,6,0)*VLOOKUP('Données projet (1)'!$B$16,'Paramètres (1)'!$A$1:$I$88,7,0))</f>
        <v>#REF!</v>
      </c>
      <c r="FP124" s="135" t="str">
        <f t="shared" si="84"/>
        <v>#REF!</v>
      </c>
      <c r="FQ124" s="142" t="str">
        <f>EXP(-LN(2)/35)*FQ123+(1-EXP(-LN(2)/35))/(LN(2)/35)*FM124*FN124*VLOOKUP('Données projet (1)'!$B$16,'Paramètres (1)'!$A$1:$I$88,3,0)*0.475*44/12</f>
        <v>#REF!</v>
      </c>
      <c r="FR124" s="142" t="str">
        <f>EXP(-LN(2)/25)*FR123+(1-EXP(-LN(2)/25))/(LN(2)/25)*'Calculateur (1)'!FM124*'Calculateur (1)'!FO124*VLOOKUP('Données projet (1)'!$B$16,'Paramètres (1)'!$A$1:$I$88,3,0)*0.475*44/12</f>
        <v>#REF!</v>
      </c>
      <c r="FS124" s="142" t="str">
        <f>EXP(-LN(2)/2)*FS123+(1-EXP(-LN(2)/2))/(LN(2)/2)*FM124*FP124*VLOOKUP('Données projet (1)'!$B$16,'Paramètres (1)'!$A$1:$I$88,3,0)*0.475*44/12</f>
        <v>#REF!</v>
      </c>
      <c r="FT124" s="143" t="str">
        <f t="shared" si="85"/>
        <v>#REF!</v>
      </c>
      <c r="FU124" s="139" t="str">
        <f t="shared" si="86"/>
        <v>#REF!</v>
      </c>
      <c r="FV124" s="131">
        <f t="shared" si="87"/>
        <v>10</v>
      </c>
      <c r="FW124" s="131" t="str">
        <f t="shared" si="140"/>
        <v>#REF!</v>
      </c>
      <c r="FX124" s="131" t="str">
        <f t="shared" si="88"/>
        <v>#REF!</v>
      </c>
      <c r="FY124" s="131" t="str">
        <f t="array" ref="FY124">INDEX(FX:FX,MIN(IF(ISNUMBER(FX124:FX320),ROW(FX124:FX320),"")))</f>
        <v/>
      </c>
      <c r="FZ124" s="131" t="str">
        <f t="shared" si="141"/>
        <v>#REF!</v>
      </c>
      <c r="GA124" s="138" t="str">
        <f>FZ124*VLOOKUP('Données projet (1)'!$B$17,'Paramètres (1)'!$A$1:$I$88,3,0)*VLOOKUP('Données projet (1)'!$B$17,'Paramètres (1)'!$A$1:$I$88,5,0)</f>
        <v>#REF!</v>
      </c>
      <c r="GB124" s="130" t="str">
        <f t="shared" si="142"/>
        <v>#REF!</v>
      </c>
      <c r="GC124" s="141" t="str">
        <f t="shared" si="89"/>
        <v>#REF!</v>
      </c>
      <c r="GD124" s="133" t="str">
        <f t="shared" si="90"/>
        <v>#REF!</v>
      </c>
      <c r="GE124" s="133" t="str">
        <f t="shared" si="91"/>
        <v>#REF!</v>
      </c>
      <c r="GF124" s="133" t="str">
        <f t="shared" si="143"/>
        <v>#REF!</v>
      </c>
      <c r="GG124" s="134" t="str">
        <f t="shared" si="92"/>
        <v>#REF!</v>
      </c>
      <c r="GH124" s="134" t="str">
        <f t="shared" si="93"/>
        <v>#REF!</v>
      </c>
      <c r="GI124" s="135" t="str">
        <f>IF(ISNA(VLOOKUP(A124,'Données projet (1)'!$A$243:$I$263,5,0)),0%,VLOOKUP(A124,'Données projet (1)'!$A$243:$I$263,5,0)*VLOOKUP('Données projet (1)'!$B$17,'Paramètres (1)'!$A$1:$I$88,7,0))</f>
        <v>#REF!</v>
      </c>
      <c r="GJ124" s="135" t="str">
        <f>IF(ISNA(VLOOKUP(A124,'Données projet (1)'!$A$243:$I$263,6,0)),0%,VLOOKUP(A124,'Données projet (1)'!$A$243:$I$263,6,0)*VLOOKUP('Données projet (1)'!$B$17,'Paramètres (1)'!$A$1:$I$88,7,0))</f>
        <v>#REF!</v>
      </c>
      <c r="GK124" s="135" t="str">
        <f t="shared" si="94"/>
        <v>#REF!</v>
      </c>
      <c r="GL124" s="142" t="str">
        <f>EXP(-LN(2)/35)*GL123+(1-EXP(-LN(2)/35))/(LN(2)/35)*GH124*GI124*VLOOKUP('Données projet (1)'!$B$17,'Paramètres (1)'!$A$1:$I$88,3,0)*0.475*44/12</f>
        <v>#REF!</v>
      </c>
      <c r="GM124" s="142" t="str">
        <f>EXP(-LN(2)/25)*GM123+(1-EXP(-LN(2)/25))/(LN(2)/25)*'Calculateur (1)'!GH124*'Calculateur (1)'!GJ124*VLOOKUP('Données projet (1)'!$B$17,'Paramètres (1)'!$A$1:$I$88,3,0)*0.475*44/12</f>
        <v>#REF!</v>
      </c>
      <c r="GN124" s="142" t="str">
        <f>EXP(-LN(2)/2)*GN123+(1-EXP(-LN(2)/2))/(LN(2)/2)*GH124*GK124*VLOOKUP('Données projet (1)'!$B$17,'Paramètres (1)'!$A$1:$I$88,3,0)*0.475*44/12</f>
        <v>#REF!</v>
      </c>
      <c r="GO124" s="142" t="str">
        <f t="shared" si="95"/>
        <v>#REF!</v>
      </c>
      <c r="GP124" s="139" t="str">
        <f t="shared" si="96"/>
        <v>#REF!</v>
      </c>
      <c r="GQ124" s="131">
        <f t="shared" si="97"/>
        <v>10</v>
      </c>
      <c r="GR124" s="131" t="str">
        <f t="shared" si="144"/>
        <v>#REF!</v>
      </c>
      <c r="GS124" s="131" t="str">
        <f t="shared" si="98"/>
        <v>#REF!</v>
      </c>
      <c r="GT124" s="131" t="str">
        <f t="array" ref="GT124">INDEX(GS:GS,MIN(IF(ISNUMBER(GS124:GS320),ROW(GS124:GS320),"")))</f>
        <v/>
      </c>
      <c r="GU124" s="131" t="str">
        <f t="shared" si="145"/>
        <v>#REF!</v>
      </c>
      <c r="GV124" s="138" t="str">
        <f>GU124*VLOOKUP('Données projet (1)'!$B$18,'Paramètres (1)'!$A$1:$I$88,3,0)*VLOOKUP('Données projet (1)'!$B$18,'Paramètres (1)'!$A$1:$I$88,5,0)</f>
        <v>#REF!</v>
      </c>
      <c r="GW124" s="130" t="str">
        <f t="shared" si="146"/>
        <v>#REF!</v>
      </c>
      <c r="GX124" s="141" t="str">
        <f t="shared" si="99"/>
        <v>#REF!</v>
      </c>
      <c r="GY124" s="133" t="str">
        <f t="shared" si="100"/>
        <v>#REF!</v>
      </c>
      <c r="GZ124" s="133" t="str">
        <f t="shared" si="101"/>
        <v>#REF!</v>
      </c>
      <c r="HA124" s="133" t="str">
        <f t="shared" si="147"/>
        <v>#REF!</v>
      </c>
      <c r="HB124" s="134" t="str">
        <f t="shared" si="102"/>
        <v>#REF!</v>
      </c>
      <c r="HC124" s="134" t="str">
        <f t="shared" si="103"/>
        <v>#REF!</v>
      </c>
      <c r="HD124" s="135" t="str">
        <f>IF(ISNA(VLOOKUP(A124,'Données projet (1)'!$A$269:$I$289,5,0)),0%,VLOOKUP(A124,'Données projet (1)'!$A$269:$I$289,5,0)*VLOOKUP('Données projet (1)'!$B$18,'Paramètres (1)'!$A$1:$I$88,7,0))</f>
        <v>#REF!</v>
      </c>
      <c r="HE124" s="135" t="str">
        <f>IF(ISNA(VLOOKUP(A124,'Données projet (1)'!$A$269:$I$289,6,0)),0%,VLOOKUP(A124,'Données projet (1)'!$A$269:$I$289,6,0)*VLOOKUP('Données projet (1)'!$B$18,'Paramètres (1)'!$A$1:$I$88,7,0))</f>
        <v>#REF!</v>
      </c>
      <c r="HF124" s="135" t="str">
        <f t="shared" si="104"/>
        <v>#REF!</v>
      </c>
      <c r="HG124" s="142" t="str">
        <f>EXP(-LN(2)/35)*HG123+(1-EXP(-LN(2)/35))/(LN(2)/35)*HC124*HD124*VLOOKUP('Données projet (1)'!$B$18,'Paramètres (1)'!$A$1:$I$88,3,0)*0.475*44/12</f>
        <v>#REF!</v>
      </c>
      <c r="HH124" s="142" t="str">
        <f>EXP(-LN(2)/25)*HH123+(1-EXP(-LN(2)/25))/(LN(2)/25)*'Calculateur (1)'!HC124*'Calculateur (1)'!HE124*VLOOKUP('Données projet (1)'!$B$18,'Paramètres (1)'!$A$1:$I$88,3,0)*0.475*44/12</f>
        <v>#REF!</v>
      </c>
      <c r="HI124" s="142" t="str">
        <f>EXP(-LN(2)/2)*HI123+(1-EXP(-LN(2)/2))/(LN(2)/2)*HC124*HF124*VLOOKUP('Données projet (1)'!$B$18,'Paramètres (1)'!$A$1:$I$88,3,0)*0.475*44/12</f>
        <v>#REF!</v>
      </c>
      <c r="HJ124" s="143" t="str">
        <f t="shared" si="105"/>
        <v>#REF!</v>
      </c>
    </row>
    <row r="125" ht="14.25" customHeight="1">
      <c r="A125" s="125">
        <f t="shared" si="106"/>
        <v>122</v>
      </c>
      <c r="B125" s="126" t="str">
        <f t="shared" si="1"/>
        <v>#REF!</v>
      </c>
      <c r="C125" s="140" t="str">
        <f>'Calculateur (1)'!C124+'Scénario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5" s="127">
        <f t="shared" si="107"/>
        <v>0</v>
      </c>
      <c r="E125" s="127" t="str">
        <f t="shared" si="2"/>
        <v>#REF!</v>
      </c>
      <c r="F125" s="127" t="str">
        <f t="shared" si="3"/>
        <v>#REF!</v>
      </c>
      <c r="G125" s="127" t="str">
        <f t="shared" si="4"/>
        <v>#REF!</v>
      </c>
      <c r="H125" s="128" t="str">
        <f t="shared" si="5"/>
        <v>#REF!</v>
      </c>
      <c r="I125" s="129" t="str">
        <f t="shared" si="6"/>
        <v>#REF!</v>
      </c>
      <c r="J125" s="130">
        <f t="shared" si="7"/>
        <v>10</v>
      </c>
      <c r="K125" s="131" t="str">
        <f t="shared" si="108"/>
        <v>#REF!</v>
      </c>
      <c r="L125" s="131" t="str">
        <f t="shared" si="8"/>
        <v>#REF!</v>
      </c>
      <c r="M125" s="131" t="str">
        <f t="array" ref="M125">INDEX(L:L,MIN(IF(ISNUMBER(L125:L321),ROW(L125:L321),"")))</f>
        <v/>
      </c>
      <c r="N125" s="130" t="str">
        <f t="shared" si="109"/>
        <v>#REF!</v>
      </c>
      <c r="O125" s="130" t="str">
        <f>N125*VLOOKUP('Données projet (1)'!$B$9,'Paramètres (1)'!$A$1:$I$88,3,0)*VLOOKUP('Données projet (1)'!$B$9,'Paramètres (1)'!$A$1:$I$88,5,0)</f>
        <v>#REF!</v>
      </c>
      <c r="P125" s="130" t="str">
        <f t="shared" si="110"/>
        <v>#REF!</v>
      </c>
      <c r="Q125" s="141" t="str">
        <f t="shared" si="9"/>
        <v>#REF!</v>
      </c>
      <c r="R125" s="133" t="str">
        <f t="shared" si="10"/>
        <v>#REF!</v>
      </c>
      <c r="S125" s="133" t="str">
        <f t="shared" si="11"/>
        <v>#REF!</v>
      </c>
      <c r="T125" s="133" t="str">
        <f t="shared" si="111"/>
        <v>#REF!</v>
      </c>
      <c r="U125" s="134" t="str">
        <f t="shared" si="12"/>
        <v>#REF!</v>
      </c>
      <c r="V125" s="134" t="str">
        <f t="shared" si="13"/>
        <v>#REF!</v>
      </c>
      <c r="W125" s="135" t="str">
        <f>IF(ISNA(VLOOKUP(A125,'Données projet (1)'!$A$35:$I$55,5,0)),0%,VLOOKUP(A125,'Données projet (1)'!$A$35:$I$55,5,0)*VLOOKUP('Données projet (1)'!$B$9,'Paramètres (1)'!$A$1:$I$88,7,0))</f>
        <v>#REF!</v>
      </c>
      <c r="X125" s="135" t="str">
        <f>IF(ISNA(VLOOKUP(A125,'Données projet (1)'!$A$35:$I$55,6,0)),0%,VLOOKUP(A125,'Données projet (1)'!$A$35:$I$55,6,0)*VLOOKUP('Données projet (1)'!$B$9,'Paramètres (1)'!$A$1:$I$88,7,0))</f>
        <v>#REF!</v>
      </c>
      <c r="Y125" s="135" t="str">
        <f t="shared" si="14"/>
        <v>#REF!</v>
      </c>
      <c r="Z125" s="142" t="str">
        <f>EXP(-LN(2)/35)*Z124+(1-EXP(-LN(2)/35))/(LN(2)/35)*V125*W125*VLOOKUP('Données projet (1)'!$B$9,'Paramètres (1)'!$A$1:$I$88,3,0)*0.475*44/12</f>
        <v>#REF!</v>
      </c>
      <c r="AA125" s="142" t="str">
        <f>EXP(-LN(2)/25)*AA124+(1-EXP(-LN(2)/25))/(LN(2)/25)*'Calculateur (1)'!V125*'Calculateur (1)'!X125*VLOOKUP('Données projet (1)'!$B$9,'Paramètres (1)'!$A$1:$I$88,3,0)*0.475*44/12</f>
        <v>#REF!</v>
      </c>
      <c r="AB125" s="142" t="str">
        <f>EXP(-LN(2)/2)*AB124+(1-EXP(-LN(2)/2))/(LN(2)/2)*V125*Y125*VLOOKUP('Données projet (1)'!$B$9,'Paramètres (1)'!$A$1:$I$88,3,0)*0.475*44/12</f>
        <v>#REF!</v>
      </c>
      <c r="AC125" s="143" t="str">
        <f t="shared" si="15"/>
        <v>#REF!</v>
      </c>
      <c r="AD125" s="130" t="str">
        <f t="shared" si="16"/>
        <v>#REF!</v>
      </c>
      <c r="AE125" s="130">
        <f t="shared" si="17"/>
        <v>10</v>
      </c>
      <c r="AF125" s="131" t="str">
        <f t="shared" si="112"/>
        <v>#REF!</v>
      </c>
      <c r="AG125" s="131" t="str">
        <f t="shared" si="18"/>
        <v>#REF!</v>
      </c>
      <c r="AH125" s="131" t="str">
        <f t="array" ref="AH125">INDEX(AG:AG,MIN(IF(ISNUMBER(AG125:AG321),ROW(AG125:AG321),"")))</f>
        <v/>
      </c>
      <c r="AI125" s="130" t="str">
        <f t="shared" si="113"/>
        <v>#REF!</v>
      </c>
      <c r="AJ125" s="130" t="str">
        <f>AI125*VLOOKUP('Données projet (1)'!$B$10,'Paramètres (1)'!$A$1:$I$88,3,0)*VLOOKUP('Données projet (1)'!$B$10,'Paramètres (1)'!$A$1:$I$88,5,0)</f>
        <v>#REF!</v>
      </c>
      <c r="AK125" s="130" t="str">
        <f t="shared" si="114"/>
        <v>#REF!</v>
      </c>
      <c r="AL125" s="141" t="str">
        <f t="shared" si="19"/>
        <v>#REF!</v>
      </c>
      <c r="AM125" s="133" t="str">
        <f t="shared" si="20"/>
        <v>#REF!</v>
      </c>
      <c r="AN125" s="133" t="str">
        <f t="shared" si="21"/>
        <v>#REF!</v>
      </c>
      <c r="AO125" s="133" t="str">
        <f t="shared" si="115"/>
        <v>#REF!</v>
      </c>
      <c r="AP125" s="134" t="str">
        <f t="shared" si="22"/>
        <v>#REF!</v>
      </c>
      <c r="AQ125" s="134" t="str">
        <f t="shared" si="23"/>
        <v>#REF!</v>
      </c>
      <c r="AR125" s="135" t="str">
        <f>IF(ISNA(VLOOKUP(A125,'Données projet (1)'!$A$61:$I$81,5,0)),0%,VLOOKUP(A125,'Données projet (1)'!$A$61:$I$81,5,0)*VLOOKUP('Données projet (1)'!$B$10,'Paramètres (1)'!$A$1:$I$88,7,0))</f>
        <v>#REF!</v>
      </c>
      <c r="AS125" s="135" t="str">
        <f>IF(ISNA(VLOOKUP(A125,'Données projet (1)'!$A$61:$I$81,6,0)),0%,VLOOKUP(A125,'Données projet (1)'!$A$61:$I$81,6,0)*VLOOKUP('Données projet (1)'!$B$10,'Paramètres (1)'!$A$1:$I$88,7,0))</f>
        <v>#REF!</v>
      </c>
      <c r="AT125" s="135" t="str">
        <f t="shared" si="24"/>
        <v>#REF!</v>
      </c>
      <c r="AU125" s="142" t="str">
        <f>EXP(-LN(2)/35)*AU124+(1-EXP(-LN(2)/35))/(LN(2)/35)*AQ125*AR125*VLOOKUP('Données projet (1)'!$B$10,'Paramètres (1)'!$A$1:$I$88,3,0)*0.475*44/12</f>
        <v>#REF!</v>
      </c>
      <c r="AV125" s="142" t="str">
        <f>EXP(-LN(2)/25)*AV124+(1-EXP(-LN(2)/25))/(LN(2)/25)*'Calculateur (1)'!AQ125*'Calculateur (1)'!AS125*VLOOKUP('Données projet (1)'!$B$10,'Paramètres (1)'!$A$1:$I$88,3,0)*0.475*44/12</f>
        <v>#REF!</v>
      </c>
      <c r="AW125" s="142" t="str">
        <f>EXP(-LN(2)/2)*AW124+(1-EXP(-LN(2)/2))/(LN(2)/2)*AQ125*AT125*VLOOKUP('Données projet (1)'!$B$10,'Paramètres (1)'!$A$1:$I$88,3,0)*0.475*44/12</f>
        <v>#REF!</v>
      </c>
      <c r="AX125" s="142" t="str">
        <f t="shared" si="25"/>
        <v>#REF!</v>
      </c>
      <c r="AY125" s="137" t="str">
        <f t="shared" si="26"/>
        <v>#REF!</v>
      </c>
      <c r="AZ125" s="131">
        <f t="shared" si="27"/>
        <v>10</v>
      </c>
      <c r="BA125" s="131" t="str">
        <f t="shared" si="116"/>
        <v>#REF!</v>
      </c>
      <c r="BB125" s="131" t="str">
        <f t="shared" si="28"/>
        <v>#REF!</v>
      </c>
      <c r="BC125" s="131" t="str">
        <f t="array" ref="BC125">INDEX(BB:BB,MIN(IF(ISNUMBER(BB125:BB321),ROW(BB125:BB321),"")))</f>
        <v/>
      </c>
      <c r="BD125" s="131" t="str">
        <f t="shared" si="117"/>
        <v>#REF!</v>
      </c>
      <c r="BE125" s="130" t="str">
        <f>BD125*VLOOKUP('Données projet (1)'!$B$11,'Paramètres (1)'!$A$1:$I$88,3,0)*VLOOKUP('Données projet (1)'!$B$11,'Paramètres (1)'!$A$1:$I$88,5,0)</f>
        <v>#REF!</v>
      </c>
      <c r="BF125" s="130" t="str">
        <f t="shared" si="118"/>
        <v>#REF!</v>
      </c>
      <c r="BG125" s="141" t="str">
        <f t="shared" si="29"/>
        <v>#REF!</v>
      </c>
      <c r="BH125" s="133" t="str">
        <f t="shared" si="30"/>
        <v>#REF!</v>
      </c>
      <c r="BI125" s="133" t="str">
        <f t="shared" si="31"/>
        <v>#REF!</v>
      </c>
      <c r="BJ125" s="133" t="str">
        <f t="shared" si="119"/>
        <v>#REF!</v>
      </c>
      <c r="BK125" s="134" t="str">
        <f t="shared" si="32"/>
        <v>#REF!</v>
      </c>
      <c r="BL125" s="134" t="str">
        <f t="shared" si="33"/>
        <v>#REF!</v>
      </c>
      <c r="BM125" s="135" t="str">
        <f>IF(ISNA(VLOOKUP(A125,'Données projet (1)'!$A$87:$I$107,5,0)),0%,VLOOKUP(A125,'Données projet (1)'!$A$87:$I$107,5,0)*VLOOKUP('Données projet (1)'!$B$11,'Paramètres (1)'!$A$1:$I$88,7,0))</f>
        <v>#REF!</v>
      </c>
      <c r="BN125" s="135" t="str">
        <f>IF(ISNA(VLOOKUP(A125,'Données projet (1)'!$A$87:$I$107,6,0)),0%,VLOOKUP(A125,'Données projet (1)'!$A$87:$I$107,6,0)*VLOOKUP('Données projet (1)'!$B$11,'Paramètres (1)'!$A$1:$I$88,7,0))</f>
        <v>#REF!</v>
      </c>
      <c r="BO125" s="135" t="str">
        <f t="shared" si="34"/>
        <v>#REF!</v>
      </c>
      <c r="BP125" s="142" t="str">
        <f>EXP(-LN(2)/35)*BP124+(1-EXP(-LN(2)/35))/(LN(2)/35)*BL125*BM125*VLOOKUP('Données projet (1)'!$B$11,'Paramètres (1)'!$A$1:$I$88,3,0)*0.475*44/12</f>
        <v>#REF!</v>
      </c>
      <c r="BQ125" s="142" t="str">
        <f>EXP(-LN(2)/25)*BQ124+(1-EXP(-LN(2)/25))/(LN(2)/25)*'Calculateur (1)'!BL125*'Calculateur (1)'!BN125*VLOOKUP('Données projet (1)'!$B$11,'Paramètres (1)'!$A$1:$I$88,3,0)*0.475*44/12</f>
        <v>#REF!</v>
      </c>
      <c r="BR125" s="142" t="str">
        <f>EXP(-LN(2)/2)*BR124+(1-EXP(-LN(2)/2))/(LN(2)/2)*BL125*BO125*VLOOKUP('Données projet (1)'!$B$11,'Paramètres (1)'!$A$1:$I$88,3,0)*0.475*44/12</f>
        <v>#REF!</v>
      </c>
      <c r="BS125" s="143" t="str">
        <f t="shared" si="35"/>
        <v>#REF!</v>
      </c>
      <c r="BT125" s="139" t="str">
        <f t="shared" si="36"/>
        <v>#REF!</v>
      </c>
      <c r="BU125" s="131">
        <f t="shared" si="37"/>
        <v>10</v>
      </c>
      <c r="BV125" s="131" t="str">
        <f t="shared" si="120"/>
        <v>#REF!</v>
      </c>
      <c r="BW125" s="131" t="str">
        <f t="shared" si="38"/>
        <v>#REF!</v>
      </c>
      <c r="BX125" s="131" t="str">
        <f t="array" ref="BX125">INDEX(BW:BW,MIN(IF(ISNUMBER(BW125:BW321),ROW(BW125:BW321),"")))</f>
        <v/>
      </c>
      <c r="BY125" s="131" t="str">
        <f t="shared" si="121"/>
        <v>#REF!</v>
      </c>
      <c r="BZ125" s="130" t="str">
        <f>BY125*VLOOKUP('Données projet (1)'!$B$12,'Paramètres (1)'!$A$1:$I$88,3,0)*VLOOKUP('Données projet (1)'!$B$12,'Paramètres (1)'!$A$1:$I$88,5,0)</f>
        <v>#REF!</v>
      </c>
      <c r="CA125" s="130" t="str">
        <f t="shared" si="122"/>
        <v>#REF!</v>
      </c>
      <c r="CB125" s="141" t="str">
        <f t="shared" si="39"/>
        <v>#REF!</v>
      </c>
      <c r="CC125" s="133" t="str">
        <f t="shared" si="40"/>
        <v>#REF!</v>
      </c>
      <c r="CD125" s="133" t="str">
        <f t="shared" si="41"/>
        <v>#REF!</v>
      </c>
      <c r="CE125" s="133" t="str">
        <f t="shared" si="123"/>
        <v>#REF!</v>
      </c>
      <c r="CF125" s="134" t="str">
        <f t="shared" si="42"/>
        <v>#REF!</v>
      </c>
      <c r="CG125" s="134" t="str">
        <f t="shared" si="43"/>
        <v>#REF!</v>
      </c>
      <c r="CH125" s="135" t="str">
        <f>IF(ISNA(VLOOKUP(A125,'Données projet (1)'!$A$113:$I$133,5,0)),0%,VLOOKUP(A125,'Données projet (1)'!$A$113:$I$133,5,0)*VLOOKUP('Données projet (1)'!$B$12,'Paramètres (1)'!$A$1:$I$88,7,0))</f>
        <v>#REF!</v>
      </c>
      <c r="CI125" s="135" t="str">
        <f>IF(ISNA(VLOOKUP(A125,'Données projet (1)'!$A$113:$I$133,6,0)),0%,VLOOKUP(A125,'Données projet (1)'!$A$113:$I$133,6,0)*VLOOKUP('Données projet (1)'!$B$12,'Paramètres (1)'!$A$1:$I$88,7,0))</f>
        <v>#REF!</v>
      </c>
      <c r="CJ125" s="135" t="str">
        <f t="shared" si="44"/>
        <v>#REF!</v>
      </c>
      <c r="CK125" s="142" t="str">
        <f>EXP(-LN(2)/35)*CK124+(1-EXP(-LN(2)/35))/(LN(2)/35)*CG125*CH125*VLOOKUP('Données projet (1)'!$B$12,'Paramètres (1)'!$A$1:$I$88,3,0)*0.475*44/12</f>
        <v>#REF!</v>
      </c>
      <c r="CL125" s="142" t="str">
        <f>EXP(-LN(2)/25)*CL124+(1-EXP(-LN(2)/25))/(LN(2)/25)*'Calculateur (1)'!CG125*'Calculateur (1)'!CI125*VLOOKUP('Données projet (1)'!$B$12,'Paramètres (1)'!$A$1:$I$88,3,0)*0.475*44/12</f>
        <v>#REF!</v>
      </c>
      <c r="CM125" s="142" t="str">
        <f>EXP(-LN(2)/2)*CM124+(1-EXP(-LN(2)/2))/(LN(2)/2)*CG125*CJ125*VLOOKUP('Données projet (1)'!$B$12,'Paramètres (1)'!$A$1:$I$88,3,0)*0.475*44/12</f>
        <v>#REF!</v>
      </c>
      <c r="CN125" s="143" t="str">
        <f t="shared" si="45"/>
        <v>#REF!</v>
      </c>
      <c r="CO125" s="139" t="str">
        <f t="shared" si="46"/>
        <v>#REF!</v>
      </c>
      <c r="CP125" s="131">
        <f t="shared" si="47"/>
        <v>10</v>
      </c>
      <c r="CQ125" s="131" t="str">
        <f t="shared" si="124"/>
        <v>#REF!</v>
      </c>
      <c r="CR125" s="131" t="str">
        <f t="shared" si="48"/>
        <v>#REF!</v>
      </c>
      <c r="CS125" s="131" t="str">
        <f t="array" ref="CS125">INDEX(CR:CR,MIN(IF(ISNUMBER(CR125:CR321),ROW(CR125:CR321),"")))</f>
        <v/>
      </c>
      <c r="CT125" s="131" t="str">
        <f t="shared" si="125"/>
        <v>#REF!</v>
      </c>
      <c r="CU125" s="138" t="str">
        <f>CT125*VLOOKUP('Données projet (1)'!$B$13,'Paramètres (1)'!$A$1:$I$88,3,0)*VLOOKUP('Données projet (1)'!$B$13,'Paramètres (1)'!$A$1:$I$88,5,0)</f>
        <v>#REF!</v>
      </c>
      <c r="CV125" s="130" t="str">
        <f t="shared" si="126"/>
        <v>#REF!</v>
      </c>
      <c r="CW125" s="141" t="str">
        <f t="shared" si="49"/>
        <v>#REF!</v>
      </c>
      <c r="CX125" s="133" t="str">
        <f t="shared" si="50"/>
        <v>#REF!</v>
      </c>
      <c r="CY125" s="133" t="str">
        <f t="shared" si="51"/>
        <v>#REF!</v>
      </c>
      <c r="CZ125" s="133" t="str">
        <f t="shared" si="127"/>
        <v>#REF!</v>
      </c>
      <c r="DA125" s="134" t="str">
        <f t="shared" si="52"/>
        <v>#REF!</v>
      </c>
      <c r="DB125" s="134" t="str">
        <f t="shared" si="53"/>
        <v>#REF!</v>
      </c>
      <c r="DC125" s="135" t="str">
        <f>IF(ISNA(VLOOKUP(A125,'Données projet (1)'!$A$139:$I$159,5,0)),0%,VLOOKUP(A125,'Données projet (1)'!$A$139:$I$159,5,0)*VLOOKUP('Données projet (1)'!$B$13,'Paramètres (1)'!$A$1:$I$88,7,0))</f>
        <v>#REF!</v>
      </c>
      <c r="DD125" s="135" t="str">
        <f>IF(ISNA(VLOOKUP(A125,'Données projet (1)'!$A$139:$I$159,6,0)),0%,VLOOKUP(A125,'Données projet (1)'!$A$139:$I$159,6,0)*VLOOKUP('Données projet (1)'!$B$13,'Paramètres (1)'!$A$1:$I$88,7,0))</f>
        <v>#REF!</v>
      </c>
      <c r="DE125" s="135" t="str">
        <f t="shared" si="54"/>
        <v>#REF!</v>
      </c>
      <c r="DF125" s="142" t="str">
        <f>EXP(-LN(2)/35)*DF124+(1-EXP(-LN(2)/35))/(LN(2)/35)*DB125*DC125*VLOOKUP('Données projet (1)'!$B$13,'Paramètres (1)'!$A$1:$I$88,3,0)*0.475*44/12</f>
        <v>#REF!</v>
      </c>
      <c r="DG125" s="142" t="str">
        <f>EXP(-LN(2)/25)*DG124+(1-EXP(-LN(2)/25))/(LN(2)/25)*'Calculateur (1)'!DB125*'Calculateur (1)'!DD125*VLOOKUP('Données projet (1)'!$B$13,'Paramètres (1)'!$A$1:$I$88,3,0)*0.475*44/12</f>
        <v>#REF!</v>
      </c>
      <c r="DH125" s="142" t="str">
        <f>EXP(-LN(2)/2)*DH124+(1-EXP(-LN(2)/2))/(LN(2)/2)*DB125*DE125*VLOOKUP('Données projet (1)'!$B$13,'Paramètres (1)'!$A$1:$I$88,3,0)*0.475*44/12</f>
        <v>#REF!</v>
      </c>
      <c r="DI125" s="143" t="str">
        <f t="shared" si="55"/>
        <v>#REF!</v>
      </c>
      <c r="DJ125" s="139" t="str">
        <f t="shared" si="56"/>
        <v>#REF!</v>
      </c>
      <c r="DK125" s="131">
        <f t="shared" si="57"/>
        <v>10</v>
      </c>
      <c r="DL125" s="131" t="str">
        <f t="shared" si="128"/>
        <v>#REF!</v>
      </c>
      <c r="DM125" s="131" t="str">
        <f t="shared" si="58"/>
        <v>#REF!</v>
      </c>
      <c r="DN125" s="131" t="str">
        <f t="array" ref="DN125">INDEX(DM:DM,MIN(IF(ISNUMBER(DM125:DM321),ROW(DM125:DM321),"")))</f>
        <v/>
      </c>
      <c r="DO125" s="131" t="str">
        <f t="shared" si="129"/>
        <v>#REF!</v>
      </c>
      <c r="DP125" s="138" t="str">
        <f>DO125*VLOOKUP('Données projet (1)'!$B$14,'Paramètres (1)'!$A$1:$I$88,3,0)*VLOOKUP('Données projet (1)'!$B$14,'Paramètres (1)'!$A$1:$I$88,5,0)</f>
        <v>#REF!</v>
      </c>
      <c r="DQ125" s="130" t="str">
        <f t="shared" si="130"/>
        <v>#REF!</v>
      </c>
      <c r="DR125" s="141" t="str">
        <f t="shared" si="59"/>
        <v>#REF!</v>
      </c>
      <c r="DS125" s="133" t="str">
        <f t="shared" si="60"/>
        <v>#REF!</v>
      </c>
      <c r="DT125" s="133" t="str">
        <f t="shared" si="61"/>
        <v>#REF!</v>
      </c>
      <c r="DU125" s="133" t="str">
        <f t="shared" si="131"/>
        <v>#REF!</v>
      </c>
      <c r="DV125" s="134" t="str">
        <f t="shared" si="62"/>
        <v>#REF!</v>
      </c>
      <c r="DW125" s="134" t="str">
        <f t="shared" si="63"/>
        <v>#REF!</v>
      </c>
      <c r="DX125" s="135" t="str">
        <f>IF(ISNA(VLOOKUP(A125,'Données projet (1)'!$A$165:$I$185,5,0)),0%,VLOOKUP(A125,'Données projet (1)'!$A$165:$I$185,5,0)*VLOOKUP('Données projet (1)'!$B$14,'Paramètres (1)'!$A$1:$I$88,7,0))</f>
        <v>#REF!</v>
      </c>
      <c r="DY125" s="135" t="str">
        <f>IF(ISNA(VLOOKUP(A125,'Données projet (1)'!$A$165:$I$185,6,0)),0%,VLOOKUP(A125,'Données projet (1)'!$A$165:$I$185,6,0)*VLOOKUP('Données projet (1)'!$B$14,'Paramètres (1)'!$A$1:$I$88,7,0))</f>
        <v>#REF!</v>
      </c>
      <c r="DZ125" s="135" t="str">
        <f t="shared" si="64"/>
        <v>#REF!</v>
      </c>
      <c r="EA125" s="142" t="str">
        <f>EXP(-LN(2)/35)*EA124+(1-EXP(-LN(2)/35))/(LN(2)/35)*DW125*DX125*VLOOKUP('Données projet (1)'!$B$14,'Paramètres (1)'!$A$1:$I$88,3,0)*0.475*44/12</f>
        <v>#REF!</v>
      </c>
      <c r="EB125" s="142" t="str">
        <f>EXP(-LN(2)/25)*EB124+(1-EXP(-LN(2)/25))/(LN(2)/25)*'Calculateur (1)'!DW125*'Calculateur (1)'!DY125*VLOOKUP('Données projet (1)'!$B$14,'Paramètres (1)'!$A$1:$I$88,3,0)*0.475*44/12</f>
        <v>#REF!</v>
      </c>
      <c r="EC125" s="142" t="str">
        <f>EXP(-LN(2)/2)*EC124+(1-EXP(-LN(2)/2))/(LN(2)/2)*DW125*DZ125*VLOOKUP('Données projet (1)'!$B$14,'Paramètres (1)'!$A$1:$I$88,3,0)*0.475*44/12</f>
        <v>#REF!</v>
      </c>
      <c r="ED125" s="143" t="str">
        <f t="shared" si="65"/>
        <v>#REF!</v>
      </c>
      <c r="EE125" s="139" t="str">
        <f t="shared" si="66"/>
        <v>#REF!</v>
      </c>
      <c r="EF125" s="131">
        <f t="shared" si="67"/>
        <v>10</v>
      </c>
      <c r="EG125" s="131" t="str">
        <f t="shared" si="132"/>
        <v>#REF!</v>
      </c>
      <c r="EH125" s="131" t="str">
        <f t="shared" si="68"/>
        <v>#REF!</v>
      </c>
      <c r="EI125" s="131" t="str">
        <f t="array" ref="EI125">INDEX(EH:EH,MIN(IF(ISNUMBER(EH125:EH321),ROW(EH125:EH321),"")))</f>
        <v/>
      </c>
      <c r="EJ125" s="131" t="str">
        <f t="shared" si="133"/>
        <v>#REF!</v>
      </c>
      <c r="EK125" s="138" t="str">
        <f>EJ125*VLOOKUP('Données projet (1)'!$B$15,'Paramètres (1)'!$A$1:$I$88,3,0)*VLOOKUP('Données projet (1)'!$B$15,'Paramètres (1)'!$A$1:$I$88,5,0)</f>
        <v>#REF!</v>
      </c>
      <c r="EL125" s="130" t="str">
        <f t="shared" si="134"/>
        <v>#REF!</v>
      </c>
      <c r="EM125" s="141" t="str">
        <f t="shared" si="69"/>
        <v>#REF!</v>
      </c>
      <c r="EN125" s="133" t="str">
        <f t="shared" si="70"/>
        <v>#REF!</v>
      </c>
      <c r="EO125" s="133" t="str">
        <f t="shared" si="71"/>
        <v>#REF!</v>
      </c>
      <c r="EP125" s="133" t="str">
        <f t="shared" si="135"/>
        <v>#REF!</v>
      </c>
      <c r="EQ125" s="134" t="str">
        <f t="shared" si="72"/>
        <v>#REF!</v>
      </c>
      <c r="ER125" s="134" t="str">
        <f t="shared" si="73"/>
        <v>#REF!</v>
      </c>
      <c r="ES125" s="135" t="str">
        <f>IF(ISNA(VLOOKUP(A125,'Données projet (1)'!$A$191:$I$211,5,0)),0%,VLOOKUP(A125,'Données projet (1)'!$A$191:$I$211,5,0)*VLOOKUP('Données projet (1)'!$B$15,'Paramètres (1)'!$A$1:$I$88,7,0))</f>
        <v>#REF!</v>
      </c>
      <c r="ET125" s="135" t="str">
        <f>IF(ISNA(VLOOKUP(A125,'Données projet (1)'!$A$191:$I$211,6,0)),0%,VLOOKUP(A125,'Données projet (1)'!$A$191:$I$211,6,0)*VLOOKUP('Données projet (1)'!$B$15,'Paramètres (1)'!$A$1:$I$88,7,0))</f>
        <v>#REF!</v>
      </c>
      <c r="EU125" s="135" t="str">
        <f t="shared" si="74"/>
        <v>#REF!</v>
      </c>
      <c r="EV125" s="142" t="str">
        <f>EXP(-LN(2)/35)*EV124+(1-EXP(-LN(2)/35))/(LN(2)/35)*ER125*ES125*VLOOKUP('Données projet (1)'!$B$15,'Paramètres (1)'!$A$1:$I$88,3,0)*0.475*44/12</f>
        <v>#REF!</v>
      </c>
      <c r="EW125" s="142" t="str">
        <f>EXP(-LN(2)/25)*EW124+(1-EXP(-LN(2)/25))/(LN(2)/25)*'Calculateur (1)'!ER125*'Calculateur (1)'!ET125*VLOOKUP('Données projet (1)'!$B$15,'Paramètres (1)'!$A$1:$I$88,3,0)*0.475*44/12</f>
        <v>#REF!</v>
      </c>
      <c r="EX125" s="142" t="str">
        <f>EXP(-LN(2)/2)*EX124+(1-EXP(-LN(2)/2))/(LN(2)/2)*ER125*EU125*VLOOKUP('Données projet (1)'!$B$15,'Paramètres (1)'!$A$1:$I$88,3,0)*0.475*44/12</f>
        <v>#REF!</v>
      </c>
      <c r="EY125" s="143" t="str">
        <f t="shared" si="75"/>
        <v>#REF!</v>
      </c>
      <c r="EZ125" s="139" t="str">
        <f t="shared" si="76"/>
        <v>#REF!</v>
      </c>
      <c r="FA125" s="131">
        <f t="shared" si="77"/>
        <v>10</v>
      </c>
      <c r="FB125" s="131" t="str">
        <f t="shared" si="136"/>
        <v>#REF!</v>
      </c>
      <c r="FC125" s="131" t="str">
        <f t="shared" si="78"/>
        <v>#REF!</v>
      </c>
      <c r="FD125" s="131" t="str">
        <f t="array" ref="FD125">INDEX(FC:FC,MIN(IF(ISNUMBER(FC125:FC321),ROW(FC125:FC321),"")))</f>
        <v/>
      </c>
      <c r="FE125" s="131" t="str">
        <f t="shared" si="137"/>
        <v>#REF!</v>
      </c>
      <c r="FF125" s="138" t="str">
        <f>FE125*VLOOKUP('Données projet (1)'!$B$16,'Paramètres (1)'!$A$1:$I$88,3,0)*VLOOKUP('Données projet (1)'!$B$16,'Paramètres (1)'!$A$1:$I$88,5,0)</f>
        <v>#REF!</v>
      </c>
      <c r="FG125" s="130" t="str">
        <f t="shared" si="138"/>
        <v>#REF!</v>
      </c>
      <c r="FH125" s="141" t="str">
        <f t="shared" si="79"/>
        <v>#REF!</v>
      </c>
      <c r="FI125" s="133" t="str">
        <f t="shared" si="80"/>
        <v>#REF!</v>
      </c>
      <c r="FJ125" s="133" t="str">
        <f t="shared" si="81"/>
        <v>#REF!</v>
      </c>
      <c r="FK125" s="133" t="str">
        <f t="shared" si="139"/>
        <v>#REF!</v>
      </c>
      <c r="FL125" s="134" t="str">
        <f t="shared" si="82"/>
        <v>#REF!</v>
      </c>
      <c r="FM125" s="134" t="str">
        <f t="shared" si="83"/>
        <v>#REF!</v>
      </c>
      <c r="FN125" s="135" t="str">
        <f>IF(ISNA(VLOOKUP(A125,'Données projet (1)'!$A$217:$I$237,5,0)),0%,VLOOKUP(A125,'Données projet (1)'!$A$217:$I$237,5,0)*VLOOKUP('Données projet (1)'!$B$16,'Paramètres (1)'!$A$1:$I$88,7,0))</f>
        <v>#REF!</v>
      </c>
      <c r="FO125" s="135" t="str">
        <f>IF(ISNA(VLOOKUP(A125,'Données projet (1)'!$A$217:$I$237,6,0)),0%,VLOOKUP(A125,'Données projet (1)'!$A$217:$I$237,6,0)*VLOOKUP('Données projet (1)'!$B$16,'Paramètres (1)'!$A$1:$I$88,7,0))</f>
        <v>#REF!</v>
      </c>
      <c r="FP125" s="135" t="str">
        <f t="shared" si="84"/>
        <v>#REF!</v>
      </c>
      <c r="FQ125" s="142" t="str">
        <f>EXP(-LN(2)/35)*FQ124+(1-EXP(-LN(2)/35))/(LN(2)/35)*FM125*FN125*VLOOKUP('Données projet (1)'!$B$16,'Paramètres (1)'!$A$1:$I$88,3,0)*0.475*44/12</f>
        <v>#REF!</v>
      </c>
      <c r="FR125" s="142" t="str">
        <f>EXP(-LN(2)/25)*FR124+(1-EXP(-LN(2)/25))/(LN(2)/25)*'Calculateur (1)'!FM125*'Calculateur (1)'!FO125*VLOOKUP('Données projet (1)'!$B$16,'Paramètres (1)'!$A$1:$I$88,3,0)*0.475*44/12</f>
        <v>#REF!</v>
      </c>
      <c r="FS125" s="142" t="str">
        <f>EXP(-LN(2)/2)*FS124+(1-EXP(-LN(2)/2))/(LN(2)/2)*FM125*FP125*VLOOKUP('Données projet (1)'!$B$16,'Paramètres (1)'!$A$1:$I$88,3,0)*0.475*44/12</f>
        <v>#REF!</v>
      </c>
      <c r="FT125" s="143" t="str">
        <f t="shared" si="85"/>
        <v>#REF!</v>
      </c>
      <c r="FU125" s="139" t="str">
        <f t="shared" si="86"/>
        <v>#REF!</v>
      </c>
      <c r="FV125" s="131">
        <f t="shared" si="87"/>
        <v>10</v>
      </c>
      <c r="FW125" s="131" t="str">
        <f t="shared" si="140"/>
        <v>#REF!</v>
      </c>
      <c r="FX125" s="131" t="str">
        <f t="shared" si="88"/>
        <v>#REF!</v>
      </c>
      <c r="FY125" s="131" t="str">
        <f t="array" ref="FY125">INDEX(FX:FX,MIN(IF(ISNUMBER(FX125:FX321),ROW(FX125:FX321),"")))</f>
        <v/>
      </c>
      <c r="FZ125" s="131" t="str">
        <f t="shared" si="141"/>
        <v>#REF!</v>
      </c>
      <c r="GA125" s="138" t="str">
        <f>FZ125*VLOOKUP('Données projet (1)'!$B$17,'Paramètres (1)'!$A$1:$I$88,3,0)*VLOOKUP('Données projet (1)'!$B$17,'Paramètres (1)'!$A$1:$I$88,5,0)</f>
        <v>#REF!</v>
      </c>
      <c r="GB125" s="130" t="str">
        <f t="shared" si="142"/>
        <v>#REF!</v>
      </c>
      <c r="GC125" s="141" t="str">
        <f t="shared" si="89"/>
        <v>#REF!</v>
      </c>
      <c r="GD125" s="133" t="str">
        <f t="shared" si="90"/>
        <v>#REF!</v>
      </c>
      <c r="GE125" s="133" t="str">
        <f t="shared" si="91"/>
        <v>#REF!</v>
      </c>
      <c r="GF125" s="133" t="str">
        <f t="shared" si="143"/>
        <v>#REF!</v>
      </c>
      <c r="GG125" s="134" t="str">
        <f t="shared" si="92"/>
        <v>#REF!</v>
      </c>
      <c r="GH125" s="134" t="str">
        <f t="shared" si="93"/>
        <v>#REF!</v>
      </c>
      <c r="GI125" s="135" t="str">
        <f>IF(ISNA(VLOOKUP(A125,'Données projet (1)'!$A$243:$I$263,5,0)),0%,VLOOKUP(A125,'Données projet (1)'!$A$243:$I$263,5,0)*VLOOKUP('Données projet (1)'!$B$17,'Paramètres (1)'!$A$1:$I$88,7,0))</f>
        <v>#REF!</v>
      </c>
      <c r="GJ125" s="135" t="str">
        <f>IF(ISNA(VLOOKUP(A125,'Données projet (1)'!$A$243:$I$263,6,0)),0%,VLOOKUP(A125,'Données projet (1)'!$A$243:$I$263,6,0)*VLOOKUP('Données projet (1)'!$B$17,'Paramètres (1)'!$A$1:$I$88,7,0))</f>
        <v>#REF!</v>
      </c>
      <c r="GK125" s="135" t="str">
        <f t="shared" si="94"/>
        <v>#REF!</v>
      </c>
      <c r="GL125" s="142" t="str">
        <f>EXP(-LN(2)/35)*GL124+(1-EXP(-LN(2)/35))/(LN(2)/35)*GH125*GI125*VLOOKUP('Données projet (1)'!$B$17,'Paramètres (1)'!$A$1:$I$88,3,0)*0.475*44/12</f>
        <v>#REF!</v>
      </c>
      <c r="GM125" s="142" t="str">
        <f>EXP(-LN(2)/25)*GM124+(1-EXP(-LN(2)/25))/(LN(2)/25)*'Calculateur (1)'!GH125*'Calculateur (1)'!GJ125*VLOOKUP('Données projet (1)'!$B$17,'Paramètres (1)'!$A$1:$I$88,3,0)*0.475*44/12</f>
        <v>#REF!</v>
      </c>
      <c r="GN125" s="142" t="str">
        <f>EXP(-LN(2)/2)*GN124+(1-EXP(-LN(2)/2))/(LN(2)/2)*GH125*GK125*VLOOKUP('Données projet (1)'!$B$17,'Paramètres (1)'!$A$1:$I$88,3,0)*0.475*44/12</f>
        <v>#REF!</v>
      </c>
      <c r="GO125" s="142" t="str">
        <f t="shared" si="95"/>
        <v>#REF!</v>
      </c>
      <c r="GP125" s="139" t="str">
        <f t="shared" si="96"/>
        <v>#REF!</v>
      </c>
      <c r="GQ125" s="131">
        <f t="shared" si="97"/>
        <v>10</v>
      </c>
      <c r="GR125" s="131" t="str">
        <f t="shared" si="144"/>
        <v>#REF!</v>
      </c>
      <c r="GS125" s="131" t="str">
        <f t="shared" si="98"/>
        <v>#REF!</v>
      </c>
      <c r="GT125" s="131" t="str">
        <f t="array" ref="GT125">INDEX(GS:GS,MIN(IF(ISNUMBER(GS125:GS321),ROW(GS125:GS321),"")))</f>
        <v/>
      </c>
      <c r="GU125" s="131" t="str">
        <f t="shared" si="145"/>
        <v>#REF!</v>
      </c>
      <c r="GV125" s="138" t="str">
        <f>GU125*VLOOKUP('Données projet (1)'!$B$18,'Paramètres (1)'!$A$1:$I$88,3,0)*VLOOKUP('Données projet (1)'!$B$18,'Paramètres (1)'!$A$1:$I$88,5,0)</f>
        <v>#REF!</v>
      </c>
      <c r="GW125" s="130" t="str">
        <f t="shared" si="146"/>
        <v>#REF!</v>
      </c>
      <c r="GX125" s="141" t="str">
        <f t="shared" si="99"/>
        <v>#REF!</v>
      </c>
      <c r="GY125" s="133" t="str">
        <f t="shared" si="100"/>
        <v>#REF!</v>
      </c>
      <c r="GZ125" s="133" t="str">
        <f t="shared" si="101"/>
        <v>#REF!</v>
      </c>
      <c r="HA125" s="133" t="str">
        <f t="shared" si="147"/>
        <v>#REF!</v>
      </c>
      <c r="HB125" s="134" t="str">
        <f t="shared" si="102"/>
        <v>#REF!</v>
      </c>
      <c r="HC125" s="134" t="str">
        <f t="shared" si="103"/>
        <v>#REF!</v>
      </c>
      <c r="HD125" s="135" t="str">
        <f>IF(ISNA(VLOOKUP(A125,'Données projet (1)'!$A$269:$I$289,5,0)),0%,VLOOKUP(A125,'Données projet (1)'!$A$269:$I$289,5,0)*VLOOKUP('Données projet (1)'!$B$18,'Paramètres (1)'!$A$1:$I$88,7,0))</f>
        <v>#REF!</v>
      </c>
      <c r="HE125" s="135" t="str">
        <f>IF(ISNA(VLOOKUP(A125,'Données projet (1)'!$A$269:$I$289,6,0)),0%,VLOOKUP(A125,'Données projet (1)'!$A$269:$I$289,6,0)*VLOOKUP('Données projet (1)'!$B$18,'Paramètres (1)'!$A$1:$I$88,7,0))</f>
        <v>#REF!</v>
      </c>
      <c r="HF125" s="135" t="str">
        <f t="shared" si="104"/>
        <v>#REF!</v>
      </c>
      <c r="HG125" s="142" t="str">
        <f>EXP(-LN(2)/35)*HG124+(1-EXP(-LN(2)/35))/(LN(2)/35)*HC125*HD125*VLOOKUP('Données projet (1)'!$B$18,'Paramètres (1)'!$A$1:$I$88,3,0)*0.475*44/12</f>
        <v>#REF!</v>
      </c>
      <c r="HH125" s="142" t="str">
        <f>EXP(-LN(2)/25)*HH124+(1-EXP(-LN(2)/25))/(LN(2)/25)*'Calculateur (1)'!HC125*'Calculateur (1)'!HE125*VLOOKUP('Données projet (1)'!$B$18,'Paramètres (1)'!$A$1:$I$88,3,0)*0.475*44/12</f>
        <v>#REF!</v>
      </c>
      <c r="HI125" s="142" t="str">
        <f>EXP(-LN(2)/2)*HI124+(1-EXP(-LN(2)/2))/(LN(2)/2)*HC125*HF125*VLOOKUP('Données projet (1)'!$B$18,'Paramètres (1)'!$A$1:$I$88,3,0)*0.475*44/12</f>
        <v>#REF!</v>
      </c>
      <c r="HJ125" s="143" t="str">
        <f t="shared" si="105"/>
        <v>#REF!</v>
      </c>
    </row>
    <row r="126" ht="14.25" customHeight="1">
      <c r="A126" s="125">
        <f t="shared" si="106"/>
        <v>123</v>
      </c>
      <c r="B126" s="126" t="str">
        <f t="shared" si="1"/>
        <v>#REF!</v>
      </c>
      <c r="C126" s="140" t="str">
        <f>'Calculateur (1)'!C125+'Scénario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6" s="127">
        <f t="shared" si="107"/>
        <v>0</v>
      </c>
      <c r="E126" s="127" t="str">
        <f t="shared" si="2"/>
        <v>#REF!</v>
      </c>
      <c r="F126" s="127" t="str">
        <f t="shared" si="3"/>
        <v>#REF!</v>
      </c>
      <c r="G126" s="127" t="str">
        <f t="shared" si="4"/>
        <v>#REF!</v>
      </c>
      <c r="H126" s="128" t="str">
        <f t="shared" si="5"/>
        <v>#REF!</v>
      </c>
      <c r="I126" s="129" t="str">
        <f t="shared" si="6"/>
        <v>#REF!</v>
      </c>
      <c r="J126" s="130">
        <f t="shared" si="7"/>
        <v>10</v>
      </c>
      <c r="K126" s="131" t="str">
        <f t="shared" si="108"/>
        <v>#REF!</v>
      </c>
      <c r="L126" s="131" t="str">
        <f t="shared" si="8"/>
        <v>#REF!</v>
      </c>
      <c r="M126" s="131" t="str">
        <f t="array" ref="M126">INDEX(L:L,MIN(IF(ISNUMBER(L126:L322),ROW(L126:L322),"")))</f>
        <v/>
      </c>
      <c r="N126" s="130" t="str">
        <f t="shared" si="109"/>
        <v>#REF!</v>
      </c>
      <c r="O126" s="130" t="str">
        <f>N126*VLOOKUP('Données projet (1)'!$B$9,'Paramètres (1)'!$A$1:$I$88,3,0)*VLOOKUP('Données projet (1)'!$B$9,'Paramètres (1)'!$A$1:$I$88,5,0)</f>
        <v>#REF!</v>
      </c>
      <c r="P126" s="130" t="str">
        <f t="shared" si="110"/>
        <v>#REF!</v>
      </c>
      <c r="Q126" s="141" t="str">
        <f t="shared" si="9"/>
        <v>#REF!</v>
      </c>
      <c r="R126" s="133" t="str">
        <f t="shared" si="10"/>
        <v>#REF!</v>
      </c>
      <c r="S126" s="133" t="str">
        <f t="shared" si="11"/>
        <v>#REF!</v>
      </c>
      <c r="T126" s="133" t="str">
        <f t="shared" si="111"/>
        <v>#REF!</v>
      </c>
      <c r="U126" s="134" t="str">
        <f t="shared" si="12"/>
        <v>#REF!</v>
      </c>
      <c r="V126" s="134" t="str">
        <f t="shared" si="13"/>
        <v>#REF!</v>
      </c>
      <c r="W126" s="135" t="str">
        <f>IF(ISNA(VLOOKUP(A126,'Données projet (1)'!$A$35:$I$55,5,0)),0%,VLOOKUP(A126,'Données projet (1)'!$A$35:$I$55,5,0)*VLOOKUP('Données projet (1)'!$B$9,'Paramètres (1)'!$A$1:$I$88,7,0))</f>
        <v>#REF!</v>
      </c>
      <c r="X126" s="135" t="str">
        <f>IF(ISNA(VLOOKUP(A126,'Données projet (1)'!$A$35:$I$55,6,0)),0%,VLOOKUP(A126,'Données projet (1)'!$A$35:$I$55,6,0)*VLOOKUP('Données projet (1)'!$B$9,'Paramètres (1)'!$A$1:$I$88,7,0))</f>
        <v>#REF!</v>
      </c>
      <c r="Y126" s="135" t="str">
        <f t="shared" si="14"/>
        <v>#REF!</v>
      </c>
      <c r="Z126" s="142" t="str">
        <f>EXP(-LN(2)/35)*Z125+(1-EXP(-LN(2)/35))/(LN(2)/35)*V126*W126*VLOOKUP('Données projet (1)'!$B$9,'Paramètres (1)'!$A$1:$I$88,3,0)*0.475*44/12</f>
        <v>#REF!</v>
      </c>
      <c r="AA126" s="142" t="str">
        <f>EXP(-LN(2)/25)*AA125+(1-EXP(-LN(2)/25))/(LN(2)/25)*'Calculateur (1)'!V126*'Calculateur (1)'!X126*VLOOKUP('Données projet (1)'!$B$9,'Paramètres (1)'!$A$1:$I$88,3,0)*0.475*44/12</f>
        <v>#REF!</v>
      </c>
      <c r="AB126" s="142" t="str">
        <f>EXP(-LN(2)/2)*AB125+(1-EXP(-LN(2)/2))/(LN(2)/2)*V126*Y126*VLOOKUP('Données projet (1)'!$B$9,'Paramètres (1)'!$A$1:$I$88,3,0)*0.475*44/12</f>
        <v>#REF!</v>
      </c>
      <c r="AC126" s="143" t="str">
        <f t="shared" si="15"/>
        <v>#REF!</v>
      </c>
      <c r="AD126" s="130" t="str">
        <f t="shared" si="16"/>
        <v>#REF!</v>
      </c>
      <c r="AE126" s="130">
        <f t="shared" si="17"/>
        <v>10</v>
      </c>
      <c r="AF126" s="131" t="str">
        <f t="shared" si="112"/>
        <v>#REF!</v>
      </c>
      <c r="AG126" s="131" t="str">
        <f t="shared" si="18"/>
        <v>#REF!</v>
      </c>
      <c r="AH126" s="131" t="str">
        <f t="array" ref="AH126">INDEX(AG:AG,MIN(IF(ISNUMBER(AG126:AG322),ROW(AG126:AG322),"")))</f>
        <v/>
      </c>
      <c r="AI126" s="130" t="str">
        <f t="shared" si="113"/>
        <v>#REF!</v>
      </c>
      <c r="AJ126" s="130" t="str">
        <f>AI126*VLOOKUP('Données projet (1)'!$B$10,'Paramètres (1)'!$A$1:$I$88,3,0)*VLOOKUP('Données projet (1)'!$B$10,'Paramètres (1)'!$A$1:$I$88,5,0)</f>
        <v>#REF!</v>
      </c>
      <c r="AK126" s="130" t="str">
        <f t="shared" si="114"/>
        <v>#REF!</v>
      </c>
      <c r="AL126" s="141" t="str">
        <f t="shared" si="19"/>
        <v>#REF!</v>
      </c>
      <c r="AM126" s="133" t="str">
        <f t="shared" si="20"/>
        <v>#REF!</v>
      </c>
      <c r="AN126" s="133" t="str">
        <f t="shared" si="21"/>
        <v>#REF!</v>
      </c>
      <c r="AO126" s="133" t="str">
        <f t="shared" si="115"/>
        <v>#REF!</v>
      </c>
      <c r="AP126" s="134" t="str">
        <f t="shared" si="22"/>
        <v>#REF!</v>
      </c>
      <c r="AQ126" s="134" t="str">
        <f t="shared" si="23"/>
        <v>#REF!</v>
      </c>
      <c r="AR126" s="135" t="str">
        <f>IF(ISNA(VLOOKUP(A126,'Données projet (1)'!$A$61:$I$81,5,0)),0%,VLOOKUP(A126,'Données projet (1)'!$A$61:$I$81,5,0)*VLOOKUP('Données projet (1)'!$B$10,'Paramètres (1)'!$A$1:$I$88,7,0))</f>
        <v>#REF!</v>
      </c>
      <c r="AS126" s="135" t="str">
        <f>IF(ISNA(VLOOKUP(A126,'Données projet (1)'!$A$61:$I$81,6,0)),0%,VLOOKUP(A126,'Données projet (1)'!$A$61:$I$81,6,0)*VLOOKUP('Données projet (1)'!$B$10,'Paramètres (1)'!$A$1:$I$88,7,0))</f>
        <v>#REF!</v>
      </c>
      <c r="AT126" s="135" t="str">
        <f t="shared" si="24"/>
        <v>#REF!</v>
      </c>
      <c r="AU126" s="142" t="str">
        <f>EXP(-LN(2)/35)*AU125+(1-EXP(-LN(2)/35))/(LN(2)/35)*AQ126*AR126*VLOOKUP('Données projet (1)'!$B$10,'Paramètres (1)'!$A$1:$I$88,3,0)*0.475*44/12</f>
        <v>#REF!</v>
      </c>
      <c r="AV126" s="142" t="str">
        <f>EXP(-LN(2)/25)*AV125+(1-EXP(-LN(2)/25))/(LN(2)/25)*'Calculateur (1)'!AQ126*'Calculateur (1)'!AS126*VLOOKUP('Données projet (1)'!$B$10,'Paramètres (1)'!$A$1:$I$88,3,0)*0.475*44/12</f>
        <v>#REF!</v>
      </c>
      <c r="AW126" s="142" t="str">
        <f>EXP(-LN(2)/2)*AW125+(1-EXP(-LN(2)/2))/(LN(2)/2)*AQ126*AT126*VLOOKUP('Données projet (1)'!$B$10,'Paramètres (1)'!$A$1:$I$88,3,0)*0.475*44/12</f>
        <v>#REF!</v>
      </c>
      <c r="AX126" s="142" t="str">
        <f t="shared" si="25"/>
        <v>#REF!</v>
      </c>
      <c r="AY126" s="137" t="str">
        <f t="shared" si="26"/>
        <v>#REF!</v>
      </c>
      <c r="AZ126" s="131">
        <f t="shared" si="27"/>
        <v>10</v>
      </c>
      <c r="BA126" s="131" t="str">
        <f t="shared" si="116"/>
        <v>#REF!</v>
      </c>
      <c r="BB126" s="131" t="str">
        <f t="shared" si="28"/>
        <v>#REF!</v>
      </c>
      <c r="BC126" s="131" t="str">
        <f t="array" ref="BC126">INDEX(BB:BB,MIN(IF(ISNUMBER(BB126:BB322),ROW(BB126:BB322),"")))</f>
        <v/>
      </c>
      <c r="BD126" s="131" t="str">
        <f t="shared" si="117"/>
        <v>#REF!</v>
      </c>
      <c r="BE126" s="130" t="str">
        <f>BD126*VLOOKUP('Données projet (1)'!$B$11,'Paramètres (1)'!$A$1:$I$88,3,0)*VLOOKUP('Données projet (1)'!$B$11,'Paramètres (1)'!$A$1:$I$88,5,0)</f>
        <v>#REF!</v>
      </c>
      <c r="BF126" s="130" t="str">
        <f t="shared" si="118"/>
        <v>#REF!</v>
      </c>
      <c r="BG126" s="141" t="str">
        <f t="shared" si="29"/>
        <v>#REF!</v>
      </c>
      <c r="BH126" s="133" t="str">
        <f t="shared" si="30"/>
        <v>#REF!</v>
      </c>
      <c r="BI126" s="133" t="str">
        <f t="shared" si="31"/>
        <v>#REF!</v>
      </c>
      <c r="BJ126" s="133" t="str">
        <f t="shared" si="119"/>
        <v>#REF!</v>
      </c>
      <c r="BK126" s="134" t="str">
        <f t="shared" si="32"/>
        <v>#REF!</v>
      </c>
      <c r="BL126" s="134" t="str">
        <f t="shared" si="33"/>
        <v>#REF!</v>
      </c>
      <c r="BM126" s="135" t="str">
        <f>IF(ISNA(VLOOKUP(A126,'Données projet (1)'!$A$87:$I$107,5,0)),0%,VLOOKUP(A126,'Données projet (1)'!$A$87:$I$107,5,0)*VLOOKUP('Données projet (1)'!$B$11,'Paramètres (1)'!$A$1:$I$88,7,0))</f>
        <v>#REF!</v>
      </c>
      <c r="BN126" s="135" t="str">
        <f>IF(ISNA(VLOOKUP(A126,'Données projet (1)'!$A$87:$I$107,6,0)),0%,VLOOKUP(A126,'Données projet (1)'!$A$87:$I$107,6,0)*VLOOKUP('Données projet (1)'!$B$11,'Paramètres (1)'!$A$1:$I$88,7,0))</f>
        <v>#REF!</v>
      </c>
      <c r="BO126" s="135" t="str">
        <f t="shared" si="34"/>
        <v>#REF!</v>
      </c>
      <c r="BP126" s="142" t="str">
        <f>EXP(-LN(2)/35)*BP125+(1-EXP(-LN(2)/35))/(LN(2)/35)*BL126*BM126*VLOOKUP('Données projet (1)'!$B$11,'Paramètres (1)'!$A$1:$I$88,3,0)*0.475*44/12</f>
        <v>#REF!</v>
      </c>
      <c r="BQ126" s="142" t="str">
        <f>EXP(-LN(2)/25)*BQ125+(1-EXP(-LN(2)/25))/(LN(2)/25)*'Calculateur (1)'!BL126*'Calculateur (1)'!BN126*VLOOKUP('Données projet (1)'!$B$11,'Paramètres (1)'!$A$1:$I$88,3,0)*0.475*44/12</f>
        <v>#REF!</v>
      </c>
      <c r="BR126" s="142" t="str">
        <f>EXP(-LN(2)/2)*BR125+(1-EXP(-LN(2)/2))/(LN(2)/2)*BL126*BO126*VLOOKUP('Données projet (1)'!$B$11,'Paramètres (1)'!$A$1:$I$88,3,0)*0.475*44/12</f>
        <v>#REF!</v>
      </c>
      <c r="BS126" s="143" t="str">
        <f t="shared" si="35"/>
        <v>#REF!</v>
      </c>
      <c r="BT126" s="139" t="str">
        <f t="shared" si="36"/>
        <v>#REF!</v>
      </c>
      <c r="BU126" s="131">
        <f t="shared" si="37"/>
        <v>10</v>
      </c>
      <c r="BV126" s="131" t="str">
        <f t="shared" si="120"/>
        <v>#REF!</v>
      </c>
      <c r="BW126" s="131" t="str">
        <f t="shared" si="38"/>
        <v>#REF!</v>
      </c>
      <c r="BX126" s="131" t="str">
        <f t="array" ref="BX126">INDEX(BW:BW,MIN(IF(ISNUMBER(BW126:BW322),ROW(BW126:BW322),"")))</f>
        <v/>
      </c>
      <c r="BY126" s="131" t="str">
        <f t="shared" si="121"/>
        <v>#REF!</v>
      </c>
      <c r="BZ126" s="130" t="str">
        <f>BY126*VLOOKUP('Données projet (1)'!$B$12,'Paramètres (1)'!$A$1:$I$88,3,0)*VLOOKUP('Données projet (1)'!$B$12,'Paramètres (1)'!$A$1:$I$88,5,0)</f>
        <v>#REF!</v>
      </c>
      <c r="CA126" s="130" t="str">
        <f t="shared" si="122"/>
        <v>#REF!</v>
      </c>
      <c r="CB126" s="141" t="str">
        <f t="shared" si="39"/>
        <v>#REF!</v>
      </c>
      <c r="CC126" s="133" t="str">
        <f t="shared" si="40"/>
        <v>#REF!</v>
      </c>
      <c r="CD126" s="133" t="str">
        <f t="shared" si="41"/>
        <v>#REF!</v>
      </c>
      <c r="CE126" s="133" t="str">
        <f t="shared" si="123"/>
        <v>#REF!</v>
      </c>
      <c r="CF126" s="134" t="str">
        <f t="shared" si="42"/>
        <v>#REF!</v>
      </c>
      <c r="CG126" s="134" t="str">
        <f t="shared" si="43"/>
        <v>#REF!</v>
      </c>
      <c r="CH126" s="135" t="str">
        <f>IF(ISNA(VLOOKUP(A126,'Données projet (1)'!$A$113:$I$133,5,0)),0%,VLOOKUP(A126,'Données projet (1)'!$A$113:$I$133,5,0)*VLOOKUP('Données projet (1)'!$B$12,'Paramètres (1)'!$A$1:$I$88,7,0))</f>
        <v>#REF!</v>
      </c>
      <c r="CI126" s="135" t="str">
        <f>IF(ISNA(VLOOKUP(A126,'Données projet (1)'!$A$113:$I$133,6,0)),0%,VLOOKUP(A126,'Données projet (1)'!$A$113:$I$133,6,0)*VLOOKUP('Données projet (1)'!$B$12,'Paramètres (1)'!$A$1:$I$88,7,0))</f>
        <v>#REF!</v>
      </c>
      <c r="CJ126" s="135" t="str">
        <f t="shared" si="44"/>
        <v>#REF!</v>
      </c>
      <c r="CK126" s="142" t="str">
        <f>EXP(-LN(2)/35)*CK125+(1-EXP(-LN(2)/35))/(LN(2)/35)*CG126*CH126*VLOOKUP('Données projet (1)'!$B$12,'Paramètres (1)'!$A$1:$I$88,3,0)*0.475*44/12</f>
        <v>#REF!</v>
      </c>
      <c r="CL126" s="142" t="str">
        <f>EXP(-LN(2)/25)*CL125+(1-EXP(-LN(2)/25))/(LN(2)/25)*'Calculateur (1)'!CG126*'Calculateur (1)'!CI126*VLOOKUP('Données projet (1)'!$B$12,'Paramètres (1)'!$A$1:$I$88,3,0)*0.475*44/12</f>
        <v>#REF!</v>
      </c>
      <c r="CM126" s="142" t="str">
        <f>EXP(-LN(2)/2)*CM125+(1-EXP(-LN(2)/2))/(LN(2)/2)*CG126*CJ126*VLOOKUP('Données projet (1)'!$B$12,'Paramètres (1)'!$A$1:$I$88,3,0)*0.475*44/12</f>
        <v>#REF!</v>
      </c>
      <c r="CN126" s="143" t="str">
        <f t="shared" si="45"/>
        <v>#REF!</v>
      </c>
      <c r="CO126" s="139" t="str">
        <f t="shared" si="46"/>
        <v>#REF!</v>
      </c>
      <c r="CP126" s="131">
        <f t="shared" si="47"/>
        <v>10</v>
      </c>
      <c r="CQ126" s="131" t="str">
        <f t="shared" si="124"/>
        <v>#REF!</v>
      </c>
      <c r="CR126" s="131" t="str">
        <f t="shared" si="48"/>
        <v>#REF!</v>
      </c>
      <c r="CS126" s="131" t="str">
        <f t="array" ref="CS126">INDEX(CR:CR,MIN(IF(ISNUMBER(CR126:CR322),ROW(CR126:CR322),"")))</f>
        <v/>
      </c>
      <c r="CT126" s="131" t="str">
        <f t="shared" si="125"/>
        <v>#REF!</v>
      </c>
      <c r="CU126" s="138" t="str">
        <f>CT126*VLOOKUP('Données projet (1)'!$B$13,'Paramètres (1)'!$A$1:$I$88,3,0)*VLOOKUP('Données projet (1)'!$B$13,'Paramètres (1)'!$A$1:$I$88,5,0)</f>
        <v>#REF!</v>
      </c>
      <c r="CV126" s="130" t="str">
        <f t="shared" si="126"/>
        <v>#REF!</v>
      </c>
      <c r="CW126" s="141" t="str">
        <f t="shared" si="49"/>
        <v>#REF!</v>
      </c>
      <c r="CX126" s="133" t="str">
        <f t="shared" si="50"/>
        <v>#REF!</v>
      </c>
      <c r="CY126" s="133" t="str">
        <f t="shared" si="51"/>
        <v>#REF!</v>
      </c>
      <c r="CZ126" s="133" t="str">
        <f t="shared" si="127"/>
        <v>#REF!</v>
      </c>
      <c r="DA126" s="134" t="str">
        <f t="shared" si="52"/>
        <v>#REF!</v>
      </c>
      <c r="DB126" s="134" t="str">
        <f t="shared" si="53"/>
        <v>#REF!</v>
      </c>
      <c r="DC126" s="135" t="str">
        <f>IF(ISNA(VLOOKUP(A126,'Données projet (1)'!$A$139:$I$159,5,0)),0%,VLOOKUP(A126,'Données projet (1)'!$A$139:$I$159,5,0)*VLOOKUP('Données projet (1)'!$B$13,'Paramètres (1)'!$A$1:$I$88,7,0))</f>
        <v>#REF!</v>
      </c>
      <c r="DD126" s="135" t="str">
        <f>IF(ISNA(VLOOKUP(A126,'Données projet (1)'!$A$139:$I$159,6,0)),0%,VLOOKUP(A126,'Données projet (1)'!$A$139:$I$159,6,0)*VLOOKUP('Données projet (1)'!$B$13,'Paramètres (1)'!$A$1:$I$88,7,0))</f>
        <v>#REF!</v>
      </c>
      <c r="DE126" s="135" t="str">
        <f t="shared" si="54"/>
        <v>#REF!</v>
      </c>
      <c r="DF126" s="142" t="str">
        <f>EXP(-LN(2)/35)*DF125+(1-EXP(-LN(2)/35))/(LN(2)/35)*DB126*DC126*VLOOKUP('Données projet (1)'!$B$13,'Paramètres (1)'!$A$1:$I$88,3,0)*0.475*44/12</f>
        <v>#REF!</v>
      </c>
      <c r="DG126" s="142" t="str">
        <f>EXP(-LN(2)/25)*DG125+(1-EXP(-LN(2)/25))/(LN(2)/25)*'Calculateur (1)'!DB126*'Calculateur (1)'!DD126*VLOOKUP('Données projet (1)'!$B$13,'Paramètres (1)'!$A$1:$I$88,3,0)*0.475*44/12</f>
        <v>#REF!</v>
      </c>
      <c r="DH126" s="142" t="str">
        <f>EXP(-LN(2)/2)*DH125+(1-EXP(-LN(2)/2))/(LN(2)/2)*DB126*DE126*VLOOKUP('Données projet (1)'!$B$13,'Paramètres (1)'!$A$1:$I$88,3,0)*0.475*44/12</f>
        <v>#REF!</v>
      </c>
      <c r="DI126" s="143" t="str">
        <f t="shared" si="55"/>
        <v>#REF!</v>
      </c>
      <c r="DJ126" s="139" t="str">
        <f t="shared" si="56"/>
        <v>#REF!</v>
      </c>
      <c r="DK126" s="131">
        <f t="shared" si="57"/>
        <v>10</v>
      </c>
      <c r="DL126" s="131" t="str">
        <f t="shared" si="128"/>
        <v>#REF!</v>
      </c>
      <c r="DM126" s="131" t="str">
        <f t="shared" si="58"/>
        <v>#REF!</v>
      </c>
      <c r="DN126" s="131" t="str">
        <f t="array" ref="DN126">INDEX(DM:DM,MIN(IF(ISNUMBER(DM126:DM322),ROW(DM126:DM322),"")))</f>
        <v/>
      </c>
      <c r="DO126" s="131" t="str">
        <f t="shared" si="129"/>
        <v>#REF!</v>
      </c>
      <c r="DP126" s="138" t="str">
        <f>DO126*VLOOKUP('Données projet (1)'!$B$14,'Paramètres (1)'!$A$1:$I$88,3,0)*VLOOKUP('Données projet (1)'!$B$14,'Paramètres (1)'!$A$1:$I$88,5,0)</f>
        <v>#REF!</v>
      </c>
      <c r="DQ126" s="130" t="str">
        <f t="shared" si="130"/>
        <v>#REF!</v>
      </c>
      <c r="DR126" s="141" t="str">
        <f t="shared" si="59"/>
        <v>#REF!</v>
      </c>
      <c r="DS126" s="133" t="str">
        <f t="shared" si="60"/>
        <v>#REF!</v>
      </c>
      <c r="DT126" s="133" t="str">
        <f t="shared" si="61"/>
        <v>#REF!</v>
      </c>
      <c r="DU126" s="133" t="str">
        <f t="shared" si="131"/>
        <v>#REF!</v>
      </c>
      <c r="DV126" s="134" t="str">
        <f t="shared" si="62"/>
        <v>#REF!</v>
      </c>
      <c r="DW126" s="134" t="str">
        <f t="shared" si="63"/>
        <v>#REF!</v>
      </c>
      <c r="DX126" s="135" t="str">
        <f>IF(ISNA(VLOOKUP(A126,'Données projet (1)'!$A$165:$I$185,5,0)),0%,VLOOKUP(A126,'Données projet (1)'!$A$165:$I$185,5,0)*VLOOKUP('Données projet (1)'!$B$14,'Paramètres (1)'!$A$1:$I$88,7,0))</f>
        <v>#REF!</v>
      </c>
      <c r="DY126" s="135" t="str">
        <f>IF(ISNA(VLOOKUP(A126,'Données projet (1)'!$A$165:$I$185,6,0)),0%,VLOOKUP(A126,'Données projet (1)'!$A$165:$I$185,6,0)*VLOOKUP('Données projet (1)'!$B$14,'Paramètres (1)'!$A$1:$I$88,7,0))</f>
        <v>#REF!</v>
      </c>
      <c r="DZ126" s="135" t="str">
        <f t="shared" si="64"/>
        <v>#REF!</v>
      </c>
      <c r="EA126" s="142" t="str">
        <f>EXP(-LN(2)/35)*EA125+(1-EXP(-LN(2)/35))/(LN(2)/35)*DW126*DX126*VLOOKUP('Données projet (1)'!$B$14,'Paramètres (1)'!$A$1:$I$88,3,0)*0.475*44/12</f>
        <v>#REF!</v>
      </c>
      <c r="EB126" s="142" t="str">
        <f>EXP(-LN(2)/25)*EB125+(1-EXP(-LN(2)/25))/(LN(2)/25)*'Calculateur (1)'!DW126*'Calculateur (1)'!DY126*VLOOKUP('Données projet (1)'!$B$14,'Paramètres (1)'!$A$1:$I$88,3,0)*0.475*44/12</f>
        <v>#REF!</v>
      </c>
      <c r="EC126" s="142" t="str">
        <f>EXP(-LN(2)/2)*EC125+(1-EXP(-LN(2)/2))/(LN(2)/2)*DW126*DZ126*VLOOKUP('Données projet (1)'!$B$14,'Paramètres (1)'!$A$1:$I$88,3,0)*0.475*44/12</f>
        <v>#REF!</v>
      </c>
      <c r="ED126" s="143" t="str">
        <f t="shared" si="65"/>
        <v>#REF!</v>
      </c>
      <c r="EE126" s="139" t="str">
        <f t="shared" si="66"/>
        <v>#REF!</v>
      </c>
      <c r="EF126" s="131">
        <f t="shared" si="67"/>
        <v>10</v>
      </c>
      <c r="EG126" s="131" t="str">
        <f t="shared" si="132"/>
        <v>#REF!</v>
      </c>
      <c r="EH126" s="131" t="str">
        <f t="shared" si="68"/>
        <v>#REF!</v>
      </c>
      <c r="EI126" s="131" t="str">
        <f t="array" ref="EI126">INDEX(EH:EH,MIN(IF(ISNUMBER(EH126:EH322),ROW(EH126:EH322),"")))</f>
        <v/>
      </c>
      <c r="EJ126" s="131" t="str">
        <f t="shared" si="133"/>
        <v>#REF!</v>
      </c>
      <c r="EK126" s="138" t="str">
        <f>EJ126*VLOOKUP('Données projet (1)'!$B$15,'Paramètres (1)'!$A$1:$I$88,3,0)*VLOOKUP('Données projet (1)'!$B$15,'Paramètres (1)'!$A$1:$I$88,5,0)</f>
        <v>#REF!</v>
      </c>
      <c r="EL126" s="130" t="str">
        <f t="shared" si="134"/>
        <v>#REF!</v>
      </c>
      <c r="EM126" s="141" t="str">
        <f t="shared" si="69"/>
        <v>#REF!</v>
      </c>
      <c r="EN126" s="133" t="str">
        <f t="shared" si="70"/>
        <v>#REF!</v>
      </c>
      <c r="EO126" s="133" t="str">
        <f t="shared" si="71"/>
        <v>#REF!</v>
      </c>
      <c r="EP126" s="133" t="str">
        <f t="shared" si="135"/>
        <v>#REF!</v>
      </c>
      <c r="EQ126" s="134" t="str">
        <f t="shared" si="72"/>
        <v>#REF!</v>
      </c>
      <c r="ER126" s="134" t="str">
        <f t="shared" si="73"/>
        <v>#REF!</v>
      </c>
      <c r="ES126" s="135" t="str">
        <f>IF(ISNA(VLOOKUP(A126,'Données projet (1)'!$A$191:$I$211,5,0)),0%,VLOOKUP(A126,'Données projet (1)'!$A$191:$I$211,5,0)*VLOOKUP('Données projet (1)'!$B$15,'Paramètres (1)'!$A$1:$I$88,7,0))</f>
        <v>#REF!</v>
      </c>
      <c r="ET126" s="135" t="str">
        <f>IF(ISNA(VLOOKUP(A126,'Données projet (1)'!$A$191:$I$211,6,0)),0%,VLOOKUP(A126,'Données projet (1)'!$A$191:$I$211,6,0)*VLOOKUP('Données projet (1)'!$B$15,'Paramètres (1)'!$A$1:$I$88,7,0))</f>
        <v>#REF!</v>
      </c>
      <c r="EU126" s="135" t="str">
        <f t="shared" si="74"/>
        <v>#REF!</v>
      </c>
      <c r="EV126" s="142" t="str">
        <f>EXP(-LN(2)/35)*EV125+(1-EXP(-LN(2)/35))/(LN(2)/35)*ER126*ES126*VLOOKUP('Données projet (1)'!$B$15,'Paramètres (1)'!$A$1:$I$88,3,0)*0.475*44/12</f>
        <v>#REF!</v>
      </c>
      <c r="EW126" s="142" t="str">
        <f>EXP(-LN(2)/25)*EW125+(1-EXP(-LN(2)/25))/(LN(2)/25)*'Calculateur (1)'!ER126*'Calculateur (1)'!ET126*VLOOKUP('Données projet (1)'!$B$15,'Paramètres (1)'!$A$1:$I$88,3,0)*0.475*44/12</f>
        <v>#REF!</v>
      </c>
      <c r="EX126" s="142" t="str">
        <f>EXP(-LN(2)/2)*EX125+(1-EXP(-LN(2)/2))/(LN(2)/2)*ER126*EU126*VLOOKUP('Données projet (1)'!$B$15,'Paramètres (1)'!$A$1:$I$88,3,0)*0.475*44/12</f>
        <v>#REF!</v>
      </c>
      <c r="EY126" s="143" t="str">
        <f t="shared" si="75"/>
        <v>#REF!</v>
      </c>
      <c r="EZ126" s="139" t="str">
        <f t="shared" si="76"/>
        <v>#REF!</v>
      </c>
      <c r="FA126" s="131">
        <f t="shared" si="77"/>
        <v>10</v>
      </c>
      <c r="FB126" s="131" t="str">
        <f t="shared" si="136"/>
        <v>#REF!</v>
      </c>
      <c r="FC126" s="131" t="str">
        <f t="shared" si="78"/>
        <v>#REF!</v>
      </c>
      <c r="FD126" s="131" t="str">
        <f t="array" ref="FD126">INDEX(FC:FC,MIN(IF(ISNUMBER(FC126:FC322),ROW(FC126:FC322),"")))</f>
        <v/>
      </c>
      <c r="FE126" s="131" t="str">
        <f t="shared" si="137"/>
        <v>#REF!</v>
      </c>
      <c r="FF126" s="138" t="str">
        <f>FE126*VLOOKUP('Données projet (1)'!$B$16,'Paramètres (1)'!$A$1:$I$88,3,0)*VLOOKUP('Données projet (1)'!$B$16,'Paramètres (1)'!$A$1:$I$88,5,0)</f>
        <v>#REF!</v>
      </c>
      <c r="FG126" s="130" t="str">
        <f t="shared" si="138"/>
        <v>#REF!</v>
      </c>
      <c r="FH126" s="141" t="str">
        <f t="shared" si="79"/>
        <v>#REF!</v>
      </c>
      <c r="FI126" s="133" t="str">
        <f t="shared" si="80"/>
        <v>#REF!</v>
      </c>
      <c r="FJ126" s="133" t="str">
        <f t="shared" si="81"/>
        <v>#REF!</v>
      </c>
      <c r="FK126" s="133" t="str">
        <f t="shared" si="139"/>
        <v>#REF!</v>
      </c>
      <c r="FL126" s="134" t="str">
        <f t="shared" si="82"/>
        <v>#REF!</v>
      </c>
      <c r="FM126" s="134" t="str">
        <f t="shared" si="83"/>
        <v>#REF!</v>
      </c>
      <c r="FN126" s="135" t="str">
        <f>IF(ISNA(VLOOKUP(A126,'Données projet (1)'!$A$217:$I$237,5,0)),0%,VLOOKUP(A126,'Données projet (1)'!$A$217:$I$237,5,0)*VLOOKUP('Données projet (1)'!$B$16,'Paramètres (1)'!$A$1:$I$88,7,0))</f>
        <v>#REF!</v>
      </c>
      <c r="FO126" s="135" t="str">
        <f>IF(ISNA(VLOOKUP(A126,'Données projet (1)'!$A$217:$I$237,6,0)),0%,VLOOKUP(A126,'Données projet (1)'!$A$217:$I$237,6,0)*VLOOKUP('Données projet (1)'!$B$16,'Paramètres (1)'!$A$1:$I$88,7,0))</f>
        <v>#REF!</v>
      </c>
      <c r="FP126" s="135" t="str">
        <f t="shared" si="84"/>
        <v>#REF!</v>
      </c>
      <c r="FQ126" s="142" t="str">
        <f>EXP(-LN(2)/35)*FQ125+(1-EXP(-LN(2)/35))/(LN(2)/35)*FM126*FN126*VLOOKUP('Données projet (1)'!$B$16,'Paramètres (1)'!$A$1:$I$88,3,0)*0.475*44/12</f>
        <v>#REF!</v>
      </c>
      <c r="FR126" s="142" t="str">
        <f>EXP(-LN(2)/25)*FR125+(1-EXP(-LN(2)/25))/(LN(2)/25)*'Calculateur (1)'!FM126*'Calculateur (1)'!FO126*VLOOKUP('Données projet (1)'!$B$16,'Paramètres (1)'!$A$1:$I$88,3,0)*0.475*44/12</f>
        <v>#REF!</v>
      </c>
      <c r="FS126" s="142" t="str">
        <f>EXP(-LN(2)/2)*FS125+(1-EXP(-LN(2)/2))/(LN(2)/2)*FM126*FP126*VLOOKUP('Données projet (1)'!$B$16,'Paramètres (1)'!$A$1:$I$88,3,0)*0.475*44/12</f>
        <v>#REF!</v>
      </c>
      <c r="FT126" s="143" t="str">
        <f t="shared" si="85"/>
        <v>#REF!</v>
      </c>
      <c r="FU126" s="139" t="str">
        <f t="shared" si="86"/>
        <v>#REF!</v>
      </c>
      <c r="FV126" s="131">
        <f t="shared" si="87"/>
        <v>10</v>
      </c>
      <c r="FW126" s="131" t="str">
        <f t="shared" si="140"/>
        <v>#REF!</v>
      </c>
      <c r="FX126" s="131" t="str">
        <f t="shared" si="88"/>
        <v>#REF!</v>
      </c>
      <c r="FY126" s="131" t="str">
        <f t="array" ref="FY126">INDEX(FX:FX,MIN(IF(ISNUMBER(FX126:FX322),ROW(FX126:FX322),"")))</f>
        <v/>
      </c>
      <c r="FZ126" s="131" t="str">
        <f t="shared" si="141"/>
        <v>#REF!</v>
      </c>
      <c r="GA126" s="138" t="str">
        <f>FZ126*VLOOKUP('Données projet (1)'!$B$17,'Paramètres (1)'!$A$1:$I$88,3,0)*VLOOKUP('Données projet (1)'!$B$17,'Paramètres (1)'!$A$1:$I$88,5,0)</f>
        <v>#REF!</v>
      </c>
      <c r="GB126" s="130" t="str">
        <f t="shared" si="142"/>
        <v>#REF!</v>
      </c>
      <c r="GC126" s="141" t="str">
        <f t="shared" si="89"/>
        <v>#REF!</v>
      </c>
      <c r="GD126" s="133" t="str">
        <f t="shared" si="90"/>
        <v>#REF!</v>
      </c>
      <c r="GE126" s="133" t="str">
        <f t="shared" si="91"/>
        <v>#REF!</v>
      </c>
      <c r="GF126" s="133" t="str">
        <f t="shared" si="143"/>
        <v>#REF!</v>
      </c>
      <c r="GG126" s="134" t="str">
        <f t="shared" si="92"/>
        <v>#REF!</v>
      </c>
      <c r="GH126" s="134" t="str">
        <f t="shared" si="93"/>
        <v>#REF!</v>
      </c>
      <c r="GI126" s="135" t="str">
        <f>IF(ISNA(VLOOKUP(A126,'Données projet (1)'!$A$243:$I$263,5,0)),0%,VLOOKUP(A126,'Données projet (1)'!$A$243:$I$263,5,0)*VLOOKUP('Données projet (1)'!$B$17,'Paramètres (1)'!$A$1:$I$88,7,0))</f>
        <v>#REF!</v>
      </c>
      <c r="GJ126" s="135" t="str">
        <f>IF(ISNA(VLOOKUP(A126,'Données projet (1)'!$A$243:$I$263,6,0)),0%,VLOOKUP(A126,'Données projet (1)'!$A$243:$I$263,6,0)*VLOOKUP('Données projet (1)'!$B$17,'Paramètres (1)'!$A$1:$I$88,7,0))</f>
        <v>#REF!</v>
      </c>
      <c r="GK126" s="135" t="str">
        <f t="shared" si="94"/>
        <v>#REF!</v>
      </c>
      <c r="GL126" s="142" t="str">
        <f>EXP(-LN(2)/35)*GL125+(1-EXP(-LN(2)/35))/(LN(2)/35)*GH126*GI126*VLOOKUP('Données projet (1)'!$B$17,'Paramètres (1)'!$A$1:$I$88,3,0)*0.475*44/12</f>
        <v>#REF!</v>
      </c>
      <c r="GM126" s="142" t="str">
        <f>EXP(-LN(2)/25)*GM125+(1-EXP(-LN(2)/25))/(LN(2)/25)*'Calculateur (1)'!GH126*'Calculateur (1)'!GJ126*VLOOKUP('Données projet (1)'!$B$17,'Paramètres (1)'!$A$1:$I$88,3,0)*0.475*44/12</f>
        <v>#REF!</v>
      </c>
      <c r="GN126" s="142" t="str">
        <f>EXP(-LN(2)/2)*GN125+(1-EXP(-LN(2)/2))/(LN(2)/2)*GH126*GK126*VLOOKUP('Données projet (1)'!$B$17,'Paramètres (1)'!$A$1:$I$88,3,0)*0.475*44/12</f>
        <v>#REF!</v>
      </c>
      <c r="GO126" s="142" t="str">
        <f t="shared" si="95"/>
        <v>#REF!</v>
      </c>
      <c r="GP126" s="139" t="str">
        <f t="shared" si="96"/>
        <v>#REF!</v>
      </c>
      <c r="GQ126" s="131">
        <f t="shared" si="97"/>
        <v>10</v>
      </c>
      <c r="GR126" s="131" t="str">
        <f t="shared" si="144"/>
        <v>#REF!</v>
      </c>
      <c r="GS126" s="131" t="str">
        <f t="shared" si="98"/>
        <v>#REF!</v>
      </c>
      <c r="GT126" s="131" t="str">
        <f t="array" ref="GT126">INDEX(GS:GS,MIN(IF(ISNUMBER(GS126:GS322),ROW(GS126:GS322),"")))</f>
        <v/>
      </c>
      <c r="GU126" s="131" t="str">
        <f t="shared" si="145"/>
        <v>#REF!</v>
      </c>
      <c r="GV126" s="138" t="str">
        <f>GU126*VLOOKUP('Données projet (1)'!$B$18,'Paramètres (1)'!$A$1:$I$88,3,0)*VLOOKUP('Données projet (1)'!$B$18,'Paramètres (1)'!$A$1:$I$88,5,0)</f>
        <v>#REF!</v>
      </c>
      <c r="GW126" s="130" t="str">
        <f t="shared" si="146"/>
        <v>#REF!</v>
      </c>
      <c r="GX126" s="141" t="str">
        <f t="shared" si="99"/>
        <v>#REF!</v>
      </c>
      <c r="GY126" s="133" t="str">
        <f t="shared" si="100"/>
        <v>#REF!</v>
      </c>
      <c r="GZ126" s="133" t="str">
        <f t="shared" si="101"/>
        <v>#REF!</v>
      </c>
      <c r="HA126" s="133" t="str">
        <f t="shared" si="147"/>
        <v>#REF!</v>
      </c>
      <c r="HB126" s="134" t="str">
        <f t="shared" si="102"/>
        <v>#REF!</v>
      </c>
      <c r="HC126" s="134" t="str">
        <f t="shared" si="103"/>
        <v>#REF!</v>
      </c>
      <c r="HD126" s="135" t="str">
        <f>IF(ISNA(VLOOKUP(A126,'Données projet (1)'!$A$269:$I$289,5,0)),0%,VLOOKUP(A126,'Données projet (1)'!$A$269:$I$289,5,0)*VLOOKUP('Données projet (1)'!$B$18,'Paramètres (1)'!$A$1:$I$88,7,0))</f>
        <v>#REF!</v>
      </c>
      <c r="HE126" s="135" t="str">
        <f>IF(ISNA(VLOOKUP(A126,'Données projet (1)'!$A$269:$I$289,6,0)),0%,VLOOKUP(A126,'Données projet (1)'!$A$269:$I$289,6,0)*VLOOKUP('Données projet (1)'!$B$18,'Paramètres (1)'!$A$1:$I$88,7,0))</f>
        <v>#REF!</v>
      </c>
      <c r="HF126" s="135" t="str">
        <f t="shared" si="104"/>
        <v>#REF!</v>
      </c>
      <c r="HG126" s="142" t="str">
        <f>EXP(-LN(2)/35)*HG125+(1-EXP(-LN(2)/35))/(LN(2)/35)*HC126*HD126*VLOOKUP('Données projet (1)'!$B$18,'Paramètres (1)'!$A$1:$I$88,3,0)*0.475*44/12</f>
        <v>#REF!</v>
      </c>
      <c r="HH126" s="142" t="str">
        <f>EXP(-LN(2)/25)*HH125+(1-EXP(-LN(2)/25))/(LN(2)/25)*'Calculateur (1)'!HC126*'Calculateur (1)'!HE126*VLOOKUP('Données projet (1)'!$B$18,'Paramètres (1)'!$A$1:$I$88,3,0)*0.475*44/12</f>
        <v>#REF!</v>
      </c>
      <c r="HI126" s="142" t="str">
        <f>EXP(-LN(2)/2)*HI125+(1-EXP(-LN(2)/2))/(LN(2)/2)*HC126*HF126*VLOOKUP('Données projet (1)'!$B$18,'Paramètres (1)'!$A$1:$I$88,3,0)*0.475*44/12</f>
        <v>#REF!</v>
      </c>
      <c r="HJ126" s="143" t="str">
        <f t="shared" si="105"/>
        <v>#REF!</v>
      </c>
    </row>
    <row r="127" ht="14.25" customHeight="1">
      <c r="A127" s="125">
        <f t="shared" si="106"/>
        <v>124</v>
      </c>
      <c r="B127" s="126" t="str">
        <f t="shared" si="1"/>
        <v>#REF!</v>
      </c>
      <c r="C127" s="140" t="str">
        <f>'Calculateur (1)'!C126+'Scénario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7" s="127">
        <f t="shared" si="107"/>
        <v>0</v>
      </c>
      <c r="E127" s="127" t="str">
        <f t="shared" si="2"/>
        <v>#REF!</v>
      </c>
      <c r="F127" s="127" t="str">
        <f t="shared" si="3"/>
        <v>#REF!</v>
      </c>
      <c r="G127" s="127" t="str">
        <f t="shared" si="4"/>
        <v>#REF!</v>
      </c>
      <c r="H127" s="128" t="str">
        <f t="shared" si="5"/>
        <v>#REF!</v>
      </c>
      <c r="I127" s="129" t="str">
        <f t="shared" si="6"/>
        <v>#REF!</v>
      </c>
      <c r="J127" s="130">
        <f t="shared" si="7"/>
        <v>10</v>
      </c>
      <c r="K127" s="131" t="str">
        <f t="shared" si="108"/>
        <v>#REF!</v>
      </c>
      <c r="L127" s="131" t="str">
        <f t="shared" si="8"/>
        <v>#REF!</v>
      </c>
      <c r="M127" s="131" t="str">
        <f t="array" ref="M127">INDEX(L:L,MIN(IF(ISNUMBER(L127:L323),ROW(L127:L323),"")))</f>
        <v/>
      </c>
      <c r="N127" s="130" t="str">
        <f t="shared" si="109"/>
        <v>#REF!</v>
      </c>
      <c r="O127" s="130" t="str">
        <f>N127*VLOOKUP('Données projet (1)'!$B$9,'Paramètres (1)'!$A$1:$I$88,3,0)*VLOOKUP('Données projet (1)'!$B$9,'Paramètres (1)'!$A$1:$I$88,5,0)</f>
        <v>#REF!</v>
      </c>
      <c r="P127" s="130" t="str">
        <f t="shared" si="110"/>
        <v>#REF!</v>
      </c>
      <c r="Q127" s="141" t="str">
        <f t="shared" si="9"/>
        <v>#REF!</v>
      </c>
      <c r="R127" s="133" t="str">
        <f t="shared" si="10"/>
        <v>#REF!</v>
      </c>
      <c r="S127" s="133" t="str">
        <f t="shared" si="11"/>
        <v>#REF!</v>
      </c>
      <c r="T127" s="133" t="str">
        <f t="shared" si="111"/>
        <v>#REF!</v>
      </c>
      <c r="U127" s="134" t="str">
        <f t="shared" si="12"/>
        <v>#REF!</v>
      </c>
      <c r="V127" s="134" t="str">
        <f t="shared" si="13"/>
        <v>#REF!</v>
      </c>
      <c r="W127" s="135" t="str">
        <f>IF(ISNA(VLOOKUP(A127,'Données projet (1)'!$A$35:$I$55,5,0)),0%,VLOOKUP(A127,'Données projet (1)'!$A$35:$I$55,5,0)*VLOOKUP('Données projet (1)'!$B$9,'Paramètres (1)'!$A$1:$I$88,7,0))</f>
        <v>#REF!</v>
      </c>
      <c r="X127" s="135" t="str">
        <f>IF(ISNA(VLOOKUP(A127,'Données projet (1)'!$A$35:$I$55,6,0)),0%,VLOOKUP(A127,'Données projet (1)'!$A$35:$I$55,6,0)*VLOOKUP('Données projet (1)'!$B$9,'Paramètres (1)'!$A$1:$I$88,7,0))</f>
        <v>#REF!</v>
      </c>
      <c r="Y127" s="135" t="str">
        <f t="shared" si="14"/>
        <v>#REF!</v>
      </c>
      <c r="Z127" s="142" t="str">
        <f>EXP(-LN(2)/35)*Z126+(1-EXP(-LN(2)/35))/(LN(2)/35)*V127*W127*VLOOKUP('Données projet (1)'!$B$9,'Paramètres (1)'!$A$1:$I$88,3,0)*0.475*44/12</f>
        <v>#REF!</v>
      </c>
      <c r="AA127" s="142" t="str">
        <f>EXP(-LN(2)/25)*AA126+(1-EXP(-LN(2)/25))/(LN(2)/25)*'Calculateur (1)'!V127*'Calculateur (1)'!X127*VLOOKUP('Données projet (1)'!$B$9,'Paramètres (1)'!$A$1:$I$88,3,0)*0.475*44/12</f>
        <v>#REF!</v>
      </c>
      <c r="AB127" s="142" t="str">
        <f>EXP(-LN(2)/2)*AB126+(1-EXP(-LN(2)/2))/(LN(2)/2)*V127*Y127*VLOOKUP('Données projet (1)'!$B$9,'Paramètres (1)'!$A$1:$I$88,3,0)*0.475*44/12</f>
        <v>#REF!</v>
      </c>
      <c r="AC127" s="143" t="str">
        <f t="shared" si="15"/>
        <v>#REF!</v>
      </c>
      <c r="AD127" s="130" t="str">
        <f t="shared" si="16"/>
        <v>#REF!</v>
      </c>
      <c r="AE127" s="130">
        <f t="shared" si="17"/>
        <v>10</v>
      </c>
      <c r="AF127" s="131" t="str">
        <f t="shared" si="112"/>
        <v>#REF!</v>
      </c>
      <c r="AG127" s="131" t="str">
        <f t="shared" si="18"/>
        <v>#REF!</v>
      </c>
      <c r="AH127" s="131" t="str">
        <f t="array" ref="AH127">INDEX(AG:AG,MIN(IF(ISNUMBER(AG127:AG323),ROW(AG127:AG323),"")))</f>
        <v/>
      </c>
      <c r="AI127" s="130" t="str">
        <f t="shared" si="113"/>
        <v>#REF!</v>
      </c>
      <c r="AJ127" s="130" t="str">
        <f>AI127*VLOOKUP('Données projet (1)'!$B$10,'Paramètres (1)'!$A$1:$I$88,3,0)*VLOOKUP('Données projet (1)'!$B$10,'Paramètres (1)'!$A$1:$I$88,5,0)</f>
        <v>#REF!</v>
      </c>
      <c r="AK127" s="130" t="str">
        <f t="shared" si="114"/>
        <v>#REF!</v>
      </c>
      <c r="AL127" s="141" t="str">
        <f t="shared" si="19"/>
        <v>#REF!</v>
      </c>
      <c r="AM127" s="133" t="str">
        <f t="shared" si="20"/>
        <v>#REF!</v>
      </c>
      <c r="AN127" s="133" t="str">
        <f t="shared" si="21"/>
        <v>#REF!</v>
      </c>
      <c r="AO127" s="133" t="str">
        <f t="shared" si="115"/>
        <v>#REF!</v>
      </c>
      <c r="AP127" s="134" t="str">
        <f t="shared" si="22"/>
        <v>#REF!</v>
      </c>
      <c r="AQ127" s="134" t="str">
        <f t="shared" si="23"/>
        <v>#REF!</v>
      </c>
      <c r="AR127" s="135" t="str">
        <f>IF(ISNA(VLOOKUP(A127,'Données projet (1)'!$A$61:$I$81,5,0)),0%,VLOOKUP(A127,'Données projet (1)'!$A$61:$I$81,5,0)*VLOOKUP('Données projet (1)'!$B$10,'Paramètres (1)'!$A$1:$I$88,7,0))</f>
        <v>#REF!</v>
      </c>
      <c r="AS127" s="135" t="str">
        <f>IF(ISNA(VLOOKUP(A127,'Données projet (1)'!$A$61:$I$81,6,0)),0%,VLOOKUP(A127,'Données projet (1)'!$A$61:$I$81,6,0)*VLOOKUP('Données projet (1)'!$B$10,'Paramètres (1)'!$A$1:$I$88,7,0))</f>
        <v>#REF!</v>
      </c>
      <c r="AT127" s="135" t="str">
        <f t="shared" si="24"/>
        <v>#REF!</v>
      </c>
      <c r="AU127" s="142" t="str">
        <f>EXP(-LN(2)/35)*AU126+(1-EXP(-LN(2)/35))/(LN(2)/35)*AQ127*AR127*VLOOKUP('Données projet (1)'!$B$10,'Paramètres (1)'!$A$1:$I$88,3,0)*0.475*44/12</f>
        <v>#REF!</v>
      </c>
      <c r="AV127" s="142" t="str">
        <f>EXP(-LN(2)/25)*AV126+(1-EXP(-LN(2)/25))/(LN(2)/25)*'Calculateur (1)'!AQ127*'Calculateur (1)'!AS127*VLOOKUP('Données projet (1)'!$B$10,'Paramètres (1)'!$A$1:$I$88,3,0)*0.475*44/12</f>
        <v>#REF!</v>
      </c>
      <c r="AW127" s="142" t="str">
        <f>EXP(-LN(2)/2)*AW126+(1-EXP(-LN(2)/2))/(LN(2)/2)*AQ127*AT127*VLOOKUP('Données projet (1)'!$B$10,'Paramètres (1)'!$A$1:$I$88,3,0)*0.475*44/12</f>
        <v>#REF!</v>
      </c>
      <c r="AX127" s="142" t="str">
        <f t="shared" si="25"/>
        <v>#REF!</v>
      </c>
      <c r="AY127" s="137" t="str">
        <f t="shared" si="26"/>
        <v>#REF!</v>
      </c>
      <c r="AZ127" s="131">
        <f t="shared" si="27"/>
        <v>10</v>
      </c>
      <c r="BA127" s="131" t="str">
        <f t="shared" si="116"/>
        <v>#REF!</v>
      </c>
      <c r="BB127" s="131" t="str">
        <f t="shared" si="28"/>
        <v>#REF!</v>
      </c>
      <c r="BC127" s="131" t="str">
        <f t="array" ref="BC127">INDEX(BB:BB,MIN(IF(ISNUMBER(BB127:BB323),ROW(BB127:BB323),"")))</f>
        <v/>
      </c>
      <c r="BD127" s="131" t="str">
        <f t="shared" si="117"/>
        <v>#REF!</v>
      </c>
      <c r="BE127" s="130" t="str">
        <f>BD127*VLOOKUP('Données projet (1)'!$B$11,'Paramètres (1)'!$A$1:$I$88,3,0)*VLOOKUP('Données projet (1)'!$B$11,'Paramètres (1)'!$A$1:$I$88,5,0)</f>
        <v>#REF!</v>
      </c>
      <c r="BF127" s="130" t="str">
        <f t="shared" si="118"/>
        <v>#REF!</v>
      </c>
      <c r="BG127" s="141" t="str">
        <f t="shared" si="29"/>
        <v>#REF!</v>
      </c>
      <c r="BH127" s="133" t="str">
        <f t="shared" si="30"/>
        <v>#REF!</v>
      </c>
      <c r="BI127" s="133" t="str">
        <f t="shared" si="31"/>
        <v>#REF!</v>
      </c>
      <c r="BJ127" s="133" t="str">
        <f t="shared" si="119"/>
        <v>#REF!</v>
      </c>
      <c r="BK127" s="134" t="str">
        <f t="shared" si="32"/>
        <v>#REF!</v>
      </c>
      <c r="BL127" s="134" t="str">
        <f t="shared" si="33"/>
        <v>#REF!</v>
      </c>
      <c r="BM127" s="135" t="str">
        <f>IF(ISNA(VLOOKUP(A127,'Données projet (1)'!$A$87:$I$107,5,0)),0%,VLOOKUP(A127,'Données projet (1)'!$A$87:$I$107,5,0)*VLOOKUP('Données projet (1)'!$B$11,'Paramètres (1)'!$A$1:$I$88,7,0))</f>
        <v>#REF!</v>
      </c>
      <c r="BN127" s="135" t="str">
        <f>IF(ISNA(VLOOKUP(A127,'Données projet (1)'!$A$87:$I$107,6,0)),0%,VLOOKUP(A127,'Données projet (1)'!$A$87:$I$107,6,0)*VLOOKUP('Données projet (1)'!$B$11,'Paramètres (1)'!$A$1:$I$88,7,0))</f>
        <v>#REF!</v>
      </c>
      <c r="BO127" s="135" t="str">
        <f t="shared" si="34"/>
        <v>#REF!</v>
      </c>
      <c r="BP127" s="142" t="str">
        <f>EXP(-LN(2)/35)*BP126+(1-EXP(-LN(2)/35))/(LN(2)/35)*BL127*BM127*VLOOKUP('Données projet (1)'!$B$11,'Paramètres (1)'!$A$1:$I$88,3,0)*0.475*44/12</f>
        <v>#REF!</v>
      </c>
      <c r="BQ127" s="142" t="str">
        <f>EXP(-LN(2)/25)*BQ126+(1-EXP(-LN(2)/25))/(LN(2)/25)*'Calculateur (1)'!BL127*'Calculateur (1)'!BN127*VLOOKUP('Données projet (1)'!$B$11,'Paramètres (1)'!$A$1:$I$88,3,0)*0.475*44/12</f>
        <v>#REF!</v>
      </c>
      <c r="BR127" s="142" t="str">
        <f>EXP(-LN(2)/2)*BR126+(1-EXP(-LN(2)/2))/(LN(2)/2)*BL127*BO127*VLOOKUP('Données projet (1)'!$B$11,'Paramètres (1)'!$A$1:$I$88,3,0)*0.475*44/12</f>
        <v>#REF!</v>
      </c>
      <c r="BS127" s="143" t="str">
        <f t="shared" si="35"/>
        <v>#REF!</v>
      </c>
      <c r="BT127" s="139" t="str">
        <f t="shared" si="36"/>
        <v>#REF!</v>
      </c>
      <c r="BU127" s="131">
        <f t="shared" si="37"/>
        <v>10</v>
      </c>
      <c r="BV127" s="131" t="str">
        <f t="shared" si="120"/>
        <v>#REF!</v>
      </c>
      <c r="BW127" s="131" t="str">
        <f t="shared" si="38"/>
        <v>#REF!</v>
      </c>
      <c r="BX127" s="131" t="str">
        <f t="array" ref="BX127">INDEX(BW:BW,MIN(IF(ISNUMBER(BW127:BW323),ROW(BW127:BW323),"")))</f>
        <v/>
      </c>
      <c r="BY127" s="131" t="str">
        <f t="shared" si="121"/>
        <v>#REF!</v>
      </c>
      <c r="BZ127" s="130" t="str">
        <f>BY127*VLOOKUP('Données projet (1)'!$B$12,'Paramètres (1)'!$A$1:$I$88,3,0)*VLOOKUP('Données projet (1)'!$B$12,'Paramètres (1)'!$A$1:$I$88,5,0)</f>
        <v>#REF!</v>
      </c>
      <c r="CA127" s="130" t="str">
        <f t="shared" si="122"/>
        <v>#REF!</v>
      </c>
      <c r="CB127" s="141" t="str">
        <f t="shared" si="39"/>
        <v>#REF!</v>
      </c>
      <c r="CC127" s="133" t="str">
        <f t="shared" si="40"/>
        <v>#REF!</v>
      </c>
      <c r="CD127" s="133" t="str">
        <f t="shared" si="41"/>
        <v>#REF!</v>
      </c>
      <c r="CE127" s="133" t="str">
        <f t="shared" si="123"/>
        <v>#REF!</v>
      </c>
      <c r="CF127" s="134" t="str">
        <f t="shared" si="42"/>
        <v>#REF!</v>
      </c>
      <c r="CG127" s="134" t="str">
        <f t="shared" si="43"/>
        <v>#REF!</v>
      </c>
      <c r="CH127" s="135" t="str">
        <f>IF(ISNA(VLOOKUP(A127,'Données projet (1)'!$A$113:$I$133,5,0)),0%,VLOOKUP(A127,'Données projet (1)'!$A$113:$I$133,5,0)*VLOOKUP('Données projet (1)'!$B$12,'Paramètres (1)'!$A$1:$I$88,7,0))</f>
        <v>#REF!</v>
      </c>
      <c r="CI127" s="135" t="str">
        <f>IF(ISNA(VLOOKUP(A127,'Données projet (1)'!$A$113:$I$133,6,0)),0%,VLOOKUP(A127,'Données projet (1)'!$A$113:$I$133,6,0)*VLOOKUP('Données projet (1)'!$B$12,'Paramètres (1)'!$A$1:$I$88,7,0))</f>
        <v>#REF!</v>
      </c>
      <c r="CJ127" s="135" t="str">
        <f t="shared" si="44"/>
        <v>#REF!</v>
      </c>
      <c r="CK127" s="142" t="str">
        <f>EXP(-LN(2)/35)*CK126+(1-EXP(-LN(2)/35))/(LN(2)/35)*CG127*CH127*VLOOKUP('Données projet (1)'!$B$12,'Paramètres (1)'!$A$1:$I$88,3,0)*0.475*44/12</f>
        <v>#REF!</v>
      </c>
      <c r="CL127" s="142" t="str">
        <f>EXP(-LN(2)/25)*CL126+(1-EXP(-LN(2)/25))/(LN(2)/25)*'Calculateur (1)'!CG127*'Calculateur (1)'!CI127*VLOOKUP('Données projet (1)'!$B$12,'Paramètres (1)'!$A$1:$I$88,3,0)*0.475*44/12</f>
        <v>#REF!</v>
      </c>
      <c r="CM127" s="142" t="str">
        <f>EXP(-LN(2)/2)*CM126+(1-EXP(-LN(2)/2))/(LN(2)/2)*CG127*CJ127*VLOOKUP('Données projet (1)'!$B$12,'Paramètres (1)'!$A$1:$I$88,3,0)*0.475*44/12</f>
        <v>#REF!</v>
      </c>
      <c r="CN127" s="143" t="str">
        <f t="shared" si="45"/>
        <v>#REF!</v>
      </c>
      <c r="CO127" s="139" t="str">
        <f t="shared" si="46"/>
        <v>#REF!</v>
      </c>
      <c r="CP127" s="131">
        <f t="shared" si="47"/>
        <v>10</v>
      </c>
      <c r="CQ127" s="131" t="str">
        <f t="shared" si="124"/>
        <v>#REF!</v>
      </c>
      <c r="CR127" s="131" t="str">
        <f t="shared" si="48"/>
        <v>#REF!</v>
      </c>
      <c r="CS127" s="131" t="str">
        <f t="array" ref="CS127">INDEX(CR:CR,MIN(IF(ISNUMBER(CR127:CR323),ROW(CR127:CR323),"")))</f>
        <v/>
      </c>
      <c r="CT127" s="131" t="str">
        <f t="shared" si="125"/>
        <v>#REF!</v>
      </c>
      <c r="CU127" s="138" t="str">
        <f>CT127*VLOOKUP('Données projet (1)'!$B$13,'Paramètres (1)'!$A$1:$I$88,3,0)*VLOOKUP('Données projet (1)'!$B$13,'Paramètres (1)'!$A$1:$I$88,5,0)</f>
        <v>#REF!</v>
      </c>
      <c r="CV127" s="130" t="str">
        <f t="shared" si="126"/>
        <v>#REF!</v>
      </c>
      <c r="CW127" s="141" t="str">
        <f t="shared" si="49"/>
        <v>#REF!</v>
      </c>
      <c r="CX127" s="133" t="str">
        <f t="shared" si="50"/>
        <v>#REF!</v>
      </c>
      <c r="CY127" s="133" t="str">
        <f t="shared" si="51"/>
        <v>#REF!</v>
      </c>
      <c r="CZ127" s="133" t="str">
        <f t="shared" si="127"/>
        <v>#REF!</v>
      </c>
      <c r="DA127" s="134" t="str">
        <f t="shared" si="52"/>
        <v>#REF!</v>
      </c>
      <c r="DB127" s="134" t="str">
        <f t="shared" si="53"/>
        <v>#REF!</v>
      </c>
      <c r="DC127" s="135" t="str">
        <f>IF(ISNA(VLOOKUP(A127,'Données projet (1)'!$A$139:$I$159,5,0)),0%,VLOOKUP(A127,'Données projet (1)'!$A$139:$I$159,5,0)*VLOOKUP('Données projet (1)'!$B$13,'Paramètres (1)'!$A$1:$I$88,7,0))</f>
        <v>#REF!</v>
      </c>
      <c r="DD127" s="135" t="str">
        <f>IF(ISNA(VLOOKUP(A127,'Données projet (1)'!$A$139:$I$159,6,0)),0%,VLOOKUP(A127,'Données projet (1)'!$A$139:$I$159,6,0)*VLOOKUP('Données projet (1)'!$B$13,'Paramètres (1)'!$A$1:$I$88,7,0))</f>
        <v>#REF!</v>
      </c>
      <c r="DE127" s="135" t="str">
        <f t="shared" si="54"/>
        <v>#REF!</v>
      </c>
      <c r="DF127" s="142" t="str">
        <f>EXP(-LN(2)/35)*DF126+(1-EXP(-LN(2)/35))/(LN(2)/35)*DB127*DC127*VLOOKUP('Données projet (1)'!$B$13,'Paramètres (1)'!$A$1:$I$88,3,0)*0.475*44/12</f>
        <v>#REF!</v>
      </c>
      <c r="DG127" s="142" t="str">
        <f>EXP(-LN(2)/25)*DG126+(1-EXP(-LN(2)/25))/(LN(2)/25)*'Calculateur (1)'!DB127*'Calculateur (1)'!DD127*VLOOKUP('Données projet (1)'!$B$13,'Paramètres (1)'!$A$1:$I$88,3,0)*0.475*44/12</f>
        <v>#REF!</v>
      </c>
      <c r="DH127" s="142" t="str">
        <f>EXP(-LN(2)/2)*DH126+(1-EXP(-LN(2)/2))/(LN(2)/2)*DB127*DE127*VLOOKUP('Données projet (1)'!$B$13,'Paramètres (1)'!$A$1:$I$88,3,0)*0.475*44/12</f>
        <v>#REF!</v>
      </c>
      <c r="DI127" s="143" t="str">
        <f t="shared" si="55"/>
        <v>#REF!</v>
      </c>
      <c r="DJ127" s="139" t="str">
        <f t="shared" si="56"/>
        <v>#REF!</v>
      </c>
      <c r="DK127" s="131">
        <f t="shared" si="57"/>
        <v>10</v>
      </c>
      <c r="DL127" s="131" t="str">
        <f t="shared" si="128"/>
        <v>#REF!</v>
      </c>
      <c r="DM127" s="131" t="str">
        <f t="shared" si="58"/>
        <v>#REF!</v>
      </c>
      <c r="DN127" s="131" t="str">
        <f t="array" ref="DN127">INDEX(DM:DM,MIN(IF(ISNUMBER(DM127:DM323),ROW(DM127:DM323),"")))</f>
        <v/>
      </c>
      <c r="DO127" s="131" t="str">
        <f t="shared" si="129"/>
        <v>#REF!</v>
      </c>
      <c r="DP127" s="138" t="str">
        <f>DO127*VLOOKUP('Données projet (1)'!$B$14,'Paramètres (1)'!$A$1:$I$88,3,0)*VLOOKUP('Données projet (1)'!$B$14,'Paramètres (1)'!$A$1:$I$88,5,0)</f>
        <v>#REF!</v>
      </c>
      <c r="DQ127" s="130" t="str">
        <f t="shared" si="130"/>
        <v>#REF!</v>
      </c>
      <c r="DR127" s="141" t="str">
        <f t="shared" si="59"/>
        <v>#REF!</v>
      </c>
      <c r="DS127" s="133" t="str">
        <f t="shared" si="60"/>
        <v>#REF!</v>
      </c>
      <c r="DT127" s="133" t="str">
        <f t="shared" si="61"/>
        <v>#REF!</v>
      </c>
      <c r="DU127" s="133" t="str">
        <f t="shared" si="131"/>
        <v>#REF!</v>
      </c>
      <c r="DV127" s="134" t="str">
        <f t="shared" si="62"/>
        <v>#REF!</v>
      </c>
      <c r="DW127" s="134" t="str">
        <f t="shared" si="63"/>
        <v>#REF!</v>
      </c>
      <c r="DX127" s="135" t="str">
        <f>IF(ISNA(VLOOKUP(A127,'Données projet (1)'!$A$165:$I$185,5,0)),0%,VLOOKUP(A127,'Données projet (1)'!$A$165:$I$185,5,0)*VLOOKUP('Données projet (1)'!$B$14,'Paramètres (1)'!$A$1:$I$88,7,0))</f>
        <v>#REF!</v>
      </c>
      <c r="DY127" s="135" t="str">
        <f>IF(ISNA(VLOOKUP(A127,'Données projet (1)'!$A$165:$I$185,6,0)),0%,VLOOKUP(A127,'Données projet (1)'!$A$165:$I$185,6,0)*VLOOKUP('Données projet (1)'!$B$14,'Paramètres (1)'!$A$1:$I$88,7,0))</f>
        <v>#REF!</v>
      </c>
      <c r="DZ127" s="135" t="str">
        <f t="shared" si="64"/>
        <v>#REF!</v>
      </c>
      <c r="EA127" s="142" t="str">
        <f>EXP(-LN(2)/35)*EA126+(1-EXP(-LN(2)/35))/(LN(2)/35)*DW127*DX127*VLOOKUP('Données projet (1)'!$B$14,'Paramètres (1)'!$A$1:$I$88,3,0)*0.475*44/12</f>
        <v>#REF!</v>
      </c>
      <c r="EB127" s="142" t="str">
        <f>EXP(-LN(2)/25)*EB126+(1-EXP(-LN(2)/25))/(LN(2)/25)*'Calculateur (1)'!DW127*'Calculateur (1)'!DY127*VLOOKUP('Données projet (1)'!$B$14,'Paramètres (1)'!$A$1:$I$88,3,0)*0.475*44/12</f>
        <v>#REF!</v>
      </c>
      <c r="EC127" s="142" t="str">
        <f>EXP(-LN(2)/2)*EC126+(1-EXP(-LN(2)/2))/(LN(2)/2)*DW127*DZ127*VLOOKUP('Données projet (1)'!$B$14,'Paramètres (1)'!$A$1:$I$88,3,0)*0.475*44/12</f>
        <v>#REF!</v>
      </c>
      <c r="ED127" s="143" t="str">
        <f t="shared" si="65"/>
        <v>#REF!</v>
      </c>
      <c r="EE127" s="139" t="str">
        <f t="shared" si="66"/>
        <v>#REF!</v>
      </c>
      <c r="EF127" s="131">
        <f t="shared" si="67"/>
        <v>10</v>
      </c>
      <c r="EG127" s="131" t="str">
        <f t="shared" si="132"/>
        <v>#REF!</v>
      </c>
      <c r="EH127" s="131" t="str">
        <f t="shared" si="68"/>
        <v>#REF!</v>
      </c>
      <c r="EI127" s="131" t="str">
        <f t="array" ref="EI127">INDEX(EH:EH,MIN(IF(ISNUMBER(EH127:EH323),ROW(EH127:EH323),"")))</f>
        <v/>
      </c>
      <c r="EJ127" s="131" t="str">
        <f t="shared" si="133"/>
        <v>#REF!</v>
      </c>
      <c r="EK127" s="138" t="str">
        <f>EJ127*VLOOKUP('Données projet (1)'!$B$15,'Paramètres (1)'!$A$1:$I$88,3,0)*VLOOKUP('Données projet (1)'!$B$15,'Paramètres (1)'!$A$1:$I$88,5,0)</f>
        <v>#REF!</v>
      </c>
      <c r="EL127" s="130" t="str">
        <f t="shared" si="134"/>
        <v>#REF!</v>
      </c>
      <c r="EM127" s="141" t="str">
        <f t="shared" si="69"/>
        <v>#REF!</v>
      </c>
      <c r="EN127" s="133" t="str">
        <f t="shared" si="70"/>
        <v>#REF!</v>
      </c>
      <c r="EO127" s="133" t="str">
        <f t="shared" si="71"/>
        <v>#REF!</v>
      </c>
      <c r="EP127" s="133" t="str">
        <f t="shared" si="135"/>
        <v>#REF!</v>
      </c>
      <c r="EQ127" s="134" t="str">
        <f t="shared" si="72"/>
        <v>#REF!</v>
      </c>
      <c r="ER127" s="134" t="str">
        <f t="shared" si="73"/>
        <v>#REF!</v>
      </c>
      <c r="ES127" s="135" t="str">
        <f>IF(ISNA(VLOOKUP(A127,'Données projet (1)'!$A$191:$I$211,5,0)),0%,VLOOKUP(A127,'Données projet (1)'!$A$191:$I$211,5,0)*VLOOKUP('Données projet (1)'!$B$15,'Paramètres (1)'!$A$1:$I$88,7,0))</f>
        <v>#REF!</v>
      </c>
      <c r="ET127" s="135" t="str">
        <f>IF(ISNA(VLOOKUP(A127,'Données projet (1)'!$A$191:$I$211,6,0)),0%,VLOOKUP(A127,'Données projet (1)'!$A$191:$I$211,6,0)*VLOOKUP('Données projet (1)'!$B$15,'Paramètres (1)'!$A$1:$I$88,7,0))</f>
        <v>#REF!</v>
      </c>
      <c r="EU127" s="135" t="str">
        <f t="shared" si="74"/>
        <v>#REF!</v>
      </c>
      <c r="EV127" s="142" t="str">
        <f>EXP(-LN(2)/35)*EV126+(1-EXP(-LN(2)/35))/(LN(2)/35)*ER127*ES127*VLOOKUP('Données projet (1)'!$B$15,'Paramètres (1)'!$A$1:$I$88,3,0)*0.475*44/12</f>
        <v>#REF!</v>
      </c>
      <c r="EW127" s="142" t="str">
        <f>EXP(-LN(2)/25)*EW126+(1-EXP(-LN(2)/25))/(LN(2)/25)*'Calculateur (1)'!ER127*'Calculateur (1)'!ET127*VLOOKUP('Données projet (1)'!$B$15,'Paramètres (1)'!$A$1:$I$88,3,0)*0.475*44/12</f>
        <v>#REF!</v>
      </c>
      <c r="EX127" s="142" t="str">
        <f>EXP(-LN(2)/2)*EX126+(1-EXP(-LN(2)/2))/(LN(2)/2)*ER127*EU127*VLOOKUP('Données projet (1)'!$B$15,'Paramètres (1)'!$A$1:$I$88,3,0)*0.475*44/12</f>
        <v>#REF!</v>
      </c>
      <c r="EY127" s="143" t="str">
        <f t="shared" si="75"/>
        <v>#REF!</v>
      </c>
      <c r="EZ127" s="139" t="str">
        <f t="shared" si="76"/>
        <v>#REF!</v>
      </c>
      <c r="FA127" s="131">
        <f t="shared" si="77"/>
        <v>10</v>
      </c>
      <c r="FB127" s="131" t="str">
        <f t="shared" si="136"/>
        <v>#REF!</v>
      </c>
      <c r="FC127" s="131" t="str">
        <f t="shared" si="78"/>
        <v>#REF!</v>
      </c>
      <c r="FD127" s="131" t="str">
        <f t="array" ref="FD127">INDEX(FC:FC,MIN(IF(ISNUMBER(FC127:FC323),ROW(FC127:FC323),"")))</f>
        <v/>
      </c>
      <c r="FE127" s="131" t="str">
        <f t="shared" si="137"/>
        <v>#REF!</v>
      </c>
      <c r="FF127" s="138" t="str">
        <f>FE127*VLOOKUP('Données projet (1)'!$B$16,'Paramètres (1)'!$A$1:$I$88,3,0)*VLOOKUP('Données projet (1)'!$B$16,'Paramètres (1)'!$A$1:$I$88,5,0)</f>
        <v>#REF!</v>
      </c>
      <c r="FG127" s="130" t="str">
        <f t="shared" si="138"/>
        <v>#REF!</v>
      </c>
      <c r="FH127" s="141" t="str">
        <f t="shared" si="79"/>
        <v>#REF!</v>
      </c>
      <c r="FI127" s="133" t="str">
        <f t="shared" si="80"/>
        <v>#REF!</v>
      </c>
      <c r="FJ127" s="133" t="str">
        <f t="shared" si="81"/>
        <v>#REF!</v>
      </c>
      <c r="FK127" s="133" t="str">
        <f t="shared" si="139"/>
        <v>#REF!</v>
      </c>
      <c r="FL127" s="134" t="str">
        <f t="shared" si="82"/>
        <v>#REF!</v>
      </c>
      <c r="FM127" s="134" t="str">
        <f t="shared" si="83"/>
        <v>#REF!</v>
      </c>
      <c r="FN127" s="135" t="str">
        <f>IF(ISNA(VLOOKUP(A127,'Données projet (1)'!$A$217:$I$237,5,0)),0%,VLOOKUP(A127,'Données projet (1)'!$A$217:$I$237,5,0)*VLOOKUP('Données projet (1)'!$B$16,'Paramètres (1)'!$A$1:$I$88,7,0))</f>
        <v>#REF!</v>
      </c>
      <c r="FO127" s="135" t="str">
        <f>IF(ISNA(VLOOKUP(A127,'Données projet (1)'!$A$217:$I$237,6,0)),0%,VLOOKUP(A127,'Données projet (1)'!$A$217:$I$237,6,0)*VLOOKUP('Données projet (1)'!$B$16,'Paramètres (1)'!$A$1:$I$88,7,0))</f>
        <v>#REF!</v>
      </c>
      <c r="FP127" s="135" t="str">
        <f t="shared" si="84"/>
        <v>#REF!</v>
      </c>
      <c r="FQ127" s="142" t="str">
        <f>EXP(-LN(2)/35)*FQ126+(1-EXP(-LN(2)/35))/(LN(2)/35)*FM127*FN127*VLOOKUP('Données projet (1)'!$B$16,'Paramètres (1)'!$A$1:$I$88,3,0)*0.475*44/12</f>
        <v>#REF!</v>
      </c>
      <c r="FR127" s="142" t="str">
        <f>EXP(-LN(2)/25)*FR126+(1-EXP(-LN(2)/25))/(LN(2)/25)*'Calculateur (1)'!FM127*'Calculateur (1)'!FO127*VLOOKUP('Données projet (1)'!$B$16,'Paramètres (1)'!$A$1:$I$88,3,0)*0.475*44/12</f>
        <v>#REF!</v>
      </c>
      <c r="FS127" s="142" t="str">
        <f>EXP(-LN(2)/2)*FS126+(1-EXP(-LN(2)/2))/(LN(2)/2)*FM127*FP127*VLOOKUP('Données projet (1)'!$B$16,'Paramètres (1)'!$A$1:$I$88,3,0)*0.475*44/12</f>
        <v>#REF!</v>
      </c>
      <c r="FT127" s="143" t="str">
        <f t="shared" si="85"/>
        <v>#REF!</v>
      </c>
      <c r="FU127" s="139" t="str">
        <f t="shared" si="86"/>
        <v>#REF!</v>
      </c>
      <c r="FV127" s="131">
        <f t="shared" si="87"/>
        <v>10</v>
      </c>
      <c r="FW127" s="131" t="str">
        <f t="shared" si="140"/>
        <v>#REF!</v>
      </c>
      <c r="FX127" s="131" t="str">
        <f t="shared" si="88"/>
        <v>#REF!</v>
      </c>
      <c r="FY127" s="131" t="str">
        <f t="array" ref="FY127">INDEX(FX:FX,MIN(IF(ISNUMBER(FX127:FX323),ROW(FX127:FX323),"")))</f>
        <v/>
      </c>
      <c r="FZ127" s="131" t="str">
        <f t="shared" si="141"/>
        <v>#REF!</v>
      </c>
      <c r="GA127" s="138" t="str">
        <f>FZ127*VLOOKUP('Données projet (1)'!$B$17,'Paramètres (1)'!$A$1:$I$88,3,0)*VLOOKUP('Données projet (1)'!$B$17,'Paramètres (1)'!$A$1:$I$88,5,0)</f>
        <v>#REF!</v>
      </c>
      <c r="GB127" s="130" t="str">
        <f t="shared" si="142"/>
        <v>#REF!</v>
      </c>
      <c r="GC127" s="141" t="str">
        <f t="shared" si="89"/>
        <v>#REF!</v>
      </c>
      <c r="GD127" s="133" t="str">
        <f t="shared" si="90"/>
        <v>#REF!</v>
      </c>
      <c r="GE127" s="133" t="str">
        <f t="shared" si="91"/>
        <v>#REF!</v>
      </c>
      <c r="GF127" s="133" t="str">
        <f t="shared" si="143"/>
        <v>#REF!</v>
      </c>
      <c r="GG127" s="134" t="str">
        <f t="shared" si="92"/>
        <v>#REF!</v>
      </c>
      <c r="GH127" s="134" t="str">
        <f t="shared" si="93"/>
        <v>#REF!</v>
      </c>
      <c r="GI127" s="135" t="str">
        <f>IF(ISNA(VLOOKUP(A127,'Données projet (1)'!$A$243:$I$263,5,0)),0%,VLOOKUP(A127,'Données projet (1)'!$A$243:$I$263,5,0)*VLOOKUP('Données projet (1)'!$B$17,'Paramètres (1)'!$A$1:$I$88,7,0))</f>
        <v>#REF!</v>
      </c>
      <c r="GJ127" s="135" t="str">
        <f>IF(ISNA(VLOOKUP(A127,'Données projet (1)'!$A$243:$I$263,6,0)),0%,VLOOKUP(A127,'Données projet (1)'!$A$243:$I$263,6,0)*VLOOKUP('Données projet (1)'!$B$17,'Paramètres (1)'!$A$1:$I$88,7,0))</f>
        <v>#REF!</v>
      </c>
      <c r="GK127" s="135" t="str">
        <f t="shared" si="94"/>
        <v>#REF!</v>
      </c>
      <c r="GL127" s="142" t="str">
        <f>EXP(-LN(2)/35)*GL126+(1-EXP(-LN(2)/35))/(LN(2)/35)*GH127*GI127*VLOOKUP('Données projet (1)'!$B$17,'Paramètres (1)'!$A$1:$I$88,3,0)*0.475*44/12</f>
        <v>#REF!</v>
      </c>
      <c r="GM127" s="142" t="str">
        <f>EXP(-LN(2)/25)*GM126+(1-EXP(-LN(2)/25))/(LN(2)/25)*'Calculateur (1)'!GH127*'Calculateur (1)'!GJ127*VLOOKUP('Données projet (1)'!$B$17,'Paramètres (1)'!$A$1:$I$88,3,0)*0.475*44/12</f>
        <v>#REF!</v>
      </c>
      <c r="GN127" s="142" t="str">
        <f>EXP(-LN(2)/2)*GN126+(1-EXP(-LN(2)/2))/(LN(2)/2)*GH127*GK127*VLOOKUP('Données projet (1)'!$B$17,'Paramètres (1)'!$A$1:$I$88,3,0)*0.475*44/12</f>
        <v>#REF!</v>
      </c>
      <c r="GO127" s="142" t="str">
        <f t="shared" si="95"/>
        <v>#REF!</v>
      </c>
      <c r="GP127" s="139" t="str">
        <f t="shared" si="96"/>
        <v>#REF!</v>
      </c>
      <c r="GQ127" s="131">
        <f t="shared" si="97"/>
        <v>10</v>
      </c>
      <c r="GR127" s="131" t="str">
        <f t="shared" si="144"/>
        <v>#REF!</v>
      </c>
      <c r="GS127" s="131" t="str">
        <f t="shared" si="98"/>
        <v>#REF!</v>
      </c>
      <c r="GT127" s="131" t="str">
        <f t="array" ref="GT127">INDEX(GS:GS,MIN(IF(ISNUMBER(GS127:GS323),ROW(GS127:GS323),"")))</f>
        <v/>
      </c>
      <c r="GU127" s="131" t="str">
        <f t="shared" si="145"/>
        <v>#REF!</v>
      </c>
      <c r="GV127" s="138" t="str">
        <f>GU127*VLOOKUP('Données projet (1)'!$B$18,'Paramètres (1)'!$A$1:$I$88,3,0)*VLOOKUP('Données projet (1)'!$B$18,'Paramètres (1)'!$A$1:$I$88,5,0)</f>
        <v>#REF!</v>
      </c>
      <c r="GW127" s="130" t="str">
        <f t="shared" si="146"/>
        <v>#REF!</v>
      </c>
      <c r="GX127" s="141" t="str">
        <f t="shared" si="99"/>
        <v>#REF!</v>
      </c>
      <c r="GY127" s="133" t="str">
        <f t="shared" si="100"/>
        <v>#REF!</v>
      </c>
      <c r="GZ127" s="133" t="str">
        <f t="shared" si="101"/>
        <v>#REF!</v>
      </c>
      <c r="HA127" s="133" t="str">
        <f t="shared" si="147"/>
        <v>#REF!</v>
      </c>
      <c r="HB127" s="134" t="str">
        <f t="shared" si="102"/>
        <v>#REF!</v>
      </c>
      <c r="HC127" s="134" t="str">
        <f t="shared" si="103"/>
        <v>#REF!</v>
      </c>
      <c r="HD127" s="135" t="str">
        <f>IF(ISNA(VLOOKUP(A127,'Données projet (1)'!$A$269:$I$289,5,0)),0%,VLOOKUP(A127,'Données projet (1)'!$A$269:$I$289,5,0)*VLOOKUP('Données projet (1)'!$B$18,'Paramètres (1)'!$A$1:$I$88,7,0))</f>
        <v>#REF!</v>
      </c>
      <c r="HE127" s="135" t="str">
        <f>IF(ISNA(VLOOKUP(A127,'Données projet (1)'!$A$269:$I$289,6,0)),0%,VLOOKUP(A127,'Données projet (1)'!$A$269:$I$289,6,0)*VLOOKUP('Données projet (1)'!$B$18,'Paramètres (1)'!$A$1:$I$88,7,0))</f>
        <v>#REF!</v>
      </c>
      <c r="HF127" s="135" t="str">
        <f t="shared" si="104"/>
        <v>#REF!</v>
      </c>
      <c r="HG127" s="142" t="str">
        <f>EXP(-LN(2)/35)*HG126+(1-EXP(-LN(2)/35))/(LN(2)/35)*HC127*HD127*VLOOKUP('Données projet (1)'!$B$18,'Paramètres (1)'!$A$1:$I$88,3,0)*0.475*44/12</f>
        <v>#REF!</v>
      </c>
      <c r="HH127" s="142" t="str">
        <f>EXP(-LN(2)/25)*HH126+(1-EXP(-LN(2)/25))/(LN(2)/25)*'Calculateur (1)'!HC127*'Calculateur (1)'!HE127*VLOOKUP('Données projet (1)'!$B$18,'Paramètres (1)'!$A$1:$I$88,3,0)*0.475*44/12</f>
        <v>#REF!</v>
      </c>
      <c r="HI127" s="142" t="str">
        <f>EXP(-LN(2)/2)*HI126+(1-EXP(-LN(2)/2))/(LN(2)/2)*HC127*HF127*VLOOKUP('Données projet (1)'!$B$18,'Paramètres (1)'!$A$1:$I$88,3,0)*0.475*44/12</f>
        <v>#REF!</v>
      </c>
      <c r="HJ127" s="143" t="str">
        <f t="shared" si="105"/>
        <v>#REF!</v>
      </c>
    </row>
    <row r="128" ht="14.25" customHeight="1">
      <c r="A128" s="125">
        <f t="shared" si="106"/>
        <v>125</v>
      </c>
      <c r="B128" s="126" t="str">
        <f t="shared" si="1"/>
        <v>#REF!</v>
      </c>
      <c r="C128" s="140" t="str">
        <f>'Calculateur (1)'!C127+'Scénario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8" s="127">
        <f t="shared" si="107"/>
        <v>0</v>
      </c>
      <c r="E128" s="127" t="str">
        <f t="shared" si="2"/>
        <v>#REF!</v>
      </c>
      <c r="F128" s="127" t="str">
        <f t="shared" si="3"/>
        <v>#REF!</v>
      </c>
      <c r="G128" s="127" t="str">
        <f t="shared" si="4"/>
        <v>#REF!</v>
      </c>
      <c r="H128" s="128" t="str">
        <f t="shared" si="5"/>
        <v>#REF!</v>
      </c>
      <c r="I128" s="129" t="str">
        <f t="shared" si="6"/>
        <v>#REF!</v>
      </c>
      <c r="J128" s="130">
        <f t="shared" si="7"/>
        <v>10</v>
      </c>
      <c r="K128" s="131" t="str">
        <f t="shared" si="108"/>
        <v>#REF!</v>
      </c>
      <c r="L128" s="131" t="str">
        <f t="shared" si="8"/>
        <v>#REF!</v>
      </c>
      <c r="M128" s="131" t="str">
        <f t="array" ref="M128">INDEX(L:L,MIN(IF(ISNUMBER(L128:L324),ROW(L128:L324),"")))</f>
        <v/>
      </c>
      <c r="N128" s="130" t="str">
        <f t="shared" si="109"/>
        <v>#REF!</v>
      </c>
      <c r="O128" s="130" t="str">
        <f>N128*VLOOKUP('Données projet (1)'!$B$9,'Paramètres (1)'!$A$1:$I$88,3,0)*VLOOKUP('Données projet (1)'!$B$9,'Paramètres (1)'!$A$1:$I$88,5,0)</f>
        <v>#REF!</v>
      </c>
      <c r="P128" s="130" t="str">
        <f t="shared" si="110"/>
        <v>#REF!</v>
      </c>
      <c r="Q128" s="141" t="str">
        <f t="shared" si="9"/>
        <v>#REF!</v>
      </c>
      <c r="R128" s="133" t="str">
        <f t="shared" si="10"/>
        <v>#REF!</v>
      </c>
      <c r="S128" s="133" t="str">
        <f t="shared" si="11"/>
        <v>#REF!</v>
      </c>
      <c r="T128" s="133" t="str">
        <f t="shared" si="111"/>
        <v>#REF!</v>
      </c>
      <c r="U128" s="134" t="str">
        <f t="shared" si="12"/>
        <v>#REF!</v>
      </c>
      <c r="V128" s="134" t="str">
        <f t="shared" si="13"/>
        <v>#REF!</v>
      </c>
      <c r="W128" s="135" t="str">
        <f>IF(ISNA(VLOOKUP(A128,'Données projet (1)'!$A$35:$I$55,5,0)),0%,VLOOKUP(A128,'Données projet (1)'!$A$35:$I$55,5,0)*VLOOKUP('Données projet (1)'!$B$9,'Paramètres (1)'!$A$1:$I$88,7,0))</f>
        <v>#REF!</v>
      </c>
      <c r="X128" s="135" t="str">
        <f>IF(ISNA(VLOOKUP(A128,'Données projet (1)'!$A$35:$I$55,6,0)),0%,VLOOKUP(A128,'Données projet (1)'!$A$35:$I$55,6,0)*VLOOKUP('Données projet (1)'!$B$9,'Paramètres (1)'!$A$1:$I$88,7,0))</f>
        <v>#REF!</v>
      </c>
      <c r="Y128" s="135" t="str">
        <f t="shared" si="14"/>
        <v>#REF!</v>
      </c>
      <c r="Z128" s="142" t="str">
        <f>EXP(-LN(2)/35)*Z127+(1-EXP(-LN(2)/35))/(LN(2)/35)*V128*W128*VLOOKUP('Données projet (1)'!$B$9,'Paramètres (1)'!$A$1:$I$88,3,0)*0.475*44/12</f>
        <v>#REF!</v>
      </c>
      <c r="AA128" s="142" t="str">
        <f>EXP(-LN(2)/25)*AA127+(1-EXP(-LN(2)/25))/(LN(2)/25)*'Calculateur (1)'!V128*'Calculateur (1)'!X128*VLOOKUP('Données projet (1)'!$B$9,'Paramètres (1)'!$A$1:$I$88,3,0)*0.475*44/12</f>
        <v>#REF!</v>
      </c>
      <c r="AB128" s="142" t="str">
        <f>EXP(-LN(2)/2)*AB127+(1-EXP(-LN(2)/2))/(LN(2)/2)*V128*Y128*VLOOKUP('Données projet (1)'!$B$9,'Paramètres (1)'!$A$1:$I$88,3,0)*0.475*44/12</f>
        <v>#REF!</v>
      </c>
      <c r="AC128" s="143" t="str">
        <f t="shared" si="15"/>
        <v>#REF!</v>
      </c>
      <c r="AD128" s="130" t="str">
        <f t="shared" si="16"/>
        <v>#REF!</v>
      </c>
      <c r="AE128" s="130">
        <f t="shared" si="17"/>
        <v>10</v>
      </c>
      <c r="AF128" s="131" t="str">
        <f t="shared" si="112"/>
        <v>#REF!</v>
      </c>
      <c r="AG128" s="131" t="str">
        <f t="shared" si="18"/>
        <v>#REF!</v>
      </c>
      <c r="AH128" s="131" t="str">
        <f t="array" ref="AH128">INDEX(AG:AG,MIN(IF(ISNUMBER(AG128:AG324),ROW(AG128:AG324),"")))</f>
        <v/>
      </c>
      <c r="AI128" s="130" t="str">
        <f t="shared" si="113"/>
        <v>#REF!</v>
      </c>
      <c r="AJ128" s="130" t="str">
        <f>AI128*VLOOKUP('Données projet (1)'!$B$10,'Paramètres (1)'!$A$1:$I$88,3,0)*VLOOKUP('Données projet (1)'!$B$10,'Paramètres (1)'!$A$1:$I$88,5,0)</f>
        <v>#REF!</v>
      </c>
      <c r="AK128" s="130" t="str">
        <f t="shared" si="114"/>
        <v>#REF!</v>
      </c>
      <c r="AL128" s="141" t="str">
        <f t="shared" si="19"/>
        <v>#REF!</v>
      </c>
      <c r="AM128" s="133" t="str">
        <f t="shared" si="20"/>
        <v>#REF!</v>
      </c>
      <c r="AN128" s="133" t="str">
        <f t="shared" si="21"/>
        <v>#REF!</v>
      </c>
      <c r="AO128" s="133" t="str">
        <f t="shared" si="115"/>
        <v>#REF!</v>
      </c>
      <c r="AP128" s="134" t="str">
        <f t="shared" si="22"/>
        <v>#REF!</v>
      </c>
      <c r="AQ128" s="134" t="str">
        <f t="shared" si="23"/>
        <v>#REF!</v>
      </c>
      <c r="AR128" s="135" t="str">
        <f>IF(ISNA(VLOOKUP(A128,'Données projet (1)'!$A$61:$I$81,5,0)),0%,VLOOKUP(A128,'Données projet (1)'!$A$61:$I$81,5,0)*VLOOKUP('Données projet (1)'!$B$10,'Paramètres (1)'!$A$1:$I$88,7,0))</f>
        <v>#REF!</v>
      </c>
      <c r="AS128" s="135" t="str">
        <f>IF(ISNA(VLOOKUP(A128,'Données projet (1)'!$A$61:$I$81,6,0)),0%,VLOOKUP(A128,'Données projet (1)'!$A$61:$I$81,6,0)*VLOOKUP('Données projet (1)'!$B$10,'Paramètres (1)'!$A$1:$I$88,7,0))</f>
        <v>#REF!</v>
      </c>
      <c r="AT128" s="135" t="str">
        <f t="shared" si="24"/>
        <v>#REF!</v>
      </c>
      <c r="AU128" s="142" t="str">
        <f>EXP(-LN(2)/35)*AU127+(1-EXP(-LN(2)/35))/(LN(2)/35)*AQ128*AR128*VLOOKUP('Données projet (1)'!$B$10,'Paramètres (1)'!$A$1:$I$88,3,0)*0.475*44/12</f>
        <v>#REF!</v>
      </c>
      <c r="AV128" s="142" t="str">
        <f>EXP(-LN(2)/25)*AV127+(1-EXP(-LN(2)/25))/(LN(2)/25)*'Calculateur (1)'!AQ128*'Calculateur (1)'!AS128*VLOOKUP('Données projet (1)'!$B$10,'Paramètres (1)'!$A$1:$I$88,3,0)*0.475*44/12</f>
        <v>#REF!</v>
      </c>
      <c r="AW128" s="142" t="str">
        <f>EXP(-LN(2)/2)*AW127+(1-EXP(-LN(2)/2))/(LN(2)/2)*AQ128*AT128*VLOOKUP('Données projet (1)'!$B$10,'Paramètres (1)'!$A$1:$I$88,3,0)*0.475*44/12</f>
        <v>#REF!</v>
      </c>
      <c r="AX128" s="142" t="str">
        <f t="shared" si="25"/>
        <v>#REF!</v>
      </c>
      <c r="AY128" s="137" t="str">
        <f t="shared" si="26"/>
        <v>#REF!</v>
      </c>
      <c r="AZ128" s="131">
        <f t="shared" si="27"/>
        <v>10</v>
      </c>
      <c r="BA128" s="131" t="str">
        <f t="shared" si="116"/>
        <v>#REF!</v>
      </c>
      <c r="BB128" s="131" t="str">
        <f t="shared" si="28"/>
        <v>#REF!</v>
      </c>
      <c r="BC128" s="131" t="str">
        <f t="array" ref="BC128">INDEX(BB:BB,MIN(IF(ISNUMBER(BB128:BB324),ROW(BB128:BB324),"")))</f>
        <v/>
      </c>
      <c r="BD128" s="131" t="str">
        <f t="shared" si="117"/>
        <v>#REF!</v>
      </c>
      <c r="BE128" s="130" t="str">
        <f>BD128*VLOOKUP('Données projet (1)'!$B$11,'Paramètres (1)'!$A$1:$I$88,3,0)*VLOOKUP('Données projet (1)'!$B$11,'Paramètres (1)'!$A$1:$I$88,5,0)</f>
        <v>#REF!</v>
      </c>
      <c r="BF128" s="130" t="str">
        <f t="shared" si="118"/>
        <v>#REF!</v>
      </c>
      <c r="BG128" s="141" t="str">
        <f t="shared" si="29"/>
        <v>#REF!</v>
      </c>
      <c r="BH128" s="133" t="str">
        <f t="shared" si="30"/>
        <v>#REF!</v>
      </c>
      <c r="BI128" s="133" t="str">
        <f t="shared" si="31"/>
        <v>#REF!</v>
      </c>
      <c r="BJ128" s="133" t="str">
        <f t="shared" si="119"/>
        <v>#REF!</v>
      </c>
      <c r="BK128" s="134" t="str">
        <f t="shared" si="32"/>
        <v>#REF!</v>
      </c>
      <c r="BL128" s="134" t="str">
        <f t="shared" si="33"/>
        <v>#REF!</v>
      </c>
      <c r="BM128" s="135" t="str">
        <f>IF(ISNA(VLOOKUP(A128,'Données projet (1)'!$A$87:$I$107,5,0)),0%,VLOOKUP(A128,'Données projet (1)'!$A$87:$I$107,5,0)*VLOOKUP('Données projet (1)'!$B$11,'Paramètres (1)'!$A$1:$I$88,7,0))</f>
        <v>#REF!</v>
      </c>
      <c r="BN128" s="135" t="str">
        <f>IF(ISNA(VLOOKUP(A128,'Données projet (1)'!$A$87:$I$107,6,0)),0%,VLOOKUP(A128,'Données projet (1)'!$A$87:$I$107,6,0)*VLOOKUP('Données projet (1)'!$B$11,'Paramètres (1)'!$A$1:$I$88,7,0))</f>
        <v>#REF!</v>
      </c>
      <c r="BO128" s="135" t="str">
        <f t="shared" si="34"/>
        <v>#REF!</v>
      </c>
      <c r="BP128" s="142" t="str">
        <f>EXP(-LN(2)/35)*BP127+(1-EXP(-LN(2)/35))/(LN(2)/35)*BL128*BM128*VLOOKUP('Données projet (1)'!$B$11,'Paramètres (1)'!$A$1:$I$88,3,0)*0.475*44/12</f>
        <v>#REF!</v>
      </c>
      <c r="BQ128" s="142" t="str">
        <f>EXP(-LN(2)/25)*BQ127+(1-EXP(-LN(2)/25))/(LN(2)/25)*'Calculateur (1)'!BL128*'Calculateur (1)'!BN128*VLOOKUP('Données projet (1)'!$B$11,'Paramètres (1)'!$A$1:$I$88,3,0)*0.475*44/12</f>
        <v>#REF!</v>
      </c>
      <c r="BR128" s="142" t="str">
        <f>EXP(-LN(2)/2)*BR127+(1-EXP(-LN(2)/2))/(LN(2)/2)*BL128*BO128*VLOOKUP('Données projet (1)'!$B$11,'Paramètres (1)'!$A$1:$I$88,3,0)*0.475*44/12</f>
        <v>#REF!</v>
      </c>
      <c r="BS128" s="143" t="str">
        <f t="shared" si="35"/>
        <v>#REF!</v>
      </c>
      <c r="BT128" s="139" t="str">
        <f t="shared" si="36"/>
        <v>#REF!</v>
      </c>
      <c r="BU128" s="131">
        <f t="shared" si="37"/>
        <v>10</v>
      </c>
      <c r="BV128" s="131" t="str">
        <f t="shared" si="120"/>
        <v>#REF!</v>
      </c>
      <c r="BW128" s="131" t="str">
        <f t="shared" si="38"/>
        <v>#REF!</v>
      </c>
      <c r="BX128" s="131" t="str">
        <f t="array" ref="BX128">INDEX(BW:BW,MIN(IF(ISNUMBER(BW128:BW324),ROW(BW128:BW324),"")))</f>
        <v/>
      </c>
      <c r="BY128" s="131" t="str">
        <f t="shared" si="121"/>
        <v>#REF!</v>
      </c>
      <c r="BZ128" s="130" t="str">
        <f>BY128*VLOOKUP('Données projet (1)'!$B$12,'Paramètres (1)'!$A$1:$I$88,3,0)*VLOOKUP('Données projet (1)'!$B$12,'Paramètres (1)'!$A$1:$I$88,5,0)</f>
        <v>#REF!</v>
      </c>
      <c r="CA128" s="130" t="str">
        <f t="shared" si="122"/>
        <v>#REF!</v>
      </c>
      <c r="CB128" s="141" t="str">
        <f t="shared" si="39"/>
        <v>#REF!</v>
      </c>
      <c r="CC128" s="133" t="str">
        <f t="shared" si="40"/>
        <v>#REF!</v>
      </c>
      <c r="CD128" s="133" t="str">
        <f t="shared" si="41"/>
        <v>#REF!</v>
      </c>
      <c r="CE128" s="133" t="str">
        <f t="shared" si="123"/>
        <v>#REF!</v>
      </c>
      <c r="CF128" s="134" t="str">
        <f t="shared" si="42"/>
        <v>#REF!</v>
      </c>
      <c r="CG128" s="134" t="str">
        <f t="shared" si="43"/>
        <v>#REF!</v>
      </c>
      <c r="CH128" s="135" t="str">
        <f>IF(ISNA(VLOOKUP(A128,'Données projet (1)'!$A$113:$I$133,5,0)),0%,VLOOKUP(A128,'Données projet (1)'!$A$113:$I$133,5,0)*VLOOKUP('Données projet (1)'!$B$12,'Paramètres (1)'!$A$1:$I$88,7,0))</f>
        <v>#REF!</v>
      </c>
      <c r="CI128" s="135" t="str">
        <f>IF(ISNA(VLOOKUP(A128,'Données projet (1)'!$A$113:$I$133,6,0)),0%,VLOOKUP(A128,'Données projet (1)'!$A$113:$I$133,6,0)*VLOOKUP('Données projet (1)'!$B$12,'Paramètres (1)'!$A$1:$I$88,7,0))</f>
        <v>#REF!</v>
      </c>
      <c r="CJ128" s="135" t="str">
        <f t="shared" si="44"/>
        <v>#REF!</v>
      </c>
      <c r="CK128" s="142" t="str">
        <f>EXP(-LN(2)/35)*CK127+(1-EXP(-LN(2)/35))/(LN(2)/35)*CG128*CH128*VLOOKUP('Données projet (1)'!$B$12,'Paramètres (1)'!$A$1:$I$88,3,0)*0.475*44/12</f>
        <v>#REF!</v>
      </c>
      <c r="CL128" s="142" t="str">
        <f>EXP(-LN(2)/25)*CL127+(1-EXP(-LN(2)/25))/(LN(2)/25)*'Calculateur (1)'!CG128*'Calculateur (1)'!CI128*VLOOKUP('Données projet (1)'!$B$12,'Paramètres (1)'!$A$1:$I$88,3,0)*0.475*44/12</f>
        <v>#REF!</v>
      </c>
      <c r="CM128" s="142" t="str">
        <f>EXP(-LN(2)/2)*CM127+(1-EXP(-LN(2)/2))/(LN(2)/2)*CG128*CJ128*VLOOKUP('Données projet (1)'!$B$12,'Paramètres (1)'!$A$1:$I$88,3,0)*0.475*44/12</f>
        <v>#REF!</v>
      </c>
      <c r="CN128" s="143" t="str">
        <f t="shared" si="45"/>
        <v>#REF!</v>
      </c>
      <c r="CO128" s="139" t="str">
        <f t="shared" si="46"/>
        <v>#REF!</v>
      </c>
      <c r="CP128" s="131">
        <f t="shared" si="47"/>
        <v>10</v>
      </c>
      <c r="CQ128" s="131" t="str">
        <f t="shared" si="124"/>
        <v>#REF!</v>
      </c>
      <c r="CR128" s="131" t="str">
        <f t="shared" si="48"/>
        <v>#REF!</v>
      </c>
      <c r="CS128" s="131" t="str">
        <f t="array" ref="CS128">INDEX(CR:CR,MIN(IF(ISNUMBER(CR128:CR324),ROW(CR128:CR324),"")))</f>
        <v/>
      </c>
      <c r="CT128" s="131" t="str">
        <f t="shared" si="125"/>
        <v>#REF!</v>
      </c>
      <c r="CU128" s="138" t="str">
        <f>CT128*VLOOKUP('Données projet (1)'!$B$13,'Paramètres (1)'!$A$1:$I$88,3,0)*VLOOKUP('Données projet (1)'!$B$13,'Paramètres (1)'!$A$1:$I$88,5,0)</f>
        <v>#REF!</v>
      </c>
      <c r="CV128" s="130" t="str">
        <f t="shared" si="126"/>
        <v>#REF!</v>
      </c>
      <c r="CW128" s="141" t="str">
        <f t="shared" si="49"/>
        <v>#REF!</v>
      </c>
      <c r="CX128" s="133" t="str">
        <f t="shared" si="50"/>
        <v>#REF!</v>
      </c>
      <c r="CY128" s="133" t="str">
        <f t="shared" si="51"/>
        <v>#REF!</v>
      </c>
      <c r="CZ128" s="133" t="str">
        <f t="shared" si="127"/>
        <v>#REF!</v>
      </c>
      <c r="DA128" s="134" t="str">
        <f t="shared" si="52"/>
        <v>#REF!</v>
      </c>
      <c r="DB128" s="134" t="str">
        <f t="shared" si="53"/>
        <v>#REF!</v>
      </c>
      <c r="DC128" s="135" t="str">
        <f>IF(ISNA(VLOOKUP(A128,'Données projet (1)'!$A$139:$I$159,5,0)),0%,VLOOKUP(A128,'Données projet (1)'!$A$139:$I$159,5,0)*VLOOKUP('Données projet (1)'!$B$13,'Paramètres (1)'!$A$1:$I$88,7,0))</f>
        <v>#REF!</v>
      </c>
      <c r="DD128" s="135" t="str">
        <f>IF(ISNA(VLOOKUP(A128,'Données projet (1)'!$A$139:$I$159,6,0)),0%,VLOOKUP(A128,'Données projet (1)'!$A$139:$I$159,6,0)*VLOOKUP('Données projet (1)'!$B$13,'Paramètres (1)'!$A$1:$I$88,7,0))</f>
        <v>#REF!</v>
      </c>
      <c r="DE128" s="135" t="str">
        <f t="shared" si="54"/>
        <v>#REF!</v>
      </c>
      <c r="DF128" s="142" t="str">
        <f>EXP(-LN(2)/35)*DF127+(1-EXP(-LN(2)/35))/(LN(2)/35)*DB128*DC128*VLOOKUP('Données projet (1)'!$B$13,'Paramètres (1)'!$A$1:$I$88,3,0)*0.475*44/12</f>
        <v>#REF!</v>
      </c>
      <c r="DG128" s="142" t="str">
        <f>EXP(-LN(2)/25)*DG127+(1-EXP(-LN(2)/25))/(LN(2)/25)*'Calculateur (1)'!DB128*'Calculateur (1)'!DD128*VLOOKUP('Données projet (1)'!$B$13,'Paramètres (1)'!$A$1:$I$88,3,0)*0.475*44/12</f>
        <v>#REF!</v>
      </c>
      <c r="DH128" s="142" t="str">
        <f>EXP(-LN(2)/2)*DH127+(1-EXP(-LN(2)/2))/(LN(2)/2)*DB128*DE128*VLOOKUP('Données projet (1)'!$B$13,'Paramètres (1)'!$A$1:$I$88,3,0)*0.475*44/12</f>
        <v>#REF!</v>
      </c>
      <c r="DI128" s="143" t="str">
        <f t="shared" si="55"/>
        <v>#REF!</v>
      </c>
      <c r="DJ128" s="139" t="str">
        <f t="shared" si="56"/>
        <v>#REF!</v>
      </c>
      <c r="DK128" s="131">
        <f t="shared" si="57"/>
        <v>10</v>
      </c>
      <c r="DL128" s="131" t="str">
        <f t="shared" si="128"/>
        <v>#REF!</v>
      </c>
      <c r="DM128" s="131" t="str">
        <f t="shared" si="58"/>
        <v>#REF!</v>
      </c>
      <c r="DN128" s="131" t="str">
        <f t="array" ref="DN128">INDEX(DM:DM,MIN(IF(ISNUMBER(DM128:DM324),ROW(DM128:DM324),"")))</f>
        <v/>
      </c>
      <c r="DO128" s="131" t="str">
        <f t="shared" si="129"/>
        <v>#REF!</v>
      </c>
      <c r="DP128" s="138" t="str">
        <f>DO128*VLOOKUP('Données projet (1)'!$B$14,'Paramètres (1)'!$A$1:$I$88,3,0)*VLOOKUP('Données projet (1)'!$B$14,'Paramètres (1)'!$A$1:$I$88,5,0)</f>
        <v>#REF!</v>
      </c>
      <c r="DQ128" s="130" t="str">
        <f t="shared" si="130"/>
        <v>#REF!</v>
      </c>
      <c r="DR128" s="141" t="str">
        <f t="shared" si="59"/>
        <v>#REF!</v>
      </c>
      <c r="DS128" s="133" t="str">
        <f t="shared" si="60"/>
        <v>#REF!</v>
      </c>
      <c r="DT128" s="133" t="str">
        <f t="shared" si="61"/>
        <v>#REF!</v>
      </c>
      <c r="DU128" s="133" t="str">
        <f t="shared" si="131"/>
        <v>#REF!</v>
      </c>
      <c r="DV128" s="134" t="str">
        <f t="shared" si="62"/>
        <v>#REF!</v>
      </c>
      <c r="DW128" s="134" t="str">
        <f t="shared" si="63"/>
        <v>#REF!</v>
      </c>
      <c r="DX128" s="135" t="str">
        <f>IF(ISNA(VLOOKUP(A128,'Données projet (1)'!$A$165:$I$185,5,0)),0%,VLOOKUP(A128,'Données projet (1)'!$A$165:$I$185,5,0)*VLOOKUP('Données projet (1)'!$B$14,'Paramètres (1)'!$A$1:$I$88,7,0))</f>
        <v>#REF!</v>
      </c>
      <c r="DY128" s="135" t="str">
        <f>IF(ISNA(VLOOKUP(A128,'Données projet (1)'!$A$165:$I$185,6,0)),0%,VLOOKUP(A128,'Données projet (1)'!$A$165:$I$185,6,0)*VLOOKUP('Données projet (1)'!$B$14,'Paramètres (1)'!$A$1:$I$88,7,0))</f>
        <v>#REF!</v>
      </c>
      <c r="DZ128" s="135" t="str">
        <f t="shared" si="64"/>
        <v>#REF!</v>
      </c>
      <c r="EA128" s="142" t="str">
        <f>EXP(-LN(2)/35)*EA127+(1-EXP(-LN(2)/35))/(LN(2)/35)*DW128*DX128*VLOOKUP('Données projet (1)'!$B$14,'Paramètres (1)'!$A$1:$I$88,3,0)*0.475*44/12</f>
        <v>#REF!</v>
      </c>
      <c r="EB128" s="142" t="str">
        <f>EXP(-LN(2)/25)*EB127+(1-EXP(-LN(2)/25))/(LN(2)/25)*'Calculateur (1)'!DW128*'Calculateur (1)'!DY128*VLOOKUP('Données projet (1)'!$B$14,'Paramètres (1)'!$A$1:$I$88,3,0)*0.475*44/12</f>
        <v>#REF!</v>
      </c>
      <c r="EC128" s="142" t="str">
        <f>EXP(-LN(2)/2)*EC127+(1-EXP(-LN(2)/2))/(LN(2)/2)*DW128*DZ128*VLOOKUP('Données projet (1)'!$B$14,'Paramètres (1)'!$A$1:$I$88,3,0)*0.475*44/12</f>
        <v>#REF!</v>
      </c>
      <c r="ED128" s="143" t="str">
        <f t="shared" si="65"/>
        <v>#REF!</v>
      </c>
      <c r="EE128" s="139" t="str">
        <f t="shared" si="66"/>
        <v>#REF!</v>
      </c>
      <c r="EF128" s="131">
        <f t="shared" si="67"/>
        <v>10</v>
      </c>
      <c r="EG128" s="131" t="str">
        <f t="shared" si="132"/>
        <v>#REF!</v>
      </c>
      <c r="EH128" s="131" t="str">
        <f t="shared" si="68"/>
        <v>#REF!</v>
      </c>
      <c r="EI128" s="131" t="str">
        <f t="array" ref="EI128">INDEX(EH:EH,MIN(IF(ISNUMBER(EH128:EH324),ROW(EH128:EH324),"")))</f>
        <v/>
      </c>
      <c r="EJ128" s="131" t="str">
        <f t="shared" si="133"/>
        <v>#REF!</v>
      </c>
      <c r="EK128" s="138" t="str">
        <f>EJ128*VLOOKUP('Données projet (1)'!$B$15,'Paramètres (1)'!$A$1:$I$88,3,0)*VLOOKUP('Données projet (1)'!$B$15,'Paramètres (1)'!$A$1:$I$88,5,0)</f>
        <v>#REF!</v>
      </c>
      <c r="EL128" s="130" t="str">
        <f t="shared" si="134"/>
        <v>#REF!</v>
      </c>
      <c r="EM128" s="141" t="str">
        <f t="shared" si="69"/>
        <v>#REF!</v>
      </c>
      <c r="EN128" s="133" t="str">
        <f t="shared" si="70"/>
        <v>#REF!</v>
      </c>
      <c r="EO128" s="133" t="str">
        <f t="shared" si="71"/>
        <v>#REF!</v>
      </c>
      <c r="EP128" s="133" t="str">
        <f t="shared" si="135"/>
        <v>#REF!</v>
      </c>
      <c r="EQ128" s="134" t="str">
        <f t="shared" si="72"/>
        <v>#REF!</v>
      </c>
      <c r="ER128" s="134" t="str">
        <f t="shared" si="73"/>
        <v>#REF!</v>
      </c>
      <c r="ES128" s="135" t="str">
        <f>IF(ISNA(VLOOKUP(A128,'Données projet (1)'!$A$191:$I$211,5,0)),0%,VLOOKUP(A128,'Données projet (1)'!$A$191:$I$211,5,0)*VLOOKUP('Données projet (1)'!$B$15,'Paramètres (1)'!$A$1:$I$88,7,0))</f>
        <v>#REF!</v>
      </c>
      <c r="ET128" s="135" t="str">
        <f>IF(ISNA(VLOOKUP(A128,'Données projet (1)'!$A$191:$I$211,6,0)),0%,VLOOKUP(A128,'Données projet (1)'!$A$191:$I$211,6,0)*VLOOKUP('Données projet (1)'!$B$15,'Paramètres (1)'!$A$1:$I$88,7,0))</f>
        <v>#REF!</v>
      </c>
      <c r="EU128" s="135" t="str">
        <f t="shared" si="74"/>
        <v>#REF!</v>
      </c>
      <c r="EV128" s="142" t="str">
        <f>EXP(-LN(2)/35)*EV127+(1-EXP(-LN(2)/35))/(LN(2)/35)*ER128*ES128*VLOOKUP('Données projet (1)'!$B$15,'Paramètres (1)'!$A$1:$I$88,3,0)*0.475*44/12</f>
        <v>#REF!</v>
      </c>
      <c r="EW128" s="142" t="str">
        <f>EXP(-LN(2)/25)*EW127+(1-EXP(-LN(2)/25))/(LN(2)/25)*'Calculateur (1)'!ER128*'Calculateur (1)'!ET128*VLOOKUP('Données projet (1)'!$B$15,'Paramètres (1)'!$A$1:$I$88,3,0)*0.475*44/12</f>
        <v>#REF!</v>
      </c>
      <c r="EX128" s="142" t="str">
        <f>EXP(-LN(2)/2)*EX127+(1-EXP(-LN(2)/2))/(LN(2)/2)*ER128*EU128*VLOOKUP('Données projet (1)'!$B$15,'Paramètres (1)'!$A$1:$I$88,3,0)*0.475*44/12</f>
        <v>#REF!</v>
      </c>
      <c r="EY128" s="143" t="str">
        <f t="shared" si="75"/>
        <v>#REF!</v>
      </c>
      <c r="EZ128" s="139" t="str">
        <f t="shared" si="76"/>
        <v>#REF!</v>
      </c>
      <c r="FA128" s="131">
        <f t="shared" si="77"/>
        <v>10</v>
      </c>
      <c r="FB128" s="131" t="str">
        <f t="shared" si="136"/>
        <v>#REF!</v>
      </c>
      <c r="FC128" s="131" t="str">
        <f t="shared" si="78"/>
        <v>#REF!</v>
      </c>
      <c r="FD128" s="131" t="str">
        <f t="array" ref="FD128">INDEX(FC:FC,MIN(IF(ISNUMBER(FC128:FC324),ROW(FC128:FC324),"")))</f>
        <v/>
      </c>
      <c r="FE128" s="131" t="str">
        <f t="shared" si="137"/>
        <v>#REF!</v>
      </c>
      <c r="FF128" s="138" t="str">
        <f>FE128*VLOOKUP('Données projet (1)'!$B$16,'Paramètres (1)'!$A$1:$I$88,3,0)*VLOOKUP('Données projet (1)'!$B$16,'Paramètres (1)'!$A$1:$I$88,5,0)</f>
        <v>#REF!</v>
      </c>
      <c r="FG128" s="130" t="str">
        <f t="shared" si="138"/>
        <v>#REF!</v>
      </c>
      <c r="FH128" s="141" t="str">
        <f t="shared" si="79"/>
        <v>#REF!</v>
      </c>
      <c r="FI128" s="133" t="str">
        <f t="shared" si="80"/>
        <v>#REF!</v>
      </c>
      <c r="FJ128" s="133" t="str">
        <f t="shared" si="81"/>
        <v>#REF!</v>
      </c>
      <c r="FK128" s="133" t="str">
        <f t="shared" si="139"/>
        <v>#REF!</v>
      </c>
      <c r="FL128" s="134" t="str">
        <f t="shared" si="82"/>
        <v>#REF!</v>
      </c>
      <c r="FM128" s="134" t="str">
        <f t="shared" si="83"/>
        <v>#REF!</v>
      </c>
      <c r="FN128" s="135" t="str">
        <f>IF(ISNA(VLOOKUP(A128,'Données projet (1)'!$A$217:$I$237,5,0)),0%,VLOOKUP(A128,'Données projet (1)'!$A$217:$I$237,5,0)*VLOOKUP('Données projet (1)'!$B$16,'Paramètres (1)'!$A$1:$I$88,7,0))</f>
        <v>#REF!</v>
      </c>
      <c r="FO128" s="135" t="str">
        <f>IF(ISNA(VLOOKUP(A128,'Données projet (1)'!$A$217:$I$237,6,0)),0%,VLOOKUP(A128,'Données projet (1)'!$A$217:$I$237,6,0)*VLOOKUP('Données projet (1)'!$B$16,'Paramètres (1)'!$A$1:$I$88,7,0))</f>
        <v>#REF!</v>
      </c>
      <c r="FP128" s="135" t="str">
        <f t="shared" si="84"/>
        <v>#REF!</v>
      </c>
      <c r="FQ128" s="142" t="str">
        <f>EXP(-LN(2)/35)*FQ127+(1-EXP(-LN(2)/35))/(LN(2)/35)*FM128*FN128*VLOOKUP('Données projet (1)'!$B$16,'Paramètres (1)'!$A$1:$I$88,3,0)*0.475*44/12</f>
        <v>#REF!</v>
      </c>
      <c r="FR128" s="142" t="str">
        <f>EXP(-LN(2)/25)*FR127+(1-EXP(-LN(2)/25))/(LN(2)/25)*'Calculateur (1)'!FM128*'Calculateur (1)'!FO128*VLOOKUP('Données projet (1)'!$B$16,'Paramètres (1)'!$A$1:$I$88,3,0)*0.475*44/12</f>
        <v>#REF!</v>
      </c>
      <c r="FS128" s="142" t="str">
        <f>EXP(-LN(2)/2)*FS127+(1-EXP(-LN(2)/2))/(LN(2)/2)*FM128*FP128*VLOOKUP('Données projet (1)'!$B$16,'Paramètres (1)'!$A$1:$I$88,3,0)*0.475*44/12</f>
        <v>#REF!</v>
      </c>
      <c r="FT128" s="143" t="str">
        <f t="shared" si="85"/>
        <v>#REF!</v>
      </c>
      <c r="FU128" s="139" t="str">
        <f t="shared" si="86"/>
        <v>#REF!</v>
      </c>
      <c r="FV128" s="131">
        <f t="shared" si="87"/>
        <v>10</v>
      </c>
      <c r="FW128" s="131" t="str">
        <f t="shared" si="140"/>
        <v>#REF!</v>
      </c>
      <c r="FX128" s="131" t="str">
        <f t="shared" si="88"/>
        <v>#REF!</v>
      </c>
      <c r="FY128" s="131" t="str">
        <f t="array" ref="FY128">INDEX(FX:FX,MIN(IF(ISNUMBER(FX128:FX324),ROW(FX128:FX324),"")))</f>
        <v/>
      </c>
      <c r="FZ128" s="131" t="str">
        <f t="shared" si="141"/>
        <v>#REF!</v>
      </c>
      <c r="GA128" s="138" t="str">
        <f>FZ128*VLOOKUP('Données projet (1)'!$B$17,'Paramètres (1)'!$A$1:$I$88,3,0)*VLOOKUP('Données projet (1)'!$B$17,'Paramètres (1)'!$A$1:$I$88,5,0)</f>
        <v>#REF!</v>
      </c>
      <c r="GB128" s="130" t="str">
        <f t="shared" si="142"/>
        <v>#REF!</v>
      </c>
      <c r="GC128" s="141" t="str">
        <f t="shared" si="89"/>
        <v>#REF!</v>
      </c>
      <c r="GD128" s="133" t="str">
        <f t="shared" si="90"/>
        <v>#REF!</v>
      </c>
      <c r="GE128" s="133" t="str">
        <f t="shared" si="91"/>
        <v>#REF!</v>
      </c>
      <c r="GF128" s="133" t="str">
        <f t="shared" si="143"/>
        <v>#REF!</v>
      </c>
      <c r="GG128" s="134" t="str">
        <f t="shared" si="92"/>
        <v>#REF!</v>
      </c>
      <c r="GH128" s="134" t="str">
        <f t="shared" si="93"/>
        <v>#REF!</v>
      </c>
      <c r="GI128" s="135" t="str">
        <f>IF(ISNA(VLOOKUP(A128,'Données projet (1)'!$A$243:$I$263,5,0)),0%,VLOOKUP(A128,'Données projet (1)'!$A$243:$I$263,5,0)*VLOOKUP('Données projet (1)'!$B$17,'Paramètres (1)'!$A$1:$I$88,7,0))</f>
        <v>#REF!</v>
      </c>
      <c r="GJ128" s="135" t="str">
        <f>IF(ISNA(VLOOKUP(A128,'Données projet (1)'!$A$243:$I$263,6,0)),0%,VLOOKUP(A128,'Données projet (1)'!$A$243:$I$263,6,0)*VLOOKUP('Données projet (1)'!$B$17,'Paramètres (1)'!$A$1:$I$88,7,0))</f>
        <v>#REF!</v>
      </c>
      <c r="GK128" s="135" t="str">
        <f t="shared" si="94"/>
        <v>#REF!</v>
      </c>
      <c r="GL128" s="142" t="str">
        <f>EXP(-LN(2)/35)*GL127+(1-EXP(-LN(2)/35))/(LN(2)/35)*GH128*GI128*VLOOKUP('Données projet (1)'!$B$17,'Paramètres (1)'!$A$1:$I$88,3,0)*0.475*44/12</f>
        <v>#REF!</v>
      </c>
      <c r="GM128" s="142" t="str">
        <f>EXP(-LN(2)/25)*GM127+(1-EXP(-LN(2)/25))/(LN(2)/25)*'Calculateur (1)'!GH128*'Calculateur (1)'!GJ128*VLOOKUP('Données projet (1)'!$B$17,'Paramètres (1)'!$A$1:$I$88,3,0)*0.475*44/12</f>
        <v>#REF!</v>
      </c>
      <c r="GN128" s="142" t="str">
        <f>EXP(-LN(2)/2)*GN127+(1-EXP(-LN(2)/2))/(LN(2)/2)*GH128*GK128*VLOOKUP('Données projet (1)'!$B$17,'Paramètres (1)'!$A$1:$I$88,3,0)*0.475*44/12</f>
        <v>#REF!</v>
      </c>
      <c r="GO128" s="142" t="str">
        <f t="shared" si="95"/>
        <v>#REF!</v>
      </c>
      <c r="GP128" s="139" t="str">
        <f t="shared" si="96"/>
        <v>#REF!</v>
      </c>
      <c r="GQ128" s="131">
        <f t="shared" si="97"/>
        <v>10</v>
      </c>
      <c r="GR128" s="131" t="str">
        <f t="shared" si="144"/>
        <v>#REF!</v>
      </c>
      <c r="GS128" s="131" t="str">
        <f t="shared" si="98"/>
        <v>#REF!</v>
      </c>
      <c r="GT128" s="131" t="str">
        <f t="array" ref="GT128">INDEX(GS:GS,MIN(IF(ISNUMBER(GS128:GS324),ROW(GS128:GS324),"")))</f>
        <v/>
      </c>
      <c r="GU128" s="131" t="str">
        <f t="shared" si="145"/>
        <v>#REF!</v>
      </c>
      <c r="GV128" s="138" t="str">
        <f>GU128*VLOOKUP('Données projet (1)'!$B$18,'Paramètres (1)'!$A$1:$I$88,3,0)*VLOOKUP('Données projet (1)'!$B$18,'Paramètres (1)'!$A$1:$I$88,5,0)</f>
        <v>#REF!</v>
      </c>
      <c r="GW128" s="130" t="str">
        <f t="shared" si="146"/>
        <v>#REF!</v>
      </c>
      <c r="GX128" s="141" t="str">
        <f t="shared" si="99"/>
        <v>#REF!</v>
      </c>
      <c r="GY128" s="133" t="str">
        <f t="shared" si="100"/>
        <v>#REF!</v>
      </c>
      <c r="GZ128" s="133" t="str">
        <f t="shared" si="101"/>
        <v>#REF!</v>
      </c>
      <c r="HA128" s="133" t="str">
        <f t="shared" si="147"/>
        <v>#REF!</v>
      </c>
      <c r="HB128" s="134" t="str">
        <f t="shared" si="102"/>
        <v>#REF!</v>
      </c>
      <c r="HC128" s="134" t="str">
        <f t="shared" si="103"/>
        <v>#REF!</v>
      </c>
      <c r="HD128" s="135" t="str">
        <f>IF(ISNA(VLOOKUP(A128,'Données projet (1)'!$A$269:$I$289,5,0)),0%,VLOOKUP(A128,'Données projet (1)'!$A$269:$I$289,5,0)*VLOOKUP('Données projet (1)'!$B$18,'Paramètres (1)'!$A$1:$I$88,7,0))</f>
        <v>#REF!</v>
      </c>
      <c r="HE128" s="135" t="str">
        <f>IF(ISNA(VLOOKUP(A128,'Données projet (1)'!$A$269:$I$289,6,0)),0%,VLOOKUP(A128,'Données projet (1)'!$A$269:$I$289,6,0)*VLOOKUP('Données projet (1)'!$B$18,'Paramètres (1)'!$A$1:$I$88,7,0))</f>
        <v>#REF!</v>
      </c>
      <c r="HF128" s="135" t="str">
        <f t="shared" si="104"/>
        <v>#REF!</v>
      </c>
      <c r="HG128" s="142" t="str">
        <f>EXP(-LN(2)/35)*HG127+(1-EXP(-LN(2)/35))/(LN(2)/35)*HC128*HD128*VLOOKUP('Données projet (1)'!$B$18,'Paramètres (1)'!$A$1:$I$88,3,0)*0.475*44/12</f>
        <v>#REF!</v>
      </c>
      <c r="HH128" s="142" t="str">
        <f>EXP(-LN(2)/25)*HH127+(1-EXP(-LN(2)/25))/(LN(2)/25)*'Calculateur (1)'!HC128*'Calculateur (1)'!HE128*VLOOKUP('Données projet (1)'!$B$18,'Paramètres (1)'!$A$1:$I$88,3,0)*0.475*44/12</f>
        <v>#REF!</v>
      </c>
      <c r="HI128" s="142" t="str">
        <f>EXP(-LN(2)/2)*HI127+(1-EXP(-LN(2)/2))/(LN(2)/2)*HC128*HF128*VLOOKUP('Données projet (1)'!$B$18,'Paramètres (1)'!$A$1:$I$88,3,0)*0.475*44/12</f>
        <v>#REF!</v>
      </c>
      <c r="HJ128" s="143" t="str">
        <f t="shared" si="105"/>
        <v>#REF!</v>
      </c>
    </row>
    <row r="129" ht="14.25" customHeight="1">
      <c r="A129" s="125">
        <f t="shared" si="106"/>
        <v>126</v>
      </c>
      <c r="B129" s="126" t="str">
        <f t="shared" si="1"/>
        <v>#REF!</v>
      </c>
      <c r="C129" s="140" t="str">
        <f>'Calculateur (1)'!C128+'Scénario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9" s="127">
        <f t="shared" si="107"/>
        <v>0</v>
      </c>
      <c r="E129" s="127" t="str">
        <f t="shared" si="2"/>
        <v>#REF!</v>
      </c>
      <c r="F129" s="127" t="str">
        <f t="shared" si="3"/>
        <v>#REF!</v>
      </c>
      <c r="G129" s="127" t="str">
        <f t="shared" si="4"/>
        <v>#REF!</v>
      </c>
      <c r="H129" s="128" t="str">
        <f t="shared" si="5"/>
        <v>#REF!</v>
      </c>
      <c r="I129" s="129" t="str">
        <f t="shared" si="6"/>
        <v>#REF!</v>
      </c>
      <c r="J129" s="130">
        <f t="shared" si="7"/>
        <v>10</v>
      </c>
      <c r="K129" s="131" t="str">
        <f t="shared" si="108"/>
        <v>#REF!</v>
      </c>
      <c r="L129" s="131" t="str">
        <f t="shared" si="8"/>
        <v>#REF!</v>
      </c>
      <c r="M129" s="131" t="str">
        <f t="array" ref="M129">INDEX(L:L,MIN(IF(ISNUMBER(L129:L325),ROW(L129:L325),"")))</f>
        <v/>
      </c>
      <c r="N129" s="130" t="str">
        <f t="shared" si="109"/>
        <v>#REF!</v>
      </c>
      <c r="O129" s="130" t="str">
        <f>N129*VLOOKUP('Données projet (1)'!$B$9,'Paramètres (1)'!$A$1:$I$88,3,0)*VLOOKUP('Données projet (1)'!$B$9,'Paramètres (1)'!$A$1:$I$88,5,0)</f>
        <v>#REF!</v>
      </c>
      <c r="P129" s="130" t="str">
        <f t="shared" si="110"/>
        <v>#REF!</v>
      </c>
      <c r="Q129" s="141" t="str">
        <f t="shared" si="9"/>
        <v>#REF!</v>
      </c>
      <c r="R129" s="133" t="str">
        <f t="shared" si="10"/>
        <v>#REF!</v>
      </c>
      <c r="S129" s="133" t="str">
        <f t="shared" si="11"/>
        <v>#REF!</v>
      </c>
      <c r="T129" s="133" t="str">
        <f t="shared" si="111"/>
        <v>#REF!</v>
      </c>
      <c r="U129" s="134" t="str">
        <f t="shared" si="12"/>
        <v>#REF!</v>
      </c>
      <c r="V129" s="134" t="str">
        <f t="shared" si="13"/>
        <v>#REF!</v>
      </c>
      <c r="W129" s="135" t="str">
        <f>IF(ISNA(VLOOKUP(A129,'Données projet (1)'!$A$35:$I$55,5,0)),0%,VLOOKUP(A129,'Données projet (1)'!$A$35:$I$55,5,0)*VLOOKUP('Données projet (1)'!$B$9,'Paramètres (1)'!$A$1:$I$88,7,0))</f>
        <v>#REF!</v>
      </c>
      <c r="X129" s="135" t="str">
        <f>IF(ISNA(VLOOKUP(A129,'Données projet (1)'!$A$35:$I$55,6,0)),0%,VLOOKUP(A129,'Données projet (1)'!$A$35:$I$55,6,0)*VLOOKUP('Données projet (1)'!$B$9,'Paramètres (1)'!$A$1:$I$88,7,0))</f>
        <v>#REF!</v>
      </c>
      <c r="Y129" s="135" t="str">
        <f t="shared" si="14"/>
        <v>#REF!</v>
      </c>
      <c r="Z129" s="142" t="str">
        <f>EXP(-LN(2)/35)*Z128+(1-EXP(-LN(2)/35))/(LN(2)/35)*V129*W129*VLOOKUP('Données projet (1)'!$B$9,'Paramètres (1)'!$A$1:$I$88,3,0)*0.475*44/12</f>
        <v>#REF!</v>
      </c>
      <c r="AA129" s="142" t="str">
        <f>EXP(-LN(2)/25)*AA128+(1-EXP(-LN(2)/25))/(LN(2)/25)*'Calculateur (1)'!V129*'Calculateur (1)'!X129*VLOOKUP('Données projet (1)'!$B$9,'Paramètres (1)'!$A$1:$I$88,3,0)*0.475*44/12</f>
        <v>#REF!</v>
      </c>
      <c r="AB129" s="142" t="str">
        <f>EXP(-LN(2)/2)*AB128+(1-EXP(-LN(2)/2))/(LN(2)/2)*V129*Y129*VLOOKUP('Données projet (1)'!$B$9,'Paramètres (1)'!$A$1:$I$88,3,0)*0.475*44/12</f>
        <v>#REF!</v>
      </c>
      <c r="AC129" s="143" t="str">
        <f t="shared" si="15"/>
        <v>#REF!</v>
      </c>
      <c r="AD129" s="130" t="str">
        <f t="shared" si="16"/>
        <v>#REF!</v>
      </c>
      <c r="AE129" s="130">
        <f t="shared" si="17"/>
        <v>10</v>
      </c>
      <c r="AF129" s="131" t="str">
        <f t="shared" si="112"/>
        <v>#REF!</v>
      </c>
      <c r="AG129" s="131" t="str">
        <f t="shared" si="18"/>
        <v>#REF!</v>
      </c>
      <c r="AH129" s="131" t="str">
        <f t="array" ref="AH129">INDEX(AG:AG,MIN(IF(ISNUMBER(AG129:AG325),ROW(AG129:AG325),"")))</f>
        <v/>
      </c>
      <c r="AI129" s="130" t="str">
        <f t="shared" si="113"/>
        <v>#REF!</v>
      </c>
      <c r="AJ129" s="130" t="str">
        <f>AI129*VLOOKUP('Données projet (1)'!$B$10,'Paramètres (1)'!$A$1:$I$88,3,0)*VLOOKUP('Données projet (1)'!$B$10,'Paramètres (1)'!$A$1:$I$88,5,0)</f>
        <v>#REF!</v>
      </c>
      <c r="AK129" s="130" t="str">
        <f t="shared" si="114"/>
        <v>#REF!</v>
      </c>
      <c r="AL129" s="141" t="str">
        <f t="shared" si="19"/>
        <v>#REF!</v>
      </c>
      <c r="AM129" s="133" t="str">
        <f t="shared" si="20"/>
        <v>#REF!</v>
      </c>
      <c r="AN129" s="133" t="str">
        <f t="shared" si="21"/>
        <v>#REF!</v>
      </c>
      <c r="AO129" s="133" t="str">
        <f t="shared" si="115"/>
        <v>#REF!</v>
      </c>
      <c r="AP129" s="134" t="str">
        <f t="shared" si="22"/>
        <v>#REF!</v>
      </c>
      <c r="AQ129" s="134" t="str">
        <f t="shared" si="23"/>
        <v>#REF!</v>
      </c>
      <c r="AR129" s="135" t="str">
        <f>IF(ISNA(VLOOKUP(A129,'Données projet (1)'!$A$61:$I$81,5,0)),0%,VLOOKUP(A129,'Données projet (1)'!$A$61:$I$81,5,0)*VLOOKUP('Données projet (1)'!$B$10,'Paramètres (1)'!$A$1:$I$88,7,0))</f>
        <v>#REF!</v>
      </c>
      <c r="AS129" s="135" t="str">
        <f>IF(ISNA(VLOOKUP(A129,'Données projet (1)'!$A$61:$I$81,6,0)),0%,VLOOKUP(A129,'Données projet (1)'!$A$61:$I$81,6,0)*VLOOKUP('Données projet (1)'!$B$10,'Paramètres (1)'!$A$1:$I$88,7,0))</f>
        <v>#REF!</v>
      </c>
      <c r="AT129" s="135" t="str">
        <f t="shared" si="24"/>
        <v>#REF!</v>
      </c>
      <c r="AU129" s="142" t="str">
        <f>EXP(-LN(2)/35)*AU128+(1-EXP(-LN(2)/35))/(LN(2)/35)*AQ129*AR129*VLOOKUP('Données projet (1)'!$B$10,'Paramètres (1)'!$A$1:$I$88,3,0)*0.475*44/12</f>
        <v>#REF!</v>
      </c>
      <c r="AV129" s="142" t="str">
        <f>EXP(-LN(2)/25)*AV128+(1-EXP(-LN(2)/25))/(LN(2)/25)*'Calculateur (1)'!AQ129*'Calculateur (1)'!AS129*VLOOKUP('Données projet (1)'!$B$10,'Paramètres (1)'!$A$1:$I$88,3,0)*0.475*44/12</f>
        <v>#REF!</v>
      </c>
      <c r="AW129" s="142" t="str">
        <f>EXP(-LN(2)/2)*AW128+(1-EXP(-LN(2)/2))/(LN(2)/2)*AQ129*AT129*VLOOKUP('Données projet (1)'!$B$10,'Paramètres (1)'!$A$1:$I$88,3,0)*0.475*44/12</f>
        <v>#REF!</v>
      </c>
      <c r="AX129" s="142" t="str">
        <f t="shared" si="25"/>
        <v>#REF!</v>
      </c>
      <c r="AY129" s="137" t="str">
        <f t="shared" si="26"/>
        <v>#REF!</v>
      </c>
      <c r="AZ129" s="131">
        <f t="shared" si="27"/>
        <v>10</v>
      </c>
      <c r="BA129" s="131" t="str">
        <f t="shared" si="116"/>
        <v>#REF!</v>
      </c>
      <c r="BB129" s="131" t="str">
        <f t="shared" si="28"/>
        <v>#REF!</v>
      </c>
      <c r="BC129" s="131" t="str">
        <f t="array" ref="BC129">INDEX(BB:BB,MIN(IF(ISNUMBER(BB129:BB325),ROW(BB129:BB325),"")))</f>
        <v/>
      </c>
      <c r="BD129" s="131" t="str">
        <f t="shared" si="117"/>
        <v>#REF!</v>
      </c>
      <c r="BE129" s="130" t="str">
        <f>BD129*VLOOKUP('Données projet (1)'!$B$11,'Paramètres (1)'!$A$1:$I$88,3,0)*VLOOKUP('Données projet (1)'!$B$11,'Paramètres (1)'!$A$1:$I$88,5,0)</f>
        <v>#REF!</v>
      </c>
      <c r="BF129" s="130" t="str">
        <f t="shared" si="118"/>
        <v>#REF!</v>
      </c>
      <c r="BG129" s="141" t="str">
        <f t="shared" si="29"/>
        <v>#REF!</v>
      </c>
      <c r="BH129" s="133" t="str">
        <f t="shared" si="30"/>
        <v>#REF!</v>
      </c>
      <c r="BI129" s="133" t="str">
        <f t="shared" si="31"/>
        <v>#REF!</v>
      </c>
      <c r="BJ129" s="133" t="str">
        <f t="shared" si="119"/>
        <v>#REF!</v>
      </c>
      <c r="BK129" s="134" t="str">
        <f t="shared" si="32"/>
        <v>#REF!</v>
      </c>
      <c r="BL129" s="134" t="str">
        <f t="shared" si="33"/>
        <v>#REF!</v>
      </c>
      <c r="BM129" s="135" t="str">
        <f>IF(ISNA(VLOOKUP(A129,'Données projet (1)'!$A$87:$I$107,5,0)),0%,VLOOKUP(A129,'Données projet (1)'!$A$87:$I$107,5,0)*VLOOKUP('Données projet (1)'!$B$11,'Paramètres (1)'!$A$1:$I$88,7,0))</f>
        <v>#REF!</v>
      </c>
      <c r="BN129" s="135" t="str">
        <f>IF(ISNA(VLOOKUP(A129,'Données projet (1)'!$A$87:$I$107,6,0)),0%,VLOOKUP(A129,'Données projet (1)'!$A$87:$I$107,6,0)*VLOOKUP('Données projet (1)'!$B$11,'Paramètres (1)'!$A$1:$I$88,7,0))</f>
        <v>#REF!</v>
      </c>
      <c r="BO129" s="135" t="str">
        <f t="shared" si="34"/>
        <v>#REF!</v>
      </c>
      <c r="BP129" s="142" t="str">
        <f>EXP(-LN(2)/35)*BP128+(1-EXP(-LN(2)/35))/(LN(2)/35)*BL129*BM129*VLOOKUP('Données projet (1)'!$B$11,'Paramètres (1)'!$A$1:$I$88,3,0)*0.475*44/12</f>
        <v>#REF!</v>
      </c>
      <c r="BQ129" s="142" t="str">
        <f>EXP(-LN(2)/25)*BQ128+(1-EXP(-LN(2)/25))/(LN(2)/25)*'Calculateur (1)'!BL129*'Calculateur (1)'!BN129*VLOOKUP('Données projet (1)'!$B$11,'Paramètres (1)'!$A$1:$I$88,3,0)*0.475*44/12</f>
        <v>#REF!</v>
      </c>
      <c r="BR129" s="142" t="str">
        <f>EXP(-LN(2)/2)*BR128+(1-EXP(-LN(2)/2))/(LN(2)/2)*BL129*BO129*VLOOKUP('Données projet (1)'!$B$11,'Paramètres (1)'!$A$1:$I$88,3,0)*0.475*44/12</f>
        <v>#REF!</v>
      </c>
      <c r="BS129" s="143" t="str">
        <f t="shared" si="35"/>
        <v>#REF!</v>
      </c>
      <c r="BT129" s="139" t="str">
        <f t="shared" si="36"/>
        <v>#REF!</v>
      </c>
      <c r="BU129" s="131">
        <f t="shared" si="37"/>
        <v>10</v>
      </c>
      <c r="BV129" s="131" t="str">
        <f t="shared" si="120"/>
        <v>#REF!</v>
      </c>
      <c r="BW129" s="131" t="str">
        <f t="shared" si="38"/>
        <v>#REF!</v>
      </c>
      <c r="BX129" s="131" t="str">
        <f t="array" ref="BX129">INDEX(BW:BW,MIN(IF(ISNUMBER(BW129:BW325),ROW(BW129:BW325),"")))</f>
        <v/>
      </c>
      <c r="BY129" s="131" t="str">
        <f t="shared" si="121"/>
        <v>#REF!</v>
      </c>
      <c r="BZ129" s="130" t="str">
        <f>BY129*VLOOKUP('Données projet (1)'!$B$12,'Paramètres (1)'!$A$1:$I$88,3,0)*VLOOKUP('Données projet (1)'!$B$12,'Paramètres (1)'!$A$1:$I$88,5,0)</f>
        <v>#REF!</v>
      </c>
      <c r="CA129" s="130" t="str">
        <f t="shared" si="122"/>
        <v>#REF!</v>
      </c>
      <c r="CB129" s="141" t="str">
        <f t="shared" si="39"/>
        <v>#REF!</v>
      </c>
      <c r="CC129" s="133" t="str">
        <f t="shared" si="40"/>
        <v>#REF!</v>
      </c>
      <c r="CD129" s="133" t="str">
        <f t="shared" si="41"/>
        <v>#REF!</v>
      </c>
      <c r="CE129" s="133" t="str">
        <f t="shared" si="123"/>
        <v>#REF!</v>
      </c>
      <c r="CF129" s="134" t="str">
        <f t="shared" si="42"/>
        <v>#REF!</v>
      </c>
      <c r="CG129" s="134" t="str">
        <f t="shared" si="43"/>
        <v>#REF!</v>
      </c>
      <c r="CH129" s="135" t="str">
        <f>IF(ISNA(VLOOKUP(A129,'Données projet (1)'!$A$113:$I$133,5,0)),0%,VLOOKUP(A129,'Données projet (1)'!$A$113:$I$133,5,0)*VLOOKUP('Données projet (1)'!$B$12,'Paramètres (1)'!$A$1:$I$88,7,0))</f>
        <v>#REF!</v>
      </c>
      <c r="CI129" s="135" t="str">
        <f>IF(ISNA(VLOOKUP(A129,'Données projet (1)'!$A$113:$I$133,6,0)),0%,VLOOKUP(A129,'Données projet (1)'!$A$113:$I$133,6,0)*VLOOKUP('Données projet (1)'!$B$12,'Paramètres (1)'!$A$1:$I$88,7,0))</f>
        <v>#REF!</v>
      </c>
      <c r="CJ129" s="135" t="str">
        <f t="shared" si="44"/>
        <v>#REF!</v>
      </c>
      <c r="CK129" s="142" t="str">
        <f>EXP(-LN(2)/35)*CK128+(1-EXP(-LN(2)/35))/(LN(2)/35)*CG129*CH129*VLOOKUP('Données projet (1)'!$B$12,'Paramètres (1)'!$A$1:$I$88,3,0)*0.475*44/12</f>
        <v>#REF!</v>
      </c>
      <c r="CL129" s="142" t="str">
        <f>EXP(-LN(2)/25)*CL128+(1-EXP(-LN(2)/25))/(LN(2)/25)*'Calculateur (1)'!CG129*'Calculateur (1)'!CI129*VLOOKUP('Données projet (1)'!$B$12,'Paramètres (1)'!$A$1:$I$88,3,0)*0.475*44/12</f>
        <v>#REF!</v>
      </c>
      <c r="CM129" s="142" t="str">
        <f>EXP(-LN(2)/2)*CM128+(1-EXP(-LN(2)/2))/(LN(2)/2)*CG129*CJ129*VLOOKUP('Données projet (1)'!$B$12,'Paramètres (1)'!$A$1:$I$88,3,0)*0.475*44/12</f>
        <v>#REF!</v>
      </c>
      <c r="CN129" s="143" t="str">
        <f t="shared" si="45"/>
        <v>#REF!</v>
      </c>
      <c r="CO129" s="139" t="str">
        <f t="shared" si="46"/>
        <v>#REF!</v>
      </c>
      <c r="CP129" s="131">
        <f t="shared" si="47"/>
        <v>10</v>
      </c>
      <c r="CQ129" s="131" t="str">
        <f t="shared" si="124"/>
        <v>#REF!</v>
      </c>
      <c r="CR129" s="131" t="str">
        <f t="shared" si="48"/>
        <v>#REF!</v>
      </c>
      <c r="CS129" s="131" t="str">
        <f t="array" ref="CS129">INDEX(CR:CR,MIN(IF(ISNUMBER(CR129:CR325),ROW(CR129:CR325),"")))</f>
        <v/>
      </c>
      <c r="CT129" s="131" t="str">
        <f t="shared" si="125"/>
        <v>#REF!</v>
      </c>
      <c r="CU129" s="138" t="str">
        <f>CT129*VLOOKUP('Données projet (1)'!$B$13,'Paramètres (1)'!$A$1:$I$88,3,0)*VLOOKUP('Données projet (1)'!$B$13,'Paramètres (1)'!$A$1:$I$88,5,0)</f>
        <v>#REF!</v>
      </c>
      <c r="CV129" s="130" t="str">
        <f t="shared" si="126"/>
        <v>#REF!</v>
      </c>
      <c r="CW129" s="141" t="str">
        <f t="shared" si="49"/>
        <v>#REF!</v>
      </c>
      <c r="CX129" s="133" t="str">
        <f t="shared" si="50"/>
        <v>#REF!</v>
      </c>
      <c r="CY129" s="133" t="str">
        <f t="shared" si="51"/>
        <v>#REF!</v>
      </c>
      <c r="CZ129" s="133" t="str">
        <f t="shared" si="127"/>
        <v>#REF!</v>
      </c>
      <c r="DA129" s="134" t="str">
        <f t="shared" si="52"/>
        <v>#REF!</v>
      </c>
      <c r="DB129" s="134" t="str">
        <f t="shared" si="53"/>
        <v>#REF!</v>
      </c>
      <c r="DC129" s="135" t="str">
        <f>IF(ISNA(VLOOKUP(A129,'Données projet (1)'!$A$139:$I$159,5,0)),0%,VLOOKUP(A129,'Données projet (1)'!$A$139:$I$159,5,0)*VLOOKUP('Données projet (1)'!$B$13,'Paramètres (1)'!$A$1:$I$88,7,0))</f>
        <v>#REF!</v>
      </c>
      <c r="DD129" s="135" t="str">
        <f>IF(ISNA(VLOOKUP(A129,'Données projet (1)'!$A$139:$I$159,6,0)),0%,VLOOKUP(A129,'Données projet (1)'!$A$139:$I$159,6,0)*VLOOKUP('Données projet (1)'!$B$13,'Paramètres (1)'!$A$1:$I$88,7,0))</f>
        <v>#REF!</v>
      </c>
      <c r="DE129" s="135" t="str">
        <f t="shared" si="54"/>
        <v>#REF!</v>
      </c>
      <c r="DF129" s="142" t="str">
        <f>EXP(-LN(2)/35)*DF128+(1-EXP(-LN(2)/35))/(LN(2)/35)*DB129*DC129*VLOOKUP('Données projet (1)'!$B$13,'Paramètres (1)'!$A$1:$I$88,3,0)*0.475*44/12</f>
        <v>#REF!</v>
      </c>
      <c r="DG129" s="142" t="str">
        <f>EXP(-LN(2)/25)*DG128+(1-EXP(-LN(2)/25))/(LN(2)/25)*'Calculateur (1)'!DB129*'Calculateur (1)'!DD129*VLOOKUP('Données projet (1)'!$B$13,'Paramètres (1)'!$A$1:$I$88,3,0)*0.475*44/12</f>
        <v>#REF!</v>
      </c>
      <c r="DH129" s="142" t="str">
        <f>EXP(-LN(2)/2)*DH128+(1-EXP(-LN(2)/2))/(LN(2)/2)*DB129*DE129*VLOOKUP('Données projet (1)'!$B$13,'Paramètres (1)'!$A$1:$I$88,3,0)*0.475*44/12</f>
        <v>#REF!</v>
      </c>
      <c r="DI129" s="143" t="str">
        <f t="shared" si="55"/>
        <v>#REF!</v>
      </c>
      <c r="DJ129" s="139" t="str">
        <f t="shared" si="56"/>
        <v>#REF!</v>
      </c>
      <c r="DK129" s="131">
        <f t="shared" si="57"/>
        <v>10</v>
      </c>
      <c r="DL129" s="131" t="str">
        <f t="shared" si="128"/>
        <v>#REF!</v>
      </c>
      <c r="DM129" s="131" t="str">
        <f t="shared" si="58"/>
        <v>#REF!</v>
      </c>
      <c r="DN129" s="131" t="str">
        <f t="array" ref="DN129">INDEX(DM:DM,MIN(IF(ISNUMBER(DM129:DM325),ROW(DM129:DM325),"")))</f>
        <v/>
      </c>
      <c r="DO129" s="131" t="str">
        <f t="shared" si="129"/>
        <v>#REF!</v>
      </c>
      <c r="DP129" s="138" t="str">
        <f>DO129*VLOOKUP('Données projet (1)'!$B$14,'Paramètres (1)'!$A$1:$I$88,3,0)*VLOOKUP('Données projet (1)'!$B$14,'Paramètres (1)'!$A$1:$I$88,5,0)</f>
        <v>#REF!</v>
      </c>
      <c r="DQ129" s="130" t="str">
        <f t="shared" si="130"/>
        <v>#REF!</v>
      </c>
      <c r="DR129" s="141" t="str">
        <f t="shared" si="59"/>
        <v>#REF!</v>
      </c>
      <c r="DS129" s="133" t="str">
        <f t="shared" si="60"/>
        <v>#REF!</v>
      </c>
      <c r="DT129" s="133" t="str">
        <f t="shared" si="61"/>
        <v>#REF!</v>
      </c>
      <c r="DU129" s="133" t="str">
        <f t="shared" si="131"/>
        <v>#REF!</v>
      </c>
      <c r="DV129" s="134" t="str">
        <f t="shared" si="62"/>
        <v>#REF!</v>
      </c>
      <c r="DW129" s="134" t="str">
        <f t="shared" si="63"/>
        <v>#REF!</v>
      </c>
      <c r="DX129" s="135" t="str">
        <f>IF(ISNA(VLOOKUP(A129,'Données projet (1)'!$A$165:$I$185,5,0)),0%,VLOOKUP(A129,'Données projet (1)'!$A$165:$I$185,5,0)*VLOOKUP('Données projet (1)'!$B$14,'Paramètres (1)'!$A$1:$I$88,7,0))</f>
        <v>#REF!</v>
      </c>
      <c r="DY129" s="135" t="str">
        <f>IF(ISNA(VLOOKUP(A129,'Données projet (1)'!$A$165:$I$185,6,0)),0%,VLOOKUP(A129,'Données projet (1)'!$A$165:$I$185,6,0)*VLOOKUP('Données projet (1)'!$B$14,'Paramètres (1)'!$A$1:$I$88,7,0))</f>
        <v>#REF!</v>
      </c>
      <c r="DZ129" s="135" t="str">
        <f t="shared" si="64"/>
        <v>#REF!</v>
      </c>
      <c r="EA129" s="142" t="str">
        <f>EXP(-LN(2)/35)*EA128+(1-EXP(-LN(2)/35))/(LN(2)/35)*DW129*DX129*VLOOKUP('Données projet (1)'!$B$14,'Paramètres (1)'!$A$1:$I$88,3,0)*0.475*44/12</f>
        <v>#REF!</v>
      </c>
      <c r="EB129" s="142" t="str">
        <f>EXP(-LN(2)/25)*EB128+(1-EXP(-LN(2)/25))/(LN(2)/25)*'Calculateur (1)'!DW129*'Calculateur (1)'!DY129*VLOOKUP('Données projet (1)'!$B$14,'Paramètres (1)'!$A$1:$I$88,3,0)*0.475*44/12</f>
        <v>#REF!</v>
      </c>
      <c r="EC129" s="142" t="str">
        <f>EXP(-LN(2)/2)*EC128+(1-EXP(-LN(2)/2))/(LN(2)/2)*DW129*DZ129*VLOOKUP('Données projet (1)'!$B$14,'Paramètres (1)'!$A$1:$I$88,3,0)*0.475*44/12</f>
        <v>#REF!</v>
      </c>
      <c r="ED129" s="143" t="str">
        <f t="shared" si="65"/>
        <v>#REF!</v>
      </c>
      <c r="EE129" s="139" t="str">
        <f t="shared" si="66"/>
        <v>#REF!</v>
      </c>
      <c r="EF129" s="131">
        <f t="shared" si="67"/>
        <v>10</v>
      </c>
      <c r="EG129" s="131" t="str">
        <f t="shared" si="132"/>
        <v>#REF!</v>
      </c>
      <c r="EH129" s="131" t="str">
        <f t="shared" si="68"/>
        <v>#REF!</v>
      </c>
      <c r="EI129" s="131" t="str">
        <f t="array" ref="EI129">INDEX(EH:EH,MIN(IF(ISNUMBER(EH129:EH325),ROW(EH129:EH325),"")))</f>
        <v/>
      </c>
      <c r="EJ129" s="131" t="str">
        <f t="shared" si="133"/>
        <v>#REF!</v>
      </c>
      <c r="EK129" s="138" t="str">
        <f>EJ129*VLOOKUP('Données projet (1)'!$B$15,'Paramètres (1)'!$A$1:$I$88,3,0)*VLOOKUP('Données projet (1)'!$B$15,'Paramètres (1)'!$A$1:$I$88,5,0)</f>
        <v>#REF!</v>
      </c>
      <c r="EL129" s="130" t="str">
        <f t="shared" si="134"/>
        <v>#REF!</v>
      </c>
      <c r="EM129" s="141" t="str">
        <f t="shared" si="69"/>
        <v>#REF!</v>
      </c>
      <c r="EN129" s="133" t="str">
        <f t="shared" si="70"/>
        <v>#REF!</v>
      </c>
      <c r="EO129" s="133" t="str">
        <f t="shared" si="71"/>
        <v>#REF!</v>
      </c>
      <c r="EP129" s="133" t="str">
        <f t="shared" si="135"/>
        <v>#REF!</v>
      </c>
      <c r="EQ129" s="134" t="str">
        <f t="shared" si="72"/>
        <v>#REF!</v>
      </c>
      <c r="ER129" s="134" t="str">
        <f t="shared" si="73"/>
        <v>#REF!</v>
      </c>
      <c r="ES129" s="135" t="str">
        <f>IF(ISNA(VLOOKUP(A129,'Données projet (1)'!$A$191:$I$211,5,0)),0%,VLOOKUP(A129,'Données projet (1)'!$A$191:$I$211,5,0)*VLOOKUP('Données projet (1)'!$B$15,'Paramètres (1)'!$A$1:$I$88,7,0))</f>
        <v>#REF!</v>
      </c>
      <c r="ET129" s="135" t="str">
        <f>IF(ISNA(VLOOKUP(A129,'Données projet (1)'!$A$191:$I$211,6,0)),0%,VLOOKUP(A129,'Données projet (1)'!$A$191:$I$211,6,0)*VLOOKUP('Données projet (1)'!$B$15,'Paramètres (1)'!$A$1:$I$88,7,0))</f>
        <v>#REF!</v>
      </c>
      <c r="EU129" s="135" t="str">
        <f t="shared" si="74"/>
        <v>#REF!</v>
      </c>
      <c r="EV129" s="142" t="str">
        <f>EXP(-LN(2)/35)*EV128+(1-EXP(-LN(2)/35))/(LN(2)/35)*ER129*ES129*VLOOKUP('Données projet (1)'!$B$15,'Paramètres (1)'!$A$1:$I$88,3,0)*0.475*44/12</f>
        <v>#REF!</v>
      </c>
      <c r="EW129" s="142" t="str">
        <f>EXP(-LN(2)/25)*EW128+(1-EXP(-LN(2)/25))/(LN(2)/25)*'Calculateur (1)'!ER129*'Calculateur (1)'!ET129*VLOOKUP('Données projet (1)'!$B$15,'Paramètres (1)'!$A$1:$I$88,3,0)*0.475*44/12</f>
        <v>#REF!</v>
      </c>
      <c r="EX129" s="142" t="str">
        <f>EXP(-LN(2)/2)*EX128+(1-EXP(-LN(2)/2))/(LN(2)/2)*ER129*EU129*VLOOKUP('Données projet (1)'!$B$15,'Paramètres (1)'!$A$1:$I$88,3,0)*0.475*44/12</f>
        <v>#REF!</v>
      </c>
      <c r="EY129" s="143" t="str">
        <f t="shared" si="75"/>
        <v>#REF!</v>
      </c>
      <c r="EZ129" s="139" t="str">
        <f t="shared" si="76"/>
        <v>#REF!</v>
      </c>
      <c r="FA129" s="131">
        <f t="shared" si="77"/>
        <v>10</v>
      </c>
      <c r="FB129" s="131" t="str">
        <f t="shared" si="136"/>
        <v>#REF!</v>
      </c>
      <c r="FC129" s="131" t="str">
        <f t="shared" si="78"/>
        <v>#REF!</v>
      </c>
      <c r="FD129" s="131" t="str">
        <f t="array" ref="FD129">INDEX(FC:FC,MIN(IF(ISNUMBER(FC129:FC325),ROW(FC129:FC325),"")))</f>
        <v/>
      </c>
      <c r="FE129" s="131" t="str">
        <f t="shared" si="137"/>
        <v>#REF!</v>
      </c>
      <c r="FF129" s="138" t="str">
        <f>FE129*VLOOKUP('Données projet (1)'!$B$16,'Paramètres (1)'!$A$1:$I$88,3,0)*VLOOKUP('Données projet (1)'!$B$16,'Paramètres (1)'!$A$1:$I$88,5,0)</f>
        <v>#REF!</v>
      </c>
      <c r="FG129" s="130" t="str">
        <f t="shared" si="138"/>
        <v>#REF!</v>
      </c>
      <c r="FH129" s="141" t="str">
        <f t="shared" si="79"/>
        <v>#REF!</v>
      </c>
      <c r="FI129" s="133" t="str">
        <f t="shared" si="80"/>
        <v>#REF!</v>
      </c>
      <c r="FJ129" s="133" t="str">
        <f t="shared" si="81"/>
        <v>#REF!</v>
      </c>
      <c r="FK129" s="133" t="str">
        <f t="shared" si="139"/>
        <v>#REF!</v>
      </c>
      <c r="FL129" s="134" t="str">
        <f t="shared" si="82"/>
        <v>#REF!</v>
      </c>
      <c r="FM129" s="134" t="str">
        <f t="shared" si="83"/>
        <v>#REF!</v>
      </c>
      <c r="FN129" s="135" t="str">
        <f>IF(ISNA(VLOOKUP(A129,'Données projet (1)'!$A$217:$I$237,5,0)),0%,VLOOKUP(A129,'Données projet (1)'!$A$217:$I$237,5,0)*VLOOKUP('Données projet (1)'!$B$16,'Paramètres (1)'!$A$1:$I$88,7,0))</f>
        <v>#REF!</v>
      </c>
      <c r="FO129" s="135" t="str">
        <f>IF(ISNA(VLOOKUP(A129,'Données projet (1)'!$A$217:$I$237,6,0)),0%,VLOOKUP(A129,'Données projet (1)'!$A$217:$I$237,6,0)*VLOOKUP('Données projet (1)'!$B$16,'Paramètres (1)'!$A$1:$I$88,7,0))</f>
        <v>#REF!</v>
      </c>
      <c r="FP129" s="135" t="str">
        <f t="shared" si="84"/>
        <v>#REF!</v>
      </c>
      <c r="FQ129" s="142" t="str">
        <f>EXP(-LN(2)/35)*FQ128+(1-EXP(-LN(2)/35))/(LN(2)/35)*FM129*FN129*VLOOKUP('Données projet (1)'!$B$16,'Paramètres (1)'!$A$1:$I$88,3,0)*0.475*44/12</f>
        <v>#REF!</v>
      </c>
      <c r="FR129" s="142" t="str">
        <f>EXP(-LN(2)/25)*FR128+(1-EXP(-LN(2)/25))/(LN(2)/25)*'Calculateur (1)'!FM129*'Calculateur (1)'!FO129*VLOOKUP('Données projet (1)'!$B$16,'Paramètres (1)'!$A$1:$I$88,3,0)*0.475*44/12</f>
        <v>#REF!</v>
      </c>
      <c r="FS129" s="142" t="str">
        <f>EXP(-LN(2)/2)*FS128+(1-EXP(-LN(2)/2))/(LN(2)/2)*FM129*FP129*VLOOKUP('Données projet (1)'!$B$16,'Paramètres (1)'!$A$1:$I$88,3,0)*0.475*44/12</f>
        <v>#REF!</v>
      </c>
      <c r="FT129" s="143" t="str">
        <f t="shared" si="85"/>
        <v>#REF!</v>
      </c>
      <c r="FU129" s="139" t="str">
        <f t="shared" si="86"/>
        <v>#REF!</v>
      </c>
      <c r="FV129" s="131">
        <f t="shared" si="87"/>
        <v>10</v>
      </c>
      <c r="FW129" s="131" t="str">
        <f t="shared" si="140"/>
        <v>#REF!</v>
      </c>
      <c r="FX129" s="131" t="str">
        <f t="shared" si="88"/>
        <v>#REF!</v>
      </c>
      <c r="FY129" s="131" t="str">
        <f t="array" ref="FY129">INDEX(FX:FX,MIN(IF(ISNUMBER(FX129:FX325),ROW(FX129:FX325),"")))</f>
        <v/>
      </c>
      <c r="FZ129" s="131" t="str">
        <f t="shared" si="141"/>
        <v>#REF!</v>
      </c>
      <c r="GA129" s="138" t="str">
        <f>FZ129*VLOOKUP('Données projet (1)'!$B$17,'Paramètres (1)'!$A$1:$I$88,3,0)*VLOOKUP('Données projet (1)'!$B$17,'Paramètres (1)'!$A$1:$I$88,5,0)</f>
        <v>#REF!</v>
      </c>
      <c r="GB129" s="130" t="str">
        <f t="shared" si="142"/>
        <v>#REF!</v>
      </c>
      <c r="GC129" s="141" t="str">
        <f t="shared" si="89"/>
        <v>#REF!</v>
      </c>
      <c r="GD129" s="133" t="str">
        <f t="shared" si="90"/>
        <v>#REF!</v>
      </c>
      <c r="GE129" s="133" t="str">
        <f t="shared" si="91"/>
        <v>#REF!</v>
      </c>
      <c r="GF129" s="133" t="str">
        <f t="shared" si="143"/>
        <v>#REF!</v>
      </c>
      <c r="GG129" s="134" t="str">
        <f t="shared" si="92"/>
        <v>#REF!</v>
      </c>
      <c r="GH129" s="134" t="str">
        <f t="shared" si="93"/>
        <v>#REF!</v>
      </c>
      <c r="GI129" s="135" t="str">
        <f>IF(ISNA(VLOOKUP(A129,'Données projet (1)'!$A$243:$I$263,5,0)),0%,VLOOKUP(A129,'Données projet (1)'!$A$243:$I$263,5,0)*VLOOKUP('Données projet (1)'!$B$17,'Paramètres (1)'!$A$1:$I$88,7,0))</f>
        <v>#REF!</v>
      </c>
      <c r="GJ129" s="135" t="str">
        <f>IF(ISNA(VLOOKUP(A129,'Données projet (1)'!$A$243:$I$263,6,0)),0%,VLOOKUP(A129,'Données projet (1)'!$A$243:$I$263,6,0)*VLOOKUP('Données projet (1)'!$B$17,'Paramètres (1)'!$A$1:$I$88,7,0))</f>
        <v>#REF!</v>
      </c>
      <c r="GK129" s="135" t="str">
        <f t="shared" si="94"/>
        <v>#REF!</v>
      </c>
      <c r="GL129" s="142" t="str">
        <f>EXP(-LN(2)/35)*GL128+(1-EXP(-LN(2)/35))/(LN(2)/35)*GH129*GI129*VLOOKUP('Données projet (1)'!$B$17,'Paramètres (1)'!$A$1:$I$88,3,0)*0.475*44/12</f>
        <v>#REF!</v>
      </c>
      <c r="GM129" s="142" t="str">
        <f>EXP(-LN(2)/25)*GM128+(1-EXP(-LN(2)/25))/(LN(2)/25)*'Calculateur (1)'!GH129*'Calculateur (1)'!GJ129*VLOOKUP('Données projet (1)'!$B$17,'Paramètres (1)'!$A$1:$I$88,3,0)*0.475*44/12</f>
        <v>#REF!</v>
      </c>
      <c r="GN129" s="142" t="str">
        <f>EXP(-LN(2)/2)*GN128+(1-EXP(-LN(2)/2))/(LN(2)/2)*GH129*GK129*VLOOKUP('Données projet (1)'!$B$17,'Paramètres (1)'!$A$1:$I$88,3,0)*0.475*44/12</f>
        <v>#REF!</v>
      </c>
      <c r="GO129" s="142" t="str">
        <f t="shared" si="95"/>
        <v>#REF!</v>
      </c>
      <c r="GP129" s="139" t="str">
        <f t="shared" si="96"/>
        <v>#REF!</v>
      </c>
      <c r="GQ129" s="131">
        <f t="shared" si="97"/>
        <v>10</v>
      </c>
      <c r="GR129" s="131" t="str">
        <f t="shared" si="144"/>
        <v>#REF!</v>
      </c>
      <c r="GS129" s="131" t="str">
        <f t="shared" si="98"/>
        <v>#REF!</v>
      </c>
      <c r="GT129" s="131" t="str">
        <f t="array" ref="GT129">INDEX(GS:GS,MIN(IF(ISNUMBER(GS129:GS325),ROW(GS129:GS325),"")))</f>
        <v/>
      </c>
      <c r="GU129" s="131" t="str">
        <f t="shared" si="145"/>
        <v>#REF!</v>
      </c>
      <c r="GV129" s="138" t="str">
        <f>GU129*VLOOKUP('Données projet (1)'!$B$18,'Paramètres (1)'!$A$1:$I$88,3,0)*VLOOKUP('Données projet (1)'!$B$18,'Paramètres (1)'!$A$1:$I$88,5,0)</f>
        <v>#REF!</v>
      </c>
      <c r="GW129" s="130" t="str">
        <f t="shared" si="146"/>
        <v>#REF!</v>
      </c>
      <c r="GX129" s="141" t="str">
        <f t="shared" si="99"/>
        <v>#REF!</v>
      </c>
      <c r="GY129" s="133" t="str">
        <f t="shared" si="100"/>
        <v>#REF!</v>
      </c>
      <c r="GZ129" s="133" t="str">
        <f t="shared" si="101"/>
        <v>#REF!</v>
      </c>
      <c r="HA129" s="133" t="str">
        <f t="shared" si="147"/>
        <v>#REF!</v>
      </c>
      <c r="HB129" s="134" t="str">
        <f t="shared" si="102"/>
        <v>#REF!</v>
      </c>
      <c r="HC129" s="134" t="str">
        <f t="shared" si="103"/>
        <v>#REF!</v>
      </c>
      <c r="HD129" s="135" t="str">
        <f>IF(ISNA(VLOOKUP(A129,'Données projet (1)'!$A$269:$I$289,5,0)),0%,VLOOKUP(A129,'Données projet (1)'!$A$269:$I$289,5,0)*VLOOKUP('Données projet (1)'!$B$18,'Paramètres (1)'!$A$1:$I$88,7,0))</f>
        <v>#REF!</v>
      </c>
      <c r="HE129" s="135" t="str">
        <f>IF(ISNA(VLOOKUP(A129,'Données projet (1)'!$A$269:$I$289,6,0)),0%,VLOOKUP(A129,'Données projet (1)'!$A$269:$I$289,6,0)*VLOOKUP('Données projet (1)'!$B$18,'Paramètres (1)'!$A$1:$I$88,7,0))</f>
        <v>#REF!</v>
      </c>
      <c r="HF129" s="135" t="str">
        <f t="shared" si="104"/>
        <v>#REF!</v>
      </c>
      <c r="HG129" s="142" t="str">
        <f>EXP(-LN(2)/35)*HG128+(1-EXP(-LN(2)/35))/(LN(2)/35)*HC129*HD129*VLOOKUP('Données projet (1)'!$B$18,'Paramètres (1)'!$A$1:$I$88,3,0)*0.475*44/12</f>
        <v>#REF!</v>
      </c>
      <c r="HH129" s="142" t="str">
        <f>EXP(-LN(2)/25)*HH128+(1-EXP(-LN(2)/25))/(LN(2)/25)*'Calculateur (1)'!HC129*'Calculateur (1)'!HE129*VLOOKUP('Données projet (1)'!$B$18,'Paramètres (1)'!$A$1:$I$88,3,0)*0.475*44/12</f>
        <v>#REF!</v>
      </c>
      <c r="HI129" s="142" t="str">
        <f>EXP(-LN(2)/2)*HI128+(1-EXP(-LN(2)/2))/(LN(2)/2)*HC129*HF129*VLOOKUP('Données projet (1)'!$B$18,'Paramètres (1)'!$A$1:$I$88,3,0)*0.475*44/12</f>
        <v>#REF!</v>
      </c>
      <c r="HJ129" s="143" t="str">
        <f t="shared" si="105"/>
        <v>#REF!</v>
      </c>
    </row>
    <row r="130" ht="14.25" customHeight="1">
      <c r="A130" s="125">
        <f t="shared" si="106"/>
        <v>127</v>
      </c>
      <c r="B130" s="126" t="str">
        <f t="shared" si="1"/>
        <v>#REF!</v>
      </c>
      <c r="C130" s="140" t="str">
        <f>'Calculateur (1)'!C129+'Scénario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0" s="127">
        <f t="shared" si="107"/>
        <v>0</v>
      </c>
      <c r="E130" s="127" t="str">
        <f t="shared" si="2"/>
        <v>#REF!</v>
      </c>
      <c r="F130" s="127" t="str">
        <f t="shared" si="3"/>
        <v>#REF!</v>
      </c>
      <c r="G130" s="127" t="str">
        <f t="shared" si="4"/>
        <v>#REF!</v>
      </c>
      <c r="H130" s="128" t="str">
        <f t="shared" si="5"/>
        <v>#REF!</v>
      </c>
      <c r="I130" s="129" t="str">
        <f t="shared" si="6"/>
        <v>#REF!</v>
      </c>
      <c r="J130" s="130">
        <f t="shared" si="7"/>
        <v>10</v>
      </c>
      <c r="K130" s="131" t="str">
        <f t="shared" si="108"/>
        <v>#REF!</v>
      </c>
      <c r="L130" s="131" t="str">
        <f t="shared" si="8"/>
        <v>#REF!</v>
      </c>
      <c r="M130" s="131" t="str">
        <f t="array" ref="M130">INDEX(L:L,MIN(IF(ISNUMBER(L130:L326),ROW(L130:L326),"")))</f>
        <v/>
      </c>
      <c r="N130" s="130" t="str">
        <f t="shared" si="109"/>
        <v>#REF!</v>
      </c>
      <c r="O130" s="130" t="str">
        <f>N130*VLOOKUP('Données projet (1)'!$B$9,'Paramètres (1)'!$A$1:$I$88,3,0)*VLOOKUP('Données projet (1)'!$B$9,'Paramètres (1)'!$A$1:$I$88,5,0)</f>
        <v>#REF!</v>
      </c>
      <c r="P130" s="130" t="str">
        <f t="shared" si="110"/>
        <v>#REF!</v>
      </c>
      <c r="Q130" s="141" t="str">
        <f t="shared" si="9"/>
        <v>#REF!</v>
      </c>
      <c r="R130" s="133" t="str">
        <f t="shared" si="10"/>
        <v>#REF!</v>
      </c>
      <c r="S130" s="133" t="str">
        <f t="shared" si="11"/>
        <v>#REF!</v>
      </c>
      <c r="T130" s="133" t="str">
        <f t="shared" si="111"/>
        <v>#REF!</v>
      </c>
      <c r="U130" s="134" t="str">
        <f t="shared" si="12"/>
        <v>#REF!</v>
      </c>
      <c r="V130" s="134" t="str">
        <f t="shared" si="13"/>
        <v>#REF!</v>
      </c>
      <c r="W130" s="135" t="str">
        <f>IF(ISNA(VLOOKUP(A130,'Données projet (1)'!$A$35:$I$55,5,0)),0%,VLOOKUP(A130,'Données projet (1)'!$A$35:$I$55,5,0)*VLOOKUP('Données projet (1)'!$B$9,'Paramètres (1)'!$A$1:$I$88,7,0))</f>
        <v>#REF!</v>
      </c>
      <c r="X130" s="135" t="str">
        <f>IF(ISNA(VLOOKUP(A130,'Données projet (1)'!$A$35:$I$55,6,0)),0%,VLOOKUP(A130,'Données projet (1)'!$A$35:$I$55,6,0)*VLOOKUP('Données projet (1)'!$B$9,'Paramètres (1)'!$A$1:$I$88,7,0))</f>
        <v>#REF!</v>
      </c>
      <c r="Y130" s="135" t="str">
        <f t="shared" si="14"/>
        <v>#REF!</v>
      </c>
      <c r="Z130" s="142" t="str">
        <f>EXP(-LN(2)/35)*Z129+(1-EXP(-LN(2)/35))/(LN(2)/35)*V130*W130*VLOOKUP('Données projet (1)'!$B$9,'Paramètres (1)'!$A$1:$I$88,3,0)*0.475*44/12</f>
        <v>#REF!</v>
      </c>
      <c r="AA130" s="142" t="str">
        <f>EXP(-LN(2)/25)*AA129+(1-EXP(-LN(2)/25))/(LN(2)/25)*'Calculateur (1)'!V130*'Calculateur (1)'!X130*VLOOKUP('Données projet (1)'!$B$9,'Paramètres (1)'!$A$1:$I$88,3,0)*0.475*44/12</f>
        <v>#REF!</v>
      </c>
      <c r="AB130" s="142" t="str">
        <f>EXP(-LN(2)/2)*AB129+(1-EXP(-LN(2)/2))/(LN(2)/2)*V130*Y130*VLOOKUP('Données projet (1)'!$B$9,'Paramètres (1)'!$A$1:$I$88,3,0)*0.475*44/12</f>
        <v>#REF!</v>
      </c>
      <c r="AC130" s="143" t="str">
        <f t="shared" si="15"/>
        <v>#REF!</v>
      </c>
      <c r="AD130" s="130" t="str">
        <f t="shared" si="16"/>
        <v>#REF!</v>
      </c>
      <c r="AE130" s="130">
        <f t="shared" si="17"/>
        <v>10</v>
      </c>
      <c r="AF130" s="131" t="str">
        <f t="shared" si="112"/>
        <v>#REF!</v>
      </c>
      <c r="AG130" s="131" t="str">
        <f t="shared" si="18"/>
        <v>#REF!</v>
      </c>
      <c r="AH130" s="131" t="str">
        <f t="array" ref="AH130">INDEX(AG:AG,MIN(IF(ISNUMBER(AG130:AG326),ROW(AG130:AG326),"")))</f>
        <v/>
      </c>
      <c r="AI130" s="130" t="str">
        <f t="shared" si="113"/>
        <v>#REF!</v>
      </c>
      <c r="AJ130" s="130" t="str">
        <f>AI130*VLOOKUP('Données projet (1)'!$B$10,'Paramètres (1)'!$A$1:$I$88,3,0)*VLOOKUP('Données projet (1)'!$B$10,'Paramètres (1)'!$A$1:$I$88,5,0)</f>
        <v>#REF!</v>
      </c>
      <c r="AK130" s="130" t="str">
        <f t="shared" si="114"/>
        <v>#REF!</v>
      </c>
      <c r="AL130" s="141" t="str">
        <f t="shared" si="19"/>
        <v>#REF!</v>
      </c>
      <c r="AM130" s="133" t="str">
        <f t="shared" si="20"/>
        <v>#REF!</v>
      </c>
      <c r="AN130" s="133" t="str">
        <f t="shared" si="21"/>
        <v>#REF!</v>
      </c>
      <c r="AO130" s="133" t="str">
        <f t="shared" si="115"/>
        <v>#REF!</v>
      </c>
      <c r="AP130" s="134" t="str">
        <f t="shared" si="22"/>
        <v>#REF!</v>
      </c>
      <c r="AQ130" s="134" t="str">
        <f t="shared" si="23"/>
        <v>#REF!</v>
      </c>
      <c r="AR130" s="135" t="str">
        <f>IF(ISNA(VLOOKUP(A130,'Données projet (1)'!$A$61:$I$81,5,0)),0%,VLOOKUP(A130,'Données projet (1)'!$A$61:$I$81,5,0)*VLOOKUP('Données projet (1)'!$B$10,'Paramètres (1)'!$A$1:$I$88,7,0))</f>
        <v>#REF!</v>
      </c>
      <c r="AS130" s="135" t="str">
        <f>IF(ISNA(VLOOKUP(A130,'Données projet (1)'!$A$61:$I$81,6,0)),0%,VLOOKUP(A130,'Données projet (1)'!$A$61:$I$81,6,0)*VLOOKUP('Données projet (1)'!$B$10,'Paramètres (1)'!$A$1:$I$88,7,0))</f>
        <v>#REF!</v>
      </c>
      <c r="AT130" s="135" t="str">
        <f t="shared" si="24"/>
        <v>#REF!</v>
      </c>
      <c r="AU130" s="142" t="str">
        <f>EXP(-LN(2)/35)*AU129+(1-EXP(-LN(2)/35))/(LN(2)/35)*AQ130*AR130*VLOOKUP('Données projet (1)'!$B$10,'Paramètres (1)'!$A$1:$I$88,3,0)*0.475*44/12</f>
        <v>#REF!</v>
      </c>
      <c r="AV130" s="142" t="str">
        <f>EXP(-LN(2)/25)*AV129+(1-EXP(-LN(2)/25))/(LN(2)/25)*'Calculateur (1)'!AQ130*'Calculateur (1)'!AS130*VLOOKUP('Données projet (1)'!$B$10,'Paramètres (1)'!$A$1:$I$88,3,0)*0.475*44/12</f>
        <v>#REF!</v>
      </c>
      <c r="AW130" s="142" t="str">
        <f>EXP(-LN(2)/2)*AW129+(1-EXP(-LN(2)/2))/(LN(2)/2)*AQ130*AT130*VLOOKUP('Données projet (1)'!$B$10,'Paramètres (1)'!$A$1:$I$88,3,0)*0.475*44/12</f>
        <v>#REF!</v>
      </c>
      <c r="AX130" s="142" t="str">
        <f t="shared" si="25"/>
        <v>#REF!</v>
      </c>
      <c r="AY130" s="137" t="str">
        <f t="shared" si="26"/>
        <v>#REF!</v>
      </c>
      <c r="AZ130" s="131">
        <f t="shared" si="27"/>
        <v>10</v>
      </c>
      <c r="BA130" s="131" t="str">
        <f t="shared" si="116"/>
        <v>#REF!</v>
      </c>
      <c r="BB130" s="131" t="str">
        <f t="shared" si="28"/>
        <v>#REF!</v>
      </c>
      <c r="BC130" s="131" t="str">
        <f t="array" ref="BC130">INDEX(BB:BB,MIN(IF(ISNUMBER(BB130:BB326),ROW(BB130:BB326),"")))</f>
        <v/>
      </c>
      <c r="BD130" s="131" t="str">
        <f t="shared" si="117"/>
        <v>#REF!</v>
      </c>
      <c r="BE130" s="130" t="str">
        <f>BD130*VLOOKUP('Données projet (1)'!$B$11,'Paramètres (1)'!$A$1:$I$88,3,0)*VLOOKUP('Données projet (1)'!$B$11,'Paramètres (1)'!$A$1:$I$88,5,0)</f>
        <v>#REF!</v>
      </c>
      <c r="BF130" s="130" t="str">
        <f t="shared" si="118"/>
        <v>#REF!</v>
      </c>
      <c r="BG130" s="141" t="str">
        <f t="shared" si="29"/>
        <v>#REF!</v>
      </c>
      <c r="BH130" s="133" t="str">
        <f t="shared" si="30"/>
        <v>#REF!</v>
      </c>
      <c r="BI130" s="133" t="str">
        <f t="shared" si="31"/>
        <v>#REF!</v>
      </c>
      <c r="BJ130" s="133" t="str">
        <f t="shared" si="119"/>
        <v>#REF!</v>
      </c>
      <c r="BK130" s="134" t="str">
        <f t="shared" si="32"/>
        <v>#REF!</v>
      </c>
      <c r="BL130" s="134" t="str">
        <f t="shared" si="33"/>
        <v>#REF!</v>
      </c>
      <c r="BM130" s="135" t="str">
        <f>IF(ISNA(VLOOKUP(A130,'Données projet (1)'!$A$87:$I$107,5,0)),0%,VLOOKUP(A130,'Données projet (1)'!$A$87:$I$107,5,0)*VLOOKUP('Données projet (1)'!$B$11,'Paramètres (1)'!$A$1:$I$88,7,0))</f>
        <v>#REF!</v>
      </c>
      <c r="BN130" s="135" t="str">
        <f>IF(ISNA(VLOOKUP(A130,'Données projet (1)'!$A$87:$I$107,6,0)),0%,VLOOKUP(A130,'Données projet (1)'!$A$87:$I$107,6,0)*VLOOKUP('Données projet (1)'!$B$11,'Paramètres (1)'!$A$1:$I$88,7,0))</f>
        <v>#REF!</v>
      </c>
      <c r="BO130" s="135" t="str">
        <f t="shared" si="34"/>
        <v>#REF!</v>
      </c>
      <c r="BP130" s="142" t="str">
        <f>EXP(-LN(2)/35)*BP129+(1-EXP(-LN(2)/35))/(LN(2)/35)*BL130*BM130*VLOOKUP('Données projet (1)'!$B$11,'Paramètres (1)'!$A$1:$I$88,3,0)*0.475*44/12</f>
        <v>#REF!</v>
      </c>
      <c r="BQ130" s="142" t="str">
        <f>EXP(-LN(2)/25)*BQ129+(1-EXP(-LN(2)/25))/(LN(2)/25)*'Calculateur (1)'!BL130*'Calculateur (1)'!BN130*VLOOKUP('Données projet (1)'!$B$11,'Paramètres (1)'!$A$1:$I$88,3,0)*0.475*44/12</f>
        <v>#REF!</v>
      </c>
      <c r="BR130" s="142" t="str">
        <f>EXP(-LN(2)/2)*BR129+(1-EXP(-LN(2)/2))/(LN(2)/2)*BL130*BO130*VLOOKUP('Données projet (1)'!$B$11,'Paramètres (1)'!$A$1:$I$88,3,0)*0.475*44/12</f>
        <v>#REF!</v>
      </c>
      <c r="BS130" s="143" t="str">
        <f t="shared" si="35"/>
        <v>#REF!</v>
      </c>
      <c r="BT130" s="139" t="str">
        <f t="shared" si="36"/>
        <v>#REF!</v>
      </c>
      <c r="BU130" s="131">
        <f t="shared" si="37"/>
        <v>10</v>
      </c>
      <c r="BV130" s="131" t="str">
        <f t="shared" si="120"/>
        <v>#REF!</v>
      </c>
      <c r="BW130" s="131" t="str">
        <f t="shared" si="38"/>
        <v>#REF!</v>
      </c>
      <c r="BX130" s="131" t="str">
        <f t="array" ref="BX130">INDEX(BW:BW,MIN(IF(ISNUMBER(BW130:BW326),ROW(BW130:BW326),"")))</f>
        <v/>
      </c>
      <c r="BY130" s="131" t="str">
        <f t="shared" si="121"/>
        <v>#REF!</v>
      </c>
      <c r="BZ130" s="130" t="str">
        <f>BY130*VLOOKUP('Données projet (1)'!$B$12,'Paramètres (1)'!$A$1:$I$88,3,0)*VLOOKUP('Données projet (1)'!$B$12,'Paramètres (1)'!$A$1:$I$88,5,0)</f>
        <v>#REF!</v>
      </c>
      <c r="CA130" s="130" t="str">
        <f t="shared" si="122"/>
        <v>#REF!</v>
      </c>
      <c r="CB130" s="141" t="str">
        <f t="shared" si="39"/>
        <v>#REF!</v>
      </c>
      <c r="CC130" s="133" t="str">
        <f t="shared" si="40"/>
        <v>#REF!</v>
      </c>
      <c r="CD130" s="133" t="str">
        <f t="shared" si="41"/>
        <v>#REF!</v>
      </c>
      <c r="CE130" s="133" t="str">
        <f t="shared" si="123"/>
        <v>#REF!</v>
      </c>
      <c r="CF130" s="134" t="str">
        <f t="shared" si="42"/>
        <v>#REF!</v>
      </c>
      <c r="CG130" s="134" t="str">
        <f t="shared" si="43"/>
        <v>#REF!</v>
      </c>
      <c r="CH130" s="135" t="str">
        <f>IF(ISNA(VLOOKUP(A130,'Données projet (1)'!$A$113:$I$133,5,0)),0%,VLOOKUP(A130,'Données projet (1)'!$A$113:$I$133,5,0)*VLOOKUP('Données projet (1)'!$B$12,'Paramètres (1)'!$A$1:$I$88,7,0))</f>
        <v>#REF!</v>
      </c>
      <c r="CI130" s="135" t="str">
        <f>IF(ISNA(VLOOKUP(A130,'Données projet (1)'!$A$113:$I$133,6,0)),0%,VLOOKUP(A130,'Données projet (1)'!$A$113:$I$133,6,0)*VLOOKUP('Données projet (1)'!$B$12,'Paramètres (1)'!$A$1:$I$88,7,0))</f>
        <v>#REF!</v>
      </c>
      <c r="CJ130" s="135" t="str">
        <f t="shared" si="44"/>
        <v>#REF!</v>
      </c>
      <c r="CK130" s="142" t="str">
        <f>EXP(-LN(2)/35)*CK129+(1-EXP(-LN(2)/35))/(LN(2)/35)*CG130*CH130*VLOOKUP('Données projet (1)'!$B$12,'Paramètres (1)'!$A$1:$I$88,3,0)*0.475*44/12</f>
        <v>#REF!</v>
      </c>
      <c r="CL130" s="142" t="str">
        <f>EXP(-LN(2)/25)*CL129+(1-EXP(-LN(2)/25))/(LN(2)/25)*'Calculateur (1)'!CG130*'Calculateur (1)'!CI130*VLOOKUP('Données projet (1)'!$B$12,'Paramètres (1)'!$A$1:$I$88,3,0)*0.475*44/12</f>
        <v>#REF!</v>
      </c>
      <c r="CM130" s="142" t="str">
        <f>EXP(-LN(2)/2)*CM129+(1-EXP(-LN(2)/2))/(LN(2)/2)*CG130*CJ130*VLOOKUP('Données projet (1)'!$B$12,'Paramètres (1)'!$A$1:$I$88,3,0)*0.475*44/12</f>
        <v>#REF!</v>
      </c>
      <c r="CN130" s="143" t="str">
        <f t="shared" si="45"/>
        <v>#REF!</v>
      </c>
      <c r="CO130" s="139" t="str">
        <f t="shared" si="46"/>
        <v>#REF!</v>
      </c>
      <c r="CP130" s="131">
        <f t="shared" si="47"/>
        <v>10</v>
      </c>
      <c r="CQ130" s="131" t="str">
        <f t="shared" si="124"/>
        <v>#REF!</v>
      </c>
      <c r="CR130" s="131" t="str">
        <f t="shared" si="48"/>
        <v>#REF!</v>
      </c>
      <c r="CS130" s="131" t="str">
        <f t="array" ref="CS130">INDEX(CR:CR,MIN(IF(ISNUMBER(CR130:CR326),ROW(CR130:CR326),"")))</f>
        <v/>
      </c>
      <c r="CT130" s="131" t="str">
        <f t="shared" si="125"/>
        <v>#REF!</v>
      </c>
      <c r="CU130" s="138" t="str">
        <f>CT130*VLOOKUP('Données projet (1)'!$B$13,'Paramètres (1)'!$A$1:$I$88,3,0)*VLOOKUP('Données projet (1)'!$B$13,'Paramètres (1)'!$A$1:$I$88,5,0)</f>
        <v>#REF!</v>
      </c>
      <c r="CV130" s="130" t="str">
        <f t="shared" si="126"/>
        <v>#REF!</v>
      </c>
      <c r="CW130" s="141" t="str">
        <f t="shared" si="49"/>
        <v>#REF!</v>
      </c>
      <c r="CX130" s="133" t="str">
        <f t="shared" si="50"/>
        <v>#REF!</v>
      </c>
      <c r="CY130" s="133" t="str">
        <f t="shared" si="51"/>
        <v>#REF!</v>
      </c>
      <c r="CZ130" s="133" t="str">
        <f t="shared" si="127"/>
        <v>#REF!</v>
      </c>
      <c r="DA130" s="134" t="str">
        <f t="shared" si="52"/>
        <v>#REF!</v>
      </c>
      <c r="DB130" s="134" t="str">
        <f t="shared" si="53"/>
        <v>#REF!</v>
      </c>
      <c r="DC130" s="135" t="str">
        <f>IF(ISNA(VLOOKUP(A130,'Données projet (1)'!$A$139:$I$159,5,0)),0%,VLOOKUP(A130,'Données projet (1)'!$A$139:$I$159,5,0)*VLOOKUP('Données projet (1)'!$B$13,'Paramètres (1)'!$A$1:$I$88,7,0))</f>
        <v>#REF!</v>
      </c>
      <c r="DD130" s="135" t="str">
        <f>IF(ISNA(VLOOKUP(A130,'Données projet (1)'!$A$139:$I$159,6,0)),0%,VLOOKUP(A130,'Données projet (1)'!$A$139:$I$159,6,0)*VLOOKUP('Données projet (1)'!$B$13,'Paramètres (1)'!$A$1:$I$88,7,0))</f>
        <v>#REF!</v>
      </c>
      <c r="DE130" s="135" t="str">
        <f t="shared" si="54"/>
        <v>#REF!</v>
      </c>
      <c r="DF130" s="142" t="str">
        <f>EXP(-LN(2)/35)*DF129+(1-EXP(-LN(2)/35))/(LN(2)/35)*DB130*DC130*VLOOKUP('Données projet (1)'!$B$13,'Paramètres (1)'!$A$1:$I$88,3,0)*0.475*44/12</f>
        <v>#REF!</v>
      </c>
      <c r="DG130" s="142" t="str">
        <f>EXP(-LN(2)/25)*DG129+(1-EXP(-LN(2)/25))/(LN(2)/25)*'Calculateur (1)'!DB130*'Calculateur (1)'!DD130*VLOOKUP('Données projet (1)'!$B$13,'Paramètres (1)'!$A$1:$I$88,3,0)*0.475*44/12</f>
        <v>#REF!</v>
      </c>
      <c r="DH130" s="142" t="str">
        <f>EXP(-LN(2)/2)*DH129+(1-EXP(-LN(2)/2))/(LN(2)/2)*DB130*DE130*VLOOKUP('Données projet (1)'!$B$13,'Paramètres (1)'!$A$1:$I$88,3,0)*0.475*44/12</f>
        <v>#REF!</v>
      </c>
      <c r="DI130" s="143" t="str">
        <f t="shared" si="55"/>
        <v>#REF!</v>
      </c>
      <c r="DJ130" s="139" t="str">
        <f t="shared" si="56"/>
        <v>#REF!</v>
      </c>
      <c r="DK130" s="131">
        <f t="shared" si="57"/>
        <v>10</v>
      </c>
      <c r="DL130" s="131" t="str">
        <f t="shared" si="128"/>
        <v>#REF!</v>
      </c>
      <c r="DM130" s="131" t="str">
        <f t="shared" si="58"/>
        <v>#REF!</v>
      </c>
      <c r="DN130" s="131" t="str">
        <f t="array" ref="DN130">INDEX(DM:DM,MIN(IF(ISNUMBER(DM130:DM326),ROW(DM130:DM326),"")))</f>
        <v/>
      </c>
      <c r="DO130" s="131" t="str">
        <f t="shared" si="129"/>
        <v>#REF!</v>
      </c>
      <c r="DP130" s="138" t="str">
        <f>DO130*VLOOKUP('Données projet (1)'!$B$14,'Paramètres (1)'!$A$1:$I$88,3,0)*VLOOKUP('Données projet (1)'!$B$14,'Paramètres (1)'!$A$1:$I$88,5,0)</f>
        <v>#REF!</v>
      </c>
      <c r="DQ130" s="130" t="str">
        <f t="shared" si="130"/>
        <v>#REF!</v>
      </c>
      <c r="DR130" s="141" t="str">
        <f t="shared" si="59"/>
        <v>#REF!</v>
      </c>
      <c r="DS130" s="133" t="str">
        <f t="shared" si="60"/>
        <v>#REF!</v>
      </c>
      <c r="DT130" s="133" t="str">
        <f t="shared" si="61"/>
        <v>#REF!</v>
      </c>
      <c r="DU130" s="133" t="str">
        <f t="shared" si="131"/>
        <v>#REF!</v>
      </c>
      <c r="DV130" s="134" t="str">
        <f t="shared" si="62"/>
        <v>#REF!</v>
      </c>
      <c r="DW130" s="134" t="str">
        <f t="shared" si="63"/>
        <v>#REF!</v>
      </c>
      <c r="DX130" s="135" t="str">
        <f>IF(ISNA(VLOOKUP(A130,'Données projet (1)'!$A$165:$I$185,5,0)),0%,VLOOKUP(A130,'Données projet (1)'!$A$165:$I$185,5,0)*VLOOKUP('Données projet (1)'!$B$14,'Paramètres (1)'!$A$1:$I$88,7,0))</f>
        <v>#REF!</v>
      </c>
      <c r="DY130" s="135" t="str">
        <f>IF(ISNA(VLOOKUP(A130,'Données projet (1)'!$A$165:$I$185,6,0)),0%,VLOOKUP(A130,'Données projet (1)'!$A$165:$I$185,6,0)*VLOOKUP('Données projet (1)'!$B$14,'Paramètres (1)'!$A$1:$I$88,7,0))</f>
        <v>#REF!</v>
      </c>
      <c r="DZ130" s="135" t="str">
        <f t="shared" si="64"/>
        <v>#REF!</v>
      </c>
      <c r="EA130" s="142" t="str">
        <f>EXP(-LN(2)/35)*EA129+(1-EXP(-LN(2)/35))/(LN(2)/35)*DW130*DX130*VLOOKUP('Données projet (1)'!$B$14,'Paramètres (1)'!$A$1:$I$88,3,0)*0.475*44/12</f>
        <v>#REF!</v>
      </c>
      <c r="EB130" s="142" t="str">
        <f>EXP(-LN(2)/25)*EB129+(1-EXP(-LN(2)/25))/(LN(2)/25)*'Calculateur (1)'!DW130*'Calculateur (1)'!DY130*VLOOKUP('Données projet (1)'!$B$14,'Paramètres (1)'!$A$1:$I$88,3,0)*0.475*44/12</f>
        <v>#REF!</v>
      </c>
      <c r="EC130" s="142" t="str">
        <f>EXP(-LN(2)/2)*EC129+(1-EXP(-LN(2)/2))/(LN(2)/2)*DW130*DZ130*VLOOKUP('Données projet (1)'!$B$14,'Paramètres (1)'!$A$1:$I$88,3,0)*0.475*44/12</f>
        <v>#REF!</v>
      </c>
      <c r="ED130" s="143" t="str">
        <f t="shared" si="65"/>
        <v>#REF!</v>
      </c>
      <c r="EE130" s="139" t="str">
        <f t="shared" si="66"/>
        <v>#REF!</v>
      </c>
      <c r="EF130" s="131">
        <f t="shared" si="67"/>
        <v>10</v>
      </c>
      <c r="EG130" s="131" t="str">
        <f t="shared" si="132"/>
        <v>#REF!</v>
      </c>
      <c r="EH130" s="131" t="str">
        <f t="shared" si="68"/>
        <v>#REF!</v>
      </c>
      <c r="EI130" s="131" t="str">
        <f t="array" ref="EI130">INDEX(EH:EH,MIN(IF(ISNUMBER(EH130:EH326),ROW(EH130:EH326),"")))</f>
        <v/>
      </c>
      <c r="EJ130" s="131" t="str">
        <f t="shared" si="133"/>
        <v>#REF!</v>
      </c>
      <c r="EK130" s="138" t="str">
        <f>EJ130*VLOOKUP('Données projet (1)'!$B$15,'Paramètres (1)'!$A$1:$I$88,3,0)*VLOOKUP('Données projet (1)'!$B$15,'Paramètres (1)'!$A$1:$I$88,5,0)</f>
        <v>#REF!</v>
      </c>
      <c r="EL130" s="130" t="str">
        <f t="shared" si="134"/>
        <v>#REF!</v>
      </c>
      <c r="EM130" s="141" t="str">
        <f t="shared" si="69"/>
        <v>#REF!</v>
      </c>
      <c r="EN130" s="133" t="str">
        <f t="shared" si="70"/>
        <v>#REF!</v>
      </c>
      <c r="EO130" s="133" t="str">
        <f t="shared" si="71"/>
        <v>#REF!</v>
      </c>
      <c r="EP130" s="133" t="str">
        <f t="shared" si="135"/>
        <v>#REF!</v>
      </c>
      <c r="EQ130" s="134" t="str">
        <f t="shared" si="72"/>
        <v>#REF!</v>
      </c>
      <c r="ER130" s="134" t="str">
        <f t="shared" si="73"/>
        <v>#REF!</v>
      </c>
      <c r="ES130" s="135" t="str">
        <f>IF(ISNA(VLOOKUP(A130,'Données projet (1)'!$A$191:$I$211,5,0)),0%,VLOOKUP(A130,'Données projet (1)'!$A$191:$I$211,5,0)*VLOOKUP('Données projet (1)'!$B$15,'Paramètres (1)'!$A$1:$I$88,7,0))</f>
        <v>#REF!</v>
      </c>
      <c r="ET130" s="135" t="str">
        <f>IF(ISNA(VLOOKUP(A130,'Données projet (1)'!$A$191:$I$211,6,0)),0%,VLOOKUP(A130,'Données projet (1)'!$A$191:$I$211,6,0)*VLOOKUP('Données projet (1)'!$B$15,'Paramètres (1)'!$A$1:$I$88,7,0))</f>
        <v>#REF!</v>
      </c>
      <c r="EU130" s="135" t="str">
        <f t="shared" si="74"/>
        <v>#REF!</v>
      </c>
      <c r="EV130" s="142" t="str">
        <f>EXP(-LN(2)/35)*EV129+(1-EXP(-LN(2)/35))/(LN(2)/35)*ER130*ES130*VLOOKUP('Données projet (1)'!$B$15,'Paramètres (1)'!$A$1:$I$88,3,0)*0.475*44/12</f>
        <v>#REF!</v>
      </c>
      <c r="EW130" s="142" t="str">
        <f>EXP(-LN(2)/25)*EW129+(1-EXP(-LN(2)/25))/(LN(2)/25)*'Calculateur (1)'!ER130*'Calculateur (1)'!ET130*VLOOKUP('Données projet (1)'!$B$15,'Paramètres (1)'!$A$1:$I$88,3,0)*0.475*44/12</f>
        <v>#REF!</v>
      </c>
      <c r="EX130" s="142" t="str">
        <f>EXP(-LN(2)/2)*EX129+(1-EXP(-LN(2)/2))/(LN(2)/2)*ER130*EU130*VLOOKUP('Données projet (1)'!$B$15,'Paramètres (1)'!$A$1:$I$88,3,0)*0.475*44/12</f>
        <v>#REF!</v>
      </c>
      <c r="EY130" s="143" t="str">
        <f t="shared" si="75"/>
        <v>#REF!</v>
      </c>
      <c r="EZ130" s="139" t="str">
        <f t="shared" si="76"/>
        <v>#REF!</v>
      </c>
      <c r="FA130" s="131">
        <f t="shared" si="77"/>
        <v>10</v>
      </c>
      <c r="FB130" s="131" t="str">
        <f t="shared" si="136"/>
        <v>#REF!</v>
      </c>
      <c r="FC130" s="131" t="str">
        <f t="shared" si="78"/>
        <v>#REF!</v>
      </c>
      <c r="FD130" s="131" t="str">
        <f t="array" ref="FD130">INDEX(FC:FC,MIN(IF(ISNUMBER(FC130:FC326),ROW(FC130:FC326),"")))</f>
        <v/>
      </c>
      <c r="FE130" s="131" t="str">
        <f t="shared" si="137"/>
        <v>#REF!</v>
      </c>
      <c r="FF130" s="138" t="str">
        <f>FE130*VLOOKUP('Données projet (1)'!$B$16,'Paramètres (1)'!$A$1:$I$88,3,0)*VLOOKUP('Données projet (1)'!$B$16,'Paramètres (1)'!$A$1:$I$88,5,0)</f>
        <v>#REF!</v>
      </c>
      <c r="FG130" s="130" t="str">
        <f t="shared" si="138"/>
        <v>#REF!</v>
      </c>
      <c r="FH130" s="141" t="str">
        <f t="shared" si="79"/>
        <v>#REF!</v>
      </c>
      <c r="FI130" s="133" t="str">
        <f t="shared" si="80"/>
        <v>#REF!</v>
      </c>
      <c r="FJ130" s="133" t="str">
        <f t="shared" si="81"/>
        <v>#REF!</v>
      </c>
      <c r="FK130" s="133" t="str">
        <f t="shared" si="139"/>
        <v>#REF!</v>
      </c>
      <c r="FL130" s="134" t="str">
        <f t="shared" si="82"/>
        <v>#REF!</v>
      </c>
      <c r="FM130" s="134" t="str">
        <f t="shared" si="83"/>
        <v>#REF!</v>
      </c>
      <c r="FN130" s="135" t="str">
        <f>IF(ISNA(VLOOKUP(A130,'Données projet (1)'!$A$217:$I$237,5,0)),0%,VLOOKUP(A130,'Données projet (1)'!$A$217:$I$237,5,0)*VLOOKUP('Données projet (1)'!$B$16,'Paramètres (1)'!$A$1:$I$88,7,0))</f>
        <v>#REF!</v>
      </c>
      <c r="FO130" s="135" t="str">
        <f>IF(ISNA(VLOOKUP(A130,'Données projet (1)'!$A$217:$I$237,6,0)),0%,VLOOKUP(A130,'Données projet (1)'!$A$217:$I$237,6,0)*VLOOKUP('Données projet (1)'!$B$16,'Paramètres (1)'!$A$1:$I$88,7,0))</f>
        <v>#REF!</v>
      </c>
      <c r="FP130" s="135" t="str">
        <f t="shared" si="84"/>
        <v>#REF!</v>
      </c>
      <c r="FQ130" s="142" t="str">
        <f>EXP(-LN(2)/35)*FQ129+(1-EXP(-LN(2)/35))/(LN(2)/35)*FM130*FN130*VLOOKUP('Données projet (1)'!$B$16,'Paramètres (1)'!$A$1:$I$88,3,0)*0.475*44/12</f>
        <v>#REF!</v>
      </c>
      <c r="FR130" s="142" t="str">
        <f>EXP(-LN(2)/25)*FR129+(1-EXP(-LN(2)/25))/(LN(2)/25)*'Calculateur (1)'!FM130*'Calculateur (1)'!FO130*VLOOKUP('Données projet (1)'!$B$16,'Paramètres (1)'!$A$1:$I$88,3,0)*0.475*44/12</f>
        <v>#REF!</v>
      </c>
      <c r="FS130" s="142" t="str">
        <f>EXP(-LN(2)/2)*FS129+(1-EXP(-LN(2)/2))/(LN(2)/2)*FM130*FP130*VLOOKUP('Données projet (1)'!$B$16,'Paramètres (1)'!$A$1:$I$88,3,0)*0.475*44/12</f>
        <v>#REF!</v>
      </c>
      <c r="FT130" s="143" t="str">
        <f t="shared" si="85"/>
        <v>#REF!</v>
      </c>
      <c r="FU130" s="139" t="str">
        <f t="shared" si="86"/>
        <v>#REF!</v>
      </c>
      <c r="FV130" s="131">
        <f t="shared" si="87"/>
        <v>10</v>
      </c>
      <c r="FW130" s="131" t="str">
        <f t="shared" si="140"/>
        <v>#REF!</v>
      </c>
      <c r="FX130" s="131" t="str">
        <f t="shared" si="88"/>
        <v>#REF!</v>
      </c>
      <c r="FY130" s="131" t="str">
        <f t="array" ref="FY130">INDEX(FX:FX,MIN(IF(ISNUMBER(FX130:FX326),ROW(FX130:FX326),"")))</f>
        <v/>
      </c>
      <c r="FZ130" s="131" t="str">
        <f t="shared" si="141"/>
        <v>#REF!</v>
      </c>
      <c r="GA130" s="138" t="str">
        <f>FZ130*VLOOKUP('Données projet (1)'!$B$17,'Paramètres (1)'!$A$1:$I$88,3,0)*VLOOKUP('Données projet (1)'!$B$17,'Paramètres (1)'!$A$1:$I$88,5,0)</f>
        <v>#REF!</v>
      </c>
      <c r="GB130" s="130" t="str">
        <f t="shared" si="142"/>
        <v>#REF!</v>
      </c>
      <c r="GC130" s="141" t="str">
        <f t="shared" si="89"/>
        <v>#REF!</v>
      </c>
      <c r="GD130" s="133" t="str">
        <f t="shared" si="90"/>
        <v>#REF!</v>
      </c>
      <c r="GE130" s="133" t="str">
        <f t="shared" si="91"/>
        <v>#REF!</v>
      </c>
      <c r="GF130" s="133" t="str">
        <f t="shared" si="143"/>
        <v>#REF!</v>
      </c>
      <c r="GG130" s="134" t="str">
        <f t="shared" si="92"/>
        <v>#REF!</v>
      </c>
      <c r="GH130" s="134" t="str">
        <f t="shared" si="93"/>
        <v>#REF!</v>
      </c>
      <c r="GI130" s="135" t="str">
        <f>IF(ISNA(VLOOKUP(A130,'Données projet (1)'!$A$243:$I$263,5,0)),0%,VLOOKUP(A130,'Données projet (1)'!$A$243:$I$263,5,0)*VLOOKUP('Données projet (1)'!$B$17,'Paramètres (1)'!$A$1:$I$88,7,0))</f>
        <v>#REF!</v>
      </c>
      <c r="GJ130" s="135" t="str">
        <f>IF(ISNA(VLOOKUP(A130,'Données projet (1)'!$A$243:$I$263,6,0)),0%,VLOOKUP(A130,'Données projet (1)'!$A$243:$I$263,6,0)*VLOOKUP('Données projet (1)'!$B$17,'Paramètres (1)'!$A$1:$I$88,7,0))</f>
        <v>#REF!</v>
      </c>
      <c r="GK130" s="135" t="str">
        <f t="shared" si="94"/>
        <v>#REF!</v>
      </c>
      <c r="GL130" s="142" t="str">
        <f>EXP(-LN(2)/35)*GL129+(1-EXP(-LN(2)/35))/(LN(2)/35)*GH130*GI130*VLOOKUP('Données projet (1)'!$B$17,'Paramètres (1)'!$A$1:$I$88,3,0)*0.475*44/12</f>
        <v>#REF!</v>
      </c>
      <c r="GM130" s="142" t="str">
        <f>EXP(-LN(2)/25)*GM129+(1-EXP(-LN(2)/25))/(LN(2)/25)*'Calculateur (1)'!GH130*'Calculateur (1)'!GJ130*VLOOKUP('Données projet (1)'!$B$17,'Paramètres (1)'!$A$1:$I$88,3,0)*0.475*44/12</f>
        <v>#REF!</v>
      </c>
      <c r="GN130" s="142" t="str">
        <f>EXP(-LN(2)/2)*GN129+(1-EXP(-LN(2)/2))/(LN(2)/2)*GH130*GK130*VLOOKUP('Données projet (1)'!$B$17,'Paramètres (1)'!$A$1:$I$88,3,0)*0.475*44/12</f>
        <v>#REF!</v>
      </c>
      <c r="GO130" s="142" t="str">
        <f t="shared" si="95"/>
        <v>#REF!</v>
      </c>
      <c r="GP130" s="139" t="str">
        <f t="shared" si="96"/>
        <v>#REF!</v>
      </c>
      <c r="GQ130" s="131">
        <f t="shared" si="97"/>
        <v>10</v>
      </c>
      <c r="GR130" s="131" t="str">
        <f t="shared" si="144"/>
        <v>#REF!</v>
      </c>
      <c r="GS130" s="131" t="str">
        <f t="shared" si="98"/>
        <v>#REF!</v>
      </c>
      <c r="GT130" s="131" t="str">
        <f t="array" ref="GT130">INDEX(GS:GS,MIN(IF(ISNUMBER(GS130:GS326),ROW(GS130:GS326),"")))</f>
        <v/>
      </c>
      <c r="GU130" s="131" t="str">
        <f t="shared" si="145"/>
        <v>#REF!</v>
      </c>
      <c r="GV130" s="138" t="str">
        <f>GU130*VLOOKUP('Données projet (1)'!$B$18,'Paramètres (1)'!$A$1:$I$88,3,0)*VLOOKUP('Données projet (1)'!$B$18,'Paramètres (1)'!$A$1:$I$88,5,0)</f>
        <v>#REF!</v>
      </c>
      <c r="GW130" s="130" t="str">
        <f t="shared" si="146"/>
        <v>#REF!</v>
      </c>
      <c r="GX130" s="141" t="str">
        <f t="shared" si="99"/>
        <v>#REF!</v>
      </c>
      <c r="GY130" s="133" t="str">
        <f t="shared" si="100"/>
        <v>#REF!</v>
      </c>
      <c r="GZ130" s="133" t="str">
        <f t="shared" si="101"/>
        <v>#REF!</v>
      </c>
      <c r="HA130" s="133" t="str">
        <f t="shared" si="147"/>
        <v>#REF!</v>
      </c>
      <c r="HB130" s="134" t="str">
        <f t="shared" si="102"/>
        <v>#REF!</v>
      </c>
      <c r="HC130" s="134" t="str">
        <f t="shared" si="103"/>
        <v>#REF!</v>
      </c>
      <c r="HD130" s="135" t="str">
        <f>IF(ISNA(VLOOKUP(A130,'Données projet (1)'!$A$269:$I$289,5,0)),0%,VLOOKUP(A130,'Données projet (1)'!$A$269:$I$289,5,0)*VLOOKUP('Données projet (1)'!$B$18,'Paramètres (1)'!$A$1:$I$88,7,0))</f>
        <v>#REF!</v>
      </c>
      <c r="HE130" s="135" t="str">
        <f>IF(ISNA(VLOOKUP(A130,'Données projet (1)'!$A$269:$I$289,6,0)),0%,VLOOKUP(A130,'Données projet (1)'!$A$269:$I$289,6,0)*VLOOKUP('Données projet (1)'!$B$18,'Paramètres (1)'!$A$1:$I$88,7,0))</f>
        <v>#REF!</v>
      </c>
      <c r="HF130" s="135" t="str">
        <f t="shared" si="104"/>
        <v>#REF!</v>
      </c>
      <c r="HG130" s="142" t="str">
        <f>EXP(-LN(2)/35)*HG129+(1-EXP(-LN(2)/35))/(LN(2)/35)*HC130*HD130*VLOOKUP('Données projet (1)'!$B$18,'Paramètres (1)'!$A$1:$I$88,3,0)*0.475*44/12</f>
        <v>#REF!</v>
      </c>
      <c r="HH130" s="142" t="str">
        <f>EXP(-LN(2)/25)*HH129+(1-EXP(-LN(2)/25))/(LN(2)/25)*'Calculateur (1)'!HC130*'Calculateur (1)'!HE130*VLOOKUP('Données projet (1)'!$B$18,'Paramètres (1)'!$A$1:$I$88,3,0)*0.475*44/12</f>
        <v>#REF!</v>
      </c>
      <c r="HI130" s="142" t="str">
        <f>EXP(-LN(2)/2)*HI129+(1-EXP(-LN(2)/2))/(LN(2)/2)*HC130*HF130*VLOOKUP('Données projet (1)'!$B$18,'Paramètres (1)'!$A$1:$I$88,3,0)*0.475*44/12</f>
        <v>#REF!</v>
      </c>
      <c r="HJ130" s="143" t="str">
        <f t="shared" si="105"/>
        <v>#REF!</v>
      </c>
    </row>
    <row r="131" ht="14.25" customHeight="1">
      <c r="A131" s="125">
        <f t="shared" si="106"/>
        <v>128</v>
      </c>
      <c r="B131" s="126" t="str">
        <f t="shared" si="1"/>
        <v>#REF!</v>
      </c>
      <c r="C131" s="140" t="str">
        <f>'Calculateur (1)'!C130+'Scénario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1" s="127">
        <f t="shared" si="107"/>
        <v>0</v>
      </c>
      <c r="E131" s="127" t="str">
        <f t="shared" si="2"/>
        <v>#REF!</v>
      </c>
      <c r="F131" s="127" t="str">
        <f t="shared" si="3"/>
        <v>#REF!</v>
      </c>
      <c r="G131" s="127" t="str">
        <f t="shared" si="4"/>
        <v>#REF!</v>
      </c>
      <c r="H131" s="128" t="str">
        <f t="shared" si="5"/>
        <v>#REF!</v>
      </c>
      <c r="I131" s="129" t="str">
        <f t="shared" si="6"/>
        <v>#REF!</v>
      </c>
      <c r="J131" s="130">
        <f t="shared" si="7"/>
        <v>10</v>
      </c>
      <c r="K131" s="131" t="str">
        <f t="shared" si="108"/>
        <v>#REF!</v>
      </c>
      <c r="L131" s="131" t="str">
        <f t="shared" si="8"/>
        <v>#REF!</v>
      </c>
      <c r="M131" s="131" t="str">
        <f t="array" ref="M131">INDEX(L:L,MIN(IF(ISNUMBER(L131:L327),ROW(L131:L327),"")))</f>
        <v/>
      </c>
      <c r="N131" s="130" t="str">
        <f t="shared" si="109"/>
        <v>#REF!</v>
      </c>
      <c r="O131" s="130" t="str">
        <f>N131*VLOOKUP('Données projet (1)'!$B$9,'Paramètres (1)'!$A$1:$I$88,3,0)*VLOOKUP('Données projet (1)'!$B$9,'Paramètres (1)'!$A$1:$I$88,5,0)</f>
        <v>#REF!</v>
      </c>
      <c r="P131" s="130" t="str">
        <f t="shared" si="110"/>
        <v>#REF!</v>
      </c>
      <c r="Q131" s="141" t="str">
        <f t="shared" si="9"/>
        <v>#REF!</v>
      </c>
      <c r="R131" s="133" t="str">
        <f t="shared" si="10"/>
        <v>#REF!</v>
      </c>
      <c r="S131" s="133" t="str">
        <f t="shared" si="11"/>
        <v>#REF!</v>
      </c>
      <c r="T131" s="133" t="str">
        <f t="shared" si="111"/>
        <v>#REF!</v>
      </c>
      <c r="U131" s="134" t="str">
        <f t="shared" si="12"/>
        <v>#REF!</v>
      </c>
      <c r="V131" s="134" t="str">
        <f t="shared" si="13"/>
        <v>#REF!</v>
      </c>
      <c r="W131" s="135" t="str">
        <f>IF(ISNA(VLOOKUP(A131,'Données projet (1)'!$A$35:$I$55,5,0)),0%,VLOOKUP(A131,'Données projet (1)'!$A$35:$I$55,5,0)*VLOOKUP('Données projet (1)'!$B$9,'Paramètres (1)'!$A$1:$I$88,7,0))</f>
        <v>#REF!</v>
      </c>
      <c r="X131" s="135" t="str">
        <f>IF(ISNA(VLOOKUP(A131,'Données projet (1)'!$A$35:$I$55,6,0)),0%,VLOOKUP(A131,'Données projet (1)'!$A$35:$I$55,6,0)*VLOOKUP('Données projet (1)'!$B$9,'Paramètres (1)'!$A$1:$I$88,7,0))</f>
        <v>#REF!</v>
      </c>
      <c r="Y131" s="135" t="str">
        <f t="shared" si="14"/>
        <v>#REF!</v>
      </c>
      <c r="Z131" s="142" t="str">
        <f>EXP(-LN(2)/35)*Z130+(1-EXP(-LN(2)/35))/(LN(2)/35)*V131*W131*VLOOKUP('Données projet (1)'!$B$9,'Paramètres (1)'!$A$1:$I$88,3,0)*0.475*44/12</f>
        <v>#REF!</v>
      </c>
      <c r="AA131" s="142" t="str">
        <f>EXP(-LN(2)/25)*AA130+(1-EXP(-LN(2)/25))/(LN(2)/25)*'Calculateur (1)'!V131*'Calculateur (1)'!X131*VLOOKUP('Données projet (1)'!$B$9,'Paramètres (1)'!$A$1:$I$88,3,0)*0.475*44/12</f>
        <v>#REF!</v>
      </c>
      <c r="AB131" s="142" t="str">
        <f>EXP(-LN(2)/2)*AB130+(1-EXP(-LN(2)/2))/(LN(2)/2)*V131*Y131*VLOOKUP('Données projet (1)'!$B$9,'Paramètres (1)'!$A$1:$I$88,3,0)*0.475*44/12</f>
        <v>#REF!</v>
      </c>
      <c r="AC131" s="143" t="str">
        <f t="shared" si="15"/>
        <v>#REF!</v>
      </c>
      <c r="AD131" s="130" t="str">
        <f t="shared" si="16"/>
        <v>#REF!</v>
      </c>
      <c r="AE131" s="130">
        <f t="shared" si="17"/>
        <v>10</v>
      </c>
      <c r="AF131" s="131" t="str">
        <f t="shared" si="112"/>
        <v>#REF!</v>
      </c>
      <c r="AG131" s="131" t="str">
        <f t="shared" si="18"/>
        <v>#REF!</v>
      </c>
      <c r="AH131" s="131" t="str">
        <f t="array" ref="AH131">INDEX(AG:AG,MIN(IF(ISNUMBER(AG131:AG327),ROW(AG131:AG327),"")))</f>
        <v/>
      </c>
      <c r="AI131" s="130" t="str">
        <f t="shared" si="113"/>
        <v>#REF!</v>
      </c>
      <c r="AJ131" s="130" t="str">
        <f>AI131*VLOOKUP('Données projet (1)'!$B$10,'Paramètres (1)'!$A$1:$I$88,3,0)*VLOOKUP('Données projet (1)'!$B$10,'Paramètres (1)'!$A$1:$I$88,5,0)</f>
        <v>#REF!</v>
      </c>
      <c r="AK131" s="130" t="str">
        <f t="shared" si="114"/>
        <v>#REF!</v>
      </c>
      <c r="AL131" s="141" t="str">
        <f t="shared" si="19"/>
        <v>#REF!</v>
      </c>
      <c r="AM131" s="133" t="str">
        <f t="shared" si="20"/>
        <v>#REF!</v>
      </c>
      <c r="AN131" s="133" t="str">
        <f t="shared" si="21"/>
        <v>#REF!</v>
      </c>
      <c r="AO131" s="133" t="str">
        <f t="shared" si="115"/>
        <v>#REF!</v>
      </c>
      <c r="AP131" s="134" t="str">
        <f t="shared" si="22"/>
        <v>#REF!</v>
      </c>
      <c r="AQ131" s="134" t="str">
        <f t="shared" si="23"/>
        <v>#REF!</v>
      </c>
      <c r="AR131" s="135" t="str">
        <f>IF(ISNA(VLOOKUP(A131,'Données projet (1)'!$A$61:$I$81,5,0)),0%,VLOOKUP(A131,'Données projet (1)'!$A$61:$I$81,5,0)*VLOOKUP('Données projet (1)'!$B$10,'Paramètres (1)'!$A$1:$I$88,7,0))</f>
        <v>#REF!</v>
      </c>
      <c r="AS131" s="135" t="str">
        <f>IF(ISNA(VLOOKUP(A131,'Données projet (1)'!$A$61:$I$81,6,0)),0%,VLOOKUP(A131,'Données projet (1)'!$A$61:$I$81,6,0)*VLOOKUP('Données projet (1)'!$B$10,'Paramètres (1)'!$A$1:$I$88,7,0))</f>
        <v>#REF!</v>
      </c>
      <c r="AT131" s="135" t="str">
        <f t="shared" si="24"/>
        <v>#REF!</v>
      </c>
      <c r="AU131" s="142" t="str">
        <f>EXP(-LN(2)/35)*AU130+(1-EXP(-LN(2)/35))/(LN(2)/35)*AQ131*AR131*VLOOKUP('Données projet (1)'!$B$10,'Paramètres (1)'!$A$1:$I$88,3,0)*0.475*44/12</f>
        <v>#REF!</v>
      </c>
      <c r="AV131" s="142" t="str">
        <f>EXP(-LN(2)/25)*AV130+(1-EXP(-LN(2)/25))/(LN(2)/25)*'Calculateur (1)'!AQ131*'Calculateur (1)'!AS131*VLOOKUP('Données projet (1)'!$B$10,'Paramètres (1)'!$A$1:$I$88,3,0)*0.475*44/12</f>
        <v>#REF!</v>
      </c>
      <c r="AW131" s="142" t="str">
        <f>EXP(-LN(2)/2)*AW130+(1-EXP(-LN(2)/2))/(LN(2)/2)*AQ131*AT131*VLOOKUP('Données projet (1)'!$B$10,'Paramètres (1)'!$A$1:$I$88,3,0)*0.475*44/12</f>
        <v>#REF!</v>
      </c>
      <c r="AX131" s="142" t="str">
        <f t="shared" si="25"/>
        <v>#REF!</v>
      </c>
      <c r="AY131" s="137" t="str">
        <f t="shared" si="26"/>
        <v>#REF!</v>
      </c>
      <c r="AZ131" s="131">
        <f t="shared" si="27"/>
        <v>10</v>
      </c>
      <c r="BA131" s="131" t="str">
        <f t="shared" si="116"/>
        <v>#REF!</v>
      </c>
      <c r="BB131" s="131" t="str">
        <f t="shared" si="28"/>
        <v>#REF!</v>
      </c>
      <c r="BC131" s="131" t="str">
        <f t="array" ref="BC131">INDEX(BB:BB,MIN(IF(ISNUMBER(BB131:BB327),ROW(BB131:BB327),"")))</f>
        <v/>
      </c>
      <c r="BD131" s="131" t="str">
        <f t="shared" si="117"/>
        <v>#REF!</v>
      </c>
      <c r="BE131" s="130" t="str">
        <f>BD131*VLOOKUP('Données projet (1)'!$B$11,'Paramètres (1)'!$A$1:$I$88,3,0)*VLOOKUP('Données projet (1)'!$B$11,'Paramètres (1)'!$A$1:$I$88,5,0)</f>
        <v>#REF!</v>
      </c>
      <c r="BF131" s="130" t="str">
        <f t="shared" si="118"/>
        <v>#REF!</v>
      </c>
      <c r="BG131" s="141" t="str">
        <f t="shared" si="29"/>
        <v>#REF!</v>
      </c>
      <c r="BH131" s="133" t="str">
        <f t="shared" si="30"/>
        <v>#REF!</v>
      </c>
      <c r="BI131" s="133" t="str">
        <f t="shared" si="31"/>
        <v>#REF!</v>
      </c>
      <c r="BJ131" s="133" t="str">
        <f t="shared" si="119"/>
        <v>#REF!</v>
      </c>
      <c r="BK131" s="134" t="str">
        <f t="shared" si="32"/>
        <v>#REF!</v>
      </c>
      <c r="BL131" s="134" t="str">
        <f t="shared" si="33"/>
        <v>#REF!</v>
      </c>
      <c r="BM131" s="135" t="str">
        <f>IF(ISNA(VLOOKUP(A131,'Données projet (1)'!$A$87:$I$107,5,0)),0%,VLOOKUP(A131,'Données projet (1)'!$A$87:$I$107,5,0)*VLOOKUP('Données projet (1)'!$B$11,'Paramètres (1)'!$A$1:$I$88,7,0))</f>
        <v>#REF!</v>
      </c>
      <c r="BN131" s="135" t="str">
        <f>IF(ISNA(VLOOKUP(A131,'Données projet (1)'!$A$87:$I$107,6,0)),0%,VLOOKUP(A131,'Données projet (1)'!$A$87:$I$107,6,0)*VLOOKUP('Données projet (1)'!$B$11,'Paramètres (1)'!$A$1:$I$88,7,0))</f>
        <v>#REF!</v>
      </c>
      <c r="BO131" s="135" t="str">
        <f t="shared" si="34"/>
        <v>#REF!</v>
      </c>
      <c r="BP131" s="142" t="str">
        <f>EXP(-LN(2)/35)*BP130+(1-EXP(-LN(2)/35))/(LN(2)/35)*BL131*BM131*VLOOKUP('Données projet (1)'!$B$11,'Paramètres (1)'!$A$1:$I$88,3,0)*0.475*44/12</f>
        <v>#REF!</v>
      </c>
      <c r="BQ131" s="142" t="str">
        <f>EXP(-LN(2)/25)*BQ130+(1-EXP(-LN(2)/25))/(LN(2)/25)*'Calculateur (1)'!BL131*'Calculateur (1)'!BN131*VLOOKUP('Données projet (1)'!$B$11,'Paramètres (1)'!$A$1:$I$88,3,0)*0.475*44/12</f>
        <v>#REF!</v>
      </c>
      <c r="BR131" s="142" t="str">
        <f>EXP(-LN(2)/2)*BR130+(1-EXP(-LN(2)/2))/(LN(2)/2)*BL131*BO131*VLOOKUP('Données projet (1)'!$B$11,'Paramètres (1)'!$A$1:$I$88,3,0)*0.475*44/12</f>
        <v>#REF!</v>
      </c>
      <c r="BS131" s="143" t="str">
        <f t="shared" si="35"/>
        <v>#REF!</v>
      </c>
      <c r="BT131" s="139" t="str">
        <f t="shared" si="36"/>
        <v>#REF!</v>
      </c>
      <c r="BU131" s="131">
        <f t="shared" si="37"/>
        <v>10</v>
      </c>
      <c r="BV131" s="131" t="str">
        <f t="shared" si="120"/>
        <v>#REF!</v>
      </c>
      <c r="BW131" s="131" t="str">
        <f t="shared" si="38"/>
        <v>#REF!</v>
      </c>
      <c r="BX131" s="131" t="str">
        <f t="array" ref="BX131">INDEX(BW:BW,MIN(IF(ISNUMBER(BW131:BW327),ROW(BW131:BW327),"")))</f>
        <v/>
      </c>
      <c r="BY131" s="131" t="str">
        <f t="shared" si="121"/>
        <v>#REF!</v>
      </c>
      <c r="BZ131" s="130" t="str">
        <f>BY131*VLOOKUP('Données projet (1)'!$B$12,'Paramètres (1)'!$A$1:$I$88,3,0)*VLOOKUP('Données projet (1)'!$B$12,'Paramètres (1)'!$A$1:$I$88,5,0)</f>
        <v>#REF!</v>
      </c>
      <c r="CA131" s="130" t="str">
        <f t="shared" si="122"/>
        <v>#REF!</v>
      </c>
      <c r="CB131" s="141" t="str">
        <f t="shared" si="39"/>
        <v>#REF!</v>
      </c>
      <c r="CC131" s="133" t="str">
        <f t="shared" si="40"/>
        <v>#REF!</v>
      </c>
      <c r="CD131" s="133" t="str">
        <f t="shared" si="41"/>
        <v>#REF!</v>
      </c>
      <c r="CE131" s="133" t="str">
        <f t="shared" si="123"/>
        <v>#REF!</v>
      </c>
      <c r="CF131" s="134" t="str">
        <f t="shared" si="42"/>
        <v>#REF!</v>
      </c>
      <c r="CG131" s="134" t="str">
        <f t="shared" si="43"/>
        <v>#REF!</v>
      </c>
      <c r="CH131" s="135" t="str">
        <f>IF(ISNA(VLOOKUP(A131,'Données projet (1)'!$A$113:$I$133,5,0)),0%,VLOOKUP(A131,'Données projet (1)'!$A$113:$I$133,5,0)*VLOOKUP('Données projet (1)'!$B$12,'Paramètres (1)'!$A$1:$I$88,7,0))</f>
        <v>#REF!</v>
      </c>
      <c r="CI131" s="135" t="str">
        <f>IF(ISNA(VLOOKUP(A131,'Données projet (1)'!$A$113:$I$133,6,0)),0%,VLOOKUP(A131,'Données projet (1)'!$A$113:$I$133,6,0)*VLOOKUP('Données projet (1)'!$B$12,'Paramètres (1)'!$A$1:$I$88,7,0))</f>
        <v>#REF!</v>
      </c>
      <c r="CJ131" s="135" t="str">
        <f t="shared" si="44"/>
        <v>#REF!</v>
      </c>
      <c r="CK131" s="142" t="str">
        <f>EXP(-LN(2)/35)*CK130+(1-EXP(-LN(2)/35))/(LN(2)/35)*CG131*CH131*VLOOKUP('Données projet (1)'!$B$12,'Paramètres (1)'!$A$1:$I$88,3,0)*0.475*44/12</f>
        <v>#REF!</v>
      </c>
      <c r="CL131" s="142" t="str">
        <f>EXP(-LN(2)/25)*CL130+(1-EXP(-LN(2)/25))/(LN(2)/25)*'Calculateur (1)'!CG131*'Calculateur (1)'!CI131*VLOOKUP('Données projet (1)'!$B$12,'Paramètres (1)'!$A$1:$I$88,3,0)*0.475*44/12</f>
        <v>#REF!</v>
      </c>
      <c r="CM131" s="142" t="str">
        <f>EXP(-LN(2)/2)*CM130+(1-EXP(-LN(2)/2))/(LN(2)/2)*CG131*CJ131*VLOOKUP('Données projet (1)'!$B$12,'Paramètres (1)'!$A$1:$I$88,3,0)*0.475*44/12</f>
        <v>#REF!</v>
      </c>
      <c r="CN131" s="143" t="str">
        <f t="shared" si="45"/>
        <v>#REF!</v>
      </c>
      <c r="CO131" s="139" t="str">
        <f t="shared" si="46"/>
        <v>#REF!</v>
      </c>
      <c r="CP131" s="131">
        <f t="shared" si="47"/>
        <v>10</v>
      </c>
      <c r="CQ131" s="131" t="str">
        <f t="shared" si="124"/>
        <v>#REF!</v>
      </c>
      <c r="CR131" s="131" t="str">
        <f t="shared" si="48"/>
        <v>#REF!</v>
      </c>
      <c r="CS131" s="131" t="str">
        <f t="array" ref="CS131">INDEX(CR:CR,MIN(IF(ISNUMBER(CR131:CR327),ROW(CR131:CR327),"")))</f>
        <v/>
      </c>
      <c r="CT131" s="131" t="str">
        <f t="shared" si="125"/>
        <v>#REF!</v>
      </c>
      <c r="CU131" s="138" t="str">
        <f>CT131*VLOOKUP('Données projet (1)'!$B$13,'Paramètres (1)'!$A$1:$I$88,3,0)*VLOOKUP('Données projet (1)'!$B$13,'Paramètres (1)'!$A$1:$I$88,5,0)</f>
        <v>#REF!</v>
      </c>
      <c r="CV131" s="130" t="str">
        <f t="shared" si="126"/>
        <v>#REF!</v>
      </c>
      <c r="CW131" s="141" t="str">
        <f t="shared" si="49"/>
        <v>#REF!</v>
      </c>
      <c r="CX131" s="133" t="str">
        <f t="shared" si="50"/>
        <v>#REF!</v>
      </c>
      <c r="CY131" s="133" t="str">
        <f t="shared" si="51"/>
        <v>#REF!</v>
      </c>
      <c r="CZ131" s="133" t="str">
        <f t="shared" si="127"/>
        <v>#REF!</v>
      </c>
      <c r="DA131" s="134" t="str">
        <f t="shared" si="52"/>
        <v>#REF!</v>
      </c>
      <c r="DB131" s="134" t="str">
        <f t="shared" si="53"/>
        <v>#REF!</v>
      </c>
      <c r="DC131" s="135" t="str">
        <f>IF(ISNA(VLOOKUP(A131,'Données projet (1)'!$A$139:$I$159,5,0)),0%,VLOOKUP(A131,'Données projet (1)'!$A$139:$I$159,5,0)*VLOOKUP('Données projet (1)'!$B$13,'Paramètres (1)'!$A$1:$I$88,7,0))</f>
        <v>#REF!</v>
      </c>
      <c r="DD131" s="135" t="str">
        <f>IF(ISNA(VLOOKUP(A131,'Données projet (1)'!$A$139:$I$159,6,0)),0%,VLOOKUP(A131,'Données projet (1)'!$A$139:$I$159,6,0)*VLOOKUP('Données projet (1)'!$B$13,'Paramètres (1)'!$A$1:$I$88,7,0))</f>
        <v>#REF!</v>
      </c>
      <c r="DE131" s="135" t="str">
        <f t="shared" si="54"/>
        <v>#REF!</v>
      </c>
      <c r="DF131" s="142" t="str">
        <f>EXP(-LN(2)/35)*DF130+(1-EXP(-LN(2)/35))/(LN(2)/35)*DB131*DC131*VLOOKUP('Données projet (1)'!$B$13,'Paramètres (1)'!$A$1:$I$88,3,0)*0.475*44/12</f>
        <v>#REF!</v>
      </c>
      <c r="DG131" s="142" t="str">
        <f>EXP(-LN(2)/25)*DG130+(1-EXP(-LN(2)/25))/(LN(2)/25)*'Calculateur (1)'!DB131*'Calculateur (1)'!DD131*VLOOKUP('Données projet (1)'!$B$13,'Paramètres (1)'!$A$1:$I$88,3,0)*0.475*44/12</f>
        <v>#REF!</v>
      </c>
      <c r="DH131" s="142" t="str">
        <f>EXP(-LN(2)/2)*DH130+(1-EXP(-LN(2)/2))/(LN(2)/2)*DB131*DE131*VLOOKUP('Données projet (1)'!$B$13,'Paramètres (1)'!$A$1:$I$88,3,0)*0.475*44/12</f>
        <v>#REF!</v>
      </c>
      <c r="DI131" s="143" t="str">
        <f t="shared" si="55"/>
        <v>#REF!</v>
      </c>
      <c r="DJ131" s="139" t="str">
        <f t="shared" si="56"/>
        <v>#REF!</v>
      </c>
      <c r="DK131" s="131">
        <f t="shared" si="57"/>
        <v>10</v>
      </c>
      <c r="DL131" s="131" t="str">
        <f t="shared" si="128"/>
        <v>#REF!</v>
      </c>
      <c r="DM131" s="131" t="str">
        <f t="shared" si="58"/>
        <v>#REF!</v>
      </c>
      <c r="DN131" s="131" t="str">
        <f t="array" ref="DN131">INDEX(DM:DM,MIN(IF(ISNUMBER(DM131:DM327),ROW(DM131:DM327),"")))</f>
        <v/>
      </c>
      <c r="DO131" s="131" t="str">
        <f t="shared" si="129"/>
        <v>#REF!</v>
      </c>
      <c r="DP131" s="138" t="str">
        <f>DO131*VLOOKUP('Données projet (1)'!$B$14,'Paramètres (1)'!$A$1:$I$88,3,0)*VLOOKUP('Données projet (1)'!$B$14,'Paramètres (1)'!$A$1:$I$88,5,0)</f>
        <v>#REF!</v>
      </c>
      <c r="DQ131" s="130" t="str">
        <f t="shared" si="130"/>
        <v>#REF!</v>
      </c>
      <c r="DR131" s="141" t="str">
        <f t="shared" si="59"/>
        <v>#REF!</v>
      </c>
      <c r="DS131" s="133" t="str">
        <f t="shared" si="60"/>
        <v>#REF!</v>
      </c>
      <c r="DT131" s="133" t="str">
        <f t="shared" si="61"/>
        <v>#REF!</v>
      </c>
      <c r="DU131" s="133" t="str">
        <f t="shared" si="131"/>
        <v>#REF!</v>
      </c>
      <c r="DV131" s="134" t="str">
        <f t="shared" si="62"/>
        <v>#REF!</v>
      </c>
      <c r="DW131" s="134" t="str">
        <f t="shared" si="63"/>
        <v>#REF!</v>
      </c>
      <c r="DX131" s="135" t="str">
        <f>IF(ISNA(VLOOKUP(A131,'Données projet (1)'!$A$165:$I$185,5,0)),0%,VLOOKUP(A131,'Données projet (1)'!$A$165:$I$185,5,0)*VLOOKUP('Données projet (1)'!$B$14,'Paramètres (1)'!$A$1:$I$88,7,0))</f>
        <v>#REF!</v>
      </c>
      <c r="DY131" s="135" t="str">
        <f>IF(ISNA(VLOOKUP(A131,'Données projet (1)'!$A$165:$I$185,6,0)),0%,VLOOKUP(A131,'Données projet (1)'!$A$165:$I$185,6,0)*VLOOKUP('Données projet (1)'!$B$14,'Paramètres (1)'!$A$1:$I$88,7,0))</f>
        <v>#REF!</v>
      </c>
      <c r="DZ131" s="135" t="str">
        <f t="shared" si="64"/>
        <v>#REF!</v>
      </c>
      <c r="EA131" s="142" t="str">
        <f>EXP(-LN(2)/35)*EA130+(1-EXP(-LN(2)/35))/(LN(2)/35)*DW131*DX131*VLOOKUP('Données projet (1)'!$B$14,'Paramètres (1)'!$A$1:$I$88,3,0)*0.475*44/12</f>
        <v>#REF!</v>
      </c>
      <c r="EB131" s="142" t="str">
        <f>EXP(-LN(2)/25)*EB130+(1-EXP(-LN(2)/25))/(LN(2)/25)*'Calculateur (1)'!DW131*'Calculateur (1)'!DY131*VLOOKUP('Données projet (1)'!$B$14,'Paramètres (1)'!$A$1:$I$88,3,0)*0.475*44/12</f>
        <v>#REF!</v>
      </c>
      <c r="EC131" s="142" t="str">
        <f>EXP(-LN(2)/2)*EC130+(1-EXP(-LN(2)/2))/(LN(2)/2)*DW131*DZ131*VLOOKUP('Données projet (1)'!$B$14,'Paramètres (1)'!$A$1:$I$88,3,0)*0.475*44/12</f>
        <v>#REF!</v>
      </c>
      <c r="ED131" s="143" t="str">
        <f t="shared" si="65"/>
        <v>#REF!</v>
      </c>
      <c r="EE131" s="139" t="str">
        <f t="shared" si="66"/>
        <v>#REF!</v>
      </c>
      <c r="EF131" s="131">
        <f t="shared" si="67"/>
        <v>10</v>
      </c>
      <c r="EG131" s="131" t="str">
        <f t="shared" si="132"/>
        <v>#REF!</v>
      </c>
      <c r="EH131" s="131" t="str">
        <f t="shared" si="68"/>
        <v>#REF!</v>
      </c>
      <c r="EI131" s="131" t="str">
        <f t="array" ref="EI131">INDEX(EH:EH,MIN(IF(ISNUMBER(EH131:EH327),ROW(EH131:EH327),"")))</f>
        <v/>
      </c>
      <c r="EJ131" s="131" t="str">
        <f t="shared" si="133"/>
        <v>#REF!</v>
      </c>
      <c r="EK131" s="138" t="str">
        <f>EJ131*VLOOKUP('Données projet (1)'!$B$15,'Paramètres (1)'!$A$1:$I$88,3,0)*VLOOKUP('Données projet (1)'!$B$15,'Paramètres (1)'!$A$1:$I$88,5,0)</f>
        <v>#REF!</v>
      </c>
      <c r="EL131" s="130" t="str">
        <f t="shared" si="134"/>
        <v>#REF!</v>
      </c>
      <c r="EM131" s="141" t="str">
        <f t="shared" si="69"/>
        <v>#REF!</v>
      </c>
      <c r="EN131" s="133" t="str">
        <f t="shared" si="70"/>
        <v>#REF!</v>
      </c>
      <c r="EO131" s="133" t="str">
        <f t="shared" si="71"/>
        <v>#REF!</v>
      </c>
      <c r="EP131" s="133" t="str">
        <f t="shared" si="135"/>
        <v>#REF!</v>
      </c>
      <c r="EQ131" s="134" t="str">
        <f t="shared" si="72"/>
        <v>#REF!</v>
      </c>
      <c r="ER131" s="134" t="str">
        <f t="shared" si="73"/>
        <v>#REF!</v>
      </c>
      <c r="ES131" s="135" t="str">
        <f>IF(ISNA(VLOOKUP(A131,'Données projet (1)'!$A$191:$I$211,5,0)),0%,VLOOKUP(A131,'Données projet (1)'!$A$191:$I$211,5,0)*VLOOKUP('Données projet (1)'!$B$15,'Paramètres (1)'!$A$1:$I$88,7,0))</f>
        <v>#REF!</v>
      </c>
      <c r="ET131" s="135" t="str">
        <f>IF(ISNA(VLOOKUP(A131,'Données projet (1)'!$A$191:$I$211,6,0)),0%,VLOOKUP(A131,'Données projet (1)'!$A$191:$I$211,6,0)*VLOOKUP('Données projet (1)'!$B$15,'Paramètres (1)'!$A$1:$I$88,7,0))</f>
        <v>#REF!</v>
      </c>
      <c r="EU131" s="135" t="str">
        <f t="shared" si="74"/>
        <v>#REF!</v>
      </c>
      <c r="EV131" s="142" t="str">
        <f>EXP(-LN(2)/35)*EV130+(1-EXP(-LN(2)/35))/(LN(2)/35)*ER131*ES131*VLOOKUP('Données projet (1)'!$B$15,'Paramètres (1)'!$A$1:$I$88,3,0)*0.475*44/12</f>
        <v>#REF!</v>
      </c>
      <c r="EW131" s="142" t="str">
        <f>EXP(-LN(2)/25)*EW130+(1-EXP(-LN(2)/25))/(LN(2)/25)*'Calculateur (1)'!ER131*'Calculateur (1)'!ET131*VLOOKUP('Données projet (1)'!$B$15,'Paramètres (1)'!$A$1:$I$88,3,0)*0.475*44/12</f>
        <v>#REF!</v>
      </c>
      <c r="EX131" s="142" t="str">
        <f>EXP(-LN(2)/2)*EX130+(1-EXP(-LN(2)/2))/(LN(2)/2)*ER131*EU131*VLOOKUP('Données projet (1)'!$B$15,'Paramètres (1)'!$A$1:$I$88,3,0)*0.475*44/12</f>
        <v>#REF!</v>
      </c>
      <c r="EY131" s="143" t="str">
        <f t="shared" si="75"/>
        <v>#REF!</v>
      </c>
      <c r="EZ131" s="139" t="str">
        <f t="shared" si="76"/>
        <v>#REF!</v>
      </c>
      <c r="FA131" s="131">
        <f t="shared" si="77"/>
        <v>10</v>
      </c>
      <c r="FB131" s="131" t="str">
        <f t="shared" si="136"/>
        <v>#REF!</v>
      </c>
      <c r="FC131" s="131" t="str">
        <f t="shared" si="78"/>
        <v>#REF!</v>
      </c>
      <c r="FD131" s="131" t="str">
        <f t="array" ref="FD131">INDEX(FC:FC,MIN(IF(ISNUMBER(FC131:FC327),ROW(FC131:FC327),"")))</f>
        <v/>
      </c>
      <c r="FE131" s="131" t="str">
        <f t="shared" si="137"/>
        <v>#REF!</v>
      </c>
      <c r="FF131" s="138" t="str">
        <f>FE131*VLOOKUP('Données projet (1)'!$B$16,'Paramètres (1)'!$A$1:$I$88,3,0)*VLOOKUP('Données projet (1)'!$B$16,'Paramètres (1)'!$A$1:$I$88,5,0)</f>
        <v>#REF!</v>
      </c>
      <c r="FG131" s="130" t="str">
        <f t="shared" si="138"/>
        <v>#REF!</v>
      </c>
      <c r="FH131" s="141" t="str">
        <f t="shared" si="79"/>
        <v>#REF!</v>
      </c>
      <c r="FI131" s="133" t="str">
        <f t="shared" si="80"/>
        <v>#REF!</v>
      </c>
      <c r="FJ131" s="133" t="str">
        <f t="shared" si="81"/>
        <v>#REF!</v>
      </c>
      <c r="FK131" s="133" t="str">
        <f t="shared" si="139"/>
        <v>#REF!</v>
      </c>
      <c r="FL131" s="134" t="str">
        <f t="shared" si="82"/>
        <v>#REF!</v>
      </c>
      <c r="FM131" s="134" t="str">
        <f t="shared" si="83"/>
        <v>#REF!</v>
      </c>
      <c r="FN131" s="135" t="str">
        <f>IF(ISNA(VLOOKUP(A131,'Données projet (1)'!$A$217:$I$237,5,0)),0%,VLOOKUP(A131,'Données projet (1)'!$A$217:$I$237,5,0)*VLOOKUP('Données projet (1)'!$B$16,'Paramètres (1)'!$A$1:$I$88,7,0))</f>
        <v>#REF!</v>
      </c>
      <c r="FO131" s="135" t="str">
        <f>IF(ISNA(VLOOKUP(A131,'Données projet (1)'!$A$217:$I$237,6,0)),0%,VLOOKUP(A131,'Données projet (1)'!$A$217:$I$237,6,0)*VLOOKUP('Données projet (1)'!$B$16,'Paramètres (1)'!$A$1:$I$88,7,0))</f>
        <v>#REF!</v>
      </c>
      <c r="FP131" s="135" t="str">
        <f t="shared" si="84"/>
        <v>#REF!</v>
      </c>
      <c r="FQ131" s="142" t="str">
        <f>EXP(-LN(2)/35)*FQ130+(1-EXP(-LN(2)/35))/(LN(2)/35)*FM131*FN131*VLOOKUP('Données projet (1)'!$B$16,'Paramètres (1)'!$A$1:$I$88,3,0)*0.475*44/12</f>
        <v>#REF!</v>
      </c>
      <c r="FR131" s="142" t="str">
        <f>EXP(-LN(2)/25)*FR130+(1-EXP(-LN(2)/25))/(LN(2)/25)*'Calculateur (1)'!FM131*'Calculateur (1)'!FO131*VLOOKUP('Données projet (1)'!$B$16,'Paramètres (1)'!$A$1:$I$88,3,0)*0.475*44/12</f>
        <v>#REF!</v>
      </c>
      <c r="FS131" s="142" t="str">
        <f>EXP(-LN(2)/2)*FS130+(1-EXP(-LN(2)/2))/(LN(2)/2)*FM131*FP131*VLOOKUP('Données projet (1)'!$B$16,'Paramètres (1)'!$A$1:$I$88,3,0)*0.475*44/12</f>
        <v>#REF!</v>
      </c>
      <c r="FT131" s="143" t="str">
        <f t="shared" si="85"/>
        <v>#REF!</v>
      </c>
      <c r="FU131" s="139" t="str">
        <f t="shared" si="86"/>
        <v>#REF!</v>
      </c>
      <c r="FV131" s="131">
        <f t="shared" si="87"/>
        <v>10</v>
      </c>
      <c r="FW131" s="131" t="str">
        <f t="shared" si="140"/>
        <v>#REF!</v>
      </c>
      <c r="FX131" s="131" t="str">
        <f t="shared" si="88"/>
        <v>#REF!</v>
      </c>
      <c r="FY131" s="131" t="str">
        <f t="array" ref="FY131">INDEX(FX:FX,MIN(IF(ISNUMBER(FX131:FX327),ROW(FX131:FX327),"")))</f>
        <v/>
      </c>
      <c r="FZ131" s="131" t="str">
        <f t="shared" si="141"/>
        <v>#REF!</v>
      </c>
      <c r="GA131" s="138" t="str">
        <f>FZ131*VLOOKUP('Données projet (1)'!$B$17,'Paramètres (1)'!$A$1:$I$88,3,0)*VLOOKUP('Données projet (1)'!$B$17,'Paramètres (1)'!$A$1:$I$88,5,0)</f>
        <v>#REF!</v>
      </c>
      <c r="GB131" s="130" t="str">
        <f t="shared" si="142"/>
        <v>#REF!</v>
      </c>
      <c r="GC131" s="141" t="str">
        <f t="shared" si="89"/>
        <v>#REF!</v>
      </c>
      <c r="GD131" s="133" t="str">
        <f t="shared" si="90"/>
        <v>#REF!</v>
      </c>
      <c r="GE131" s="133" t="str">
        <f t="shared" si="91"/>
        <v>#REF!</v>
      </c>
      <c r="GF131" s="133" t="str">
        <f t="shared" si="143"/>
        <v>#REF!</v>
      </c>
      <c r="GG131" s="134" t="str">
        <f t="shared" si="92"/>
        <v>#REF!</v>
      </c>
      <c r="GH131" s="134" t="str">
        <f t="shared" si="93"/>
        <v>#REF!</v>
      </c>
      <c r="GI131" s="135" t="str">
        <f>IF(ISNA(VLOOKUP(A131,'Données projet (1)'!$A$243:$I$263,5,0)),0%,VLOOKUP(A131,'Données projet (1)'!$A$243:$I$263,5,0)*VLOOKUP('Données projet (1)'!$B$17,'Paramètres (1)'!$A$1:$I$88,7,0))</f>
        <v>#REF!</v>
      </c>
      <c r="GJ131" s="135" t="str">
        <f>IF(ISNA(VLOOKUP(A131,'Données projet (1)'!$A$243:$I$263,6,0)),0%,VLOOKUP(A131,'Données projet (1)'!$A$243:$I$263,6,0)*VLOOKUP('Données projet (1)'!$B$17,'Paramètres (1)'!$A$1:$I$88,7,0))</f>
        <v>#REF!</v>
      </c>
      <c r="GK131" s="135" t="str">
        <f t="shared" si="94"/>
        <v>#REF!</v>
      </c>
      <c r="GL131" s="142" t="str">
        <f>EXP(-LN(2)/35)*GL130+(1-EXP(-LN(2)/35))/(LN(2)/35)*GH131*GI131*VLOOKUP('Données projet (1)'!$B$17,'Paramètres (1)'!$A$1:$I$88,3,0)*0.475*44/12</f>
        <v>#REF!</v>
      </c>
      <c r="GM131" s="142" t="str">
        <f>EXP(-LN(2)/25)*GM130+(1-EXP(-LN(2)/25))/(LN(2)/25)*'Calculateur (1)'!GH131*'Calculateur (1)'!GJ131*VLOOKUP('Données projet (1)'!$B$17,'Paramètres (1)'!$A$1:$I$88,3,0)*0.475*44/12</f>
        <v>#REF!</v>
      </c>
      <c r="GN131" s="142" t="str">
        <f>EXP(-LN(2)/2)*GN130+(1-EXP(-LN(2)/2))/(LN(2)/2)*GH131*GK131*VLOOKUP('Données projet (1)'!$B$17,'Paramètres (1)'!$A$1:$I$88,3,0)*0.475*44/12</f>
        <v>#REF!</v>
      </c>
      <c r="GO131" s="142" t="str">
        <f t="shared" si="95"/>
        <v>#REF!</v>
      </c>
      <c r="GP131" s="139" t="str">
        <f t="shared" si="96"/>
        <v>#REF!</v>
      </c>
      <c r="GQ131" s="131">
        <f t="shared" si="97"/>
        <v>10</v>
      </c>
      <c r="GR131" s="131" t="str">
        <f t="shared" si="144"/>
        <v>#REF!</v>
      </c>
      <c r="GS131" s="131" t="str">
        <f t="shared" si="98"/>
        <v>#REF!</v>
      </c>
      <c r="GT131" s="131" t="str">
        <f t="array" ref="GT131">INDEX(GS:GS,MIN(IF(ISNUMBER(GS131:GS327),ROW(GS131:GS327),"")))</f>
        <v/>
      </c>
      <c r="GU131" s="131" t="str">
        <f t="shared" si="145"/>
        <v>#REF!</v>
      </c>
      <c r="GV131" s="138" t="str">
        <f>GU131*VLOOKUP('Données projet (1)'!$B$18,'Paramètres (1)'!$A$1:$I$88,3,0)*VLOOKUP('Données projet (1)'!$B$18,'Paramètres (1)'!$A$1:$I$88,5,0)</f>
        <v>#REF!</v>
      </c>
      <c r="GW131" s="130" t="str">
        <f t="shared" si="146"/>
        <v>#REF!</v>
      </c>
      <c r="GX131" s="141" t="str">
        <f t="shared" si="99"/>
        <v>#REF!</v>
      </c>
      <c r="GY131" s="133" t="str">
        <f t="shared" si="100"/>
        <v>#REF!</v>
      </c>
      <c r="GZ131" s="133" t="str">
        <f t="shared" si="101"/>
        <v>#REF!</v>
      </c>
      <c r="HA131" s="133" t="str">
        <f t="shared" si="147"/>
        <v>#REF!</v>
      </c>
      <c r="HB131" s="134" t="str">
        <f t="shared" si="102"/>
        <v>#REF!</v>
      </c>
      <c r="HC131" s="134" t="str">
        <f t="shared" si="103"/>
        <v>#REF!</v>
      </c>
      <c r="HD131" s="135" t="str">
        <f>IF(ISNA(VLOOKUP(A131,'Données projet (1)'!$A$269:$I$289,5,0)),0%,VLOOKUP(A131,'Données projet (1)'!$A$269:$I$289,5,0)*VLOOKUP('Données projet (1)'!$B$18,'Paramètres (1)'!$A$1:$I$88,7,0))</f>
        <v>#REF!</v>
      </c>
      <c r="HE131" s="135" t="str">
        <f>IF(ISNA(VLOOKUP(A131,'Données projet (1)'!$A$269:$I$289,6,0)),0%,VLOOKUP(A131,'Données projet (1)'!$A$269:$I$289,6,0)*VLOOKUP('Données projet (1)'!$B$18,'Paramètres (1)'!$A$1:$I$88,7,0))</f>
        <v>#REF!</v>
      </c>
      <c r="HF131" s="135" t="str">
        <f t="shared" si="104"/>
        <v>#REF!</v>
      </c>
      <c r="HG131" s="142" t="str">
        <f>EXP(-LN(2)/35)*HG130+(1-EXP(-LN(2)/35))/(LN(2)/35)*HC131*HD131*VLOOKUP('Données projet (1)'!$B$18,'Paramètres (1)'!$A$1:$I$88,3,0)*0.475*44/12</f>
        <v>#REF!</v>
      </c>
      <c r="HH131" s="142" t="str">
        <f>EXP(-LN(2)/25)*HH130+(1-EXP(-LN(2)/25))/(LN(2)/25)*'Calculateur (1)'!HC131*'Calculateur (1)'!HE131*VLOOKUP('Données projet (1)'!$B$18,'Paramètres (1)'!$A$1:$I$88,3,0)*0.475*44/12</f>
        <v>#REF!</v>
      </c>
      <c r="HI131" s="142" t="str">
        <f>EXP(-LN(2)/2)*HI130+(1-EXP(-LN(2)/2))/(LN(2)/2)*HC131*HF131*VLOOKUP('Données projet (1)'!$B$18,'Paramètres (1)'!$A$1:$I$88,3,0)*0.475*44/12</f>
        <v>#REF!</v>
      </c>
      <c r="HJ131" s="143" t="str">
        <f t="shared" si="105"/>
        <v>#REF!</v>
      </c>
    </row>
    <row r="132" ht="14.25" customHeight="1">
      <c r="A132" s="125">
        <f t="shared" si="106"/>
        <v>129</v>
      </c>
      <c r="B132" s="126" t="str">
        <f t="shared" si="1"/>
        <v>#REF!</v>
      </c>
      <c r="C132" s="140" t="str">
        <f>'Calculateur (1)'!C131+'Scénario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2" s="127">
        <f t="shared" si="107"/>
        <v>0</v>
      </c>
      <c r="E132" s="127" t="str">
        <f t="shared" si="2"/>
        <v>#REF!</v>
      </c>
      <c r="F132" s="127" t="str">
        <f t="shared" si="3"/>
        <v>#REF!</v>
      </c>
      <c r="G132" s="127" t="str">
        <f t="shared" si="4"/>
        <v>#REF!</v>
      </c>
      <c r="H132" s="128" t="str">
        <f t="shared" si="5"/>
        <v>#REF!</v>
      </c>
      <c r="I132" s="129" t="str">
        <f t="shared" si="6"/>
        <v>#REF!</v>
      </c>
      <c r="J132" s="130">
        <f t="shared" si="7"/>
        <v>10</v>
      </c>
      <c r="K132" s="131" t="str">
        <f t="shared" si="108"/>
        <v>#REF!</v>
      </c>
      <c r="L132" s="131" t="str">
        <f t="shared" si="8"/>
        <v>#REF!</v>
      </c>
      <c r="M132" s="131" t="str">
        <f t="array" ref="M132">INDEX(L:L,MIN(IF(ISNUMBER(L132:L328),ROW(L132:L328),"")))</f>
        <v/>
      </c>
      <c r="N132" s="130" t="str">
        <f t="shared" si="109"/>
        <v>#REF!</v>
      </c>
      <c r="O132" s="130" t="str">
        <f>N132*VLOOKUP('Données projet (1)'!$B$9,'Paramètres (1)'!$A$1:$I$88,3,0)*VLOOKUP('Données projet (1)'!$B$9,'Paramètres (1)'!$A$1:$I$88,5,0)</f>
        <v>#REF!</v>
      </c>
      <c r="P132" s="130" t="str">
        <f t="shared" si="110"/>
        <v>#REF!</v>
      </c>
      <c r="Q132" s="141" t="str">
        <f t="shared" si="9"/>
        <v>#REF!</v>
      </c>
      <c r="R132" s="133" t="str">
        <f t="shared" si="10"/>
        <v>#REF!</v>
      </c>
      <c r="S132" s="133" t="str">
        <f t="shared" si="11"/>
        <v>#REF!</v>
      </c>
      <c r="T132" s="133" t="str">
        <f t="shared" si="111"/>
        <v>#REF!</v>
      </c>
      <c r="U132" s="134" t="str">
        <f t="shared" si="12"/>
        <v>#REF!</v>
      </c>
      <c r="V132" s="134" t="str">
        <f t="shared" si="13"/>
        <v>#REF!</v>
      </c>
      <c r="W132" s="135" t="str">
        <f>IF(ISNA(VLOOKUP(A132,'Données projet (1)'!$A$35:$I$55,5,0)),0%,VLOOKUP(A132,'Données projet (1)'!$A$35:$I$55,5,0)*VLOOKUP('Données projet (1)'!$B$9,'Paramètres (1)'!$A$1:$I$88,7,0))</f>
        <v>#REF!</v>
      </c>
      <c r="X132" s="135" t="str">
        <f>IF(ISNA(VLOOKUP(A132,'Données projet (1)'!$A$35:$I$55,6,0)),0%,VLOOKUP(A132,'Données projet (1)'!$A$35:$I$55,6,0)*VLOOKUP('Données projet (1)'!$B$9,'Paramètres (1)'!$A$1:$I$88,7,0))</f>
        <v>#REF!</v>
      </c>
      <c r="Y132" s="135" t="str">
        <f t="shared" si="14"/>
        <v>#REF!</v>
      </c>
      <c r="Z132" s="142" t="str">
        <f>EXP(-LN(2)/35)*Z131+(1-EXP(-LN(2)/35))/(LN(2)/35)*V132*W132*VLOOKUP('Données projet (1)'!$B$9,'Paramètres (1)'!$A$1:$I$88,3,0)*0.475*44/12</f>
        <v>#REF!</v>
      </c>
      <c r="AA132" s="142" t="str">
        <f>EXP(-LN(2)/25)*AA131+(1-EXP(-LN(2)/25))/(LN(2)/25)*'Calculateur (1)'!V132*'Calculateur (1)'!X132*VLOOKUP('Données projet (1)'!$B$9,'Paramètres (1)'!$A$1:$I$88,3,0)*0.475*44/12</f>
        <v>#REF!</v>
      </c>
      <c r="AB132" s="142" t="str">
        <f>EXP(-LN(2)/2)*AB131+(1-EXP(-LN(2)/2))/(LN(2)/2)*V132*Y132*VLOOKUP('Données projet (1)'!$B$9,'Paramètres (1)'!$A$1:$I$88,3,0)*0.475*44/12</f>
        <v>#REF!</v>
      </c>
      <c r="AC132" s="143" t="str">
        <f t="shared" si="15"/>
        <v>#REF!</v>
      </c>
      <c r="AD132" s="130" t="str">
        <f t="shared" si="16"/>
        <v>#REF!</v>
      </c>
      <c r="AE132" s="130">
        <f t="shared" si="17"/>
        <v>10</v>
      </c>
      <c r="AF132" s="131" t="str">
        <f t="shared" si="112"/>
        <v>#REF!</v>
      </c>
      <c r="AG132" s="131" t="str">
        <f t="shared" si="18"/>
        <v>#REF!</v>
      </c>
      <c r="AH132" s="131" t="str">
        <f t="array" ref="AH132">INDEX(AG:AG,MIN(IF(ISNUMBER(AG132:AG328),ROW(AG132:AG328),"")))</f>
        <v/>
      </c>
      <c r="AI132" s="130" t="str">
        <f t="shared" si="113"/>
        <v>#REF!</v>
      </c>
      <c r="AJ132" s="130" t="str">
        <f>AI132*VLOOKUP('Données projet (1)'!$B$10,'Paramètres (1)'!$A$1:$I$88,3,0)*VLOOKUP('Données projet (1)'!$B$10,'Paramètres (1)'!$A$1:$I$88,5,0)</f>
        <v>#REF!</v>
      </c>
      <c r="AK132" s="130" t="str">
        <f t="shared" si="114"/>
        <v>#REF!</v>
      </c>
      <c r="AL132" s="141" t="str">
        <f t="shared" si="19"/>
        <v>#REF!</v>
      </c>
      <c r="AM132" s="133" t="str">
        <f t="shared" si="20"/>
        <v>#REF!</v>
      </c>
      <c r="AN132" s="133" t="str">
        <f t="shared" si="21"/>
        <v>#REF!</v>
      </c>
      <c r="AO132" s="133" t="str">
        <f t="shared" si="115"/>
        <v>#REF!</v>
      </c>
      <c r="AP132" s="134" t="str">
        <f t="shared" si="22"/>
        <v>#REF!</v>
      </c>
      <c r="AQ132" s="134" t="str">
        <f t="shared" si="23"/>
        <v>#REF!</v>
      </c>
      <c r="AR132" s="135" t="str">
        <f>IF(ISNA(VLOOKUP(A132,'Données projet (1)'!$A$61:$I$81,5,0)),0%,VLOOKUP(A132,'Données projet (1)'!$A$61:$I$81,5,0)*VLOOKUP('Données projet (1)'!$B$10,'Paramètres (1)'!$A$1:$I$88,7,0))</f>
        <v>#REF!</v>
      </c>
      <c r="AS132" s="135" t="str">
        <f>IF(ISNA(VLOOKUP(A132,'Données projet (1)'!$A$61:$I$81,6,0)),0%,VLOOKUP(A132,'Données projet (1)'!$A$61:$I$81,6,0)*VLOOKUP('Données projet (1)'!$B$10,'Paramètres (1)'!$A$1:$I$88,7,0))</f>
        <v>#REF!</v>
      </c>
      <c r="AT132" s="135" t="str">
        <f t="shared" si="24"/>
        <v>#REF!</v>
      </c>
      <c r="AU132" s="142" t="str">
        <f>EXP(-LN(2)/35)*AU131+(1-EXP(-LN(2)/35))/(LN(2)/35)*AQ132*AR132*VLOOKUP('Données projet (1)'!$B$10,'Paramètres (1)'!$A$1:$I$88,3,0)*0.475*44/12</f>
        <v>#REF!</v>
      </c>
      <c r="AV132" s="142" t="str">
        <f>EXP(-LN(2)/25)*AV131+(1-EXP(-LN(2)/25))/(LN(2)/25)*'Calculateur (1)'!AQ132*'Calculateur (1)'!AS132*VLOOKUP('Données projet (1)'!$B$10,'Paramètres (1)'!$A$1:$I$88,3,0)*0.475*44/12</f>
        <v>#REF!</v>
      </c>
      <c r="AW132" s="142" t="str">
        <f>EXP(-LN(2)/2)*AW131+(1-EXP(-LN(2)/2))/(LN(2)/2)*AQ132*AT132*VLOOKUP('Données projet (1)'!$B$10,'Paramètres (1)'!$A$1:$I$88,3,0)*0.475*44/12</f>
        <v>#REF!</v>
      </c>
      <c r="AX132" s="142" t="str">
        <f t="shared" si="25"/>
        <v>#REF!</v>
      </c>
      <c r="AY132" s="137" t="str">
        <f t="shared" si="26"/>
        <v>#REF!</v>
      </c>
      <c r="AZ132" s="131">
        <f t="shared" si="27"/>
        <v>10</v>
      </c>
      <c r="BA132" s="131" t="str">
        <f t="shared" si="116"/>
        <v>#REF!</v>
      </c>
      <c r="BB132" s="131" t="str">
        <f t="shared" si="28"/>
        <v>#REF!</v>
      </c>
      <c r="BC132" s="131" t="str">
        <f t="array" ref="BC132">INDEX(BB:BB,MIN(IF(ISNUMBER(BB132:BB328),ROW(BB132:BB328),"")))</f>
        <v/>
      </c>
      <c r="BD132" s="131" t="str">
        <f t="shared" si="117"/>
        <v>#REF!</v>
      </c>
      <c r="BE132" s="130" t="str">
        <f>BD132*VLOOKUP('Données projet (1)'!$B$11,'Paramètres (1)'!$A$1:$I$88,3,0)*VLOOKUP('Données projet (1)'!$B$11,'Paramètres (1)'!$A$1:$I$88,5,0)</f>
        <v>#REF!</v>
      </c>
      <c r="BF132" s="130" t="str">
        <f t="shared" si="118"/>
        <v>#REF!</v>
      </c>
      <c r="BG132" s="141" t="str">
        <f t="shared" si="29"/>
        <v>#REF!</v>
      </c>
      <c r="BH132" s="133" t="str">
        <f t="shared" si="30"/>
        <v>#REF!</v>
      </c>
      <c r="BI132" s="133" t="str">
        <f t="shared" si="31"/>
        <v>#REF!</v>
      </c>
      <c r="BJ132" s="133" t="str">
        <f t="shared" si="119"/>
        <v>#REF!</v>
      </c>
      <c r="BK132" s="134" t="str">
        <f t="shared" si="32"/>
        <v>#REF!</v>
      </c>
      <c r="BL132" s="134" t="str">
        <f t="shared" si="33"/>
        <v>#REF!</v>
      </c>
      <c r="BM132" s="135" t="str">
        <f>IF(ISNA(VLOOKUP(A132,'Données projet (1)'!$A$87:$I$107,5,0)),0%,VLOOKUP(A132,'Données projet (1)'!$A$87:$I$107,5,0)*VLOOKUP('Données projet (1)'!$B$11,'Paramètres (1)'!$A$1:$I$88,7,0))</f>
        <v>#REF!</v>
      </c>
      <c r="BN132" s="135" t="str">
        <f>IF(ISNA(VLOOKUP(A132,'Données projet (1)'!$A$87:$I$107,6,0)),0%,VLOOKUP(A132,'Données projet (1)'!$A$87:$I$107,6,0)*VLOOKUP('Données projet (1)'!$B$11,'Paramètres (1)'!$A$1:$I$88,7,0))</f>
        <v>#REF!</v>
      </c>
      <c r="BO132" s="135" t="str">
        <f t="shared" si="34"/>
        <v>#REF!</v>
      </c>
      <c r="BP132" s="142" t="str">
        <f>EXP(-LN(2)/35)*BP131+(1-EXP(-LN(2)/35))/(LN(2)/35)*BL132*BM132*VLOOKUP('Données projet (1)'!$B$11,'Paramètres (1)'!$A$1:$I$88,3,0)*0.475*44/12</f>
        <v>#REF!</v>
      </c>
      <c r="BQ132" s="142" t="str">
        <f>EXP(-LN(2)/25)*BQ131+(1-EXP(-LN(2)/25))/(LN(2)/25)*'Calculateur (1)'!BL132*'Calculateur (1)'!BN132*VLOOKUP('Données projet (1)'!$B$11,'Paramètres (1)'!$A$1:$I$88,3,0)*0.475*44/12</f>
        <v>#REF!</v>
      </c>
      <c r="BR132" s="142" t="str">
        <f>EXP(-LN(2)/2)*BR131+(1-EXP(-LN(2)/2))/(LN(2)/2)*BL132*BO132*VLOOKUP('Données projet (1)'!$B$11,'Paramètres (1)'!$A$1:$I$88,3,0)*0.475*44/12</f>
        <v>#REF!</v>
      </c>
      <c r="BS132" s="143" t="str">
        <f t="shared" si="35"/>
        <v>#REF!</v>
      </c>
      <c r="BT132" s="139" t="str">
        <f t="shared" si="36"/>
        <v>#REF!</v>
      </c>
      <c r="BU132" s="131">
        <f t="shared" si="37"/>
        <v>10</v>
      </c>
      <c r="BV132" s="131" t="str">
        <f t="shared" si="120"/>
        <v>#REF!</v>
      </c>
      <c r="BW132" s="131" t="str">
        <f t="shared" si="38"/>
        <v>#REF!</v>
      </c>
      <c r="BX132" s="131" t="str">
        <f t="array" ref="BX132">INDEX(BW:BW,MIN(IF(ISNUMBER(BW132:BW328),ROW(BW132:BW328),"")))</f>
        <v/>
      </c>
      <c r="BY132" s="131" t="str">
        <f t="shared" si="121"/>
        <v>#REF!</v>
      </c>
      <c r="BZ132" s="130" t="str">
        <f>BY132*VLOOKUP('Données projet (1)'!$B$12,'Paramètres (1)'!$A$1:$I$88,3,0)*VLOOKUP('Données projet (1)'!$B$12,'Paramètres (1)'!$A$1:$I$88,5,0)</f>
        <v>#REF!</v>
      </c>
      <c r="CA132" s="130" t="str">
        <f t="shared" si="122"/>
        <v>#REF!</v>
      </c>
      <c r="CB132" s="141" t="str">
        <f t="shared" si="39"/>
        <v>#REF!</v>
      </c>
      <c r="CC132" s="133" t="str">
        <f t="shared" si="40"/>
        <v>#REF!</v>
      </c>
      <c r="CD132" s="133" t="str">
        <f t="shared" si="41"/>
        <v>#REF!</v>
      </c>
      <c r="CE132" s="133" t="str">
        <f t="shared" si="123"/>
        <v>#REF!</v>
      </c>
      <c r="CF132" s="134" t="str">
        <f t="shared" si="42"/>
        <v>#REF!</v>
      </c>
      <c r="CG132" s="134" t="str">
        <f t="shared" si="43"/>
        <v>#REF!</v>
      </c>
      <c r="CH132" s="135" t="str">
        <f>IF(ISNA(VLOOKUP(A132,'Données projet (1)'!$A$113:$I$133,5,0)),0%,VLOOKUP(A132,'Données projet (1)'!$A$113:$I$133,5,0)*VLOOKUP('Données projet (1)'!$B$12,'Paramètres (1)'!$A$1:$I$88,7,0))</f>
        <v>#REF!</v>
      </c>
      <c r="CI132" s="135" t="str">
        <f>IF(ISNA(VLOOKUP(A132,'Données projet (1)'!$A$113:$I$133,6,0)),0%,VLOOKUP(A132,'Données projet (1)'!$A$113:$I$133,6,0)*VLOOKUP('Données projet (1)'!$B$12,'Paramètres (1)'!$A$1:$I$88,7,0))</f>
        <v>#REF!</v>
      </c>
      <c r="CJ132" s="135" t="str">
        <f t="shared" si="44"/>
        <v>#REF!</v>
      </c>
      <c r="CK132" s="142" t="str">
        <f>EXP(-LN(2)/35)*CK131+(1-EXP(-LN(2)/35))/(LN(2)/35)*CG132*CH132*VLOOKUP('Données projet (1)'!$B$12,'Paramètres (1)'!$A$1:$I$88,3,0)*0.475*44/12</f>
        <v>#REF!</v>
      </c>
      <c r="CL132" s="142" t="str">
        <f>EXP(-LN(2)/25)*CL131+(1-EXP(-LN(2)/25))/(LN(2)/25)*'Calculateur (1)'!CG132*'Calculateur (1)'!CI132*VLOOKUP('Données projet (1)'!$B$12,'Paramètres (1)'!$A$1:$I$88,3,0)*0.475*44/12</f>
        <v>#REF!</v>
      </c>
      <c r="CM132" s="142" t="str">
        <f>EXP(-LN(2)/2)*CM131+(1-EXP(-LN(2)/2))/(LN(2)/2)*CG132*CJ132*VLOOKUP('Données projet (1)'!$B$12,'Paramètres (1)'!$A$1:$I$88,3,0)*0.475*44/12</f>
        <v>#REF!</v>
      </c>
      <c r="CN132" s="143" t="str">
        <f t="shared" si="45"/>
        <v>#REF!</v>
      </c>
      <c r="CO132" s="139" t="str">
        <f t="shared" si="46"/>
        <v>#REF!</v>
      </c>
      <c r="CP132" s="131">
        <f t="shared" si="47"/>
        <v>10</v>
      </c>
      <c r="CQ132" s="131" t="str">
        <f t="shared" si="124"/>
        <v>#REF!</v>
      </c>
      <c r="CR132" s="131" t="str">
        <f t="shared" si="48"/>
        <v>#REF!</v>
      </c>
      <c r="CS132" s="131" t="str">
        <f t="array" ref="CS132">INDEX(CR:CR,MIN(IF(ISNUMBER(CR132:CR328),ROW(CR132:CR328),"")))</f>
        <v/>
      </c>
      <c r="CT132" s="131" t="str">
        <f t="shared" si="125"/>
        <v>#REF!</v>
      </c>
      <c r="CU132" s="138" t="str">
        <f>CT132*VLOOKUP('Données projet (1)'!$B$13,'Paramètres (1)'!$A$1:$I$88,3,0)*VLOOKUP('Données projet (1)'!$B$13,'Paramètres (1)'!$A$1:$I$88,5,0)</f>
        <v>#REF!</v>
      </c>
      <c r="CV132" s="130" t="str">
        <f t="shared" si="126"/>
        <v>#REF!</v>
      </c>
      <c r="CW132" s="141" t="str">
        <f t="shared" si="49"/>
        <v>#REF!</v>
      </c>
      <c r="CX132" s="133" t="str">
        <f t="shared" si="50"/>
        <v>#REF!</v>
      </c>
      <c r="CY132" s="133" t="str">
        <f t="shared" si="51"/>
        <v>#REF!</v>
      </c>
      <c r="CZ132" s="133" t="str">
        <f t="shared" si="127"/>
        <v>#REF!</v>
      </c>
      <c r="DA132" s="134" t="str">
        <f t="shared" si="52"/>
        <v>#REF!</v>
      </c>
      <c r="DB132" s="134" t="str">
        <f t="shared" si="53"/>
        <v>#REF!</v>
      </c>
      <c r="DC132" s="135" t="str">
        <f>IF(ISNA(VLOOKUP(A132,'Données projet (1)'!$A$139:$I$159,5,0)),0%,VLOOKUP(A132,'Données projet (1)'!$A$139:$I$159,5,0)*VLOOKUP('Données projet (1)'!$B$13,'Paramètres (1)'!$A$1:$I$88,7,0))</f>
        <v>#REF!</v>
      </c>
      <c r="DD132" s="135" t="str">
        <f>IF(ISNA(VLOOKUP(A132,'Données projet (1)'!$A$139:$I$159,6,0)),0%,VLOOKUP(A132,'Données projet (1)'!$A$139:$I$159,6,0)*VLOOKUP('Données projet (1)'!$B$13,'Paramètres (1)'!$A$1:$I$88,7,0))</f>
        <v>#REF!</v>
      </c>
      <c r="DE132" s="135" t="str">
        <f t="shared" si="54"/>
        <v>#REF!</v>
      </c>
      <c r="DF132" s="142" t="str">
        <f>EXP(-LN(2)/35)*DF131+(1-EXP(-LN(2)/35))/(LN(2)/35)*DB132*DC132*VLOOKUP('Données projet (1)'!$B$13,'Paramètres (1)'!$A$1:$I$88,3,0)*0.475*44/12</f>
        <v>#REF!</v>
      </c>
      <c r="DG132" s="142" t="str">
        <f>EXP(-LN(2)/25)*DG131+(1-EXP(-LN(2)/25))/(LN(2)/25)*'Calculateur (1)'!DB132*'Calculateur (1)'!DD132*VLOOKUP('Données projet (1)'!$B$13,'Paramètres (1)'!$A$1:$I$88,3,0)*0.475*44/12</f>
        <v>#REF!</v>
      </c>
      <c r="DH132" s="142" t="str">
        <f>EXP(-LN(2)/2)*DH131+(1-EXP(-LN(2)/2))/(LN(2)/2)*DB132*DE132*VLOOKUP('Données projet (1)'!$B$13,'Paramètres (1)'!$A$1:$I$88,3,0)*0.475*44/12</f>
        <v>#REF!</v>
      </c>
      <c r="DI132" s="143" t="str">
        <f t="shared" si="55"/>
        <v>#REF!</v>
      </c>
      <c r="DJ132" s="139" t="str">
        <f t="shared" si="56"/>
        <v>#REF!</v>
      </c>
      <c r="DK132" s="131">
        <f t="shared" si="57"/>
        <v>10</v>
      </c>
      <c r="DL132" s="131" t="str">
        <f t="shared" si="128"/>
        <v>#REF!</v>
      </c>
      <c r="DM132" s="131" t="str">
        <f t="shared" si="58"/>
        <v>#REF!</v>
      </c>
      <c r="DN132" s="131" t="str">
        <f t="array" ref="DN132">INDEX(DM:DM,MIN(IF(ISNUMBER(DM132:DM328),ROW(DM132:DM328),"")))</f>
        <v/>
      </c>
      <c r="DO132" s="131" t="str">
        <f t="shared" si="129"/>
        <v>#REF!</v>
      </c>
      <c r="DP132" s="138" t="str">
        <f>DO132*VLOOKUP('Données projet (1)'!$B$14,'Paramètres (1)'!$A$1:$I$88,3,0)*VLOOKUP('Données projet (1)'!$B$14,'Paramètres (1)'!$A$1:$I$88,5,0)</f>
        <v>#REF!</v>
      </c>
      <c r="DQ132" s="130" t="str">
        <f t="shared" si="130"/>
        <v>#REF!</v>
      </c>
      <c r="DR132" s="141" t="str">
        <f t="shared" si="59"/>
        <v>#REF!</v>
      </c>
      <c r="DS132" s="133" t="str">
        <f t="shared" si="60"/>
        <v>#REF!</v>
      </c>
      <c r="DT132" s="133" t="str">
        <f t="shared" si="61"/>
        <v>#REF!</v>
      </c>
      <c r="DU132" s="133" t="str">
        <f t="shared" si="131"/>
        <v>#REF!</v>
      </c>
      <c r="DV132" s="134" t="str">
        <f t="shared" si="62"/>
        <v>#REF!</v>
      </c>
      <c r="DW132" s="134" t="str">
        <f t="shared" si="63"/>
        <v>#REF!</v>
      </c>
      <c r="DX132" s="135" t="str">
        <f>IF(ISNA(VLOOKUP(A132,'Données projet (1)'!$A$165:$I$185,5,0)),0%,VLOOKUP(A132,'Données projet (1)'!$A$165:$I$185,5,0)*VLOOKUP('Données projet (1)'!$B$14,'Paramètres (1)'!$A$1:$I$88,7,0))</f>
        <v>#REF!</v>
      </c>
      <c r="DY132" s="135" t="str">
        <f>IF(ISNA(VLOOKUP(A132,'Données projet (1)'!$A$165:$I$185,6,0)),0%,VLOOKUP(A132,'Données projet (1)'!$A$165:$I$185,6,0)*VLOOKUP('Données projet (1)'!$B$14,'Paramètres (1)'!$A$1:$I$88,7,0))</f>
        <v>#REF!</v>
      </c>
      <c r="DZ132" s="135" t="str">
        <f t="shared" si="64"/>
        <v>#REF!</v>
      </c>
      <c r="EA132" s="142" t="str">
        <f>EXP(-LN(2)/35)*EA131+(1-EXP(-LN(2)/35))/(LN(2)/35)*DW132*DX132*VLOOKUP('Données projet (1)'!$B$14,'Paramètres (1)'!$A$1:$I$88,3,0)*0.475*44/12</f>
        <v>#REF!</v>
      </c>
      <c r="EB132" s="142" t="str">
        <f>EXP(-LN(2)/25)*EB131+(1-EXP(-LN(2)/25))/(LN(2)/25)*'Calculateur (1)'!DW132*'Calculateur (1)'!DY132*VLOOKUP('Données projet (1)'!$B$14,'Paramètres (1)'!$A$1:$I$88,3,0)*0.475*44/12</f>
        <v>#REF!</v>
      </c>
      <c r="EC132" s="142" t="str">
        <f>EXP(-LN(2)/2)*EC131+(1-EXP(-LN(2)/2))/(LN(2)/2)*DW132*DZ132*VLOOKUP('Données projet (1)'!$B$14,'Paramètres (1)'!$A$1:$I$88,3,0)*0.475*44/12</f>
        <v>#REF!</v>
      </c>
      <c r="ED132" s="143" t="str">
        <f t="shared" si="65"/>
        <v>#REF!</v>
      </c>
      <c r="EE132" s="139" t="str">
        <f t="shared" si="66"/>
        <v>#REF!</v>
      </c>
      <c r="EF132" s="131">
        <f t="shared" si="67"/>
        <v>10</v>
      </c>
      <c r="EG132" s="131" t="str">
        <f t="shared" si="132"/>
        <v>#REF!</v>
      </c>
      <c r="EH132" s="131" t="str">
        <f t="shared" si="68"/>
        <v>#REF!</v>
      </c>
      <c r="EI132" s="131" t="str">
        <f t="array" ref="EI132">INDEX(EH:EH,MIN(IF(ISNUMBER(EH132:EH328),ROW(EH132:EH328),"")))</f>
        <v/>
      </c>
      <c r="EJ132" s="131" t="str">
        <f t="shared" si="133"/>
        <v>#REF!</v>
      </c>
      <c r="EK132" s="138" t="str">
        <f>EJ132*VLOOKUP('Données projet (1)'!$B$15,'Paramètres (1)'!$A$1:$I$88,3,0)*VLOOKUP('Données projet (1)'!$B$15,'Paramètres (1)'!$A$1:$I$88,5,0)</f>
        <v>#REF!</v>
      </c>
      <c r="EL132" s="130" t="str">
        <f t="shared" si="134"/>
        <v>#REF!</v>
      </c>
      <c r="EM132" s="141" t="str">
        <f t="shared" si="69"/>
        <v>#REF!</v>
      </c>
      <c r="EN132" s="133" t="str">
        <f t="shared" si="70"/>
        <v>#REF!</v>
      </c>
      <c r="EO132" s="133" t="str">
        <f t="shared" si="71"/>
        <v>#REF!</v>
      </c>
      <c r="EP132" s="133" t="str">
        <f t="shared" si="135"/>
        <v>#REF!</v>
      </c>
      <c r="EQ132" s="134" t="str">
        <f t="shared" si="72"/>
        <v>#REF!</v>
      </c>
      <c r="ER132" s="134" t="str">
        <f t="shared" si="73"/>
        <v>#REF!</v>
      </c>
      <c r="ES132" s="135" t="str">
        <f>IF(ISNA(VLOOKUP(A132,'Données projet (1)'!$A$191:$I$211,5,0)),0%,VLOOKUP(A132,'Données projet (1)'!$A$191:$I$211,5,0)*VLOOKUP('Données projet (1)'!$B$15,'Paramètres (1)'!$A$1:$I$88,7,0))</f>
        <v>#REF!</v>
      </c>
      <c r="ET132" s="135" t="str">
        <f>IF(ISNA(VLOOKUP(A132,'Données projet (1)'!$A$191:$I$211,6,0)),0%,VLOOKUP(A132,'Données projet (1)'!$A$191:$I$211,6,0)*VLOOKUP('Données projet (1)'!$B$15,'Paramètres (1)'!$A$1:$I$88,7,0))</f>
        <v>#REF!</v>
      </c>
      <c r="EU132" s="135" t="str">
        <f t="shared" si="74"/>
        <v>#REF!</v>
      </c>
      <c r="EV132" s="142" t="str">
        <f>EXP(-LN(2)/35)*EV131+(1-EXP(-LN(2)/35))/(LN(2)/35)*ER132*ES132*VLOOKUP('Données projet (1)'!$B$15,'Paramètres (1)'!$A$1:$I$88,3,0)*0.475*44/12</f>
        <v>#REF!</v>
      </c>
      <c r="EW132" s="142" t="str">
        <f>EXP(-LN(2)/25)*EW131+(1-EXP(-LN(2)/25))/(LN(2)/25)*'Calculateur (1)'!ER132*'Calculateur (1)'!ET132*VLOOKUP('Données projet (1)'!$B$15,'Paramètres (1)'!$A$1:$I$88,3,0)*0.475*44/12</f>
        <v>#REF!</v>
      </c>
      <c r="EX132" s="142" t="str">
        <f>EXP(-LN(2)/2)*EX131+(1-EXP(-LN(2)/2))/(LN(2)/2)*ER132*EU132*VLOOKUP('Données projet (1)'!$B$15,'Paramètres (1)'!$A$1:$I$88,3,0)*0.475*44/12</f>
        <v>#REF!</v>
      </c>
      <c r="EY132" s="143" t="str">
        <f t="shared" si="75"/>
        <v>#REF!</v>
      </c>
      <c r="EZ132" s="139" t="str">
        <f t="shared" si="76"/>
        <v>#REF!</v>
      </c>
      <c r="FA132" s="131">
        <f t="shared" si="77"/>
        <v>10</v>
      </c>
      <c r="FB132" s="131" t="str">
        <f t="shared" si="136"/>
        <v>#REF!</v>
      </c>
      <c r="FC132" s="131" t="str">
        <f t="shared" si="78"/>
        <v>#REF!</v>
      </c>
      <c r="FD132" s="131" t="str">
        <f t="array" ref="FD132">INDEX(FC:FC,MIN(IF(ISNUMBER(FC132:FC328),ROW(FC132:FC328),"")))</f>
        <v/>
      </c>
      <c r="FE132" s="131" t="str">
        <f t="shared" si="137"/>
        <v>#REF!</v>
      </c>
      <c r="FF132" s="138" t="str">
        <f>FE132*VLOOKUP('Données projet (1)'!$B$16,'Paramètres (1)'!$A$1:$I$88,3,0)*VLOOKUP('Données projet (1)'!$B$16,'Paramètres (1)'!$A$1:$I$88,5,0)</f>
        <v>#REF!</v>
      </c>
      <c r="FG132" s="130" t="str">
        <f t="shared" si="138"/>
        <v>#REF!</v>
      </c>
      <c r="FH132" s="141" t="str">
        <f t="shared" si="79"/>
        <v>#REF!</v>
      </c>
      <c r="FI132" s="133" t="str">
        <f t="shared" si="80"/>
        <v>#REF!</v>
      </c>
      <c r="FJ132" s="133" t="str">
        <f t="shared" si="81"/>
        <v>#REF!</v>
      </c>
      <c r="FK132" s="133" t="str">
        <f t="shared" si="139"/>
        <v>#REF!</v>
      </c>
      <c r="FL132" s="134" t="str">
        <f t="shared" si="82"/>
        <v>#REF!</v>
      </c>
      <c r="FM132" s="134" t="str">
        <f t="shared" si="83"/>
        <v>#REF!</v>
      </c>
      <c r="FN132" s="135" t="str">
        <f>IF(ISNA(VLOOKUP(A132,'Données projet (1)'!$A$217:$I$237,5,0)),0%,VLOOKUP(A132,'Données projet (1)'!$A$217:$I$237,5,0)*VLOOKUP('Données projet (1)'!$B$16,'Paramètres (1)'!$A$1:$I$88,7,0))</f>
        <v>#REF!</v>
      </c>
      <c r="FO132" s="135" t="str">
        <f>IF(ISNA(VLOOKUP(A132,'Données projet (1)'!$A$217:$I$237,6,0)),0%,VLOOKUP(A132,'Données projet (1)'!$A$217:$I$237,6,0)*VLOOKUP('Données projet (1)'!$B$16,'Paramètres (1)'!$A$1:$I$88,7,0))</f>
        <v>#REF!</v>
      </c>
      <c r="FP132" s="135" t="str">
        <f t="shared" si="84"/>
        <v>#REF!</v>
      </c>
      <c r="FQ132" s="142" t="str">
        <f>EXP(-LN(2)/35)*FQ131+(1-EXP(-LN(2)/35))/(LN(2)/35)*FM132*FN132*VLOOKUP('Données projet (1)'!$B$16,'Paramètres (1)'!$A$1:$I$88,3,0)*0.475*44/12</f>
        <v>#REF!</v>
      </c>
      <c r="FR132" s="142" t="str">
        <f>EXP(-LN(2)/25)*FR131+(1-EXP(-LN(2)/25))/(LN(2)/25)*'Calculateur (1)'!FM132*'Calculateur (1)'!FO132*VLOOKUP('Données projet (1)'!$B$16,'Paramètres (1)'!$A$1:$I$88,3,0)*0.475*44/12</f>
        <v>#REF!</v>
      </c>
      <c r="FS132" s="142" t="str">
        <f>EXP(-LN(2)/2)*FS131+(1-EXP(-LN(2)/2))/(LN(2)/2)*FM132*FP132*VLOOKUP('Données projet (1)'!$B$16,'Paramètres (1)'!$A$1:$I$88,3,0)*0.475*44/12</f>
        <v>#REF!</v>
      </c>
      <c r="FT132" s="143" t="str">
        <f t="shared" si="85"/>
        <v>#REF!</v>
      </c>
      <c r="FU132" s="139" t="str">
        <f t="shared" si="86"/>
        <v>#REF!</v>
      </c>
      <c r="FV132" s="131">
        <f t="shared" si="87"/>
        <v>10</v>
      </c>
      <c r="FW132" s="131" t="str">
        <f t="shared" si="140"/>
        <v>#REF!</v>
      </c>
      <c r="FX132" s="131" t="str">
        <f t="shared" si="88"/>
        <v>#REF!</v>
      </c>
      <c r="FY132" s="131" t="str">
        <f t="array" ref="FY132">INDEX(FX:FX,MIN(IF(ISNUMBER(FX132:FX328),ROW(FX132:FX328),"")))</f>
        <v/>
      </c>
      <c r="FZ132" s="131" t="str">
        <f t="shared" si="141"/>
        <v>#REF!</v>
      </c>
      <c r="GA132" s="138" t="str">
        <f>FZ132*VLOOKUP('Données projet (1)'!$B$17,'Paramètres (1)'!$A$1:$I$88,3,0)*VLOOKUP('Données projet (1)'!$B$17,'Paramètres (1)'!$A$1:$I$88,5,0)</f>
        <v>#REF!</v>
      </c>
      <c r="GB132" s="130" t="str">
        <f t="shared" si="142"/>
        <v>#REF!</v>
      </c>
      <c r="GC132" s="141" t="str">
        <f t="shared" si="89"/>
        <v>#REF!</v>
      </c>
      <c r="GD132" s="133" t="str">
        <f t="shared" si="90"/>
        <v>#REF!</v>
      </c>
      <c r="GE132" s="133" t="str">
        <f t="shared" si="91"/>
        <v>#REF!</v>
      </c>
      <c r="GF132" s="133" t="str">
        <f t="shared" si="143"/>
        <v>#REF!</v>
      </c>
      <c r="GG132" s="134" t="str">
        <f t="shared" si="92"/>
        <v>#REF!</v>
      </c>
      <c r="GH132" s="134" t="str">
        <f t="shared" si="93"/>
        <v>#REF!</v>
      </c>
      <c r="GI132" s="135" t="str">
        <f>IF(ISNA(VLOOKUP(A132,'Données projet (1)'!$A$243:$I$263,5,0)),0%,VLOOKUP(A132,'Données projet (1)'!$A$243:$I$263,5,0)*VLOOKUP('Données projet (1)'!$B$17,'Paramètres (1)'!$A$1:$I$88,7,0))</f>
        <v>#REF!</v>
      </c>
      <c r="GJ132" s="135" t="str">
        <f>IF(ISNA(VLOOKUP(A132,'Données projet (1)'!$A$243:$I$263,6,0)),0%,VLOOKUP(A132,'Données projet (1)'!$A$243:$I$263,6,0)*VLOOKUP('Données projet (1)'!$B$17,'Paramètres (1)'!$A$1:$I$88,7,0))</f>
        <v>#REF!</v>
      </c>
      <c r="GK132" s="135" t="str">
        <f t="shared" si="94"/>
        <v>#REF!</v>
      </c>
      <c r="GL132" s="142" t="str">
        <f>EXP(-LN(2)/35)*GL131+(1-EXP(-LN(2)/35))/(LN(2)/35)*GH132*GI132*VLOOKUP('Données projet (1)'!$B$17,'Paramètres (1)'!$A$1:$I$88,3,0)*0.475*44/12</f>
        <v>#REF!</v>
      </c>
      <c r="GM132" s="142" t="str">
        <f>EXP(-LN(2)/25)*GM131+(1-EXP(-LN(2)/25))/(LN(2)/25)*'Calculateur (1)'!GH132*'Calculateur (1)'!GJ132*VLOOKUP('Données projet (1)'!$B$17,'Paramètres (1)'!$A$1:$I$88,3,0)*0.475*44/12</f>
        <v>#REF!</v>
      </c>
      <c r="GN132" s="142" t="str">
        <f>EXP(-LN(2)/2)*GN131+(1-EXP(-LN(2)/2))/(LN(2)/2)*GH132*GK132*VLOOKUP('Données projet (1)'!$B$17,'Paramètres (1)'!$A$1:$I$88,3,0)*0.475*44/12</f>
        <v>#REF!</v>
      </c>
      <c r="GO132" s="142" t="str">
        <f t="shared" si="95"/>
        <v>#REF!</v>
      </c>
      <c r="GP132" s="139" t="str">
        <f t="shared" si="96"/>
        <v>#REF!</v>
      </c>
      <c r="GQ132" s="131">
        <f t="shared" si="97"/>
        <v>10</v>
      </c>
      <c r="GR132" s="131" t="str">
        <f t="shared" si="144"/>
        <v>#REF!</v>
      </c>
      <c r="GS132" s="131" t="str">
        <f t="shared" si="98"/>
        <v>#REF!</v>
      </c>
      <c r="GT132" s="131" t="str">
        <f t="array" ref="GT132">INDEX(GS:GS,MIN(IF(ISNUMBER(GS132:GS328),ROW(GS132:GS328),"")))</f>
        <v/>
      </c>
      <c r="GU132" s="131" t="str">
        <f t="shared" si="145"/>
        <v>#REF!</v>
      </c>
      <c r="GV132" s="138" t="str">
        <f>GU132*VLOOKUP('Données projet (1)'!$B$18,'Paramètres (1)'!$A$1:$I$88,3,0)*VLOOKUP('Données projet (1)'!$B$18,'Paramètres (1)'!$A$1:$I$88,5,0)</f>
        <v>#REF!</v>
      </c>
      <c r="GW132" s="130" t="str">
        <f t="shared" si="146"/>
        <v>#REF!</v>
      </c>
      <c r="GX132" s="141" t="str">
        <f t="shared" si="99"/>
        <v>#REF!</v>
      </c>
      <c r="GY132" s="133" t="str">
        <f t="shared" si="100"/>
        <v>#REF!</v>
      </c>
      <c r="GZ132" s="133" t="str">
        <f t="shared" si="101"/>
        <v>#REF!</v>
      </c>
      <c r="HA132" s="133" t="str">
        <f t="shared" si="147"/>
        <v>#REF!</v>
      </c>
      <c r="HB132" s="134" t="str">
        <f t="shared" si="102"/>
        <v>#REF!</v>
      </c>
      <c r="HC132" s="134" t="str">
        <f t="shared" si="103"/>
        <v>#REF!</v>
      </c>
      <c r="HD132" s="135" t="str">
        <f>IF(ISNA(VLOOKUP(A132,'Données projet (1)'!$A$269:$I$289,5,0)),0%,VLOOKUP(A132,'Données projet (1)'!$A$269:$I$289,5,0)*VLOOKUP('Données projet (1)'!$B$18,'Paramètres (1)'!$A$1:$I$88,7,0))</f>
        <v>#REF!</v>
      </c>
      <c r="HE132" s="135" t="str">
        <f>IF(ISNA(VLOOKUP(A132,'Données projet (1)'!$A$269:$I$289,6,0)),0%,VLOOKUP(A132,'Données projet (1)'!$A$269:$I$289,6,0)*VLOOKUP('Données projet (1)'!$B$18,'Paramètres (1)'!$A$1:$I$88,7,0))</f>
        <v>#REF!</v>
      </c>
      <c r="HF132" s="135" t="str">
        <f t="shared" si="104"/>
        <v>#REF!</v>
      </c>
      <c r="HG132" s="142" t="str">
        <f>EXP(-LN(2)/35)*HG131+(1-EXP(-LN(2)/35))/(LN(2)/35)*HC132*HD132*VLOOKUP('Données projet (1)'!$B$18,'Paramètres (1)'!$A$1:$I$88,3,0)*0.475*44/12</f>
        <v>#REF!</v>
      </c>
      <c r="HH132" s="142" t="str">
        <f>EXP(-LN(2)/25)*HH131+(1-EXP(-LN(2)/25))/(LN(2)/25)*'Calculateur (1)'!HC132*'Calculateur (1)'!HE132*VLOOKUP('Données projet (1)'!$B$18,'Paramètres (1)'!$A$1:$I$88,3,0)*0.475*44/12</f>
        <v>#REF!</v>
      </c>
      <c r="HI132" s="142" t="str">
        <f>EXP(-LN(2)/2)*HI131+(1-EXP(-LN(2)/2))/(LN(2)/2)*HC132*HF132*VLOOKUP('Données projet (1)'!$B$18,'Paramètres (1)'!$A$1:$I$88,3,0)*0.475*44/12</f>
        <v>#REF!</v>
      </c>
      <c r="HJ132" s="143" t="str">
        <f t="shared" si="105"/>
        <v>#REF!</v>
      </c>
    </row>
    <row r="133" ht="14.25" customHeight="1">
      <c r="A133" s="125">
        <f t="shared" si="106"/>
        <v>130</v>
      </c>
      <c r="B133" s="126" t="str">
        <f t="shared" si="1"/>
        <v>#REF!</v>
      </c>
      <c r="C133" s="140" t="str">
        <f>'Calculateur (1)'!C132+'Scénario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3" s="127">
        <f t="shared" si="107"/>
        <v>0</v>
      </c>
      <c r="E133" s="127" t="str">
        <f t="shared" si="2"/>
        <v>#REF!</v>
      </c>
      <c r="F133" s="127" t="str">
        <f t="shared" si="3"/>
        <v>#REF!</v>
      </c>
      <c r="G133" s="127" t="str">
        <f t="shared" si="4"/>
        <v>#REF!</v>
      </c>
      <c r="H133" s="128" t="str">
        <f t="shared" si="5"/>
        <v>#REF!</v>
      </c>
      <c r="I133" s="129" t="str">
        <f t="shared" si="6"/>
        <v>#REF!</v>
      </c>
      <c r="J133" s="130">
        <f t="shared" si="7"/>
        <v>10</v>
      </c>
      <c r="K133" s="131" t="str">
        <f t="shared" si="108"/>
        <v>#REF!</v>
      </c>
      <c r="L133" s="131" t="str">
        <f t="shared" si="8"/>
        <v>#REF!</v>
      </c>
      <c r="M133" s="131" t="str">
        <f t="array" ref="M133">INDEX(L:L,MIN(IF(ISNUMBER(L133:L329),ROW(L133:L329),"")))</f>
        <v/>
      </c>
      <c r="N133" s="130" t="str">
        <f t="shared" si="109"/>
        <v>#REF!</v>
      </c>
      <c r="O133" s="130" t="str">
        <f>N133*VLOOKUP('Données projet (1)'!$B$9,'Paramètres (1)'!$A$1:$I$88,3,0)*VLOOKUP('Données projet (1)'!$B$9,'Paramètres (1)'!$A$1:$I$88,5,0)</f>
        <v>#REF!</v>
      </c>
      <c r="P133" s="130" t="str">
        <f t="shared" si="110"/>
        <v>#REF!</v>
      </c>
      <c r="Q133" s="141" t="str">
        <f t="shared" si="9"/>
        <v>#REF!</v>
      </c>
      <c r="R133" s="133" t="str">
        <f t="shared" si="10"/>
        <v>#REF!</v>
      </c>
      <c r="S133" s="133" t="str">
        <f t="shared" si="11"/>
        <v>#REF!</v>
      </c>
      <c r="T133" s="133" t="str">
        <f t="shared" si="111"/>
        <v>#REF!</v>
      </c>
      <c r="U133" s="134" t="str">
        <f t="shared" si="12"/>
        <v>#REF!</v>
      </c>
      <c r="V133" s="134" t="str">
        <f t="shared" si="13"/>
        <v>#REF!</v>
      </c>
      <c r="W133" s="135" t="str">
        <f>IF(ISNA(VLOOKUP(A133,'Données projet (1)'!$A$35:$I$55,5,0)),0%,VLOOKUP(A133,'Données projet (1)'!$A$35:$I$55,5,0)*VLOOKUP('Données projet (1)'!$B$9,'Paramètres (1)'!$A$1:$I$88,7,0))</f>
        <v>#REF!</v>
      </c>
      <c r="X133" s="135" t="str">
        <f>IF(ISNA(VLOOKUP(A133,'Données projet (1)'!$A$35:$I$55,6,0)),0%,VLOOKUP(A133,'Données projet (1)'!$A$35:$I$55,6,0)*VLOOKUP('Données projet (1)'!$B$9,'Paramètres (1)'!$A$1:$I$88,7,0))</f>
        <v>#REF!</v>
      </c>
      <c r="Y133" s="135" t="str">
        <f t="shared" si="14"/>
        <v>#REF!</v>
      </c>
      <c r="Z133" s="142" t="str">
        <f>EXP(-LN(2)/35)*Z132+(1-EXP(-LN(2)/35))/(LN(2)/35)*V133*W133*VLOOKUP('Données projet (1)'!$B$9,'Paramètres (1)'!$A$1:$I$88,3,0)*0.475*44/12</f>
        <v>#REF!</v>
      </c>
      <c r="AA133" s="142" t="str">
        <f>EXP(-LN(2)/25)*AA132+(1-EXP(-LN(2)/25))/(LN(2)/25)*'Calculateur (1)'!V133*'Calculateur (1)'!X133*VLOOKUP('Données projet (1)'!$B$9,'Paramètres (1)'!$A$1:$I$88,3,0)*0.475*44/12</f>
        <v>#REF!</v>
      </c>
      <c r="AB133" s="142" t="str">
        <f>EXP(-LN(2)/2)*AB132+(1-EXP(-LN(2)/2))/(LN(2)/2)*V133*Y133*VLOOKUP('Données projet (1)'!$B$9,'Paramètres (1)'!$A$1:$I$88,3,0)*0.475*44/12</f>
        <v>#REF!</v>
      </c>
      <c r="AC133" s="143" t="str">
        <f t="shared" si="15"/>
        <v>#REF!</v>
      </c>
      <c r="AD133" s="130" t="str">
        <f t="shared" si="16"/>
        <v>#REF!</v>
      </c>
      <c r="AE133" s="130">
        <f t="shared" si="17"/>
        <v>10</v>
      </c>
      <c r="AF133" s="131" t="str">
        <f t="shared" si="112"/>
        <v>#REF!</v>
      </c>
      <c r="AG133" s="131" t="str">
        <f t="shared" si="18"/>
        <v>#REF!</v>
      </c>
      <c r="AH133" s="131" t="str">
        <f t="array" ref="AH133">INDEX(AG:AG,MIN(IF(ISNUMBER(AG133:AG329),ROW(AG133:AG329),"")))</f>
        <v/>
      </c>
      <c r="AI133" s="130" t="str">
        <f t="shared" si="113"/>
        <v>#REF!</v>
      </c>
      <c r="AJ133" s="130" t="str">
        <f>AI133*VLOOKUP('Données projet (1)'!$B$10,'Paramètres (1)'!$A$1:$I$88,3,0)*VLOOKUP('Données projet (1)'!$B$10,'Paramètres (1)'!$A$1:$I$88,5,0)</f>
        <v>#REF!</v>
      </c>
      <c r="AK133" s="130" t="str">
        <f t="shared" si="114"/>
        <v>#REF!</v>
      </c>
      <c r="AL133" s="141" t="str">
        <f t="shared" si="19"/>
        <v>#REF!</v>
      </c>
      <c r="AM133" s="133" t="str">
        <f t="shared" si="20"/>
        <v>#REF!</v>
      </c>
      <c r="AN133" s="133" t="str">
        <f t="shared" si="21"/>
        <v>#REF!</v>
      </c>
      <c r="AO133" s="133" t="str">
        <f t="shared" si="115"/>
        <v>#REF!</v>
      </c>
      <c r="AP133" s="134" t="str">
        <f t="shared" si="22"/>
        <v>#REF!</v>
      </c>
      <c r="AQ133" s="134" t="str">
        <f t="shared" si="23"/>
        <v>#REF!</v>
      </c>
      <c r="AR133" s="135" t="str">
        <f>IF(ISNA(VLOOKUP(A133,'Données projet (1)'!$A$61:$I$81,5,0)),0%,VLOOKUP(A133,'Données projet (1)'!$A$61:$I$81,5,0)*VLOOKUP('Données projet (1)'!$B$10,'Paramètres (1)'!$A$1:$I$88,7,0))</f>
        <v>#REF!</v>
      </c>
      <c r="AS133" s="135" t="str">
        <f>IF(ISNA(VLOOKUP(A133,'Données projet (1)'!$A$61:$I$81,6,0)),0%,VLOOKUP(A133,'Données projet (1)'!$A$61:$I$81,6,0)*VLOOKUP('Données projet (1)'!$B$10,'Paramètres (1)'!$A$1:$I$88,7,0))</f>
        <v>#REF!</v>
      </c>
      <c r="AT133" s="135" t="str">
        <f t="shared" si="24"/>
        <v>#REF!</v>
      </c>
      <c r="AU133" s="142" t="str">
        <f>EXP(-LN(2)/35)*AU132+(1-EXP(-LN(2)/35))/(LN(2)/35)*AQ133*AR133*VLOOKUP('Données projet (1)'!$B$10,'Paramètres (1)'!$A$1:$I$88,3,0)*0.475*44/12</f>
        <v>#REF!</v>
      </c>
      <c r="AV133" s="142" t="str">
        <f>EXP(-LN(2)/25)*AV132+(1-EXP(-LN(2)/25))/(LN(2)/25)*'Calculateur (1)'!AQ133*'Calculateur (1)'!AS133*VLOOKUP('Données projet (1)'!$B$10,'Paramètres (1)'!$A$1:$I$88,3,0)*0.475*44/12</f>
        <v>#REF!</v>
      </c>
      <c r="AW133" s="142" t="str">
        <f>EXP(-LN(2)/2)*AW132+(1-EXP(-LN(2)/2))/(LN(2)/2)*AQ133*AT133*VLOOKUP('Données projet (1)'!$B$10,'Paramètres (1)'!$A$1:$I$88,3,0)*0.475*44/12</f>
        <v>#REF!</v>
      </c>
      <c r="AX133" s="142" t="str">
        <f t="shared" si="25"/>
        <v>#REF!</v>
      </c>
      <c r="AY133" s="137" t="str">
        <f t="shared" si="26"/>
        <v>#REF!</v>
      </c>
      <c r="AZ133" s="131">
        <f t="shared" si="27"/>
        <v>10</v>
      </c>
      <c r="BA133" s="131" t="str">
        <f t="shared" si="116"/>
        <v>#REF!</v>
      </c>
      <c r="BB133" s="131" t="str">
        <f t="shared" si="28"/>
        <v>#REF!</v>
      </c>
      <c r="BC133" s="131" t="str">
        <f t="array" ref="BC133">INDEX(BB:BB,MIN(IF(ISNUMBER(BB133:BB329),ROW(BB133:BB329),"")))</f>
        <v/>
      </c>
      <c r="BD133" s="131" t="str">
        <f t="shared" si="117"/>
        <v>#REF!</v>
      </c>
      <c r="BE133" s="130" t="str">
        <f>BD133*VLOOKUP('Données projet (1)'!$B$11,'Paramètres (1)'!$A$1:$I$88,3,0)*VLOOKUP('Données projet (1)'!$B$11,'Paramètres (1)'!$A$1:$I$88,5,0)</f>
        <v>#REF!</v>
      </c>
      <c r="BF133" s="130" t="str">
        <f t="shared" si="118"/>
        <v>#REF!</v>
      </c>
      <c r="BG133" s="141" t="str">
        <f t="shared" si="29"/>
        <v>#REF!</v>
      </c>
      <c r="BH133" s="133" t="str">
        <f t="shared" si="30"/>
        <v>#REF!</v>
      </c>
      <c r="BI133" s="133" t="str">
        <f t="shared" si="31"/>
        <v>#REF!</v>
      </c>
      <c r="BJ133" s="133" t="str">
        <f t="shared" si="119"/>
        <v>#REF!</v>
      </c>
      <c r="BK133" s="134" t="str">
        <f t="shared" si="32"/>
        <v>#REF!</v>
      </c>
      <c r="BL133" s="134" t="str">
        <f t="shared" si="33"/>
        <v>#REF!</v>
      </c>
      <c r="BM133" s="135" t="str">
        <f>IF(ISNA(VLOOKUP(A133,'Données projet (1)'!$A$87:$I$107,5,0)),0%,VLOOKUP(A133,'Données projet (1)'!$A$87:$I$107,5,0)*VLOOKUP('Données projet (1)'!$B$11,'Paramètres (1)'!$A$1:$I$88,7,0))</f>
        <v>#REF!</v>
      </c>
      <c r="BN133" s="135" t="str">
        <f>IF(ISNA(VLOOKUP(A133,'Données projet (1)'!$A$87:$I$107,6,0)),0%,VLOOKUP(A133,'Données projet (1)'!$A$87:$I$107,6,0)*VLOOKUP('Données projet (1)'!$B$11,'Paramètres (1)'!$A$1:$I$88,7,0))</f>
        <v>#REF!</v>
      </c>
      <c r="BO133" s="135" t="str">
        <f t="shared" si="34"/>
        <v>#REF!</v>
      </c>
      <c r="BP133" s="142" t="str">
        <f>EXP(-LN(2)/35)*BP132+(1-EXP(-LN(2)/35))/(LN(2)/35)*BL133*BM133*VLOOKUP('Données projet (1)'!$B$11,'Paramètres (1)'!$A$1:$I$88,3,0)*0.475*44/12</f>
        <v>#REF!</v>
      </c>
      <c r="BQ133" s="142" t="str">
        <f>EXP(-LN(2)/25)*BQ132+(1-EXP(-LN(2)/25))/(LN(2)/25)*'Calculateur (1)'!BL133*'Calculateur (1)'!BN133*VLOOKUP('Données projet (1)'!$B$11,'Paramètres (1)'!$A$1:$I$88,3,0)*0.475*44/12</f>
        <v>#REF!</v>
      </c>
      <c r="BR133" s="142" t="str">
        <f>EXP(-LN(2)/2)*BR132+(1-EXP(-LN(2)/2))/(LN(2)/2)*BL133*BO133*VLOOKUP('Données projet (1)'!$B$11,'Paramètres (1)'!$A$1:$I$88,3,0)*0.475*44/12</f>
        <v>#REF!</v>
      </c>
      <c r="BS133" s="143" t="str">
        <f t="shared" si="35"/>
        <v>#REF!</v>
      </c>
      <c r="BT133" s="139" t="str">
        <f t="shared" si="36"/>
        <v>#REF!</v>
      </c>
      <c r="BU133" s="131">
        <f t="shared" si="37"/>
        <v>10</v>
      </c>
      <c r="BV133" s="131" t="str">
        <f t="shared" si="120"/>
        <v>#REF!</v>
      </c>
      <c r="BW133" s="131" t="str">
        <f t="shared" si="38"/>
        <v>#REF!</v>
      </c>
      <c r="BX133" s="131" t="str">
        <f t="array" ref="BX133">INDEX(BW:BW,MIN(IF(ISNUMBER(BW133:BW329),ROW(BW133:BW329),"")))</f>
        <v/>
      </c>
      <c r="BY133" s="131" t="str">
        <f t="shared" si="121"/>
        <v>#REF!</v>
      </c>
      <c r="BZ133" s="130" t="str">
        <f>BY133*VLOOKUP('Données projet (1)'!$B$12,'Paramètres (1)'!$A$1:$I$88,3,0)*VLOOKUP('Données projet (1)'!$B$12,'Paramètres (1)'!$A$1:$I$88,5,0)</f>
        <v>#REF!</v>
      </c>
      <c r="CA133" s="130" t="str">
        <f t="shared" si="122"/>
        <v>#REF!</v>
      </c>
      <c r="CB133" s="141" t="str">
        <f t="shared" si="39"/>
        <v>#REF!</v>
      </c>
      <c r="CC133" s="133" t="str">
        <f t="shared" si="40"/>
        <v>#REF!</v>
      </c>
      <c r="CD133" s="133" t="str">
        <f t="shared" si="41"/>
        <v>#REF!</v>
      </c>
      <c r="CE133" s="133" t="str">
        <f t="shared" si="123"/>
        <v>#REF!</v>
      </c>
      <c r="CF133" s="134" t="str">
        <f t="shared" si="42"/>
        <v>#REF!</v>
      </c>
      <c r="CG133" s="134" t="str">
        <f t="shared" si="43"/>
        <v>#REF!</v>
      </c>
      <c r="CH133" s="135" t="str">
        <f>IF(ISNA(VLOOKUP(A133,'Données projet (1)'!$A$113:$I$133,5,0)),0%,VLOOKUP(A133,'Données projet (1)'!$A$113:$I$133,5,0)*VLOOKUP('Données projet (1)'!$B$12,'Paramètres (1)'!$A$1:$I$88,7,0))</f>
        <v>#REF!</v>
      </c>
      <c r="CI133" s="135" t="str">
        <f>IF(ISNA(VLOOKUP(A133,'Données projet (1)'!$A$113:$I$133,6,0)),0%,VLOOKUP(A133,'Données projet (1)'!$A$113:$I$133,6,0)*VLOOKUP('Données projet (1)'!$B$12,'Paramètres (1)'!$A$1:$I$88,7,0))</f>
        <v>#REF!</v>
      </c>
      <c r="CJ133" s="135" t="str">
        <f t="shared" si="44"/>
        <v>#REF!</v>
      </c>
      <c r="CK133" s="142" t="str">
        <f>EXP(-LN(2)/35)*CK132+(1-EXP(-LN(2)/35))/(LN(2)/35)*CG133*CH133*VLOOKUP('Données projet (1)'!$B$12,'Paramètres (1)'!$A$1:$I$88,3,0)*0.475*44/12</f>
        <v>#REF!</v>
      </c>
      <c r="CL133" s="142" t="str">
        <f>EXP(-LN(2)/25)*CL132+(1-EXP(-LN(2)/25))/(LN(2)/25)*'Calculateur (1)'!CG133*'Calculateur (1)'!CI133*VLOOKUP('Données projet (1)'!$B$12,'Paramètres (1)'!$A$1:$I$88,3,0)*0.475*44/12</f>
        <v>#REF!</v>
      </c>
      <c r="CM133" s="142" t="str">
        <f>EXP(-LN(2)/2)*CM132+(1-EXP(-LN(2)/2))/(LN(2)/2)*CG133*CJ133*VLOOKUP('Données projet (1)'!$B$12,'Paramètres (1)'!$A$1:$I$88,3,0)*0.475*44/12</f>
        <v>#REF!</v>
      </c>
      <c r="CN133" s="143" t="str">
        <f t="shared" si="45"/>
        <v>#REF!</v>
      </c>
      <c r="CO133" s="139" t="str">
        <f t="shared" si="46"/>
        <v>#REF!</v>
      </c>
      <c r="CP133" s="131">
        <f t="shared" si="47"/>
        <v>10</v>
      </c>
      <c r="CQ133" s="131" t="str">
        <f t="shared" si="124"/>
        <v>#REF!</v>
      </c>
      <c r="CR133" s="131" t="str">
        <f t="shared" si="48"/>
        <v>#REF!</v>
      </c>
      <c r="CS133" s="131" t="str">
        <f t="array" ref="CS133">INDEX(CR:CR,MIN(IF(ISNUMBER(CR133:CR329),ROW(CR133:CR329),"")))</f>
        <v/>
      </c>
      <c r="CT133" s="131" t="str">
        <f t="shared" si="125"/>
        <v>#REF!</v>
      </c>
      <c r="CU133" s="138" t="str">
        <f>CT133*VLOOKUP('Données projet (1)'!$B$13,'Paramètres (1)'!$A$1:$I$88,3,0)*VLOOKUP('Données projet (1)'!$B$13,'Paramètres (1)'!$A$1:$I$88,5,0)</f>
        <v>#REF!</v>
      </c>
      <c r="CV133" s="130" t="str">
        <f t="shared" si="126"/>
        <v>#REF!</v>
      </c>
      <c r="CW133" s="141" t="str">
        <f t="shared" si="49"/>
        <v>#REF!</v>
      </c>
      <c r="CX133" s="133" t="str">
        <f t="shared" si="50"/>
        <v>#REF!</v>
      </c>
      <c r="CY133" s="133" t="str">
        <f t="shared" si="51"/>
        <v>#REF!</v>
      </c>
      <c r="CZ133" s="133" t="str">
        <f t="shared" si="127"/>
        <v>#REF!</v>
      </c>
      <c r="DA133" s="134" t="str">
        <f t="shared" si="52"/>
        <v>#REF!</v>
      </c>
      <c r="DB133" s="134" t="str">
        <f t="shared" si="53"/>
        <v>#REF!</v>
      </c>
      <c r="DC133" s="135" t="str">
        <f>IF(ISNA(VLOOKUP(A133,'Données projet (1)'!$A$139:$I$159,5,0)),0%,VLOOKUP(A133,'Données projet (1)'!$A$139:$I$159,5,0)*VLOOKUP('Données projet (1)'!$B$13,'Paramètres (1)'!$A$1:$I$88,7,0))</f>
        <v>#REF!</v>
      </c>
      <c r="DD133" s="135" t="str">
        <f>IF(ISNA(VLOOKUP(A133,'Données projet (1)'!$A$139:$I$159,6,0)),0%,VLOOKUP(A133,'Données projet (1)'!$A$139:$I$159,6,0)*VLOOKUP('Données projet (1)'!$B$13,'Paramètres (1)'!$A$1:$I$88,7,0))</f>
        <v>#REF!</v>
      </c>
      <c r="DE133" s="135" t="str">
        <f t="shared" si="54"/>
        <v>#REF!</v>
      </c>
      <c r="DF133" s="142" t="str">
        <f>EXP(-LN(2)/35)*DF132+(1-EXP(-LN(2)/35))/(LN(2)/35)*DB133*DC133*VLOOKUP('Données projet (1)'!$B$13,'Paramètres (1)'!$A$1:$I$88,3,0)*0.475*44/12</f>
        <v>#REF!</v>
      </c>
      <c r="DG133" s="142" t="str">
        <f>EXP(-LN(2)/25)*DG132+(1-EXP(-LN(2)/25))/(LN(2)/25)*'Calculateur (1)'!DB133*'Calculateur (1)'!DD133*VLOOKUP('Données projet (1)'!$B$13,'Paramètres (1)'!$A$1:$I$88,3,0)*0.475*44/12</f>
        <v>#REF!</v>
      </c>
      <c r="DH133" s="142" t="str">
        <f>EXP(-LN(2)/2)*DH132+(1-EXP(-LN(2)/2))/(LN(2)/2)*DB133*DE133*VLOOKUP('Données projet (1)'!$B$13,'Paramètres (1)'!$A$1:$I$88,3,0)*0.475*44/12</f>
        <v>#REF!</v>
      </c>
      <c r="DI133" s="143" t="str">
        <f t="shared" si="55"/>
        <v>#REF!</v>
      </c>
      <c r="DJ133" s="139" t="str">
        <f t="shared" si="56"/>
        <v>#REF!</v>
      </c>
      <c r="DK133" s="131">
        <f t="shared" si="57"/>
        <v>10</v>
      </c>
      <c r="DL133" s="131" t="str">
        <f t="shared" si="128"/>
        <v>#REF!</v>
      </c>
      <c r="DM133" s="131" t="str">
        <f t="shared" si="58"/>
        <v>#REF!</v>
      </c>
      <c r="DN133" s="131" t="str">
        <f t="array" ref="DN133">INDEX(DM:DM,MIN(IF(ISNUMBER(DM133:DM329),ROW(DM133:DM329),"")))</f>
        <v/>
      </c>
      <c r="DO133" s="131" t="str">
        <f t="shared" si="129"/>
        <v>#REF!</v>
      </c>
      <c r="DP133" s="138" t="str">
        <f>DO133*VLOOKUP('Données projet (1)'!$B$14,'Paramètres (1)'!$A$1:$I$88,3,0)*VLOOKUP('Données projet (1)'!$B$14,'Paramètres (1)'!$A$1:$I$88,5,0)</f>
        <v>#REF!</v>
      </c>
      <c r="DQ133" s="130" t="str">
        <f t="shared" si="130"/>
        <v>#REF!</v>
      </c>
      <c r="DR133" s="141" t="str">
        <f t="shared" si="59"/>
        <v>#REF!</v>
      </c>
      <c r="DS133" s="133" t="str">
        <f t="shared" si="60"/>
        <v>#REF!</v>
      </c>
      <c r="DT133" s="133" t="str">
        <f t="shared" si="61"/>
        <v>#REF!</v>
      </c>
      <c r="DU133" s="133" t="str">
        <f t="shared" si="131"/>
        <v>#REF!</v>
      </c>
      <c r="DV133" s="134" t="str">
        <f t="shared" si="62"/>
        <v>#REF!</v>
      </c>
      <c r="DW133" s="134" t="str">
        <f t="shared" si="63"/>
        <v>#REF!</v>
      </c>
      <c r="DX133" s="135" t="str">
        <f>IF(ISNA(VLOOKUP(A133,'Données projet (1)'!$A$165:$I$185,5,0)),0%,VLOOKUP(A133,'Données projet (1)'!$A$165:$I$185,5,0)*VLOOKUP('Données projet (1)'!$B$14,'Paramètres (1)'!$A$1:$I$88,7,0))</f>
        <v>#REF!</v>
      </c>
      <c r="DY133" s="135" t="str">
        <f>IF(ISNA(VLOOKUP(A133,'Données projet (1)'!$A$165:$I$185,6,0)),0%,VLOOKUP(A133,'Données projet (1)'!$A$165:$I$185,6,0)*VLOOKUP('Données projet (1)'!$B$14,'Paramètres (1)'!$A$1:$I$88,7,0))</f>
        <v>#REF!</v>
      </c>
      <c r="DZ133" s="135" t="str">
        <f t="shared" si="64"/>
        <v>#REF!</v>
      </c>
      <c r="EA133" s="142" t="str">
        <f>EXP(-LN(2)/35)*EA132+(1-EXP(-LN(2)/35))/(LN(2)/35)*DW133*DX133*VLOOKUP('Données projet (1)'!$B$14,'Paramètres (1)'!$A$1:$I$88,3,0)*0.475*44/12</f>
        <v>#REF!</v>
      </c>
      <c r="EB133" s="142" t="str">
        <f>EXP(-LN(2)/25)*EB132+(1-EXP(-LN(2)/25))/(LN(2)/25)*'Calculateur (1)'!DW133*'Calculateur (1)'!DY133*VLOOKUP('Données projet (1)'!$B$14,'Paramètres (1)'!$A$1:$I$88,3,0)*0.475*44/12</f>
        <v>#REF!</v>
      </c>
      <c r="EC133" s="142" t="str">
        <f>EXP(-LN(2)/2)*EC132+(1-EXP(-LN(2)/2))/(LN(2)/2)*DW133*DZ133*VLOOKUP('Données projet (1)'!$B$14,'Paramètres (1)'!$A$1:$I$88,3,0)*0.475*44/12</f>
        <v>#REF!</v>
      </c>
      <c r="ED133" s="143" t="str">
        <f t="shared" si="65"/>
        <v>#REF!</v>
      </c>
      <c r="EE133" s="139" t="str">
        <f t="shared" si="66"/>
        <v>#REF!</v>
      </c>
      <c r="EF133" s="131">
        <f t="shared" si="67"/>
        <v>10</v>
      </c>
      <c r="EG133" s="131" t="str">
        <f t="shared" si="132"/>
        <v>#REF!</v>
      </c>
      <c r="EH133" s="131" t="str">
        <f t="shared" si="68"/>
        <v>#REF!</v>
      </c>
      <c r="EI133" s="131" t="str">
        <f t="array" ref="EI133">INDEX(EH:EH,MIN(IF(ISNUMBER(EH133:EH329),ROW(EH133:EH329),"")))</f>
        <v/>
      </c>
      <c r="EJ133" s="131" t="str">
        <f t="shared" si="133"/>
        <v>#REF!</v>
      </c>
      <c r="EK133" s="138" t="str">
        <f>EJ133*VLOOKUP('Données projet (1)'!$B$15,'Paramètres (1)'!$A$1:$I$88,3,0)*VLOOKUP('Données projet (1)'!$B$15,'Paramètres (1)'!$A$1:$I$88,5,0)</f>
        <v>#REF!</v>
      </c>
      <c r="EL133" s="130" t="str">
        <f t="shared" si="134"/>
        <v>#REF!</v>
      </c>
      <c r="EM133" s="141" t="str">
        <f t="shared" si="69"/>
        <v>#REF!</v>
      </c>
      <c r="EN133" s="133" t="str">
        <f t="shared" si="70"/>
        <v>#REF!</v>
      </c>
      <c r="EO133" s="133" t="str">
        <f t="shared" si="71"/>
        <v>#REF!</v>
      </c>
      <c r="EP133" s="133" t="str">
        <f t="shared" si="135"/>
        <v>#REF!</v>
      </c>
      <c r="EQ133" s="134" t="str">
        <f t="shared" si="72"/>
        <v>#REF!</v>
      </c>
      <c r="ER133" s="134" t="str">
        <f t="shared" si="73"/>
        <v>#REF!</v>
      </c>
      <c r="ES133" s="135" t="str">
        <f>IF(ISNA(VLOOKUP(A133,'Données projet (1)'!$A$191:$I$211,5,0)),0%,VLOOKUP(A133,'Données projet (1)'!$A$191:$I$211,5,0)*VLOOKUP('Données projet (1)'!$B$15,'Paramètres (1)'!$A$1:$I$88,7,0))</f>
        <v>#REF!</v>
      </c>
      <c r="ET133" s="135" t="str">
        <f>IF(ISNA(VLOOKUP(A133,'Données projet (1)'!$A$191:$I$211,6,0)),0%,VLOOKUP(A133,'Données projet (1)'!$A$191:$I$211,6,0)*VLOOKUP('Données projet (1)'!$B$15,'Paramètres (1)'!$A$1:$I$88,7,0))</f>
        <v>#REF!</v>
      </c>
      <c r="EU133" s="135" t="str">
        <f t="shared" si="74"/>
        <v>#REF!</v>
      </c>
      <c r="EV133" s="142" t="str">
        <f>EXP(-LN(2)/35)*EV132+(1-EXP(-LN(2)/35))/(LN(2)/35)*ER133*ES133*VLOOKUP('Données projet (1)'!$B$15,'Paramètres (1)'!$A$1:$I$88,3,0)*0.475*44/12</f>
        <v>#REF!</v>
      </c>
      <c r="EW133" s="142" t="str">
        <f>EXP(-LN(2)/25)*EW132+(1-EXP(-LN(2)/25))/(LN(2)/25)*'Calculateur (1)'!ER133*'Calculateur (1)'!ET133*VLOOKUP('Données projet (1)'!$B$15,'Paramètres (1)'!$A$1:$I$88,3,0)*0.475*44/12</f>
        <v>#REF!</v>
      </c>
      <c r="EX133" s="142" t="str">
        <f>EXP(-LN(2)/2)*EX132+(1-EXP(-LN(2)/2))/(LN(2)/2)*ER133*EU133*VLOOKUP('Données projet (1)'!$B$15,'Paramètres (1)'!$A$1:$I$88,3,0)*0.475*44/12</f>
        <v>#REF!</v>
      </c>
      <c r="EY133" s="143" t="str">
        <f t="shared" si="75"/>
        <v>#REF!</v>
      </c>
      <c r="EZ133" s="139" t="str">
        <f t="shared" si="76"/>
        <v>#REF!</v>
      </c>
      <c r="FA133" s="131">
        <f t="shared" si="77"/>
        <v>10</v>
      </c>
      <c r="FB133" s="131" t="str">
        <f t="shared" si="136"/>
        <v>#REF!</v>
      </c>
      <c r="FC133" s="131" t="str">
        <f t="shared" si="78"/>
        <v>#REF!</v>
      </c>
      <c r="FD133" s="131" t="str">
        <f t="array" ref="FD133">INDEX(FC:FC,MIN(IF(ISNUMBER(FC133:FC329),ROW(FC133:FC329),"")))</f>
        <v/>
      </c>
      <c r="FE133" s="131" t="str">
        <f t="shared" si="137"/>
        <v>#REF!</v>
      </c>
      <c r="FF133" s="138" t="str">
        <f>FE133*VLOOKUP('Données projet (1)'!$B$16,'Paramètres (1)'!$A$1:$I$88,3,0)*VLOOKUP('Données projet (1)'!$B$16,'Paramètres (1)'!$A$1:$I$88,5,0)</f>
        <v>#REF!</v>
      </c>
      <c r="FG133" s="130" t="str">
        <f t="shared" si="138"/>
        <v>#REF!</v>
      </c>
      <c r="FH133" s="141" t="str">
        <f t="shared" si="79"/>
        <v>#REF!</v>
      </c>
      <c r="FI133" s="133" t="str">
        <f t="shared" si="80"/>
        <v>#REF!</v>
      </c>
      <c r="FJ133" s="133" t="str">
        <f t="shared" si="81"/>
        <v>#REF!</v>
      </c>
      <c r="FK133" s="133" t="str">
        <f t="shared" si="139"/>
        <v>#REF!</v>
      </c>
      <c r="FL133" s="134" t="str">
        <f t="shared" si="82"/>
        <v>#REF!</v>
      </c>
      <c r="FM133" s="134" t="str">
        <f t="shared" si="83"/>
        <v>#REF!</v>
      </c>
      <c r="FN133" s="135" t="str">
        <f>IF(ISNA(VLOOKUP(A133,'Données projet (1)'!$A$217:$I$237,5,0)),0%,VLOOKUP(A133,'Données projet (1)'!$A$217:$I$237,5,0)*VLOOKUP('Données projet (1)'!$B$16,'Paramètres (1)'!$A$1:$I$88,7,0))</f>
        <v>#REF!</v>
      </c>
      <c r="FO133" s="135" t="str">
        <f>IF(ISNA(VLOOKUP(A133,'Données projet (1)'!$A$217:$I$237,6,0)),0%,VLOOKUP(A133,'Données projet (1)'!$A$217:$I$237,6,0)*VLOOKUP('Données projet (1)'!$B$16,'Paramètres (1)'!$A$1:$I$88,7,0))</f>
        <v>#REF!</v>
      </c>
      <c r="FP133" s="135" t="str">
        <f t="shared" si="84"/>
        <v>#REF!</v>
      </c>
      <c r="FQ133" s="142" t="str">
        <f>EXP(-LN(2)/35)*FQ132+(1-EXP(-LN(2)/35))/(LN(2)/35)*FM133*FN133*VLOOKUP('Données projet (1)'!$B$16,'Paramètres (1)'!$A$1:$I$88,3,0)*0.475*44/12</f>
        <v>#REF!</v>
      </c>
      <c r="FR133" s="142" t="str">
        <f>EXP(-LN(2)/25)*FR132+(1-EXP(-LN(2)/25))/(LN(2)/25)*'Calculateur (1)'!FM133*'Calculateur (1)'!FO133*VLOOKUP('Données projet (1)'!$B$16,'Paramètres (1)'!$A$1:$I$88,3,0)*0.475*44/12</f>
        <v>#REF!</v>
      </c>
      <c r="FS133" s="142" t="str">
        <f>EXP(-LN(2)/2)*FS132+(1-EXP(-LN(2)/2))/(LN(2)/2)*FM133*FP133*VLOOKUP('Données projet (1)'!$B$16,'Paramètres (1)'!$A$1:$I$88,3,0)*0.475*44/12</f>
        <v>#REF!</v>
      </c>
      <c r="FT133" s="143" t="str">
        <f t="shared" si="85"/>
        <v>#REF!</v>
      </c>
      <c r="FU133" s="139" t="str">
        <f t="shared" si="86"/>
        <v>#REF!</v>
      </c>
      <c r="FV133" s="131">
        <f t="shared" si="87"/>
        <v>10</v>
      </c>
      <c r="FW133" s="131" t="str">
        <f t="shared" si="140"/>
        <v>#REF!</v>
      </c>
      <c r="FX133" s="131" t="str">
        <f t="shared" si="88"/>
        <v>#REF!</v>
      </c>
      <c r="FY133" s="131" t="str">
        <f t="array" ref="FY133">INDEX(FX:FX,MIN(IF(ISNUMBER(FX133:FX329),ROW(FX133:FX329),"")))</f>
        <v/>
      </c>
      <c r="FZ133" s="131" t="str">
        <f t="shared" si="141"/>
        <v>#REF!</v>
      </c>
      <c r="GA133" s="138" t="str">
        <f>FZ133*VLOOKUP('Données projet (1)'!$B$17,'Paramètres (1)'!$A$1:$I$88,3,0)*VLOOKUP('Données projet (1)'!$B$17,'Paramètres (1)'!$A$1:$I$88,5,0)</f>
        <v>#REF!</v>
      </c>
      <c r="GB133" s="130" t="str">
        <f t="shared" si="142"/>
        <v>#REF!</v>
      </c>
      <c r="GC133" s="141" t="str">
        <f t="shared" si="89"/>
        <v>#REF!</v>
      </c>
      <c r="GD133" s="133" t="str">
        <f t="shared" si="90"/>
        <v>#REF!</v>
      </c>
      <c r="GE133" s="133" t="str">
        <f t="shared" si="91"/>
        <v>#REF!</v>
      </c>
      <c r="GF133" s="133" t="str">
        <f t="shared" si="143"/>
        <v>#REF!</v>
      </c>
      <c r="GG133" s="134" t="str">
        <f t="shared" si="92"/>
        <v>#REF!</v>
      </c>
      <c r="GH133" s="134" t="str">
        <f t="shared" si="93"/>
        <v>#REF!</v>
      </c>
      <c r="GI133" s="135" t="str">
        <f>IF(ISNA(VLOOKUP(A133,'Données projet (1)'!$A$243:$I$263,5,0)),0%,VLOOKUP(A133,'Données projet (1)'!$A$243:$I$263,5,0)*VLOOKUP('Données projet (1)'!$B$17,'Paramètres (1)'!$A$1:$I$88,7,0))</f>
        <v>#REF!</v>
      </c>
      <c r="GJ133" s="135" t="str">
        <f>IF(ISNA(VLOOKUP(A133,'Données projet (1)'!$A$243:$I$263,6,0)),0%,VLOOKUP(A133,'Données projet (1)'!$A$243:$I$263,6,0)*VLOOKUP('Données projet (1)'!$B$17,'Paramètres (1)'!$A$1:$I$88,7,0))</f>
        <v>#REF!</v>
      </c>
      <c r="GK133" s="135" t="str">
        <f t="shared" si="94"/>
        <v>#REF!</v>
      </c>
      <c r="GL133" s="142" t="str">
        <f>EXP(-LN(2)/35)*GL132+(1-EXP(-LN(2)/35))/(LN(2)/35)*GH133*GI133*VLOOKUP('Données projet (1)'!$B$17,'Paramètres (1)'!$A$1:$I$88,3,0)*0.475*44/12</f>
        <v>#REF!</v>
      </c>
      <c r="GM133" s="142" t="str">
        <f>EXP(-LN(2)/25)*GM132+(1-EXP(-LN(2)/25))/(LN(2)/25)*'Calculateur (1)'!GH133*'Calculateur (1)'!GJ133*VLOOKUP('Données projet (1)'!$B$17,'Paramètres (1)'!$A$1:$I$88,3,0)*0.475*44/12</f>
        <v>#REF!</v>
      </c>
      <c r="GN133" s="142" t="str">
        <f>EXP(-LN(2)/2)*GN132+(1-EXP(-LN(2)/2))/(LN(2)/2)*GH133*GK133*VLOOKUP('Données projet (1)'!$B$17,'Paramètres (1)'!$A$1:$I$88,3,0)*0.475*44/12</f>
        <v>#REF!</v>
      </c>
      <c r="GO133" s="142" t="str">
        <f t="shared" si="95"/>
        <v>#REF!</v>
      </c>
      <c r="GP133" s="139" t="str">
        <f t="shared" si="96"/>
        <v>#REF!</v>
      </c>
      <c r="GQ133" s="131">
        <f t="shared" si="97"/>
        <v>10</v>
      </c>
      <c r="GR133" s="131" t="str">
        <f t="shared" si="144"/>
        <v>#REF!</v>
      </c>
      <c r="GS133" s="131" t="str">
        <f t="shared" si="98"/>
        <v>#REF!</v>
      </c>
      <c r="GT133" s="131" t="str">
        <f t="array" ref="GT133">INDEX(GS:GS,MIN(IF(ISNUMBER(GS133:GS329),ROW(GS133:GS329),"")))</f>
        <v/>
      </c>
      <c r="GU133" s="131" t="str">
        <f t="shared" si="145"/>
        <v>#REF!</v>
      </c>
      <c r="GV133" s="138" t="str">
        <f>GU133*VLOOKUP('Données projet (1)'!$B$18,'Paramètres (1)'!$A$1:$I$88,3,0)*VLOOKUP('Données projet (1)'!$B$18,'Paramètres (1)'!$A$1:$I$88,5,0)</f>
        <v>#REF!</v>
      </c>
      <c r="GW133" s="130" t="str">
        <f t="shared" si="146"/>
        <v>#REF!</v>
      </c>
      <c r="GX133" s="141" t="str">
        <f t="shared" si="99"/>
        <v>#REF!</v>
      </c>
      <c r="GY133" s="133" t="str">
        <f t="shared" si="100"/>
        <v>#REF!</v>
      </c>
      <c r="GZ133" s="133" t="str">
        <f t="shared" si="101"/>
        <v>#REF!</v>
      </c>
      <c r="HA133" s="133" t="str">
        <f t="shared" si="147"/>
        <v>#REF!</v>
      </c>
      <c r="HB133" s="134" t="str">
        <f t="shared" si="102"/>
        <v>#REF!</v>
      </c>
      <c r="HC133" s="134" t="str">
        <f t="shared" si="103"/>
        <v>#REF!</v>
      </c>
      <c r="HD133" s="135" t="str">
        <f>IF(ISNA(VLOOKUP(A133,'Données projet (1)'!$A$269:$I$289,5,0)),0%,VLOOKUP(A133,'Données projet (1)'!$A$269:$I$289,5,0)*VLOOKUP('Données projet (1)'!$B$18,'Paramètres (1)'!$A$1:$I$88,7,0))</f>
        <v>#REF!</v>
      </c>
      <c r="HE133" s="135" t="str">
        <f>IF(ISNA(VLOOKUP(A133,'Données projet (1)'!$A$269:$I$289,6,0)),0%,VLOOKUP(A133,'Données projet (1)'!$A$269:$I$289,6,0)*VLOOKUP('Données projet (1)'!$B$18,'Paramètres (1)'!$A$1:$I$88,7,0))</f>
        <v>#REF!</v>
      </c>
      <c r="HF133" s="135" t="str">
        <f t="shared" si="104"/>
        <v>#REF!</v>
      </c>
      <c r="HG133" s="142" t="str">
        <f>EXP(-LN(2)/35)*HG132+(1-EXP(-LN(2)/35))/(LN(2)/35)*HC133*HD133*VLOOKUP('Données projet (1)'!$B$18,'Paramètres (1)'!$A$1:$I$88,3,0)*0.475*44/12</f>
        <v>#REF!</v>
      </c>
      <c r="HH133" s="142" t="str">
        <f>EXP(-LN(2)/25)*HH132+(1-EXP(-LN(2)/25))/(LN(2)/25)*'Calculateur (1)'!HC133*'Calculateur (1)'!HE133*VLOOKUP('Données projet (1)'!$B$18,'Paramètres (1)'!$A$1:$I$88,3,0)*0.475*44/12</f>
        <v>#REF!</v>
      </c>
      <c r="HI133" s="142" t="str">
        <f>EXP(-LN(2)/2)*HI132+(1-EXP(-LN(2)/2))/(LN(2)/2)*HC133*HF133*VLOOKUP('Données projet (1)'!$B$18,'Paramètres (1)'!$A$1:$I$88,3,0)*0.475*44/12</f>
        <v>#REF!</v>
      </c>
      <c r="HJ133" s="143" t="str">
        <f t="shared" si="105"/>
        <v>#REF!</v>
      </c>
    </row>
    <row r="134" ht="14.25" customHeight="1">
      <c r="A134" s="125">
        <f t="shared" si="106"/>
        <v>131</v>
      </c>
      <c r="B134" s="126" t="str">
        <f t="shared" si="1"/>
        <v>#REF!</v>
      </c>
      <c r="C134" s="140" t="str">
        <f>'Calculateur (1)'!C133+'Scénario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4" s="127">
        <f t="shared" si="107"/>
        <v>0</v>
      </c>
      <c r="E134" s="127" t="str">
        <f t="shared" si="2"/>
        <v>#REF!</v>
      </c>
      <c r="F134" s="127" t="str">
        <f t="shared" si="3"/>
        <v>#REF!</v>
      </c>
      <c r="G134" s="127" t="str">
        <f t="shared" si="4"/>
        <v>#REF!</v>
      </c>
      <c r="H134" s="128" t="str">
        <f t="shared" si="5"/>
        <v>#REF!</v>
      </c>
      <c r="I134" s="129" t="str">
        <f t="shared" si="6"/>
        <v>#REF!</v>
      </c>
      <c r="J134" s="130">
        <f t="shared" si="7"/>
        <v>10</v>
      </c>
      <c r="K134" s="131" t="str">
        <f t="shared" si="108"/>
        <v>#REF!</v>
      </c>
      <c r="L134" s="131" t="str">
        <f t="shared" si="8"/>
        <v>#REF!</v>
      </c>
      <c r="M134" s="131" t="str">
        <f t="array" ref="M134">INDEX(L:L,MIN(IF(ISNUMBER(L134:L330),ROW(L134:L330),"")))</f>
        <v/>
      </c>
      <c r="N134" s="130" t="str">
        <f t="shared" si="109"/>
        <v>#REF!</v>
      </c>
      <c r="O134" s="130" t="str">
        <f>N134*VLOOKUP('Données projet (1)'!$B$9,'Paramètres (1)'!$A$1:$I$88,3,0)*VLOOKUP('Données projet (1)'!$B$9,'Paramètres (1)'!$A$1:$I$88,5,0)</f>
        <v>#REF!</v>
      </c>
      <c r="P134" s="130" t="str">
        <f t="shared" si="110"/>
        <v>#REF!</v>
      </c>
      <c r="Q134" s="141" t="str">
        <f t="shared" si="9"/>
        <v>#REF!</v>
      </c>
      <c r="R134" s="133" t="str">
        <f t="shared" si="10"/>
        <v>#REF!</v>
      </c>
      <c r="S134" s="133" t="str">
        <f t="shared" si="11"/>
        <v>#REF!</v>
      </c>
      <c r="T134" s="133" t="str">
        <f t="shared" si="111"/>
        <v>#REF!</v>
      </c>
      <c r="U134" s="134" t="str">
        <f t="shared" si="12"/>
        <v>#REF!</v>
      </c>
      <c r="V134" s="134" t="str">
        <f t="shared" si="13"/>
        <v>#REF!</v>
      </c>
      <c r="W134" s="135" t="str">
        <f>IF(ISNA(VLOOKUP(A134,'Données projet (1)'!$A$35:$I$55,5,0)),0%,VLOOKUP(A134,'Données projet (1)'!$A$35:$I$55,5,0)*VLOOKUP('Données projet (1)'!$B$9,'Paramètres (1)'!$A$1:$I$88,7,0))</f>
        <v>#REF!</v>
      </c>
      <c r="X134" s="135" t="str">
        <f>IF(ISNA(VLOOKUP(A134,'Données projet (1)'!$A$35:$I$55,6,0)),0%,VLOOKUP(A134,'Données projet (1)'!$A$35:$I$55,6,0)*VLOOKUP('Données projet (1)'!$B$9,'Paramètres (1)'!$A$1:$I$88,7,0))</f>
        <v>#REF!</v>
      </c>
      <c r="Y134" s="135" t="str">
        <f t="shared" si="14"/>
        <v>#REF!</v>
      </c>
      <c r="Z134" s="142" t="str">
        <f>EXP(-LN(2)/35)*Z133+(1-EXP(-LN(2)/35))/(LN(2)/35)*V134*W134*VLOOKUP('Données projet (1)'!$B$9,'Paramètres (1)'!$A$1:$I$88,3,0)*0.475*44/12</f>
        <v>#REF!</v>
      </c>
      <c r="AA134" s="142" t="str">
        <f>EXP(-LN(2)/25)*AA133+(1-EXP(-LN(2)/25))/(LN(2)/25)*'Calculateur (1)'!V134*'Calculateur (1)'!X134*VLOOKUP('Données projet (1)'!$B$9,'Paramètres (1)'!$A$1:$I$88,3,0)*0.475*44/12</f>
        <v>#REF!</v>
      </c>
      <c r="AB134" s="142" t="str">
        <f>EXP(-LN(2)/2)*AB133+(1-EXP(-LN(2)/2))/(LN(2)/2)*V134*Y134*VLOOKUP('Données projet (1)'!$B$9,'Paramètres (1)'!$A$1:$I$88,3,0)*0.475*44/12</f>
        <v>#REF!</v>
      </c>
      <c r="AC134" s="143" t="str">
        <f t="shared" si="15"/>
        <v>#REF!</v>
      </c>
      <c r="AD134" s="130" t="str">
        <f t="shared" si="16"/>
        <v>#REF!</v>
      </c>
      <c r="AE134" s="130">
        <f t="shared" si="17"/>
        <v>10</v>
      </c>
      <c r="AF134" s="131" t="str">
        <f t="shared" si="112"/>
        <v>#REF!</v>
      </c>
      <c r="AG134" s="131" t="str">
        <f t="shared" si="18"/>
        <v>#REF!</v>
      </c>
      <c r="AH134" s="131" t="str">
        <f t="array" ref="AH134">INDEX(AG:AG,MIN(IF(ISNUMBER(AG134:AG330),ROW(AG134:AG330),"")))</f>
        <v/>
      </c>
      <c r="AI134" s="130" t="str">
        <f t="shared" si="113"/>
        <v>#REF!</v>
      </c>
      <c r="AJ134" s="130" t="str">
        <f>AI134*VLOOKUP('Données projet (1)'!$B$10,'Paramètres (1)'!$A$1:$I$88,3,0)*VLOOKUP('Données projet (1)'!$B$10,'Paramètres (1)'!$A$1:$I$88,5,0)</f>
        <v>#REF!</v>
      </c>
      <c r="AK134" s="130" t="str">
        <f t="shared" si="114"/>
        <v>#REF!</v>
      </c>
      <c r="AL134" s="141" t="str">
        <f t="shared" si="19"/>
        <v>#REF!</v>
      </c>
      <c r="AM134" s="133" t="str">
        <f t="shared" si="20"/>
        <v>#REF!</v>
      </c>
      <c r="AN134" s="133" t="str">
        <f t="shared" si="21"/>
        <v>#REF!</v>
      </c>
      <c r="AO134" s="133" t="str">
        <f t="shared" si="115"/>
        <v>#REF!</v>
      </c>
      <c r="AP134" s="134" t="str">
        <f t="shared" si="22"/>
        <v>#REF!</v>
      </c>
      <c r="AQ134" s="134" t="str">
        <f t="shared" si="23"/>
        <v>#REF!</v>
      </c>
      <c r="AR134" s="135" t="str">
        <f>IF(ISNA(VLOOKUP(A134,'Données projet (1)'!$A$61:$I$81,5,0)),0%,VLOOKUP(A134,'Données projet (1)'!$A$61:$I$81,5,0)*VLOOKUP('Données projet (1)'!$B$10,'Paramètres (1)'!$A$1:$I$88,7,0))</f>
        <v>#REF!</v>
      </c>
      <c r="AS134" s="135" t="str">
        <f>IF(ISNA(VLOOKUP(A134,'Données projet (1)'!$A$61:$I$81,6,0)),0%,VLOOKUP(A134,'Données projet (1)'!$A$61:$I$81,6,0)*VLOOKUP('Données projet (1)'!$B$10,'Paramètres (1)'!$A$1:$I$88,7,0))</f>
        <v>#REF!</v>
      </c>
      <c r="AT134" s="135" t="str">
        <f t="shared" si="24"/>
        <v>#REF!</v>
      </c>
      <c r="AU134" s="142" t="str">
        <f>EXP(-LN(2)/35)*AU133+(1-EXP(-LN(2)/35))/(LN(2)/35)*AQ134*AR134*VLOOKUP('Données projet (1)'!$B$10,'Paramètres (1)'!$A$1:$I$88,3,0)*0.475*44/12</f>
        <v>#REF!</v>
      </c>
      <c r="AV134" s="142" t="str">
        <f>EXP(-LN(2)/25)*AV133+(1-EXP(-LN(2)/25))/(LN(2)/25)*'Calculateur (1)'!AQ134*'Calculateur (1)'!AS134*VLOOKUP('Données projet (1)'!$B$10,'Paramètres (1)'!$A$1:$I$88,3,0)*0.475*44/12</f>
        <v>#REF!</v>
      </c>
      <c r="AW134" s="142" t="str">
        <f>EXP(-LN(2)/2)*AW133+(1-EXP(-LN(2)/2))/(LN(2)/2)*AQ134*AT134*VLOOKUP('Données projet (1)'!$B$10,'Paramètres (1)'!$A$1:$I$88,3,0)*0.475*44/12</f>
        <v>#REF!</v>
      </c>
      <c r="AX134" s="142" t="str">
        <f t="shared" si="25"/>
        <v>#REF!</v>
      </c>
      <c r="AY134" s="137" t="str">
        <f t="shared" si="26"/>
        <v>#REF!</v>
      </c>
      <c r="AZ134" s="131">
        <f t="shared" si="27"/>
        <v>10</v>
      </c>
      <c r="BA134" s="131" t="str">
        <f t="shared" si="116"/>
        <v>#REF!</v>
      </c>
      <c r="BB134" s="131" t="str">
        <f t="shared" si="28"/>
        <v>#REF!</v>
      </c>
      <c r="BC134" s="131" t="str">
        <f t="array" ref="BC134">INDEX(BB:BB,MIN(IF(ISNUMBER(BB134:BB330),ROW(BB134:BB330),"")))</f>
        <v/>
      </c>
      <c r="BD134" s="131" t="str">
        <f t="shared" si="117"/>
        <v>#REF!</v>
      </c>
      <c r="BE134" s="130" t="str">
        <f>BD134*VLOOKUP('Données projet (1)'!$B$11,'Paramètres (1)'!$A$1:$I$88,3,0)*VLOOKUP('Données projet (1)'!$B$11,'Paramètres (1)'!$A$1:$I$88,5,0)</f>
        <v>#REF!</v>
      </c>
      <c r="BF134" s="130" t="str">
        <f t="shared" si="118"/>
        <v>#REF!</v>
      </c>
      <c r="BG134" s="141" t="str">
        <f t="shared" si="29"/>
        <v>#REF!</v>
      </c>
      <c r="BH134" s="133" t="str">
        <f t="shared" si="30"/>
        <v>#REF!</v>
      </c>
      <c r="BI134" s="133" t="str">
        <f t="shared" si="31"/>
        <v>#REF!</v>
      </c>
      <c r="BJ134" s="133" t="str">
        <f t="shared" si="119"/>
        <v>#REF!</v>
      </c>
      <c r="BK134" s="134" t="str">
        <f t="shared" si="32"/>
        <v>#REF!</v>
      </c>
      <c r="BL134" s="134" t="str">
        <f t="shared" si="33"/>
        <v>#REF!</v>
      </c>
      <c r="BM134" s="135" t="str">
        <f>IF(ISNA(VLOOKUP(A134,'Données projet (1)'!$A$87:$I$107,5,0)),0%,VLOOKUP(A134,'Données projet (1)'!$A$87:$I$107,5,0)*VLOOKUP('Données projet (1)'!$B$11,'Paramètres (1)'!$A$1:$I$88,7,0))</f>
        <v>#REF!</v>
      </c>
      <c r="BN134" s="135" t="str">
        <f>IF(ISNA(VLOOKUP(A134,'Données projet (1)'!$A$87:$I$107,6,0)),0%,VLOOKUP(A134,'Données projet (1)'!$A$87:$I$107,6,0)*VLOOKUP('Données projet (1)'!$B$11,'Paramètres (1)'!$A$1:$I$88,7,0))</f>
        <v>#REF!</v>
      </c>
      <c r="BO134" s="135" t="str">
        <f t="shared" si="34"/>
        <v>#REF!</v>
      </c>
      <c r="BP134" s="142" t="str">
        <f>EXP(-LN(2)/35)*BP133+(1-EXP(-LN(2)/35))/(LN(2)/35)*BL134*BM134*VLOOKUP('Données projet (1)'!$B$11,'Paramètres (1)'!$A$1:$I$88,3,0)*0.475*44/12</f>
        <v>#REF!</v>
      </c>
      <c r="BQ134" s="142" t="str">
        <f>EXP(-LN(2)/25)*BQ133+(1-EXP(-LN(2)/25))/(LN(2)/25)*'Calculateur (1)'!BL134*'Calculateur (1)'!BN134*VLOOKUP('Données projet (1)'!$B$11,'Paramètres (1)'!$A$1:$I$88,3,0)*0.475*44/12</f>
        <v>#REF!</v>
      </c>
      <c r="BR134" s="142" t="str">
        <f>EXP(-LN(2)/2)*BR133+(1-EXP(-LN(2)/2))/(LN(2)/2)*BL134*BO134*VLOOKUP('Données projet (1)'!$B$11,'Paramètres (1)'!$A$1:$I$88,3,0)*0.475*44/12</f>
        <v>#REF!</v>
      </c>
      <c r="BS134" s="143" t="str">
        <f t="shared" si="35"/>
        <v>#REF!</v>
      </c>
      <c r="BT134" s="139" t="str">
        <f t="shared" si="36"/>
        <v>#REF!</v>
      </c>
      <c r="BU134" s="131">
        <f t="shared" si="37"/>
        <v>10</v>
      </c>
      <c r="BV134" s="131" t="str">
        <f t="shared" si="120"/>
        <v>#REF!</v>
      </c>
      <c r="BW134" s="131" t="str">
        <f t="shared" si="38"/>
        <v>#REF!</v>
      </c>
      <c r="BX134" s="131" t="str">
        <f t="array" ref="BX134">INDEX(BW:BW,MIN(IF(ISNUMBER(BW134:BW330),ROW(BW134:BW330),"")))</f>
        <v/>
      </c>
      <c r="BY134" s="131" t="str">
        <f t="shared" si="121"/>
        <v>#REF!</v>
      </c>
      <c r="BZ134" s="130" t="str">
        <f>BY134*VLOOKUP('Données projet (1)'!$B$12,'Paramètres (1)'!$A$1:$I$88,3,0)*VLOOKUP('Données projet (1)'!$B$12,'Paramètres (1)'!$A$1:$I$88,5,0)</f>
        <v>#REF!</v>
      </c>
      <c r="CA134" s="130" t="str">
        <f t="shared" si="122"/>
        <v>#REF!</v>
      </c>
      <c r="CB134" s="141" t="str">
        <f t="shared" si="39"/>
        <v>#REF!</v>
      </c>
      <c r="CC134" s="133" t="str">
        <f t="shared" si="40"/>
        <v>#REF!</v>
      </c>
      <c r="CD134" s="133" t="str">
        <f t="shared" si="41"/>
        <v>#REF!</v>
      </c>
      <c r="CE134" s="133" t="str">
        <f t="shared" si="123"/>
        <v>#REF!</v>
      </c>
      <c r="CF134" s="134" t="str">
        <f t="shared" si="42"/>
        <v>#REF!</v>
      </c>
      <c r="CG134" s="134" t="str">
        <f t="shared" si="43"/>
        <v>#REF!</v>
      </c>
      <c r="CH134" s="135" t="str">
        <f>IF(ISNA(VLOOKUP(A134,'Données projet (1)'!$A$113:$I$133,5,0)),0%,VLOOKUP(A134,'Données projet (1)'!$A$113:$I$133,5,0)*VLOOKUP('Données projet (1)'!$B$12,'Paramètres (1)'!$A$1:$I$88,7,0))</f>
        <v>#REF!</v>
      </c>
      <c r="CI134" s="135" t="str">
        <f>IF(ISNA(VLOOKUP(A134,'Données projet (1)'!$A$113:$I$133,6,0)),0%,VLOOKUP(A134,'Données projet (1)'!$A$113:$I$133,6,0)*VLOOKUP('Données projet (1)'!$B$12,'Paramètres (1)'!$A$1:$I$88,7,0))</f>
        <v>#REF!</v>
      </c>
      <c r="CJ134" s="135" t="str">
        <f t="shared" si="44"/>
        <v>#REF!</v>
      </c>
      <c r="CK134" s="142" t="str">
        <f>EXP(-LN(2)/35)*CK133+(1-EXP(-LN(2)/35))/(LN(2)/35)*CG134*CH134*VLOOKUP('Données projet (1)'!$B$12,'Paramètres (1)'!$A$1:$I$88,3,0)*0.475*44/12</f>
        <v>#REF!</v>
      </c>
      <c r="CL134" s="142" t="str">
        <f>EXP(-LN(2)/25)*CL133+(1-EXP(-LN(2)/25))/(LN(2)/25)*'Calculateur (1)'!CG134*'Calculateur (1)'!CI134*VLOOKUP('Données projet (1)'!$B$12,'Paramètres (1)'!$A$1:$I$88,3,0)*0.475*44/12</f>
        <v>#REF!</v>
      </c>
      <c r="CM134" s="142" t="str">
        <f>EXP(-LN(2)/2)*CM133+(1-EXP(-LN(2)/2))/(LN(2)/2)*CG134*CJ134*VLOOKUP('Données projet (1)'!$B$12,'Paramètres (1)'!$A$1:$I$88,3,0)*0.475*44/12</f>
        <v>#REF!</v>
      </c>
      <c r="CN134" s="143" t="str">
        <f t="shared" si="45"/>
        <v>#REF!</v>
      </c>
      <c r="CO134" s="139" t="str">
        <f t="shared" si="46"/>
        <v>#REF!</v>
      </c>
      <c r="CP134" s="131">
        <f t="shared" si="47"/>
        <v>10</v>
      </c>
      <c r="CQ134" s="131" t="str">
        <f t="shared" si="124"/>
        <v>#REF!</v>
      </c>
      <c r="CR134" s="131" t="str">
        <f t="shared" si="48"/>
        <v>#REF!</v>
      </c>
      <c r="CS134" s="131" t="str">
        <f t="array" ref="CS134">INDEX(CR:CR,MIN(IF(ISNUMBER(CR134:CR330),ROW(CR134:CR330),"")))</f>
        <v/>
      </c>
      <c r="CT134" s="131" t="str">
        <f t="shared" si="125"/>
        <v>#REF!</v>
      </c>
      <c r="CU134" s="138" t="str">
        <f>CT134*VLOOKUP('Données projet (1)'!$B$13,'Paramètres (1)'!$A$1:$I$88,3,0)*VLOOKUP('Données projet (1)'!$B$13,'Paramètres (1)'!$A$1:$I$88,5,0)</f>
        <v>#REF!</v>
      </c>
      <c r="CV134" s="130" t="str">
        <f t="shared" si="126"/>
        <v>#REF!</v>
      </c>
      <c r="CW134" s="141" t="str">
        <f t="shared" si="49"/>
        <v>#REF!</v>
      </c>
      <c r="CX134" s="133" t="str">
        <f t="shared" si="50"/>
        <v>#REF!</v>
      </c>
      <c r="CY134" s="133" t="str">
        <f t="shared" si="51"/>
        <v>#REF!</v>
      </c>
      <c r="CZ134" s="133" t="str">
        <f t="shared" si="127"/>
        <v>#REF!</v>
      </c>
      <c r="DA134" s="134" t="str">
        <f t="shared" si="52"/>
        <v>#REF!</v>
      </c>
      <c r="DB134" s="134" t="str">
        <f t="shared" si="53"/>
        <v>#REF!</v>
      </c>
      <c r="DC134" s="135" t="str">
        <f>IF(ISNA(VLOOKUP(A134,'Données projet (1)'!$A$139:$I$159,5,0)),0%,VLOOKUP(A134,'Données projet (1)'!$A$139:$I$159,5,0)*VLOOKUP('Données projet (1)'!$B$13,'Paramètres (1)'!$A$1:$I$88,7,0))</f>
        <v>#REF!</v>
      </c>
      <c r="DD134" s="135" t="str">
        <f>IF(ISNA(VLOOKUP(A134,'Données projet (1)'!$A$139:$I$159,6,0)),0%,VLOOKUP(A134,'Données projet (1)'!$A$139:$I$159,6,0)*VLOOKUP('Données projet (1)'!$B$13,'Paramètres (1)'!$A$1:$I$88,7,0))</f>
        <v>#REF!</v>
      </c>
      <c r="DE134" s="135" t="str">
        <f t="shared" si="54"/>
        <v>#REF!</v>
      </c>
      <c r="DF134" s="142" t="str">
        <f>EXP(-LN(2)/35)*DF133+(1-EXP(-LN(2)/35))/(LN(2)/35)*DB134*DC134*VLOOKUP('Données projet (1)'!$B$13,'Paramètres (1)'!$A$1:$I$88,3,0)*0.475*44/12</f>
        <v>#REF!</v>
      </c>
      <c r="DG134" s="142" t="str">
        <f>EXP(-LN(2)/25)*DG133+(1-EXP(-LN(2)/25))/(LN(2)/25)*'Calculateur (1)'!DB134*'Calculateur (1)'!DD134*VLOOKUP('Données projet (1)'!$B$13,'Paramètres (1)'!$A$1:$I$88,3,0)*0.475*44/12</f>
        <v>#REF!</v>
      </c>
      <c r="DH134" s="142" t="str">
        <f>EXP(-LN(2)/2)*DH133+(1-EXP(-LN(2)/2))/(LN(2)/2)*DB134*DE134*VLOOKUP('Données projet (1)'!$B$13,'Paramètres (1)'!$A$1:$I$88,3,0)*0.475*44/12</f>
        <v>#REF!</v>
      </c>
      <c r="DI134" s="143" t="str">
        <f t="shared" si="55"/>
        <v>#REF!</v>
      </c>
      <c r="DJ134" s="139" t="str">
        <f t="shared" si="56"/>
        <v>#REF!</v>
      </c>
      <c r="DK134" s="131">
        <f t="shared" si="57"/>
        <v>10</v>
      </c>
      <c r="DL134" s="131" t="str">
        <f t="shared" si="128"/>
        <v>#REF!</v>
      </c>
      <c r="DM134" s="131" t="str">
        <f t="shared" si="58"/>
        <v>#REF!</v>
      </c>
      <c r="DN134" s="131" t="str">
        <f t="array" ref="DN134">INDEX(DM:DM,MIN(IF(ISNUMBER(DM134:DM330),ROW(DM134:DM330),"")))</f>
        <v/>
      </c>
      <c r="DO134" s="131" t="str">
        <f t="shared" si="129"/>
        <v>#REF!</v>
      </c>
      <c r="DP134" s="138" t="str">
        <f>DO134*VLOOKUP('Données projet (1)'!$B$14,'Paramètres (1)'!$A$1:$I$88,3,0)*VLOOKUP('Données projet (1)'!$B$14,'Paramètres (1)'!$A$1:$I$88,5,0)</f>
        <v>#REF!</v>
      </c>
      <c r="DQ134" s="130" t="str">
        <f t="shared" si="130"/>
        <v>#REF!</v>
      </c>
      <c r="DR134" s="141" t="str">
        <f t="shared" si="59"/>
        <v>#REF!</v>
      </c>
      <c r="DS134" s="133" t="str">
        <f t="shared" si="60"/>
        <v>#REF!</v>
      </c>
      <c r="DT134" s="133" t="str">
        <f t="shared" si="61"/>
        <v>#REF!</v>
      </c>
      <c r="DU134" s="133" t="str">
        <f t="shared" si="131"/>
        <v>#REF!</v>
      </c>
      <c r="DV134" s="134" t="str">
        <f t="shared" si="62"/>
        <v>#REF!</v>
      </c>
      <c r="DW134" s="134" t="str">
        <f t="shared" si="63"/>
        <v>#REF!</v>
      </c>
      <c r="DX134" s="135" t="str">
        <f>IF(ISNA(VLOOKUP(A134,'Données projet (1)'!$A$165:$I$185,5,0)),0%,VLOOKUP(A134,'Données projet (1)'!$A$165:$I$185,5,0)*VLOOKUP('Données projet (1)'!$B$14,'Paramètres (1)'!$A$1:$I$88,7,0))</f>
        <v>#REF!</v>
      </c>
      <c r="DY134" s="135" t="str">
        <f>IF(ISNA(VLOOKUP(A134,'Données projet (1)'!$A$165:$I$185,6,0)),0%,VLOOKUP(A134,'Données projet (1)'!$A$165:$I$185,6,0)*VLOOKUP('Données projet (1)'!$B$14,'Paramètres (1)'!$A$1:$I$88,7,0))</f>
        <v>#REF!</v>
      </c>
      <c r="DZ134" s="135" t="str">
        <f t="shared" si="64"/>
        <v>#REF!</v>
      </c>
      <c r="EA134" s="142" t="str">
        <f>EXP(-LN(2)/35)*EA133+(1-EXP(-LN(2)/35))/(LN(2)/35)*DW134*DX134*VLOOKUP('Données projet (1)'!$B$14,'Paramètres (1)'!$A$1:$I$88,3,0)*0.475*44/12</f>
        <v>#REF!</v>
      </c>
      <c r="EB134" s="142" t="str">
        <f>EXP(-LN(2)/25)*EB133+(1-EXP(-LN(2)/25))/(LN(2)/25)*'Calculateur (1)'!DW134*'Calculateur (1)'!DY134*VLOOKUP('Données projet (1)'!$B$14,'Paramètres (1)'!$A$1:$I$88,3,0)*0.475*44/12</f>
        <v>#REF!</v>
      </c>
      <c r="EC134" s="142" t="str">
        <f>EXP(-LN(2)/2)*EC133+(1-EXP(-LN(2)/2))/(LN(2)/2)*DW134*DZ134*VLOOKUP('Données projet (1)'!$B$14,'Paramètres (1)'!$A$1:$I$88,3,0)*0.475*44/12</f>
        <v>#REF!</v>
      </c>
      <c r="ED134" s="143" t="str">
        <f t="shared" si="65"/>
        <v>#REF!</v>
      </c>
      <c r="EE134" s="139" t="str">
        <f t="shared" si="66"/>
        <v>#REF!</v>
      </c>
      <c r="EF134" s="131">
        <f t="shared" si="67"/>
        <v>10</v>
      </c>
      <c r="EG134" s="131" t="str">
        <f t="shared" si="132"/>
        <v>#REF!</v>
      </c>
      <c r="EH134" s="131" t="str">
        <f t="shared" si="68"/>
        <v>#REF!</v>
      </c>
      <c r="EI134" s="131" t="str">
        <f t="array" ref="EI134">INDEX(EH:EH,MIN(IF(ISNUMBER(EH134:EH330),ROW(EH134:EH330),"")))</f>
        <v/>
      </c>
      <c r="EJ134" s="131" t="str">
        <f t="shared" si="133"/>
        <v>#REF!</v>
      </c>
      <c r="EK134" s="138" t="str">
        <f>EJ134*VLOOKUP('Données projet (1)'!$B$15,'Paramètres (1)'!$A$1:$I$88,3,0)*VLOOKUP('Données projet (1)'!$B$15,'Paramètres (1)'!$A$1:$I$88,5,0)</f>
        <v>#REF!</v>
      </c>
      <c r="EL134" s="130" t="str">
        <f t="shared" si="134"/>
        <v>#REF!</v>
      </c>
      <c r="EM134" s="141" t="str">
        <f t="shared" si="69"/>
        <v>#REF!</v>
      </c>
      <c r="EN134" s="133" t="str">
        <f t="shared" si="70"/>
        <v>#REF!</v>
      </c>
      <c r="EO134" s="133" t="str">
        <f t="shared" si="71"/>
        <v>#REF!</v>
      </c>
      <c r="EP134" s="133" t="str">
        <f t="shared" si="135"/>
        <v>#REF!</v>
      </c>
      <c r="EQ134" s="134" t="str">
        <f t="shared" si="72"/>
        <v>#REF!</v>
      </c>
      <c r="ER134" s="134" t="str">
        <f t="shared" si="73"/>
        <v>#REF!</v>
      </c>
      <c r="ES134" s="135" t="str">
        <f>IF(ISNA(VLOOKUP(A134,'Données projet (1)'!$A$191:$I$211,5,0)),0%,VLOOKUP(A134,'Données projet (1)'!$A$191:$I$211,5,0)*VLOOKUP('Données projet (1)'!$B$15,'Paramètres (1)'!$A$1:$I$88,7,0))</f>
        <v>#REF!</v>
      </c>
      <c r="ET134" s="135" t="str">
        <f>IF(ISNA(VLOOKUP(A134,'Données projet (1)'!$A$191:$I$211,6,0)),0%,VLOOKUP(A134,'Données projet (1)'!$A$191:$I$211,6,0)*VLOOKUP('Données projet (1)'!$B$15,'Paramètres (1)'!$A$1:$I$88,7,0))</f>
        <v>#REF!</v>
      </c>
      <c r="EU134" s="135" t="str">
        <f t="shared" si="74"/>
        <v>#REF!</v>
      </c>
      <c r="EV134" s="142" t="str">
        <f>EXP(-LN(2)/35)*EV133+(1-EXP(-LN(2)/35))/(LN(2)/35)*ER134*ES134*VLOOKUP('Données projet (1)'!$B$15,'Paramètres (1)'!$A$1:$I$88,3,0)*0.475*44/12</f>
        <v>#REF!</v>
      </c>
      <c r="EW134" s="142" t="str">
        <f>EXP(-LN(2)/25)*EW133+(1-EXP(-LN(2)/25))/(LN(2)/25)*'Calculateur (1)'!ER134*'Calculateur (1)'!ET134*VLOOKUP('Données projet (1)'!$B$15,'Paramètres (1)'!$A$1:$I$88,3,0)*0.475*44/12</f>
        <v>#REF!</v>
      </c>
      <c r="EX134" s="142" t="str">
        <f>EXP(-LN(2)/2)*EX133+(1-EXP(-LN(2)/2))/(LN(2)/2)*ER134*EU134*VLOOKUP('Données projet (1)'!$B$15,'Paramètres (1)'!$A$1:$I$88,3,0)*0.475*44/12</f>
        <v>#REF!</v>
      </c>
      <c r="EY134" s="143" t="str">
        <f t="shared" si="75"/>
        <v>#REF!</v>
      </c>
      <c r="EZ134" s="139" t="str">
        <f t="shared" si="76"/>
        <v>#REF!</v>
      </c>
      <c r="FA134" s="131">
        <f t="shared" si="77"/>
        <v>10</v>
      </c>
      <c r="FB134" s="131" t="str">
        <f t="shared" si="136"/>
        <v>#REF!</v>
      </c>
      <c r="FC134" s="131" t="str">
        <f t="shared" si="78"/>
        <v>#REF!</v>
      </c>
      <c r="FD134" s="131" t="str">
        <f t="array" ref="FD134">INDEX(FC:FC,MIN(IF(ISNUMBER(FC134:FC330),ROW(FC134:FC330),"")))</f>
        <v/>
      </c>
      <c r="FE134" s="131" t="str">
        <f t="shared" si="137"/>
        <v>#REF!</v>
      </c>
      <c r="FF134" s="138" t="str">
        <f>FE134*VLOOKUP('Données projet (1)'!$B$16,'Paramètres (1)'!$A$1:$I$88,3,0)*VLOOKUP('Données projet (1)'!$B$16,'Paramètres (1)'!$A$1:$I$88,5,0)</f>
        <v>#REF!</v>
      </c>
      <c r="FG134" s="130" t="str">
        <f t="shared" si="138"/>
        <v>#REF!</v>
      </c>
      <c r="FH134" s="141" t="str">
        <f t="shared" si="79"/>
        <v>#REF!</v>
      </c>
      <c r="FI134" s="133" t="str">
        <f t="shared" si="80"/>
        <v>#REF!</v>
      </c>
      <c r="FJ134" s="133" t="str">
        <f t="shared" si="81"/>
        <v>#REF!</v>
      </c>
      <c r="FK134" s="133" t="str">
        <f t="shared" si="139"/>
        <v>#REF!</v>
      </c>
      <c r="FL134" s="134" t="str">
        <f t="shared" si="82"/>
        <v>#REF!</v>
      </c>
      <c r="FM134" s="134" t="str">
        <f t="shared" si="83"/>
        <v>#REF!</v>
      </c>
      <c r="FN134" s="135" t="str">
        <f>IF(ISNA(VLOOKUP(A134,'Données projet (1)'!$A$217:$I$237,5,0)),0%,VLOOKUP(A134,'Données projet (1)'!$A$217:$I$237,5,0)*VLOOKUP('Données projet (1)'!$B$16,'Paramètres (1)'!$A$1:$I$88,7,0))</f>
        <v>#REF!</v>
      </c>
      <c r="FO134" s="135" t="str">
        <f>IF(ISNA(VLOOKUP(A134,'Données projet (1)'!$A$217:$I$237,6,0)),0%,VLOOKUP(A134,'Données projet (1)'!$A$217:$I$237,6,0)*VLOOKUP('Données projet (1)'!$B$16,'Paramètres (1)'!$A$1:$I$88,7,0))</f>
        <v>#REF!</v>
      </c>
      <c r="FP134" s="135" t="str">
        <f t="shared" si="84"/>
        <v>#REF!</v>
      </c>
      <c r="FQ134" s="142" t="str">
        <f>EXP(-LN(2)/35)*FQ133+(1-EXP(-LN(2)/35))/(LN(2)/35)*FM134*FN134*VLOOKUP('Données projet (1)'!$B$16,'Paramètres (1)'!$A$1:$I$88,3,0)*0.475*44/12</f>
        <v>#REF!</v>
      </c>
      <c r="FR134" s="142" t="str">
        <f>EXP(-LN(2)/25)*FR133+(1-EXP(-LN(2)/25))/(LN(2)/25)*'Calculateur (1)'!FM134*'Calculateur (1)'!FO134*VLOOKUP('Données projet (1)'!$B$16,'Paramètres (1)'!$A$1:$I$88,3,0)*0.475*44/12</f>
        <v>#REF!</v>
      </c>
      <c r="FS134" s="142" t="str">
        <f>EXP(-LN(2)/2)*FS133+(1-EXP(-LN(2)/2))/(LN(2)/2)*FM134*FP134*VLOOKUP('Données projet (1)'!$B$16,'Paramètres (1)'!$A$1:$I$88,3,0)*0.475*44/12</f>
        <v>#REF!</v>
      </c>
      <c r="FT134" s="143" t="str">
        <f t="shared" si="85"/>
        <v>#REF!</v>
      </c>
      <c r="FU134" s="139" t="str">
        <f t="shared" si="86"/>
        <v>#REF!</v>
      </c>
      <c r="FV134" s="131">
        <f t="shared" si="87"/>
        <v>10</v>
      </c>
      <c r="FW134" s="131" t="str">
        <f t="shared" si="140"/>
        <v>#REF!</v>
      </c>
      <c r="FX134" s="131" t="str">
        <f t="shared" si="88"/>
        <v>#REF!</v>
      </c>
      <c r="FY134" s="131" t="str">
        <f t="array" ref="FY134">INDEX(FX:FX,MIN(IF(ISNUMBER(FX134:FX330),ROW(FX134:FX330),"")))</f>
        <v/>
      </c>
      <c r="FZ134" s="131" t="str">
        <f t="shared" si="141"/>
        <v>#REF!</v>
      </c>
      <c r="GA134" s="138" t="str">
        <f>FZ134*VLOOKUP('Données projet (1)'!$B$17,'Paramètres (1)'!$A$1:$I$88,3,0)*VLOOKUP('Données projet (1)'!$B$17,'Paramètres (1)'!$A$1:$I$88,5,0)</f>
        <v>#REF!</v>
      </c>
      <c r="GB134" s="130" t="str">
        <f t="shared" si="142"/>
        <v>#REF!</v>
      </c>
      <c r="GC134" s="141" t="str">
        <f t="shared" si="89"/>
        <v>#REF!</v>
      </c>
      <c r="GD134" s="133" t="str">
        <f t="shared" si="90"/>
        <v>#REF!</v>
      </c>
      <c r="GE134" s="133" t="str">
        <f t="shared" si="91"/>
        <v>#REF!</v>
      </c>
      <c r="GF134" s="133" t="str">
        <f t="shared" si="143"/>
        <v>#REF!</v>
      </c>
      <c r="GG134" s="134" t="str">
        <f t="shared" si="92"/>
        <v>#REF!</v>
      </c>
      <c r="GH134" s="134" t="str">
        <f t="shared" si="93"/>
        <v>#REF!</v>
      </c>
      <c r="GI134" s="135" t="str">
        <f>IF(ISNA(VLOOKUP(A134,'Données projet (1)'!$A$243:$I$263,5,0)),0%,VLOOKUP(A134,'Données projet (1)'!$A$243:$I$263,5,0)*VLOOKUP('Données projet (1)'!$B$17,'Paramètres (1)'!$A$1:$I$88,7,0))</f>
        <v>#REF!</v>
      </c>
      <c r="GJ134" s="135" t="str">
        <f>IF(ISNA(VLOOKUP(A134,'Données projet (1)'!$A$243:$I$263,6,0)),0%,VLOOKUP(A134,'Données projet (1)'!$A$243:$I$263,6,0)*VLOOKUP('Données projet (1)'!$B$17,'Paramètres (1)'!$A$1:$I$88,7,0))</f>
        <v>#REF!</v>
      </c>
      <c r="GK134" s="135" t="str">
        <f t="shared" si="94"/>
        <v>#REF!</v>
      </c>
      <c r="GL134" s="142" t="str">
        <f>EXP(-LN(2)/35)*GL133+(1-EXP(-LN(2)/35))/(LN(2)/35)*GH134*GI134*VLOOKUP('Données projet (1)'!$B$17,'Paramètres (1)'!$A$1:$I$88,3,0)*0.475*44/12</f>
        <v>#REF!</v>
      </c>
      <c r="GM134" s="142" t="str">
        <f>EXP(-LN(2)/25)*GM133+(1-EXP(-LN(2)/25))/(LN(2)/25)*'Calculateur (1)'!GH134*'Calculateur (1)'!GJ134*VLOOKUP('Données projet (1)'!$B$17,'Paramètres (1)'!$A$1:$I$88,3,0)*0.475*44/12</f>
        <v>#REF!</v>
      </c>
      <c r="GN134" s="142" t="str">
        <f>EXP(-LN(2)/2)*GN133+(1-EXP(-LN(2)/2))/(LN(2)/2)*GH134*GK134*VLOOKUP('Données projet (1)'!$B$17,'Paramètres (1)'!$A$1:$I$88,3,0)*0.475*44/12</f>
        <v>#REF!</v>
      </c>
      <c r="GO134" s="142" t="str">
        <f t="shared" si="95"/>
        <v>#REF!</v>
      </c>
      <c r="GP134" s="139" t="str">
        <f t="shared" si="96"/>
        <v>#REF!</v>
      </c>
      <c r="GQ134" s="131">
        <f t="shared" si="97"/>
        <v>10</v>
      </c>
      <c r="GR134" s="131" t="str">
        <f t="shared" si="144"/>
        <v>#REF!</v>
      </c>
      <c r="GS134" s="131" t="str">
        <f t="shared" si="98"/>
        <v>#REF!</v>
      </c>
      <c r="GT134" s="131" t="str">
        <f t="array" ref="GT134">INDEX(GS:GS,MIN(IF(ISNUMBER(GS134:GS330),ROW(GS134:GS330),"")))</f>
        <v/>
      </c>
      <c r="GU134" s="131" t="str">
        <f t="shared" si="145"/>
        <v>#REF!</v>
      </c>
      <c r="GV134" s="138" t="str">
        <f>GU134*VLOOKUP('Données projet (1)'!$B$18,'Paramètres (1)'!$A$1:$I$88,3,0)*VLOOKUP('Données projet (1)'!$B$18,'Paramètres (1)'!$A$1:$I$88,5,0)</f>
        <v>#REF!</v>
      </c>
      <c r="GW134" s="130" t="str">
        <f t="shared" si="146"/>
        <v>#REF!</v>
      </c>
      <c r="GX134" s="141" t="str">
        <f t="shared" si="99"/>
        <v>#REF!</v>
      </c>
      <c r="GY134" s="133" t="str">
        <f t="shared" si="100"/>
        <v>#REF!</v>
      </c>
      <c r="GZ134" s="133" t="str">
        <f t="shared" si="101"/>
        <v>#REF!</v>
      </c>
      <c r="HA134" s="133" t="str">
        <f t="shared" si="147"/>
        <v>#REF!</v>
      </c>
      <c r="HB134" s="134" t="str">
        <f t="shared" si="102"/>
        <v>#REF!</v>
      </c>
      <c r="HC134" s="134" t="str">
        <f t="shared" si="103"/>
        <v>#REF!</v>
      </c>
      <c r="HD134" s="135" t="str">
        <f>IF(ISNA(VLOOKUP(A134,'Données projet (1)'!$A$269:$I$289,5,0)),0%,VLOOKUP(A134,'Données projet (1)'!$A$269:$I$289,5,0)*VLOOKUP('Données projet (1)'!$B$18,'Paramètres (1)'!$A$1:$I$88,7,0))</f>
        <v>#REF!</v>
      </c>
      <c r="HE134" s="135" t="str">
        <f>IF(ISNA(VLOOKUP(A134,'Données projet (1)'!$A$269:$I$289,6,0)),0%,VLOOKUP(A134,'Données projet (1)'!$A$269:$I$289,6,0)*VLOOKUP('Données projet (1)'!$B$18,'Paramètres (1)'!$A$1:$I$88,7,0))</f>
        <v>#REF!</v>
      </c>
      <c r="HF134" s="135" t="str">
        <f t="shared" si="104"/>
        <v>#REF!</v>
      </c>
      <c r="HG134" s="142" t="str">
        <f>EXP(-LN(2)/35)*HG133+(1-EXP(-LN(2)/35))/(LN(2)/35)*HC134*HD134*VLOOKUP('Données projet (1)'!$B$18,'Paramètres (1)'!$A$1:$I$88,3,0)*0.475*44/12</f>
        <v>#REF!</v>
      </c>
      <c r="HH134" s="142" t="str">
        <f>EXP(-LN(2)/25)*HH133+(1-EXP(-LN(2)/25))/(LN(2)/25)*'Calculateur (1)'!HC134*'Calculateur (1)'!HE134*VLOOKUP('Données projet (1)'!$B$18,'Paramètres (1)'!$A$1:$I$88,3,0)*0.475*44/12</f>
        <v>#REF!</v>
      </c>
      <c r="HI134" s="142" t="str">
        <f>EXP(-LN(2)/2)*HI133+(1-EXP(-LN(2)/2))/(LN(2)/2)*HC134*HF134*VLOOKUP('Données projet (1)'!$B$18,'Paramètres (1)'!$A$1:$I$88,3,0)*0.475*44/12</f>
        <v>#REF!</v>
      </c>
      <c r="HJ134" s="143" t="str">
        <f t="shared" si="105"/>
        <v>#REF!</v>
      </c>
    </row>
    <row r="135" ht="14.25" customHeight="1">
      <c r="A135" s="125">
        <f t="shared" si="106"/>
        <v>132</v>
      </c>
      <c r="B135" s="126" t="str">
        <f t="shared" si="1"/>
        <v>#REF!</v>
      </c>
      <c r="C135" s="140" t="str">
        <f>'Calculateur (1)'!C134+'Scénario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5" s="127">
        <f t="shared" si="107"/>
        <v>0</v>
      </c>
      <c r="E135" s="127" t="str">
        <f t="shared" si="2"/>
        <v>#REF!</v>
      </c>
      <c r="F135" s="127" t="str">
        <f t="shared" si="3"/>
        <v>#REF!</v>
      </c>
      <c r="G135" s="127" t="str">
        <f t="shared" si="4"/>
        <v>#REF!</v>
      </c>
      <c r="H135" s="128" t="str">
        <f t="shared" si="5"/>
        <v>#REF!</v>
      </c>
      <c r="I135" s="129" t="str">
        <f t="shared" si="6"/>
        <v>#REF!</v>
      </c>
      <c r="J135" s="130">
        <f t="shared" si="7"/>
        <v>10</v>
      </c>
      <c r="K135" s="131" t="str">
        <f t="shared" si="108"/>
        <v>#REF!</v>
      </c>
      <c r="L135" s="131" t="str">
        <f t="shared" si="8"/>
        <v>#REF!</v>
      </c>
      <c r="M135" s="131" t="str">
        <f t="array" ref="M135">INDEX(L:L,MIN(IF(ISNUMBER(L135:L331),ROW(L135:L331),"")))</f>
        <v/>
      </c>
      <c r="N135" s="130" t="str">
        <f t="shared" si="109"/>
        <v>#REF!</v>
      </c>
      <c r="O135" s="130" t="str">
        <f>N135*VLOOKUP('Données projet (1)'!$B$9,'Paramètres (1)'!$A$1:$I$88,3,0)*VLOOKUP('Données projet (1)'!$B$9,'Paramètres (1)'!$A$1:$I$88,5,0)</f>
        <v>#REF!</v>
      </c>
      <c r="P135" s="130" t="str">
        <f t="shared" si="110"/>
        <v>#REF!</v>
      </c>
      <c r="Q135" s="141" t="str">
        <f t="shared" si="9"/>
        <v>#REF!</v>
      </c>
      <c r="R135" s="133" t="str">
        <f t="shared" si="10"/>
        <v>#REF!</v>
      </c>
      <c r="S135" s="133" t="str">
        <f t="shared" si="11"/>
        <v>#REF!</v>
      </c>
      <c r="T135" s="133" t="str">
        <f t="shared" si="111"/>
        <v>#REF!</v>
      </c>
      <c r="U135" s="134" t="str">
        <f t="shared" si="12"/>
        <v>#REF!</v>
      </c>
      <c r="V135" s="134" t="str">
        <f t="shared" si="13"/>
        <v>#REF!</v>
      </c>
      <c r="W135" s="135" t="str">
        <f>IF(ISNA(VLOOKUP(A135,'Données projet (1)'!$A$35:$I$55,5,0)),0%,VLOOKUP(A135,'Données projet (1)'!$A$35:$I$55,5,0)*VLOOKUP('Données projet (1)'!$B$9,'Paramètres (1)'!$A$1:$I$88,7,0))</f>
        <v>#REF!</v>
      </c>
      <c r="X135" s="135" t="str">
        <f>IF(ISNA(VLOOKUP(A135,'Données projet (1)'!$A$35:$I$55,6,0)),0%,VLOOKUP(A135,'Données projet (1)'!$A$35:$I$55,6,0)*VLOOKUP('Données projet (1)'!$B$9,'Paramètres (1)'!$A$1:$I$88,7,0))</f>
        <v>#REF!</v>
      </c>
      <c r="Y135" s="135" t="str">
        <f t="shared" si="14"/>
        <v>#REF!</v>
      </c>
      <c r="Z135" s="142" t="str">
        <f>EXP(-LN(2)/35)*Z134+(1-EXP(-LN(2)/35))/(LN(2)/35)*V135*W135*VLOOKUP('Données projet (1)'!$B$9,'Paramètres (1)'!$A$1:$I$88,3,0)*0.475*44/12</f>
        <v>#REF!</v>
      </c>
      <c r="AA135" s="142" t="str">
        <f>EXP(-LN(2)/25)*AA134+(1-EXP(-LN(2)/25))/(LN(2)/25)*'Calculateur (1)'!V135*'Calculateur (1)'!X135*VLOOKUP('Données projet (1)'!$B$9,'Paramètres (1)'!$A$1:$I$88,3,0)*0.475*44/12</f>
        <v>#REF!</v>
      </c>
      <c r="AB135" s="142" t="str">
        <f>EXP(-LN(2)/2)*AB134+(1-EXP(-LN(2)/2))/(LN(2)/2)*V135*Y135*VLOOKUP('Données projet (1)'!$B$9,'Paramètres (1)'!$A$1:$I$88,3,0)*0.475*44/12</f>
        <v>#REF!</v>
      </c>
      <c r="AC135" s="143" t="str">
        <f t="shared" si="15"/>
        <v>#REF!</v>
      </c>
      <c r="AD135" s="130" t="str">
        <f t="shared" si="16"/>
        <v>#REF!</v>
      </c>
      <c r="AE135" s="130">
        <f t="shared" si="17"/>
        <v>10</v>
      </c>
      <c r="AF135" s="131" t="str">
        <f t="shared" si="112"/>
        <v>#REF!</v>
      </c>
      <c r="AG135" s="131" t="str">
        <f t="shared" si="18"/>
        <v>#REF!</v>
      </c>
      <c r="AH135" s="131" t="str">
        <f t="array" ref="AH135">INDEX(AG:AG,MIN(IF(ISNUMBER(AG135:AG331),ROW(AG135:AG331),"")))</f>
        <v/>
      </c>
      <c r="AI135" s="130" t="str">
        <f t="shared" si="113"/>
        <v>#REF!</v>
      </c>
      <c r="AJ135" s="130" t="str">
        <f>AI135*VLOOKUP('Données projet (1)'!$B$10,'Paramètres (1)'!$A$1:$I$88,3,0)*VLOOKUP('Données projet (1)'!$B$10,'Paramètres (1)'!$A$1:$I$88,5,0)</f>
        <v>#REF!</v>
      </c>
      <c r="AK135" s="130" t="str">
        <f t="shared" si="114"/>
        <v>#REF!</v>
      </c>
      <c r="AL135" s="141" t="str">
        <f t="shared" si="19"/>
        <v>#REF!</v>
      </c>
      <c r="AM135" s="133" t="str">
        <f t="shared" si="20"/>
        <v>#REF!</v>
      </c>
      <c r="AN135" s="133" t="str">
        <f t="shared" si="21"/>
        <v>#REF!</v>
      </c>
      <c r="AO135" s="133" t="str">
        <f t="shared" si="115"/>
        <v>#REF!</v>
      </c>
      <c r="AP135" s="134" t="str">
        <f t="shared" si="22"/>
        <v>#REF!</v>
      </c>
      <c r="AQ135" s="134" t="str">
        <f t="shared" si="23"/>
        <v>#REF!</v>
      </c>
      <c r="AR135" s="135" t="str">
        <f>IF(ISNA(VLOOKUP(A135,'Données projet (1)'!$A$61:$I$81,5,0)),0%,VLOOKUP(A135,'Données projet (1)'!$A$61:$I$81,5,0)*VLOOKUP('Données projet (1)'!$B$10,'Paramètres (1)'!$A$1:$I$88,7,0))</f>
        <v>#REF!</v>
      </c>
      <c r="AS135" s="135" t="str">
        <f>IF(ISNA(VLOOKUP(A135,'Données projet (1)'!$A$61:$I$81,6,0)),0%,VLOOKUP(A135,'Données projet (1)'!$A$61:$I$81,6,0)*VLOOKUP('Données projet (1)'!$B$10,'Paramètres (1)'!$A$1:$I$88,7,0))</f>
        <v>#REF!</v>
      </c>
      <c r="AT135" s="135" t="str">
        <f t="shared" si="24"/>
        <v>#REF!</v>
      </c>
      <c r="AU135" s="142" t="str">
        <f>EXP(-LN(2)/35)*AU134+(1-EXP(-LN(2)/35))/(LN(2)/35)*AQ135*AR135*VLOOKUP('Données projet (1)'!$B$10,'Paramètres (1)'!$A$1:$I$88,3,0)*0.475*44/12</f>
        <v>#REF!</v>
      </c>
      <c r="AV135" s="142" t="str">
        <f>EXP(-LN(2)/25)*AV134+(1-EXP(-LN(2)/25))/(LN(2)/25)*'Calculateur (1)'!AQ135*'Calculateur (1)'!AS135*VLOOKUP('Données projet (1)'!$B$10,'Paramètres (1)'!$A$1:$I$88,3,0)*0.475*44/12</f>
        <v>#REF!</v>
      </c>
      <c r="AW135" s="142" t="str">
        <f>EXP(-LN(2)/2)*AW134+(1-EXP(-LN(2)/2))/(LN(2)/2)*AQ135*AT135*VLOOKUP('Données projet (1)'!$B$10,'Paramètres (1)'!$A$1:$I$88,3,0)*0.475*44/12</f>
        <v>#REF!</v>
      </c>
      <c r="AX135" s="142" t="str">
        <f t="shared" si="25"/>
        <v>#REF!</v>
      </c>
      <c r="AY135" s="137" t="str">
        <f t="shared" si="26"/>
        <v>#REF!</v>
      </c>
      <c r="AZ135" s="131">
        <f t="shared" si="27"/>
        <v>10</v>
      </c>
      <c r="BA135" s="131" t="str">
        <f t="shared" si="116"/>
        <v>#REF!</v>
      </c>
      <c r="BB135" s="131" t="str">
        <f t="shared" si="28"/>
        <v>#REF!</v>
      </c>
      <c r="BC135" s="131" t="str">
        <f t="array" ref="BC135">INDEX(BB:BB,MIN(IF(ISNUMBER(BB135:BB331),ROW(BB135:BB331),"")))</f>
        <v/>
      </c>
      <c r="BD135" s="131" t="str">
        <f t="shared" si="117"/>
        <v>#REF!</v>
      </c>
      <c r="BE135" s="130" t="str">
        <f>BD135*VLOOKUP('Données projet (1)'!$B$11,'Paramètres (1)'!$A$1:$I$88,3,0)*VLOOKUP('Données projet (1)'!$B$11,'Paramètres (1)'!$A$1:$I$88,5,0)</f>
        <v>#REF!</v>
      </c>
      <c r="BF135" s="130" t="str">
        <f t="shared" si="118"/>
        <v>#REF!</v>
      </c>
      <c r="BG135" s="141" t="str">
        <f t="shared" si="29"/>
        <v>#REF!</v>
      </c>
      <c r="BH135" s="133" t="str">
        <f t="shared" si="30"/>
        <v>#REF!</v>
      </c>
      <c r="BI135" s="133" t="str">
        <f t="shared" si="31"/>
        <v>#REF!</v>
      </c>
      <c r="BJ135" s="133" t="str">
        <f t="shared" si="119"/>
        <v>#REF!</v>
      </c>
      <c r="BK135" s="134" t="str">
        <f t="shared" si="32"/>
        <v>#REF!</v>
      </c>
      <c r="BL135" s="134" t="str">
        <f t="shared" si="33"/>
        <v>#REF!</v>
      </c>
      <c r="BM135" s="135" t="str">
        <f>IF(ISNA(VLOOKUP(A135,'Données projet (1)'!$A$87:$I$107,5,0)),0%,VLOOKUP(A135,'Données projet (1)'!$A$87:$I$107,5,0)*VLOOKUP('Données projet (1)'!$B$11,'Paramètres (1)'!$A$1:$I$88,7,0))</f>
        <v>#REF!</v>
      </c>
      <c r="BN135" s="135" t="str">
        <f>IF(ISNA(VLOOKUP(A135,'Données projet (1)'!$A$87:$I$107,6,0)),0%,VLOOKUP(A135,'Données projet (1)'!$A$87:$I$107,6,0)*VLOOKUP('Données projet (1)'!$B$11,'Paramètres (1)'!$A$1:$I$88,7,0))</f>
        <v>#REF!</v>
      </c>
      <c r="BO135" s="135" t="str">
        <f t="shared" si="34"/>
        <v>#REF!</v>
      </c>
      <c r="BP135" s="142" t="str">
        <f>EXP(-LN(2)/35)*BP134+(1-EXP(-LN(2)/35))/(LN(2)/35)*BL135*BM135*VLOOKUP('Données projet (1)'!$B$11,'Paramètres (1)'!$A$1:$I$88,3,0)*0.475*44/12</f>
        <v>#REF!</v>
      </c>
      <c r="BQ135" s="142" t="str">
        <f>EXP(-LN(2)/25)*BQ134+(1-EXP(-LN(2)/25))/(LN(2)/25)*'Calculateur (1)'!BL135*'Calculateur (1)'!BN135*VLOOKUP('Données projet (1)'!$B$11,'Paramètres (1)'!$A$1:$I$88,3,0)*0.475*44/12</f>
        <v>#REF!</v>
      </c>
      <c r="BR135" s="142" t="str">
        <f>EXP(-LN(2)/2)*BR134+(1-EXP(-LN(2)/2))/(LN(2)/2)*BL135*BO135*VLOOKUP('Données projet (1)'!$B$11,'Paramètres (1)'!$A$1:$I$88,3,0)*0.475*44/12</f>
        <v>#REF!</v>
      </c>
      <c r="BS135" s="143" t="str">
        <f t="shared" si="35"/>
        <v>#REF!</v>
      </c>
      <c r="BT135" s="139" t="str">
        <f t="shared" si="36"/>
        <v>#REF!</v>
      </c>
      <c r="BU135" s="131">
        <f t="shared" si="37"/>
        <v>10</v>
      </c>
      <c r="BV135" s="131" t="str">
        <f t="shared" si="120"/>
        <v>#REF!</v>
      </c>
      <c r="BW135" s="131" t="str">
        <f t="shared" si="38"/>
        <v>#REF!</v>
      </c>
      <c r="BX135" s="131" t="str">
        <f t="array" ref="BX135">INDEX(BW:BW,MIN(IF(ISNUMBER(BW135:BW331),ROW(BW135:BW331),"")))</f>
        <v/>
      </c>
      <c r="BY135" s="131" t="str">
        <f t="shared" si="121"/>
        <v>#REF!</v>
      </c>
      <c r="BZ135" s="130" t="str">
        <f>BY135*VLOOKUP('Données projet (1)'!$B$12,'Paramètres (1)'!$A$1:$I$88,3,0)*VLOOKUP('Données projet (1)'!$B$12,'Paramètres (1)'!$A$1:$I$88,5,0)</f>
        <v>#REF!</v>
      </c>
      <c r="CA135" s="130" t="str">
        <f t="shared" si="122"/>
        <v>#REF!</v>
      </c>
      <c r="CB135" s="141" t="str">
        <f t="shared" si="39"/>
        <v>#REF!</v>
      </c>
      <c r="CC135" s="133" t="str">
        <f t="shared" si="40"/>
        <v>#REF!</v>
      </c>
      <c r="CD135" s="133" t="str">
        <f t="shared" si="41"/>
        <v>#REF!</v>
      </c>
      <c r="CE135" s="133" t="str">
        <f t="shared" si="123"/>
        <v>#REF!</v>
      </c>
      <c r="CF135" s="134" t="str">
        <f t="shared" si="42"/>
        <v>#REF!</v>
      </c>
      <c r="CG135" s="134" t="str">
        <f t="shared" si="43"/>
        <v>#REF!</v>
      </c>
      <c r="CH135" s="135" t="str">
        <f>IF(ISNA(VLOOKUP(A135,'Données projet (1)'!$A$113:$I$133,5,0)),0%,VLOOKUP(A135,'Données projet (1)'!$A$113:$I$133,5,0)*VLOOKUP('Données projet (1)'!$B$12,'Paramètres (1)'!$A$1:$I$88,7,0))</f>
        <v>#REF!</v>
      </c>
      <c r="CI135" s="135" t="str">
        <f>IF(ISNA(VLOOKUP(A135,'Données projet (1)'!$A$113:$I$133,6,0)),0%,VLOOKUP(A135,'Données projet (1)'!$A$113:$I$133,6,0)*VLOOKUP('Données projet (1)'!$B$12,'Paramètres (1)'!$A$1:$I$88,7,0))</f>
        <v>#REF!</v>
      </c>
      <c r="CJ135" s="135" t="str">
        <f t="shared" si="44"/>
        <v>#REF!</v>
      </c>
      <c r="CK135" s="142" t="str">
        <f>EXP(-LN(2)/35)*CK134+(1-EXP(-LN(2)/35))/(LN(2)/35)*CG135*CH135*VLOOKUP('Données projet (1)'!$B$12,'Paramètres (1)'!$A$1:$I$88,3,0)*0.475*44/12</f>
        <v>#REF!</v>
      </c>
      <c r="CL135" s="142" t="str">
        <f>EXP(-LN(2)/25)*CL134+(1-EXP(-LN(2)/25))/(LN(2)/25)*'Calculateur (1)'!CG135*'Calculateur (1)'!CI135*VLOOKUP('Données projet (1)'!$B$12,'Paramètres (1)'!$A$1:$I$88,3,0)*0.475*44/12</f>
        <v>#REF!</v>
      </c>
      <c r="CM135" s="142" t="str">
        <f>EXP(-LN(2)/2)*CM134+(1-EXP(-LN(2)/2))/(LN(2)/2)*CG135*CJ135*VLOOKUP('Données projet (1)'!$B$12,'Paramètres (1)'!$A$1:$I$88,3,0)*0.475*44/12</f>
        <v>#REF!</v>
      </c>
      <c r="CN135" s="143" t="str">
        <f t="shared" si="45"/>
        <v>#REF!</v>
      </c>
      <c r="CO135" s="139" t="str">
        <f t="shared" si="46"/>
        <v>#REF!</v>
      </c>
      <c r="CP135" s="131">
        <f t="shared" si="47"/>
        <v>10</v>
      </c>
      <c r="CQ135" s="131" t="str">
        <f t="shared" si="124"/>
        <v>#REF!</v>
      </c>
      <c r="CR135" s="131" t="str">
        <f t="shared" si="48"/>
        <v>#REF!</v>
      </c>
      <c r="CS135" s="131" t="str">
        <f t="array" ref="CS135">INDEX(CR:CR,MIN(IF(ISNUMBER(CR135:CR331),ROW(CR135:CR331),"")))</f>
        <v/>
      </c>
      <c r="CT135" s="131" t="str">
        <f t="shared" si="125"/>
        <v>#REF!</v>
      </c>
      <c r="CU135" s="138" t="str">
        <f>CT135*VLOOKUP('Données projet (1)'!$B$13,'Paramètres (1)'!$A$1:$I$88,3,0)*VLOOKUP('Données projet (1)'!$B$13,'Paramètres (1)'!$A$1:$I$88,5,0)</f>
        <v>#REF!</v>
      </c>
      <c r="CV135" s="130" t="str">
        <f t="shared" si="126"/>
        <v>#REF!</v>
      </c>
      <c r="CW135" s="141" t="str">
        <f t="shared" si="49"/>
        <v>#REF!</v>
      </c>
      <c r="CX135" s="133" t="str">
        <f t="shared" si="50"/>
        <v>#REF!</v>
      </c>
      <c r="CY135" s="133" t="str">
        <f t="shared" si="51"/>
        <v>#REF!</v>
      </c>
      <c r="CZ135" s="133" t="str">
        <f t="shared" si="127"/>
        <v>#REF!</v>
      </c>
      <c r="DA135" s="134" t="str">
        <f t="shared" si="52"/>
        <v>#REF!</v>
      </c>
      <c r="DB135" s="134" t="str">
        <f t="shared" si="53"/>
        <v>#REF!</v>
      </c>
      <c r="DC135" s="135" t="str">
        <f>IF(ISNA(VLOOKUP(A135,'Données projet (1)'!$A$139:$I$159,5,0)),0%,VLOOKUP(A135,'Données projet (1)'!$A$139:$I$159,5,0)*VLOOKUP('Données projet (1)'!$B$13,'Paramètres (1)'!$A$1:$I$88,7,0))</f>
        <v>#REF!</v>
      </c>
      <c r="DD135" s="135" t="str">
        <f>IF(ISNA(VLOOKUP(A135,'Données projet (1)'!$A$139:$I$159,6,0)),0%,VLOOKUP(A135,'Données projet (1)'!$A$139:$I$159,6,0)*VLOOKUP('Données projet (1)'!$B$13,'Paramètres (1)'!$A$1:$I$88,7,0))</f>
        <v>#REF!</v>
      </c>
      <c r="DE135" s="135" t="str">
        <f t="shared" si="54"/>
        <v>#REF!</v>
      </c>
      <c r="DF135" s="142" t="str">
        <f>EXP(-LN(2)/35)*DF134+(1-EXP(-LN(2)/35))/(LN(2)/35)*DB135*DC135*VLOOKUP('Données projet (1)'!$B$13,'Paramètres (1)'!$A$1:$I$88,3,0)*0.475*44/12</f>
        <v>#REF!</v>
      </c>
      <c r="DG135" s="142" t="str">
        <f>EXP(-LN(2)/25)*DG134+(1-EXP(-LN(2)/25))/(LN(2)/25)*'Calculateur (1)'!DB135*'Calculateur (1)'!DD135*VLOOKUP('Données projet (1)'!$B$13,'Paramètres (1)'!$A$1:$I$88,3,0)*0.475*44/12</f>
        <v>#REF!</v>
      </c>
      <c r="DH135" s="142" t="str">
        <f>EXP(-LN(2)/2)*DH134+(1-EXP(-LN(2)/2))/(LN(2)/2)*DB135*DE135*VLOOKUP('Données projet (1)'!$B$13,'Paramètres (1)'!$A$1:$I$88,3,0)*0.475*44/12</f>
        <v>#REF!</v>
      </c>
      <c r="DI135" s="143" t="str">
        <f t="shared" si="55"/>
        <v>#REF!</v>
      </c>
      <c r="DJ135" s="139" t="str">
        <f t="shared" si="56"/>
        <v>#REF!</v>
      </c>
      <c r="DK135" s="131">
        <f t="shared" si="57"/>
        <v>10</v>
      </c>
      <c r="DL135" s="131" t="str">
        <f t="shared" si="128"/>
        <v>#REF!</v>
      </c>
      <c r="DM135" s="131" t="str">
        <f t="shared" si="58"/>
        <v>#REF!</v>
      </c>
      <c r="DN135" s="131" t="str">
        <f t="array" ref="DN135">INDEX(DM:DM,MIN(IF(ISNUMBER(DM135:DM331),ROW(DM135:DM331),"")))</f>
        <v/>
      </c>
      <c r="DO135" s="131" t="str">
        <f t="shared" si="129"/>
        <v>#REF!</v>
      </c>
      <c r="DP135" s="138" t="str">
        <f>DO135*VLOOKUP('Données projet (1)'!$B$14,'Paramètres (1)'!$A$1:$I$88,3,0)*VLOOKUP('Données projet (1)'!$B$14,'Paramètres (1)'!$A$1:$I$88,5,0)</f>
        <v>#REF!</v>
      </c>
      <c r="DQ135" s="130" t="str">
        <f t="shared" si="130"/>
        <v>#REF!</v>
      </c>
      <c r="DR135" s="141" t="str">
        <f t="shared" si="59"/>
        <v>#REF!</v>
      </c>
      <c r="DS135" s="133" t="str">
        <f t="shared" si="60"/>
        <v>#REF!</v>
      </c>
      <c r="DT135" s="133" t="str">
        <f t="shared" si="61"/>
        <v>#REF!</v>
      </c>
      <c r="DU135" s="133" t="str">
        <f t="shared" si="131"/>
        <v>#REF!</v>
      </c>
      <c r="DV135" s="134" t="str">
        <f t="shared" si="62"/>
        <v>#REF!</v>
      </c>
      <c r="DW135" s="134" t="str">
        <f t="shared" si="63"/>
        <v>#REF!</v>
      </c>
      <c r="DX135" s="135" t="str">
        <f>IF(ISNA(VLOOKUP(A135,'Données projet (1)'!$A$165:$I$185,5,0)),0%,VLOOKUP(A135,'Données projet (1)'!$A$165:$I$185,5,0)*VLOOKUP('Données projet (1)'!$B$14,'Paramètres (1)'!$A$1:$I$88,7,0))</f>
        <v>#REF!</v>
      </c>
      <c r="DY135" s="135" t="str">
        <f>IF(ISNA(VLOOKUP(A135,'Données projet (1)'!$A$165:$I$185,6,0)),0%,VLOOKUP(A135,'Données projet (1)'!$A$165:$I$185,6,0)*VLOOKUP('Données projet (1)'!$B$14,'Paramètres (1)'!$A$1:$I$88,7,0))</f>
        <v>#REF!</v>
      </c>
      <c r="DZ135" s="135" t="str">
        <f t="shared" si="64"/>
        <v>#REF!</v>
      </c>
      <c r="EA135" s="142" t="str">
        <f>EXP(-LN(2)/35)*EA134+(1-EXP(-LN(2)/35))/(LN(2)/35)*DW135*DX135*VLOOKUP('Données projet (1)'!$B$14,'Paramètres (1)'!$A$1:$I$88,3,0)*0.475*44/12</f>
        <v>#REF!</v>
      </c>
      <c r="EB135" s="142" t="str">
        <f>EXP(-LN(2)/25)*EB134+(1-EXP(-LN(2)/25))/(LN(2)/25)*'Calculateur (1)'!DW135*'Calculateur (1)'!DY135*VLOOKUP('Données projet (1)'!$B$14,'Paramètres (1)'!$A$1:$I$88,3,0)*0.475*44/12</f>
        <v>#REF!</v>
      </c>
      <c r="EC135" s="142" t="str">
        <f>EXP(-LN(2)/2)*EC134+(1-EXP(-LN(2)/2))/(LN(2)/2)*DW135*DZ135*VLOOKUP('Données projet (1)'!$B$14,'Paramètres (1)'!$A$1:$I$88,3,0)*0.475*44/12</f>
        <v>#REF!</v>
      </c>
      <c r="ED135" s="143" t="str">
        <f t="shared" si="65"/>
        <v>#REF!</v>
      </c>
      <c r="EE135" s="139" t="str">
        <f t="shared" si="66"/>
        <v>#REF!</v>
      </c>
      <c r="EF135" s="131">
        <f t="shared" si="67"/>
        <v>10</v>
      </c>
      <c r="EG135" s="131" t="str">
        <f t="shared" si="132"/>
        <v>#REF!</v>
      </c>
      <c r="EH135" s="131" t="str">
        <f t="shared" si="68"/>
        <v>#REF!</v>
      </c>
      <c r="EI135" s="131" t="str">
        <f t="array" ref="EI135">INDEX(EH:EH,MIN(IF(ISNUMBER(EH135:EH331),ROW(EH135:EH331),"")))</f>
        <v/>
      </c>
      <c r="EJ135" s="131" t="str">
        <f t="shared" si="133"/>
        <v>#REF!</v>
      </c>
      <c r="EK135" s="138" t="str">
        <f>EJ135*VLOOKUP('Données projet (1)'!$B$15,'Paramètres (1)'!$A$1:$I$88,3,0)*VLOOKUP('Données projet (1)'!$B$15,'Paramètres (1)'!$A$1:$I$88,5,0)</f>
        <v>#REF!</v>
      </c>
      <c r="EL135" s="130" t="str">
        <f t="shared" si="134"/>
        <v>#REF!</v>
      </c>
      <c r="EM135" s="141" t="str">
        <f t="shared" si="69"/>
        <v>#REF!</v>
      </c>
      <c r="EN135" s="133" t="str">
        <f t="shared" si="70"/>
        <v>#REF!</v>
      </c>
      <c r="EO135" s="133" t="str">
        <f t="shared" si="71"/>
        <v>#REF!</v>
      </c>
      <c r="EP135" s="133" t="str">
        <f t="shared" si="135"/>
        <v>#REF!</v>
      </c>
      <c r="EQ135" s="134" t="str">
        <f t="shared" si="72"/>
        <v>#REF!</v>
      </c>
      <c r="ER135" s="134" t="str">
        <f t="shared" si="73"/>
        <v>#REF!</v>
      </c>
      <c r="ES135" s="135" t="str">
        <f>IF(ISNA(VLOOKUP(A135,'Données projet (1)'!$A$191:$I$211,5,0)),0%,VLOOKUP(A135,'Données projet (1)'!$A$191:$I$211,5,0)*VLOOKUP('Données projet (1)'!$B$15,'Paramètres (1)'!$A$1:$I$88,7,0))</f>
        <v>#REF!</v>
      </c>
      <c r="ET135" s="135" t="str">
        <f>IF(ISNA(VLOOKUP(A135,'Données projet (1)'!$A$191:$I$211,6,0)),0%,VLOOKUP(A135,'Données projet (1)'!$A$191:$I$211,6,0)*VLOOKUP('Données projet (1)'!$B$15,'Paramètres (1)'!$A$1:$I$88,7,0))</f>
        <v>#REF!</v>
      </c>
      <c r="EU135" s="135" t="str">
        <f t="shared" si="74"/>
        <v>#REF!</v>
      </c>
      <c r="EV135" s="142" t="str">
        <f>EXP(-LN(2)/35)*EV134+(1-EXP(-LN(2)/35))/(LN(2)/35)*ER135*ES135*VLOOKUP('Données projet (1)'!$B$15,'Paramètres (1)'!$A$1:$I$88,3,0)*0.475*44/12</f>
        <v>#REF!</v>
      </c>
      <c r="EW135" s="142" t="str">
        <f>EXP(-LN(2)/25)*EW134+(1-EXP(-LN(2)/25))/(LN(2)/25)*'Calculateur (1)'!ER135*'Calculateur (1)'!ET135*VLOOKUP('Données projet (1)'!$B$15,'Paramètres (1)'!$A$1:$I$88,3,0)*0.475*44/12</f>
        <v>#REF!</v>
      </c>
      <c r="EX135" s="142" t="str">
        <f>EXP(-LN(2)/2)*EX134+(1-EXP(-LN(2)/2))/(LN(2)/2)*ER135*EU135*VLOOKUP('Données projet (1)'!$B$15,'Paramètres (1)'!$A$1:$I$88,3,0)*0.475*44/12</f>
        <v>#REF!</v>
      </c>
      <c r="EY135" s="143" t="str">
        <f t="shared" si="75"/>
        <v>#REF!</v>
      </c>
      <c r="EZ135" s="139" t="str">
        <f t="shared" si="76"/>
        <v>#REF!</v>
      </c>
      <c r="FA135" s="131">
        <f t="shared" si="77"/>
        <v>10</v>
      </c>
      <c r="FB135" s="131" t="str">
        <f t="shared" si="136"/>
        <v>#REF!</v>
      </c>
      <c r="FC135" s="131" t="str">
        <f t="shared" si="78"/>
        <v>#REF!</v>
      </c>
      <c r="FD135" s="131" t="str">
        <f t="array" ref="FD135">INDEX(FC:FC,MIN(IF(ISNUMBER(FC135:FC331),ROW(FC135:FC331),"")))</f>
        <v/>
      </c>
      <c r="FE135" s="131" t="str">
        <f t="shared" si="137"/>
        <v>#REF!</v>
      </c>
      <c r="FF135" s="138" t="str">
        <f>FE135*VLOOKUP('Données projet (1)'!$B$16,'Paramètres (1)'!$A$1:$I$88,3,0)*VLOOKUP('Données projet (1)'!$B$16,'Paramètres (1)'!$A$1:$I$88,5,0)</f>
        <v>#REF!</v>
      </c>
      <c r="FG135" s="130" t="str">
        <f t="shared" si="138"/>
        <v>#REF!</v>
      </c>
      <c r="FH135" s="141" t="str">
        <f t="shared" si="79"/>
        <v>#REF!</v>
      </c>
      <c r="FI135" s="133" t="str">
        <f t="shared" si="80"/>
        <v>#REF!</v>
      </c>
      <c r="FJ135" s="133" t="str">
        <f t="shared" si="81"/>
        <v>#REF!</v>
      </c>
      <c r="FK135" s="133" t="str">
        <f t="shared" si="139"/>
        <v>#REF!</v>
      </c>
      <c r="FL135" s="134" t="str">
        <f t="shared" si="82"/>
        <v>#REF!</v>
      </c>
      <c r="FM135" s="134" t="str">
        <f t="shared" si="83"/>
        <v>#REF!</v>
      </c>
      <c r="FN135" s="135" t="str">
        <f>IF(ISNA(VLOOKUP(A135,'Données projet (1)'!$A$217:$I$237,5,0)),0%,VLOOKUP(A135,'Données projet (1)'!$A$217:$I$237,5,0)*VLOOKUP('Données projet (1)'!$B$16,'Paramètres (1)'!$A$1:$I$88,7,0))</f>
        <v>#REF!</v>
      </c>
      <c r="FO135" s="135" t="str">
        <f>IF(ISNA(VLOOKUP(A135,'Données projet (1)'!$A$217:$I$237,6,0)),0%,VLOOKUP(A135,'Données projet (1)'!$A$217:$I$237,6,0)*VLOOKUP('Données projet (1)'!$B$16,'Paramètres (1)'!$A$1:$I$88,7,0))</f>
        <v>#REF!</v>
      </c>
      <c r="FP135" s="135" t="str">
        <f t="shared" si="84"/>
        <v>#REF!</v>
      </c>
      <c r="FQ135" s="142" t="str">
        <f>EXP(-LN(2)/35)*FQ134+(1-EXP(-LN(2)/35))/(LN(2)/35)*FM135*FN135*VLOOKUP('Données projet (1)'!$B$16,'Paramètres (1)'!$A$1:$I$88,3,0)*0.475*44/12</f>
        <v>#REF!</v>
      </c>
      <c r="FR135" s="142" t="str">
        <f>EXP(-LN(2)/25)*FR134+(1-EXP(-LN(2)/25))/(LN(2)/25)*'Calculateur (1)'!FM135*'Calculateur (1)'!FO135*VLOOKUP('Données projet (1)'!$B$16,'Paramètres (1)'!$A$1:$I$88,3,0)*0.475*44/12</f>
        <v>#REF!</v>
      </c>
      <c r="FS135" s="142" t="str">
        <f>EXP(-LN(2)/2)*FS134+(1-EXP(-LN(2)/2))/(LN(2)/2)*FM135*FP135*VLOOKUP('Données projet (1)'!$B$16,'Paramètres (1)'!$A$1:$I$88,3,0)*0.475*44/12</f>
        <v>#REF!</v>
      </c>
      <c r="FT135" s="143" t="str">
        <f t="shared" si="85"/>
        <v>#REF!</v>
      </c>
      <c r="FU135" s="139" t="str">
        <f t="shared" si="86"/>
        <v>#REF!</v>
      </c>
      <c r="FV135" s="131">
        <f t="shared" si="87"/>
        <v>10</v>
      </c>
      <c r="FW135" s="131" t="str">
        <f t="shared" si="140"/>
        <v>#REF!</v>
      </c>
      <c r="FX135" s="131" t="str">
        <f t="shared" si="88"/>
        <v>#REF!</v>
      </c>
      <c r="FY135" s="131" t="str">
        <f t="array" ref="FY135">INDEX(FX:FX,MIN(IF(ISNUMBER(FX135:FX331),ROW(FX135:FX331),"")))</f>
        <v/>
      </c>
      <c r="FZ135" s="131" t="str">
        <f t="shared" si="141"/>
        <v>#REF!</v>
      </c>
      <c r="GA135" s="138" t="str">
        <f>FZ135*VLOOKUP('Données projet (1)'!$B$17,'Paramètres (1)'!$A$1:$I$88,3,0)*VLOOKUP('Données projet (1)'!$B$17,'Paramètres (1)'!$A$1:$I$88,5,0)</f>
        <v>#REF!</v>
      </c>
      <c r="GB135" s="130" t="str">
        <f t="shared" si="142"/>
        <v>#REF!</v>
      </c>
      <c r="GC135" s="141" t="str">
        <f t="shared" si="89"/>
        <v>#REF!</v>
      </c>
      <c r="GD135" s="133" t="str">
        <f t="shared" si="90"/>
        <v>#REF!</v>
      </c>
      <c r="GE135" s="133" t="str">
        <f t="shared" si="91"/>
        <v>#REF!</v>
      </c>
      <c r="GF135" s="133" t="str">
        <f t="shared" si="143"/>
        <v>#REF!</v>
      </c>
      <c r="GG135" s="134" t="str">
        <f t="shared" si="92"/>
        <v>#REF!</v>
      </c>
      <c r="GH135" s="134" t="str">
        <f t="shared" si="93"/>
        <v>#REF!</v>
      </c>
      <c r="GI135" s="135" t="str">
        <f>IF(ISNA(VLOOKUP(A135,'Données projet (1)'!$A$243:$I$263,5,0)),0%,VLOOKUP(A135,'Données projet (1)'!$A$243:$I$263,5,0)*VLOOKUP('Données projet (1)'!$B$17,'Paramètres (1)'!$A$1:$I$88,7,0))</f>
        <v>#REF!</v>
      </c>
      <c r="GJ135" s="135" t="str">
        <f>IF(ISNA(VLOOKUP(A135,'Données projet (1)'!$A$243:$I$263,6,0)),0%,VLOOKUP(A135,'Données projet (1)'!$A$243:$I$263,6,0)*VLOOKUP('Données projet (1)'!$B$17,'Paramètres (1)'!$A$1:$I$88,7,0))</f>
        <v>#REF!</v>
      </c>
      <c r="GK135" s="135" t="str">
        <f t="shared" si="94"/>
        <v>#REF!</v>
      </c>
      <c r="GL135" s="142" t="str">
        <f>EXP(-LN(2)/35)*GL134+(1-EXP(-LN(2)/35))/(LN(2)/35)*GH135*GI135*VLOOKUP('Données projet (1)'!$B$17,'Paramètres (1)'!$A$1:$I$88,3,0)*0.475*44/12</f>
        <v>#REF!</v>
      </c>
      <c r="GM135" s="142" t="str">
        <f>EXP(-LN(2)/25)*GM134+(1-EXP(-LN(2)/25))/(LN(2)/25)*'Calculateur (1)'!GH135*'Calculateur (1)'!GJ135*VLOOKUP('Données projet (1)'!$B$17,'Paramètres (1)'!$A$1:$I$88,3,0)*0.475*44/12</f>
        <v>#REF!</v>
      </c>
      <c r="GN135" s="142" t="str">
        <f>EXP(-LN(2)/2)*GN134+(1-EXP(-LN(2)/2))/(LN(2)/2)*GH135*GK135*VLOOKUP('Données projet (1)'!$B$17,'Paramètres (1)'!$A$1:$I$88,3,0)*0.475*44/12</f>
        <v>#REF!</v>
      </c>
      <c r="GO135" s="142" t="str">
        <f t="shared" si="95"/>
        <v>#REF!</v>
      </c>
      <c r="GP135" s="139" t="str">
        <f t="shared" si="96"/>
        <v>#REF!</v>
      </c>
      <c r="GQ135" s="131">
        <f t="shared" si="97"/>
        <v>10</v>
      </c>
      <c r="GR135" s="131" t="str">
        <f t="shared" si="144"/>
        <v>#REF!</v>
      </c>
      <c r="GS135" s="131" t="str">
        <f t="shared" si="98"/>
        <v>#REF!</v>
      </c>
      <c r="GT135" s="131" t="str">
        <f t="array" ref="GT135">INDEX(GS:GS,MIN(IF(ISNUMBER(GS135:GS331),ROW(GS135:GS331),"")))</f>
        <v/>
      </c>
      <c r="GU135" s="131" t="str">
        <f t="shared" si="145"/>
        <v>#REF!</v>
      </c>
      <c r="GV135" s="138" t="str">
        <f>GU135*VLOOKUP('Données projet (1)'!$B$18,'Paramètres (1)'!$A$1:$I$88,3,0)*VLOOKUP('Données projet (1)'!$B$18,'Paramètres (1)'!$A$1:$I$88,5,0)</f>
        <v>#REF!</v>
      </c>
      <c r="GW135" s="130" t="str">
        <f t="shared" si="146"/>
        <v>#REF!</v>
      </c>
      <c r="GX135" s="141" t="str">
        <f t="shared" si="99"/>
        <v>#REF!</v>
      </c>
      <c r="GY135" s="133" t="str">
        <f t="shared" si="100"/>
        <v>#REF!</v>
      </c>
      <c r="GZ135" s="133" t="str">
        <f t="shared" si="101"/>
        <v>#REF!</v>
      </c>
      <c r="HA135" s="133" t="str">
        <f t="shared" si="147"/>
        <v>#REF!</v>
      </c>
      <c r="HB135" s="134" t="str">
        <f t="shared" si="102"/>
        <v>#REF!</v>
      </c>
      <c r="HC135" s="134" t="str">
        <f t="shared" si="103"/>
        <v>#REF!</v>
      </c>
      <c r="HD135" s="135" t="str">
        <f>IF(ISNA(VLOOKUP(A135,'Données projet (1)'!$A$269:$I$289,5,0)),0%,VLOOKUP(A135,'Données projet (1)'!$A$269:$I$289,5,0)*VLOOKUP('Données projet (1)'!$B$18,'Paramètres (1)'!$A$1:$I$88,7,0))</f>
        <v>#REF!</v>
      </c>
      <c r="HE135" s="135" t="str">
        <f>IF(ISNA(VLOOKUP(A135,'Données projet (1)'!$A$269:$I$289,6,0)),0%,VLOOKUP(A135,'Données projet (1)'!$A$269:$I$289,6,0)*VLOOKUP('Données projet (1)'!$B$18,'Paramètres (1)'!$A$1:$I$88,7,0))</f>
        <v>#REF!</v>
      </c>
      <c r="HF135" s="135" t="str">
        <f t="shared" si="104"/>
        <v>#REF!</v>
      </c>
      <c r="HG135" s="142" t="str">
        <f>EXP(-LN(2)/35)*HG134+(1-EXP(-LN(2)/35))/(LN(2)/35)*HC135*HD135*VLOOKUP('Données projet (1)'!$B$18,'Paramètres (1)'!$A$1:$I$88,3,0)*0.475*44/12</f>
        <v>#REF!</v>
      </c>
      <c r="HH135" s="142" t="str">
        <f>EXP(-LN(2)/25)*HH134+(1-EXP(-LN(2)/25))/(LN(2)/25)*'Calculateur (1)'!HC135*'Calculateur (1)'!HE135*VLOOKUP('Données projet (1)'!$B$18,'Paramètres (1)'!$A$1:$I$88,3,0)*0.475*44/12</f>
        <v>#REF!</v>
      </c>
      <c r="HI135" s="142" t="str">
        <f>EXP(-LN(2)/2)*HI134+(1-EXP(-LN(2)/2))/(LN(2)/2)*HC135*HF135*VLOOKUP('Données projet (1)'!$B$18,'Paramètres (1)'!$A$1:$I$88,3,0)*0.475*44/12</f>
        <v>#REF!</v>
      </c>
      <c r="HJ135" s="143" t="str">
        <f t="shared" si="105"/>
        <v>#REF!</v>
      </c>
    </row>
    <row r="136" ht="14.25" customHeight="1">
      <c r="A136" s="125">
        <f t="shared" si="106"/>
        <v>133</v>
      </c>
      <c r="B136" s="126" t="str">
        <f t="shared" si="1"/>
        <v>#REF!</v>
      </c>
      <c r="C136" s="140" t="str">
        <f>'Calculateur (1)'!C135+'Scénario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6" s="127">
        <f t="shared" si="107"/>
        <v>0</v>
      </c>
      <c r="E136" s="127" t="str">
        <f t="shared" si="2"/>
        <v>#REF!</v>
      </c>
      <c r="F136" s="127" t="str">
        <f t="shared" si="3"/>
        <v>#REF!</v>
      </c>
      <c r="G136" s="127" t="str">
        <f t="shared" si="4"/>
        <v>#REF!</v>
      </c>
      <c r="H136" s="128" t="str">
        <f t="shared" si="5"/>
        <v>#REF!</v>
      </c>
      <c r="I136" s="129" t="str">
        <f t="shared" si="6"/>
        <v>#REF!</v>
      </c>
      <c r="J136" s="130">
        <f t="shared" si="7"/>
        <v>10</v>
      </c>
      <c r="K136" s="131" t="str">
        <f t="shared" si="108"/>
        <v>#REF!</v>
      </c>
      <c r="L136" s="131" t="str">
        <f t="shared" si="8"/>
        <v>#REF!</v>
      </c>
      <c r="M136" s="131" t="str">
        <f t="array" ref="M136">INDEX(L:L,MIN(IF(ISNUMBER(L136:L332),ROW(L136:L332),"")))</f>
        <v/>
      </c>
      <c r="N136" s="130" t="str">
        <f t="shared" si="109"/>
        <v>#REF!</v>
      </c>
      <c r="O136" s="130" t="str">
        <f>N136*VLOOKUP('Données projet (1)'!$B$9,'Paramètres (1)'!$A$1:$I$88,3,0)*VLOOKUP('Données projet (1)'!$B$9,'Paramètres (1)'!$A$1:$I$88,5,0)</f>
        <v>#REF!</v>
      </c>
      <c r="P136" s="130" t="str">
        <f t="shared" si="110"/>
        <v>#REF!</v>
      </c>
      <c r="Q136" s="141" t="str">
        <f t="shared" si="9"/>
        <v>#REF!</v>
      </c>
      <c r="R136" s="133" t="str">
        <f t="shared" si="10"/>
        <v>#REF!</v>
      </c>
      <c r="S136" s="133" t="str">
        <f t="shared" si="11"/>
        <v>#REF!</v>
      </c>
      <c r="T136" s="133" t="str">
        <f t="shared" si="111"/>
        <v>#REF!</v>
      </c>
      <c r="U136" s="134" t="str">
        <f t="shared" si="12"/>
        <v>#REF!</v>
      </c>
      <c r="V136" s="134" t="str">
        <f t="shared" si="13"/>
        <v>#REF!</v>
      </c>
      <c r="W136" s="135" t="str">
        <f>IF(ISNA(VLOOKUP(A136,'Données projet (1)'!$A$35:$I$55,5,0)),0%,VLOOKUP(A136,'Données projet (1)'!$A$35:$I$55,5,0)*VLOOKUP('Données projet (1)'!$B$9,'Paramètres (1)'!$A$1:$I$88,7,0))</f>
        <v>#REF!</v>
      </c>
      <c r="X136" s="135" t="str">
        <f>IF(ISNA(VLOOKUP(A136,'Données projet (1)'!$A$35:$I$55,6,0)),0%,VLOOKUP(A136,'Données projet (1)'!$A$35:$I$55,6,0)*VLOOKUP('Données projet (1)'!$B$9,'Paramètres (1)'!$A$1:$I$88,7,0))</f>
        <v>#REF!</v>
      </c>
      <c r="Y136" s="135" t="str">
        <f t="shared" si="14"/>
        <v>#REF!</v>
      </c>
      <c r="Z136" s="142" t="str">
        <f>EXP(-LN(2)/35)*Z135+(1-EXP(-LN(2)/35))/(LN(2)/35)*V136*W136*VLOOKUP('Données projet (1)'!$B$9,'Paramètres (1)'!$A$1:$I$88,3,0)*0.475*44/12</f>
        <v>#REF!</v>
      </c>
      <c r="AA136" s="142" t="str">
        <f>EXP(-LN(2)/25)*AA135+(1-EXP(-LN(2)/25))/(LN(2)/25)*'Calculateur (1)'!V136*'Calculateur (1)'!X136*VLOOKUP('Données projet (1)'!$B$9,'Paramètres (1)'!$A$1:$I$88,3,0)*0.475*44/12</f>
        <v>#REF!</v>
      </c>
      <c r="AB136" s="142" t="str">
        <f>EXP(-LN(2)/2)*AB135+(1-EXP(-LN(2)/2))/(LN(2)/2)*V136*Y136*VLOOKUP('Données projet (1)'!$B$9,'Paramètres (1)'!$A$1:$I$88,3,0)*0.475*44/12</f>
        <v>#REF!</v>
      </c>
      <c r="AC136" s="143" t="str">
        <f t="shared" si="15"/>
        <v>#REF!</v>
      </c>
      <c r="AD136" s="130" t="str">
        <f t="shared" si="16"/>
        <v>#REF!</v>
      </c>
      <c r="AE136" s="130">
        <f t="shared" si="17"/>
        <v>10</v>
      </c>
      <c r="AF136" s="131" t="str">
        <f t="shared" si="112"/>
        <v>#REF!</v>
      </c>
      <c r="AG136" s="131" t="str">
        <f t="shared" si="18"/>
        <v>#REF!</v>
      </c>
      <c r="AH136" s="131" t="str">
        <f t="array" ref="AH136">INDEX(AG:AG,MIN(IF(ISNUMBER(AG136:AG332),ROW(AG136:AG332),"")))</f>
        <v/>
      </c>
      <c r="AI136" s="130" t="str">
        <f t="shared" si="113"/>
        <v>#REF!</v>
      </c>
      <c r="AJ136" s="130" t="str">
        <f>AI136*VLOOKUP('Données projet (1)'!$B$10,'Paramètres (1)'!$A$1:$I$88,3,0)*VLOOKUP('Données projet (1)'!$B$10,'Paramètres (1)'!$A$1:$I$88,5,0)</f>
        <v>#REF!</v>
      </c>
      <c r="AK136" s="130" t="str">
        <f t="shared" si="114"/>
        <v>#REF!</v>
      </c>
      <c r="AL136" s="141" t="str">
        <f t="shared" si="19"/>
        <v>#REF!</v>
      </c>
      <c r="AM136" s="133" t="str">
        <f t="shared" si="20"/>
        <v>#REF!</v>
      </c>
      <c r="AN136" s="133" t="str">
        <f t="shared" si="21"/>
        <v>#REF!</v>
      </c>
      <c r="AO136" s="133" t="str">
        <f t="shared" si="115"/>
        <v>#REF!</v>
      </c>
      <c r="AP136" s="134" t="str">
        <f t="shared" si="22"/>
        <v>#REF!</v>
      </c>
      <c r="AQ136" s="134" t="str">
        <f t="shared" si="23"/>
        <v>#REF!</v>
      </c>
      <c r="AR136" s="135" t="str">
        <f>IF(ISNA(VLOOKUP(A136,'Données projet (1)'!$A$61:$I$81,5,0)),0%,VLOOKUP(A136,'Données projet (1)'!$A$61:$I$81,5,0)*VLOOKUP('Données projet (1)'!$B$10,'Paramètres (1)'!$A$1:$I$88,7,0))</f>
        <v>#REF!</v>
      </c>
      <c r="AS136" s="135" t="str">
        <f>IF(ISNA(VLOOKUP(A136,'Données projet (1)'!$A$61:$I$81,6,0)),0%,VLOOKUP(A136,'Données projet (1)'!$A$61:$I$81,6,0)*VLOOKUP('Données projet (1)'!$B$10,'Paramètres (1)'!$A$1:$I$88,7,0))</f>
        <v>#REF!</v>
      </c>
      <c r="AT136" s="135" t="str">
        <f t="shared" si="24"/>
        <v>#REF!</v>
      </c>
      <c r="AU136" s="142" t="str">
        <f>EXP(-LN(2)/35)*AU135+(1-EXP(-LN(2)/35))/(LN(2)/35)*AQ136*AR136*VLOOKUP('Données projet (1)'!$B$10,'Paramètres (1)'!$A$1:$I$88,3,0)*0.475*44/12</f>
        <v>#REF!</v>
      </c>
      <c r="AV136" s="142" t="str">
        <f>EXP(-LN(2)/25)*AV135+(1-EXP(-LN(2)/25))/(LN(2)/25)*'Calculateur (1)'!AQ136*'Calculateur (1)'!AS136*VLOOKUP('Données projet (1)'!$B$10,'Paramètres (1)'!$A$1:$I$88,3,0)*0.475*44/12</f>
        <v>#REF!</v>
      </c>
      <c r="AW136" s="142" t="str">
        <f>EXP(-LN(2)/2)*AW135+(1-EXP(-LN(2)/2))/(LN(2)/2)*AQ136*AT136*VLOOKUP('Données projet (1)'!$B$10,'Paramètres (1)'!$A$1:$I$88,3,0)*0.475*44/12</f>
        <v>#REF!</v>
      </c>
      <c r="AX136" s="142" t="str">
        <f t="shared" si="25"/>
        <v>#REF!</v>
      </c>
      <c r="AY136" s="137" t="str">
        <f t="shared" si="26"/>
        <v>#REF!</v>
      </c>
      <c r="AZ136" s="131">
        <f t="shared" si="27"/>
        <v>10</v>
      </c>
      <c r="BA136" s="131" t="str">
        <f t="shared" si="116"/>
        <v>#REF!</v>
      </c>
      <c r="BB136" s="131" t="str">
        <f t="shared" si="28"/>
        <v>#REF!</v>
      </c>
      <c r="BC136" s="131" t="str">
        <f t="array" ref="BC136">INDEX(BB:BB,MIN(IF(ISNUMBER(BB136:BB332),ROW(BB136:BB332),"")))</f>
        <v/>
      </c>
      <c r="BD136" s="131" t="str">
        <f t="shared" si="117"/>
        <v>#REF!</v>
      </c>
      <c r="BE136" s="130" t="str">
        <f>BD136*VLOOKUP('Données projet (1)'!$B$11,'Paramètres (1)'!$A$1:$I$88,3,0)*VLOOKUP('Données projet (1)'!$B$11,'Paramètres (1)'!$A$1:$I$88,5,0)</f>
        <v>#REF!</v>
      </c>
      <c r="BF136" s="130" t="str">
        <f t="shared" si="118"/>
        <v>#REF!</v>
      </c>
      <c r="BG136" s="141" t="str">
        <f t="shared" si="29"/>
        <v>#REF!</v>
      </c>
      <c r="BH136" s="133" t="str">
        <f t="shared" si="30"/>
        <v>#REF!</v>
      </c>
      <c r="BI136" s="133" t="str">
        <f t="shared" si="31"/>
        <v>#REF!</v>
      </c>
      <c r="BJ136" s="133" t="str">
        <f t="shared" si="119"/>
        <v>#REF!</v>
      </c>
      <c r="BK136" s="134" t="str">
        <f t="shared" si="32"/>
        <v>#REF!</v>
      </c>
      <c r="BL136" s="134" t="str">
        <f t="shared" si="33"/>
        <v>#REF!</v>
      </c>
      <c r="BM136" s="135" t="str">
        <f>IF(ISNA(VLOOKUP(A136,'Données projet (1)'!$A$87:$I$107,5,0)),0%,VLOOKUP(A136,'Données projet (1)'!$A$87:$I$107,5,0)*VLOOKUP('Données projet (1)'!$B$11,'Paramètres (1)'!$A$1:$I$88,7,0))</f>
        <v>#REF!</v>
      </c>
      <c r="BN136" s="135" t="str">
        <f>IF(ISNA(VLOOKUP(A136,'Données projet (1)'!$A$87:$I$107,6,0)),0%,VLOOKUP(A136,'Données projet (1)'!$A$87:$I$107,6,0)*VLOOKUP('Données projet (1)'!$B$11,'Paramètres (1)'!$A$1:$I$88,7,0))</f>
        <v>#REF!</v>
      </c>
      <c r="BO136" s="135" t="str">
        <f t="shared" si="34"/>
        <v>#REF!</v>
      </c>
      <c r="BP136" s="142" t="str">
        <f>EXP(-LN(2)/35)*BP135+(1-EXP(-LN(2)/35))/(LN(2)/35)*BL136*BM136*VLOOKUP('Données projet (1)'!$B$11,'Paramètres (1)'!$A$1:$I$88,3,0)*0.475*44/12</f>
        <v>#REF!</v>
      </c>
      <c r="BQ136" s="142" t="str">
        <f>EXP(-LN(2)/25)*BQ135+(1-EXP(-LN(2)/25))/(LN(2)/25)*'Calculateur (1)'!BL136*'Calculateur (1)'!BN136*VLOOKUP('Données projet (1)'!$B$11,'Paramètres (1)'!$A$1:$I$88,3,0)*0.475*44/12</f>
        <v>#REF!</v>
      </c>
      <c r="BR136" s="142" t="str">
        <f>EXP(-LN(2)/2)*BR135+(1-EXP(-LN(2)/2))/(LN(2)/2)*BL136*BO136*VLOOKUP('Données projet (1)'!$B$11,'Paramètres (1)'!$A$1:$I$88,3,0)*0.475*44/12</f>
        <v>#REF!</v>
      </c>
      <c r="BS136" s="143" t="str">
        <f t="shared" si="35"/>
        <v>#REF!</v>
      </c>
      <c r="BT136" s="139" t="str">
        <f t="shared" si="36"/>
        <v>#REF!</v>
      </c>
      <c r="BU136" s="131">
        <f t="shared" si="37"/>
        <v>10</v>
      </c>
      <c r="BV136" s="131" t="str">
        <f t="shared" si="120"/>
        <v>#REF!</v>
      </c>
      <c r="BW136" s="131" t="str">
        <f t="shared" si="38"/>
        <v>#REF!</v>
      </c>
      <c r="BX136" s="131" t="str">
        <f t="array" ref="BX136">INDEX(BW:BW,MIN(IF(ISNUMBER(BW136:BW332),ROW(BW136:BW332),"")))</f>
        <v/>
      </c>
      <c r="BY136" s="131" t="str">
        <f t="shared" si="121"/>
        <v>#REF!</v>
      </c>
      <c r="BZ136" s="130" t="str">
        <f>BY136*VLOOKUP('Données projet (1)'!$B$12,'Paramètres (1)'!$A$1:$I$88,3,0)*VLOOKUP('Données projet (1)'!$B$12,'Paramètres (1)'!$A$1:$I$88,5,0)</f>
        <v>#REF!</v>
      </c>
      <c r="CA136" s="130" t="str">
        <f t="shared" si="122"/>
        <v>#REF!</v>
      </c>
      <c r="CB136" s="141" t="str">
        <f t="shared" si="39"/>
        <v>#REF!</v>
      </c>
      <c r="CC136" s="133" t="str">
        <f t="shared" si="40"/>
        <v>#REF!</v>
      </c>
      <c r="CD136" s="133" t="str">
        <f t="shared" si="41"/>
        <v>#REF!</v>
      </c>
      <c r="CE136" s="133" t="str">
        <f t="shared" si="123"/>
        <v>#REF!</v>
      </c>
      <c r="CF136" s="134" t="str">
        <f t="shared" si="42"/>
        <v>#REF!</v>
      </c>
      <c r="CG136" s="134" t="str">
        <f t="shared" si="43"/>
        <v>#REF!</v>
      </c>
      <c r="CH136" s="135" t="str">
        <f>IF(ISNA(VLOOKUP(A136,'Données projet (1)'!$A$113:$I$133,5,0)),0%,VLOOKUP(A136,'Données projet (1)'!$A$113:$I$133,5,0)*VLOOKUP('Données projet (1)'!$B$12,'Paramètres (1)'!$A$1:$I$88,7,0))</f>
        <v>#REF!</v>
      </c>
      <c r="CI136" s="135" t="str">
        <f>IF(ISNA(VLOOKUP(A136,'Données projet (1)'!$A$113:$I$133,6,0)),0%,VLOOKUP(A136,'Données projet (1)'!$A$113:$I$133,6,0)*VLOOKUP('Données projet (1)'!$B$12,'Paramètres (1)'!$A$1:$I$88,7,0))</f>
        <v>#REF!</v>
      </c>
      <c r="CJ136" s="135" t="str">
        <f t="shared" si="44"/>
        <v>#REF!</v>
      </c>
      <c r="CK136" s="142" t="str">
        <f>EXP(-LN(2)/35)*CK135+(1-EXP(-LN(2)/35))/(LN(2)/35)*CG136*CH136*VLOOKUP('Données projet (1)'!$B$12,'Paramètres (1)'!$A$1:$I$88,3,0)*0.475*44/12</f>
        <v>#REF!</v>
      </c>
      <c r="CL136" s="142" t="str">
        <f>EXP(-LN(2)/25)*CL135+(1-EXP(-LN(2)/25))/(LN(2)/25)*'Calculateur (1)'!CG136*'Calculateur (1)'!CI136*VLOOKUP('Données projet (1)'!$B$12,'Paramètres (1)'!$A$1:$I$88,3,0)*0.475*44/12</f>
        <v>#REF!</v>
      </c>
      <c r="CM136" s="142" t="str">
        <f>EXP(-LN(2)/2)*CM135+(1-EXP(-LN(2)/2))/(LN(2)/2)*CG136*CJ136*VLOOKUP('Données projet (1)'!$B$12,'Paramètres (1)'!$A$1:$I$88,3,0)*0.475*44/12</f>
        <v>#REF!</v>
      </c>
      <c r="CN136" s="143" t="str">
        <f t="shared" si="45"/>
        <v>#REF!</v>
      </c>
      <c r="CO136" s="139" t="str">
        <f t="shared" si="46"/>
        <v>#REF!</v>
      </c>
      <c r="CP136" s="131">
        <f t="shared" si="47"/>
        <v>10</v>
      </c>
      <c r="CQ136" s="131" t="str">
        <f t="shared" si="124"/>
        <v>#REF!</v>
      </c>
      <c r="CR136" s="131" t="str">
        <f t="shared" si="48"/>
        <v>#REF!</v>
      </c>
      <c r="CS136" s="131" t="str">
        <f t="array" ref="CS136">INDEX(CR:CR,MIN(IF(ISNUMBER(CR136:CR332),ROW(CR136:CR332),"")))</f>
        <v/>
      </c>
      <c r="CT136" s="131" t="str">
        <f t="shared" si="125"/>
        <v>#REF!</v>
      </c>
      <c r="CU136" s="138" t="str">
        <f>CT136*VLOOKUP('Données projet (1)'!$B$13,'Paramètres (1)'!$A$1:$I$88,3,0)*VLOOKUP('Données projet (1)'!$B$13,'Paramètres (1)'!$A$1:$I$88,5,0)</f>
        <v>#REF!</v>
      </c>
      <c r="CV136" s="130" t="str">
        <f t="shared" si="126"/>
        <v>#REF!</v>
      </c>
      <c r="CW136" s="141" t="str">
        <f t="shared" si="49"/>
        <v>#REF!</v>
      </c>
      <c r="CX136" s="133" t="str">
        <f t="shared" si="50"/>
        <v>#REF!</v>
      </c>
      <c r="CY136" s="133" t="str">
        <f t="shared" si="51"/>
        <v>#REF!</v>
      </c>
      <c r="CZ136" s="133" t="str">
        <f t="shared" si="127"/>
        <v>#REF!</v>
      </c>
      <c r="DA136" s="134" t="str">
        <f t="shared" si="52"/>
        <v>#REF!</v>
      </c>
      <c r="DB136" s="134" t="str">
        <f t="shared" si="53"/>
        <v>#REF!</v>
      </c>
      <c r="DC136" s="135" t="str">
        <f>IF(ISNA(VLOOKUP(A136,'Données projet (1)'!$A$139:$I$159,5,0)),0%,VLOOKUP(A136,'Données projet (1)'!$A$139:$I$159,5,0)*VLOOKUP('Données projet (1)'!$B$13,'Paramètres (1)'!$A$1:$I$88,7,0))</f>
        <v>#REF!</v>
      </c>
      <c r="DD136" s="135" t="str">
        <f>IF(ISNA(VLOOKUP(A136,'Données projet (1)'!$A$139:$I$159,6,0)),0%,VLOOKUP(A136,'Données projet (1)'!$A$139:$I$159,6,0)*VLOOKUP('Données projet (1)'!$B$13,'Paramètres (1)'!$A$1:$I$88,7,0))</f>
        <v>#REF!</v>
      </c>
      <c r="DE136" s="135" t="str">
        <f t="shared" si="54"/>
        <v>#REF!</v>
      </c>
      <c r="DF136" s="142" t="str">
        <f>EXP(-LN(2)/35)*DF135+(1-EXP(-LN(2)/35))/(LN(2)/35)*DB136*DC136*VLOOKUP('Données projet (1)'!$B$13,'Paramètres (1)'!$A$1:$I$88,3,0)*0.475*44/12</f>
        <v>#REF!</v>
      </c>
      <c r="DG136" s="142" t="str">
        <f>EXP(-LN(2)/25)*DG135+(1-EXP(-LN(2)/25))/(LN(2)/25)*'Calculateur (1)'!DB136*'Calculateur (1)'!DD136*VLOOKUP('Données projet (1)'!$B$13,'Paramètres (1)'!$A$1:$I$88,3,0)*0.475*44/12</f>
        <v>#REF!</v>
      </c>
      <c r="DH136" s="142" t="str">
        <f>EXP(-LN(2)/2)*DH135+(1-EXP(-LN(2)/2))/(LN(2)/2)*DB136*DE136*VLOOKUP('Données projet (1)'!$B$13,'Paramètres (1)'!$A$1:$I$88,3,0)*0.475*44/12</f>
        <v>#REF!</v>
      </c>
      <c r="DI136" s="143" t="str">
        <f t="shared" si="55"/>
        <v>#REF!</v>
      </c>
      <c r="DJ136" s="139" t="str">
        <f t="shared" si="56"/>
        <v>#REF!</v>
      </c>
      <c r="DK136" s="131">
        <f t="shared" si="57"/>
        <v>10</v>
      </c>
      <c r="DL136" s="131" t="str">
        <f t="shared" si="128"/>
        <v>#REF!</v>
      </c>
      <c r="DM136" s="131" t="str">
        <f t="shared" si="58"/>
        <v>#REF!</v>
      </c>
      <c r="DN136" s="131" t="str">
        <f t="array" ref="DN136">INDEX(DM:DM,MIN(IF(ISNUMBER(DM136:DM332),ROW(DM136:DM332),"")))</f>
        <v/>
      </c>
      <c r="DO136" s="131" t="str">
        <f t="shared" si="129"/>
        <v>#REF!</v>
      </c>
      <c r="DP136" s="138" t="str">
        <f>DO136*VLOOKUP('Données projet (1)'!$B$14,'Paramètres (1)'!$A$1:$I$88,3,0)*VLOOKUP('Données projet (1)'!$B$14,'Paramètres (1)'!$A$1:$I$88,5,0)</f>
        <v>#REF!</v>
      </c>
      <c r="DQ136" s="130" t="str">
        <f t="shared" si="130"/>
        <v>#REF!</v>
      </c>
      <c r="DR136" s="141" t="str">
        <f t="shared" si="59"/>
        <v>#REF!</v>
      </c>
      <c r="DS136" s="133" t="str">
        <f t="shared" si="60"/>
        <v>#REF!</v>
      </c>
      <c r="DT136" s="133" t="str">
        <f t="shared" si="61"/>
        <v>#REF!</v>
      </c>
      <c r="DU136" s="133" t="str">
        <f t="shared" si="131"/>
        <v>#REF!</v>
      </c>
      <c r="DV136" s="134" t="str">
        <f t="shared" si="62"/>
        <v>#REF!</v>
      </c>
      <c r="DW136" s="134" t="str">
        <f t="shared" si="63"/>
        <v>#REF!</v>
      </c>
      <c r="DX136" s="135" t="str">
        <f>IF(ISNA(VLOOKUP(A136,'Données projet (1)'!$A$165:$I$185,5,0)),0%,VLOOKUP(A136,'Données projet (1)'!$A$165:$I$185,5,0)*VLOOKUP('Données projet (1)'!$B$14,'Paramètres (1)'!$A$1:$I$88,7,0))</f>
        <v>#REF!</v>
      </c>
      <c r="DY136" s="135" t="str">
        <f>IF(ISNA(VLOOKUP(A136,'Données projet (1)'!$A$165:$I$185,6,0)),0%,VLOOKUP(A136,'Données projet (1)'!$A$165:$I$185,6,0)*VLOOKUP('Données projet (1)'!$B$14,'Paramètres (1)'!$A$1:$I$88,7,0))</f>
        <v>#REF!</v>
      </c>
      <c r="DZ136" s="135" t="str">
        <f t="shared" si="64"/>
        <v>#REF!</v>
      </c>
      <c r="EA136" s="142" t="str">
        <f>EXP(-LN(2)/35)*EA135+(1-EXP(-LN(2)/35))/(LN(2)/35)*DW136*DX136*VLOOKUP('Données projet (1)'!$B$14,'Paramètres (1)'!$A$1:$I$88,3,0)*0.475*44/12</f>
        <v>#REF!</v>
      </c>
      <c r="EB136" s="142" t="str">
        <f>EXP(-LN(2)/25)*EB135+(1-EXP(-LN(2)/25))/(LN(2)/25)*'Calculateur (1)'!DW136*'Calculateur (1)'!DY136*VLOOKUP('Données projet (1)'!$B$14,'Paramètres (1)'!$A$1:$I$88,3,0)*0.475*44/12</f>
        <v>#REF!</v>
      </c>
      <c r="EC136" s="142" t="str">
        <f>EXP(-LN(2)/2)*EC135+(1-EXP(-LN(2)/2))/(LN(2)/2)*DW136*DZ136*VLOOKUP('Données projet (1)'!$B$14,'Paramètres (1)'!$A$1:$I$88,3,0)*0.475*44/12</f>
        <v>#REF!</v>
      </c>
      <c r="ED136" s="143" t="str">
        <f t="shared" si="65"/>
        <v>#REF!</v>
      </c>
      <c r="EE136" s="139" t="str">
        <f t="shared" si="66"/>
        <v>#REF!</v>
      </c>
      <c r="EF136" s="131">
        <f t="shared" si="67"/>
        <v>10</v>
      </c>
      <c r="EG136" s="131" t="str">
        <f t="shared" si="132"/>
        <v>#REF!</v>
      </c>
      <c r="EH136" s="131" t="str">
        <f t="shared" si="68"/>
        <v>#REF!</v>
      </c>
      <c r="EI136" s="131" t="str">
        <f t="array" ref="EI136">INDEX(EH:EH,MIN(IF(ISNUMBER(EH136:EH332),ROW(EH136:EH332),"")))</f>
        <v/>
      </c>
      <c r="EJ136" s="131" t="str">
        <f t="shared" si="133"/>
        <v>#REF!</v>
      </c>
      <c r="EK136" s="138" t="str">
        <f>EJ136*VLOOKUP('Données projet (1)'!$B$15,'Paramètres (1)'!$A$1:$I$88,3,0)*VLOOKUP('Données projet (1)'!$B$15,'Paramètres (1)'!$A$1:$I$88,5,0)</f>
        <v>#REF!</v>
      </c>
      <c r="EL136" s="130" t="str">
        <f t="shared" si="134"/>
        <v>#REF!</v>
      </c>
      <c r="EM136" s="141" t="str">
        <f t="shared" si="69"/>
        <v>#REF!</v>
      </c>
      <c r="EN136" s="133" t="str">
        <f t="shared" si="70"/>
        <v>#REF!</v>
      </c>
      <c r="EO136" s="133" t="str">
        <f t="shared" si="71"/>
        <v>#REF!</v>
      </c>
      <c r="EP136" s="133" t="str">
        <f t="shared" si="135"/>
        <v>#REF!</v>
      </c>
      <c r="EQ136" s="134" t="str">
        <f t="shared" si="72"/>
        <v>#REF!</v>
      </c>
      <c r="ER136" s="134" t="str">
        <f t="shared" si="73"/>
        <v>#REF!</v>
      </c>
      <c r="ES136" s="135" t="str">
        <f>IF(ISNA(VLOOKUP(A136,'Données projet (1)'!$A$191:$I$211,5,0)),0%,VLOOKUP(A136,'Données projet (1)'!$A$191:$I$211,5,0)*VLOOKUP('Données projet (1)'!$B$15,'Paramètres (1)'!$A$1:$I$88,7,0))</f>
        <v>#REF!</v>
      </c>
      <c r="ET136" s="135" t="str">
        <f>IF(ISNA(VLOOKUP(A136,'Données projet (1)'!$A$191:$I$211,6,0)),0%,VLOOKUP(A136,'Données projet (1)'!$A$191:$I$211,6,0)*VLOOKUP('Données projet (1)'!$B$15,'Paramètres (1)'!$A$1:$I$88,7,0))</f>
        <v>#REF!</v>
      </c>
      <c r="EU136" s="135" t="str">
        <f t="shared" si="74"/>
        <v>#REF!</v>
      </c>
      <c r="EV136" s="142" t="str">
        <f>EXP(-LN(2)/35)*EV135+(1-EXP(-LN(2)/35))/(LN(2)/35)*ER136*ES136*VLOOKUP('Données projet (1)'!$B$15,'Paramètres (1)'!$A$1:$I$88,3,0)*0.475*44/12</f>
        <v>#REF!</v>
      </c>
      <c r="EW136" s="142" t="str">
        <f>EXP(-LN(2)/25)*EW135+(1-EXP(-LN(2)/25))/(LN(2)/25)*'Calculateur (1)'!ER136*'Calculateur (1)'!ET136*VLOOKUP('Données projet (1)'!$B$15,'Paramètres (1)'!$A$1:$I$88,3,0)*0.475*44/12</f>
        <v>#REF!</v>
      </c>
      <c r="EX136" s="142" t="str">
        <f>EXP(-LN(2)/2)*EX135+(1-EXP(-LN(2)/2))/(LN(2)/2)*ER136*EU136*VLOOKUP('Données projet (1)'!$B$15,'Paramètres (1)'!$A$1:$I$88,3,0)*0.475*44/12</f>
        <v>#REF!</v>
      </c>
      <c r="EY136" s="143" t="str">
        <f t="shared" si="75"/>
        <v>#REF!</v>
      </c>
      <c r="EZ136" s="139" t="str">
        <f t="shared" si="76"/>
        <v>#REF!</v>
      </c>
      <c r="FA136" s="131">
        <f t="shared" si="77"/>
        <v>10</v>
      </c>
      <c r="FB136" s="131" t="str">
        <f t="shared" si="136"/>
        <v>#REF!</v>
      </c>
      <c r="FC136" s="131" t="str">
        <f t="shared" si="78"/>
        <v>#REF!</v>
      </c>
      <c r="FD136" s="131" t="str">
        <f t="array" ref="FD136">INDEX(FC:FC,MIN(IF(ISNUMBER(FC136:FC332),ROW(FC136:FC332),"")))</f>
        <v/>
      </c>
      <c r="FE136" s="131" t="str">
        <f t="shared" si="137"/>
        <v>#REF!</v>
      </c>
      <c r="FF136" s="138" t="str">
        <f>FE136*VLOOKUP('Données projet (1)'!$B$16,'Paramètres (1)'!$A$1:$I$88,3,0)*VLOOKUP('Données projet (1)'!$B$16,'Paramètres (1)'!$A$1:$I$88,5,0)</f>
        <v>#REF!</v>
      </c>
      <c r="FG136" s="130" t="str">
        <f t="shared" si="138"/>
        <v>#REF!</v>
      </c>
      <c r="FH136" s="141" t="str">
        <f t="shared" si="79"/>
        <v>#REF!</v>
      </c>
      <c r="FI136" s="133" t="str">
        <f t="shared" si="80"/>
        <v>#REF!</v>
      </c>
      <c r="FJ136" s="133" t="str">
        <f t="shared" si="81"/>
        <v>#REF!</v>
      </c>
      <c r="FK136" s="133" t="str">
        <f t="shared" si="139"/>
        <v>#REF!</v>
      </c>
      <c r="FL136" s="134" t="str">
        <f t="shared" si="82"/>
        <v>#REF!</v>
      </c>
      <c r="FM136" s="134" t="str">
        <f t="shared" si="83"/>
        <v>#REF!</v>
      </c>
      <c r="FN136" s="135" t="str">
        <f>IF(ISNA(VLOOKUP(A136,'Données projet (1)'!$A$217:$I$237,5,0)),0%,VLOOKUP(A136,'Données projet (1)'!$A$217:$I$237,5,0)*VLOOKUP('Données projet (1)'!$B$16,'Paramètres (1)'!$A$1:$I$88,7,0))</f>
        <v>#REF!</v>
      </c>
      <c r="FO136" s="135" t="str">
        <f>IF(ISNA(VLOOKUP(A136,'Données projet (1)'!$A$217:$I$237,6,0)),0%,VLOOKUP(A136,'Données projet (1)'!$A$217:$I$237,6,0)*VLOOKUP('Données projet (1)'!$B$16,'Paramètres (1)'!$A$1:$I$88,7,0))</f>
        <v>#REF!</v>
      </c>
      <c r="FP136" s="135" t="str">
        <f t="shared" si="84"/>
        <v>#REF!</v>
      </c>
      <c r="FQ136" s="142" t="str">
        <f>EXP(-LN(2)/35)*FQ135+(1-EXP(-LN(2)/35))/(LN(2)/35)*FM136*FN136*VLOOKUP('Données projet (1)'!$B$16,'Paramètres (1)'!$A$1:$I$88,3,0)*0.475*44/12</f>
        <v>#REF!</v>
      </c>
      <c r="FR136" s="142" t="str">
        <f>EXP(-LN(2)/25)*FR135+(1-EXP(-LN(2)/25))/(LN(2)/25)*'Calculateur (1)'!FM136*'Calculateur (1)'!FO136*VLOOKUP('Données projet (1)'!$B$16,'Paramètres (1)'!$A$1:$I$88,3,0)*0.475*44/12</f>
        <v>#REF!</v>
      </c>
      <c r="FS136" s="142" t="str">
        <f>EXP(-LN(2)/2)*FS135+(1-EXP(-LN(2)/2))/(LN(2)/2)*FM136*FP136*VLOOKUP('Données projet (1)'!$B$16,'Paramètres (1)'!$A$1:$I$88,3,0)*0.475*44/12</f>
        <v>#REF!</v>
      </c>
      <c r="FT136" s="143" t="str">
        <f t="shared" si="85"/>
        <v>#REF!</v>
      </c>
      <c r="FU136" s="139" t="str">
        <f t="shared" si="86"/>
        <v>#REF!</v>
      </c>
      <c r="FV136" s="131">
        <f t="shared" si="87"/>
        <v>10</v>
      </c>
      <c r="FW136" s="131" t="str">
        <f t="shared" si="140"/>
        <v>#REF!</v>
      </c>
      <c r="FX136" s="131" t="str">
        <f t="shared" si="88"/>
        <v>#REF!</v>
      </c>
      <c r="FY136" s="131" t="str">
        <f t="array" ref="FY136">INDEX(FX:FX,MIN(IF(ISNUMBER(FX136:FX332),ROW(FX136:FX332),"")))</f>
        <v/>
      </c>
      <c r="FZ136" s="131" t="str">
        <f t="shared" si="141"/>
        <v>#REF!</v>
      </c>
      <c r="GA136" s="138" t="str">
        <f>FZ136*VLOOKUP('Données projet (1)'!$B$17,'Paramètres (1)'!$A$1:$I$88,3,0)*VLOOKUP('Données projet (1)'!$B$17,'Paramètres (1)'!$A$1:$I$88,5,0)</f>
        <v>#REF!</v>
      </c>
      <c r="GB136" s="130" t="str">
        <f t="shared" si="142"/>
        <v>#REF!</v>
      </c>
      <c r="GC136" s="141" t="str">
        <f t="shared" si="89"/>
        <v>#REF!</v>
      </c>
      <c r="GD136" s="133" t="str">
        <f t="shared" si="90"/>
        <v>#REF!</v>
      </c>
      <c r="GE136" s="133" t="str">
        <f t="shared" si="91"/>
        <v>#REF!</v>
      </c>
      <c r="GF136" s="133" t="str">
        <f t="shared" si="143"/>
        <v>#REF!</v>
      </c>
      <c r="GG136" s="134" t="str">
        <f t="shared" si="92"/>
        <v>#REF!</v>
      </c>
      <c r="GH136" s="134" t="str">
        <f t="shared" si="93"/>
        <v>#REF!</v>
      </c>
      <c r="GI136" s="135" t="str">
        <f>IF(ISNA(VLOOKUP(A136,'Données projet (1)'!$A$243:$I$263,5,0)),0%,VLOOKUP(A136,'Données projet (1)'!$A$243:$I$263,5,0)*VLOOKUP('Données projet (1)'!$B$17,'Paramètres (1)'!$A$1:$I$88,7,0))</f>
        <v>#REF!</v>
      </c>
      <c r="GJ136" s="135" t="str">
        <f>IF(ISNA(VLOOKUP(A136,'Données projet (1)'!$A$243:$I$263,6,0)),0%,VLOOKUP(A136,'Données projet (1)'!$A$243:$I$263,6,0)*VLOOKUP('Données projet (1)'!$B$17,'Paramètres (1)'!$A$1:$I$88,7,0))</f>
        <v>#REF!</v>
      </c>
      <c r="GK136" s="135" t="str">
        <f t="shared" si="94"/>
        <v>#REF!</v>
      </c>
      <c r="GL136" s="142" t="str">
        <f>EXP(-LN(2)/35)*GL135+(1-EXP(-LN(2)/35))/(LN(2)/35)*GH136*GI136*VLOOKUP('Données projet (1)'!$B$17,'Paramètres (1)'!$A$1:$I$88,3,0)*0.475*44/12</f>
        <v>#REF!</v>
      </c>
      <c r="GM136" s="142" t="str">
        <f>EXP(-LN(2)/25)*GM135+(1-EXP(-LN(2)/25))/(LN(2)/25)*'Calculateur (1)'!GH136*'Calculateur (1)'!GJ136*VLOOKUP('Données projet (1)'!$B$17,'Paramètres (1)'!$A$1:$I$88,3,0)*0.475*44/12</f>
        <v>#REF!</v>
      </c>
      <c r="GN136" s="142" t="str">
        <f>EXP(-LN(2)/2)*GN135+(1-EXP(-LN(2)/2))/(LN(2)/2)*GH136*GK136*VLOOKUP('Données projet (1)'!$B$17,'Paramètres (1)'!$A$1:$I$88,3,0)*0.475*44/12</f>
        <v>#REF!</v>
      </c>
      <c r="GO136" s="142" t="str">
        <f t="shared" si="95"/>
        <v>#REF!</v>
      </c>
      <c r="GP136" s="139" t="str">
        <f t="shared" si="96"/>
        <v>#REF!</v>
      </c>
      <c r="GQ136" s="131">
        <f t="shared" si="97"/>
        <v>10</v>
      </c>
      <c r="GR136" s="131" t="str">
        <f t="shared" si="144"/>
        <v>#REF!</v>
      </c>
      <c r="GS136" s="131" t="str">
        <f t="shared" si="98"/>
        <v>#REF!</v>
      </c>
      <c r="GT136" s="131" t="str">
        <f t="array" ref="GT136">INDEX(GS:GS,MIN(IF(ISNUMBER(GS136:GS332),ROW(GS136:GS332),"")))</f>
        <v/>
      </c>
      <c r="GU136" s="131" t="str">
        <f t="shared" si="145"/>
        <v>#REF!</v>
      </c>
      <c r="GV136" s="138" t="str">
        <f>GU136*VLOOKUP('Données projet (1)'!$B$18,'Paramètres (1)'!$A$1:$I$88,3,0)*VLOOKUP('Données projet (1)'!$B$18,'Paramètres (1)'!$A$1:$I$88,5,0)</f>
        <v>#REF!</v>
      </c>
      <c r="GW136" s="130" t="str">
        <f t="shared" si="146"/>
        <v>#REF!</v>
      </c>
      <c r="GX136" s="141" t="str">
        <f t="shared" si="99"/>
        <v>#REF!</v>
      </c>
      <c r="GY136" s="133" t="str">
        <f t="shared" si="100"/>
        <v>#REF!</v>
      </c>
      <c r="GZ136" s="133" t="str">
        <f t="shared" si="101"/>
        <v>#REF!</v>
      </c>
      <c r="HA136" s="133" t="str">
        <f t="shared" si="147"/>
        <v>#REF!</v>
      </c>
      <c r="HB136" s="134" t="str">
        <f t="shared" si="102"/>
        <v>#REF!</v>
      </c>
      <c r="HC136" s="134" t="str">
        <f t="shared" si="103"/>
        <v>#REF!</v>
      </c>
      <c r="HD136" s="135" t="str">
        <f>IF(ISNA(VLOOKUP(A136,'Données projet (1)'!$A$269:$I$289,5,0)),0%,VLOOKUP(A136,'Données projet (1)'!$A$269:$I$289,5,0)*VLOOKUP('Données projet (1)'!$B$18,'Paramètres (1)'!$A$1:$I$88,7,0))</f>
        <v>#REF!</v>
      </c>
      <c r="HE136" s="135" t="str">
        <f>IF(ISNA(VLOOKUP(A136,'Données projet (1)'!$A$269:$I$289,6,0)),0%,VLOOKUP(A136,'Données projet (1)'!$A$269:$I$289,6,0)*VLOOKUP('Données projet (1)'!$B$18,'Paramètres (1)'!$A$1:$I$88,7,0))</f>
        <v>#REF!</v>
      </c>
      <c r="HF136" s="135" t="str">
        <f t="shared" si="104"/>
        <v>#REF!</v>
      </c>
      <c r="HG136" s="142" t="str">
        <f>EXP(-LN(2)/35)*HG135+(1-EXP(-LN(2)/35))/(LN(2)/35)*HC136*HD136*VLOOKUP('Données projet (1)'!$B$18,'Paramètres (1)'!$A$1:$I$88,3,0)*0.475*44/12</f>
        <v>#REF!</v>
      </c>
      <c r="HH136" s="142" t="str">
        <f>EXP(-LN(2)/25)*HH135+(1-EXP(-LN(2)/25))/(LN(2)/25)*'Calculateur (1)'!HC136*'Calculateur (1)'!HE136*VLOOKUP('Données projet (1)'!$B$18,'Paramètres (1)'!$A$1:$I$88,3,0)*0.475*44/12</f>
        <v>#REF!</v>
      </c>
      <c r="HI136" s="142" t="str">
        <f>EXP(-LN(2)/2)*HI135+(1-EXP(-LN(2)/2))/(LN(2)/2)*HC136*HF136*VLOOKUP('Données projet (1)'!$B$18,'Paramètres (1)'!$A$1:$I$88,3,0)*0.475*44/12</f>
        <v>#REF!</v>
      </c>
      <c r="HJ136" s="143" t="str">
        <f t="shared" si="105"/>
        <v>#REF!</v>
      </c>
    </row>
    <row r="137" ht="14.25" customHeight="1">
      <c r="A137" s="125">
        <f t="shared" si="106"/>
        <v>134</v>
      </c>
      <c r="B137" s="126" t="str">
        <f t="shared" si="1"/>
        <v>#REF!</v>
      </c>
      <c r="C137" s="140" t="str">
        <f>'Calculateur (1)'!C136+'Scénario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7" s="127">
        <f t="shared" si="107"/>
        <v>0</v>
      </c>
      <c r="E137" s="127" t="str">
        <f t="shared" si="2"/>
        <v>#REF!</v>
      </c>
      <c r="F137" s="127" t="str">
        <f t="shared" si="3"/>
        <v>#REF!</v>
      </c>
      <c r="G137" s="127" t="str">
        <f t="shared" si="4"/>
        <v>#REF!</v>
      </c>
      <c r="H137" s="128" t="str">
        <f t="shared" si="5"/>
        <v>#REF!</v>
      </c>
      <c r="I137" s="129" t="str">
        <f t="shared" si="6"/>
        <v>#REF!</v>
      </c>
      <c r="J137" s="130">
        <f t="shared" si="7"/>
        <v>10</v>
      </c>
      <c r="K137" s="131" t="str">
        <f t="shared" si="108"/>
        <v>#REF!</v>
      </c>
      <c r="L137" s="131" t="str">
        <f t="shared" si="8"/>
        <v>#REF!</v>
      </c>
      <c r="M137" s="131" t="str">
        <f t="array" ref="M137">INDEX(L:L,MIN(IF(ISNUMBER(L137:L333),ROW(L137:L333),"")))</f>
        <v/>
      </c>
      <c r="N137" s="130" t="str">
        <f t="shared" si="109"/>
        <v>#REF!</v>
      </c>
      <c r="O137" s="130" t="str">
        <f>N137*VLOOKUP('Données projet (1)'!$B$9,'Paramètres (1)'!$A$1:$I$88,3,0)*VLOOKUP('Données projet (1)'!$B$9,'Paramètres (1)'!$A$1:$I$88,5,0)</f>
        <v>#REF!</v>
      </c>
      <c r="P137" s="130" t="str">
        <f t="shared" si="110"/>
        <v>#REF!</v>
      </c>
      <c r="Q137" s="141" t="str">
        <f t="shared" si="9"/>
        <v>#REF!</v>
      </c>
      <c r="R137" s="133" t="str">
        <f t="shared" si="10"/>
        <v>#REF!</v>
      </c>
      <c r="S137" s="133" t="str">
        <f t="shared" si="11"/>
        <v>#REF!</v>
      </c>
      <c r="T137" s="133" t="str">
        <f t="shared" si="111"/>
        <v>#REF!</v>
      </c>
      <c r="U137" s="134" t="str">
        <f t="shared" si="12"/>
        <v>#REF!</v>
      </c>
      <c r="V137" s="134" t="str">
        <f t="shared" si="13"/>
        <v>#REF!</v>
      </c>
      <c r="W137" s="135" t="str">
        <f>IF(ISNA(VLOOKUP(A137,'Données projet (1)'!$A$35:$I$55,5,0)),0%,VLOOKUP(A137,'Données projet (1)'!$A$35:$I$55,5,0)*VLOOKUP('Données projet (1)'!$B$9,'Paramètres (1)'!$A$1:$I$88,7,0))</f>
        <v>#REF!</v>
      </c>
      <c r="X137" s="135" t="str">
        <f>IF(ISNA(VLOOKUP(A137,'Données projet (1)'!$A$35:$I$55,6,0)),0%,VLOOKUP(A137,'Données projet (1)'!$A$35:$I$55,6,0)*VLOOKUP('Données projet (1)'!$B$9,'Paramètres (1)'!$A$1:$I$88,7,0))</f>
        <v>#REF!</v>
      </c>
      <c r="Y137" s="135" t="str">
        <f t="shared" si="14"/>
        <v>#REF!</v>
      </c>
      <c r="Z137" s="142" t="str">
        <f>EXP(-LN(2)/35)*Z136+(1-EXP(-LN(2)/35))/(LN(2)/35)*V137*W137*VLOOKUP('Données projet (1)'!$B$9,'Paramètres (1)'!$A$1:$I$88,3,0)*0.475*44/12</f>
        <v>#REF!</v>
      </c>
      <c r="AA137" s="142" t="str">
        <f>EXP(-LN(2)/25)*AA136+(1-EXP(-LN(2)/25))/(LN(2)/25)*'Calculateur (1)'!V137*'Calculateur (1)'!X137*VLOOKUP('Données projet (1)'!$B$9,'Paramètres (1)'!$A$1:$I$88,3,0)*0.475*44/12</f>
        <v>#REF!</v>
      </c>
      <c r="AB137" s="142" t="str">
        <f>EXP(-LN(2)/2)*AB136+(1-EXP(-LN(2)/2))/(LN(2)/2)*V137*Y137*VLOOKUP('Données projet (1)'!$B$9,'Paramètres (1)'!$A$1:$I$88,3,0)*0.475*44/12</f>
        <v>#REF!</v>
      </c>
      <c r="AC137" s="143" t="str">
        <f t="shared" si="15"/>
        <v>#REF!</v>
      </c>
      <c r="AD137" s="130" t="str">
        <f t="shared" si="16"/>
        <v>#REF!</v>
      </c>
      <c r="AE137" s="130">
        <f t="shared" si="17"/>
        <v>10</v>
      </c>
      <c r="AF137" s="131" t="str">
        <f t="shared" si="112"/>
        <v>#REF!</v>
      </c>
      <c r="AG137" s="131" t="str">
        <f t="shared" si="18"/>
        <v>#REF!</v>
      </c>
      <c r="AH137" s="131" t="str">
        <f t="array" ref="AH137">INDEX(AG:AG,MIN(IF(ISNUMBER(AG137:AG333),ROW(AG137:AG333),"")))</f>
        <v/>
      </c>
      <c r="AI137" s="130" t="str">
        <f t="shared" si="113"/>
        <v>#REF!</v>
      </c>
      <c r="AJ137" s="130" t="str">
        <f>AI137*VLOOKUP('Données projet (1)'!$B$10,'Paramètres (1)'!$A$1:$I$88,3,0)*VLOOKUP('Données projet (1)'!$B$10,'Paramètres (1)'!$A$1:$I$88,5,0)</f>
        <v>#REF!</v>
      </c>
      <c r="AK137" s="130" t="str">
        <f t="shared" si="114"/>
        <v>#REF!</v>
      </c>
      <c r="AL137" s="141" t="str">
        <f t="shared" si="19"/>
        <v>#REF!</v>
      </c>
      <c r="AM137" s="133" t="str">
        <f t="shared" si="20"/>
        <v>#REF!</v>
      </c>
      <c r="AN137" s="133" t="str">
        <f t="shared" si="21"/>
        <v>#REF!</v>
      </c>
      <c r="AO137" s="133" t="str">
        <f t="shared" si="115"/>
        <v>#REF!</v>
      </c>
      <c r="AP137" s="134" t="str">
        <f t="shared" si="22"/>
        <v>#REF!</v>
      </c>
      <c r="AQ137" s="134" t="str">
        <f t="shared" si="23"/>
        <v>#REF!</v>
      </c>
      <c r="AR137" s="135" t="str">
        <f>IF(ISNA(VLOOKUP(A137,'Données projet (1)'!$A$61:$I$81,5,0)),0%,VLOOKUP(A137,'Données projet (1)'!$A$61:$I$81,5,0)*VLOOKUP('Données projet (1)'!$B$10,'Paramètres (1)'!$A$1:$I$88,7,0))</f>
        <v>#REF!</v>
      </c>
      <c r="AS137" s="135" t="str">
        <f>IF(ISNA(VLOOKUP(A137,'Données projet (1)'!$A$61:$I$81,6,0)),0%,VLOOKUP(A137,'Données projet (1)'!$A$61:$I$81,6,0)*VLOOKUP('Données projet (1)'!$B$10,'Paramètres (1)'!$A$1:$I$88,7,0))</f>
        <v>#REF!</v>
      </c>
      <c r="AT137" s="135" t="str">
        <f t="shared" si="24"/>
        <v>#REF!</v>
      </c>
      <c r="AU137" s="142" t="str">
        <f>EXP(-LN(2)/35)*AU136+(1-EXP(-LN(2)/35))/(LN(2)/35)*AQ137*AR137*VLOOKUP('Données projet (1)'!$B$10,'Paramètres (1)'!$A$1:$I$88,3,0)*0.475*44/12</f>
        <v>#REF!</v>
      </c>
      <c r="AV137" s="142" t="str">
        <f>EXP(-LN(2)/25)*AV136+(1-EXP(-LN(2)/25))/(LN(2)/25)*'Calculateur (1)'!AQ137*'Calculateur (1)'!AS137*VLOOKUP('Données projet (1)'!$B$10,'Paramètres (1)'!$A$1:$I$88,3,0)*0.475*44/12</f>
        <v>#REF!</v>
      </c>
      <c r="AW137" s="142" t="str">
        <f>EXP(-LN(2)/2)*AW136+(1-EXP(-LN(2)/2))/(LN(2)/2)*AQ137*AT137*VLOOKUP('Données projet (1)'!$B$10,'Paramètres (1)'!$A$1:$I$88,3,0)*0.475*44/12</f>
        <v>#REF!</v>
      </c>
      <c r="AX137" s="142" t="str">
        <f t="shared" si="25"/>
        <v>#REF!</v>
      </c>
      <c r="AY137" s="137" t="str">
        <f t="shared" si="26"/>
        <v>#REF!</v>
      </c>
      <c r="AZ137" s="131">
        <f t="shared" si="27"/>
        <v>10</v>
      </c>
      <c r="BA137" s="131" t="str">
        <f t="shared" si="116"/>
        <v>#REF!</v>
      </c>
      <c r="BB137" s="131" t="str">
        <f t="shared" si="28"/>
        <v>#REF!</v>
      </c>
      <c r="BC137" s="131" t="str">
        <f t="array" ref="BC137">INDEX(BB:BB,MIN(IF(ISNUMBER(BB137:BB333),ROW(BB137:BB333),"")))</f>
        <v/>
      </c>
      <c r="BD137" s="131" t="str">
        <f t="shared" si="117"/>
        <v>#REF!</v>
      </c>
      <c r="BE137" s="130" t="str">
        <f>BD137*VLOOKUP('Données projet (1)'!$B$11,'Paramètres (1)'!$A$1:$I$88,3,0)*VLOOKUP('Données projet (1)'!$B$11,'Paramètres (1)'!$A$1:$I$88,5,0)</f>
        <v>#REF!</v>
      </c>
      <c r="BF137" s="130" t="str">
        <f t="shared" si="118"/>
        <v>#REF!</v>
      </c>
      <c r="BG137" s="141" t="str">
        <f t="shared" si="29"/>
        <v>#REF!</v>
      </c>
      <c r="BH137" s="133" t="str">
        <f t="shared" si="30"/>
        <v>#REF!</v>
      </c>
      <c r="BI137" s="133" t="str">
        <f t="shared" si="31"/>
        <v>#REF!</v>
      </c>
      <c r="BJ137" s="133" t="str">
        <f t="shared" si="119"/>
        <v>#REF!</v>
      </c>
      <c r="BK137" s="134" t="str">
        <f t="shared" si="32"/>
        <v>#REF!</v>
      </c>
      <c r="BL137" s="134" t="str">
        <f t="shared" si="33"/>
        <v>#REF!</v>
      </c>
      <c r="BM137" s="135" t="str">
        <f>IF(ISNA(VLOOKUP(A137,'Données projet (1)'!$A$87:$I$107,5,0)),0%,VLOOKUP(A137,'Données projet (1)'!$A$87:$I$107,5,0)*VLOOKUP('Données projet (1)'!$B$11,'Paramètres (1)'!$A$1:$I$88,7,0))</f>
        <v>#REF!</v>
      </c>
      <c r="BN137" s="135" t="str">
        <f>IF(ISNA(VLOOKUP(A137,'Données projet (1)'!$A$87:$I$107,6,0)),0%,VLOOKUP(A137,'Données projet (1)'!$A$87:$I$107,6,0)*VLOOKUP('Données projet (1)'!$B$11,'Paramètres (1)'!$A$1:$I$88,7,0))</f>
        <v>#REF!</v>
      </c>
      <c r="BO137" s="135" t="str">
        <f t="shared" si="34"/>
        <v>#REF!</v>
      </c>
      <c r="BP137" s="142" t="str">
        <f>EXP(-LN(2)/35)*BP136+(1-EXP(-LN(2)/35))/(LN(2)/35)*BL137*BM137*VLOOKUP('Données projet (1)'!$B$11,'Paramètres (1)'!$A$1:$I$88,3,0)*0.475*44/12</f>
        <v>#REF!</v>
      </c>
      <c r="BQ137" s="142" t="str">
        <f>EXP(-LN(2)/25)*BQ136+(1-EXP(-LN(2)/25))/(LN(2)/25)*'Calculateur (1)'!BL137*'Calculateur (1)'!BN137*VLOOKUP('Données projet (1)'!$B$11,'Paramètres (1)'!$A$1:$I$88,3,0)*0.475*44/12</f>
        <v>#REF!</v>
      </c>
      <c r="BR137" s="142" t="str">
        <f>EXP(-LN(2)/2)*BR136+(1-EXP(-LN(2)/2))/(LN(2)/2)*BL137*BO137*VLOOKUP('Données projet (1)'!$B$11,'Paramètres (1)'!$A$1:$I$88,3,0)*0.475*44/12</f>
        <v>#REF!</v>
      </c>
      <c r="BS137" s="143" t="str">
        <f t="shared" si="35"/>
        <v>#REF!</v>
      </c>
      <c r="BT137" s="139" t="str">
        <f t="shared" si="36"/>
        <v>#REF!</v>
      </c>
      <c r="BU137" s="131">
        <f t="shared" si="37"/>
        <v>10</v>
      </c>
      <c r="BV137" s="131" t="str">
        <f t="shared" si="120"/>
        <v>#REF!</v>
      </c>
      <c r="BW137" s="131" t="str">
        <f t="shared" si="38"/>
        <v>#REF!</v>
      </c>
      <c r="BX137" s="131" t="str">
        <f t="array" ref="BX137">INDEX(BW:BW,MIN(IF(ISNUMBER(BW137:BW333),ROW(BW137:BW333),"")))</f>
        <v/>
      </c>
      <c r="BY137" s="131" t="str">
        <f t="shared" si="121"/>
        <v>#REF!</v>
      </c>
      <c r="BZ137" s="130" t="str">
        <f>BY137*VLOOKUP('Données projet (1)'!$B$12,'Paramètres (1)'!$A$1:$I$88,3,0)*VLOOKUP('Données projet (1)'!$B$12,'Paramètres (1)'!$A$1:$I$88,5,0)</f>
        <v>#REF!</v>
      </c>
      <c r="CA137" s="130" t="str">
        <f t="shared" si="122"/>
        <v>#REF!</v>
      </c>
      <c r="CB137" s="141" t="str">
        <f t="shared" si="39"/>
        <v>#REF!</v>
      </c>
      <c r="CC137" s="133" t="str">
        <f t="shared" si="40"/>
        <v>#REF!</v>
      </c>
      <c r="CD137" s="133" t="str">
        <f t="shared" si="41"/>
        <v>#REF!</v>
      </c>
      <c r="CE137" s="133" t="str">
        <f t="shared" si="123"/>
        <v>#REF!</v>
      </c>
      <c r="CF137" s="134" t="str">
        <f t="shared" si="42"/>
        <v>#REF!</v>
      </c>
      <c r="CG137" s="134" t="str">
        <f t="shared" si="43"/>
        <v>#REF!</v>
      </c>
      <c r="CH137" s="135" t="str">
        <f>IF(ISNA(VLOOKUP(A137,'Données projet (1)'!$A$113:$I$133,5,0)),0%,VLOOKUP(A137,'Données projet (1)'!$A$113:$I$133,5,0)*VLOOKUP('Données projet (1)'!$B$12,'Paramètres (1)'!$A$1:$I$88,7,0))</f>
        <v>#REF!</v>
      </c>
      <c r="CI137" s="135" t="str">
        <f>IF(ISNA(VLOOKUP(A137,'Données projet (1)'!$A$113:$I$133,6,0)),0%,VLOOKUP(A137,'Données projet (1)'!$A$113:$I$133,6,0)*VLOOKUP('Données projet (1)'!$B$12,'Paramètres (1)'!$A$1:$I$88,7,0))</f>
        <v>#REF!</v>
      </c>
      <c r="CJ137" s="135" t="str">
        <f t="shared" si="44"/>
        <v>#REF!</v>
      </c>
      <c r="CK137" s="142" t="str">
        <f>EXP(-LN(2)/35)*CK136+(1-EXP(-LN(2)/35))/(LN(2)/35)*CG137*CH137*VLOOKUP('Données projet (1)'!$B$12,'Paramètres (1)'!$A$1:$I$88,3,0)*0.475*44/12</f>
        <v>#REF!</v>
      </c>
      <c r="CL137" s="142" t="str">
        <f>EXP(-LN(2)/25)*CL136+(1-EXP(-LN(2)/25))/(LN(2)/25)*'Calculateur (1)'!CG137*'Calculateur (1)'!CI137*VLOOKUP('Données projet (1)'!$B$12,'Paramètres (1)'!$A$1:$I$88,3,0)*0.475*44/12</f>
        <v>#REF!</v>
      </c>
      <c r="CM137" s="142" t="str">
        <f>EXP(-LN(2)/2)*CM136+(1-EXP(-LN(2)/2))/(LN(2)/2)*CG137*CJ137*VLOOKUP('Données projet (1)'!$B$12,'Paramètres (1)'!$A$1:$I$88,3,0)*0.475*44/12</f>
        <v>#REF!</v>
      </c>
      <c r="CN137" s="143" t="str">
        <f t="shared" si="45"/>
        <v>#REF!</v>
      </c>
      <c r="CO137" s="139" t="str">
        <f t="shared" si="46"/>
        <v>#REF!</v>
      </c>
      <c r="CP137" s="131">
        <f t="shared" si="47"/>
        <v>10</v>
      </c>
      <c r="CQ137" s="131" t="str">
        <f t="shared" si="124"/>
        <v>#REF!</v>
      </c>
      <c r="CR137" s="131" t="str">
        <f t="shared" si="48"/>
        <v>#REF!</v>
      </c>
      <c r="CS137" s="131" t="str">
        <f t="array" ref="CS137">INDEX(CR:CR,MIN(IF(ISNUMBER(CR137:CR333),ROW(CR137:CR333),"")))</f>
        <v/>
      </c>
      <c r="CT137" s="131" t="str">
        <f t="shared" si="125"/>
        <v>#REF!</v>
      </c>
      <c r="CU137" s="138" t="str">
        <f>CT137*VLOOKUP('Données projet (1)'!$B$13,'Paramètres (1)'!$A$1:$I$88,3,0)*VLOOKUP('Données projet (1)'!$B$13,'Paramètres (1)'!$A$1:$I$88,5,0)</f>
        <v>#REF!</v>
      </c>
      <c r="CV137" s="130" t="str">
        <f t="shared" si="126"/>
        <v>#REF!</v>
      </c>
      <c r="CW137" s="141" t="str">
        <f t="shared" si="49"/>
        <v>#REF!</v>
      </c>
      <c r="CX137" s="133" t="str">
        <f t="shared" si="50"/>
        <v>#REF!</v>
      </c>
      <c r="CY137" s="133" t="str">
        <f t="shared" si="51"/>
        <v>#REF!</v>
      </c>
      <c r="CZ137" s="133" t="str">
        <f t="shared" si="127"/>
        <v>#REF!</v>
      </c>
      <c r="DA137" s="134" t="str">
        <f t="shared" si="52"/>
        <v>#REF!</v>
      </c>
      <c r="DB137" s="134" t="str">
        <f t="shared" si="53"/>
        <v>#REF!</v>
      </c>
      <c r="DC137" s="135" t="str">
        <f>IF(ISNA(VLOOKUP(A137,'Données projet (1)'!$A$139:$I$159,5,0)),0%,VLOOKUP(A137,'Données projet (1)'!$A$139:$I$159,5,0)*VLOOKUP('Données projet (1)'!$B$13,'Paramètres (1)'!$A$1:$I$88,7,0))</f>
        <v>#REF!</v>
      </c>
      <c r="DD137" s="135" t="str">
        <f>IF(ISNA(VLOOKUP(A137,'Données projet (1)'!$A$139:$I$159,6,0)),0%,VLOOKUP(A137,'Données projet (1)'!$A$139:$I$159,6,0)*VLOOKUP('Données projet (1)'!$B$13,'Paramètres (1)'!$A$1:$I$88,7,0))</f>
        <v>#REF!</v>
      </c>
      <c r="DE137" s="135" t="str">
        <f t="shared" si="54"/>
        <v>#REF!</v>
      </c>
      <c r="DF137" s="142" t="str">
        <f>EXP(-LN(2)/35)*DF136+(1-EXP(-LN(2)/35))/(LN(2)/35)*DB137*DC137*VLOOKUP('Données projet (1)'!$B$13,'Paramètres (1)'!$A$1:$I$88,3,0)*0.475*44/12</f>
        <v>#REF!</v>
      </c>
      <c r="DG137" s="142" t="str">
        <f>EXP(-LN(2)/25)*DG136+(1-EXP(-LN(2)/25))/(LN(2)/25)*'Calculateur (1)'!DB137*'Calculateur (1)'!DD137*VLOOKUP('Données projet (1)'!$B$13,'Paramètres (1)'!$A$1:$I$88,3,0)*0.475*44/12</f>
        <v>#REF!</v>
      </c>
      <c r="DH137" s="142" t="str">
        <f>EXP(-LN(2)/2)*DH136+(1-EXP(-LN(2)/2))/(LN(2)/2)*DB137*DE137*VLOOKUP('Données projet (1)'!$B$13,'Paramètres (1)'!$A$1:$I$88,3,0)*0.475*44/12</f>
        <v>#REF!</v>
      </c>
      <c r="DI137" s="143" t="str">
        <f t="shared" si="55"/>
        <v>#REF!</v>
      </c>
      <c r="DJ137" s="139" t="str">
        <f t="shared" si="56"/>
        <v>#REF!</v>
      </c>
      <c r="DK137" s="131">
        <f t="shared" si="57"/>
        <v>10</v>
      </c>
      <c r="DL137" s="131" t="str">
        <f t="shared" si="128"/>
        <v>#REF!</v>
      </c>
      <c r="DM137" s="131" t="str">
        <f t="shared" si="58"/>
        <v>#REF!</v>
      </c>
      <c r="DN137" s="131" t="str">
        <f t="array" ref="DN137">INDEX(DM:DM,MIN(IF(ISNUMBER(DM137:DM333),ROW(DM137:DM333),"")))</f>
        <v/>
      </c>
      <c r="DO137" s="131" t="str">
        <f t="shared" si="129"/>
        <v>#REF!</v>
      </c>
      <c r="DP137" s="138" t="str">
        <f>DO137*VLOOKUP('Données projet (1)'!$B$14,'Paramètres (1)'!$A$1:$I$88,3,0)*VLOOKUP('Données projet (1)'!$B$14,'Paramètres (1)'!$A$1:$I$88,5,0)</f>
        <v>#REF!</v>
      </c>
      <c r="DQ137" s="130" t="str">
        <f t="shared" si="130"/>
        <v>#REF!</v>
      </c>
      <c r="DR137" s="141" t="str">
        <f t="shared" si="59"/>
        <v>#REF!</v>
      </c>
      <c r="DS137" s="133" t="str">
        <f t="shared" si="60"/>
        <v>#REF!</v>
      </c>
      <c r="DT137" s="133" t="str">
        <f t="shared" si="61"/>
        <v>#REF!</v>
      </c>
      <c r="DU137" s="133" t="str">
        <f t="shared" si="131"/>
        <v>#REF!</v>
      </c>
      <c r="DV137" s="134" t="str">
        <f t="shared" si="62"/>
        <v>#REF!</v>
      </c>
      <c r="DW137" s="134" t="str">
        <f t="shared" si="63"/>
        <v>#REF!</v>
      </c>
      <c r="DX137" s="135" t="str">
        <f>IF(ISNA(VLOOKUP(A137,'Données projet (1)'!$A$165:$I$185,5,0)),0%,VLOOKUP(A137,'Données projet (1)'!$A$165:$I$185,5,0)*VLOOKUP('Données projet (1)'!$B$14,'Paramètres (1)'!$A$1:$I$88,7,0))</f>
        <v>#REF!</v>
      </c>
      <c r="DY137" s="135" t="str">
        <f>IF(ISNA(VLOOKUP(A137,'Données projet (1)'!$A$165:$I$185,6,0)),0%,VLOOKUP(A137,'Données projet (1)'!$A$165:$I$185,6,0)*VLOOKUP('Données projet (1)'!$B$14,'Paramètres (1)'!$A$1:$I$88,7,0))</f>
        <v>#REF!</v>
      </c>
      <c r="DZ137" s="135" t="str">
        <f t="shared" si="64"/>
        <v>#REF!</v>
      </c>
      <c r="EA137" s="142" t="str">
        <f>EXP(-LN(2)/35)*EA136+(1-EXP(-LN(2)/35))/(LN(2)/35)*DW137*DX137*VLOOKUP('Données projet (1)'!$B$14,'Paramètres (1)'!$A$1:$I$88,3,0)*0.475*44/12</f>
        <v>#REF!</v>
      </c>
      <c r="EB137" s="142" t="str">
        <f>EXP(-LN(2)/25)*EB136+(1-EXP(-LN(2)/25))/(LN(2)/25)*'Calculateur (1)'!DW137*'Calculateur (1)'!DY137*VLOOKUP('Données projet (1)'!$B$14,'Paramètres (1)'!$A$1:$I$88,3,0)*0.475*44/12</f>
        <v>#REF!</v>
      </c>
      <c r="EC137" s="142" t="str">
        <f>EXP(-LN(2)/2)*EC136+(1-EXP(-LN(2)/2))/(LN(2)/2)*DW137*DZ137*VLOOKUP('Données projet (1)'!$B$14,'Paramètres (1)'!$A$1:$I$88,3,0)*0.475*44/12</f>
        <v>#REF!</v>
      </c>
      <c r="ED137" s="143" t="str">
        <f t="shared" si="65"/>
        <v>#REF!</v>
      </c>
      <c r="EE137" s="139" t="str">
        <f t="shared" si="66"/>
        <v>#REF!</v>
      </c>
      <c r="EF137" s="131">
        <f t="shared" si="67"/>
        <v>10</v>
      </c>
      <c r="EG137" s="131" t="str">
        <f t="shared" si="132"/>
        <v>#REF!</v>
      </c>
      <c r="EH137" s="131" t="str">
        <f t="shared" si="68"/>
        <v>#REF!</v>
      </c>
      <c r="EI137" s="131" t="str">
        <f t="array" ref="EI137">INDEX(EH:EH,MIN(IF(ISNUMBER(EH137:EH333),ROW(EH137:EH333),"")))</f>
        <v/>
      </c>
      <c r="EJ137" s="131" t="str">
        <f t="shared" si="133"/>
        <v>#REF!</v>
      </c>
      <c r="EK137" s="138" t="str">
        <f>EJ137*VLOOKUP('Données projet (1)'!$B$15,'Paramètres (1)'!$A$1:$I$88,3,0)*VLOOKUP('Données projet (1)'!$B$15,'Paramètres (1)'!$A$1:$I$88,5,0)</f>
        <v>#REF!</v>
      </c>
      <c r="EL137" s="130" t="str">
        <f t="shared" si="134"/>
        <v>#REF!</v>
      </c>
      <c r="EM137" s="141" t="str">
        <f t="shared" si="69"/>
        <v>#REF!</v>
      </c>
      <c r="EN137" s="133" t="str">
        <f t="shared" si="70"/>
        <v>#REF!</v>
      </c>
      <c r="EO137" s="133" t="str">
        <f t="shared" si="71"/>
        <v>#REF!</v>
      </c>
      <c r="EP137" s="133" t="str">
        <f t="shared" si="135"/>
        <v>#REF!</v>
      </c>
      <c r="EQ137" s="134" t="str">
        <f t="shared" si="72"/>
        <v>#REF!</v>
      </c>
      <c r="ER137" s="134" t="str">
        <f t="shared" si="73"/>
        <v>#REF!</v>
      </c>
      <c r="ES137" s="135" t="str">
        <f>IF(ISNA(VLOOKUP(A137,'Données projet (1)'!$A$191:$I$211,5,0)),0%,VLOOKUP(A137,'Données projet (1)'!$A$191:$I$211,5,0)*VLOOKUP('Données projet (1)'!$B$15,'Paramètres (1)'!$A$1:$I$88,7,0))</f>
        <v>#REF!</v>
      </c>
      <c r="ET137" s="135" t="str">
        <f>IF(ISNA(VLOOKUP(A137,'Données projet (1)'!$A$191:$I$211,6,0)),0%,VLOOKUP(A137,'Données projet (1)'!$A$191:$I$211,6,0)*VLOOKUP('Données projet (1)'!$B$15,'Paramètres (1)'!$A$1:$I$88,7,0))</f>
        <v>#REF!</v>
      </c>
      <c r="EU137" s="135" t="str">
        <f t="shared" si="74"/>
        <v>#REF!</v>
      </c>
      <c r="EV137" s="142" t="str">
        <f>EXP(-LN(2)/35)*EV136+(1-EXP(-LN(2)/35))/(LN(2)/35)*ER137*ES137*VLOOKUP('Données projet (1)'!$B$15,'Paramètres (1)'!$A$1:$I$88,3,0)*0.475*44/12</f>
        <v>#REF!</v>
      </c>
      <c r="EW137" s="142" t="str">
        <f>EXP(-LN(2)/25)*EW136+(1-EXP(-LN(2)/25))/(LN(2)/25)*'Calculateur (1)'!ER137*'Calculateur (1)'!ET137*VLOOKUP('Données projet (1)'!$B$15,'Paramètres (1)'!$A$1:$I$88,3,0)*0.475*44/12</f>
        <v>#REF!</v>
      </c>
      <c r="EX137" s="142" t="str">
        <f>EXP(-LN(2)/2)*EX136+(1-EXP(-LN(2)/2))/(LN(2)/2)*ER137*EU137*VLOOKUP('Données projet (1)'!$B$15,'Paramètres (1)'!$A$1:$I$88,3,0)*0.475*44/12</f>
        <v>#REF!</v>
      </c>
      <c r="EY137" s="143" t="str">
        <f t="shared" si="75"/>
        <v>#REF!</v>
      </c>
      <c r="EZ137" s="139" t="str">
        <f t="shared" si="76"/>
        <v>#REF!</v>
      </c>
      <c r="FA137" s="131">
        <f t="shared" si="77"/>
        <v>10</v>
      </c>
      <c r="FB137" s="131" t="str">
        <f t="shared" si="136"/>
        <v>#REF!</v>
      </c>
      <c r="FC137" s="131" t="str">
        <f t="shared" si="78"/>
        <v>#REF!</v>
      </c>
      <c r="FD137" s="131" t="str">
        <f t="array" ref="FD137">INDEX(FC:FC,MIN(IF(ISNUMBER(FC137:FC333),ROW(FC137:FC333),"")))</f>
        <v/>
      </c>
      <c r="FE137" s="131" t="str">
        <f t="shared" si="137"/>
        <v>#REF!</v>
      </c>
      <c r="FF137" s="138" t="str">
        <f>FE137*VLOOKUP('Données projet (1)'!$B$16,'Paramètres (1)'!$A$1:$I$88,3,0)*VLOOKUP('Données projet (1)'!$B$16,'Paramètres (1)'!$A$1:$I$88,5,0)</f>
        <v>#REF!</v>
      </c>
      <c r="FG137" s="130" t="str">
        <f t="shared" si="138"/>
        <v>#REF!</v>
      </c>
      <c r="FH137" s="141" t="str">
        <f t="shared" si="79"/>
        <v>#REF!</v>
      </c>
      <c r="FI137" s="133" t="str">
        <f t="shared" si="80"/>
        <v>#REF!</v>
      </c>
      <c r="FJ137" s="133" t="str">
        <f t="shared" si="81"/>
        <v>#REF!</v>
      </c>
      <c r="FK137" s="133" t="str">
        <f t="shared" si="139"/>
        <v>#REF!</v>
      </c>
      <c r="FL137" s="134" t="str">
        <f t="shared" si="82"/>
        <v>#REF!</v>
      </c>
      <c r="FM137" s="134" t="str">
        <f t="shared" si="83"/>
        <v>#REF!</v>
      </c>
      <c r="FN137" s="135" t="str">
        <f>IF(ISNA(VLOOKUP(A137,'Données projet (1)'!$A$217:$I$237,5,0)),0%,VLOOKUP(A137,'Données projet (1)'!$A$217:$I$237,5,0)*VLOOKUP('Données projet (1)'!$B$16,'Paramètres (1)'!$A$1:$I$88,7,0))</f>
        <v>#REF!</v>
      </c>
      <c r="FO137" s="135" t="str">
        <f>IF(ISNA(VLOOKUP(A137,'Données projet (1)'!$A$217:$I$237,6,0)),0%,VLOOKUP(A137,'Données projet (1)'!$A$217:$I$237,6,0)*VLOOKUP('Données projet (1)'!$B$16,'Paramètres (1)'!$A$1:$I$88,7,0))</f>
        <v>#REF!</v>
      </c>
      <c r="FP137" s="135" t="str">
        <f t="shared" si="84"/>
        <v>#REF!</v>
      </c>
      <c r="FQ137" s="142" t="str">
        <f>EXP(-LN(2)/35)*FQ136+(1-EXP(-LN(2)/35))/(LN(2)/35)*FM137*FN137*VLOOKUP('Données projet (1)'!$B$16,'Paramètres (1)'!$A$1:$I$88,3,0)*0.475*44/12</f>
        <v>#REF!</v>
      </c>
      <c r="FR137" s="142" t="str">
        <f>EXP(-LN(2)/25)*FR136+(1-EXP(-LN(2)/25))/(LN(2)/25)*'Calculateur (1)'!FM137*'Calculateur (1)'!FO137*VLOOKUP('Données projet (1)'!$B$16,'Paramètres (1)'!$A$1:$I$88,3,0)*0.475*44/12</f>
        <v>#REF!</v>
      </c>
      <c r="FS137" s="142" t="str">
        <f>EXP(-LN(2)/2)*FS136+(1-EXP(-LN(2)/2))/(LN(2)/2)*FM137*FP137*VLOOKUP('Données projet (1)'!$B$16,'Paramètres (1)'!$A$1:$I$88,3,0)*0.475*44/12</f>
        <v>#REF!</v>
      </c>
      <c r="FT137" s="143" t="str">
        <f t="shared" si="85"/>
        <v>#REF!</v>
      </c>
      <c r="FU137" s="139" t="str">
        <f t="shared" si="86"/>
        <v>#REF!</v>
      </c>
      <c r="FV137" s="131">
        <f t="shared" si="87"/>
        <v>10</v>
      </c>
      <c r="FW137" s="131" t="str">
        <f t="shared" si="140"/>
        <v>#REF!</v>
      </c>
      <c r="FX137" s="131" t="str">
        <f t="shared" si="88"/>
        <v>#REF!</v>
      </c>
      <c r="FY137" s="131" t="str">
        <f t="array" ref="FY137">INDEX(FX:FX,MIN(IF(ISNUMBER(FX137:FX333),ROW(FX137:FX333),"")))</f>
        <v/>
      </c>
      <c r="FZ137" s="131" t="str">
        <f t="shared" si="141"/>
        <v>#REF!</v>
      </c>
      <c r="GA137" s="138" t="str">
        <f>FZ137*VLOOKUP('Données projet (1)'!$B$17,'Paramètres (1)'!$A$1:$I$88,3,0)*VLOOKUP('Données projet (1)'!$B$17,'Paramètres (1)'!$A$1:$I$88,5,0)</f>
        <v>#REF!</v>
      </c>
      <c r="GB137" s="130" t="str">
        <f t="shared" si="142"/>
        <v>#REF!</v>
      </c>
      <c r="GC137" s="141" t="str">
        <f t="shared" si="89"/>
        <v>#REF!</v>
      </c>
      <c r="GD137" s="133" t="str">
        <f t="shared" si="90"/>
        <v>#REF!</v>
      </c>
      <c r="GE137" s="133" t="str">
        <f t="shared" si="91"/>
        <v>#REF!</v>
      </c>
      <c r="GF137" s="133" t="str">
        <f t="shared" si="143"/>
        <v>#REF!</v>
      </c>
      <c r="GG137" s="134" t="str">
        <f t="shared" si="92"/>
        <v>#REF!</v>
      </c>
      <c r="GH137" s="134" t="str">
        <f t="shared" si="93"/>
        <v>#REF!</v>
      </c>
      <c r="GI137" s="135" t="str">
        <f>IF(ISNA(VLOOKUP(A137,'Données projet (1)'!$A$243:$I$263,5,0)),0%,VLOOKUP(A137,'Données projet (1)'!$A$243:$I$263,5,0)*VLOOKUP('Données projet (1)'!$B$17,'Paramètres (1)'!$A$1:$I$88,7,0))</f>
        <v>#REF!</v>
      </c>
      <c r="GJ137" s="135" t="str">
        <f>IF(ISNA(VLOOKUP(A137,'Données projet (1)'!$A$243:$I$263,6,0)),0%,VLOOKUP(A137,'Données projet (1)'!$A$243:$I$263,6,0)*VLOOKUP('Données projet (1)'!$B$17,'Paramètres (1)'!$A$1:$I$88,7,0))</f>
        <v>#REF!</v>
      </c>
      <c r="GK137" s="135" t="str">
        <f t="shared" si="94"/>
        <v>#REF!</v>
      </c>
      <c r="GL137" s="142" t="str">
        <f>EXP(-LN(2)/35)*GL136+(1-EXP(-LN(2)/35))/(LN(2)/35)*GH137*GI137*VLOOKUP('Données projet (1)'!$B$17,'Paramètres (1)'!$A$1:$I$88,3,0)*0.475*44/12</f>
        <v>#REF!</v>
      </c>
      <c r="GM137" s="142" t="str">
        <f>EXP(-LN(2)/25)*GM136+(1-EXP(-LN(2)/25))/(LN(2)/25)*'Calculateur (1)'!GH137*'Calculateur (1)'!GJ137*VLOOKUP('Données projet (1)'!$B$17,'Paramètres (1)'!$A$1:$I$88,3,0)*0.475*44/12</f>
        <v>#REF!</v>
      </c>
      <c r="GN137" s="142" t="str">
        <f>EXP(-LN(2)/2)*GN136+(1-EXP(-LN(2)/2))/(LN(2)/2)*GH137*GK137*VLOOKUP('Données projet (1)'!$B$17,'Paramètres (1)'!$A$1:$I$88,3,0)*0.475*44/12</f>
        <v>#REF!</v>
      </c>
      <c r="GO137" s="142" t="str">
        <f t="shared" si="95"/>
        <v>#REF!</v>
      </c>
      <c r="GP137" s="139" t="str">
        <f t="shared" si="96"/>
        <v>#REF!</v>
      </c>
      <c r="GQ137" s="131">
        <f t="shared" si="97"/>
        <v>10</v>
      </c>
      <c r="GR137" s="131" t="str">
        <f t="shared" si="144"/>
        <v>#REF!</v>
      </c>
      <c r="GS137" s="131" t="str">
        <f t="shared" si="98"/>
        <v>#REF!</v>
      </c>
      <c r="GT137" s="131" t="str">
        <f t="array" ref="GT137">INDEX(GS:GS,MIN(IF(ISNUMBER(GS137:GS333),ROW(GS137:GS333),"")))</f>
        <v/>
      </c>
      <c r="GU137" s="131" t="str">
        <f t="shared" si="145"/>
        <v>#REF!</v>
      </c>
      <c r="GV137" s="138" t="str">
        <f>GU137*VLOOKUP('Données projet (1)'!$B$18,'Paramètres (1)'!$A$1:$I$88,3,0)*VLOOKUP('Données projet (1)'!$B$18,'Paramètres (1)'!$A$1:$I$88,5,0)</f>
        <v>#REF!</v>
      </c>
      <c r="GW137" s="130" t="str">
        <f t="shared" si="146"/>
        <v>#REF!</v>
      </c>
      <c r="GX137" s="141" t="str">
        <f t="shared" si="99"/>
        <v>#REF!</v>
      </c>
      <c r="GY137" s="133" t="str">
        <f t="shared" si="100"/>
        <v>#REF!</v>
      </c>
      <c r="GZ137" s="133" t="str">
        <f t="shared" si="101"/>
        <v>#REF!</v>
      </c>
      <c r="HA137" s="133" t="str">
        <f t="shared" si="147"/>
        <v>#REF!</v>
      </c>
      <c r="HB137" s="134" t="str">
        <f t="shared" si="102"/>
        <v>#REF!</v>
      </c>
      <c r="HC137" s="134" t="str">
        <f t="shared" si="103"/>
        <v>#REF!</v>
      </c>
      <c r="HD137" s="135" t="str">
        <f>IF(ISNA(VLOOKUP(A137,'Données projet (1)'!$A$269:$I$289,5,0)),0%,VLOOKUP(A137,'Données projet (1)'!$A$269:$I$289,5,0)*VLOOKUP('Données projet (1)'!$B$18,'Paramètres (1)'!$A$1:$I$88,7,0))</f>
        <v>#REF!</v>
      </c>
      <c r="HE137" s="135" t="str">
        <f>IF(ISNA(VLOOKUP(A137,'Données projet (1)'!$A$269:$I$289,6,0)),0%,VLOOKUP(A137,'Données projet (1)'!$A$269:$I$289,6,0)*VLOOKUP('Données projet (1)'!$B$18,'Paramètres (1)'!$A$1:$I$88,7,0))</f>
        <v>#REF!</v>
      </c>
      <c r="HF137" s="135" t="str">
        <f t="shared" si="104"/>
        <v>#REF!</v>
      </c>
      <c r="HG137" s="142" t="str">
        <f>EXP(-LN(2)/35)*HG136+(1-EXP(-LN(2)/35))/(LN(2)/35)*HC137*HD137*VLOOKUP('Données projet (1)'!$B$18,'Paramètres (1)'!$A$1:$I$88,3,0)*0.475*44/12</f>
        <v>#REF!</v>
      </c>
      <c r="HH137" s="142" t="str">
        <f>EXP(-LN(2)/25)*HH136+(1-EXP(-LN(2)/25))/(LN(2)/25)*'Calculateur (1)'!HC137*'Calculateur (1)'!HE137*VLOOKUP('Données projet (1)'!$B$18,'Paramètres (1)'!$A$1:$I$88,3,0)*0.475*44/12</f>
        <v>#REF!</v>
      </c>
      <c r="HI137" s="142" t="str">
        <f>EXP(-LN(2)/2)*HI136+(1-EXP(-LN(2)/2))/(LN(2)/2)*HC137*HF137*VLOOKUP('Données projet (1)'!$B$18,'Paramètres (1)'!$A$1:$I$88,3,0)*0.475*44/12</f>
        <v>#REF!</v>
      </c>
      <c r="HJ137" s="143" t="str">
        <f t="shared" si="105"/>
        <v>#REF!</v>
      </c>
    </row>
    <row r="138" ht="14.25" customHeight="1">
      <c r="A138" s="125">
        <f t="shared" si="106"/>
        <v>135</v>
      </c>
      <c r="B138" s="126" t="str">
        <f t="shared" si="1"/>
        <v>#REF!</v>
      </c>
      <c r="C138" s="140" t="str">
        <f>'Calculateur (1)'!C137+'Scénario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8" s="127">
        <f t="shared" si="107"/>
        <v>0</v>
      </c>
      <c r="E138" s="127" t="str">
        <f t="shared" si="2"/>
        <v>#REF!</v>
      </c>
      <c r="F138" s="127" t="str">
        <f t="shared" si="3"/>
        <v>#REF!</v>
      </c>
      <c r="G138" s="127" t="str">
        <f t="shared" si="4"/>
        <v>#REF!</v>
      </c>
      <c r="H138" s="128" t="str">
        <f t="shared" si="5"/>
        <v>#REF!</v>
      </c>
      <c r="I138" s="129" t="str">
        <f t="shared" si="6"/>
        <v>#REF!</v>
      </c>
      <c r="J138" s="130">
        <f t="shared" si="7"/>
        <v>10</v>
      </c>
      <c r="K138" s="131" t="str">
        <f t="shared" si="108"/>
        <v>#REF!</v>
      </c>
      <c r="L138" s="131" t="str">
        <f t="shared" si="8"/>
        <v>#REF!</v>
      </c>
      <c r="M138" s="131" t="str">
        <f t="array" ref="M138">INDEX(L:L,MIN(IF(ISNUMBER(L138:L334),ROW(L138:L334),"")))</f>
        <v/>
      </c>
      <c r="N138" s="130" t="str">
        <f t="shared" si="109"/>
        <v>#REF!</v>
      </c>
      <c r="O138" s="130" t="str">
        <f>N138*VLOOKUP('Données projet (1)'!$B$9,'Paramètres (1)'!$A$1:$I$88,3,0)*VLOOKUP('Données projet (1)'!$B$9,'Paramètres (1)'!$A$1:$I$88,5,0)</f>
        <v>#REF!</v>
      </c>
      <c r="P138" s="130" t="str">
        <f t="shared" si="110"/>
        <v>#REF!</v>
      </c>
      <c r="Q138" s="141" t="str">
        <f t="shared" si="9"/>
        <v>#REF!</v>
      </c>
      <c r="R138" s="133" t="str">
        <f t="shared" si="10"/>
        <v>#REF!</v>
      </c>
      <c r="S138" s="133" t="str">
        <f t="shared" si="11"/>
        <v>#REF!</v>
      </c>
      <c r="T138" s="133" t="str">
        <f t="shared" si="111"/>
        <v>#REF!</v>
      </c>
      <c r="U138" s="134" t="str">
        <f t="shared" si="12"/>
        <v>#REF!</v>
      </c>
      <c r="V138" s="134" t="str">
        <f t="shared" si="13"/>
        <v>#REF!</v>
      </c>
      <c r="W138" s="135" t="str">
        <f>IF(ISNA(VLOOKUP(A138,'Données projet (1)'!$A$35:$I$55,5,0)),0%,VLOOKUP(A138,'Données projet (1)'!$A$35:$I$55,5,0)*VLOOKUP('Données projet (1)'!$B$9,'Paramètres (1)'!$A$1:$I$88,7,0))</f>
        <v>#REF!</v>
      </c>
      <c r="X138" s="135" t="str">
        <f>IF(ISNA(VLOOKUP(A138,'Données projet (1)'!$A$35:$I$55,6,0)),0%,VLOOKUP(A138,'Données projet (1)'!$A$35:$I$55,6,0)*VLOOKUP('Données projet (1)'!$B$9,'Paramètres (1)'!$A$1:$I$88,7,0))</f>
        <v>#REF!</v>
      </c>
      <c r="Y138" s="135" t="str">
        <f t="shared" si="14"/>
        <v>#REF!</v>
      </c>
      <c r="Z138" s="142" t="str">
        <f>EXP(-LN(2)/35)*Z137+(1-EXP(-LN(2)/35))/(LN(2)/35)*V138*W138*VLOOKUP('Données projet (1)'!$B$9,'Paramètres (1)'!$A$1:$I$88,3,0)*0.475*44/12</f>
        <v>#REF!</v>
      </c>
      <c r="AA138" s="142" t="str">
        <f>EXP(-LN(2)/25)*AA137+(1-EXP(-LN(2)/25))/(LN(2)/25)*'Calculateur (1)'!V138*'Calculateur (1)'!X138*VLOOKUP('Données projet (1)'!$B$9,'Paramètres (1)'!$A$1:$I$88,3,0)*0.475*44/12</f>
        <v>#REF!</v>
      </c>
      <c r="AB138" s="142" t="str">
        <f>EXP(-LN(2)/2)*AB137+(1-EXP(-LN(2)/2))/(LN(2)/2)*V138*Y138*VLOOKUP('Données projet (1)'!$B$9,'Paramètres (1)'!$A$1:$I$88,3,0)*0.475*44/12</f>
        <v>#REF!</v>
      </c>
      <c r="AC138" s="143" t="str">
        <f t="shared" si="15"/>
        <v>#REF!</v>
      </c>
      <c r="AD138" s="130" t="str">
        <f t="shared" si="16"/>
        <v>#REF!</v>
      </c>
      <c r="AE138" s="130">
        <f t="shared" si="17"/>
        <v>10</v>
      </c>
      <c r="AF138" s="131" t="str">
        <f t="shared" si="112"/>
        <v>#REF!</v>
      </c>
      <c r="AG138" s="131" t="str">
        <f t="shared" si="18"/>
        <v>#REF!</v>
      </c>
      <c r="AH138" s="131" t="str">
        <f t="array" ref="AH138">INDEX(AG:AG,MIN(IF(ISNUMBER(AG138:AG334),ROW(AG138:AG334),"")))</f>
        <v/>
      </c>
      <c r="AI138" s="130" t="str">
        <f t="shared" si="113"/>
        <v>#REF!</v>
      </c>
      <c r="AJ138" s="130" t="str">
        <f>AI138*VLOOKUP('Données projet (1)'!$B$10,'Paramètres (1)'!$A$1:$I$88,3,0)*VLOOKUP('Données projet (1)'!$B$10,'Paramètres (1)'!$A$1:$I$88,5,0)</f>
        <v>#REF!</v>
      </c>
      <c r="AK138" s="130" t="str">
        <f t="shared" si="114"/>
        <v>#REF!</v>
      </c>
      <c r="AL138" s="141" t="str">
        <f t="shared" si="19"/>
        <v>#REF!</v>
      </c>
      <c r="AM138" s="133" t="str">
        <f t="shared" si="20"/>
        <v>#REF!</v>
      </c>
      <c r="AN138" s="133" t="str">
        <f t="shared" si="21"/>
        <v>#REF!</v>
      </c>
      <c r="AO138" s="133" t="str">
        <f t="shared" si="115"/>
        <v>#REF!</v>
      </c>
      <c r="AP138" s="134" t="str">
        <f t="shared" si="22"/>
        <v>#REF!</v>
      </c>
      <c r="AQ138" s="134" t="str">
        <f t="shared" si="23"/>
        <v>#REF!</v>
      </c>
      <c r="AR138" s="135" t="str">
        <f>IF(ISNA(VLOOKUP(A138,'Données projet (1)'!$A$61:$I$81,5,0)),0%,VLOOKUP(A138,'Données projet (1)'!$A$61:$I$81,5,0)*VLOOKUP('Données projet (1)'!$B$10,'Paramètres (1)'!$A$1:$I$88,7,0))</f>
        <v>#REF!</v>
      </c>
      <c r="AS138" s="135" t="str">
        <f>IF(ISNA(VLOOKUP(A138,'Données projet (1)'!$A$61:$I$81,6,0)),0%,VLOOKUP(A138,'Données projet (1)'!$A$61:$I$81,6,0)*VLOOKUP('Données projet (1)'!$B$10,'Paramètres (1)'!$A$1:$I$88,7,0))</f>
        <v>#REF!</v>
      </c>
      <c r="AT138" s="135" t="str">
        <f t="shared" si="24"/>
        <v>#REF!</v>
      </c>
      <c r="AU138" s="142" t="str">
        <f>EXP(-LN(2)/35)*AU137+(1-EXP(-LN(2)/35))/(LN(2)/35)*AQ138*AR138*VLOOKUP('Données projet (1)'!$B$10,'Paramètres (1)'!$A$1:$I$88,3,0)*0.475*44/12</f>
        <v>#REF!</v>
      </c>
      <c r="AV138" s="142" t="str">
        <f>EXP(-LN(2)/25)*AV137+(1-EXP(-LN(2)/25))/(LN(2)/25)*'Calculateur (1)'!AQ138*'Calculateur (1)'!AS138*VLOOKUP('Données projet (1)'!$B$10,'Paramètres (1)'!$A$1:$I$88,3,0)*0.475*44/12</f>
        <v>#REF!</v>
      </c>
      <c r="AW138" s="142" t="str">
        <f>EXP(-LN(2)/2)*AW137+(1-EXP(-LN(2)/2))/(LN(2)/2)*AQ138*AT138*VLOOKUP('Données projet (1)'!$B$10,'Paramètres (1)'!$A$1:$I$88,3,0)*0.475*44/12</f>
        <v>#REF!</v>
      </c>
      <c r="AX138" s="142" t="str">
        <f t="shared" si="25"/>
        <v>#REF!</v>
      </c>
      <c r="AY138" s="137" t="str">
        <f t="shared" si="26"/>
        <v>#REF!</v>
      </c>
      <c r="AZ138" s="131">
        <f t="shared" si="27"/>
        <v>10</v>
      </c>
      <c r="BA138" s="131" t="str">
        <f t="shared" si="116"/>
        <v>#REF!</v>
      </c>
      <c r="BB138" s="131" t="str">
        <f t="shared" si="28"/>
        <v>#REF!</v>
      </c>
      <c r="BC138" s="131" t="str">
        <f t="array" ref="BC138">INDEX(BB:BB,MIN(IF(ISNUMBER(BB138:BB334),ROW(BB138:BB334),"")))</f>
        <v/>
      </c>
      <c r="BD138" s="131" t="str">
        <f t="shared" si="117"/>
        <v>#REF!</v>
      </c>
      <c r="BE138" s="130" t="str">
        <f>BD138*VLOOKUP('Données projet (1)'!$B$11,'Paramètres (1)'!$A$1:$I$88,3,0)*VLOOKUP('Données projet (1)'!$B$11,'Paramètres (1)'!$A$1:$I$88,5,0)</f>
        <v>#REF!</v>
      </c>
      <c r="BF138" s="130" t="str">
        <f t="shared" si="118"/>
        <v>#REF!</v>
      </c>
      <c r="BG138" s="141" t="str">
        <f t="shared" si="29"/>
        <v>#REF!</v>
      </c>
      <c r="BH138" s="133" t="str">
        <f t="shared" si="30"/>
        <v>#REF!</v>
      </c>
      <c r="BI138" s="133" t="str">
        <f t="shared" si="31"/>
        <v>#REF!</v>
      </c>
      <c r="BJ138" s="133" t="str">
        <f t="shared" si="119"/>
        <v>#REF!</v>
      </c>
      <c r="BK138" s="134" t="str">
        <f t="shared" si="32"/>
        <v>#REF!</v>
      </c>
      <c r="BL138" s="134" t="str">
        <f t="shared" si="33"/>
        <v>#REF!</v>
      </c>
      <c r="BM138" s="135" t="str">
        <f>IF(ISNA(VLOOKUP(A138,'Données projet (1)'!$A$87:$I$107,5,0)),0%,VLOOKUP(A138,'Données projet (1)'!$A$87:$I$107,5,0)*VLOOKUP('Données projet (1)'!$B$11,'Paramètres (1)'!$A$1:$I$88,7,0))</f>
        <v>#REF!</v>
      </c>
      <c r="BN138" s="135" t="str">
        <f>IF(ISNA(VLOOKUP(A138,'Données projet (1)'!$A$87:$I$107,6,0)),0%,VLOOKUP(A138,'Données projet (1)'!$A$87:$I$107,6,0)*VLOOKUP('Données projet (1)'!$B$11,'Paramètres (1)'!$A$1:$I$88,7,0))</f>
        <v>#REF!</v>
      </c>
      <c r="BO138" s="135" t="str">
        <f t="shared" si="34"/>
        <v>#REF!</v>
      </c>
      <c r="BP138" s="142" t="str">
        <f>EXP(-LN(2)/35)*BP137+(1-EXP(-LN(2)/35))/(LN(2)/35)*BL138*BM138*VLOOKUP('Données projet (1)'!$B$11,'Paramètres (1)'!$A$1:$I$88,3,0)*0.475*44/12</f>
        <v>#REF!</v>
      </c>
      <c r="BQ138" s="142" t="str">
        <f>EXP(-LN(2)/25)*BQ137+(1-EXP(-LN(2)/25))/(LN(2)/25)*'Calculateur (1)'!BL138*'Calculateur (1)'!BN138*VLOOKUP('Données projet (1)'!$B$11,'Paramètres (1)'!$A$1:$I$88,3,0)*0.475*44/12</f>
        <v>#REF!</v>
      </c>
      <c r="BR138" s="142" t="str">
        <f>EXP(-LN(2)/2)*BR137+(1-EXP(-LN(2)/2))/(LN(2)/2)*BL138*BO138*VLOOKUP('Données projet (1)'!$B$11,'Paramètres (1)'!$A$1:$I$88,3,0)*0.475*44/12</f>
        <v>#REF!</v>
      </c>
      <c r="BS138" s="143" t="str">
        <f t="shared" si="35"/>
        <v>#REF!</v>
      </c>
      <c r="BT138" s="139" t="str">
        <f t="shared" si="36"/>
        <v>#REF!</v>
      </c>
      <c r="BU138" s="131">
        <f t="shared" si="37"/>
        <v>10</v>
      </c>
      <c r="BV138" s="131" t="str">
        <f t="shared" si="120"/>
        <v>#REF!</v>
      </c>
      <c r="BW138" s="131" t="str">
        <f t="shared" si="38"/>
        <v>#REF!</v>
      </c>
      <c r="BX138" s="131" t="str">
        <f t="array" ref="BX138">INDEX(BW:BW,MIN(IF(ISNUMBER(BW138:BW334),ROW(BW138:BW334),"")))</f>
        <v/>
      </c>
      <c r="BY138" s="131" t="str">
        <f t="shared" si="121"/>
        <v>#REF!</v>
      </c>
      <c r="BZ138" s="130" t="str">
        <f>BY138*VLOOKUP('Données projet (1)'!$B$12,'Paramètres (1)'!$A$1:$I$88,3,0)*VLOOKUP('Données projet (1)'!$B$12,'Paramètres (1)'!$A$1:$I$88,5,0)</f>
        <v>#REF!</v>
      </c>
      <c r="CA138" s="130" t="str">
        <f t="shared" si="122"/>
        <v>#REF!</v>
      </c>
      <c r="CB138" s="141" t="str">
        <f t="shared" si="39"/>
        <v>#REF!</v>
      </c>
      <c r="CC138" s="133" t="str">
        <f t="shared" si="40"/>
        <v>#REF!</v>
      </c>
      <c r="CD138" s="133" t="str">
        <f t="shared" si="41"/>
        <v>#REF!</v>
      </c>
      <c r="CE138" s="133" t="str">
        <f t="shared" si="123"/>
        <v>#REF!</v>
      </c>
      <c r="CF138" s="134" t="str">
        <f t="shared" si="42"/>
        <v>#REF!</v>
      </c>
      <c r="CG138" s="134" t="str">
        <f t="shared" si="43"/>
        <v>#REF!</v>
      </c>
      <c r="CH138" s="135" t="str">
        <f>IF(ISNA(VLOOKUP(A138,'Données projet (1)'!$A$113:$I$133,5,0)),0%,VLOOKUP(A138,'Données projet (1)'!$A$113:$I$133,5,0)*VLOOKUP('Données projet (1)'!$B$12,'Paramètres (1)'!$A$1:$I$88,7,0))</f>
        <v>#REF!</v>
      </c>
      <c r="CI138" s="135" t="str">
        <f>IF(ISNA(VLOOKUP(A138,'Données projet (1)'!$A$113:$I$133,6,0)),0%,VLOOKUP(A138,'Données projet (1)'!$A$113:$I$133,6,0)*VLOOKUP('Données projet (1)'!$B$12,'Paramètres (1)'!$A$1:$I$88,7,0))</f>
        <v>#REF!</v>
      </c>
      <c r="CJ138" s="135" t="str">
        <f t="shared" si="44"/>
        <v>#REF!</v>
      </c>
      <c r="CK138" s="142" t="str">
        <f>EXP(-LN(2)/35)*CK137+(1-EXP(-LN(2)/35))/(LN(2)/35)*CG138*CH138*VLOOKUP('Données projet (1)'!$B$12,'Paramètres (1)'!$A$1:$I$88,3,0)*0.475*44/12</f>
        <v>#REF!</v>
      </c>
      <c r="CL138" s="142" t="str">
        <f>EXP(-LN(2)/25)*CL137+(1-EXP(-LN(2)/25))/(LN(2)/25)*'Calculateur (1)'!CG138*'Calculateur (1)'!CI138*VLOOKUP('Données projet (1)'!$B$12,'Paramètres (1)'!$A$1:$I$88,3,0)*0.475*44/12</f>
        <v>#REF!</v>
      </c>
      <c r="CM138" s="142" t="str">
        <f>EXP(-LN(2)/2)*CM137+(1-EXP(-LN(2)/2))/(LN(2)/2)*CG138*CJ138*VLOOKUP('Données projet (1)'!$B$12,'Paramètres (1)'!$A$1:$I$88,3,0)*0.475*44/12</f>
        <v>#REF!</v>
      </c>
      <c r="CN138" s="143" t="str">
        <f t="shared" si="45"/>
        <v>#REF!</v>
      </c>
      <c r="CO138" s="139" t="str">
        <f t="shared" si="46"/>
        <v>#REF!</v>
      </c>
      <c r="CP138" s="131">
        <f t="shared" si="47"/>
        <v>10</v>
      </c>
      <c r="CQ138" s="131" t="str">
        <f t="shared" si="124"/>
        <v>#REF!</v>
      </c>
      <c r="CR138" s="131" t="str">
        <f t="shared" si="48"/>
        <v>#REF!</v>
      </c>
      <c r="CS138" s="131" t="str">
        <f t="array" ref="CS138">INDEX(CR:CR,MIN(IF(ISNUMBER(CR138:CR334),ROW(CR138:CR334),"")))</f>
        <v/>
      </c>
      <c r="CT138" s="131" t="str">
        <f t="shared" si="125"/>
        <v>#REF!</v>
      </c>
      <c r="CU138" s="138" t="str">
        <f>CT138*VLOOKUP('Données projet (1)'!$B$13,'Paramètres (1)'!$A$1:$I$88,3,0)*VLOOKUP('Données projet (1)'!$B$13,'Paramètres (1)'!$A$1:$I$88,5,0)</f>
        <v>#REF!</v>
      </c>
      <c r="CV138" s="130" t="str">
        <f t="shared" si="126"/>
        <v>#REF!</v>
      </c>
      <c r="CW138" s="141" t="str">
        <f t="shared" si="49"/>
        <v>#REF!</v>
      </c>
      <c r="CX138" s="133" t="str">
        <f t="shared" si="50"/>
        <v>#REF!</v>
      </c>
      <c r="CY138" s="133" t="str">
        <f t="shared" si="51"/>
        <v>#REF!</v>
      </c>
      <c r="CZ138" s="133" t="str">
        <f t="shared" si="127"/>
        <v>#REF!</v>
      </c>
      <c r="DA138" s="134" t="str">
        <f t="shared" si="52"/>
        <v>#REF!</v>
      </c>
      <c r="DB138" s="134" t="str">
        <f t="shared" si="53"/>
        <v>#REF!</v>
      </c>
      <c r="DC138" s="135" t="str">
        <f>IF(ISNA(VLOOKUP(A138,'Données projet (1)'!$A$139:$I$159,5,0)),0%,VLOOKUP(A138,'Données projet (1)'!$A$139:$I$159,5,0)*VLOOKUP('Données projet (1)'!$B$13,'Paramètres (1)'!$A$1:$I$88,7,0))</f>
        <v>#REF!</v>
      </c>
      <c r="DD138" s="135" t="str">
        <f>IF(ISNA(VLOOKUP(A138,'Données projet (1)'!$A$139:$I$159,6,0)),0%,VLOOKUP(A138,'Données projet (1)'!$A$139:$I$159,6,0)*VLOOKUP('Données projet (1)'!$B$13,'Paramètres (1)'!$A$1:$I$88,7,0))</f>
        <v>#REF!</v>
      </c>
      <c r="DE138" s="135" t="str">
        <f t="shared" si="54"/>
        <v>#REF!</v>
      </c>
      <c r="DF138" s="142" t="str">
        <f>EXP(-LN(2)/35)*DF137+(1-EXP(-LN(2)/35))/(LN(2)/35)*DB138*DC138*VLOOKUP('Données projet (1)'!$B$13,'Paramètres (1)'!$A$1:$I$88,3,0)*0.475*44/12</f>
        <v>#REF!</v>
      </c>
      <c r="DG138" s="142" t="str">
        <f>EXP(-LN(2)/25)*DG137+(1-EXP(-LN(2)/25))/(LN(2)/25)*'Calculateur (1)'!DB138*'Calculateur (1)'!DD138*VLOOKUP('Données projet (1)'!$B$13,'Paramètres (1)'!$A$1:$I$88,3,0)*0.475*44/12</f>
        <v>#REF!</v>
      </c>
      <c r="DH138" s="142" t="str">
        <f>EXP(-LN(2)/2)*DH137+(1-EXP(-LN(2)/2))/(LN(2)/2)*DB138*DE138*VLOOKUP('Données projet (1)'!$B$13,'Paramètres (1)'!$A$1:$I$88,3,0)*0.475*44/12</f>
        <v>#REF!</v>
      </c>
      <c r="DI138" s="143" t="str">
        <f t="shared" si="55"/>
        <v>#REF!</v>
      </c>
      <c r="DJ138" s="139" t="str">
        <f t="shared" si="56"/>
        <v>#REF!</v>
      </c>
      <c r="DK138" s="131">
        <f t="shared" si="57"/>
        <v>10</v>
      </c>
      <c r="DL138" s="131" t="str">
        <f t="shared" si="128"/>
        <v>#REF!</v>
      </c>
      <c r="DM138" s="131" t="str">
        <f t="shared" si="58"/>
        <v>#REF!</v>
      </c>
      <c r="DN138" s="131" t="str">
        <f t="array" ref="DN138">INDEX(DM:DM,MIN(IF(ISNUMBER(DM138:DM334),ROW(DM138:DM334),"")))</f>
        <v/>
      </c>
      <c r="DO138" s="131" t="str">
        <f t="shared" si="129"/>
        <v>#REF!</v>
      </c>
      <c r="DP138" s="138" t="str">
        <f>DO138*VLOOKUP('Données projet (1)'!$B$14,'Paramètres (1)'!$A$1:$I$88,3,0)*VLOOKUP('Données projet (1)'!$B$14,'Paramètres (1)'!$A$1:$I$88,5,0)</f>
        <v>#REF!</v>
      </c>
      <c r="DQ138" s="130" t="str">
        <f t="shared" si="130"/>
        <v>#REF!</v>
      </c>
      <c r="DR138" s="141" t="str">
        <f t="shared" si="59"/>
        <v>#REF!</v>
      </c>
      <c r="DS138" s="133" t="str">
        <f t="shared" si="60"/>
        <v>#REF!</v>
      </c>
      <c r="DT138" s="133" t="str">
        <f t="shared" si="61"/>
        <v>#REF!</v>
      </c>
      <c r="DU138" s="133" t="str">
        <f t="shared" si="131"/>
        <v>#REF!</v>
      </c>
      <c r="DV138" s="134" t="str">
        <f t="shared" si="62"/>
        <v>#REF!</v>
      </c>
      <c r="DW138" s="134" t="str">
        <f t="shared" si="63"/>
        <v>#REF!</v>
      </c>
      <c r="DX138" s="135" t="str">
        <f>IF(ISNA(VLOOKUP(A138,'Données projet (1)'!$A$165:$I$185,5,0)),0%,VLOOKUP(A138,'Données projet (1)'!$A$165:$I$185,5,0)*VLOOKUP('Données projet (1)'!$B$14,'Paramètres (1)'!$A$1:$I$88,7,0))</f>
        <v>#REF!</v>
      </c>
      <c r="DY138" s="135" t="str">
        <f>IF(ISNA(VLOOKUP(A138,'Données projet (1)'!$A$165:$I$185,6,0)),0%,VLOOKUP(A138,'Données projet (1)'!$A$165:$I$185,6,0)*VLOOKUP('Données projet (1)'!$B$14,'Paramètres (1)'!$A$1:$I$88,7,0))</f>
        <v>#REF!</v>
      </c>
      <c r="DZ138" s="135" t="str">
        <f t="shared" si="64"/>
        <v>#REF!</v>
      </c>
      <c r="EA138" s="142" t="str">
        <f>EXP(-LN(2)/35)*EA137+(1-EXP(-LN(2)/35))/(LN(2)/35)*DW138*DX138*VLOOKUP('Données projet (1)'!$B$14,'Paramètres (1)'!$A$1:$I$88,3,0)*0.475*44/12</f>
        <v>#REF!</v>
      </c>
      <c r="EB138" s="142" t="str">
        <f>EXP(-LN(2)/25)*EB137+(1-EXP(-LN(2)/25))/(LN(2)/25)*'Calculateur (1)'!DW138*'Calculateur (1)'!DY138*VLOOKUP('Données projet (1)'!$B$14,'Paramètres (1)'!$A$1:$I$88,3,0)*0.475*44/12</f>
        <v>#REF!</v>
      </c>
      <c r="EC138" s="142" t="str">
        <f>EXP(-LN(2)/2)*EC137+(1-EXP(-LN(2)/2))/(LN(2)/2)*DW138*DZ138*VLOOKUP('Données projet (1)'!$B$14,'Paramètres (1)'!$A$1:$I$88,3,0)*0.475*44/12</f>
        <v>#REF!</v>
      </c>
      <c r="ED138" s="143" t="str">
        <f t="shared" si="65"/>
        <v>#REF!</v>
      </c>
      <c r="EE138" s="139" t="str">
        <f t="shared" si="66"/>
        <v>#REF!</v>
      </c>
      <c r="EF138" s="131">
        <f t="shared" si="67"/>
        <v>10</v>
      </c>
      <c r="EG138" s="131" t="str">
        <f t="shared" si="132"/>
        <v>#REF!</v>
      </c>
      <c r="EH138" s="131" t="str">
        <f t="shared" si="68"/>
        <v>#REF!</v>
      </c>
      <c r="EI138" s="131" t="str">
        <f t="array" ref="EI138">INDEX(EH:EH,MIN(IF(ISNUMBER(EH138:EH334),ROW(EH138:EH334),"")))</f>
        <v/>
      </c>
      <c r="EJ138" s="131" t="str">
        <f t="shared" si="133"/>
        <v>#REF!</v>
      </c>
      <c r="EK138" s="138" t="str">
        <f>EJ138*VLOOKUP('Données projet (1)'!$B$15,'Paramètres (1)'!$A$1:$I$88,3,0)*VLOOKUP('Données projet (1)'!$B$15,'Paramètres (1)'!$A$1:$I$88,5,0)</f>
        <v>#REF!</v>
      </c>
      <c r="EL138" s="130" t="str">
        <f t="shared" si="134"/>
        <v>#REF!</v>
      </c>
      <c r="EM138" s="141" t="str">
        <f t="shared" si="69"/>
        <v>#REF!</v>
      </c>
      <c r="EN138" s="133" t="str">
        <f t="shared" si="70"/>
        <v>#REF!</v>
      </c>
      <c r="EO138" s="133" t="str">
        <f t="shared" si="71"/>
        <v>#REF!</v>
      </c>
      <c r="EP138" s="133" t="str">
        <f t="shared" si="135"/>
        <v>#REF!</v>
      </c>
      <c r="EQ138" s="134" t="str">
        <f t="shared" si="72"/>
        <v>#REF!</v>
      </c>
      <c r="ER138" s="134" t="str">
        <f t="shared" si="73"/>
        <v>#REF!</v>
      </c>
      <c r="ES138" s="135" t="str">
        <f>IF(ISNA(VLOOKUP(A138,'Données projet (1)'!$A$191:$I$211,5,0)),0%,VLOOKUP(A138,'Données projet (1)'!$A$191:$I$211,5,0)*VLOOKUP('Données projet (1)'!$B$15,'Paramètres (1)'!$A$1:$I$88,7,0))</f>
        <v>#REF!</v>
      </c>
      <c r="ET138" s="135" t="str">
        <f>IF(ISNA(VLOOKUP(A138,'Données projet (1)'!$A$191:$I$211,6,0)),0%,VLOOKUP(A138,'Données projet (1)'!$A$191:$I$211,6,0)*VLOOKUP('Données projet (1)'!$B$15,'Paramètres (1)'!$A$1:$I$88,7,0))</f>
        <v>#REF!</v>
      </c>
      <c r="EU138" s="135" t="str">
        <f t="shared" si="74"/>
        <v>#REF!</v>
      </c>
      <c r="EV138" s="142" t="str">
        <f>EXP(-LN(2)/35)*EV137+(1-EXP(-LN(2)/35))/(LN(2)/35)*ER138*ES138*VLOOKUP('Données projet (1)'!$B$15,'Paramètres (1)'!$A$1:$I$88,3,0)*0.475*44/12</f>
        <v>#REF!</v>
      </c>
      <c r="EW138" s="142" t="str">
        <f>EXP(-LN(2)/25)*EW137+(1-EXP(-LN(2)/25))/(LN(2)/25)*'Calculateur (1)'!ER138*'Calculateur (1)'!ET138*VLOOKUP('Données projet (1)'!$B$15,'Paramètres (1)'!$A$1:$I$88,3,0)*0.475*44/12</f>
        <v>#REF!</v>
      </c>
      <c r="EX138" s="142" t="str">
        <f>EXP(-LN(2)/2)*EX137+(1-EXP(-LN(2)/2))/(LN(2)/2)*ER138*EU138*VLOOKUP('Données projet (1)'!$B$15,'Paramètres (1)'!$A$1:$I$88,3,0)*0.475*44/12</f>
        <v>#REF!</v>
      </c>
      <c r="EY138" s="143" t="str">
        <f t="shared" si="75"/>
        <v>#REF!</v>
      </c>
      <c r="EZ138" s="139" t="str">
        <f t="shared" si="76"/>
        <v>#REF!</v>
      </c>
      <c r="FA138" s="131">
        <f t="shared" si="77"/>
        <v>10</v>
      </c>
      <c r="FB138" s="131" t="str">
        <f t="shared" si="136"/>
        <v>#REF!</v>
      </c>
      <c r="FC138" s="131" t="str">
        <f t="shared" si="78"/>
        <v>#REF!</v>
      </c>
      <c r="FD138" s="131" t="str">
        <f t="array" ref="FD138">INDEX(FC:FC,MIN(IF(ISNUMBER(FC138:FC334),ROW(FC138:FC334),"")))</f>
        <v/>
      </c>
      <c r="FE138" s="131" t="str">
        <f t="shared" si="137"/>
        <v>#REF!</v>
      </c>
      <c r="FF138" s="138" t="str">
        <f>FE138*VLOOKUP('Données projet (1)'!$B$16,'Paramètres (1)'!$A$1:$I$88,3,0)*VLOOKUP('Données projet (1)'!$B$16,'Paramètres (1)'!$A$1:$I$88,5,0)</f>
        <v>#REF!</v>
      </c>
      <c r="FG138" s="130" t="str">
        <f t="shared" si="138"/>
        <v>#REF!</v>
      </c>
      <c r="FH138" s="141" t="str">
        <f t="shared" si="79"/>
        <v>#REF!</v>
      </c>
      <c r="FI138" s="133" t="str">
        <f t="shared" si="80"/>
        <v>#REF!</v>
      </c>
      <c r="FJ138" s="133" t="str">
        <f t="shared" si="81"/>
        <v>#REF!</v>
      </c>
      <c r="FK138" s="133" t="str">
        <f t="shared" si="139"/>
        <v>#REF!</v>
      </c>
      <c r="FL138" s="134" t="str">
        <f t="shared" si="82"/>
        <v>#REF!</v>
      </c>
      <c r="FM138" s="134" t="str">
        <f t="shared" si="83"/>
        <v>#REF!</v>
      </c>
      <c r="FN138" s="135" t="str">
        <f>IF(ISNA(VLOOKUP(A138,'Données projet (1)'!$A$217:$I$237,5,0)),0%,VLOOKUP(A138,'Données projet (1)'!$A$217:$I$237,5,0)*VLOOKUP('Données projet (1)'!$B$16,'Paramètres (1)'!$A$1:$I$88,7,0))</f>
        <v>#REF!</v>
      </c>
      <c r="FO138" s="135" t="str">
        <f>IF(ISNA(VLOOKUP(A138,'Données projet (1)'!$A$217:$I$237,6,0)),0%,VLOOKUP(A138,'Données projet (1)'!$A$217:$I$237,6,0)*VLOOKUP('Données projet (1)'!$B$16,'Paramètres (1)'!$A$1:$I$88,7,0))</f>
        <v>#REF!</v>
      </c>
      <c r="FP138" s="135" t="str">
        <f t="shared" si="84"/>
        <v>#REF!</v>
      </c>
      <c r="FQ138" s="142" t="str">
        <f>EXP(-LN(2)/35)*FQ137+(1-EXP(-LN(2)/35))/(LN(2)/35)*FM138*FN138*VLOOKUP('Données projet (1)'!$B$16,'Paramètres (1)'!$A$1:$I$88,3,0)*0.475*44/12</f>
        <v>#REF!</v>
      </c>
      <c r="FR138" s="142" t="str">
        <f>EXP(-LN(2)/25)*FR137+(1-EXP(-LN(2)/25))/(LN(2)/25)*'Calculateur (1)'!FM138*'Calculateur (1)'!FO138*VLOOKUP('Données projet (1)'!$B$16,'Paramètres (1)'!$A$1:$I$88,3,0)*0.475*44/12</f>
        <v>#REF!</v>
      </c>
      <c r="FS138" s="142" t="str">
        <f>EXP(-LN(2)/2)*FS137+(1-EXP(-LN(2)/2))/(LN(2)/2)*FM138*FP138*VLOOKUP('Données projet (1)'!$B$16,'Paramètres (1)'!$A$1:$I$88,3,0)*0.475*44/12</f>
        <v>#REF!</v>
      </c>
      <c r="FT138" s="143" t="str">
        <f t="shared" si="85"/>
        <v>#REF!</v>
      </c>
      <c r="FU138" s="139" t="str">
        <f t="shared" si="86"/>
        <v>#REF!</v>
      </c>
      <c r="FV138" s="131">
        <f t="shared" si="87"/>
        <v>10</v>
      </c>
      <c r="FW138" s="131" t="str">
        <f t="shared" si="140"/>
        <v>#REF!</v>
      </c>
      <c r="FX138" s="131" t="str">
        <f t="shared" si="88"/>
        <v>#REF!</v>
      </c>
      <c r="FY138" s="131" t="str">
        <f t="array" ref="FY138">INDEX(FX:FX,MIN(IF(ISNUMBER(FX138:FX334),ROW(FX138:FX334),"")))</f>
        <v/>
      </c>
      <c r="FZ138" s="131" t="str">
        <f t="shared" si="141"/>
        <v>#REF!</v>
      </c>
      <c r="GA138" s="138" t="str">
        <f>FZ138*VLOOKUP('Données projet (1)'!$B$17,'Paramètres (1)'!$A$1:$I$88,3,0)*VLOOKUP('Données projet (1)'!$B$17,'Paramètres (1)'!$A$1:$I$88,5,0)</f>
        <v>#REF!</v>
      </c>
      <c r="GB138" s="130" t="str">
        <f t="shared" si="142"/>
        <v>#REF!</v>
      </c>
      <c r="GC138" s="141" t="str">
        <f t="shared" si="89"/>
        <v>#REF!</v>
      </c>
      <c r="GD138" s="133" t="str">
        <f t="shared" si="90"/>
        <v>#REF!</v>
      </c>
      <c r="GE138" s="133" t="str">
        <f t="shared" si="91"/>
        <v>#REF!</v>
      </c>
      <c r="GF138" s="133" t="str">
        <f t="shared" si="143"/>
        <v>#REF!</v>
      </c>
      <c r="GG138" s="134" t="str">
        <f t="shared" si="92"/>
        <v>#REF!</v>
      </c>
      <c r="GH138" s="134" t="str">
        <f t="shared" si="93"/>
        <v>#REF!</v>
      </c>
      <c r="GI138" s="135" t="str">
        <f>IF(ISNA(VLOOKUP(A138,'Données projet (1)'!$A$243:$I$263,5,0)),0%,VLOOKUP(A138,'Données projet (1)'!$A$243:$I$263,5,0)*VLOOKUP('Données projet (1)'!$B$17,'Paramètres (1)'!$A$1:$I$88,7,0))</f>
        <v>#REF!</v>
      </c>
      <c r="GJ138" s="135" t="str">
        <f>IF(ISNA(VLOOKUP(A138,'Données projet (1)'!$A$243:$I$263,6,0)),0%,VLOOKUP(A138,'Données projet (1)'!$A$243:$I$263,6,0)*VLOOKUP('Données projet (1)'!$B$17,'Paramètres (1)'!$A$1:$I$88,7,0))</f>
        <v>#REF!</v>
      </c>
      <c r="GK138" s="135" t="str">
        <f t="shared" si="94"/>
        <v>#REF!</v>
      </c>
      <c r="GL138" s="142" t="str">
        <f>EXP(-LN(2)/35)*GL137+(1-EXP(-LN(2)/35))/(LN(2)/35)*GH138*GI138*VLOOKUP('Données projet (1)'!$B$17,'Paramètres (1)'!$A$1:$I$88,3,0)*0.475*44/12</f>
        <v>#REF!</v>
      </c>
      <c r="GM138" s="142" t="str">
        <f>EXP(-LN(2)/25)*GM137+(1-EXP(-LN(2)/25))/(LN(2)/25)*'Calculateur (1)'!GH138*'Calculateur (1)'!GJ138*VLOOKUP('Données projet (1)'!$B$17,'Paramètres (1)'!$A$1:$I$88,3,0)*0.475*44/12</f>
        <v>#REF!</v>
      </c>
      <c r="GN138" s="142" t="str">
        <f>EXP(-LN(2)/2)*GN137+(1-EXP(-LN(2)/2))/(LN(2)/2)*GH138*GK138*VLOOKUP('Données projet (1)'!$B$17,'Paramètres (1)'!$A$1:$I$88,3,0)*0.475*44/12</f>
        <v>#REF!</v>
      </c>
      <c r="GO138" s="142" t="str">
        <f t="shared" si="95"/>
        <v>#REF!</v>
      </c>
      <c r="GP138" s="139" t="str">
        <f t="shared" si="96"/>
        <v>#REF!</v>
      </c>
      <c r="GQ138" s="131">
        <f t="shared" si="97"/>
        <v>10</v>
      </c>
      <c r="GR138" s="131" t="str">
        <f t="shared" si="144"/>
        <v>#REF!</v>
      </c>
      <c r="GS138" s="131" t="str">
        <f t="shared" si="98"/>
        <v>#REF!</v>
      </c>
      <c r="GT138" s="131" t="str">
        <f t="array" ref="GT138">INDEX(GS:GS,MIN(IF(ISNUMBER(GS138:GS334),ROW(GS138:GS334),"")))</f>
        <v/>
      </c>
      <c r="GU138" s="131" t="str">
        <f t="shared" si="145"/>
        <v>#REF!</v>
      </c>
      <c r="GV138" s="138" t="str">
        <f>GU138*VLOOKUP('Données projet (1)'!$B$18,'Paramètres (1)'!$A$1:$I$88,3,0)*VLOOKUP('Données projet (1)'!$B$18,'Paramètres (1)'!$A$1:$I$88,5,0)</f>
        <v>#REF!</v>
      </c>
      <c r="GW138" s="130" t="str">
        <f t="shared" si="146"/>
        <v>#REF!</v>
      </c>
      <c r="GX138" s="141" t="str">
        <f t="shared" si="99"/>
        <v>#REF!</v>
      </c>
      <c r="GY138" s="133" t="str">
        <f t="shared" si="100"/>
        <v>#REF!</v>
      </c>
      <c r="GZ138" s="133" t="str">
        <f t="shared" si="101"/>
        <v>#REF!</v>
      </c>
      <c r="HA138" s="133" t="str">
        <f t="shared" si="147"/>
        <v>#REF!</v>
      </c>
      <c r="HB138" s="134" t="str">
        <f t="shared" si="102"/>
        <v>#REF!</v>
      </c>
      <c r="HC138" s="134" t="str">
        <f t="shared" si="103"/>
        <v>#REF!</v>
      </c>
      <c r="HD138" s="135" t="str">
        <f>IF(ISNA(VLOOKUP(A138,'Données projet (1)'!$A$269:$I$289,5,0)),0%,VLOOKUP(A138,'Données projet (1)'!$A$269:$I$289,5,0)*VLOOKUP('Données projet (1)'!$B$18,'Paramètres (1)'!$A$1:$I$88,7,0))</f>
        <v>#REF!</v>
      </c>
      <c r="HE138" s="135" t="str">
        <f>IF(ISNA(VLOOKUP(A138,'Données projet (1)'!$A$269:$I$289,6,0)),0%,VLOOKUP(A138,'Données projet (1)'!$A$269:$I$289,6,0)*VLOOKUP('Données projet (1)'!$B$18,'Paramètres (1)'!$A$1:$I$88,7,0))</f>
        <v>#REF!</v>
      </c>
      <c r="HF138" s="135" t="str">
        <f t="shared" si="104"/>
        <v>#REF!</v>
      </c>
      <c r="HG138" s="142" t="str">
        <f>EXP(-LN(2)/35)*HG137+(1-EXP(-LN(2)/35))/(LN(2)/35)*HC138*HD138*VLOOKUP('Données projet (1)'!$B$18,'Paramètres (1)'!$A$1:$I$88,3,0)*0.475*44/12</f>
        <v>#REF!</v>
      </c>
      <c r="HH138" s="142" t="str">
        <f>EXP(-LN(2)/25)*HH137+(1-EXP(-LN(2)/25))/(LN(2)/25)*'Calculateur (1)'!HC138*'Calculateur (1)'!HE138*VLOOKUP('Données projet (1)'!$B$18,'Paramètres (1)'!$A$1:$I$88,3,0)*0.475*44/12</f>
        <v>#REF!</v>
      </c>
      <c r="HI138" s="142" t="str">
        <f>EXP(-LN(2)/2)*HI137+(1-EXP(-LN(2)/2))/(LN(2)/2)*HC138*HF138*VLOOKUP('Données projet (1)'!$B$18,'Paramètres (1)'!$A$1:$I$88,3,0)*0.475*44/12</f>
        <v>#REF!</v>
      </c>
      <c r="HJ138" s="143" t="str">
        <f t="shared" si="105"/>
        <v>#REF!</v>
      </c>
    </row>
    <row r="139" ht="14.25" customHeight="1">
      <c r="A139" s="125">
        <f t="shared" si="106"/>
        <v>136</v>
      </c>
      <c r="B139" s="126" t="str">
        <f t="shared" si="1"/>
        <v>#REF!</v>
      </c>
      <c r="C139" s="140" t="str">
        <f>'Calculateur (1)'!C138+'Scénario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9" s="127">
        <f t="shared" si="107"/>
        <v>0</v>
      </c>
      <c r="E139" s="127" t="str">
        <f t="shared" si="2"/>
        <v>#REF!</v>
      </c>
      <c r="F139" s="127" t="str">
        <f t="shared" si="3"/>
        <v>#REF!</v>
      </c>
      <c r="G139" s="127" t="str">
        <f t="shared" si="4"/>
        <v>#REF!</v>
      </c>
      <c r="H139" s="128" t="str">
        <f t="shared" si="5"/>
        <v>#REF!</v>
      </c>
      <c r="I139" s="129" t="str">
        <f t="shared" si="6"/>
        <v>#REF!</v>
      </c>
      <c r="J139" s="130">
        <f t="shared" si="7"/>
        <v>10</v>
      </c>
      <c r="K139" s="131" t="str">
        <f t="shared" si="108"/>
        <v>#REF!</v>
      </c>
      <c r="L139" s="131" t="str">
        <f t="shared" si="8"/>
        <v>#REF!</v>
      </c>
      <c r="M139" s="131" t="str">
        <f t="array" ref="M139">INDEX(L:L,MIN(IF(ISNUMBER(L139:L335),ROW(L139:L335),"")))</f>
        <v/>
      </c>
      <c r="N139" s="130" t="str">
        <f t="shared" si="109"/>
        <v>#REF!</v>
      </c>
      <c r="O139" s="130" t="str">
        <f>N139*VLOOKUP('Données projet (1)'!$B$9,'Paramètres (1)'!$A$1:$I$88,3,0)*VLOOKUP('Données projet (1)'!$B$9,'Paramètres (1)'!$A$1:$I$88,5,0)</f>
        <v>#REF!</v>
      </c>
      <c r="P139" s="130" t="str">
        <f t="shared" si="110"/>
        <v>#REF!</v>
      </c>
      <c r="Q139" s="141" t="str">
        <f t="shared" si="9"/>
        <v>#REF!</v>
      </c>
      <c r="R139" s="133" t="str">
        <f t="shared" si="10"/>
        <v>#REF!</v>
      </c>
      <c r="S139" s="133" t="str">
        <f t="shared" si="11"/>
        <v>#REF!</v>
      </c>
      <c r="T139" s="133" t="str">
        <f t="shared" si="111"/>
        <v>#REF!</v>
      </c>
      <c r="U139" s="134" t="str">
        <f t="shared" si="12"/>
        <v>#REF!</v>
      </c>
      <c r="V139" s="134" t="str">
        <f t="shared" si="13"/>
        <v>#REF!</v>
      </c>
      <c r="W139" s="135" t="str">
        <f>IF(ISNA(VLOOKUP(A139,'Données projet (1)'!$A$35:$I$55,5,0)),0%,VLOOKUP(A139,'Données projet (1)'!$A$35:$I$55,5,0)*VLOOKUP('Données projet (1)'!$B$9,'Paramètres (1)'!$A$1:$I$88,7,0))</f>
        <v>#REF!</v>
      </c>
      <c r="X139" s="135" t="str">
        <f>IF(ISNA(VLOOKUP(A139,'Données projet (1)'!$A$35:$I$55,6,0)),0%,VLOOKUP(A139,'Données projet (1)'!$A$35:$I$55,6,0)*VLOOKUP('Données projet (1)'!$B$9,'Paramètres (1)'!$A$1:$I$88,7,0))</f>
        <v>#REF!</v>
      </c>
      <c r="Y139" s="135" t="str">
        <f t="shared" si="14"/>
        <v>#REF!</v>
      </c>
      <c r="Z139" s="142" t="str">
        <f>EXP(-LN(2)/35)*Z138+(1-EXP(-LN(2)/35))/(LN(2)/35)*V139*W139*VLOOKUP('Données projet (1)'!$B$9,'Paramètres (1)'!$A$1:$I$88,3,0)*0.475*44/12</f>
        <v>#REF!</v>
      </c>
      <c r="AA139" s="142" t="str">
        <f>EXP(-LN(2)/25)*AA138+(1-EXP(-LN(2)/25))/(LN(2)/25)*'Calculateur (1)'!V139*'Calculateur (1)'!X139*VLOOKUP('Données projet (1)'!$B$9,'Paramètres (1)'!$A$1:$I$88,3,0)*0.475*44/12</f>
        <v>#REF!</v>
      </c>
      <c r="AB139" s="142" t="str">
        <f>EXP(-LN(2)/2)*AB138+(1-EXP(-LN(2)/2))/(LN(2)/2)*V139*Y139*VLOOKUP('Données projet (1)'!$B$9,'Paramètres (1)'!$A$1:$I$88,3,0)*0.475*44/12</f>
        <v>#REF!</v>
      </c>
      <c r="AC139" s="143" t="str">
        <f t="shared" si="15"/>
        <v>#REF!</v>
      </c>
      <c r="AD139" s="130" t="str">
        <f t="shared" si="16"/>
        <v>#REF!</v>
      </c>
      <c r="AE139" s="130">
        <f t="shared" si="17"/>
        <v>10</v>
      </c>
      <c r="AF139" s="131" t="str">
        <f t="shared" si="112"/>
        <v>#REF!</v>
      </c>
      <c r="AG139" s="131" t="str">
        <f t="shared" si="18"/>
        <v>#REF!</v>
      </c>
      <c r="AH139" s="131" t="str">
        <f t="array" ref="AH139">INDEX(AG:AG,MIN(IF(ISNUMBER(AG139:AG335),ROW(AG139:AG335),"")))</f>
        <v/>
      </c>
      <c r="AI139" s="130" t="str">
        <f t="shared" si="113"/>
        <v>#REF!</v>
      </c>
      <c r="AJ139" s="130" t="str">
        <f>AI139*VLOOKUP('Données projet (1)'!$B$10,'Paramètres (1)'!$A$1:$I$88,3,0)*VLOOKUP('Données projet (1)'!$B$10,'Paramètres (1)'!$A$1:$I$88,5,0)</f>
        <v>#REF!</v>
      </c>
      <c r="AK139" s="130" t="str">
        <f t="shared" si="114"/>
        <v>#REF!</v>
      </c>
      <c r="AL139" s="141" t="str">
        <f t="shared" si="19"/>
        <v>#REF!</v>
      </c>
      <c r="AM139" s="133" t="str">
        <f t="shared" si="20"/>
        <v>#REF!</v>
      </c>
      <c r="AN139" s="133" t="str">
        <f t="shared" si="21"/>
        <v>#REF!</v>
      </c>
      <c r="AO139" s="133" t="str">
        <f t="shared" si="115"/>
        <v>#REF!</v>
      </c>
      <c r="AP139" s="134" t="str">
        <f t="shared" si="22"/>
        <v>#REF!</v>
      </c>
      <c r="AQ139" s="134" t="str">
        <f t="shared" si="23"/>
        <v>#REF!</v>
      </c>
      <c r="AR139" s="135" t="str">
        <f>IF(ISNA(VLOOKUP(A139,'Données projet (1)'!$A$61:$I$81,5,0)),0%,VLOOKUP(A139,'Données projet (1)'!$A$61:$I$81,5,0)*VLOOKUP('Données projet (1)'!$B$10,'Paramètres (1)'!$A$1:$I$88,7,0))</f>
        <v>#REF!</v>
      </c>
      <c r="AS139" s="135" t="str">
        <f>IF(ISNA(VLOOKUP(A139,'Données projet (1)'!$A$61:$I$81,6,0)),0%,VLOOKUP(A139,'Données projet (1)'!$A$61:$I$81,6,0)*VLOOKUP('Données projet (1)'!$B$10,'Paramètres (1)'!$A$1:$I$88,7,0))</f>
        <v>#REF!</v>
      </c>
      <c r="AT139" s="135" t="str">
        <f t="shared" si="24"/>
        <v>#REF!</v>
      </c>
      <c r="AU139" s="142" t="str">
        <f>EXP(-LN(2)/35)*AU138+(1-EXP(-LN(2)/35))/(LN(2)/35)*AQ139*AR139*VLOOKUP('Données projet (1)'!$B$10,'Paramètres (1)'!$A$1:$I$88,3,0)*0.475*44/12</f>
        <v>#REF!</v>
      </c>
      <c r="AV139" s="142" t="str">
        <f>EXP(-LN(2)/25)*AV138+(1-EXP(-LN(2)/25))/(LN(2)/25)*'Calculateur (1)'!AQ139*'Calculateur (1)'!AS139*VLOOKUP('Données projet (1)'!$B$10,'Paramètres (1)'!$A$1:$I$88,3,0)*0.475*44/12</f>
        <v>#REF!</v>
      </c>
      <c r="AW139" s="142" t="str">
        <f>EXP(-LN(2)/2)*AW138+(1-EXP(-LN(2)/2))/(LN(2)/2)*AQ139*AT139*VLOOKUP('Données projet (1)'!$B$10,'Paramètres (1)'!$A$1:$I$88,3,0)*0.475*44/12</f>
        <v>#REF!</v>
      </c>
      <c r="AX139" s="142" t="str">
        <f t="shared" si="25"/>
        <v>#REF!</v>
      </c>
      <c r="AY139" s="137" t="str">
        <f t="shared" si="26"/>
        <v>#REF!</v>
      </c>
      <c r="AZ139" s="131">
        <f t="shared" si="27"/>
        <v>10</v>
      </c>
      <c r="BA139" s="131" t="str">
        <f t="shared" si="116"/>
        <v>#REF!</v>
      </c>
      <c r="BB139" s="131" t="str">
        <f t="shared" si="28"/>
        <v>#REF!</v>
      </c>
      <c r="BC139" s="131" t="str">
        <f t="array" ref="BC139">INDEX(BB:BB,MIN(IF(ISNUMBER(BB139:BB335),ROW(BB139:BB335),"")))</f>
        <v/>
      </c>
      <c r="BD139" s="131" t="str">
        <f t="shared" si="117"/>
        <v>#REF!</v>
      </c>
      <c r="BE139" s="130" t="str">
        <f>BD139*VLOOKUP('Données projet (1)'!$B$11,'Paramètres (1)'!$A$1:$I$88,3,0)*VLOOKUP('Données projet (1)'!$B$11,'Paramètres (1)'!$A$1:$I$88,5,0)</f>
        <v>#REF!</v>
      </c>
      <c r="BF139" s="130" t="str">
        <f t="shared" si="118"/>
        <v>#REF!</v>
      </c>
      <c r="BG139" s="141" t="str">
        <f t="shared" si="29"/>
        <v>#REF!</v>
      </c>
      <c r="BH139" s="133" t="str">
        <f t="shared" si="30"/>
        <v>#REF!</v>
      </c>
      <c r="BI139" s="133" t="str">
        <f t="shared" si="31"/>
        <v>#REF!</v>
      </c>
      <c r="BJ139" s="133" t="str">
        <f t="shared" si="119"/>
        <v>#REF!</v>
      </c>
      <c r="BK139" s="134" t="str">
        <f t="shared" si="32"/>
        <v>#REF!</v>
      </c>
      <c r="BL139" s="134" t="str">
        <f t="shared" si="33"/>
        <v>#REF!</v>
      </c>
      <c r="BM139" s="135" t="str">
        <f>IF(ISNA(VLOOKUP(A139,'Données projet (1)'!$A$87:$I$107,5,0)),0%,VLOOKUP(A139,'Données projet (1)'!$A$87:$I$107,5,0)*VLOOKUP('Données projet (1)'!$B$11,'Paramètres (1)'!$A$1:$I$88,7,0))</f>
        <v>#REF!</v>
      </c>
      <c r="BN139" s="135" t="str">
        <f>IF(ISNA(VLOOKUP(A139,'Données projet (1)'!$A$87:$I$107,6,0)),0%,VLOOKUP(A139,'Données projet (1)'!$A$87:$I$107,6,0)*VLOOKUP('Données projet (1)'!$B$11,'Paramètres (1)'!$A$1:$I$88,7,0))</f>
        <v>#REF!</v>
      </c>
      <c r="BO139" s="135" t="str">
        <f t="shared" si="34"/>
        <v>#REF!</v>
      </c>
      <c r="BP139" s="142" t="str">
        <f>EXP(-LN(2)/35)*BP138+(1-EXP(-LN(2)/35))/(LN(2)/35)*BL139*BM139*VLOOKUP('Données projet (1)'!$B$11,'Paramètres (1)'!$A$1:$I$88,3,0)*0.475*44/12</f>
        <v>#REF!</v>
      </c>
      <c r="BQ139" s="142" t="str">
        <f>EXP(-LN(2)/25)*BQ138+(1-EXP(-LN(2)/25))/(LN(2)/25)*'Calculateur (1)'!BL139*'Calculateur (1)'!BN139*VLOOKUP('Données projet (1)'!$B$11,'Paramètres (1)'!$A$1:$I$88,3,0)*0.475*44/12</f>
        <v>#REF!</v>
      </c>
      <c r="BR139" s="142" t="str">
        <f>EXP(-LN(2)/2)*BR138+(1-EXP(-LN(2)/2))/(LN(2)/2)*BL139*BO139*VLOOKUP('Données projet (1)'!$B$11,'Paramètres (1)'!$A$1:$I$88,3,0)*0.475*44/12</f>
        <v>#REF!</v>
      </c>
      <c r="BS139" s="143" t="str">
        <f t="shared" si="35"/>
        <v>#REF!</v>
      </c>
      <c r="BT139" s="139" t="str">
        <f t="shared" si="36"/>
        <v>#REF!</v>
      </c>
      <c r="BU139" s="131">
        <f t="shared" si="37"/>
        <v>10</v>
      </c>
      <c r="BV139" s="131" t="str">
        <f t="shared" si="120"/>
        <v>#REF!</v>
      </c>
      <c r="BW139" s="131" t="str">
        <f t="shared" si="38"/>
        <v>#REF!</v>
      </c>
      <c r="BX139" s="131" t="str">
        <f t="array" ref="BX139">INDEX(BW:BW,MIN(IF(ISNUMBER(BW139:BW335),ROW(BW139:BW335),"")))</f>
        <v/>
      </c>
      <c r="BY139" s="131" t="str">
        <f t="shared" si="121"/>
        <v>#REF!</v>
      </c>
      <c r="BZ139" s="130" t="str">
        <f>BY139*VLOOKUP('Données projet (1)'!$B$12,'Paramètres (1)'!$A$1:$I$88,3,0)*VLOOKUP('Données projet (1)'!$B$12,'Paramètres (1)'!$A$1:$I$88,5,0)</f>
        <v>#REF!</v>
      </c>
      <c r="CA139" s="130" t="str">
        <f t="shared" si="122"/>
        <v>#REF!</v>
      </c>
      <c r="CB139" s="141" t="str">
        <f t="shared" si="39"/>
        <v>#REF!</v>
      </c>
      <c r="CC139" s="133" t="str">
        <f t="shared" si="40"/>
        <v>#REF!</v>
      </c>
      <c r="CD139" s="133" t="str">
        <f t="shared" si="41"/>
        <v>#REF!</v>
      </c>
      <c r="CE139" s="133" t="str">
        <f t="shared" si="123"/>
        <v>#REF!</v>
      </c>
      <c r="CF139" s="134" t="str">
        <f t="shared" si="42"/>
        <v>#REF!</v>
      </c>
      <c r="CG139" s="134" t="str">
        <f t="shared" si="43"/>
        <v>#REF!</v>
      </c>
      <c r="CH139" s="135" t="str">
        <f>IF(ISNA(VLOOKUP(A139,'Données projet (1)'!$A$113:$I$133,5,0)),0%,VLOOKUP(A139,'Données projet (1)'!$A$113:$I$133,5,0)*VLOOKUP('Données projet (1)'!$B$12,'Paramètres (1)'!$A$1:$I$88,7,0))</f>
        <v>#REF!</v>
      </c>
      <c r="CI139" s="135" t="str">
        <f>IF(ISNA(VLOOKUP(A139,'Données projet (1)'!$A$113:$I$133,6,0)),0%,VLOOKUP(A139,'Données projet (1)'!$A$113:$I$133,6,0)*VLOOKUP('Données projet (1)'!$B$12,'Paramètres (1)'!$A$1:$I$88,7,0))</f>
        <v>#REF!</v>
      </c>
      <c r="CJ139" s="135" t="str">
        <f t="shared" si="44"/>
        <v>#REF!</v>
      </c>
      <c r="CK139" s="142" t="str">
        <f>EXP(-LN(2)/35)*CK138+(1-EXP(-LN(2)/35))/(LN(2)/35)*CG139*CH139*VLOOKUP('Données projet (1)'!$B$12,'Paramètres (1)'!$A$1:$I$88,3,0)*0.475*44/12</f>
        <v>#REF!</v>
      </c>
      <c r="CL139" s="142" t="str">
        <f>EXP(-LN(2)/25)*CL138+(1-EXP(-LN(2)/25))/(LN(2)/25)*'Calculateur (1)'!CG139*'Calculateur (1)'!CI139*VLOOKUP('Données projet (1)'!$B$12,'Paramètres (1)'!$A$1:$I$88,3,0)*0.475*44/12</f>
        <v>#REF!</v>
      </c>
      <c r="CM139" s="142" t="str">
        <f>EXP(-LN(2)/2)*CM138+(1-EXP(-LN(2)/2))/(LN(2)/2)*CG139*CJ139*VLOOKUP('Données projet (1)'!$B$12,'Paramètres (1)'!$A$1:$I$88,3,0)*0.475*44/12</f>
        <v>#REF!</v>
      </c>
      <c r="CN139" s="143" t="str">
        <f t="shared" si="45"/>
        <v>#REF!</v>
      </c>
      <c r="CO139" s="139" t="str">
        <f t="shared" si="46"/>
        <v>#REF!</v>
      </c>
      <c r="CP139" s="131">
        <f t="shared" si="47"/>
        <v>10</v>
      </c>
      <c r="CQ139" s="131" t="str">
        <f t="shared" si="124"/>
        <v>#REF!</v>
      </c>
      <c r="CR139" s="131" t="str">
        <f t="shared" si="48"/>
        <v>#REF!</v>
      </c>
      <c r="CS139" s="131" t="str">
        <f t="array" ref="CS139">INDEX(CR:CR,MIN(IF(ISNUMBER(CR139:CR335),ROW(CR139:CR335),"")))</f>
        <v/>
      </c>
      <c r="CT139" s="131" t="str">
        <f t="shared" si="125"/>
        <v>#REF!</v>
      </c>
      <c r="CU139" s="138" t="str">
        <f>CT139*VLOOKUP('Données projet (1)'!$B$13,'Paramètres (1)'!$A$1:$I$88,3,0)*VLOOKUP('Données projet (1)'!$B$13,'Paramètres (1)'!$A$1:$I$88,5,0)</f>
        <v>#REF!</v>
      </c>
      <c r="CV139" s="130" t="str">
        <f t="shared" si="126"/>
        <v>#REF!</v>
      </c>
      <c r="CW139" s="141" t="str">
        <f t="shared" si="49"/>
        <v>#REF!</v>
      </c>
      <c r="CX139" s="133" t="str">
        <f t="shared" si="50"/>
        <v>#REF!</v>
      </c>
      <c r="CY139" s="133" t="str">
        <f t="shared" si="51"/>
        <v>#REF!</v>
      </c>
      <c r="CZ139" s="133" t="str">
        <f t="shared" si="127"/>
        <v>#REF!</v>
      </c>
      <c r="DA139" s="134" t="str">
        <f t="shared" si="52"/>
        <v>#REF!</v>
      </c>
      <c r="DB139" s="134" t="str">
        <f t="shared" si="53"/>
        <v>#REF!</v>
      </c>
      <c r="DC139" s="135" t="str">
        <f>IF(ISNA(VLOOKUP(A139,'Données projet (1)'!$A$139:$I$159,5,0)),0%,VLOOKUP(A139,'Données projet (1)'!$A$139:$I$159,5,0)*VLOOKUP('Données projet (1)'!$B$13,'Paramètres (1)'!$A$1:$I$88,7,0))</f>
        <v>#REF!</v>
      </c>
      <c r="DD139" s="135" t="str">
        <f>IF(ISNA(VLOOKUP(A139,'Données projet (1)'!$A$139:$I$159,6,0)),0%,VLOOKUP(A139,'Données projet (1)'!$A$139:$I$159,6,0)*VLOOKUP('Données projet (1)'!$B$13,'Paramètres (1)'!$A$1:$I$88,7,0))</f>
        <v>#REF!</v>
      </c>
      <c r="DE139" s="135" t="str">
        <f t="shared" si="54"/>
        <v>#REF!</v>
      </c>
      <c r="DF139" s="142" t="str">
        <f>EXP(-LN(2)/35)*DF138+(1-EXP(-LN(2)/35))/(LN(2)/35)*DB139*DC139*VLOOKUP('Données projet (1)'!$B$13,'Paramètres (1)'!$A$1:$I$88,3,0)*0.475*44/12</f>
        <v>#REF!</v>
      </c>
      <c r="DG139" s="142" t="str">
        <f>EXP(-LN(2)/25)*DG138+(1-EXP(-LN(2)/25))/(LN(2)/25)*'Calculateur (1)'!DB139*'Calculateur (1)'!DD139*VLOOKUP('Données projet (1)'!$B$13,'Paramètres (1)'!$A$1:$I$88,3,0)*0.475*44/12</f>
        <v>#REF!</v>
      </c>
      <c r="DH139" s="142" t="str">
        <f>EXP(-LN(2)/2)*DH138+(1-EXP(-LN(2)/2))/(LN(2)/2)*DB139*DE139*VLOOKUP('Données projet (1)'!$B$13,'Paramètres (1)'!$A$1:$I$88,3,0)*0.475*44/12</f>
        <v>#REF!</v>
      </c>
      <c r="DI139" s="143" t="str">
        <f t="shared" si="55"/>
        <v>#REF!</v>
      </c>
      <c r="DJ139" s="139" t="str">
        <f t="shared" si="56"/>
        <v>#REF!</v>
      </c>
      <c r="DK139" s="131">
        <f t="shared" si="57"/>
        <v>10</v>
      </c>
      <c r="DL139" s="131" t="str">
        <f t="shared" si="128"/>
        <v>#REF!</v>
      </c>
      <c r="DM139" s="131" t="str">
        <f t="shared" si="58"/>
        <v>#REF!</v>
      </c>
      <c r="DN139" s="131" t="str">
        <f t="array" ref="DN139">INDEX(DM:DM,MIN(IF(ISNUMBER(DM139:DM335),ROW(DM139:DM335),"")))</f>
        <v/>
      </c>
      <c r="DO139" s="131" t="str">
        <f t="shared" si="129"/>
        <v>#REF!</v>
      </c>
      <c r="DP139" s="138" t="str">
        <f>DO139*VLOOKUP('Données projet (1)'!$B$14,'Paramètres (1)'!$A$1:$I$88,3,0)*VLOOKUP('Données projet (1)'!$B$14,'Paramètres (1)'!$A$1:$I$88,5,0)</f>
        <v>#REF!</v>
      </c>
      <c r="DQ139" s="130" t="str">
        <f t="shared" si="130"/>
        <v>#REF!</v>
      </c>
      <c r="DR139" s="141" t="str">
        <f t="shared" si="59"/>
        <v>#REF!</v>
      </c>
      <c r="DS139" s="133" t="str">
        <f t="shared" si="60"/>
        <v>#REF!</v>
      </c>
      <c r="DT139" s="133" t="str">
        <f t="shared" si="61"/>
        <v>#REF!</v>
      </c>
      <c r="DU139" s="133" t="str">
        <f t="shared" si="131"/>
        <v>#REF!</v>
      </c>
      <c r="DV139" s="134" t="str">
        <f t="shared" si="62"/>
        <v>#REF!</v>
      </c>
      <c r="DW139" s="134" t="str">
        <f t="shared" si="63"/>
        <v>#REF!</v>
      </c>
      <c r="DX139" s="135" t="str">
        <f>IF(ISNA(VLOOKUP(A139,'Données projet (1)'!$A$165:$I$185,5,0)),0%,VLOOKUP(A139,'Données projet (1)'!$A$165:$I$185,5,0)*VLOOKUP('Données projet (1)'!$B$14,'Paramètres (1)'!$A$1:$I$88,7,0))</f>
        <v>#REF!</v>
      </c>
      <c r="DY139" s="135" t="str">
        <f>IF(ISNA(VLOOKUP(A139,'Données projet (1)'!$A$165:$I$185,6,0)),0%,VLOOKUP(A139,'Données projet (1)'!$A$165:$I$185,6,0)*VLOOKUP('Données projet (1)'!$B$14,'Paramètres (1)'!$A$1:$I$88,7,0))</f>
        <v>#REF!</v>
      </c>
      <c r="DZ139" s="135" t="str">
        <f t="shared" si="64"/>
        <v>#REF!</v>
      </c>
      <c r="EA139" s="142" t="str">
        <f>EXP(-LN(2)/35)*EA138+(1-EXP(-LN(2)/35))/(LN(2)/35)*DW139*DX139*VLOOKUP('Données projet (1)'!$B$14,'Paramètres (1)'!$A$1:$I$88,3,0)*0.475*44/12</f>
        <v>#REF!</v>
      </c>
      <c r="EB139" s="142" t="str">
        <f>EXP(-LN(2)/25)*EB138+(1-EXP(-LN(2)/25))/(LN(2)/25)*'Calculateur (1)'!DW139*'Calculateur (1)'!DY139*VLOOKUP('Données projet (1)'!$B$14,'Paramètres (1)'!$A$1:$I$88,3,0)*0.475*44/12</f>
        <v>#REF!</v>
      </c>
      <c r="EC139" s="142" t="str">
        <f>EXP(-LN(2)/2)*EC138+(1-EXP(-LN(2)/2))/(LN(2)/2)*DW139*DZ139*VLOOKUP('Données projet (1)'!$B$14,'Paramètres (1)'!$A$1:$I$88,3,0)*0.475*44/12</f>
        <v>#REF!</v>
      </c>
      <c r="ED139" s="143" t="str">
        <f t="shared" si="65"/>
        <v>#REF!</v>
      </c>
      <c r="EE139" s="139" t="str">
        <f t="shared" si="66"/>
        <v>#REF!</v>
      </c>
      <c r="EF139" s="131">
        <f t="shared" si="67"/>
        <v>10</v>
      </c>
      <c r="EG139" s="131" t="str">
        <f t="shared" si="132"/>
        <v>#REF!</v>
      </c>
      <c r="EH139" s="131" t="str">
        <f t="shared" si="68"/>
        <v>#REF!</v>
      </c>
      <c r="EI139" s="131" t="str">
        <f t="array" ref="EI139">INDEX(EH:EH,MIN(IF(ISNUMBER(EH139:EH335),ROW(EH139:EH335),"")))</f>
        <v/>
      </c>
      <c r="EJ139" s="131" t="str">
        <f t="shared" si="133"/>
        <v>#REF!</v>
      </c>
      <c r="EK139" s="138" t="str">
        <f>EJ139*VLOOKUP('Données projet (1)'!$B$15,'Paramètres (1)'!$A$1:$I$88,3,0)*VLOOKUP('Données projet (1)'!$B$15,'Paramètres (1)'!$A$1:$I$88,5,0)</f>
        <v>#REF!</v>
      </c>
      <c r="EL139" s="130" t="str">
        <f t="shared" si="134"/>
        <v>#REF!</v>
      </c>
      <c r="EM139" s="141" t="str">
        <f t="shared" si="69"/>
        <v>#REF!</v>
      </c>
      <c r="EN139" s="133" t="str">
        <f t="shared" si="70"/>
        <v>#REF!</v>
      </c>
      <c r="EO139" s="133" t="str">
        <f t="shared" si="71"/>
        <v>#REF!</v>
      </c>
      <c r="EP139" s="133" t="str">
        <f t="shared" si="135"/>
        <v>#REF!</v>
      </c>
      <c r="EQ139" s="134" t="str">
        <f t="shared" si="72"/>
        <v>#REF!</v>
      </c>
      <c r="ER139" s="134" t="str">
        <f t="shared" si="73"/>
        <v>#REF!</v>
      </c>
      <c r="ES139" s="135" t="str">
        <f>IF(ISNA(VLOOKUP(A139,'Données projet (1)'!$A$191:$I$211,5,0)),0%,VLOOKUP(A139,'Données projet (1)'!$A$191:$I$211,5,0)*VLOOKUP('Données projet (1)'!$B$15,'Paramètres (1)'!$A$1:$I$88,7,0))</f>
        <v>#REF!</v>
      </c>
      <c r="ET139" s="135" t="str">
        <f>IF(ISNA(VLOOKUP(A139,'Données projet (1)'!$A$191:$I$211,6,0)),0%,VLOOKUP(A139,'Données projet (1)'!$A$191:$I$211,6,0)*VLOOKUP('Données projet (1)'!$B$15,'Paramètres (1)'!$A$1:$I$88,7,0))</f>
        <v>#REF!</v>
      </c>
      <c r="EU139" s="135" t="str">
        <f t="shared" si="74"/>
        <v>#REF!</v>
      </c>
      <c r="EV139" s="142" t="str">
        <f>EXP(-LN(2)/35)*EV138+(1-EXP(-LN(2)/35))/(LN(2)/35)*ER139*ES139*VLOOKUP('Données projet (1)'!$B$15,'Paramètres (1)'!$A$1:$I$88,3,0)*0.475*44/12</f>
        <v>#REF!</v>
      </c>
      <c r="EW139" s="142" t="str">
        <f>EXP(-LN(2)/25)*EW138+(1-EXP(-LN(2)/25))/(LN(2)/25)*'Calculateur (1)'!ER139*'Calculateur (1)'!ET139*VLOOKUP('Données projet (1)'!$B$15,'Paramètres (1)'!$A$1:$I$88,3,0)*0.475*44/12</f>
        <v>#REF!</v>
      </c>
      <c r="EX139" s="142" t="str">
        <f>EXP(-LN(2)/2)*EX138+(1-EXP(-LN(2)/2))/(LN(2)/2)*ER139*EU139*VLOOKUP('Données projet (1)'!$B$15,'Paramètres (1)'!$A$1:$I$88,3,0)*0.475*44/12</f>
        <v>#REF!</v>
      </c>
      <c r="EY139" s="143" t="str">
        <f t="shared" si="75"/>
        <v>#REF!</v>
      </c>
      <c r="EZ139" s="139" t="str">
        <f t="shared" si="76"/>
        <v>#REF!</v>
      </c>
      <c r="FA139" s="131">
        <f t="shared" si="77"/>
        <v>10</v>
      </c>
      <c r="FB139" s="131" t="str">
        <f t="shared" si="136"/>
        <v>#REF!</v>
      </c>
      <c r="FC139" s="131" t="str">
        <f t="shared" si="78"/>
        <v>#REF!</v>
      </c>
      <c r="FD139" s="131" t="str">
        <f t="array" ref="FD139">INDEX(FC:FC,MIN(IF(ISNUMBER(FC139:FC335),ROW(FC139:FC335),"")))</f>
        <v/>
      </c>
      <c r="FE139" s="131" t="str">
        <f t="shared" si="137"/>
        <v>#REF!</v>
      </c>
      <c r="FF139" s="138" t="str">
        <f>FE139*VLOOKUP('Données projet (1)'!$B$16,'Paramètres (1)'!$A$1:$I$88,3,0)*VLOOKUP('Données projet (1)'!$B$16,'Paramètres (1)'!$A$1:$I$88,5,0)</f>
        <v>#REF!</v>
      </c>
      <c r="FG139" s="130" t="str">
        <f t="shared" si="138"/>
        <v>#REF!</v>
      </c>
      <c r="FH139" s="141" t="str">
        <f t="shared" si="79"/>
        <v>#REF!</v>
      </c>
      <c r="FI139" s="133" t="str">
        <f t="shared" si="80"/>
        <v>#REF!</v>
      </c>
      <c r="FJ139" s="133" t="str">
        <f t="shared" si="81"/>
        <v>#REF!</v>
      </c>
      <c r="FK139" s="133" t="str">
        <f t="shared" si="139"/>
        <v>#REF!</v>
      </c>
      <c r="FL139" s="134" t="str">
        <f t="shared" si="82"/>
        <v>#REF!</v>
      </c>
      <c r="FM139" s="134" t="str">
        <f t="shared" si="83"/>
        <v>#REF!</v>
      </c>
      <c r="FN139" s="135" t="str">
        <f>IF(ISNA(VLOOKUP(A139,'Données projet (1)'!$A$217:$I$237,5,0)),0%,VLOOKUP(A139,'Données projet (1)'!$A$217:$I$237,5,0)*VLOOKUP('Données projet (1)'!$B$16,'Paramètres (1)'!$A$1:$I$88,7,0))</f>
        <v>#REF!</v>
      </c>
      <c r="FO139" s="135" t="str">
        <f>IF(ISNA(VLOOKUP(A139,'Données projet (1)'!$A$217:$I$237,6,0)),0%,VLOOKUP(A139,'Données projet (1)'!$A$217:$I$237,6,0)*VLOOKUP('Données projet (1)'!$B$16,'Paramètres (1)'!$A$1:$I$88,7,0))</f>
        <v>#REF!</v>
      </c>
      <c r="FP139" s="135" t="str">
        <f t="shared" si="84"/>
        <v>#REF!</v>
      </c>
      <c r="FQ139" s="142" t="str">
        <f>EXP(-LN(2)/35)*FQ138+(1-EXP(-LN(2)/35))/(LN(2)/35)*FM139*FN139*VLOOKUP('Données projet (1)'!$B$16,'Paramètres (1)'!$A$1:$I$88,3,0)*0.475*44/12</f>
        <v>#REF!</v>
      </c>
      <c r="FR139" s="142" t="str">
        <f>EXP(-LN(2)/25)*FR138+(1-EXP(-LN(2)/25))/(LN(2)/25)*'Calculateur (1)'!FM139*'Calculateur (1)'!FO139*VLOOKUP('Données projet (1)'!$B$16,'Paramètres (1)'!$A$1:$I$88,3,0)*0.475*44/12</f>
        <v>#REF!</v>
      </c>
      <c r="FS139" s="142" t="str">
        <f>EXP(-LN(2)/2)*FS138+(1-EXP(-LN(2)/2))/(LN(2)/2)*FM139*FP139*VLOOKUP('Données projet (1)'!$B$16,'Paramètres (1)'!$A$1:$I$88,3,0)*0.475*44/12</f>
        <v>#REF!</v>
      </c>
      <c r="FT139" s="143" t="str">
        <f t="shared" si="85"/>
        <v>#REF!</v>
      </c>
      <c r="FU139" s="139" t="str">
        <f t="shared" si="86"/>
        <v>#REF!</v>
      </c>
      <c r="FV139" s="131">
        <f t="shared" si="87"/>
        <v>10</v>
      </c>
      <c r="FW139" s="131" t="str">
        <f t="shared" si="140"/>
        <v>#REF!</v>
      </c>
      <c r="FX139" s="131" t="str">
        <f t="shared" si="88"/>
        <v>#REF!</v>
      </c>
      <c r="FY139" s="131" t="str">
        <f t="array" ref="FY139">INDEX(FX:FX,MIN(IF(ISNUMBER(FX139:FX335),ROW(FX139:FX335),"")))</f>
        <v/>
      </c>
      <c r="FZ139" s="131" t="str">
        <f t="shared" si="141"/>
        <v>#REF!</v>
      </c>
      <c r="GA139" s="138" t="str">
        <f>FZ139*VLOOKUP('Données projet (1)'!$B$17,'Paramètres (1)'!$A$1:$I$88,3,0)*VLOOKUP('Données projet (1)'!$B$17,'Paramètres (1)'!$A$1:$I$88,5,0)</f>
        <v>#REF!</v>
      </c>
      <c r="GB139" s="130" t="str">
        <f t="shared" si="142"/>
        <v>#REF!</v>
      </c>
      <c r="GC139" s="141" t="str">
        <f t="shared" si="89"/>
        <v>#REF!</v>
      </c>
      <c r="GD139" s="133" t="str">
        <f t="shared" si="90"/>
        <v>#REF!</v>
      </c>
      <c r="GE139" s="133" t="str">
        <f t="shared" si="91"/>
        <v>#REF!</v>
      </c>
      <c r="GF139" s="133" t="str">
        <f t="shared" si="143"/>
        <v>#REF!</v>
      </c>
      <c r="GG139" s="134" t="str">
        <f t="shared" si="92"/>
        <v>#REF!</v>
      </c>
      <c r="GH139" s="134" t="str">
        <f t="shared" si="93"/>
        <v>#REF!</v>
      </c>
      <c r="GI139" s="135" t="str">
        <f>IF(ISNA(VLOOKUP(A139,'Données projet (1)'!$A$243:$I$263,5,0)),0%,VLOOKUP(A139,'Données projet (1)'!$A$243:$I$263,5,0)*VLOOKUP('Données projet (1)'!$B$17,'Paramètres (1)'!$A$1:$I$88,7,0))</f>
        <v>#REF!</v>
      </c>
      <c r="GJ139" s="135" t="str">
        <f>IF(ISNA(VLOOKUP(A139,'Données projet (1)'!$A$243:$I$263,6,0)),0%,VLOOKUP(A139,'Données projet (1)'!$A$243:$I$263,6,0)*VLOOKUP('Données projet (1)'!$B$17,'Paramètres (1)'!$A$1:$I$88,7,0))</f>
        <v>#REF!</v>
      </c>
      <c r="GK139" s="135" t="str">
        <f t="shared" si="94"/>
        <v>#REF!</v>
      </c>
      <c r="GL139" s="142" t="str">
        <f>EXP(-LN(2)/35)*GL138+(1-EXP(-LN(2)/35))/(LN(2)/35)*GH139*GI139*VLOOKUP('Données projet (1)'!$B$17,'Paramètres (1)'!$A$1:$I$88,3,0)*0.475*44/12</f>
        <v>#REF!</v>
      </c>
      <c r="GM139" s="142" t="str">
        <f>EXP(-LN(2)/25)*GM138+(1-EXP(-LN(2)/25))/(LN(2)/25)*'Calculateur (1)'!GH139*'Calculateur (1)'!GJ139*VLOOKUP('Données projet (1)'!$B$17,'Paramètres (1)'!$A$1:$I$88,3,0)*0.475*44/12</f>
        <v>#REF!</v>
      </c>
      <c r="GN139" s="142" t="str">
        <f>EXP(-LN(2)/2)*GN138+(1-EXP(-LN(2)/2))/(LN(2)/2)*GH139*GK139*VLOOKUP('Données projet (1)'!$B$17,'Paramètres (1)'!$A$1:$I$88,3,0)*0.475*44/12</f>
        <v>#REF!</v>
      </c>
      <c r="GO139" s="142" t="str">
        <f t="shared" si="95"/>
        <v>#REF!</v>
      </c>
      <c r="GP139" s="139" t="str">
        <f t="shared" si="96"/>
        <v>#REF!</v>
      </c>
      <c r="GQ139" s="131">
        <f t="shared" si="97"/>
        <v>10</v>
      </c>
      <c r="GR139" s="131" t="str">
        <f t="shared" si="144"/>
        <v>#REF!</v>
      </c>
      <c r="GS139" s="131" t="str">
        <f t="shared" si="98"/>
        <v>#REF!</v>
      </c>
      <c r="GT139" s="131" t="str">
        <f t="array" ref="GT139">INDEX(GS:GS,MIN(IF(ISNUMBER(GS139:GS335),ROW(GS139:GS335),"")))</f>
        <v/>
      </c>
      <c r="GU139" s="131" t="str">
        <f t="shared" si="145"/>
        <v>#REF!</v>
      </c>
      <c r="GV139" s="138" t="str">
        <f>GU139*VLOOKUP('Données projet (1)'!$B$18,'Paramètres (1)'!$A$1:$I$88,3,0)*VLOOKUP('Données projet (1)'!$B$18,'Paramètres (1)'!$A$1:$I$88,5,0)</f>
        <v>#REF!</v>
      </c>
      <c r="GW139" s="130" t="str">
        <f t="shared" si="146"/>
        <v>#REF!</v>
      </c>
      <c r="GX139" s="141" t="str">
        <f t="shared" si="99"/>
        <v>#REF!</v>
      </c>
      <c r="GY139" s="133" t="str">
        <f t="shared" si="100"/>
        <v>#REF!</v>
      </c>
      <c r="GZ139" s="133" t="str">
        <f t="shared" si="101"/>
        <v>#REF!</v>
      </c>
      <c r="HA139" s="133" t="str">
        <f t="shared" si="147"/>
        <v>#REF!</v>
      </c>
      <c r="HB139" s="134" t="str">
        <f t="shared" si="102"/>
        <v>#REF!</v>
      </c>
      <c r="HC139" s="134" t="str">
        <f t="shared" si="103"/>
        <v>#REF!</v>
      </c>
      <c r="HD139" s="135" t="str">
        <f>IF(ISNA(VLOOKUP(A139,'Données projet (1)'!$A$269:$I$289,5,0)),0%,VLOOKUP(A139,'Données projet (1)'!$A$269:$I$289,5,0)*VLOOKUP('Données projet (1)'!$B$18,'Paramètres (1)'!$A$1:$I$88,7,0))</f>
        <v>#REF!</v>
      </c>
      <c r="HE139" s="135" t="str">
        <f>IF(ISNA(VLOOKUP(A139,'Données projet (1)'!$A$269:$I$289,6,0)),0%,VLOOKUP(A139,'Données projet (1)'!$A$269:$I$289,6,0)*VLOOKUP('Données projet (1)'!$B$18,'Paramètres (1)'!$A$1:$I$88,7,0))</f>
        <v>#REF!</v>
      </c>
      <c r="HF139" s="135" t="str">
        <f t="shared" si="104"/>
        <v>#REF!</v>
      </c>
      <c r="HG139" s="142" t="str">
        <f>EXP(-LN(2)/35)*HG138+(1-EXP(-LN(2)/35))/(LN(2)/35)*HC139*HD139*VLOOKUP('Données projet (1)'!$B$18,'Paramètres (1)'!$A$1:$I$88,3,0)*0.475*44/12</f>
        <v>#REF!</v>
      </c>
      <c r="HH139" s="142" t="str">
        <f>EXP(-LN(2)/25)*HH138+(1-EXP(-LN(2)/25))/(LN(2)/25)*'Calculateur (1)'!HC139*'Calculateur (1)'!HE139*VLOOKUP('Données projet (1)'!$B$18,'Paramètres (1)'!$A$1:$I$88,3,0)*0.475*44/12</f>
        <v>#REF!</v>
      </c>
      <c r="HI139" s="142" t="str">
        <f>EXP(-LN(2)/2)*HI138+(1-EXP(-LN(2)/2))/(LN(2)/2)*HC139*HF139*VLOOKUP('Données projet (1)'!$B$18,'Paramètres (1)'!$A$1:$I$88,3,0)*0.475*44/12</f>
        <v>#REF!</v>
      </c>
      <c r="HJ139" s="143" t="str">
        <f t="shared" si="105"/>
        <v>#REF!</v>
      </c>
    </row>
    <row r="140" ht="14.25" customHeight="1">
      <c r="A140" s="125">
        <f t="shared" si="106"/>
        <v>137</v>
      </c>
      <c r="B140" s="126" t="str">
        <f t="shared" si="1"/>
        <v>#REF!</v>
      </c>
      <c r="C140" s="140" t="str">
        <f>'Calculateur (1)'!C139+'Scénario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0" s="127">
        <f t="shared" si="107"/>
        <v>0</v>
      </c>
      <c r="E140" s="127" t="str">
        <f t="shared" si="2"/>
        <v>#REF!</v>
      </c>
      <c r="F140" s="127" t="str">
        <f t="shared" si="3"/>
        <v>#REF!</v>
      </c>
      <c r="G140" s="127" t="str">
        <f t="shared" si="4"/>
        <v>#REF!</v>
      </c>
      <c r="H140" s="128" t="str">
        <f t="shared" si="5"/>
        <v>#REF!</v>
      </c>
      <c r="I140" s="129" t="str">
        <f t="shared" si="6"/>
        <v>#REF!</v>
      </c>
      <c r="J140" s="130">
        <f t="shared" si="7"/>
        <v>10</v>
      </c>
      <c r="K140" s="131" t="str">
        <f t="shared" si="108"/>
        <v>#REF!</v>
      </c>
      <c r="L140" s="131" t="str">
        <f t="shared" si="8"/>
        <v>#REF!</v>
      </c>
      <c r="M140" s="131" t="str">
        <f t="array" ref="M140">INDEX(L:L,MIN(IF(ISNUMBER(L140:L336),ROW(L140:L336),"")))</f>
        <v/>
      </c>
      <c r="N140" s="130" t="str">
        <f t="shared" si="109"/>
        <v>#REF!</v>
      </c>
      <c r="O140" s="130" t="str">
        <f>N140*VLOOKUP('Données projet (1)'!$B$9,'Paramètres (1)'!$A$1:$I$88,3,0)*VLOOKUP('Données projet (1)'!$B$9,'Paramètres (1)'!$A$1:$I$88,5,0)</f>
        <v>#REF!</v>
      </c>
      <c r="P140" s="130" t="str">
        <f t="shared" si="110"/>
        <v>#REF!</v>
      </c>
      <c r="Q140" s="141" t="str">
        <f t="shared" si="9"/>
        <v>#REF!</v>
      </c>
      <c r="R140" s="133" t="str">
        <f t="shared" si="10"/>
        <v>#REF!</v>
      </c>
      <c r="S140" s="133" t="str">
        <f t="shared" si="11"/>
        <v>#REF!</v>
      </c>
      <c r="T140" s="133" t="str">
        <f t="shared" si="111"/>
        <v>#REF!</v>
      </c>
      <c r="U140" s="134" t="str">
        <f t="shared" si="12"/>
        <v>#REF!</v>
      </c>
      <c r="V140" s="134" t="str">
        <f t="shared" si="13"/>
        <v>#REF!</v>
      </c>
      <c r="W140" s="135" t="str">
        <f>IF(ISNA(VLOOKUP(A140,'Données projet (1)'!$A$35:$I$55,5,0)),0%,VLOOKUP(A140,'Données projet (1)'!$A$35:$I$55,5,0)*VLOOKUP('Données projet (1)'!$B$9,'Paramètres (1)'!$A$1:$I$88,7,0))</f>
        <v>#REF!</v>
      </c>
      <c r="X140" s="135" t="str">
        <f>IF(ISNA(VLOOKUP(A140,'Données projet (1)'!$A$35:$I$55,6,0)),0%,VLOOKUP(A140,'Données projet (1)'!$A$35:$I$55,6,0)*VLOOKUP('Données projet (1)'!$B$9,'Paramètres (1)'!$A$1:$I$88,7,0))</f>
        <v>#REF!</v>
      </c>
      <c r="Y140" s="135" t="str">
        <f t="shared" si="14"/>
        <v>#REF!</v>
      </c>
      <c r="Z140" s="142" t="str">
        <f>EXP(-LN(2)/35)*Z139+(1-EXP(-LN(2)/35))/(LN(2)/35)*V140*W140*VLOOKUP('Données projet (1)'!$B$9,'Paramètres (1)'!$A$1:$I$88,3,0)*0.475*44/12</f>
        <v>#REF!</v>
      </c>
      <c r="AA140" s="142" t="str">
        <f>EXP(-LN(2)/25)*AA139+(1-EXP(-LN(2)/25))/(LN(2)/25)*'Calculateur (1)'!V140*'Calculateur (1)'!X140*VLOOKUP('Données projet (1)'!$B$9,'Paramètres (1)'!$A$1:$I$88,3,0)*0.475*44/12</f>
        <v>#REF!</v>
      </c>
      <c r="AB140" s="142" t="str">
        <f>EXP(-LN(2)/2)*AB139+(1-EXP(-LN(2)/2))/(LN(2)/2)*V140*Y140*VLOOKUP('Données projet (1)'!$B$9,'Paramètres (1)'!$A$1:$I$88,3,0)*0.475*44/12</f>
        <v>#REF!</v>
      </c>
      <c r="AC140" s="143" t="str">
        <f t="shared" si="15"/>
        <v>#REF!</v>
      </c>
      <c r="AD140" s="130" t="str">
        <f t="shared" si="16"/>
        <v>#REF!</v>
      </c>
      <c r="AE140" s="130">
        <f t="shared" si="17"/>
        <v>10</v>
      </c>
      <c r="AF140" s="131" t="str">
        <f t="shared" si="112"/>
        <v>#REF!</v>
      </c>
      <c r="AG140" s="131" t="str">
        <f t="shared" si="18"/>
        <v>#REF!</v>
      </c>
      <c r="AH140" s="131" t="str">
        <f t="array" ref="AH140">INDEX(AG:AG,MIN(IF(ISNUMBER(AG140:AG336),ROW(AG140:AG336),"")))</f>
        <v/>
      </c>
      <c r="AI140" s="130" t="str">
        <f t="shared" si="113"/>
        <v>#REF!</v>
      </c>
      <c r="AJ140" s="130" t="str">
        <f>AI140*VLOOKUP('Données projet (1)'!$B$10,'Paramètres (1)'!$A$1:$I$88,3,0)*VLOOKUP('Données projet (1)'!$B$10,'Paramètres (1)'!$A$1:$I$88,5,0)</f>
        <v>#REF!</v>
      </c>
      <c r="AK140" s="130" t="str">
        <f t="shared" si="114"/>
        <v>#REF!</v>
      </c>
      <c r="AL140" s="141" t="str">
        <f t="shared" si="19"/>
        <v>#REF!</v>
      </c>
      <c r="AM140" s="133" t="str">
        <f t="shared" si="20"/>
        <v>#REF!</v>
      </c>
      <c r="AN140" s="133" t="str">
        <f t="shared" si="21"/>
        <v>#REF!</v>
      </c>
      <c r="AO140" s="133" t="str">
        <f t="shared" si="115"/>
        <v>#REF!</v>
      </c>
      <c r="AP140" s="134" t="str">
        <f t="shared" si="22"/>
        <v>#REF!</v>
      </c>
      <c r="AQ140" s="134" t="str">
        <f t="shared" si="23"/>
        <v>#REF!</v>
      </c>
      <c r="AR140" s="135" t="str">
        <f>IF(ISNA(VLOOKUP(A140,'Données projet (1)'!$A$61:$I$81,5,0)),0%,VLOOKUP(A140,'Données projet (1)'!$A$61:$I$81,5,0)*VLOOKUP('Données projet (1)'!$B$10,'Paramètres (1)'!$A$1:$I$88,7,0))</f>
        <v>#REF!</v>
      </c>
      <c r="AS140" s="135" t="str">
        <f>IF(ISNA(VLOOKUP(A140,'Données projet (1)'!$A$61:$I$81,6,0)),0%,VLOOKUP(A140,'Données projet (1)'!$A$61:$I$81,6,0)*VLOOKUP('Données projet (1)'!$B$10,'Paramètres (1)'!$A$1:$I$88,7,0))</f>
        <v>#REF!</v>
      </c>
      <c r="AT140" s="135" t="str">
        <f t="shared" si="24"/>
        <v>#REF!</v>
      </c>
      <c r="AU140" s="142" t="str">
        <f>EXP(-LN(2)/35)*AU139+(1-EXP(-LN(2)/35))/(LN(2)/35)*AQ140*AR140*VLOOKUP('Données projet (1)'!$B$10,'Paramètres (1)'!$A$1:$I$88,3,0)*0.475*44/12</f>
        <v>#REF!</v>
      </c>
      <c r="AV140" s="142" t="str">
        <f>EXP(-LN(2)/25)*AV139+(1-EXP(-LN(2)/25))/(LN(2)/25)*'Calculateur (1)'!AQ140*'Calculateur (1)'!AS140*VLOOKUP('Données projet (1)'!$B$10,'Paramètres (1)'!$A$1:$I$88,3,0)*0.475*44/12</f>
        <v>#REF!</v>
      </c>
      <c r="AW140" s="142" t="str">
        <f>EXP(-LN(2)/2)*AW139+(1-EXP(-LN(2)/2))/(LN(2)/2)*AQ140*AT140*VLOOKUP('Données projet (1)'!$B$10,'Paramètres (1)'!$A$1:$I$88,3,0)*0.475*44/12</f>
        <v>#REF!</v>
      </c>
      <c r="AX140" s="142" t="str">
        <f t="shared" si="25"/>
        <v>#REF!</v>
      </c>
      <c r="AY140" s="137" t="str">
        <f t="shared" si="26"/>
        <v>#REF!</v>
      </c>
      <c r="AZ140" s="131">
        <f t="shared" si="27"/>
        <v>10</v>
      </c>
      <c r="BA140" s="131" t="str">
        <f t="shared" si="116"/>
        <v>#REF!</v>
      </c>
      <c r="BB140" s="131" t="str">
        <f t="shared" si="28"/>
        <v>#REF!</v>
      </c>
      <c r="BC140" s="131" t="str">
        <f t="array" ref="BC140">INDEX(BB:BB,MIN(IF(ISNUMBER(BB140:BB336),ROW(BB140:BB336),"")))</f>
        <v/>
      </c>
      <c r="BD140" s="131" t="str">
        <f t="shared" si="117"/>
        <v>#REF!</v>
      </c>
      <c r="BE140" s="130" t="str">
        <f>BD140*VLOOKUP('Données projet (1)'!$B$11,'Paramètres (1)'!$A$1:$I$88,3,0)*VLOOKUP('Données projet (1)'!$B$11,'Paramètres (1)'!$A$1:$I$88,5,0)</f>
        <v>#REF!</v>
      </c>
      <c r="BF140" s="130" t="str">
        <f t="shared" si="118"/>
        <v>#REF!</v>
      </c>
      <c r="BG140" s="141" t="str">
        <f t="shared" si="29"/>
        <v>#REF!</v>
      </c>
      <c r="BH140" s="133" t="str">
        <f t="shared" si="30"/>
        <v>#REF!</v>
      </c>
      <c r="BI140" s="133" t="str">
        <f t="shared" si="31"/>
        <v>#REF!</v>
      </c>
      <c r="BJ140" s="133" t="str">
        <f t="shared" si="119"/>
        <v>#REF!</v>
      </c>
      <c r="BK140" s="134" t="str">
        <f t="shared" si="32"/>
        <v>#REF!</v>
      </c>
      <c r="BL140" s="134" t="str">
        <f t="shared" si="33"/>
        <v>#REF!</v>
      </c>
      <c r="BM140" s="135" t="str">
        <f>IF(ISNA(VLOOKUP(A140,'Données projet (1)'!$A$87:$I$107,5,0)),0%,VLOOKUP(A140,'Données projet (1)'!$A$87:$I$107,5,0)*VLOOKUP('Données projet (1)'!$B$11,'Paramètres (1)'!$A$1:$I$88,7,0))</f>
        <v>#REF!</v>
      </c>
      <c r="BN140" s="135" t="str">
        <f>IF(ISNA(VLOOKUP(A140,'Données projet (1)'!$A$87:$I$107,6,0)),0%,VLOOKUP(A140,'Données projet (1)'!$A$87:$I$107,6,0)*VLOOKUP('Données projet (1)'!$B$11,'Paramètres (1)'!$A$1:$I$88,7,0))</f>
        <v>#REF!</v>
      </c>
      <c r="BO140" s="135" t="str">
        <f t="shared" si="34"/>
        <v>#REF!</v>
      </c>
      <c r="BP140" s="142" t="str">
        <f>EXP(-LN(2)/35)*BP139+(1-EXP(-LN(2)/35))/(LN(2)/35)*BL140*BM140*VLOOKUP('Données projet (1)'!$B$11,'Paramètres (1)'!$A$1:$I$88,3,0)*0.475*44/12</f>
        <v>#REF!</v>
      </c>
      <c r="BQ140" s="142" t="str">
        <f>EXP(-LN(2)/25)*BQ139+(1-EXP(-LN(2)/25))/(LN(2)/25)*'Calculateur (1)'!BL140*'Calculateur (1)'!BN140*VLOOKUP('Données projet (1)'!$B$11,'Paramètres (1)'!$A$1:$I$88,3,0)*0.475*44/12</f>
        <v>#REF!</v>
      </c>
      <c r="BR140" s="142" t="str">
        <f>EXP(-LN(2)/2)*BR139+(1-EXP(-LN(2)/2))/(LN(2)/2)*BL140*BO140*VLOOKUP('Données projet (1)'!$B$11,'Paramètres (1)'!$A$1:$I$88,3,0)*0.475*44/12</f>
        <v>#REF!</v>
      </c>
      <c r="BS140" s="143" t="str">
        <f t="shared" si="35"/>
        <v>#REF!</v>
      </c>
      <c r="BT140" s="139" t="str">
        <f t="shared" si="36"/>
        <v>#REF!</v>
      </c>
      <c r="BU140" s="131">
        <f t="shared" si="37"/>
        <v>10</v>
      </c>
      <c r="BV140" s="131" t="str">
        <f t="shared" si="120"/>
        <v>#REF!</v>
      </c>
      <c r="BW140" s="131" t="str">
        <f t="shared" si="38"/>
        <v>#REF!</v>
      </c>
      <c r="BX140" s="131" t="str">
        <f t="array" ref="BX140">INDEX(BW:BW,MIN(IF(ISNUMBER(BW140:BW336),ROW(BW140:BW336),"")))</f>
        <v/>
      </c>
      <c r="BY140" s="131" t="str">
        <f t="shared" si="121"/>
        <v>#REF!</v>
      </c>
      <c r="BZ140" s="130" t="str">
        <f>BY140*VLOOKUP('Données projet (1)'!$B$12,'Paramètres (1)'!$A$1:$I$88,3,0)*VLOOKUP('Données projet (1)'!$B$12,'Paramètres (1)'!$A$1:$I$88,5,0)</f>
        <v>#REF!</v>
      </c>
      <c r="CA140" s="130" t="str">
        <f t="shared" si="122"/>
        <v>#REF!</v>
      </c>
      <c r="CB140" s="141" t="str">
        <f t="shared" si="39"/>
        <v>#REF!</v>
      </c>
      <c r="CC140" s="133" t="str">
        <f t="shared" si="40"/>
        <v>#REF!</v>
      </c>
      <c r="CD140" s="133" t="str">
        <f t="shared" si="41"/>
        <v>#REF!</v>
      </c>
      <c r="CE140" s="133" t="str">
        <f t="shared" si="123"/>
        <v>#REF!</v>
      </c>
      <c r="CF140" s="134" t="str">
        <f t="shared" si="42"/>
        <v>#REF!</v>
      </c>
      <c r="CG140" s="134" t="str">
        <f t="shared" si="43"/>
        <v>#REF!</v>
      </c>
      <c r="CH140" s="135" t="str">
        <f>IF(ISNA(VLOOKUP(A140,'Données projet (1)'!$A$113:$I$133,5,0)),0%,VLOOKUP(A140,'Données projet (1)'!$A$113:$I$133,5,0)*VLOOKUP('Données projet (1)'!$B$12,'Paramètres (1)'!$A$1:$I$88,7,0))</f>
        <v>#REF!</v>
      </c>
      <c r="CI140" s="135" t="str">
        <f>IF(ISNA(VLOOKUP(A140,'Données projet (1)'!$A$113:$I$133,6,0)),0%,VLOOKUP(A140,'Données projet (1)'!$A$113:$I$133,6,0)*VLOOKUP('Données projet (1)'!$B$12,'Paramètres (1)'!$A$1:$I$88,7,0))</f>
        <v>#REF!</v>
      </c>
      <c r="CJ140" s="135" t="str">
        <f t="shared" si="44"/>
        <v>#REF!</v>
      </c>
      <c r="CK140" s="142" t="str">
        <f>EXP(-LN(2)/35)*CK139+(1-EXP(-LN(2)/35))/(LN(2)/35)*CG140*CH140*VLOOKUP('Données projet (1)'!$B$12,'Paramètres (1)'!$A$1:$I$88,3,0)*0.475*44/12</f>
        <v>#REF!</v>
      </c>
      <c r="CL140" s="142" t="str">
        <f>EXP(-LN(2)/25)*CL139+(1-EXP(-LN(2)/25))/(LN(2)/25)*'Calculateur (1)'!CG140*'Calculateur (1)'!CI140*VLOOKUP('Données projet (1)'!$B$12,'Paramètres (1)'!$A$1:$I$88,3,0)*0.475*44/12</f>
        <v>#REF!</v>
      </c>
      <c r="CM140" s="142" t="str">
        <f>EXP(-LN(2)/2)*CM139+(1-EXP(-LN(2)/2))/(LN(2)/2)*CG140*CJ140*VLOOKUP('Données projet (1)'!$B$12,'Paramètres (1)'!$A$1:$I$88,3,0)*0.475*44/12</f>
        <v>#REF!</v>
      </c>
      <c r="CN140" s="143" t="str">
        <f t="shared" si="45"/>
        <v>#REF!</v>
      </c>
      <c r="CO140" s="139" t="str">
        <f t="shared" si="46"/>
        <v>#REF!</v>
      </c>
      <c r="CP140" s="131">
        <f t="shared" si="47"/>
        <v>10</v>
      </c>
      <c r="CQ140" s="131" t="str">
        <f t="shared" si="124"/>
        <v>#REF!</v>
      </c>
      <c r="CR140" s="131" t="str">
        <f t="shared" si="48"/>
        <v>#REF!</v>
      </c>
      <c r="CS140" s="131" t="str">
        <f t="array" ref="CS140">INDEX(CR:CR,MIN(IF(ISNUMBER(CR140:CR336),ROW(CR140:CR336),"")))</f>
        <v/>
      </c>
      <c r="CT140" s="131" t="str">
        <f t="shared" si="125"/>
        <v>#REF!</v>
      </c>
      <c r="CU140" s="138" t="str">
        <f>CT140*VLOOKUP('Données projet (1)'!$B$13,'Paramètres (1)'!$A$1:$I$88,3,0)*VLOOKUP('Données projet (1)'!$B$13,'Paramètres (1)'!$A$1:$I$88,5,0)</f>
        <v>#REF!</v>
      </c>
      <c r="CV140" s="130" t="str">
        <f t="shared" si="126"/>
        <v>#REF!</v>
      </c>
      <c r="CW140" s="141" t="str">
        <f t="shared" si="49"/>
        <v>#REF!</v>
      </c>
      <c r="CX140" s="133" t="str">
        <f t="shared" si="50"/>
        <v>#REF!</v>
      </c>
      <c r="CY140" s="133" t="str">
        <f t="shared" si="51"/>
        <v>#REF!</v>
      </c>
      <c r="CZ140" s="133" t="str">
        <f t="shared" si="127"/>
        <v>#REF!</v>
      </c>
      <c r="DA140" s="134" t="str">
        <f t="shared" si="52"/>
        <v>#REF!</v>
      </c>
      <c r="DB140" s="134" t="str">
        <f t="shared" si="53"/>
        <v>#REF!</v>
      </c>
      <c r="DC140" s="135" t="str">
        <f>IF(ISNA(VLOOKUP(A140,'Données projet (1)'!$A$139:$I$159,5,0)),0%,VLOOKUP(A140,'Données projet (1)'!$A$139:$I$159,5,0)*VLOOKUP('Données projet (1)'!$B$13,'Paramètres (1)'!$A$1:$I$88,7,0))</f>
        <v>#REF!</v>
      </c>
      <c r="DD140" s="135" t="str">
        <f>IF(ISNA(VLOOKUP(A140,'Données projet (1)'!$A$139:$I$159,6,0)),0%,VLOOKUP(A140,'Données projet (1)'!$A$139:$I$159,6,0)*VLOOKUP('Données projet (1)'!$B$13,'Paramètres (1)'!$A$1:$I$88,7,0))</f>
        <v>#REF!</v>
      </c>
      <c r="DE140" s="135" t="str">
        <f t="shared" si="54"/>
        <v>#REF!</v>
      </c>
      <c r="DF140" s="142" t="str">
        <f>EXP(-LN(2)/35)*DF139+(1-EXP(-LN(2)/35))/(LN(2)/35)*DB140*DC140*VLOOKUP('Données projet (1)'!$B$13,'Paramètres (1)'!$A$1:$I$88,3,0)*0.475*44/12</f>
        <v>#REF!</v>
      </c>
      <c r="DG140" s="142" t="str">
        <f>EXP(-LN(2)/25)*DG139+(1-EXP(-LN(2)/25))/(LN(2)/25)*'Calculateur (1)'!DB140*'Calculateur (1)'!DD140*VLOOKUP('Données projet (1)'!$B$13,'Paramètres (1)'!$A$1:$I$88,3,0)*0.475*44/12</f>
        <v>#REF!</v>
      </c>
      <c r="DH140" s="142" t="str">
        <f>EXP(-LN(2)/2)*DH139+(1-EXP(-LN(2)/2))/(LN(2)/2)*DB140*DE140*VLOOKUP('Données projet (1)'!$B$13,'Paramètres (1)'!$A$1:$I$88,3,0)*0.475*44/12</f>
        <v>#REF!</v>
      </c>
      <c r="DI140" s="143" t="str">
        <f t="shared" si="55"/>
        <v>#REF!</v>
      </c>
      <c r="DJ140" s="139" t="str">
        <f t="shared" si="56"/>
        <v>#REF!</v>
      </c>
      <c r="DK140" s="131">
        <f t="shared" si="57"/>
        <v>10</v>
      </c>
      <c r="DL140" s="131" t="str">
        <f t="shared" si="128"/>
        <v>#REF!</v>
      </c>
      <c r="DM140" s="131" t="str">
        <f t="shared" si="58"/>
        <v>#REF!</v>
      </c>
      <c r="DN140" s="131" t="str">
        <f t="array" ref="DN140">INDEX(DM:DM,MIN(IF(ISNUMBER(DM140:DM336),ROW(DM140:DM336),"")))</f>
        <v/>
      </c>
      <c r="DO140" s="131" t="str">
        <f t="shared" si="129"/>
        <v>#REF!</v>
      </c>
      <c r="DP140" s="138" t="str">
        <f>DO140*VLOOKUP('Données projet (1)'!$B$14,'Paramètres (1)'!$A$1:$I$88,3,0)*VLOOKUP('Données projet (1)'!$B$14,'Paramètres (1)'!$A$1:$I$88,5,0)</f>
        <v>#REF!</v>
      </c>
      <c r="DQ140" s="130" t="str">
        <f t="shared" si="130"/>
        <v>#REF!</v>
      </c>
      <c r="DR140" s="141" t="str">
        <f t="shared" si="59"/>
        <v>#REF!</v>
      </c>
      <c r="DS140" s="133" t="str">
        <f t="shared" si="60"/>
        <v>#REF!</v>
      </c>
      <c r="DT140" s="133" t="str">
        <f t="shared" si="61"/>
        <v>#REF!</v>
      </c>
      <c r="DU140" s="133" t="str">
        <f t="shared" si="131"/>
        <v>#REF!</v>
      </c>
      <c r="DV140" s="134" t="str">
        <f t="shared" si="62"/>
        <v>#REF!</v>
      </c>
      <c r="DW140" s="134" t="str">
        <f t="shared" si="63"/>
        <v>#REF!</v>
      </c>
      <c r="DX140" s="135" t="str">
        <f>IF(ISNA(VLOOKUP(A140,'Données projet (1)'!$A$165:$I$185,5,0)),0%,VLOOKUP(A140,'Données projet (1)'!$A$165:$I$185,5,0)*VLOOKUP('Données projet (1)'!$B$14,'Paramètres (1)'!$A$1:$I$88,7,0))</f>
        <v>#REF!</v>
      </c>
      <c r="DY140" s="135" t="str">
        <f>IF(ISNA(VLOOKUP(A140,'Données projet (1)'!$A$165:$I$185,6,0)),0%,VLOOKUP(A140,'Données projet (1)'!$A$165:$I$185,6,0)*VLOOKUP('Données projet (1)'!$B$14,'Paramètres (1)'!$A$1:$I$88,7,0))</f>
        <v>#REF!</v>
      </c>
      <c r="DZ140" s="135" t="str">
        <f t="shared" si="64"/>
        <v>#REF!</v>
      </c>
      <c r="EA140" s="142" t="str">
        <f>EXP(-LN(2)/35)*EA139+(1-EXP(-LN(2)/35))/(LN(2)/35)*DW140*DX140*VLOOKUP('Données projet (1)'!$B$14,'Paramètres (1)'!$A$1:$I$88,3,0)*0.475*44/12</f>
        <v>#REF!</v>
      </c>
      <c r="EB140" s="142" t="str">
        <f>EXP(-LN(2)/25)*EB139+(1-EXP(-LN(2)/25))/(LN(2)/25)*'Calculateur (1)'!DW140*'Calculateur (1)'!DY140*VLOOKUP('Données projet (1)'!$B$14,'Paramètres (1)'!$A$1:$I$88,3,0)*0.475*44/12</f>
        <v>#REF!</v>
      </c>
      <c r="EC140" s="142" t="str">
        <f>EXP(-LN(2)/2)*EC139+(1-EXP(-LN(2)/2))/(LN(2)/2)*DW140*DZ140*VLOOKUP('Données projet (1)'!$B$14,'Paramètres (1)'!$A$1:$I$88,3,0)*0.475*44/12</f>
        <v>#REF!</v>
      </c>
      <c r="ED140" s="143" t="str">
        <f t="shared" si="65"/>
        <v>#REF!</v>
      </c>
      <c r="EE140" s="139" t="str">
        <f t="shared" si="66"/>
        <v>#REF!</v>
      </c>
      <c r="EF140" s="131">
        <f t="shared" si="67"/>
        <v>10</v>
      </c>
      <c r="EG140" s="131" t="str">
        <f t="shared" si="132"/>
        <v>#REF!</v>
      </c>
      <c r="EH140" s="131" t="str">
        <f t="shared" si="68"/>
        <v>#REF!</v>
      </c>
      <c r="EI140" s="131" t="str">
        <f t="array" ref="EI140">INDEX(EH:EH,MIN(IF(ISNUMBER(EH140:EH336),ROW(EH140:EH336),"")))</f>
        <v/>
      </c>
      <c r="EJ140" s="131" t="str">
        <f t="shared" si="133"/>
        <v>#REF!</v>
      </c>
      <c r="EK140" s="138" t="str">
        <f>EJ140*VLOOKUP('Données projet (1)'!$B$15,'Paramètres (1)'!$A$1:$I$88,3,0)*VLOOKUP('Données projet (1)'!$B$15,'Paramètres (1)'!$A$1:$I$88,5,0)</f>
        <v>#REF!</v>
      </c>
      <c r="EL140" s="130" t="str">
        <f t="shared" si="134"/>
        <v>#REF!</v>
      </c>
      <c r="EM140" s="141" t="str">
        <f t="shared" si="69"/>
        <v>#REF!</v>
      </c>
      <c r="EN140" s="133" t="str">
        <f t="shared" si="70"/>
        <v>#REF!</v>
      </c>
      <c r="EO140" s="133" t="str">
        <f t="shared" si="71"/>
        <v>#REF!</v>
      </c>
      <c r="EP140" s="133" t="str">
        <f t="shared" si="135"/>
        <v>#REF!</v>
      </c>
      <c r="EQ140" s="134" t="str">
        <f t="shared" si="72"/>
        <v>#REF!</v>
      </c>
      <c r="ER140" s="134" t="str">
        <f t="shared" si="73"/>
        <v>#REF!</v>
      </c>
      <c r="ES140" s="135" t="str">
        <f>IF(ISNA(VLOOKUP(A140,'Données projet (1)'!$A$191:$I$211,5,0)),0%,VLOOKUP(A140,'Données projet (1)'!$A$191:$I$211,5,0)*VLOOKUP('Données projet (1)'!$B$15,'Paramètres (1)'!$A$1:$I$88,7,0))</f>
        <v>#REF!</v>
      </c>
      <c r="ET140" s="135" t="str">
        <f>IF(ISNA(VLOOKUP(A140,'Données projet (1)'!$A$191:$I$211,6,0)),0%,VLOOKUP(A140,'Données projet (1)'!$A$191:$I$211,6,0)*VLOOKUP('Données projet (1)'!$B$15,'Paramètres (1)'!$A$1:$I$88,7,0))</f>
        <v>#REF!</v>
      </c>
      <c r="EU140" s="135" t="str">
        <f t="shared" si="74"/>
        <v>#REF!</v>
      </c>
      <c r="EV140" s="142" t="str">
        <f>EXP(-LN(2)/35)*EV139+(1-EXP(-LN(2)/35))/(LN(2)/35)*ER140*ES140*VLOOKUP('Données projet (1)'!$B$15,'Paramètres (1)'!$A$1:$I$88,3,0)*0.475*44/12</f>
        <v>#REF!</v>
      </c>
      <c r="EW140" s="142" t="str">
        <f>EXP(-LN(2)/25)*EW139+(1-EXP(-LN(2)/25))/(LN(2)/25)*'Calculateur (1)'!ER140*'Calculateur (1)'!ET140*VLOOKUP('Données projet (1)'!$B$15,'Paramètres (1)'!$A$1:$I$88,3,0)*0.475*44/12</f>
        <v>#REF!</v>
      </c>
      <c r="EX140" s="142" t="str">
        <f>EXP(-LN(2)/2)*EX139+(1-EXP(-LN(2)/2))/(LN(2)/2)*ER140*EU140*VLOOKUP('Données projet (1)'!$B$15,'Paramètres (1)'!$A$1:$I$88,3,0)*0.475*44/12</f>
        <v>#REF!</v>
      </c>
      <c r="EY140" s="143" t="str">
        <f t="shared" si="75"/>
        <v>#REF!</v>
      </c>
      <c r="EZ140" s="139" t="str">
        <f t="shared" si="76"/>
        <v>#REF!</v>
      </c>
      <c r="FA140" s="131">
        <f t="shared" si="77"/>
        <v>10</v>
      </c>
      <c r="FB140" s="131" t="str">
        <f t="shared" si="136"/>
        <v>#REF!</v>
      </c>
      <c r="FC140" s="131" t="str">
        <f t="shared" si="78"/>
        <v>#REF!</v>
      </c>
      <c r="FD140" s="131" t="str">
        <f t="array" ref="FD140">INDEX(FC:FC,MIN(IF(ISNUMBER(FC140:FC336),ROW(FC140:FC336),"")))</f>
        <v/>
      </c>
      <c r="FE140" s="131" t="str">
        <f t="shared" si="137"/>
        <v>#REF!</v>
      </c>
      <c r="FF140" s="138" t="str">
        <f>FE140*VLOOKUP('Données projet (1)'!$B$16,'Paramètres (1)'!$A$1:$I$88,3,0)*VLOOKUP('Données projet (1)'!$B$16,'Paramètres (1)'!$A$1:$I$88,5,0)</f>
        <v>#REF!</v>
      </c>
      <c r="FG140" s="130" t="str">
        <f t="shared" si="138"/>
        <v>#REF!</v>
      </c>
      <c r="FH140" s="141" t="str">
        <f t="shared" si="79"/>
        <v>#REF!</v>
      </c>
      <c r="FI140" s="133" t="str">
        <f t="shared" si="80"/>
        <v>#REF!</v>
      </c>
      <c r="FJ140" s="133" t="str">
        <f t="shared" si="81"/>
        <v>#REF!</v>
      </c>
      <c r="FK140" s="133" t="str">
        <f t="shared" si="139"/>
        <v>#REF!</v>
      </c>
      <c r="FL140" s="134" t="str">
        <f t="shared" si="82"/>
        <v>#REF!</v>
      </c>
      <c r="FM140" s="134" t="str">
        <f t="shared" si="83"/>
        <v>#REF!</v>
      </c>
      <c r="FN140" s="135" t="str">
        <f>IF(ISNA(VLOOKUP(A140,'Données projet (1)'!$A$217:$I$237,5,0)),0%,VLOOKUP(A140,'Données projet (1)'!$A$217:$I$237,5,0)*VLOOKUP('Données projet (1)'!$B$16,'Paramètres (1)'!$A$1:$I$88,7,0))</f>
        <v>#REF!</v>
      </c>
      <c r="FO140" s="135" t="str">
        <f>IF(ISNA(VLOOKUP(A140,'Données projet (1)'!$A$217:$I$237,6,0)),0%,VLOOKUP(A140,'Données projet (1)'!$A$217:$I$237,6,0)*VLOOKUP('Données projet (1)'!$B$16,'Paramètres (1)'!$A$1:$I$88,7,0))</f>
        <v>#REF!</v>
      </c>
      <c r="FP140" s="135" t="str">
        <f t="shared" si="84"/>
        <v>#REF!</v>
      </c>
      <c r="FQ140" s="142" t="str">
        <f>EXP(-LN(2)/35)*FQ139+(1-EXP(-LN(2)/35))/(LN(2)/35)*FM140*FN140*VLOOKUP('Données projet (1)'!$B$16,'Paramètres (1)'!$A$1:$I$88,3,0)*0.475*44/12</f>
        <v>#REF!</v>
      </c>
      <c r="FR140" s="142" t="str">
        <f>EXP(-LN(2)/25)*FR139+(1-EXP(-LN(2)/25))/(LN(2)/25)*'Calculateur (1)'!FM140*'Calculateur (1)'!FO140*VLOOKUP('Données projet (1)'!$B$16,'Paramètres (1)'!$A$1:$I$88,3,0)*0.475*44/12</f>
        <v>#REF!</v>
      </c>
      <c r="FS140" s="142" t="str">
        <f>EXP(-LN(2)/2)*FS139+(1-EXP(-LN(2)/2))/(LN(2)/2)*FM140*FP140*VLOOKUP('Données projet (1)'!$B$16,'Paramètres (1)'!$A$1:$I$88,3,0)*0.475*44/12</f>
        <v>#REF!</v>
      </c>
      <c r="FT140" s="143" t="str">
        <f t="shared" si="85"/>
        <v>#REF!</v>
      </c>
      <c r="FU140" s="139" t="str">
        <f t="shared" si="86"/>
        <v>#REF!</v>
      </c>
      <c r="FV140" s="131">
        <f t="shared" si="87"/>
        <v>10</v>
      </c>
      <c r="FW140" s="131" t="str">
        <f t="shared" si="140"/>
        <v>#REF!</v>
      </c>
      <c r="FX140" s="131" t="str">
        <f t="shared" si="88"/>
        <v>#REF!</v>
      </c>
      <c r="FY140" s="131" t="str">
        <f t="array" ref="FY140">INDEX(FX:FX,MIN(IF(ISNUMBER(FX140:FX336),ROW(FX140:FX336),"")))</f>
        <v/>
      </c>
      <c r="FZ140" s="131" t="str">
        <f t="shared" si="141"/>
        <v>#REF!</v>
      </c>
      <c r="GA140" s="138" t="str">
        <f>FZ140*VLOOKUP('Données projet (1)'!$B$17,'Paramètres (1)'!$A$1:$I$88,3,0)*VLOOKUP('Données projet (1)'!$B$17,'Paramètres (1)'!$A$1:$I$88,5,0)</f>
        <v>#REF!</v>
      </c>
      <c r="GB140" s="130" t="str">
        <f t="shared" si="142"/>
        <v>#REF!</v>
      </c>
      <c r="GC140" s="141" t="str">
        <f t="shared" si="89"/>
        <v>#REF!</v>
      </c>
      <c r="GD140" s="133" t="str">
        <f t="shared" si="90"/>
        <v>#REF!</v>
      </c>
      <c r="GE140" s="133" t="str">
        <f t="shared" si="91"/>
        <v>#REF!</v>
      </c>
      <c r="GF140" s="133" t="str">
        <f t="shared" si="143"/>
        <v>#REF!</v>
      </c>
      <c r="GG140" s="134" t="str">
        <f t="shared" si="92"/>
        <v>#REF!</v>
      </c>
      <c r="GH140" s="134" t="str">
        <f t="shared" si="93"/>
        <v>#REF!</v>
      </c>
      <c r="GI140" s="135" t="str">
        <f>IF(ISNA(VLOOKUP(A140,'Données projet (1)'!$A$243:$I$263,5,0)),0%,VLOOKUP(A140,'Données projet (1)'!$A$243:$I$263,5,0)*VLOOKUP('Données projet (1)'!$B$17,'Paramètres (1)'!$A$1:$I$88,7,0))</f>
        <v>#REF!</v>
      </c>
      <c r="GJ140" s="135" t="str">
        <f>IF(ISNA(VLOOKUP(A140,'Données projet (1)'!$A$243:$I$263,6,0)),0%,VLOOKUP(A140,'Données projet (1)'!$A$243:$I$263,6,0)*VLOOKUP('Données projet (1)'!$B$17,'Paramètres (1)'!$A$1:$I$88,7,0))</f>
        <v>#REF!</v>
      </c>
      <c r="GK140" s="135" t="str">
        <f t="shared" si="94"/>
        <v>#REF!</v>
      </c>
      <c r="GL140" s="142" t="str">
        <f>EXP(-LN(2)/35)*GL139+(1-EXP(-LN(2)/35))/(LN(2)/35)*GH140*GI140*VLOOKUP('Données projet (1)'!$B$17,'Paramètres (1)'!$A$1:$I$88,3,0)*0.475*44/12</f>
        <v>#REF!</v>
      </c>
      <c r="GM140" s="142" t="str">
        <f>EXP(-LN(2)/25)*GM139+(1-EXP(-LN(2)/25))/(LN(2)/25)*'Calculateur (1)'!GH140*'Calculateur (1)'!GJ140*VLOOKUP('Données projet (1)'!$B$17,'Paramètres (1)'!$A$1:$I$88,3,0)*0.475*44/12</f>
        <v>#REF!</v>
      </c>
      <c r="GN140" s="142" t="str">
        <f>EXP(-LN(2)/2)*GN139+(1-EXP(-LN(2)/2))/(LN(2)/2)*GH140*GK140*VLOOKUP('Données projet (1)'!$B$17,'Paramètres (1)'!$A$1:$I$88,3,0)*0.475*44/12</f>
        <v>#REF!</v>
      </c>
      <c r="GO140" s="142" t="str">
        <f t="shared" si="95"/>
        <v>#REF!</v>
      </c>
      <c r="GP140" s="139" t="str">
        <f t="shared" si="96"/>
        <v>#REF!</v>
      </c>
      <c r="GQ140" s="131">
        <f t="shared" si="97"/>
        <v>10</v>
      </c>
      <c r="GR140" s="131" t="str">
        <f t="shared" si="144"/>
        <v>#REF!</v>
      </c>
      <c r="GS140" s="131" t="str">
        <f t="shared" si="98"/>
        <v>#REF!</v>
      </c>
      <c r="GT140" s="131" t="str">
        <f t="array" ref="GT140">INDEX(GS:GS,MIN(IF(ISNUMBER(GS140:GS336),ROW(GS140:GS336),"")))</f>
        <v/>
      </c>
      <c r="GU140" s="131" t="str">
        <f t="shared" si="145"/>
        <v>#REF!</v>
      </c>
      <c r="GV140" s="138" t="str">
        <f>GU140*VLOOKUP('Données projet (1)'!$B$18,'Paramètres (1)'!$A$1:$I$88,3,0)*VLOOKUP('Données projet (1)'!$B$18,'Paramètres (1)'!$A$1:$I$88,5,0)</f>
        <v>#REF!</v>
      </c>
      <c r="GW140" s="130" t="str">
        <f t="shared" si="146"/>
        <v>#REF!</v>
      </c>
      <c r="GX140" s="141" t="str">
        <f t="shared" si="99"/>
        <v>#REF!</v>
      </c>
      <c r="GY140" s="133" t="str">
        <f t="shared" si="100"/>
        <v>#REF!</v>
      </c>
      <c r="GZ140" s="133" t="str">
        <f t="shared" si="101"/>
        <v>#REF!</v>
      </c>
      <c r="HA140" s="133" t="str">
        <f t="shared" si="147"/>
        <v>#REF!</v>
      </c>
      <c r="HB140" s="134" t="str">
        <f t="shared" si="102"/>
        <v>#REF!</v>
      </c>
      <c r="HC140" s="134" t="str">
        <f t="shared" si="103"/>
        <v>#REF!</v>
      </c>
      <c r="HD140" s="135" t="str">
        <f>IF(ISNA(VLOOKUP(A140,'Données projet (1)'!$A$269:$I$289,5,0)),0%,VLOOKUP(A140,'Données projet (1)'!$A$269:$I$289,5,0)*VLOOKUP('Données projet (1)'!$B$18,'Paramètres (1)'!$A$1:$I$88,7,0))</f>
        <v>#REF!</v>
      </c>
      <c r="HE140" s="135" t="str">
        <f>IF(ISNA(VLOOKUP(A140,'Données projet (1)'!$A$269:$I$289,6,0)),0%,VLOOKUP(A140,'Données projet (1)'!$A$269:$I$289,6,0)*VLOOKUP('Données projet (1)'!$B$18,'Paramètres (1)'!$A$1:$I$88,7,0))</f>
        <v>#REF!</v>
      </c>
      <c r="HF140" s="135" t="str">
        <f t="shared" si="104"/>
        <v>#REF!</v>
      </c>
      <c r="HG140" s="142" t="str">
        <f>EXP(-LN(2)/35)*HG139+(1-EXP(-LN(2)/35))/(LN(2)/35)*HC140*HD140*VLOOKUP('Données projet (1)'!$B$18,'Paramètres (1)'!$A$1:$I$88,3,0)*0.475*44/12</f>
        <v>#REF!</v>
      </c>
      <c r="HH140" s="142" t="str">
        <f>EXP(-LN(2)/25)*HH139+(1-EXP(-LN(2)/25))/(LN(2)/25)*'Calculateur (1)'!HC140*'Calculateur (1)'!HE140*VLOOKUP('Données projet (1)'!$B$18,'Paramètres (1)'!$A$1:$I$88,3,0)*0.475*44/12</f>
        <v>#REF!</v>
      </c>
      <c r="HI140" s="142" t="str">
        <f>EXP(-LN(2)/2)*HI139+(1-EXP(-LN(2)/2))/(LN(2)/2)*HC140*HF140*VLOOKUP('Données projet (1)'!$B$18,'Paramètres (1)'!$A$1:$I$88,3,0)*0.475*44/12</f>
        <v>#REF!</v>
      </c>
      <c r="HJ140" s="143" t="str">
        <f t="shared" si="105"/>
        <v>#REF!</v>
      </c>
    </row>
    <row r="141" ht="14.25" customHeight="1">
      <c r="A141" s="125">
        <f t="shared" si="106"/>
        <v>138</v>
      </c>
      <c r="B141" s="126" t="str">
        <f t="shared" si="1"/>
        <v>#REF!</v>
      </c>
      <c r="C141" s="140" t="str">
        <f>'Calculateur (1)'!C140+'Scénario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1" s="127">
        <f t="shared" si="107"/>
        <v>0</v>
      </c>
      <c r="E141" s="127" t="str">
        <f t="shared" si="2"/>
        <v>#REF!</v>
      </c>
      <c r="F141" s="127" t="str">
        <f t="shared" si="3"/>
        <v>#REF!</v>
      </c>
      <c r="G141" s="127" t="str">
        <f t="shared" si="4"/>
        <v>#REF!</v>
      </c>
      <c r="H141" s="128" t="str">
        <f t="shared" si="5"/>
        <v>#REF!</v>
      </c>
      <c r="I141" s="129" t="str">
        <f t="shared" si="6"/>
        <v>#REF!</v>
      </c>
      <c r="J141" s="130">
        <f t="shared" si="7"/>
        <v>10</v>
      </c>
      <c r="K141" s="131" t="str">
        <f t="shared" si="108"/>
        <v>#REF!</v>
      </c>
      <c r="L141" s="131" t="str">
        <f t="shared" si="8"/>
        <v>#REF!</v>
      </c>
      <c r="M141" s="131" t="str">
        <f t="array" ref="M141">INDEX(L:L,MIN(IF(ISNUMBER(L141:L337),ROW(L141:L337),"")))</f>
        <v/>
      </c>
      <c r="N141" s="130" t="str">
        <f t="shared" si="109"/>
        <v>#REF!</v>
      </c>
      <c r="O141" s="130" t="str">
        <f>N141*VLOOKUP('Données projet (1)'!$B$9,'Paramètres (1)'!$A$1:$I$88,3,0)*VLOOKUP('Données projet (1)'!$B$9,'Paramètres (1)'!$A$1:$I$88,5,0)</f>
        <v>#REF!</v>
      </c>
      <c r="P141" s="130" t="str">
        <f t="shared" si="110"/>
        <v>#REF!</v>
      </c>
      <c r="Q141" s="141" t="str">
        <f t="shared" si="9"/>
        <v>#REF!</v>
      </c>
      <c r="R141" s="133" t="str">
        <f t="shared" si="10"/>
        <v>#REF!</v>
      </c>
      <c r="S141" s="133" t="str">
        <f t="shared" si="11"/>
        <v>#REF!</v>
      </c>
      <c r="T141" s="133" t="str">
        <f t="shared" si="111"/>
        <v>#REF!</v>
      </c>
      <c r="U141" s="134" t="str">
        <f t="shared" si="12"/>
        <v>#REF!</v>
      </c>
      <c r="V141" s="134" t="str">
        <f t="shared" si="13"/>
        <v>#REF!</v>
      </c>
      <c r="W141" s="135" t="str">
        <f>IF(ISNA(VLOOKUP(A141,'Données projet (1)'!$A$35:$I$55,5,0)),0%,VLOOKUP(A141,'Données projet (1)'!$A$35:$I$55,5,0)*VLOOKUP('Données projet (1)'!$B$9,'Paramètres (1)'!$A$1:$I$88,7,0))</f>
        <v>#REF!</v>
      </c>
      <c r="X141" s="135" t="str">
        <f>IF(ISNA(VLOOKUP(A141,'Données projet (1)'!$A$35:$I$55,6,0)),0%,VLOOKUP(A141,'Données projet (1)'!$A$35:$I$55,6,0)*VLOOKUP('Données projet (1)'!$B$9,'Paramètres (1)'!$A$1:$I$88,7,0))</f>
        <v>#REF!</v>
      </c>
      <c r="Y141" s="135" t="str">
        <f t="shared" si="14"/>
        <v>#REF!</v>
      </c>
      <c r="Z141" s="142" t="str">
        <f>EXP(-LN(2)/35)*Z140+(1-EXP(-LN(2)/35))/(LN(2)/35)*V141*W141*VLOOKUP('Données projet (1)'!$B$9,'Paramètres (1)'!$A$1:$I$88,3,0)*0.475*44/12</f>
        <v>#REF!</v>
      </c>
      <c r="AA141" s="142" t="str">
        <f>EXP(-LN(2)/25)*AA140+(1-EXP(-LN(2)/25))/(LN(2)/25)*'Calculateur (1)'!V141*'Calculateur (1)'!X141*VLOOKUP('Données projet (1)'!$B$9,'Paramètres (1)'!$A$1:$I$88,3,0)*0.475*44/12</f>
        <v>#REF!</v>
      </c>
      <c r="AB141" s="142" t="str">
        <f>EXP(-LN(2)/2)*AB140+(1-EXP(-LN(2)/2))/(LN(2)/2)*V141*Y141*VLOOKUP('Données projet (1)'!$B$9,'Paramètres (1)'!$A$1:$I$88,3,0)*0.475*44/12</f>
        <v>#REF!</v>
      </c>
      <c r="AC141" s="143" t="str">
        <f t="shared" si="15"/>
        <v>#REF!</v>
      </c>
      <c r="AD141" s="130" t="str">
        <f t="shared" si="16"/>
        <v>#REF!</v>
      </c>
      <c r="AE141" s="130">
        <f t="shared" si="17"/>
        <v>10</v>
      </c>
      <c r="AF141" s="131" t="str">
        <f t="shared" si="112"/>
        <v>#REF!</v>
      </c>
      <c r="AG141" s="131" t="str">
        <f t="shared" si="18"/>
        <v>#REF!</v>
      </c>
      <c r="AH141" s="131" t="str">
        <f t="array" ref="AH141">INDEX(AG:AG,MIN(IF(ISNUMBER(AG141:AG337),ROW(AG141:AG337),"")))</f>
        <v/>
      </c>
      <c r="AI141" s="130" t="str">
        <f t="shared" si="113"/>
        <v>#REF!</v>
      </c>
      <c r="AJ141" s="130" t="str">
        <f>AI141*VLOOKUP('Données projet (1)'!$B$10,'Paramètres (1)'!$A$1:$I$88,3,0)*VLOOKUP('Données projet (1)'!$B$10,'Paramètres (1)'!$A$1:$I$88,5,0)</f>
        <v>#REF!</v>
      </c>
      <c r="AK141" s="130" t="str">
        <f t="shared" si="114"/>
        <v>#REF!</v>
      </c>
      <c r="AL141" s="141" t="str">
        <f t="shared" si="19"/>
        <v>#REF!</v>
      </c>
      <c r="AM141" s="133" t="str">
        <f t="shared" si="20"/>
        <v>#REF!</v>
      </c>
      <c r="AN141" s="133" t="str">
        <f t="shared" si="21"/>
        <v>#REF!</v>
      </c>
      <c r="AO141" s="133" t="str">
        <f t="shared" si="115"/>
        <v>#REF!</v>
      </c>
      <c r="AP141" s="134" t="str">
        <f t="shared" si="22"/>
        <v>#REF!</v>
      </c>
      <c r="AQ141" s="134" t="str">
        <f t="shared" si="23"/>
        <v>#REF!</v>
      </c>
      <c r="AR141" s="135" t="str">
        <f>IF(ISNA(VLOOKUP(A141,'Données projet (1)'!$A$61:$I$81,5,0)),0%,VLOOKUP(A141,'Données projet (1)'!$A$61:$I$81,5,0)*VLOOKUP('Données projet (1)'!$B$10,'Paramètres (1)'!$A$1:$I$88,7,0))</f>
        <v>#REF!</v>
      </c>
      <c r="AS141" s="135" t="str">
        <f>IF(ISNA(VLOOKUP(A141,'Données projet (1)'!$A$61:$I$81,6,0)),0%,VLOOKUP(A141,'Données projet (1)'!$A$61:$I$81,6,0)*VLOOKUP('Données projet (1)'!$B$10,'Paramètres (1)'!$A$1:$I$88,7,0))</f>
        <v>#REF!</v>
      </c>
      <c r="AT141" s="135" t="str">
        <f t="shared" si="24"/>
        <v>#REF!</v>
      </c>
      <c r="AU141" s="142" t="str">
        <f>EXP(-LN(2)/35)*AU140+(1-EXP(-LN(2)/35))/(LN(2)/35)*AQ141*AR141*VLOOKUP('Données projet (1)'!$B$10,'Paramètres (1)'!$A$1:$I$88,3,0)*0.475*44/12</f>
        <v>#REF!</v>
      </c>
      <c r="AV141" s="142" t="str">
        <f>EXP(-LN(2)/25)*AV140+(1-EXP(-LN(2)/25))/(LN(2)/25)*'Calculateur (1)'!AQ141*'Calculateur (1)'!AS141*VLOOKUP('Données projet (1)'!$B$10,'Paramètres (1)'!$A$1:$I$88,3,0)*0.475*44/12</f>
        <v>#REF!</v>
      </c>
      <c r="AW141" s="142" t="str">
        <f>EXP(-LN(2)/2)*AW140+(1-EXP(-LN(2)/2))/(LN(2)/2)*AQ141*AT141*VLOOKUP('Données projet (1)'!$B$10,'Paramètres (1)'!$A$1:$I$88,3,0)*0.475*44/12</f>
        <v>#REF!</v>
      </c>
      <c r="AX141" s="142" t="str">
        <f t="shared" si="25"/>
        <v>#REF!</v>
      </c>
      <c r="AY141" s="137" t="str">
        <f t="shared" si="26"/>
        <v>#REF!</v>
      </c>
      <c r="AZ141" s="131">
        <f t="shared" si="27"/>
        <v>10</v>
      </c>
      <c r="BA141" s="131" t="str">
        <f t="shared" si="116"/>
        <v>#REF!</v>
      </c>
      <c r="BB141" s="131" t="str">
        <f t="shared" si="28"/>
        <v>#REF!</v>
      </c>
      <c r="BC141" s="131" t="str">
        <f t="array" ref="BC141">INDEX(BB:BB,MIN(IF(ISNUMBER(BB141:BB337),ROW(BB141:BB337),"")))</f>
        <v/>
      </c>
      <c r="BD141" s="131" t="str">
        <f t="shared" si="117"/>
        <v>#REF!</v>
      </c>
      <c r="BE141" s="130" t="str">
        <f>BD141*VLOOKUP('Données projet (1)'!$B$11,'Paramètres (1)'!$A$1:$I$88,3,0)*VLOOKUP('Données projet (1)'!$B$11,'Paramètres (1)'!$A$1:$I$88,5,0)</f>
        <v>#REF!</v>
      </c>
      <c r="BF141" s="130" t="str">
        <f t="shared" si="118"/>
        <v>#REF!</v>
      </c>
      <c r="BG141" s="141" t="str">
        <f t="shared" si="29"/>
        <v>#REF!</v>
      </c>
      <c r="BH141" s="133" t="str">
        <f t="shared" si="30"/>
        <v>#REF!</v>
      </c>
      <c r="BI141" s="133" t="str">
        <f t="shared" si="31"/>
        <v>#REF!</v>
      </c>
      <c r="BJ141" s="133" t="str">
        <f t="shared" si="119"/>
        <v>#REF!</v>
      </c>
      <c r="BK141" s="134" t="str">
        <f t="shared" si="32"/>
        <v>#REF!</v>
      </c>
      <c r="BL141" s="134" t="str">
        <f t="shared" si="33"/>
        <v>#REF!</v>
      </c>
      <c r="BM141" s="135" t="str">
        <f>IF(ISNA(VLOOKUP(A141,'Données projet (1)'!$A$87:$I$107,5,0)),0%,VLOOKUP(A141,'Données projet (1)'!$A$87:$I$107,5,0)*VLOOKUP('Données projet (1)'!$B$11,'Paramètres (1)'!$A$1:$I$88,7,0))</f>
        <v>#REF!</v>
      </c>
      <c r="BN141" s="135" t="str">
        <f>IF(ISNA(VLOOKUP(A141,'Données projet (1)'!$A$87:$I$107,6,0)),0%,VLOOKUP(A141,'Données projet (1)'!$A$87:$I$107,6,0)*VLOOKUP('Données projet (1)'!$B$11,'Paramètres (1)'!$A$1:$I$88,7,0))</f>
        <v>#REF!</v>
      </c>
      <c r="BO141" s="135" t="str">
        <f t="shared" si="34"/>
        <v>#REF!</v>
      </c>
      <c r="BP141" s="142" t="str">
        <f>EXP(-LN(2)/35)*BP140+(1-EXP(-LN(2)/35))/(LN(2)/35)*BL141*BM141*VLOOKUP('Données projet (1)'!$B$11,'Paramètres (1)'!$A$1:$I$88,3,0)*0.475*44/12</f>
        <v>#REF!</v>
      </c>
      <c r="BQ141" s="142" t="str">
        <f>EXP(-LN(2)/25)*BQ140+(1-EXP(-LN(2)/25))/(LN(2)/25)*'Calculateur (1)'!BL141*'Calculateur (1)'!BN141*VLOOKUP('Données projet (1)'!$B$11,'Paramètres (1)'!$A$1:$I$88,3,0)*0.475*44/12</f>
        <v>#REF!</v>
      </c>
      <c r="BR141" s="142" t="str">
        <f>EXP(-LN(2)/2)*BR140+(1-EXP(-LN(2)/2))/(LN(2)/2)*BL141*BO141*VLOOKUP('Données projet (1)'!$B$11,'Paramètres (1)'!$A$1:$I$88,3,0)*0.475*44/12</f>
        <v>#REF!</v>
      </c>
      <c r="BS141" s="143" t="str">
        <f t="shared" si="35"/>
        <v>#REF!</v>
      </c>
      <c r="BT141" s="139" t="str">
        <f t="shared" si="36"/>
        <v>#REF!</v>
      </c>
      <c r="BU141" s="131">
        <f t="shared" si="37"/>
        <v>10</v>
      </c>
      <c r="BV141" s="131" t="str">
        <f t="shared" si="120"/>
        <v>#REF!</v>
      </c>
      <c r="BW141" s="131" t="str">
        <f t="shared" si="38"/>
        <v>#REF!</v>
      </c>
      <c r="BX141" s="131" t="str">
        <f t="array" ref="BX141">INDEX(BW:BW,MIN(IF(ISNUMBER(BW141:BW337),ROW(BW141:BW337),"")))</f>
        <v/>
      </c>
      <c r="BY141" s="131" t="str">
        <f t="shared" si="121"/>
        <v>#REF!</v>
      </c>
      <c r="BZ141" s="130" t="str">
        <f>BY141*VLOOKUP('Données projet (1)'!$B$12,'Paramètres (1)'!$A$1:$I$88,3,0)*VLOOKUP('Données projet (1)'!$B$12,'Paramètres (1)'!$A$1:$I$88,5,0)</f>
        <v>#REF!</v>
      </c>
      <c r="CA141" s="130" t="str">
        <f t="shared" si="122"/>
        <v>#REF!</v>
      </c>
      <c r="CB141" s="141" t="str">
        <f t="shared" si="39"/>
        <v>#REF!</v>
      </c>
      <c r="CC141" s="133" t="str">
        <f t="shared" si="40"/>
        <v>#REF!</v>
      </c>
      <c r="CD141" s="133" t="str">
        <f t="shared" si="41"/>
        <v>#REF!</v>
      </c>
      <c r="CE141" s="133" t="str">
        <f t="shared" si="123"/>
        <v>#REF!</v>
      </c>
      <c r="CF141" s="134" t="str">
        <f t="shared" si="42"/>
        <v>#REF!</v>
      </c>
      <c r="CG141" s="134" t="str">
        <f t="shared" si="43"/>
        <v>#REF!</v>
      </c>
      <c r="CH141" s="135" t="str">
        <f>IF(ISNA(VLOOKUP(A141,'Données projet (1)'!$A$113:$I$133,5,0)),0%,VLOOKUP(A141,'Données projet (1)'!$A$113:$I$133,5,0)*VLOOKUP('Données projet (1)'!$B$12,'Paramètres (1)'!$A$1:$I$88,7,0))</f>
        <v>#REF!</v>
      </c>
      <c r="CI141" s="135" t="str">
        <f>IF(ISNA(VLOOKUP(A141,'Données projet (1)'!$A$113:$I$133,6,0)),0%,VLOOKUP(A141,'Données projet (1)'!$A$113:$I$133,6,0)*VLOOKUP('Données projet (1)'!$B$12,'Paramètres (1)'!$A$1:$I$88,7,0))</f>
        <v>#REF!</v>
      </c>
      <c r="CJ141" s="135" t="str">
        <f t="shared" si="44"/>
        <v>#REF!</v>
      </c>
      <c r="CK141" s="142" t="str">
        <f>EXP(-LN(2)/35)*CK140+(1-EXP(-LN(2)/35))/(LN(2)/35)*CG141*CH141*VLOOKUP('Données projet (1)'!$B$12,'Paramètres (1)'!$A$1:$I$88,3,0)*0.475*44/12</f>
        <v>#REF!</v>
      </c>
      <c r="CL141" s="142" t="str">
        <f>EXP(-LN(2)/25)*CL140+(1-EXP(-LN(2)/25))/(LN(2)/25)*'Calculateur (1)'!CG141*'Calculateur (1)'!CI141*VLOOKUP('Données projet (1)'!$B$12,'Paramètres (1)'!$A$1:$I$88,3,0)*0.475*44/12</f>
        <v>#REF!</v>
      </c>
      <c r="CM141" s="142" t="str">
        <f>EXP(-LN(2)/2)*CM140+(1-EXP(-LN(2)/2))/(LN(2)/2)*CG141*CJ141*VLOOKUP('Données projet (1)'!$B$12,'Paramètres (1)'!$A$1:$I$88,3,0)*0.475*44/12</f>
        <v>#REF!</v>
      </c>
      <c r="CN141" s="143" t="str">
        <f t="shared" si="45"/>
        <v>#REF!</v>
      </c>
      <c r="CO141" s="139" t="str">
        <f t="shared" si="46"/>
        <v>#REF!</v>
      </c>
      <c r="CP141" s="131">
        <f t="shared" si="47"/>
        <v>10</v>
      </c>
      <c r="CQ141" s="131" t="str">
        <f t="shared" si="124"/>
        <v>#REF!</v>
      </c>
      <c r="CR141" s="131" t="str">
        <f t="shared" si="48"/>
        <v>#REF!</v>
      </c>
      <c r="CS141" s="131" t="str">
        <f t="array" ref="CS141">INDEX(CR:CR,MIN(IF(ISNUMBER(CR141:CR337),ROW(CR141:CR337),"")))</f>
        <v/>
      </c>
      <c r="CT141" s="131" t="str">
        <f t="shared" si="125"/>
        <v>#REF!</v>
      </c>
      <c r="CU141" s="138" t="str">
        <f>CT141*VLOOKUP('Données projet (1)'!$B$13,'Paramètres (1)'!$A$1:$I$88,3,0)*VLOOKUP('Données projet (1)'!$B$13,'Paramètres (1)'!$A$1:$I$88,5,0)</f>
        <v>#REF!</v>
      </c>
      <c r="CV141" s="130" t="str">
        <f t="shared" si="126"/>
        <v>#REF!</v>
      </c>
      <c r="CW141" s="141" t="str">
        <f t="shared" si="49"/>
        <v>#REF!</v>
      </c>
      <c r="CX141" s="133" t="str">
        <f t="shared" si="50"/>
        <v>#REF!</v>
      </c>
      <c r="CY141" s="133" t="str">
        <f t="shared" si="51"/>
        <v>#REF!</v>
      </c>
      <c r="CZ141" s="133" t="str">
        <f t="shared" si="127"/>
        <v>#REF!</v>
      </c>
      <c r="DA141" s="134" t="str">
        <f t="shared" si="52"/>
        <v>#REF!</v>
      </c>
      <c r="DB141" s="134" t="str">
        <f t="shared" si="53"/>
        <v>#REF!</v>
      </c>
      <c r="DC141" s="135" t="str">
        <f>IF(ISNA(VLOOKUP(A141,'Données projet (1)'!$A$139:$I$159,5,0)),0%,VLOOKUP(A141,'Données projet (1)'!$A$139:$I$159,5,0)*VLOOKUP('Données projet (1)'!$B$13,'Paramètres (1)'!$A$1:$I$88,7,0))</f>
        <v>#REF!</v>
      </c>
      <c r="DD141" s="135" t="str">
        <f>IF(ISNA(VLOOKUP(A141,'Données projet (1)'!$A$139:$I$159,6,0)),0%,VLOOKUP(A141,'Données projet (1)'!$A$139:$I$159,6,0)*VLOOKUP('Données projet (1)'!$B$13,'Paramètres (1)'!$A$1:$I$88,7,0))</f>
        <v>#REF!</v>
      </c>
      <c r="DE141" s="135" t="str">
        <f t="shared" si="54"/>
        <v>#REF!</v>
      </c>
      <c r="DF141" s="142" t="str">
        <f>EXP(-LN(2)/35)*DF140+(1-EXP(-LN(2)/35))/(LN(2)/35)*DB141*DC141*VLOOKUP('Données projet (1)'!$B$13,'Paramètres (1)'!$A$1:$I$88,3,0)*0.475*44/12</f>
        <v>#REF!</v>
      </c>
      <c r="DG141" s="142" t="str">
        <f>EXP(-LN(2)/25)*DG140+(1-EXP(-LN(2)/25))/(LN(2)/25)*'Calculateur (1)'!DB141*'Calculateur (1)'!DD141*VLOOKUP('Données projet (1)'!$B$13,'Paramètres (1)'!$A$1:$I$88,3,0)*0.475*44/12</f>
        <v>#REF!</v>
      </c>
      <c r="DH141" s="142" t="str">
        <f>EXP(-LN(2)/2)*DH140+(1-EXP(-LN(2)/2))/(LN(2)/2)*DB141*DE141*VLOOKUP('Données projet (1)'!$B$13,'Paramètres (1)'!$A$1:$I$88,3,0)*0.475*44/12</f>
        <v>#REF!</v>
      </c>
      <c r="DI141" s="143" t="str">
        <f t="shared" si="55"/>
        <v>#REF!</v>
      </c>
      <c r="DJ141" s="139" t="str">
        <f t="shared" si="56"/>
        <v>#REF!</v>
      </c>
      <c r="DK141" s="131">
        <f t="shared" si="57"/>
        <v>10</v>
      </c>
      <c r="DL141" s="131" t="str">
        <f t="shared" si="128"/>
        <v>#REF!</v>
      </c>
      <c r="DM141" s="131" t="str">
        <f t="shared" si="58"/>
        <v>#REF!</v>
      </c>
      <c r="DN141" s="131" t="str">
        <f t="array" ref="DN141">INDEX(DM:DM,MIN(IF(ISNUMBER(DM141:DM337),ROW(DM141:DM337),"")))</f>
        <v/>
      </c>
      <c r="DO141" s="131" t="str">
        <f t="shared" si="129"/>
        <v>#REF!</v>
      </c>
      <c r="DP141" s="138" t="str">
        <f>DO141*VLOOKUP('Données projet (1)'!$B$14,'Paramètres (1)'!$A$1:$I$88,3,0)*VLOOKUP('Données projet (1)'!$B$14,'Paramètres (1)'!$A$1:$I$88,5,0)</f>
        <v>#REF!</v>
      </c>
      <c r="DQ141" s="130" t="str">
        <f t="shared" si="130"/>
        <v>#REF!</v>
      </c>
      <c r="DR141" s="141" t="str">
        <f t="shared" si="59"/>
        <v>#REF!</v>
      </c>
      <c r="DS141" s="133" t="str">
        <f t="shared" si="60"/>
        <v>#REF!</v>
      </c>
      <c r="DT141" s="133" t="str">
        <f t="shared" si="61"/>
        <v>#REF!</v>
      </c>
      <c r="DU141" s="133" t="str">
        <f t="shared" si="131"/>
        <v>#REF!</v>
      </c>
      <c r="DV141" s="134" t="str">
        <f t="shared" si="62"/>
        <v>#REF!</v>
      </c>
      <c r="DW141" s="134" t="str">
        <f t="shared" si="63"/>
        <v>#REF!</v>
      </c>
      <c r="DX141" s="135" t="str">
        <f>IF(ISNA(VLOOKUP(A141,'Données projet (1)'!$A$165:$I$185,5,0)),0%,VLOOKUP(A141,'Données projet (1)'!$A$165:$I$185,5,0)*VLOOKUP('Données projet (1)'!$B$14,'Paramètres (1)'!$A$1:$I$88,7,0))</f>
        <v>#REF!</v>
      </c>
      <c r="DY141" s="135" t="str">
        <f>IF(ISNA(VLOOKUP(A141,'Données projet (1)'!$A$165:$I$185,6,0)),0%,VLOOKUP(A141,'Données projet (1)'!$A$165:$I$185,6,0)*VLOOKUP('Données projet (1)'!$B$14,'Paramètres (1)'!$A$1:$I$88,7,0))</f>
        <v>#REF!</v>
      </c>
      <c r="DZ141" s="135" t="str">
        <f t="shared" si="64"/>
        <v>#REF!</v>
      </c>
      <c r="EA141" s="142" t="str">
        <f>EXP(-LN(2)/35)*EA140+(1-EXP(-LN(2)/35))/(LN(2)/35)*DW141*DX141*VLOOKUP('Données projet (1)'!$B$14,'Paramètres (1)'!$A$1:$I$88,3,0)*0.475*44/12</f>
        <v>#REF!</v>
      </c>
      <c r="EB141" s="142" t="str">
        <f>EXP(-LN(2)/25)*EB140+(1-EXP(-LN(2)/25))/(LN(2)/25)*'Calculateur (1)'!DW141*'Calculateur (1)'!DY141*VLOOKUP('Données projet (1)'!$B$14,'Paramètres (1)'!$A$1:$I$88,3,0)*0.475*44/12</f>
        <v>#REF!</v>
      </c>
      <c r="EC141" s="142" t="str">
        <f>EXP(-LN(2)/2)*EC140+(1-EXP(-LN(2)/2))/(LN(2)/2)*DW141*DZ141*VLOOKUP('Données projet (1)'!$B$14,'Paramètres (1)'!$A$1:$I$88,3,0)*0.475*44/12</f>
        <v>#REF!</v>
      </c>
      <c r="ED141" s="143" t="str">
        <f t="shared" si="65"/>
        <v>#REF!</v>
      </c>
      <c r="EE141" s="139" t="str">
        <f t="shared" si="66"/>
        <v>#REF!</v>
      </c>
      <c r="EF141" s="131">
        <f t="shared" si="67"/>
        <v>10</v>
      </c>
      <c r="EG141" s="131" t="str">
        <f t="shared" si="132"/>
        <v>#REF!</v>
      </c>
      <c r="EH141" s="131" t="str">
        <f t="shared" si="68"/>
        <v>#REF!</v>
      </c>
      <c r="EI141" s="131" t="str">
        <f t="array" ref="EI141">INDEX(EH:EH,MIN(IF(ISNUMBER(EH141:EH337),ROW(EH141:EH337),"")))</f>
        <v/>
      </c>
      <c r="EJ141" s="131" t="str">
        <f t="shared" si="133"/>
        <v>#REF!</v>
      </c>
      <c r="EK141" s="138" t="str">
        <f>EJ141*VLOOKUP('Données projet (1)'!$B$15,'Paramètres (1)'!$A$1:$I$88,3,0)*VLOOKUP('Données projet (1)'!$B$15,'Paramètres (1)'!$A$1:$I$88,5,0)</f>
        <v>#REF!</v>
      </c>
      <c r="EL141" s="130" t="str">
        <f t="shared" si="134"/>
        <v>#REF!</v>
      </c>
      <c r="EM141" s="141" t="str">
        <f t="shared" si="69"/>
        <v>#REF!</v>
      </c>
      <c r="EN141" s="133" t="str">
        <f t="shared" si="70"/>
        <v>#REF!</v>
      </c>
      <c r="EO141" s="133" t="str">
        <f t="shared" si="71"/>
        <v>#REF!</v>
      </c>
      <c r="EP141" s="133" t="str">
        <f t="shared" si="135"/>
        <v>#REF!</v>
      </c>
      <c r="EQ141" s="134" t="str">
        <f t="shared" si="72"/>
        <v>#REF!</v>
      </c>
      <c r="ER141" s="134" t="str">
        <f t="shared" si="73"/>
        <v>#REF!</v>
      </c>
      <c r="ES141" s="135" t="str">
        <f>IF(ISNA(VLOOKUP(A141,'Données projet (1)'!$A$191:$I$211,5,0)),0%,VLOOKUP(A141,'Données projet (1)'!$A$191:$I$211,5,0)*VLOOKUP('Données projet (1)'!$B$15,'Paramètres (1)'!$A$1:$I$88,7,0))</f>
        <v>#REF!</v>
      </c>
      <c r="ET141" s="135" t="str">
        <f>IF(ISNA(VLOOKUP(A141,'Données projet (1)'!$A$191:$I$211,6,0)),0%,VLOOKUP(A141,'Données projet (1)'!$A$191:$I$211,6,0)*VLOOKUP('Données projet (1)'!$B$15,'Paramètres (1)'!$A$1:$I$88,7,0))</f>
        <v>#REF!</v>
      </c>
      <c r="EU141" s="135" t="str">
        <f t="shared" si="74"/>
        <v>#REF!</v>
      </c>
      <c r="EV141" s="142" t="str">
        <f>EXP(-LN(2)/35)*EV140+(1-EXP(-LN(2)/35))/(LN(2)/35)*ER141*ES141*VLOOKUP('Données projet (1)'!$B$15,'Paramètres (1)'!$A$1:$I$88,3,0)*0.475*44/12</f>
        <v>#REF!</v>
      </c>
      <c r="EW141" s="142" t="str">
        <f>EXP(-LN(2)/25)*EW140+(1-EXP(-LN(2)/25))/(LN(2)/25)*'Calculateur (1)'!ER141*'Calculateur (1)'!ET141*VLOOKUP('Données projet (1)'!$B$15,'Paramètres (1)'!$A$1:$I$88,3,0)*0.475*44/12</f>
        <v>#REF!</v>
      </c>
      <c r="EX141" s="142" t="str">
        <f>EXP(-LN(2)/2)*EX140+(1-EXP(-LN(2)/2))/(LN(2)/2)*ER141*EU141*VLOOKUP('Données projet (1)'!$B$15,'Paramètres (1)'!$A$1:$I$88,3,0)*0.475*44/12</f>
        <v>#REF!</v>
      </c>
      <c r="EY141" s="143" t="str">
        <f t="shared" si="75"/>
        <v>#REF!</v>
      </c>
      <c r="EZ141" s="139" t="str">
        <f t="shared" si="76"/>
        <v>#REF!</v>
      </c>
      <c r="FA141" s="131">
        <f t="shared" si="77"/>
        <v>10</v>
      </c>
      <c r="FB141" s="131" t="str">
        <f t="shared" si="136"/>
        <v>#REF!</v>
      </c>
      <c r="FC141" s="131" t="str">
        <f t="shared" si="78"/>
        <v>#REF!</v>
      </c>
      <c r="FD141" s="131" t="str">
        <f t="array" ref="FD141">INDEX(FC:FC,MIN(IF(ISNUMBER(FC141:FC337),ROW(FC141:FC337),"")))</f>
        <v/>
      </c>
      <c r="FE141" s="131" t="str">
        <f t="shared" si="137"/>
        <v>#REF!</v>
      </c>
      <c r="FF141" s="138" t="str">
        <f>FE141*VLOOKUP('Données projet (1)'!$B$16,'Paramètres (1)'!$A$1:$I$88,3,0)*VLOOKUP('Données projet (1)'!$B$16,'Paramètres (1)'!$A$1:$I$88,5,0)</f>
        <v>#REF!</v>
      </c>
      <c r="FG141" s="130" t="str">
        <f t="shared" si="138"/>
        <v>#REF!</v>
      </c>
      <c r="FH141" s="141" t="str">
        <f t="shared" si="79"/>
        <v>#REF!</v>
      </c>
      <c r="FI141" s="133" t="str">
        <f t="shared" si="80"/>
        <v>#REF!</v>
      </c>
      <c r="FJ141" s="133" t="str">
        <f t="shared" si="81"/>
        <v>#REF!</v>
      </c>
      <c r="FK141" s="133" t="str">
        <f t="shared" si="139"/>
        <v>#REF!</v>
      </c>
      <c r="FL141" s="134" t="str">
        <f t="shared" si="82"/>
        <v>#REF!</v>
      </c>
      <c r="FM141" s="134" t="str">
        <f t="shared" si="83"/>
        <v>#REF!</v>
      </c>
      <c r="FN141" s="135" t="str">
        <f>IF(ISNA(VLOOKUP(A141,'Données projet (1)'!$A$217:$I$237,5,0)),0%,VLOOKUP(A141,'Données projet (1)'!$A$217:$I$237,5,0)*VLOOKUP('Données projet (1)'!$B$16,'Paramètres (1)'!$A$1:$I$88,7,0))</f>
        <v>#REF!</v>
      </c>
      <c r="FO141" s="135" t="str">
        <f>IF(ISNA(VLOOKUP(A141,'Données projet (1)'!$A$217:$I$237,6,0)),0%,VLOOKUP(A141,'Données projet (1)'!$A$217:$I$237,6,0)*VLOOKUP('Données projet (1)'!$B$16,'Paramètres (1)'!$A$1:$I$88,7,0))</f>
        <v>#REF!</v>
      </c>
      <c r="FP141" s="135" t="str">
        <f t="shared" si="84"/>
        <v>#REF!</v>
      </c>
      <c r="FQ141" s="142" t="str">
        <f>EXP(-LN(2)/35)*FQ140+(1-EXP(-LN(2)/35))/(LN(2)/35)*FM141*FN141*VLOOKUP('Données projet (1)'!$B$16,'Paramètres (1)'!$A$1:$I$88,3,0)*0.475*44/12</f>
        <v>#REF!</v>
      </c>
      <c r="FR141" s="142" t="str">
        <f>EXP(-LN(2)/25)*FR140+(1-EXP(-LN(2)/25))/(LN(2)/25)*'Calculateur (1)'!FM141*'Calculateur (1)'!FO141*VLOOKUP('Données projet (1)'!$B$16,'Paramètres (1)'!$A$1:$I$88,3,0)*0.475*44/12</f>
        <v>#REF!</v>
      </c>
      <c r="FS141" s="142" t="str">
        <f>EXP(-LN(2)/2)*FS140+(1-EXP(-LN(2)/2))/(LN(2)/2)*FM141*FP141*VLOOKUP('Données projet (1)'!$B$16,'Paramètres (1)'!$A$1:$I$88,3,0)*0.475*44/12</f>
        <v>#REF!</v>
      </c>
      <c r="FT141" s="143" t="str">
        <f t="shared" si="85"/>
        <v>#REF!</v>
      </c>
      <c r="FU141" s="139" t="str">
        <f t="shared" si="86"/>
        <v>#REF!</v>
      </c>
      <c r="FV141" s="131">
        <f t="shared" si="87"/>
        <v>10</v>
      </c>
      <c r="FW141" s="131" t="str">
        <f t="shared" si="140"/>
        <v>#REF!</v>
      </c>
      <c r="FX141" s="131" t="str">
        <f t="shared" si="88"/>
        <v>#REF!</v>
      </c>
      <c r="FY141" s="131" t="str">
        <f t="array" ref="FY141">INDEX(FX:FX,MIN(IF(ISNUMBER(FX141:FX337),ROW(FX141:FX337),"")))</f>
        <v/>
      </c>
      <c r="FZ141" s="131" t="str">
        <f t="shared" si="141"/>
        <v>#REF!</v>
      </c>
      <c r="GA141" s="138" t="str">
        <f>FZ141*VLOOKUP('Données projet (1)'!$B$17,'Paramètres (1)'!$A$1:$I$88,3,0)*VLOOKUP('Données projet (1)'!$B$17,'Paramètres (1)'!$A$1:$I$88,5,0)</f>
        <v>#REF!</v>
      </c>
      <c r="GB141" s="130" t="str">
        <f t="shared" si="142"/>
        <v>#REF!</v>
      </c>
      <c r="GC141" s="141" t="str">
        <f t="shared" si="89"/>
        <v>#REF!</v>
      </c>
      <c r="GD141" s="133" t="str">
        <f t="shared" si="90"/>
        <v>#REF!</v>
      </c>
      <c r="GE141" s="133" t="str">
        <f t="shared" si="91"/>
        <v>#REF!</v>
      </c>
      <c r="GF141" s="133" t="str">
        <f t="shared" si="143"/>
        <v>#REF!</v>
      </c>
      <c r="GG141" s="134" t="str">
        <f t="shared" si="92"/>
        <v>#REF!</v>
      </c>
      <c r="GH141" s="134" t="str">
        <f t="shared" si="93"/>
        <v>#REF!</v>
      </c>
      <c r="GI141" s="135" t="str">
        <f>IF(ISNA(VLOOKUP(A141,'Données projet (1)'!$A$243:$I$263,5,0)),0%,VLOOKUP(A141,'Données projet (1)'!$A$243:$I$263,5,0)*VLOOKUP('Données projet (1)'!$B$17,'Paramètres (1)'!$A$1:$I$88,7,0))</f>
        <v>#REF!</v>
      </c>
      <c r="GJ141" s="135" t="str">
        <f>IF(ISNA(VLOOKUP(A141,'Données projet (1)'!$A$243:$I$263,6,0)),0%,VLOOKUP(A141,'Données projet (1)'!$A$243:$I$263,6,0)*VLOOKUP('Données projet (1)'!$B$17,'Paramètres (1)'!$A$1:$I$88,7,0))</f>
        <v>#REF!</v>
      </c>
      <c r="GK141" s="135" t="str">
        <f t="shared" si="94"/>
        <v>#REF!</v>
      </c>
      <c r="GL141" s="142" t="str">
        <f>EXP(-LN(2)/35)*GL140+(1-EXP(-LN(2)/35))/(LN(2)/35)*GH141*GI141*VLOOKUP('Données projet (1)'!$B$17,'Paramètres (1)'!$A$1:$I$88,3,0)*0.475*44/12</f>
        <v>#REF!</v>
      </c>
      <c r="GM141" s="142" t="str">
        <f>EXP(-LN(2)/25)*GM140+(1-EXP(-LN(2)/25))/(LN(2)/25)*'Calculateur (1)'!GH141*'Calculateur (1)'!GJ141*VLOOKUP('Données projet (1)'!$B$17,'Paramètres (1)'!$A$1:$I$88,3,0)*0.475*44/12</f>
        <v>#REF!</v>
      </c>
      <c r="GN141" s="142" t="str">
        <f>EXP(-LN(2)/2)*GN140+(1-EXP(-LN(2)/2))/(LN(2)/2)*GH141*GK141*VLOOKUP('Données projet (1)'!$B$17,'Paramètres (1)'!$A$1:$I$88,3,0)*0.475*44/12</f>
        <v>#REF!</v>
      </c>
      <c r="GO141" s="142" t="str">
        <f t="shared" si="95"/>
        <v>#REF!</v>
      </c>
      <c r="GP141" s="139" t="str">
        <f t="shared" si="96"/>
        <v>#REF!</v>
      </c>
      <c r="GQ141" s="131">
        <f t="shared" si="97"/>
        <v>10</v>
      </c>
      <c r="GR141" s="131" t="str">
        <f t="shared" si="144"/>
        <v>#REF!</v>
      </c>
      <c r="GS141" s="131" t="str">
        <f t="shared" si="98"/>
        <v>#REF!</v>
      </c>
      <c r="GT141" s="131" t="str">
        <f t="array" ref="GT141">INDEX(GS:GS,MIN(IF(ISNUMBER(GS141:GS337),ROW(GS141:GS337),"")))</f>
        <v/>
      </c>
      <c r="GU141" s="131" t="str">
        <f t="shared" si="145"/>
        <v>#REF!</v>
      </c>
      <c r="GV141" s="138" t="str">
        <f>GU141*VLOOKUP('Données projet (1)'!$B$18,'Paramètres (1)'!$A$1:$I$88,3,0)*VLOOKUP('Données projet (1)'!$B$18,'Paramètres (1)'!$A$1:$I$88,5,0)</f>
        <v>#REF!</v>
      </c>
      <c r="GW141" s="130" t="str">
        <f t="shared" si="146"/>
        <v>#REF!</v>
      </c>
      <c r="GX141" s="141" t="str">
        <f t="shared" si="99"/>
        <v>#REF!</v>
      </c>
      <c r="GY141" s="133" t="str">
        <f t="shared" si="100"/>
        <v>#REF!</v>
      </c>
      <c r="GZ141" s="133" t="str">
        <f t="shared" si="101"/>
        <v>#REF!</v>
      </c>
      <c r="HA141" s="133" t="str">
        <f t="shared" si="147"/>
        <v>#REF!</v>
      </c>
      <c r="HB141" s="134" t="str">
        <f t="shared" si="102"/>
        <v>#REF!</v>
      </c>
      <c r="HC141" s="134" t="str">
        <f t="shared" si="103"/>
        <v>#REF!</v>
      </c>
      <c r="HD141" s="135" t="str">
        <f>IF(ISNA(VLOOKUP(A141,'Données projet (1)'!$A$269:$I$289,5,0)),0%,VLOOKUP(A141,'Données projet (1)'!$A$269:$I$289,5,0)*VLOOKUP('Données projet (1)'!$B$18,'Paramètres (1)'!$A$1:$I$88,7,0))</f>
        <v>#REF!</v>
      </c>
      <c r="HE141" s="135" t="str">
        <f>IF(ISNA(VLOOKUP(A141,'Données projet (1)'!$A$269:$I$289,6,0)),0%,VLOOKUP(A141,'Données projet (1)'!$A$269:$I$289,6,0)*VLOOKUP('Données projet (1)'!$B$18,'Paramètres (1)'!$A$1:$I$88,7,0))</f>
        <v>#REF!</v>
      </c>
      <c r="HF141" s="135" t="str">
        <f t="shared" si="104"/>
        <v>#REF!</v>
      </c>
      <c r="HG141" s="142" t="str">
        <f>EXP(-LN(2)/35)*HG140+(1-EXP(-LN(2)/35))/(LN(2)/35)*HC141*HD141*VLOOKUP('Données projet (1)'!$B$18,'Paramètres (1)'!$A$1:$I$88,3,0)*0.475*44/12</f>
        <v>#REF!</v>
      </c>
      <c r="HH141" s="142" t="str">
        <f>EXP(-LN(2)/25)*HH140+(1-EXP(-LN(2)/25))/(LN(2)/25)*'Calculateur (1)'!HC141*'Calculateur (1)'!HE141*VLOOKUP('Données projet (1)'!$B$18,'Paramètres (1)'!$A$1:$I$88,3,0)*0.475*44/12</f>
        <v>#REF!</v>
      </c>
      <c r="HI141" s="142" t="str">
        <f>EXP(-LN(2)/2)*HI140+(1-EXP(-LN(2)/2))/(LN(2)/2)*HC141*HF141*VLOOKUP('Données projet (1)'!$B$18,'Paramètres (1)'!$A$1:$I$88,3,0)*0.475*44/12</f>
        <v>#REF!</v>
      </c>
      <c r="HJ141" s="143" t="str">
        <f t="shared" si="105"/>
        <v>#REF!</v>
      </c>
    </row>
    <row r="142" ht="14.25" customHeight="1">
      <c r="A142" s="125">
        <f t="shared" si="106"/>
        <v>139</v>
      </c>
      <c r="B142" s="126" t="str">
        <f t="shared" si="1"/>
        <v>#REF!</v>
      </c>
      <c r="C142" s="140" t="str">
        <f>'Calculateur (1)'!C141+'Scénario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2" s="127">
        <f t="shared" si="107"/>
        <v>0</v>
      </c>
      <c r="E142" s="127" t="str">
        <f t="shared" si="2"/>
        <v>#REF!</v>
      </c>
      <c r="F142" s="127" t="str">
        <f t="shared" si="3"/>
        <v>#REF!</v>
      </c>
      <c r="G142" s="127" t="str">
        <f t="shared" si="4"/>
        <v>#REF!</v>
      </c>
      <c r="H142" s="128" t="str">
        <f t="shared" si="5"/>
        <v>#REF!</v>
      </c>
      <c r="I142" s="129" t="str">
        <f t="shared" si="6"/>
        <v>#REF!</v>
      </c>
      <c r="J142" s="130">
        <f t="shared" si="7"/>
        <v>10</v>
      </c>
      <c r="K142" s="131" t="str">
        <f t="shared" si="108"/>
        <v>#REF!</v>
      </c>
      <c r="L142" s="131" t="str">
        <f t="shared" si="8"/>
        <v>#REF!</v>
      </c>
      <c r="M142" s="131" t="str">
        <f t="array" ref="M142">INDEX(L:L,MIN(IF(ISNUMBER(L142:L338),ROW(L142:L338),"")))</f>
        <v/>
      </c>
      <c r="N142" s="130" t="str">
        <f t="shared" si="109"/>
        <v>#REF!</v>
      </c>
      <c r="O142" s="130" t="str">
        <f>N142*VLOOKUP('Données projet (1)'!$B$9,'Paramètres (1)'!$A$1:$I$88,3,0)*VLOOKUP('Données projet (1)'!$B$9,'Paramètres (1)'!$A$1:$I$88,5,0)</f>
        <v>#REF!</v>
      </c>
      <c r="P142" s="130" t="str">
        <f t="shared" si="110"/>
        <v>#REF!</v>
      </c>
      <c r="Q142" s="141" t="str">
        <f t="shared" si="9"/>
        <v>#REF!</v>
      </c>
      <c r="R142" s="133" t="str">
        <f t="shared" si="10"/>
        <v>#REF!</v>
      </c>
      <c r="S142" s="133" t="str">
        <f t="shared" si="11"/>
        <v>#REF!</v>
      </c>
      <c r="T142" s="133" t="str">
        <f t="shared" si="111"/>
        <v>#REF!</v>
      </c>
      <c r="U142" s="134" t="str">
        <f t="shared" si="12"/>
        <v>#REF!</v>
      </c>
      <c r="V142" s="134" t="str">
        <f t="shared" si="13"/>
        <v>#REF!</v>
      </c>
      <c r="W142" s="135" t="str">
        <f>IF(ISNA(VLOOKUP(A142,'Données projet (1)'!$A$35:$I$55,5,0)),0%,VLOOKUP(A142,'Données projet (1)'!$A$35:$I$55,5,0)*VLOOKUP('Données projet (1)'!$B$9,'Paramètres (1)'!$A$1:$I$88,7,0))</f>
        <v>#REF!</v>
      </c>
      <c r="X142" s="135" t="str">
        <f>IF(ISNA(VLOOKUP(A142,'Données projet (1)'!$A$35:$I$55,6,0)),0%,VLOOKUP(A142,'Données projet (1)'!$A$35:$I$55,6,0)*VLOOKUP('Données projet (1)'!$B$9,'Paramètres (1)'!$A$1:$I$88,7,0))</f>
        <v>#REF!</v>
      </c>
      <c r="Y142" s="135" t="str">
        <f t="shared" si="14"/>
        <v>#REF!</v>
      </c>
      <c r="Z142" s="142" t="str">
        <f>EXP(-LN(2)/35)*Z141+(1-EXP(-LN(2)/35))/(LN(2)/35)*V142*W142*VLOOKUP('Données projet (1)'!$B$9,'Paramètres (1)'!$A$1:$I$88,3,0)*0.475*44/12</f>
        <v>#REF!</v>
      </c>
      <c r="AA142" s="142" t="str">
        <f>EXP(-LN(2)/25)*AA141+(1-EXP(-LN(2)/25))/(LN(2)/25)*'Calculateur (1)'!V142*'Calculateur (1)'!X142*VLOOKUP('Données projet (1)'!$B$9,'Paramètres (1)'!$A$1:$I$88,3,0)*0.475*44/12</f>
        <v>#REF!</v>
      </c>
      <c r="AB142" s="142" t="str">
        <f>EXP(-LN(2)/2)*AB141+(1-EXP(-LN(2)/2))/(LN(2)/2)*V142*Y142*VLOOKUP('Données projet (1)'!$B$9,'Paramètres (1)'!$A$1:$I$88,3,0)*0.475*44/12</f>
        <v>#REF!</v>
      </c>
      <c r="AC142" s="143" t="str">
        <f t="shared" si="15"/>
        <v>#REF!</v>
      </c>
      <c r="AD142" s="130" t="str">
        <f t="shared" si="16"/>
        <v>#REF!</v>
      </c>
      <c r="AE142" s="130">
        <f t="shared" si="17"/>
        <v>10</v>
      </c>
      <c r="AF142" s="131" t="str">
        <f t="shared" si="112"/>
        <v>#REF!</v>
      </c>
      <c r="AG142" s="131" t="str">
        <f t="shared" si="18"/>
        <v>#REF!</v>
      </c>
      <c r="AH142" s="131" t="str">
        <f t="array" ref="AH142">INDEX(AG:AG,MIN(IF(ISNUMBER(AG142:AG338),ROW(AG142:AG338),"")))</f>
        <v/>
      </c>
      <c r="AI142" s="130" t="str">
        <f t="shared" si="113"/>
        <v>#REF!</v>
      </c>
      <c r="AJ142" s="130" t="str">
        <f>AI142*VLOOKUP('Données projet (1)'!$B$10,'Paramètres (1)'!$A$1:$I$88,3,0)*VLOOKUP('Données projet (1)'!$B$10,'Paramètres (1)'!$A$1:$I$88,5,0)</f>
        <v>#REF!</v>
      </c>
      <c r="AK142" s="130" t="str">
        <f t="shared" si="114"/>
        <v>#REF!</v>
      </c>
      <c r="AL142" s="141" t="str">
        <f t="shared" si="19"/>
        <v>#REF!</v>
      </c>
      <c r="AM142" s="133" t="str">
        <f t="shared" si="20"/>
        <v>#REF!</v>
      </c>
      <c r="AN142" s="133" t="str">
        <f t="shared" si="21"/>
        <v>#REF!</v>
      </c>
      <c r="AO142" s="133" t="str">
        <f t="shared" si="115"/>
        <v>#REF!</v>
      </c>
      <c r="AP142" s="134" t="str">
        <f t="shared" si="22"/>
        <v>#REF!</v>
      </c>
      <c r="AQ142" s="134" t="str">
        <f t="shared" si="23"/>
        <v>#REF!</v>
      </c>
      <c r="AR142" s="135" t="str">
        <f>IF(ISNA(VLOOKUP(A142,'Données projet (1)'!$A$61:$I$81,5,0)),0%,VLOOKUP(A142,'Données projet (1)'!$A$61:$I$81,5,0)*VLOOKUP('Données projet (1)'!$B$10,'Paramètres (1)'!$A$1:$I$88,7,0))</f>
        <v>#REF!</v>
      </c>
      <c r="AS142" s="135" t="str">
        <f>IF(ISNA(VLOOKUP(A142,'Données projet (1)'!$A$61:$I$81,6,0)),0%,VLOOKUP(A142,'Données projet (1)'!$A$61:$I$81,6,0)*VLOOKUP('Données projet (1)'!$B$10,'Paramètres (1)'!$A$1:$I$88,7,0))</f>
        <v>#REF!</v>
      </c>
      <c r="AT142" s="135" t="str">
        <f t="shared" si="24"/>
        <v>#REF!</v>
      </c>
      <c r="AU142" s="142" t="str">
        <f>EXP(-LN(2)/35)*AU141+(1-EXP(-LN(2)/35))/(LN(2)/35)*AQ142*AR142*VLOOKUP('Données projet (1)'!$B$10,'Paramètres (1)'!$A$1:$I$88,3,0)*0.475*44/12</f>
        <v>#REF!</v>
      </c>
      <c r="AV142" s="142" t="str">
        <f>EXP(-LN(2)/25)*AV141+(1-EXP(-LN(2)/25))/(LN(2)/25)*'Calculateur (1)'!AQ142*'Calculateur (1)'!AS142*VLOOKUP('Données projet (1)'!$B$10,'Paramètres (1)'!$A$1:$I$88,3,0)*0.475*44/12</f>
        <v>#REF!</v>
      </c>
      <c r="AW142" s="142" t="str">
        <f>EXP(-LN(2)/2)*AW141+(1-EXP(-LN(2)/2))/(LN(2)/2)*AQ142*AT142*VLOOKUP('Données projet (1)'!$B$10,'Paramètres (1)'!$A$1:$I$88,3,0)*0.475*44/12</f>
        <v>#REF!</v>
      </c>
      <c r="AX142" s="142" t="str">
        <f t="shared" si="25"/>
        <v>#REF!</v>
      </c>
      <c r="AY142" s="137" t="str">
        <f t="shared" si="26"/>
        <v>#REF!</v>
      </c>
      <c r="AZ142" s="131">
        <f t="shared" si="27"/>
        <v>10</v>
      </c>
      <c r="BA142" s="131" t="str">
        <f t="shared" si="116"/>
        <v>#REF!</v>
      </c>
      <c r="BB142" s="131" t="str">
        <f t="shared" si="28"/>
        <v>#REF!</v>
      </c>
      <c r="BC142" s="131" t="str">
        <f t="array" ref="BC142">INDEX(BB:BB,MIN(IF(ISNUMBER(BB142:BB338),ROW(BB142:BB338),"")))</f>
        <v/>
      </c>
      <c r="BD142" s="131" t="str">
        <f t="shared" si="117"/>
        <v>#REF!</v>
      </c>
      <c r="BE142" s="130" t="str">
        <f>BD142*VLOOKUP('Données projet (1)'!$B$11,'Paramètres (1)'!$A$1:$I$88,3,0)*VLOOKUP('Données projet (1)'!$B$11,'Paramètres (1)'!$A$1:$I$88,5,0)</f>
        <v>#REF!</v>
      </c>
      <c r="BF142" s="130" t="str">
        <f t="shared" si="118"/>
        <v>#REF!</v>
      </c>
      <c r="BG142" s="141" t="str">
        <f t="shared" si="29"/>
        <v>#REF!</v>
      </c>
      <c r="BH142" s="133" t="str">
        <f t="shared" si="30"/>
        <v>#REF!</v>
      </c>
      <c r="BI142" s="133" t="str">
        <f t="shared" si="31"/>
        <v>#REF!</v>
      </c>
      <c r="BJ142" s="133" t="str">
        <f t="shared" si="119"/>
        <v>#REF!</v>
      </c>
      <c r="BK142" s="134" t="str">
        <f t="shared" si="32"/>
        <v>#REF!</v>
      </c>
      <c r="BL142" s="134" t="str">
        <f t="shared" si="33"/>
        <v>#REF!</v>
      </c>
      <c r="BM142" s="135" t="str">
        <f>IF(ISNA(VLOOKUP(A142,'Données projet (1)'!$A$87:$I$107,5,0)),0%,VLOOKUP(A142,'Données projet (1)'!$A$87:$I$107,5,0)*VLOOKUP('Données projet (1)'!$B$11,'Paramètres (1)'!$A$1:$I$88,7,0))</f>
        <v>#REF!</v>
      </c>
      <c r="BN142" s="135" t="str">
        <f>IF(ISNA(VLOOKUP(A142,'Données projet (1)'!$A$87:$I$107,6,0)),0%,VLOOKUP(A142,'Données projet (1)'!$A$87:$I$107,6,0)*VLOOKUP('Données projet (1)'!$B$11,'Paramètres (1)'!$A$1:$I$88,7,0))</f>
        <v>#REF!</v>
      </c>
      <c r="BO142" s="135" t="str">
        <f t="shared" si="34"/>
        <v>#REF!</v>
      </c>
      <c r="BP142" s="142" t="str">
        <f>EXP(-LN(2)/35)*BP141+(1-EXP(-LN(2)/35))/(LN(2)/35)*BL142*BM142*VLOOKUP('Données projet (1)'!$B$11,'Paramètres (1)'!$A$1:$I$88,3,0)*0.475*44/12</f>
        <v>#REF!</v>
      </c>
      <c r="BQ142" s="142" t="str">
        <f>EXP(-LN(2)/25)*BQ141+(1-EXP(-LN(2)/25))/(LN(2)/25)*'Calculateur (1)'!BL142*'Calculateur (1)'!BN142*VLOOKUP('Données projet (1)'!$B$11,'Paramètres (1)'!$A$1:$I$88,3,0)*0.475*44/12</f>
        <v>#REF!</v>
      </c>
      <c r="BR142" s="142" t="str">
        <f>EXP(-LN(2)/2)*BR141+(1-EXP(-LN(2)/2))/(LN(2)/2)*BL142*BO142*VLOOKUP('Données projet (1)'!$B$11,'Paramètres (1)'!$A$1:$I$88,3,0)*0.475*44/12</f>
        <v>#REF!</v>
      </c>
      <c r="BS142" s="143" t="str">
        <f t="shared" si="35"/>
        <v>#REF!</v>
      </c>
      <c r="BT142" s="139" t="str">
        <f t="shared" si="36"/>
        <v>#REF!</v>
      </c>
      <c r="BU142" s="131">
        <f t="shared" si="37"/>
        <v>10</v>
      </c>
      <c r="BV142" s="131" t="str">
        <f t="shared" si="120"/>
        <v>#REF!</v>
      </c>
      <c r="BW142" s="131" t="str">
        <f t="shared" si="38"/>
        <v>#REF!</v>
      </c>
      <c r="BX142" s="131" t="str">
        <f t="array" ref="BX142">INDEX(BW:BW,MIN(IF(ISNUMBER(BW142:BW338),ROW(BW142:BW338),"")))</f>
        <v/>
      </c>
      <c r="BY142" s="131" t="str">
        <f t="shared" si="121"/>
        <v>#REF!</v>
      </c>
      <c r="BZ142" s="130" t="str">
        <f>BY142*VLOOKUP('Données projet (1)'!$B$12,'Paramètres (1)'!$A$1:$I$88,3,0)*VLOOKUP('Données projet (1)'!$B$12,'Paramètres (1)'!$A$1:$I$88,5,0)</f>
        <v>#REF!</v>
      </c>
      <c r="CA142" s="130" t="str">
        <f t="shared" si="122"/>
        <v>#REF!</v>
      </c>
      <c r="CB142" s="141" t="str">
        <f t="shared" si="39"/>
        <v>#REF!</v>
      </c>
      <c r="CC142" s="133" t="str">
        <f t="shared" si="40"/>
        <v>#REF!</v>
      </c>
      <c r="CD142" s="133" t="str">
        <f t="shared" si="41"/>
        <v>#REF!</v>
      </c>
      <c r="CE142" s="133" t="str">
        <f t="shared" si="123"/>
        <v>#REF!</v>
      </c>
      <c r="CF142" s="134" t="str">
        <f t="shared" si="42"/>
        <v>#REF!</v>
      </c>
      <c r="CG142" s="134" t="str">
        <f t="shared" si="43"/>
        <v>#REF!</v>
      </c>
      <c r="CH142" s="135" t="str">
        <f>IF(ISNA(VLOOKUP(A142,'Données projet (1)'!$A$113:$I$133,5,0)),0%,VLOOKUP(A142,'Données projet (1)'!$A$113:$I$133,5,0)*VLOOKUP('Données projet (1)'!$B$12,'Paramètres (1)'!$A$1:$I$88,7,0))</f>
        <v>#REF!</v>
      </c>
      <c r="CI142" s="135" t="str">
        <f>IF(ISNA(VLOOKUP(A142,'Données projet (1)'!$A$113:$I$133,6,0)),0%,VLOOKUP(A142,'Données projet (1)'!$A$113:$I$133,6,0)*VLOOKUP('Données projet (1)'!$B$12,'Paramètres (1)'!$A$1:$I$88,7,0))</f>
        <v>#REF!</v>
      </c>
      <c r="CJ142" s="135" t="str">
        <f t="shared" si="44"/>
        <v>#REF!</v>
      </c>
      <c r="CK142" s="142" t="str">
        <f>EXP(-LN(2)/35)*CK141+(1-EXP(-LN(2)/35))/(LN(2)/35)*CG142*CH142*VLOOKUP('Données projet (1)'!$B$12,'Paramètres (1)'!$A$1:$I$88,3,0)*0.475*44/12</f>
        <v>#REF!</v>
      </c>
      <c r="CL142" s="142" t="str">
        <f>EXP(-LN(2)/25)*CL141+(1-EXP(-LN(2)/25))/(LN(2)/25)*'Calculateur (1)'!CG142*'Calculateur (1)'!CI142*VLOOKUP('Données projet (1)'!$B$12,'Paramètres (1)'!$A$1:$I$88,3,0)*0.475*44/12</f>
        <v>#REF!</v>
      </c>
      <c r="CM142" s="142" t="str">
        <f>EXP(-LN(2)/2)*CM141+(1-EXP(-LN(2)/2))/(LN(2)/2)*CG142*CJ142*VLOOKUP('Données projet (1)'!$B$12,'Paramètres (1)'!$A$1:$I$88,3,0)*0.475*44/12</f>
        <v>#REF!</v>
      </c>
      <c r="CN142" s="143" t="str">
        <f t="shared" si="45"/>
        <v>#REF!</v>
      </c>
      <c r="CO142" s="139" t="str">
        <f t="shared" si="46"/>
        <v>#REF!</v>
      </c>
      <c r="CP142" s="131">
        <f t="shared" si="47"/>
        <v>10</v>
      </c>
      <c r="CQ142" s="131" t="str">
        <f t="shared" si="124"/>
        <v>#REF!</v>
      </c>
      <c r="CR142" s="131" t="str">
        <f t="shared" si="48"/>
        <v>#REF!</v>
      </c>
      <c r="CS142" s="131" t="str">
        <f t="array" ref="CS142">INDEX(CR:CR,MIN(IF(ISNUMBER(CR142:CR338),ROW(CR142:CR338),"")))</f>
        <v/>
      </c>
      <c r="CT142" s="131" t="str">
        <f t="shared" si="125"/>
        <v>#REF!</v>
      </c>
      <c r="CU142" s="138" t="str">
        <f>CT142*VLOOKUP('Données projet (1)'!$B$13,'Paramètres (1)'!$A$1:$I$88,3,0)*VLOOKUP('Données projet (1)'!$B$13,'Paramètres (1)'!$A$1:$I$88,5,0)</f>
        <v>#REF!</v>
      </c>
      <c r="CV142" s="130" t="str">
        <f t="shared" si="126"/>
        <v>#REF!</v>
      </c>
      <c r="CW142" s="141" t="str">
        <f t="shared" si="49"/>
        <v>#REF!</v>
      </c>
      <c r="CX142" s="133" t="str">
        <f t="shared" si="50"/>
        <v>#REF!</v>
      </c>
      <c r="CY142" s="133" t="str">
        <f t="shared" si="51"/>
        <v>#REF!</v>
      </c>
      <c r="CZ142" s="133" t="str">
        <f t="shared" si="127"/>
        <v>#REF!</v>
      </c>
      <c r="DA142" s="134" t="str">
        <f t="shared" si="52"/>
        <v>#REF!</v>
      </c>
      <c r="DB142" s="134" t="str">
        <f t="shared" si="53"/>
        <v>#REF!</v>
      </c>
      <c r="DC142" s="135" t="str">
        <f>IF(ISNA(VLOOKUP(A142,'Données projet (1)'!$A$139:$I$159,5,0)),0%,VLOOKUP(A142,'Données projet (1)'!$A$139:$I$159,5,0)*VLOOKUP('Données projet (1)'!$B$13,'Paramètres (1)'!$A$1:$I$88,7,0))</f>
        <v>#REF!</v>
      </c>
      <c r="DD142" s="135" t="str">
        <f>IF(ISNA(VLOOKUP(A142,'Données projet (1)'!$A$139:$I$159,6,0)),0%,VLOOKUP(A142,'Données projet (1)'!$A$139:$I$159,6,0)*VLOOKUP('Données projet (1)'!$B$13,'Paramètres (1)'!$A$1:$I$88,7,0))</f>
        <v>#REF!</v>
      </c>
      <c r="DE142" s="135" t="str">
        <f t="shared" si="54"/>
        <v>#REF!</v>
      </c>
      <c r="DF142" s="142" t="str">
        <f>EXP(-LN(2)/35)*DF141+(1-EXP(-LN(2)/35))/(LN(2)/35)*DB142*DC142*VLOOKUP('Données projet (1)'!$B$13,'Paramètres (1)'!$A$1:$I$88,3,0)*0.475*44/12</f>
        <v>#REF!</v>
      </c>
      <c r="DG142" s="142" t="str">
        <f>EXP(-LN(2)/25)*DG141+(1-EXP(-LN(2)/25))/(LN(2)/25)*'Calculateur (1)'!DB142*'Calculateur (1)'!DD142*VLOOKUP('Données projet (1)'!$B$13,'Paramètres (1)'!$A$1:$I$88,3,0)*0.475*44/12</f>
        <v>#REF!</v>
      </c>
      <c r="DH142" s="142" t="str">
        <f>EXP(-LN(2)/2)*DH141+(1-EXP(-LN(2)/2))/(LN(2)/2)*DB142*DE142*VLOOKUP('Données projet (1)'!$B$13,'Paramètres (1)'!$A$1:$I$88,3,0)*0.475*44/12</f>
        <v>#REF!</v>
      </c>
      <c r="DI142" s="143" t="str">
        <f t="shared" si="55"/>
        <v>#REF!</v>
      </c>
      <c r="DJ142" s="139" t="str">
        <f t="shared" si="56"/>
        <v>#REF!</v>
      </c>
      <c r="DK142" s="131">
        <f t="shared" si="57"/>
        <v>10</v>
      </c>
      <c r="DL142" s="131" t="str">
        <f t="shared" si="128"/>
        <v>#REF!</v>
      </c>
      <c r="DM142" s="131" t="str">
        <f t="shared" si="58"/>
        <v>#REF!</v>
      </c>
      <c r="DN142" s="131" t="str">
        <f t="array" ref="DN142">INDEX(DM:DM,MIN(IF(ISNUMBER(DM142:DM338),ROW(DM142:DM338),"")))</f>
        <v/>
      </c>
      <c r="DO142" s="131" t="str">
        <f t="shared" si="129"/>
        <v>#REF!</v>
      </c>
      <c r="DP142" s="138" t="str">
        <f>DO142*VLOOKUP('Données projet (1)'!$B$14,'Paramètres (1)'!$A$1:$I$88,3,0)*VLOOKUP('Données projet (1)'!$B$14,'Paramètres (1)'!$A$1:$I$88,5,0)</f>
        <v>#REF!</v>
      </c>
      <c r="DQ142" s="130" t="str">
        <f t="shared" si="130"/>
        <v>#REF!</v>
      </c>
      <c r="DR142" s="141" t="str">
        <f t="shared" si="59"/>
        <v>#REF!</v>
      </c>
      <c r="DS142" s="133" t="str">
        <f t="shared" si="60"/>
        <v>#REF!</v>
      </c>
      <c r="DT142" s="133" t="str">
        <f t="shared" si="61"/>
        <v>#REF!</v>
      </c>
      <c r="DU142" s="133" t="str">
        <f t="shared" si="131"/>
        <v>#REF!</v>
      </c>
      <c r="DV142" s="134" t="str">
        <f t="shared" si="62"/>
        <v>#REF!</v>
      </c>
      <c r="DW142" s="134" t="str">
        <f t="shared" si="63"/>
        <v>#REF!</v>
      </c>
      <c r="DX142" s="135" t="str">
        <f>IF(ISNA(VLOOKUP(A142,'Données projet (1)'!$A$165:$I$185,5,0)),0%,VLOOKUP(A142,'Données projet (1)'!$A$165:$I$185,5,0)*VLOOKUP('Données projet (1)'!$B$14,'Paramètres (1)'!$A$1:$I$88,7,0))</f>
        <v>#REF!</v>
      </c>
      <c r="DY142" s="135" t="str">
        <f>IF(ISNA(VLOOKUP(A142,'Données projet (1)'!$A$165:$I$185,6,0)),0%,VLOOKUP(A142,'Données projet (1)'!$A$165:$I$185,6,0)*VLOOKUP('Données projet (1)'!$B$14,'Paramètres (1)'!$A$1:$I$88,7,0))</f>
        <v>#REF!</v>
      </c>
      <c r="DZ142" s="135" t="str">
        <f t="shared" si="64"/>
        <v>#REF!</v>
      </c>
      <c r="EA142" s="142" t="str">
        <f>EXP(-LN(2)/35)*EA141+(1-EXP(-LN(2)/35))/(LN(2)/35)*DW142*DX142*VLOOKUP('Données projet (1)'!$B$14,'Paramètres (1)'!$A$1:$I$88,3,0)*0.475*44/12</f>
        <v>#REF!</v>
      </c>
      <c r="EB142" s="142" t="str">
        <f>EXP(-LN(2)/25)*EB141+(1-EXP(-LN(2)/25))/(LN(2)/25)*'Calculateur (1)'!DW142*'Calculateur (1)'!DY142*VLOOKUP('Données projet (1)'!$B$14,'Paramètres (1)'!$A$1:$I$88,3,0)*0.475*44/12</f>
        <v>#REF!</v>
      </c>
      <c r="EC142" s="142" t="str">
        <f>EXP(-LN(2)/2)*EC141+(1-EXP(-LN(2)/2))/(LN(2)/2)*DW142*DZ142*VLOOKUP('Données projet (1)'!$B$14,'Paramètres (1)'!$A$1:$I$88,3,0)*0.475*44/12</f>
        <v>#REF!</v>
      </c>
      <c r="ED142" s="143" t="str">
        <f t="shared" si="65"/>
        <v>#REF!</v>
      </c>
      <c r="EE142" s="139" t="str">
        <f t="shared" si="66"/>
        <v>#REF!</v>
      </c>
      <c r="EF142" s="131">
        <f t="shared" si="67"/>
        <v>10</v>
      </c>
      <c r="EG142" s="131" t="str">
        <f t="shared" si="132"/>
        <v>#REF!</v>
      </c>
      <c r="EH142" s="131" t="str">
        <f t="shared" si="68"/>
        <v>#REF!</v>
      </c>
      <c r="EI142" s="131" t="str">
        <f t="array" ref="EI142">INDEX(EH:EH,MIN(IF(ISNUMBER(EH142:EH338),ROW(EH142:EH338),"")))</f>
        <v/>
      </c>
      <c r="EJ142" s="131" t="str">
        <f t="shared" si="133"/>
        <v>#REF!</v>
      </c>
      <c r="EK142" s="138" t="str">
        <f>EJ142*VLOOKUP('Données projet (1)'!$B$15,'Paramètres (1)'!$A$1:$I$88,3,0)*VLOOKUP('Données projet (1)'!$B$15,'Paramètres (1)'!$A$1:$I$88,5,0)</f>
        <v>#REF!</v>
      </c>
      <c r="EL142" s="130" t="str">
        <f t="shared" si="134"/>
        <v>#REF!</v>
      </c>
      <c r="EM142" s="141" t="str">
        <f t="shared" si="69"/>
        <v>#REF!</v>
      </c>
      <c r="EN142" s="133" t="str">
        <f t="shared" si="70"/>
        <v>#REF!</v>
      </c>
      <c r="EO142" s="133" t="str">
        <f t="shared" si="71"/>
        <v>#REF!</v>
      </c>
      <c r="EP142" s="133" t="str">
        <f t="shared" si="135"/>
        <v>#REF!</v>
      </c>
      <c r="EQ142" s="134" t="str">
        <f t="shared" si="72"/>
        <v>#REF!</v>
      </c>
      <c r="ER142" s="134" t="str">
        <f t="shared" si="73"/>
        <v>#REF!</v>
      </c>
      <c r="ES142" s="135" t="str">
        <f>IF(ISNA(VLOOKUP(A142,'Données projet (1)'!$A$191:$I$211,5,0)),0%,VLOOKUP(A142,'Données projet (1)'!$A$191:$I$211,5,0)*VLOOKUP('Données projet (1)'!$B$15,'Paramètres (1)'!$A$1:$I$88,7,0))</f>
        <v>#REF!</v>
      </c>
      <c r="ET142" s="135" t="str">
        <f>IF(ISNA(VLOOKUP(A142,'Données projet (1)'!$A$191:$I$211,6,0)),0%,VLOOKUP(A142,'Données projet (1)'!$A$191:$I$211,6,0)*VLOOKUP('Données projet (1)'!$B$15,'Paramètres (1)'!$A$1:$I$88,7,0))</f>
        <v>#REF!</v>
      </c>
      <c r="EU142" s="135" t="str">
        <f t="shared" si="74"/>
        <v>#REF!</v>
      </c>
      <c r="EV142" s="142" t="str">
        <f>EXP(-LN(2)/35)*EV141+(1-EXP(-LN(2)/35))/(LN(2)/35)*ER142*ES142*VLOOKUP('Données projet (1)'!$B$15,'Paramètres (1)'!$A$1:$I$88,3,0)*0.475*44/12</f>
        <v>#REF!</v>
      </c>
      <c r="EW142" s="142" t="str">
        <f>EXP(-LN(2)/25)*EW141+(1-EXP(-LN(2)/25))/(LN(2)/25)*'Calculateur (1)'!ER142*'Calculateur (1)'!ET142*VLOOKUP('Données projet (1)'!$B$15,'Paramètres (1)'!$A$1:$I$88,3,0)*0.475*44/12</f>
        <v>#REF!</v>
      </c>
      <c r="EX142" s="142" t="str">
        <f>EXP(-LN(2)/2)*EX141+(1-EXP(-LN(2)/2))/(LN(2)/2)*ER142*EU142*VLOOKUP('Données projet (1)'!$B$15,'Paramètres (1)'!$A$1:$I$88,3,0)*0.475*44/12</f>
        <v>#REF!</v>
      </c>
      <c r="EY142" s="143" t="str">
        <f t="shared" si="75"/>
        <v>#REF!</v>
      </c>
      <c r="EZ142" s="139" t="str">
        <f t="shared" si="76"/>
        <v>#REF!</v>
      </c>
      <c r="FA142" s="131">
        <f t="shared" si="77"/>
        <v>10</v>
      </c>
      <c r="FB142" s="131" t="str">
        <f t="shared" si="136"/>
        <v>#REF!</v>
      </c>
      <c r="FC142" s="131" t="str">
        <f t="shared" si="78"/>
        <v>#REF!</v>
      </c>
      <c r="FD142" s="131" t="str">
        <f t="array" ref="FD142">INDEX(FC:FC,MIN(IF(ISNUMBER(FC142:FC338),ROW(FC142:FC338),"")))</f>
        <v/>
      </c>
      <c r="FE142" s="131" t="str">
        <f t="shared" si="137"/>
        <v>#REF!</v>
      </c>
      <c r="FF142" s="138" t="str">
        <f>FE142*VLOOKUP('Données projet (1)'!$B$16,'Paramètres (1)'!$A$1:$I$88,3,0)*VLOOKUP('Données projet (1)'!$B$16,'Paramètres (1)'!$A$1:$I$88,5,0)</f>
        <v>#REF!</v>
      </c>
      <c r="FG142" s="130" t="str">
        <f t="shared" si="138"/>
        <v>#REF!</v>
      </c>
      <c r="FH142" s="141" t="str">
        <f t="shared" si="79"/>
        <v>#REF!</v>
      </c>
      <c r="FI142" s="133" t="str">
        <f t="shared" si="80"/>
        <v>#REF!</v>
      </c>
      <c r="FJ142" s="133" t="str">
        <f t="shared" si="81"/>
        <v>#REF!</v>
      </c>
      <c r="FK142" s="133" t="str">
        <f t="shared" si="139"/>
        <v>#REF!</v>
      </c>
      <c r="FL142" s="134" t="str">
        <f t="shared" si="82"/>
        <v>#REF!</v>
      </c>
      <c r="FM142" s="134" t="str">
        <f t="shared" si="83"/>
        <v>#REF!</v>
      </c>
      <c r="FN142" s="135" t="str">
        <f>IF(ISNA(VLOOKUP(A142,'Données projet (1)'!$A$217:$I$237,5,0)),0%,VLOOKUP(A142,'Données projet (1)'!$A$217:$I$237,5,0)*VLOOKUP('Données projet (1)'!$B$16,'Paramètres (1)'!$A$1:$I$88,7,0))</f>
        <v>#REF!</v>
      </c>
      <c r="FO142" s="135" t="str">
        <f>IF(ISNA(VLOOKUP(A142,'Données projet (1)'!$A$217:$I$237,6,0)),0%,VLOOKUP(A142,'Données projet (1)'!$A$217:$I$237,6,0)*VLOOKUP('Données projet (1)'!$B$16,'Paramètres (1)'!$A$1:$I$88,7,0))</f>
        <v>#REF!</v>
      </c>
      <c r="FP142" s="135" t="str">
        <f t="shared" si="84"/>
        <v>#REF!</v>
      </c>
      <c r="FQ142" s="142" t="str">
        <f>EXP(-LN(2)/35)*FQ141+(1-EXP(-LN(2)/35))/(LN(2)/35)*FM142*FN142*VLOOKUP('Données projet (1)'!$B$16,'Paramètres (1)'!$A$1:$I$88,3,0)*0.475*44/12</f>
        <v>#REF!</v>
      </c>
      <c r="FR142" s="142" t="str">
        <f>EXP(-LN(2)/25)*FR141+(1-EXP(-LN(2)/25))/(LN(2)/25)*'Calculateur (1)'!FM142*'Calculateur (1)'!FO142*VLOOKUP('Données projet (1)'!$B$16,'Paramètres (1)'!$A$1:$I$88,3,0)*0.475*44/12</f>
        <v>#REF!</v>
      </c>
      <c r="FS142" s="142" t="str">
        <f>EXP(-LN(2)/2)*FS141+(1-EXP(-LN(2)/2))/(LN(2)/2)*FM142*FP142*VLOOKUP('Données projet (1)'!$B$16,'Paramètres (1)'!$A$1:$I$88,3,0)*0.475*44/12</f>
        <v>#REF!</v>
      </c>
      <c r="FT142" s="143" t="str">
        <f t="shared" si="85"/>
        <v>#REF!</v>
      </c>
      <c r="FU142" s="139" t="str">
        <f t="shared" si="86"/>
        <v>#REF!</v>
      </c>
      <c r="FV142" s="131">
        <f t="shared" si="87"/>
        <v>10</v>
      </c>
      <c r="FW142" s="131" t="str">
        <f t="shared" si="140"/>
        <v>#REF!</v>
      </c>
      <c r="FX142" s="131" t="str">
        <f t="shared" si="88"/>
        <v>#REF!</v>
      </c>
      <c r="FY142" s="131" t="str">
        <f t="array" ref="FY142">INDEX(FX:FX,MIN(IF(ISNUMBER(FX142:FX338),ROW(FX142:FX338),"")))</f>
        <v/>
      </c>
      <c r="FZ142" s="131" t="str">
        <f t="shared" si="141"/>
        <v>#REF!</v>
      </c>
      <c r="GA142" s="138" t="str">
        <f>FZ142*VLOOKUP('Données projet (1)'!$B$17,'Paramètres (1)'!$A$1:$I$88,3,0)*VLOOKUP('Données projet (1)'!$B$17,'Paramètres (1)'!$A$1:$I$88,5,0)</f>
        <v>#REF!</v>
      </c>
      <c r="GB142" s="130" t="str">
        <f t="shared" si="142"/>
        <v>#REF!</v>
      </c>
      <c r="GC142" s="141" t="str">
        <f t="shared" si="89"/>
        <v>#REF!</v>
      </c>
      <c r="GD142" s="133" t="str">
        <f t="shared" si="90"/>
        <v>#REF!</v>
      </c>
      <c r="GE142" s="133" t="str">
        <f t="shared" si="91"/>
        <v>#REF!</v>
      </c>
      <c r="GF142" s="133" t="str">
        <f t="shared" si="143"/>
        <v>#REF!</v>
      </c>
      <c r="GG142" s="134" t="str">
        <f t="shared" si="92"/>
        <v>#REF!</v>
      </c>
      <c r="GH142" s="134" t="str">
        <f t="shared" si="93"/>
        <v>#REF!</v>
      </c>
      <c r="GI142" s="135" t="str">
        <f>IF(ISNA(VLOOKUP(A142,'Données projet (1)'!$A$243:$I$263,5,0)),0%,VLOOKUP(A142,'Données projet (1)'!$A$243:$I$263,5,0)*VLOOKUP('Données projet (1)'!$B$17,'Paramètres (1)'!$A$1:$I$88,7,0))</f>
        <v>#REF!</v>
      </c>
      <c r="GJ142" s="135" t="str">
        <f>IF(ISNA(VLOOKUP(A142,'Données projet (1)'!$A$243:$I$263,6,0)),0%,VLOOKUP(A142,'Données projet (1)'!$A$243:$I$263,6,0)*VLOOKUP('Données projet (1)'!$B$17,'Paramètres (1)'!$A$1:$I$88,7,0))</f>
        <v>#REF!</v>
      </c>
      <c r="GK142" s="135" t="str">
        <f t="shared" si="94"/>
        <v>#REF!</v>
      </c>
      <c r="GL142" s="142" t="str">
        <f>EXP(-LN(2)/35)*GL141+(1-EXP(-LN(2)/35))/(LN(2)/35)*GH142*GI142*VLOOKUP('Données projet (1)'!$B$17,'Paramètres (1)'!$A$1:$I$88,3,0)*0.475*44/12</f>
        <v>#REF!</v>
      </c>
      <c r="GM142" s="142" t="str">
        <f>EXP(-LN(2)/25)*GM141+(1-EXP(-LN(2)/25))/(LN(2)/25)*'Calculateur (1)'!GH142*'Calculateur (1)'!GJ142*VLOOKUP('Données projet (1)'!$B$17,'Paramètres (1)'!$A$1:$I$88,3,0)*0.475*44/12</f>
        <v>#REF!</v>
      </c>
      <c r="GN142" s="142" t="str">
        <f>EXP(-LN(2)/2)*GN141+(1-EXP(-LN(2)/2))/(LN(2)/2)*GH142*GK142*VLOOKUP('Données projet (1)'!$B$17,'Paramètres (1)'!$A$1:$I$88,3,0)*0.475*44/12</f>
        <v>#REF!</v>
      </c>
      <c r="GO142" s="142" t="str">
        <f t="shared" si="95"/>
        <v>#REF!</v>
      </c>
      <c r="GP142" s="139" t="str">
        <f t="shared" si="96"/>
        <v>#REF!</v>
      </c>
      <c r="GQ142" s="131">
        <f t="shared" si="97"/>
        <v>10</v>
      </c>
      <c r="GR142" s="131" t="str">
        <f t="shared" si="144"/>
        <v>#REF!</v>
      </c>
      <c r="GS142" s="131" t="str">
        <f t="shared" si="98"/>
        <v>#REF!</v>
      </c>
      <c r="GT142" s="131" t="str">
        <f t="array" ref="GT142">INDEX(GS:GS,MIN(IF(ISNUMBER(GS142:GS338),ROW(GS142:GS338),"")))</f>
        <v/>
      </c>
      <c r="GU142" s="131" t="str">
        <f t="shared" si="145"/>
        <v>#REF!</v>
      </c>
      <c r="GV142" s="138" t="str">
        <f>GU142*VLOOKUP('Données projet (1)'!$B$18,'Paramètres (1)'!$A$1:$I$88,3,0)*VLOOKUP('Données projet (1)'!$B$18,'Paramètres (1)'!$A$1:$I$88,5,0)</f>
        <v>#REF!</v>
      </c>
      <c r="GW142" s="130" t="str">
        <f t="shared" si="146"/>
        <v>#REF!</v>
      </c>
      <c r="GX142" s="141" t="str">
        <f t="shared" si="99"/>
        <v>#REF!</v>
      </c>
      <c r="GY142" s="133" t="str">
        <f t="shared" si="100"/>
        <v>#REF!</v>
      </c>
      <c r="GZ142" s="133" t="str">
        <f t="shared" si="101"/>
        <v>#REF!</v>
      </c>
      <c r="HA142" s="133" t="str">
        <f t="shared" si="147"/>
        <v>#REF!</v>
      </c>
      <c r="HB142" s="134" t="str">
        <f t="shared" si="102"/>
        <v>#REF!</v>
      </c>
      <c r="HC142" s="134" t="str">
        <f t="shared" si="103"/>
        <v>#REF!</v>
      </c>
      <c r="HD142" s="135" t="str">
        <f>IF(ISNA(VLOOKUP(A142,'Données projet (1)'!$A$269:$I$289,5,0)),0%,VLOOKUP(A142,'Données projet (1)'!$A$269:$I$289,5,0)*VLOOKUP('Données projet (1)'!$B$18,'Paramètres (1)'!$A$1:$I$88,7,0))</f>
        <v>#REF!</v>
      </c>
      <c r="HE142" s="135" t="str">
        <f>IF(ISNA(VLOOKUP(A142,'Données projet (1)'!$A$269:$I$289,6,0)),0%,VLOOKUP(A142,'Données projet (1)'!$A$269:$I$289,6,0)*VLOOKUP('Données projet (1)'!$B$18,'Paramètres (1)'!$A$1:$I$88,7,0))</f>
        <v>#REF!</v>
      </c>
      <c r="HF142" s="135" t="str">
        <f t="shared" si="104"/>
        <v>#REF!</v>
      </c>
      <c r="HG142" s="142" t="str">
        <f>EXP(-LN(2)/35)*HG141+(1-EXP(-LN(2)/35))/(LN(2)/35)*HC142*HD142*VLOOKUP('Données projet (1)'!$B$18,'Paramètres (1)'!$A$1:$I$88,3,0)*0.475*44/12</f>
        <v>#REF!</v>
      </c>
      <c r="HH142" s="142" t="str">
        <f>EXP(-LN(2)/25)*HH141+(1-EXP(-LN(2)/25))/(LN(2)/25)*'Calculateur (1)'!HC142*'Calculateur (1)'!HE142*VLOOKUP('Données projet (1)'!$B$18,'Paramètres (1)'!$A$1:$I$88,3,0)*0.475*44/12</f>
        <v>#REF!</v>
      </c>
      <c r="HI142" s="142" t="str">
        <f>EXP(-LN(2)/2)*HI141+(1-EXP(-LN(2)/2))/(LN(2)/2)*HC142*HF142*VLOOKUP('Données projet (1)'!$B$18,'Paramètres (1)'!$A$1:$I$88,3,0)*0.475*44/12</f>
        <v>#REF!</v>
      </c>
      <c r="HJ142" s="143" t="str">
        <f t="shared" si="105"/>
        <v>#REF!</v>
      </c>
    </row>
    <row r="143" ht="14.25" customHeight="1">
      <c r="A143" s="125">
        <f t="shared" si="106"/>
        <v>140</v>
      </c>
      <c r="B143" s="126" t="str">
        <f t="shared" si="1"/>
        <v>#REF!</v>
      </c>
      <c r="C143" s="140" t="str">
        <f>'Calculateur (1)'!C142+'Scénario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3" s="127">
        <f t="shared" si="107"/>
        <v>0</v>
      </c>
      <c r="E143" s="127" t="str">
        <f t="shared" si="2"/>
        <v>#REF!</v>
      </c>
      <c r="F143" s="127" t="str">
        <f t="shared" si="3"/>
        <v>#REF!</v>
      </c>
      <c r="G143" s="127" t="str">
        <f t="shared" si="4"/>
        <v>#REF!</v>
      </c>
      <c r="H143" s="128" t="str">
        <f t="shared" si="5"/>
        <v>#REF!</v>
      </c>
      <c r="I143" s="129" t="str">
        <f t="shared" si="6"/>
        <v>#REF!</v>
      </c>
      <c r="J143" s="130">
        <f t="shared" si="7"/>
        <v>10</v>
      </c>
      <c r="K143" s="131" t="str">
        <f t="shared" si="108"/>
        <v>#REF!</v>
      </c>
      <c r="L143" s="131" t="str">
        <f t="shared" si="8"/>
        <v>#REF!</v>
      </c>
      <c r="M143" s="131" t="str">
        <f t="array" ref="M143">INDEX(L:L,MIN(IF(ISNUMBER(L143:L339),ROW(L143:L339),"")))</f>
        <v/>
      </c>
      <c r="N143" s="130" t="str">
        <f t="shared" si="109"/>
        <v>#REF!</v>
      </c>
      <c r="O143" s="130" t="str">
        <f>N143*VLOOKUP('Données projet (1)'!$B$9,'Paramètres (1)'!$A$1:$I$88,3,0)*VLOOKUP('Données projet (1)'!$B$9,'Paramètres (1)'!$A$1:$I$88,5,0)</f>
        <v>#REF!</v>
      </c>
      <c r="P143" s="130" t="str">
        <f t="shared" si="110"/>
        <v>#REF!</v>
      </c>
      <c r="Q143" s="141" t="str">
        <f t="shared" si="9"/>
        <v>#REF!</v>
      </c>
      <c r="R143" s="133" t="str">
        <f t="shared" si="10"/>
        <v>#REF!</v>
      </c>
      <c r="S143" s="133" t="str">
        <f t="shared" si="11"/>
        <v>#REF!</v>
      </c>
      <c r="T143" s="133" t="str">
        <f t="shared" si="111"/>
        <v>#REF!</v>
      </c>
      <c r="U143" s="134" t="str">
        <f t="shared" si="12"/>
        <v>#REF!</v>
      </c>
      <c r="V143" s="134" t="str">
        <f t="shared" si="13"/>
        <v>#REF!</v>
      </c>
      <c r="W143" s="135" t="str">
        <f>IF(ISNA(VLOOKUP(A143,'Données projet (1)'!$A$35:$I$55,5,0)),0%,VLOOKUP(A143,'Données projet (1)'!$A$35:$I$55,5,0)*VLOOKUP('Données projet (1)'!$B$9,'Paramètres (1)'!$A$1:$I$88,7,0))</f>
        <v>#REF!</v>
      </c>
      <c r="X143" s="135" t="str">
        <f>IF(ISNA(VLOOKUP(A143,'Données projet (1)'!$A$35:$I$55,6,0)),0%,VLOOKUP(A143,'Données projet (1)'!$A$35:$I$55,6,0)*VLOOKUP('Données projet (1)'!$B$9,'Paramètres (1)'!$A$1:$I$88,7,0))</f>
        <v>#REF!</v>
      </c>
      <c r="Y143" s="135" t="str">
        <f t="shared" si="14"/>
        <v>#REF!</v>
      </c>
      <c r="Z143" s="142" t="str">
        <f>EXP(-LN(2)/35)*Z142+(1-EXP(-LN(2)/35))/(LN(2)/35)*V143*W143*VLOOKUP('Données projet (1)'!$B$9,'Paramètres (1)'!$A$1:$I$88,3,0)*0.475*44/12</f>
        <v>#REF!</v>
      </c>
      <c r="AA143" s="142" t="str">
        <f>EXP(-LN(2)/25)*AA142+(1-EXP(-LN(2)/25))/(LN(2)/25)*'Calculateur (1)'!V143*'Calculateur (1)'!X143*VLOOKUP('Données projet (1)'!$B$9,'Paramètres (1)'!$A$1:$I$88,3,0)*0.475*44/12</f>
        <v>#REF!</v>
      </c>
      <c r="AB143" s="142" t="str">
        <f>EXP(-LN(2)/2)*AB142+(1-EXP(-LN(2)/2))/(LN(2)/2)*V143*Y143*VLOOKUP('Données projet (1)'!$B$9,'Paramètres (1)'!$A$1:$I$88,3,0)*0.475*44/12</f>
        <v>#REF!</v>
      </c>
      <c r="AC143" s="143" t="str">
        <f t="shared" si="15"/>
        <v>#REF!</v>
      </c>
      <c r="AD143" s="130" t="str">
        <f t="shared" si="16"/>
        <v>#REF!</v>
      </c>
      <c r="AE143" s="130">
        <f t="shared" si="17"/>
        <v>10</v>
      </c>
      <c r="AF143" s="131" t="str">
        <f t="shared" si="112"/>
        <v>#REF!</v>
      </c>
      <c r="AG143" s="131" t="str">
        <f t="shared" si="18"/>
        <v>#REF!</v>
      </c>
      <c r="AH143" s="131" t="str">
        <f t="array" ref="AH143">INDEX(AG:AG,MIN(IF(ISNUMBER(AG143:AG339),ROW(AG143:AG339),"")))</f>
        <v/>
      </c>
      <c r="AI143" s="130" t="str">
        <f t="shared" si="113"/>
        <v>#REF!</v>
      </c>
      <c r="AJ143" s="130" t="str">
        <f>AI143*VLOOKUP('Données projet (1)'!$B$10,'Paramètres (1)'!$A$1:$I$88,3,0)*VLOOKUP('Données projet (1)'!$B$10,'Paramètres (1)'!$A$1:$I$88,5,0)</f>
        <v>#REF!</v>
      </c>
      <c r="AK143" s="130" t="str">
        <f t="shared" si="114"/>
        <v>#REF!</v>
      </c>
      <c r="AL143" s="141" t="str">
        <f t="shared" si="19"/>
        <v>#REF!</v>
      </c>
      <c r="AM143" s="133" t="str">
        <f t="shared" si="20"/>
        <v>#REF!</v>
      </c>
      <c r="AN143" s="133" t="str">
        <f t="shared" si="21"/>
        <v>#REF!</v>
      </c>
      <c r="AO143" s="133" t="str">
        <f t="shared" si="115"/>
        <v>#REF!</v>
      </c>
      <c r="AP143" s="134" t="str">
        <f t="shared" si="22"/>
        <v>#REF!</v>
      </c>
      <c r="AQ143" s="134" t="str">
        <f t="shared" si="23"/>
        <v>#REF!</v>
      </c>
      <c r="AR143" s="135" t="str">
        <f>IF(ISNA(VLOOKUP(A143,'Données projet (1)'!$A$61:$I$81,5,0)),0%,VLOOKUP(A143,'Données projet (1)'!$A$61:$I$81,5,0)*VLOOKUP('Données projet (1)'!$B$10,'Paramètres (1)'!$A$1:$I$88,7,0))</f>
        <v>#REF!</v>
      </c>
      <c r="AS143" s="135" t="str">
        <f>IF(ISNA(VLOOKUP(A143,'Données projet (1)'!$A$61:$I$81,6,0)),0%,VLOOKUP(A143,'Données projet (1)'!$A$61:$I$81,6,0)*VLOOKUP('Données projet (1)'!$B$10,'Paramètres (1)'!$A$1:$I$88,7,0))</f>
        <v>#REF!</v>
      </c>
      <c r="AT143" s="135" t="str">
        <f t="shared" si="24"/>
        <v>#REF!</v>
      </c>
      <c r="AU143" s="142" t="str">
        <f>EXP(-LN(2)/35)*AU142+(1-EXP(-LN(2)/35))/(LN(2)/35)*AQ143*AR143*VLOOKUP('Données projet (1)'!$B$10,'Paramètres (1)'!$A$1:$I$88,3,0)*0.475*44/12</f>
        <v>#REF!</v>
      </c>
      <c r="AV143" s="142" t="str">
        <f>EXP(-LN(2)/25)*AV142+(1-EXP(-LN(2)/25))/(LN(2)/25)*'Calculateur (1)'!AQ143*'Calculateur (1)'!AS143*VLOOKUP('Données projet (1)'!$B$10,'Paramètres (1)'!$A$1:$I$88,3,0)*0.475*44/12</f>
        <v>#REF!</v>
      </c>
      <c r="AW143" s="142" t="str">
        <f>EXP(-LN(2)/2)*AW142+(1-EXP(-LN(2)/2))/(LN(2)/2)*AQ143*AT143*VLOOKUP('Données projet (1)'!$B$10,'Paramètres (1)'!$A$1:$I$88,3,0)*0.475*44/12</f>
        <v>#REF!</v>
      </c>
      <c r="AX143" s="142" t="str">
        <f t="shared" si="25"/>
        <v>#REF!</v>
      </c>
      <c r="AY143" s="137" t="str">
        <f t="shared" si="26"/>
        <v>#REF!</v>
      </c>
      <c r="AZ143" s="131">
        <f t="shared" si="27"/>
        <v>10</v>
      </c>
      <c r="BA143" s="131" t="str">
        <f t="shared" si="116"/>
        <v>#REF!</v>
      </c>
      <c r="BB143" s="131" t="str">
        <f t="shared" si="28"/>
        <v>#REF!</v>
      </c>
      <c r="BC143" s="131" t="str">
        <f t="array" ref="BC143">INDEX(BB:BB,MIN(IF(ISNUMBER(BB143:BB339),ROW(BB143:BB339),"")))</f>
        <v/>
      </c>
      <c r="BD143" s="131" t="str">
        <f t="shared" si="117"/>
        <v>#REF!</v>
      </c>
      <c r="BE143" s="130" t="str">
        <f>BD143*VLOOKUP('Données projet (1)'!$B$11,'Paramètres (1)'!$A$1:$I$88,3,0)*VLOOKUP('Données projet (1)'!$B$11,'Paramètres (1)'!$A$1:$I$88,5,0)</f>
        <v>#REF!</v>
      </c>
      <c r="BF143" s="130" t="str">
        <f t="shared" si="118"/>
        <v>#REF!</v>
      </c>
      <c r="BG143" s="141" t="str">
        <f t="shared" si="29"/>
        <v>#REF!</v>
      </c>
      <c r="BH143" s="133" t="str">
        <f t="shared" si="30"/>
        <v>#REF!</v>
      </c>
      <c r="BI143" s="133" t="str">
        <f t="shared" si="31"/>
        <v>#REF!</v>
      </c>
      <c r="BJ143" s="133" t="str">
        <f t="shared" si="119"/>
        <v>#REF!</v>
      </c>
      <c r="BK143" s="134" t="str">
        <f t="shared" si="32"/>
        <v>#REF!</v>
      </c>
      <c r="BL143" s="134" t="str">
        <f t="shared" si="33"/>
        <v>#REF!</v>
      </c>
      <c r="BM143" s="135" t="str">
        <f>IF(ISNA(VLOOKUP(A143,'Données projet (1)'!$A$87:$I$107,5,0)),0%,VLOOKUP(A143,'Données projet (1)'!$A$87:$I$107,5,0)*VLOOKUP('Données projet (1)'!$B$11,'Paramètres (1)'!$A$1:$I$88,7,0))</f>
        <v>#REF!</v>
      </c>
      <c r="BN143" s="135" t="str">
        <f>IF(ISNA(VLOOKUP(A143,'Données projet (1)'!$A$87:$I$107,6,0)),0%,VLOOKUP(A143,'Données projet (1)'!$A$87:$I$107,6,0)*VLOOKUP('Données projet (1)'!$B$11,'Paramètres (1)'!$A$1:$I$88,7,0))</f>
        <v>#REF!</v>
      </c>
      <c r="BO143" s="135" t="str">
        <f t="shared" si="34"/>
        <v>#REF!</v>
      </c>
      <c r="BP143" s="142" t="str">
        <f>EXP(-LN(2)/35)*BP142+(1-EXP(-LN(2)/35))/(LN(2)/35)*BL143*BM143*VLOOKUP('Données projet (1)'!$B$11,'Paramètres (1)'!$A$1:$I$88,3,0)*0.475*44/12</f>
        <v>#REF!</v>
      </c>
      <c r="BQ143" s="142" t="str">
        <f>EXP(-LN(2)/25)*BQ142+(1-EXP(-LN(2)/25))/(LN(2)/25)*'Calculateur (1)'!BL143*'Calculateur (1)'!BN143*VLOOKUP('Données projet (1)'!$B$11,'Paramètres (1)'!$A$1:$I$88,3,0)*0.475*44/12</f>
        <v>#REF!</v>
      </c>
      <c r="BR143" s="142" t="str">
        <f>EXP(-LN(2)/2)*BR142+(1-EXP(-LN(2)/2))/(LN(2)/2)*BL143*BO143*VLOOKUP('Données projet (1)'!$B$11,'Paramètres (1)'!$A$1:$I$88,3,0)*0.475*44/12</f>
        <v>#REF!</v>
      </c>
      <c r="BS143" s="143" t="str">
        <f t="shared" si="35"/>
        <v>#REF!</v>
      </c>
      <c r="BT143" s="139" t="str">
        <f t="shared" si="36"/>
        <v>#REF!</v>
      </c>
      <c r="BU143" s="131">
        <f t="shared" si="37"/>
        <v>10</v>
      </c>
      <c r="BV143" s="131" t="str">
        <f t="shared" si="120"/>
        <v>#REF!</v>
      </c>
      <c r="BW143" s="131" t="str">
        <f t="shared" si="38"/>
        <v>#REF!</v>
      </c>
      <c r="BX143" s="131" t="str">
        <f t="array" ref="BX143">INDEX(BW:BW,MIN(IF(ISNUMBER(BW143:BW339),ROW(BW143:BW339),"")))</f>
        <v/>
      </c>
      <c r="BY143" s="131" t="str">
        <f t="shared" si="121"/>
        <v>#REF!</v>
      </c>
      <c r="BZ143" s="130" t="str">
        <f>BY143*VLOOKUP('Données projet (1)'!$B$12,'Paramètres (1)'!$A$1:$I$88,3,0)*VLOOKUP('Données projet (1)'!$B$12,'Paramètres (1)'!$A$1:$I$88,5,0)</f>
        <v>#REF!</v>
      </c>
      <c r="CA143" s="130" t="str">
        <f t="shared" si="122"/>
        <v>#REF!</v>
      </c>
      <c r="CB143" s="141" t="str">
        <f t="shared" si="39"/>
        <v>#REF!</v>
      </c>
      <c r="CC143" s="133" t="str">
        <f t="shared" si="40"/>
        <v>#REF!</v>
      </c>
      <c r="CD143" s="133" t="str">
        <f t="shared" si="41"/>
        <v>#REF!</v>
      </c>
      <c r="CE143" s="133" t="str">
        <f t="shared" si="123"/>
        <v>#REF!</v>
      </c>
      <c r="CF143" s="134" t="str">
        <f t="shared" si="42"/>
        <v>#REF!</v>
      </c>
      <c r="CG143" s="134" t="str">
        <f t="shared" si="43"/>
        <v>#REF!</v>
      </c>
      <c r="CH143" s="135" t="str">
        <f>IF(ISNA(VLOOKUP(A143,'Données projet (1)'!$A$113:$I$133,5,0)),0%,VLOOKUP(A143,'Données projet (1)'!$A$113:$I$133,5,0)*VLOOKUP('Données projet (1)'!$B$12,'Paramètres (1)'!$A$1:$I$88,7,0))</f>
        <v>#REF!</v>
      </c>
      <c r="CI143" s="135" t="str">
        <f>IF(ISNA(VLOOKUP(A143,'Données projet (1)'!$A$113:$I$133,6,0)),0%,VLOOKUP(A143,'Données projet (1)'!$A$113:$I$133,6,0)*VLOOKUP('Données projet (1)'!$B$12,'Paramètres (1)'!$A$1:$I$88,7,0))</f>
        <v>#REF!</v>
      </c>
      <c r="CJ143" s="135" t="str">
        <f t="shared" si="44"/>
        <v>#REF!</v>
      </c>
      <c r="CK143" s="142" t="str">
        <f>EXP(-LN(2)/35)*CK142+(1-EXP(-LN(2)/35))/(LN(2)/35)*CG143*CH143*VLOOKUP('Données projet (1)'!$B$12,'Paramètres (1)'!$A$1:$I$88,3,0)*0.475*44/12</f>
        <v>#REF!</v>
      </c>
      <c r="CL143" s="142" t="str">
        <f>EXP(-LN(2)/25)*CL142+(1-EXP(-LN(2)/25))/(LN(2)/25)*'Calculateur (1)'!CG143*'Calculateur (1)'!CI143*VLOOKUP('Données projet (1)'!$B$12,'Paramètres (1)'!$A$1:$I$88,3,0)*0.475*44/12</f>
        <v>#REF!</v>
      </c>
      <c r="CM143" s="142" t="str">
        <f>EXP(-LN(2)/2)*CM142+(1-EXP(-LN(2)/2))/(LN(2)/2)*CG143*CJ143*VLOOKUP('Données projet (1)'!$B$12,'Paramètres (1)'!$A$1:$I$88,3,0)*0.475*44/12</f>
        <v>#REF!</v>
      </c>
      <c r="CN143" s="143" t="str">
        <f t="shared" si="45"/>
        <v>#REF!</v>
      </c>
      <c r="CO143" s="139" t="str">
        <f t="shared" si="46"/>
        <v>#REF!</v>
      </c>
      <c r="CP143" s="131">
        <f t="shared" si="47"/>
        <v>10</v>
      </c>
      <c r="CQ143" s="131" t="str">
        <f t="shared" si="124"/>
        <v>#REF!</v>
      </c>
      <c r="CR143" s="131" t="str">
        <f t="shared" si="48"/>
        <v>#REF!</v>
      </c>
      <c r="CS143" s="131" t="str">
        <f t="array" ref="CS143">INDEX(CR:CR,MIN(IF(ISNUMBER(CR143:CR339),ROW(CR143:CR339),"")))</f>
        <v/>
      </c>
      <c r="CT143" s="131" t="str">
        <f t="shared" si="125"/>
        <v>#REF!</v>
      </c>
      <c r="CU143" s="138" t="str">
        <f>CT143*VLOOKUP('Données projet (1)'!$B$13,'Paramètres (1)'!$A$1:$I$88,3,0)*VLOOKUP('Données projet (1)'!$B$13,'Paramètres (1)'!$A$1:$I$88,5,0)</f>
        <v>#REF!</v>
      </c>
      <c r="CV143" s="130" t="str">
        <f t="shared" si="126"/>
        <v>#REF!</v>
      </c>
      <c r="CW143" s="141" t="str">
        <f t="shared" si="49"/>
        <v>#REF!</v>
      </c>
      <c r="CX143" s="133" t="str">
        <f t="shared" si="50"/>
        <v>#REF!</v>
      </c>
      <c r="CY143" s="133" t="str">
        <f t="shared" si="51"/>
        <v>#REF!</v>
      </c>
      <c r="CZ143" s="133" t="str">
        <f t="shared" si="127"/>
        <v>#REF!</v>
      </c>
      <c r="DA143" s="134" t="str">
        <f t="shared" si="52"/>
        <v>#REF!</v>
      </c>
      <c r="DB143" s="134" t="str">
        <f t="shared" si="53"/>
        <v>#REF!</v>
      </c>
      <c r="DC143" s="135" t="str">
        <f>IF(ISNA(VLOOKUP(A143,'Données projet (1)'!$A$139:$I$159,5,0)),0%,VLOOKUP(A143,'Données projet (1)'!$A$139:$I$159,5,0)*VLOOKUP('Données projet (1)'!$B$13,'Paramètres (1)'!$A$1:$I$88,7,0))</f>
        <v>#REF!</v>
      </c>
      <c r="DD143" s="135" t="str">
        <f>IF(ISNA(VLOOKUP(A143,'Données projet (1)'!$A$139:$I$159,6,0)),0%,VLOOKUP(A143,'Données projet (1)'!$A$139:$I$159,6,0)*VLOOKUP('Données projet (1)'!$B$13,'Paramètres (1)'!$A$1:$I$88,7,0))</f>
        <v>#REF!</v>
      </c>
      <c r="DE143" s="135" t="str">
        <f t="shared" si="54"/>
        <v>#REF!</v>
      </c>
      <c r="DF143" s="142" t="str">
        <f>EXP(-LN(2)/35)*DF142+(1-EXP(-LN(2)/35))/(LN(2)/35)*DB143*DC143*VLOOKUP('Données projet (1)'!$B$13,'Paramètres (1)'!$A$1:$I$88,3,0)*0.475*44/12</f>
        <v>#REF!</v>
      </c>
      <c r="DG143" s="142" t="str">
        <f>EXP(-LN(2)/25)*DG142+(1-EXP(-LN(2)/25))/(LN(2)/25)*'Calculateur (1)'!DB143*'Calculateur (1)'!DD143*VLOOKUP('Données projet (1)'!$B$13,'Paramètres (1)'!$A$1:$I$88,3,0)*0.475*44/12</f>
        <v>#REF!</v>
      </c>
      <c r="DH143" s="142" t="str">
        <f>EXP(-LN(2)/2)*DH142+(1-EXP(-LN(2)/2))/(LN(2)/2)*DB143*DE143*VLOOKUP('Données projet (1)'!$B$13,'Paramètres (1)'!$A$1:$I$88,3,0)*0.475*44/12</f>
        <v>#REF!</v>
      </c>
      <c r="DI143" s="143" t="str">
        <f t="shared" si="55"/>
        <v>#REF!</v>
      </c>
      <c r="DJ143" s="139" t="str">
        <f t="shared" si="56"/>
        <v>#REF!</v>
      </c>
      <c r="DK143" s="131">
        <f t="shared" si="57"/>
        <v>10</v>
      </c>
      <c r="DL143" s="131" t="str">
        <f t="shared" si="128"/>
        <v>#REF!</v>
      </c>
      <c r="DM143" s="131" t="str">
        <f t="shared" si="58"/>
        <v>#REF!</v>
      </c>
      <c r="DN143" s="131" t="str">
        <f t="array" ref="DN143">INDEX(DM:DM,MIN(IF(ISNUMBER(DM143:DM339),ROW(DM143:DM339),"")))</f>
        <v/>
      </c>
      <c r="DO143" s="131" t="str">
        <f t="shared" si="129"/>
        <v>#REF!</v>
      </c>
      <c r="DP143" s="138" t="str">
        <f>DO143*VLOOKUP('Données projet (1)'!$B$14,'Paramètres (1)'!$A$1:$I$88,3,0)*VLOOKUP('Données projet (1)'!$B$14,'Paramètres (1)'!$A$1:$I$88,5,0)</f>
        <v>#REF!</v>
      </c>
      <c r="DQ143" s="130" t="str">
        <f t="shared" si="130"/>
        <v>#REF!</v>
      </c>
      <c r="DR143" s="141" t="str">
        <f t="shared" si="59"/>
        <v>#REF!</v>
      </c>
      <c r="DS143" s="133" t="str">
        <f t="shared" si="60"/>
        <v>#REF!</v>
      </c>
      <c r="DT143" s="133" t="str">
        <f t="shared" si="61"/>
        <v>#REF!</v>
      </c>
      <c r="DU143" s="133" t="str">
        <f t="shared" si="131"/>
        <v>#REF!</v>
      </c>
      <c r="DV143" s="134" t="str">
        <f t="shared" si="62"/>
        <v>#REF!</v>
      </c>
      <c r="DW143" s="134" t="str">
        <f t="shared" si="63"/>
        <v>#REF!</v>
      </c>
      <c r="DX143" s="135" t="str">
        <f>IF(ISNA(VLOOKUP(A143,'Données projet (1)'!$A$165:$I$185,5,0)),0%,VLOOKUP(A143,'Données projet (1)'!$A$165:$I$185,5,0)*VLOOKUP('Données projet (1)'!$B$14,'Paramètres (1)'!$A$1:$I$88,7,0))</f>
        <v>#REF!</v>
      </c>
      <c r="DY143" s="135" t="str">
        <f>IF(ISNA(VLOOKUP(A143,'Données projet (1)'!$A$165:$I$185,6,0)),0%,VLOOKUP(A143,'Données projet (1)'!$A$165:$I$185,6,0)*VLOOKUP('Données projet (1)'!$B$14,'Paramètres (1)'!$A$1:$I$88,7,0))</f>
        <v>#REF!</v>
      </c>
      <c r="DZ143" s="135" t="str">
        <f t="shared" si="64"/>
        <v>#REF!</v>
      </c>
      <c r="EA143" s="142" t="str">
        <f>EXP(-LN(2)/35)*EA142+(1-EXP(-LN(2)/35))/(LN(2)/35)*DW143*DX143*VLOOKUP('Données projet (1)'!$B$14,'Paramètres (1)'!$A$1:$I$88,3,0)*0.475*44/12</f>
        <v>#REF!</v>
      </c>
      <c r="EB143" s="142" t="str">
        <f>EXP(-LN(2)/25)*EB142+(1-EXP(-LN(2)/25))/(LN(2)/25)*'Calculateur (1)'!DW143*'Calculateur (1)'!DY143*VLOOKUP('Données projet (1)'!$B$14,'Paramètres (1)'!$A$1:$I$88,3,0)*0.475*44/12</f>
        <v>#REF!</v>
      </c>
      <c r="EC143" s="142" t="str">
        <f>EXP(-LN(2)/2)*EC142+(1-EXP(-LN(2)/2))/(LN(2)/2)*DW143*DZ143*VLOOKUP('Données projet (1)'!$B$14,'Paramètres (1)'!$A$1:$I$88,3,0)*0.475*44/12</f>
        <v>#REF!</v>
      </c>
      <c r="ED143" s="143" t="str">
        <f t="shared" si="65"/>
        <v>#REF!</v>
      </c>
      <c r="EE143" s="139" t="str">
        <f t="shared" si="66"/>
        <v>#REF!</v>
      </c>
      <c r="EF143" s="131">
        <f t="shared" si="67"/>
        <v>10</v>
      </c>
      <c r="EG143" s="131" t="str">
        <f t="shared" si="132"/>
        <v>#REF!</v>
      </c>
      <c r="EH143" s="131" t="str">
        <f t="shared" si="68"/>
        <v>#REF!</v>
      </c>
      <c r="EI143" s="131" t="str">
        <f t="array" ref="EI143">INDEX(EH:EH,MIN(IF(ISNUMBER(EH143:EH339),ROW(EH143:EH339),"")))</f>
        <v/>
      </c>
      <c r="EJ143" s="131" t="str">
        <f t="shared" si="133"/>
        <v>#REF!</v>
      </c>
      <c r="EK143" s="138" t="str">
        <f>EJ143*VLOOKUP('Données projet (1)'!$B$15,'Paramètres (1)'!$A$1:$I$88,3,0)*VLOOKUP('Données projet (1)'!$B$15,'Paramètres (1)'!$A$1:$I$88,5,0)</f>
        <v>#REF!</v>
      </c>
      <c r="EL143" s="130" t="str">
        <f t="shared" si="134"/>
        <v>#REF!</v>
      </c>
      <c r="EM143" s="141" t="str">
        <f t="shared" si="69"/>
        <v>#REF!</v>
      </c>
      <c r="EN143" s="133" t="str">
        <f t="shared" si="70"/>
        <v>#REF!</v>
      </c>
      <c r="EO143" s="133" t="str">
        <f t="shared" si="71"/>
        <v>#REF!</v>
      </c>
      <c r="EP143" s="133" t="str">
        <f t="shared" si="135"/>
        <v>#REF!</v>
      </c>
      <c r="EQ143" s="134" t="str">
        <f t="shared" si="72"/>
        <v>#REF!</v>
      </c>
      <c r="ER143" s="134" t="str">
        <f t="shared" si="73"/>
        <v>#REF!</v>
      </c>
      <c r="ES143" s="135" t="str">
        <f>IF(ISNA(VLOOKUP(A143,'Données projet (1)'!$A$191:$I$211,5,0)),0%,VLOOKUP(A143,'Données projet (1)'!$A$191:$I$211,5,0)*VLOOKUP('Données projet (1)'!$B$15,'Paramètres (1)'!$A$1:$I$88,7,0))</f>
        <v>#REF!</v>
      </c>
      <c r="ET143" s="135" t="str">
        <f>IF(ISNA(VLOOKUP(A143,'Données projet (1)'!$A$191:$I$211,6,0)),0%,VLOOKUP(A143,'Données projet (1)'!$A$191:$I$211,6,0)*VLOOKUP('Données projet (1)'!$B$15,'Paramètres (1)'!$A$1:$I$88,7,0))</f>
        <v>#REF!</v>
      </c>
      <c r="EU143" s="135" t="str">
        <f t="shared" si="74"/>
        <v>#REF!</v>
      </c>
      <c r="EV143" s="142" t="str">
        <f>EXP(-LN(2)/35)*EV142+(1-EXP(-LN(2)/35))/(LN(2)/35)*ER143*ES143*VLOOKUP('Données projet (1)'!$B$15,'Paramètres (1)'!$A$1:$I$88,3,0)*0.475*44/12</f>
        <v>#REF!</v>
      </c>
      <c r="EW143" s="142" t="str">
        <f>EXP(-LN(2)/25)*EW142+(1-EXP(-LN(2)/25))/(LN(2)/25)*'Calculateur (1)'!ER143*'Calculateur (1)'!ET143*VLOOKUP('Données projet (1)'!$B$15,'Paramètres (1)'!$A$1:$I$88,3,0)*0.475*44/12</f>
        <v>#REF!</v>
      </c>
      <c r="EX143" s="142" t="str">
        <f>EXP(-LN(2)/2)*EX142+(1-EXP(-LN(2)/2))/(LN(2)/2)*ER143*EU143*VLOOKUP('Données projet (1)'!$B$15,'Paramètres (1)'!$A$1:$I$88,3,0)*0.475*44/12</f>
        <v>#REF!</v>
      </c>
      <c r="EY143" s="143" t="str">
        <f t="shared" si="75"/>
        <v>#REF!</v>
      </c>
      <c r="EZ143" s="139" t="str">
        <f t="shared" si="76"/>
        <v>#REF!</v>
      </c>
      <c r="FA143" s="131">
        <f t="shared" si="77"/>
        <v>10</v>
      </c>
      <c r="FB143" s="131" t="str">
        <f t="shared" si="136"/>
        <v>#REF!</v>
      </c>
      <c r="FC143" s="131" t="str">
        <f t="shared" si="78"/>
        <v>#REF!</v>
      </c>
      <c r="FD143" s="131" t="str">
        <f t="array" ref="FD143">INDEX(FC:FC,MIN(IF(ISNUMBER(FC143:FC339),ROW(FC143:FC339),"")))</f>
        <v/>
      </c>
      <c r="FE143" s="131" t="str">
        <f t="shared" si="137"/>
        <v>#REF!</v>
      </c>
      <c r="FF143" s="138" t="str">
        <f>FE143*VLOOKUP('Données projet (1)'!$B$16,'Paramètres (1)'!$A$1:$I$88,3,0)*VLOOKUP('Données projet (1)'!$B$16,'Paramètres (1)'!$A$1:$I$88,5,0)</f>
        <v>#REF!</v>
      </c>
      <c r="FG143" s="130" t="str">
        <f t="shared" si="138"/>
        <v>#REF!</v>
      </c>
      <c r="FH143" s="141" t="str">
        <f t="shared" si="79"/>
        <v>#REF!</v>
      </c>
      <c r="FI143" s="133" t="str">
        <f t="shared" si="80"/>
        <v>#REF!</v>
      </c>
      <c r="FJ143" s="133" t="str">
        <f t="shared" si="81"/>
        <v>#REF!</v>
      </c>
      <c r="FK143" s="133" t="str">
        <f t="shared" si="139"/>
        <v>#REF!</v>
      </c>
      <c r="FL143" s="134" t="str">
        <f t="shared" si="82"/>
        <v>#REF!</v>
      </c>
      <c r="FM143" s="134" t="str">
        <f t="shared" si="83"/>
        <v>#REF!</v>
      </c>
      <c r="FN143" s="135" t="str">
        <f>IF(ISNA(VLOOKUP(A143,'Données projet (1)'!$A$217:$I$237,5,0)),0%,VLOOKUP(A143,'Données projet (1)'!$A$217:$I$237,5,0)*VLOOKUP('Données projet (1)'!$B$16,'Paramètres (1)'!$A$1:$I$88,7,0))</f>
        <v>#REF!</v>
      </c>
      <c r="FO143" s="135" t="str">
        <f>IF(ISNA(VLOOKUP(A143,'Données projet (1)'!$A$217:$I$237,6,0)),0%,VLOOKUP(A143,'Données projet (1)'!$A$217:$I$237,6,0)*VLOOKUP('Données projet (1)'!$B$16,'Paramètres (1)'!$A$1:$I$88,7,0))</f>
        <v>#REF!</v>
      </c>
      <c r="FP143" s="135" t="str">
        <f t="shared" si="84"/>
        <v>#REF!</v>
      </c>
      <c r="FQ143" s="142" t="str">
        <f>EXP(-LN(2)/35)*FQ142+(1-EXP(-LN(2)/35))/(LN(2)/35)*FM143*FN143*VLOOKUP('Données projet (1)'!$B$16,'Paramètres (1)'!$A$1:$I$88,3,0)*0.475*44/12</f>
        <v>#REF!</v>
      </c>
      <c r="FR143" s="142" t="str">
        <f>EXP(-LN(2)/25)*FR142+(1-EXP(-LN(2)/25))/(LN(2)/25)*'Calculateur (1)'!FM143*'Calculateur (1)'!FO143*VLOOKUP('Données projet (1)'!$B$16,'Paramètres (1)'!$A$1:$I$88,3,0)*0.475*44/12</f>
        <v>#REF!</v>
      </c>
      <c r="FS143" s="142" t="str">
        <f>EXP(-LN(2)/2)*FS142+(1-EXP(-LN(2)/2))/(LN(2)/2)*FM143*FP143*VLOOKUP('Données projet (1)'!$B$16,'Paramètres (1)'!$A$1:$I$88,3,0)*0.475*44/12</f>
        <v>#REF!</v>
      </c>
      <c r="FT143" s="143" t="str">
        <f t="shared" si="85"/>
        <v>#REF!</v>
      </c>
      <c r="FU143" s="139" t="str">
        <f t="shared" si="86"/>
        <v>#REF!</v>
      </c>
      <c r="FV143" s="131">
        <f t="shared" si="87"/>
        <v>10</v>
      </c>
      <c r="FW143" s="131" t="str">
        <f t="shared" si="140"/>
        <v>#REF!</v>
      </c>
      <c r="FX143" s="131" t="str">
        <f t="shared" si="88"/>
        <v>#REF!</v>
      </c>
      <c r="FY143" s="131" t="str">
        <f t="array" ref="FY143">INDEX(FX:FX,MIN(IF(ISNUMBER(FX143:FX339),ROW(FX143:FX339),"")))</f>
        <v/>
      </c>
      <c r="FZ143" s="131" t="str">
        <f t="shared" si="141"/>
        <v>#REF!</v>
      </c>
      <c r="GA143" s="138" t="str">
        <f>FZ143*VLOOKUP('Données projet (1)'!$B$17,'Paramètres (1)'!$A$1:$I$88,3,0)*VLOOKUP('Données projet (1)'!$B$17,'Paramètres (1)'!$A$1:$I$88,5,0)</f>
        <v>#REF!</v>
      </c>
      <c r="GB143" s="130" t="str">
        <f t="shared" si="142"/>
        <v>#REF!</v>
      </c>
      <c r="GC143" s="141" t="str">
        <f t="shared" si="89"/>
        <v>#REF!</v>
      </c>
      <c r="GD143" s="133" t="str">
        <f t="shared" si="90"/>
        <v>#REF!</v>
      </c>
      <c r="GE143" s="133" t="str">
        <f t="shared" si="91"/>
        <v>#REF!</v>
      </c>
      <c r="GF143" s="133" t="str">
        <f t="shared" si="143"/>
        <v>#REF!</v>
      </c>
      <c r="GG143" s="134" t="str">
        <f t="shared" si="92"/>
        <v>#REF!</v>
      </c>
      <c r="GH143" s="134" t="str">
        <f t="shared" si="93"/>
        <v>#REF!</v>
      </c>
      <c r="GI143" s="135" t="str">
        <f>IF(ISNA(VLOOKUP(A143,'Données projet (1)'!$A$243:$I$263,5,0)),0%,VLOOKUP(A143,'Données projet (1)'!$A$243:$I$263,5,0)*VLOOKUP('Données projet (1)'!$B$17,'Paramètres (1)'!$A$1:$I$88,7,0))</f>
        <v>#REF!</v>
      </c>
      <c r="GJ143" s="135" t="str">
        <f>IF(ISNA(VLOOKUP(A143,'Données projet (1)'!$A$243:$I$263,6,0)),0%,VLOOKUP(A143,'Données projet (1)'!$A$243:$I$263,6,0)*VLOOKUP('Données projet (1)'!$B$17,'Paramètres (1)'!$A$1:$I$88,7,0))</f>
        <v>#REF!</v>
      </c>
      <c r="GK143" s="135" t="str">
        <f t="shared" si="94"/>
        <v>#REF!</v>
      </c>
      <c r="GL143" s="142" t="str">
        <f>EXP(-LN(2)/35)*GL142+(1-EXP(-LN(2)/35))/(LN(2)/35)*GH143*GI143*VLOOKUP('Données projet (1)'!$B$17,'Paramètres (1)'!$A$1:$I$88,3,0)*0.475*44/12</f>
        <v>#REF!</v>
      </c>
      <c r="GM143" s="142" t="str">
        <f>EXP(-LN(2)/25)*GM142+(1-EXP(-LN(2)/25))/(LN(2)/25)*'Calculateur (1)'!GH143*'Calculateur (1)'!GJ143*VLOOKUP('Données projet (1)'!$B$17,'Paramètres (1)'!$A$1:$I$88,3,0)*0.475*44/12</f>
        <v>#REF!</v>
      </c>
      <c r="GN143" s="142" t="str">
        <f>EXP(-LN(2)/2)*GN142+(1-EXP(-LN(2)/2))/(LN(2)/2)*GH143*GK143*VLOOKUP('Données projet (1)'!$B$17,'Paramètres (1)'!$A$1:$I$88,3,0)*0.475*44/12</f>
        <v>#REF!</v>
      </c>
      <c r="GO143" s="142" t="str">
        <f t="shared" si="95"/>
        <v>#REF!</v>
      </c>
      <c r="GP143" s="139" t="str">
        <f t="shared" si="96"/>
        <v>#REF!</v>
      </c>
      <c r="GQ143" s="131">
        <f t="shared" si="97"/>
        <v>10</v>
      </c>
      <c r="GR143" s="131" t="str">
        <f t="shared" si="144"/>
        <v>#REF!</v>
      </c>
      <c r="GS143" s="131" t="str">
        <f t="shared" si="98"/>
        <v>#REF!</v>
      </c>
      <c r="GT143" s="131" t="str">
        <f t="array" ref="GT143">INDEX(GS:GS,MIN(IF(ISNUMBER(GS143:GS339),ROW(GS143:GS339),"")))</f>
        <v/>
      </c>
      <c r="GU143" s="131" t="str">
        <f t="shared" si="145"/>
        <v>#REF!</v>
      </c>
      <c r="GV143" s="138" t="str">
        <f>GU143*VLOOKUP('Données projet (1)'!$B$18,'Paramètres (1)'!$A$1:$I$88,3,0)*VLOOKUP('Données projet (1)'!$B$18,'Paramètres (1)'!$A$1:$I$88,5,0)</f>
        <v>#REF!</v>
      </c>
      <c r="GW143" s="130" t="str">
        <f t="shared" si="146"/>
        <v>#REF!</v>
      </c>
      <c r="GX143" s="141" t="str">
        <f t="shared" si="99"/>
        <v>#REF!</v>
      </c>
      <c r="GY143" s="133" t="str">
        <f t="shared" si="100"/>
        <v>#REF!</v>
      </c>
      <c r="GZ143" s="133" t="str">
        <f t="shared" si="101"/>
        <v>#REF!</v>
      </c>
      <c r="HA143" s="133" t="str">
        <f t="shared" si="147"/>
        <v>#REF!</v>
      </c>
      <c r="HB143" s="134" t="str">
        <f t="shared" si="102"/>
        <v>#REF!</v>
      </c>
      <c r="HC143" s="134" t="str">
        <f t="shared" si="103"/>
        <v>#REF!</v>
      </c>
      <c r="HD143" s="135" t="str">
        <f>IF(ISNA(VLOOKUP(A143,'Données projet (1)'!$A$269:$I$289,5,0)),0%,VLOOKUP(A143,'Données projet (1)'!$A$269:$I$289,5,0)*VLOOKUP('Données projet (1)'!$B$18,'Paramètres (1)'!$A$1:$I$88,7,0))</f>
        <v>#REF!</v>
      </c>
      <c r="HE143" s="135" t="str">
        <f>IF(ISNA(VLOOKUP(A143,'Données projet (1)'!$A$269:$I$289,6,0)),0%,VLOOKUP(A143,'Données projet (1)'!$A$269:$I$289,6,0)*VLOOKUP('Données projet (1)'!$B$18,'Paramètres (1)'!$A$1:$I$88,7,0))</f>
        <v>#REF!</v>
      </c>
      <c r="HF143" s="135" t="str">
        <f t="shared" si="104"/>
        <v>#REF!</v>
      </c>
      <c r="HG143" s="142" t="str">
        <f>EXP(-LN(2)/35)*HG142+(1-EXP(-LN(2)/35))/(LN(2)/35)*HC143*HD143*VLOOKUP('Données projet (1)'!$B$18,'Paramètres (1)'!$A$1:$I$88,3,0)*0.475*44/12</f>
        <v>#REF!</v>
      </c>
      <c r="HH143" s="142" t="str">
        <f>EXP(-LN(2)/25)*HH142+(1-EXP(-LN(2)/25))/(LN(2)/25)*'Calculateur (1)'!HC143*'Calculateur (1)'!HE143*VLOOKUP('Données projet (1)'!$B$18,'Paramètres (1)'!$A$1:$I$88,3,0)*0.475*44/12</f>
        <v>#REF!</v>
      </c>
      <c r="HI143" s="142" t="str">
        <f>EXP(-LN(2)/2)*HI142+(1-EXP(-LN(2)/2))/(LN(2)/2)*HC143*HF143*VLOOKUP('Données projet (1)'!$B$18,'Paramètres (1)'!$A$1:$I$88,3,0)*0.475*44/12</f>
        <v>#REF!</v>
      </c>
      <c r="HJ143" s="143" t="str">
        <f t="shared" si="105"/>
        <v>#REF!</v>
      </c>
    </row>
    <row r="144" ht="14.25" customHeight="1">
      <c r="A144" s="125">
        <f t="shared" si="106"/>
        <v>141</v>
      </c>
      <c r="B144" s="126" t="str">
        <f t="shared" si="1"/>
        <v>#REF!</v>
      </c>
      <c r="C144" s="140" t="str">
        <f>'Calculateur (1)'!C143+'Scénario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4" s="127">
        <f t="shared" si="107"/>
        <v>0</v>
      </c>
      <c r="E144" s="127" t="str">
        <f t="shared" si="2"/>
        <v>#REF!</v>
      </c>
      <c r="F144" s="127" t="str">
        <f t="shared" si="3"/>
        <v>#REF!</v>
      </c>
      <c r="G144" s="127" t="str">
        <f t="shared" si="4"/>
        <v>#REF!</v>
      </c>
      <c r="H144" s="128" t="str">
        <f t="shared" si="5"/>
        <v>#REF!</v>
      </c>
      <c r="I144" s="129" t="str">
        <f t="shared" si="6"/>
        <v>#REF!</v>
      </c>
      <c r="J144" s="130">
        <f t="shared" si="7"/>
        <v>10</v>
      </c>
      <c r="K144" s="131" t="str">
        <f t="shared" si="108"/>
        <v>#REF!</v>
      </c>
      <c r="L144" s="131" t="str">
        <f t="shared" si="8"/>
        <v>#REF!</v>
      </c>
      <c r="M144" s="131" t="str">
        <f t="array" ref="M144">INDEX(L:L,MIN(IF(ISNUMBER(L144:L340),ROW(L144:L340),"")))</f>
        <v/>
      </c>
      <c r="N144" s="130" t="str">
        <f t="shared" si="109"/>
        <v>#REF!</v>
      </c>
      <c r="O144" s="130" t="str">
        <f>N144*VLOOKUP('Données projet (1)'!$B$9,'Paramètres (1)'!$A$1:$I$88,3,0)*VLOOKUP('Données projet (1)'!$B$9,'Paramètres (1)'!$A$1:$I$88,5,0)</f>
        <v>#REF!</v>
      </c>
      <c r="P144" s="130" t="str">
        <f t="shared" si="110"/>
        <v>#REF!</v>
      </c>
      <c r="Q144" s="141" t="str">
        <f t="shared" si="9"/>
        <v>#REF!</v>
      </c>
      <c r="R144" s="133" t="str">
        <f t="shared" si="10"/>
        <v>#REF!</v>
      </c>
      <c r="S144" s="133" t="str">
        <f t="shared" si="11"/>
        <v>#REF!</v>
      </c>
      <c r="T144" s="133" t="str">
        <f t="shared" si="111"/>
        <v>#REF!</v>
      </c>
      <c r="U144" s="134" t="str">
        <f t="shared" si="12"/>
        <v>#REF!</v>
      </c>
      <c r="V144" s="134" t="str">
        <f t="shared" si="13"/>
        <v>#REF!</v>
      </c>
      <c r="W144" s="135" t="str">
        <f>IF(ISNA(VLOOKUP(A144,'Données projet (1)'!$A$35:$I$55,5,0)),0%,VLOOKUP(A144,'Données projet (1)'!$A$35:$I$55,5,0)*VLOOKUP('Données projet (1)'!$B$9,'Paramètres (1)'!$A$1:$I$88,7,0))</f>
        <v>#REF!</v>
      </c>
      <c r="X144" s="135" t="str">
        <f>IF(ISNA(VLOOKUP(A144,'Données projet (1)'!$A$35:$I$55,6,0)),0%,VLOOKUP(A144,'Données projet (1)'!$A$35:$I$55,6,0)*VLOOKUP('Données projet (1)'!$B$9,'Paramètres (1)'!$A$1:$I$88,7,0))</f>
        <v>#REF!</v>
      </c>
      <c r="Y144" s="135" t="str">
        <f t="shared" si="14"/>
        <v>#REF!</v>
      </c>
      <c r="Z144" s="142" t="str">
        <f>EXP(-LN(2)/35)*Z143+(1-EXP(-LN(2)/35))/(LN(2)/35)*V144*W144*VLOOKUP('Données projet (1)'!$B$9,'Paramètres (1)'!$A$1:$I$88,3,0)*0.475*44/12</f>
        <v>#REF!</v>
      </c>
      <c r="AA144" s="142" t="str">
        <f>EXP(-LN(2)/25)*AA143+(1-EXP(-LN(2)/25))/(LN(2)/25)*'Calculateur (1)'!V144*'Calculateur (1)'!X144*VLOOKUP('Données projet (1)'!$B$9,'Paramètres (1)'!$A$1:$I$88,3,0)*0.475*44/12</f>
        <v>#REF!</v>
      </c>
      <c r="AB144" s="142" t="str">
        <f>EXP(-LN(2)/2)*AB143+(1-EXP(-LN(2)/2))/(LN(2)/2)*V144*Y144*VLOOKUP('Données projet (1)'!$B$9,'Paramètres (1)'!$A$1:$I$88,3,0)*0.475*44/12</f>
        <v>#REF!</v>
      </c>
      <c r="AC144" s="143" t="str">
        <f t="shared" si="15"/>
        <v>#REF!</v>
      </c>
      <c r="AD144" s="130" t="str">
        <f t="shared" si="16"/>
        <v>#REF!</v>
      </c>
      <c r="AE144" s="130">
        <f t="shared" si="17"/>
        <v>10</v>
      </c>
      <c r="AF144" s="131" t="str">
        <f t="shared" si="112"/>
        <v>#REF!</v>
      </c>
      <c r="AG144" s="131" t="str">
        <f t="shared" si="18"/>
        <v>#REF!</v>
      </c>
      <c r="AH144" s="131" t="str">
        <f t="array" ref="AH144">INDEX(AG:AG,MIN(IF(ISNUMBER(AG144:AG340),ROW(AG144:AG340),"")))</f>
        <v/>
      </c>
      <c r="AI144" s="130" t="str">
        <f t="shared" si="113"/>
        <v>#REF!</v>
      </c>
      <c r="AJ144" s="130" t="str">
        <f>AI144*VLOOKUP('Données projet (1)'!$B$10,'Paramètres (1)'!$A$1:$I$88,3,0)*VLOOKUP('Données projet (1)'!$B$10,'Paramètres (1)'!$A$1:$I$88,5,0)</f>
        <v>#REF!</v>
      </c>
      <c r="AK144" s="130" t="str">
        <f t="shared" si="114"/>
        <v>#REF!</v>
      </c>
      <c r="AL144" s="141" t="str">
        <f t="shared" si="19"/>
        <v>#REF!</v>
      </c>
      <c r="AM144" s="133" t="str">
        <f t="shared" si="20"/>
        <v>#REF!</v>
      </c>
      <c r="AN144" s="133" t="str">
        <f t="shared" si="21"/>
        <v>#REF!</v>
      </c>
      <c r="AO144" s="133" t="str">
        <f t="shared" si="115"/>
        <v>#REF!</v>
      </c>
      <c r="AP144" s="134" t="str">
        <f t="shared" si="22"/>
        <v>#REF!</v>
      </c>
      <c r="AQ144" s="134" t="str">
        <f t="shared" si="23"/>
        <v>#REF!</v>
      </c>
      <c r="AR144" s="135" t="str">
        <f>IF(ISNA(VLOOKUP(A144,'Données projet (1)'!$A$61:$I$81,5,0)),0%,VLOOKUP(A144,'Données projet (1)'!$A$61:$I$81,5,0)*VLOOKUP('Données projet (1)'!$B$10,'Paramètres (1)'!$A$1:$I$88,7,0))</f>
        <v>#REF!</v>
      </c>
      <c r="AS144" s="135" t="str">
        <f>IF(ISNA(VLOOKUP(A144,'Données projet (1)'!$A$61:$I$81,6,0)),0%,VLOOKUP(A144,'Données projet (1)'!$A$61:$I$81,6,0)*VLOOKUP('Données projet (1)'!$B$10,'Paramètres (1)'!$A$1:$I$88,7,0))</f>
        <v>#REF!</v>
      </c>
      <c r="AT144" s="135" t="str">
        <f t="shared" si="24"/>
        <v>#REF!</v>
      </c>
      <c r="AU144" s="142" t="str">
        <f>EXP(-LN(2)/35)*AU143+(1-EXP(-LN(2)/35))/(LN(2)/35)*AQ144*AR144*VLOOKUP('Données projet (1)'!$B$10,'Paramètres (1)'!$A$1:$I$88,3,0)*0.475*44/12</f>
        <v>#REF!</v>
      </c>
      <c r="AV144" s="142" t="str">
        <f>EXP(-LN(2)/25)*AV143+(1-EXP(-LN(2)/25))/(LN(2)/25)*'Calculateur (1)'!AQ144*'Calculateur (1)'!AS144*VLOOKUP('Données projet (1)'!$B$10,'Paramètres (1)'!$A$1:$I$88,3,0)*0.475*44/12</f>
        <v>#REF!</v>
      </c>
      <c r="AW144" s="142" t="str">
        <f>EXP(-LN(2)/2)*AW143+(1-EXP(-LN(2)/2))/(LN(2)/2)*AQ144*AT144*VLOOKUP('Données projet (1)'!$B$10,'Paramètres (1)'!$A$1:$I$88,3,0)*0.475*44/12</f>
        <v>#REF!</v>
      </c>
      <c r="AX144" s="142" t="str">
        <f t="shared" si="25"/>
        <v>#REF!</v>
      </c>
      <c r="AY144" s="137" t="str">
        <f t="shared" si="26"/>
        <v>#REF!</v>
      </c>
      <c r="AZ144" s="131">
        <f t="shared" si="27"/>
        <v>10</v>
      </c>
      <c r="BA144" s="131" t="str">
        <f t="shared" si="116"/>
        <v>#REF!</v>
      </c>
      <c r="BB144" s="131" t="str">
        <f t="shared" si="28"/>
        <v>#REF!</v>
      </c>
      <c r="BC144" s="131" t="str">
        <f t="array" ref="BC144">INDEX(BB:BB,MIN(IF(ISNUMBER(BB144:BB340),ROW(BB144:BB340),"")))</f>
        <v/>
      </c>
      <c r="BD144" s="131" t="str">
        <f t="shared" si="117"/>
        <v>#REF!</v>
      </c>
      <c r="BE144" s="130" t="str">
        <f>BD144*VLOOKUP('Données projet (1)'!$B$11,'Paramètres (1)'!$A$1:$I$88,3,0)*VLOOKUP('Données projet (1)'!$B$11,'Paramètres (1)'!$A$1:$I$88,5,0)</f>
        <v>#REF!</v>
      </c>
      <c r="BF144" s="130" t="str">
        <f t="shared" si="118"/>
        <v>#REF!</v>
      </c>
      <c r="BG144" s="141" t="str">
        <f t="shared" si="29"/>
        <v>#REF!</v>
      </c>
      <c r="BH144" s="133" t="str">
        <f t="shared" si="30"/>
        <v>#REF!</v>
      </c>
      <c r="BI144" s="133" t="str">
        <f t="shared" si="31"/>
        <v>#REF!</v>
      </c>
      <c r="BJ144" s="133" t="str">
        <f t="shared" si="119"/>
        <v>#REF!</v>
      </c>
      <c r="BK144" s="134" t="str">
        <f t="shared" si="32"/>
        <v>#REF!</v>
      </c>
      <c r="BL144" s="134" t="str">
        <f t="shared" si="33"/>
        <v>#REF!</v>
      </c>
      <c r="BM144" s="135" t="str">
        <f>IF(ISNA(VLOOKUP(A144,'Données projet (1)'!$A$87:$I$107,5,0)),0%,VLOOKUP(A144,'Données projet (1)'!$A$87:$I$107,5,0)*VLOOKUP('Données projet (1)'!$B$11,'Paramètres (1)'!$A$1:$I$88,7,0))</f>
        <v>#REF!</v>
      </c>
      <c r="BN144" s="135" t="str">
        <f>IF(ISNA(VLOOKUP(A144,'Données projet (1)'!$A$87:$I$107,6,0)),0%,VLOOKUP(A144,'Données projet (1)'!$A$87:$I$107,6,0)*VLOOKUP('Données projet (1)'!$B$11,'Paramètres (1)'!$A$1:$I$88,7,0))</f>
        <v>#REF!</v>
      </c>
      <c r="BO144" s="135" t="str">
        <f t="shared" si="34"/>
        <v>#REF!</v>
      </c>
      <c r="BP144" s="142" t="str">
        <f>EXP(-LN(2)/35)*BP143+(1-EXP(-LN(2)/35))/(LN(2)/35)*BL144*BM144*VLOOKUP('Données projet (1)'!$B$11,'Paramètres (1)'!$A$1:$I$88,3,0)*0.475*44/12</f>
        <v>#REF!</v>
      </c>
      <c r="BQ144" s="142" t="str">
        <f>EXP(-LN(2)/25)*BQ143+(1-EXP(-LN(2)/25))/(LN(2)/25)*'Calculateur (1)'!BL144*'Calculateur (1)'!BN144*VLOOKUP('Données projet (1)'!$B$11,'Paramètres (1)'!$A$1:$I$88,3,0)*0.475*44/12</f>
        <v>#REF!</v>
      </c>
      <c r="BR144" s="142" t="str">
        <f>EXP(-LN(2)/2)*BR143+(1-EXP(-LN(2)/2))/(LN(2)/2)*BL144*BO144*VLOOKUP('Données projet (1)'!$B$11,'Paramètres (1)'!$A$1:$I$88,3,0)*0.475*44/12</f>
        <v>#REF!</v>
      </c>
      <c r="BS144" s="143" t="str">
        <f t="shared" si="35"/>
        <v>#REF!</v>
      </c>
      <c r="BT144" s="139" t="str">
        <f t="shared" si="36"/>
        <v>#REF!</v>
      </c>
      <c r="BU144" s="131">
        <f t="shared" si="37"/>
        <v>10</v>
      </c>
      <c r="BV144" s="131" t="str">
        <f t="shared" si="120"/>
        <v>#REF!</v>
      </c>
      <c r="BW144" s="131" t="str">
        <f t="shared" si="38"/>
        <v>#REF!</v>
      </c>
      <c r="BX144" s="131" t="str">
        <f t="array" ref="BX144">INDEX(BW:BW,MIN(IF(ISNUMBER(BW144:BW340),ROW(BW144:BW340),"")))</f>
        <v/>
      </c>
      <c r="BY144" s="131" t="str">
        <f t="shared" si="121"/>
        <v>#REF!</v>
      </c>
      <c r="BZ144" s="130" t="str">
        <f>BY144*VLOOKUP('Données projet (1)'!$B$12,'Paramètres (1)'!$A$1:$I$88,3,0)*VLOOKUP('Données projet (1)'!$B$12,'Paramètres (1)'!$A$1:$I$88,5,0)</f>
        <v>#REF!</v>
      </c>
      <c r="CA144" s="130" t="str">
        <f t="shared" si="122"/>
        <v>#REF!</v>
      </c>
      <c r="CB144" s="141" t="str">
        <f t="shared" si="39"/>
        <v>#REF!</v>
      </c>
      <c r="CC144" s="133" t="str">
        <f t="shared" si="40"/>
        <v>#REF!</v>
      </c>
      <c r="CD144" s="133" t="str">
        <f t="shared" si="41"/>
        <v>#REF!</v>
      </c>
      <c r="CE144" s="133" t="str">
        <f t="shared" si="123"/>
        <v>#REF!</v>
      </c>
      <c r="CF144" s="134" t="str">
        <f t="shared" si="42"/>
        <v>#REF!</v>
      </c>
      <c r="CG144" s="134" t="str">
        <f t="shared" si="43"/>
        <v>#REF!</v>
      </c>
      <c r="CH144" s="135" t="str">
        <f>IF(ISNA(VLOOKUP(A144,'Données projet (1)'!$A$113:$I$133,5,0)),0%,VLOOKUP(A144,'Données projet (1)'!$A$113:$I$133,5,0)*VLOOKUP('Données projet (1)'!$B$12,'Paramètres (1)'!$A$1:$I$88,7,0))</f>
        <v>#REF!</v>
      </c>
      <c r="CI144" s="135" t="str">
        <f>IF(ISNA(VLOOKUP(A144,'Données projet (1)'!$A$113:$I$133,6,0)),0%,VLOOKUP(A144,'Données projet (1)'!$A$113:$I$133,6,0)*VLOOKUP('Données projet (1)'!$B$12,'Paramètres (1)'!$A$1:$I$88,7,0))</f>
        <v>#REF!</v>
      </c>
      <c r="CJ144" s="135" t="str">
        <f t="shared" si="44"/>
        <v>#REF!</v>
      </c>
      <c r="CK144" s="142" t="str">
        <f>EXP(-LN(2)/35)*CK143+(1-EXP(-LN(2)/35))/(LN(2)/35)*CG144*CH144*VLOOKUP('Données projet (1)'!$B$12,'Paramètres (1)'!$A$1:$I$88,3,0)*0.475*44/12</f>
        <v>#REF!</v>
      </c>
      <c r="CL144" s="142" t="str">
        <f>EXP(-LN(2)/25)*CL143+(1-EXP(-LN(2)/25))/(LN(2)/25)*'Calculateur (1)'!CG144*'Calculateur (1)'!CI144*VLOOKUP('Données projet (1)'!$B$12,'Paramètres (1)'!$A$1:$I$88,3,0)*0.475*44/12</f>
        <v>#REF!</v>
      </c>
      <c r="CM144" s="142" t="str">
        <f>EXP(-LN(2)/2)*CM143+(1-EXP(-LN(2)/2))/(LN(2)/2)*CG144*CJ144*VLOOKUP('Données projet (1)'!$B$12,'Paramètres (1)'!$A$1:$I$88,3,0)*0.475*44/12</f>
        <v>#REF!</v>
      </c>
      <c r="CN144" s="143" t="str">
        <f t="shared" si="45"/>
        <v>#REF!</v>
      </c>
      <c r="CO144" s="139" t="str">
        <f t="shared" si="46"/>
        <v>#REF!</v>
      </c>
      <c r="CP144" s="131">
        <f t="shared" si="47"/>
        <v>10</v>
      </c>
      <c r="CQ144" s="131" t="str">
        <f t="shared" si="124"/>
        <v>#REF!</v>
      </c>
      <c r="CR144" s="131" t="str">
        <f t="shared" si="48"/>
        <v>#REF!</v>
      </c>
      <c r="CS144" s="131" t="str">
        <f t="array" ref="CS144">INDEX(CR:CR,MIN(IF(ISNUMBER(CR144:CR340),ROW(CR144:CR340),"")))</f>
        <v/>
      </c>
      <c r="CT144" s="131" t="str">
        <f t="shared" si="125"/>
        <v>#REF!</v>
      </c>
      <c r="CU144" s="138" t="str">
        <f>CT144*VLOOKUP('Données projet (1)'!$B$13,'Paramètres (1)'!$A$1:$I$88,3,0)*VLOOKUP('Données projet (1)'!$B$13,'Paramètres (1)'!$A$1:$I$88,5,0)</f>
        <v>#REF!</v>
      </c>
      <c r="CV144" s="130" t="str">
        <f t="shared" si="126"/>
        <v>#REF!</v>
      </c>
      <c r="CW144" s="141" t="str">
        <f t="shared" si="49"/>
        <v>#REF!</v>
      </c>
      <c r="CX144" s="133" t="str">
        <f t="shared" si="50"/>
        <v>#REF!</v>
      </c>
      <c r="CY144" s="133" t="str">
        <f t="shared" si="51"/>
        <v>#REF!</v>
      </c>
      <c r="CZ144" s="133" t="str">
        <f t="shared" si="127"/>
        <v>#REF!</v>
      </c>
      <c r="DA144" s="134" t="str">
        <f t="shared" si="52"/>
        <v>#REF!</v>
      </c>
      <c r="DB144" s="134" t="str">
        <f t="shared" si="53"/>
        <v>#REF!</v>
      </c>
      <c r="DC144" s="135" t="str">
        <f>IF(ISNA(VLOOKUP(A144,'Données projet (1)'!$A$139:$I$159,5,0)),0%,VLOOKUP(A144,'Données projet (1)'!$A$139:$I$159,5,0)*VLOOKUP('Données projet (1)'!$B$13,'Paramètres (1)'!$A$1:$I$88,7,0))</f>
        <v>#REF!</v>
      </c>
      <c r="DD144" s="135" t="str">
        <f>IF(ISNA(VLOOKUP(A144,'Données projet (1)'!$A$139:$I$159,6,0)),0%,VLOOKUP(A144,'Données projet (1)'!$A$139:$I$159,6,0)*VLOOKUP('Données projet (1)'!$B$13,'Paramètres (1)'!$A$1:$I$88,7,0))</f>
        <v>#REF!</v>
      </c>
      <c r="DE144" s="135" t="str">
        <f t="shared" si="54"/>
        <v>#REF!</v>
      </c>
      <c r="DF144" s="142" t="str">
        <f>EXP(-LN(2)/35)*DF143+(1-EXP(-LN(2)/35))/(LN(2)/35)*DB144*DC144*VLOOKUP('Données projet (1)'!$B$13,'Paramètres (1)'!$A$1:$I$88,3,0)*0.475*44/12</f>
        <v>#REF!</v>
      </c>
      <c r="DG144" s="142" t="str">
        <f>EXP(-LN(2)/25)*DG143+(1-EXP(-LN(2)/25))/(LN(2)/25)*'Calculateur (1)'!DB144*'Calculateur (1)'!DD144*VLOOKUP('Données projet (1)'!$B$13,'Paramètres (1)'!$A$1:$I$88,3,0)*0.475*44/12</f>
        <v>#REF!</v>
      </c>
      <c r="DH144" s="142" t="str">
        <f>EXP(-LN(2)/2)*DH143+(1-EXP(-LN(2)/2))/(LN(2)/2)*DB144*DE144*VLOOKUP('Données projet (1)'!$B$13,'Paramètres (1)'!$A$1:$I$88,3,0)*0.475*44/12</f>
        <v>#REF!</v>
      </c>
      <c r="DI144" s="143" t="str">
        <f t="shared" si="55"/>
        <v>#REF!</v>
      </c>
      <c r="DJ144" s="139" t="str">
        <f t="shared" si="56"/>
        <v>#REF!</v>
      </c>
      <c r="DK144" s="131">
        <f t="shared" si="57"/>
        <v>10</v>
      </c>
      <c r="DL144" s="131" t="str">
        <f t="shared" si="128"/>
        <v>#REF!</v>
      </c>
      <c r="DM144" s="131" t="str">
        <f t="shared" si="58"/>
        <v>#REF!</v>
      </c>
      <c r="DN144" s="131" t="str">
        <f t="array" ref="DN144">INDEX(DM:DM,MIN(IF(ISNUMBER(DM144:DM340),ROW(DM144:DM340),"")))</f>
        <v/>
      </c>
      <c r="DO144" s="131" t="str">
        <f t="shared" si="129"/>
        <v>#REF!</v>
      </c>
      <c r="DP144" s="138" t="str">
        <f>DO144*VLOOKUP('Données projet (1)'!$B$14,'Paramètres (1)'!$A$1:$I$88,3,0)*VLOOKUP('Données projet (1)'!$B$14,'Paramètres (1)'!$A$1:$I$88,5,0)</f>
        <v>#REF!</v>
      </c>
      <c r="DQ144" s="130" t="str">
        <f t="shared" si="130"/>
        <v>#REF!</v>
      </c>
      <c r="DR144" s="141" t="str">
        <f t="shared" si="59"/>
        <v>#REF!</v>
      </c>
      <c r="DS144" s="133" t="str">
        <f t="shared" si="60"/>
        <v>#REF!</v>
      </c>
      <c r="DT144" s="133" t="str">
        <f t="shared" si="61"/>
        <v>#REF!</v>
      </c>
      <c r="DU144" s="133" t="str">
        <f t="shared" si="131"/>
        <v>#REF!</v>
      </c>
      <c r="DV144" s="134" t="str">
        <f t="shared" si="62"/>
        <v>#REF!</v>
      </c>
      <c r="DW144" s="134" t="str">
        <f t="shared" si="63"/>
        <v>#REF!</v>
      </c>
      <c r="DX144" s="135" t="str">
        <f>IF(ISNA(VLOOKUP(A144,'Données projet (1)'!$A$165:$I$185,5,0)),0%,VLOOKUP(A144,'Données projet (1)'!$A$165:$I$185,5,0)*VLOOKUP('Données projet (1)'!$B$14,'Paramètres (1)'!$A$1:$I$88,7,0))</f>
        <v>#REF!</v>
      </c>
      <c r="DY144" s="135" t="str">
        <f>IF(ISNA(VLOOKUP(A144,'Données projet (1)'!$A$165:$I$185,6,0)),0%,VLOOKUP(A144,'Données projet (1)'!$A$165:$I$185,6,0)*VLOOKUP('Données projet (1)'!$B$14,'Paramètres (1)'!$A$1:$I$88,7,0))</f>
        <v>#REF!</v>
      </c>
      <c r="DZ144" s="135" t="str">
        <f t="shared" si="64"/>
        <v>#REF!</v>
      </c>
      <c r="EA144" s="142" t="str">
        <f>EXP(-LN(2)/35)*EA143+(1-EXP(-LN(2)/35))/(LN(2)/35)*DW144*DX144*VLOOKUP('Données projet (1)'!$B$14,'Paramètres (1)'!$A$1:$I$88,3,0)*0.475*44/12</f>
        <v>#REF!</v>
      </c>
      <c r="EB144" s="142" t="str">
        <f>EXP(-LN(2)/25)*EB143+(1-EXP(-LN(2)/25))/(LN(2)/25)*'Calculateur (1)'!DW144*'Calculateur (1)'!DY144*VLOOKUP('Données projet (1)'!$B$14,'Paramètres (1)'!$A$1:$I$88,3,0)*0.475*44/12</f>
        <v>#REF!</v>
      </c>
      <c r="EC144" s="142" t="str">
        <f>EXP(-LN(2)/2)*EC143+(1-EXP(-LN(2)/2))/(LN(2)/2)*DW144*DZ144*VLOOKUP('Données projet (1)'!$B$14,'Paramètres (1)'!$A$1:$I$88,3,0)*0.475*44/12</f>
        <v>#REF!</v>
      </c>
      <c r="ED144" s="143" t="str">
        <f t="shared" si="65"/>
        <v>#REF!</v>
      </c>
      <c r="EE144" s="139" t="str">
        <f t="shared" si="66"/>
        <v>#REF!</v>
      </c>
      <c r="EF144" s="131">
        <f t="shared" si="67"/>
        <v>10</v>
      </c>
      <c r="EG144" s="131" t="str">
        <f t="shared" si="132"/>
        <v>#REF!</v>
      </c>
      <c r="EH144" s="131" t="str">
        <f t="shared" si="68"/>
        <v>#REF!</v>
      </c>
      <c r="EI144" s="131" t="str">
        <f t="array" ref="EI144">INDEX(EH:EH,MIN(IF(ISNUMBER(EH144:EH340),ROW(EH144:EH340),"")))</f>
        <v/>
      </c>
      <c r="EJ144" s="131" t="str">
        <f t="shared" si="133"/>
        <v>#REF!</v>
      </c>
      <c r="EK144" s="138" t="str">
        <f>EJ144*VLOOKUP('Données projet (1)'!$B$15,'Paramètres (1)'!$A$1:$I$88,3,0)*VLOOKUP('Données projet (1)'!$B$15,'Paramètres (1)'!$A$1:$I$88,5,0)</f>
        <v>#REF!</v>
      </c>
      <c r="EL144" s="130" t="str">
        <f t="shared" si="134"/>
        <v>#REF!</v>
      </c>
      <c r="EM144" s="141" t="str">
        <f t="shared" si="69"/>
        <v>#REF!</v>
      </c>
      <c r="EN144" s="133" t="str">
        <f t="shared" si="70"/>
        <v>#REF!</v>
      </c>
      <c r="EO144" s="133" t="str">
        <f t="shared" si="71"/>
        <v>#REF!</v>
      </c>
      <c r="EP144" s="133" t="str">
        <f t="shared" si="135"/>
        <v>#REF!</v>
      </c>
      <c r="EQ144" s="134" t="str">
        <f t="shared" si="72"/>
        <v>#REF!</v>
      </c>
      <c r="ER144" s="134" t="str">
        <f t="shared" si="73"/>
        <v>#REF!</v>
      </c>
      <c r="ES144" s="135" t="str">
        <f>IF(ISNA(VLOOKUP(A144,'Données projet (1)'!$A$191:$I$211,5,0)),0%,VLOOKUP(A144,'Données projet (1)'!$A$191:$I$211,5,0)*VLOOKUP('Données projet (1)'!$B$15,'Paramètres (1)'!$A$1:$I$88,7,0))</f>
        <v>#REF!</v>
      </c>
      <c r="ET144" s="135" t="str">
        <f>IF(ISNA(VLOOKUP(A144,'Données projet (1)'!$A$191:$I$211,6,0)),0%,VLOOKUP(A144,'Données projet (1)'!$A$191:$I$211,6,0)*VLOOKUP('Données projet (1)'!$B$15,'Paramètres (1)'!$A$1:$I$88,7,0))</f>
        <v>#REF!</v>
      </c>
      <c r="EU144" s="135" t="str">
        <f t="shared" si="74"/>
        <v>#REF!</v>
      </c>
      <c r="EV144" s="142" t="str">
        <f>EXP(-LN(2)/35)*EV143+(1-EXP(-LN(2)/35))/(LN(2)/35)*ER144*ES144*VLOOKUP('Données projet (1)'!$B$15,'Paramètres (1)'!$A$1:$I$88,3,0)*0.475*44/12</f>
        <v>#REF!</v>
      </c>
      <c r="EW144" s="142" t="str">
        <f>EXP(-LN(2)/25)*EW143+(1-EXP(-LN(2)/25))/(LN(2)/25)*'Calculateur (1)'!ER144*'Calculateur (1)'!ET144*VLOOKUP('Données projet (1)'!$B$15,'Paramètres (1)'!$A$1:$I$88,3,0)*0.475*44/12</f>
        <v>#REF!</v>
      </c>
      <c r="EX144" s="142" t="str">
        <f>EXP(-LN(2)/2)*EX143+(1-EXP(-LN(2)/2))/(LN(2)/2)*ER144*EU144*VLOOKUP('Données projet (1)'!$B$15,'Paramètres (1)'!$A$1:$I$88,3,0)*0.475*44/12</f>
        <v>#REF!</v>
      </c>
      <c r="EY144" s="143" t="str">
        <f t="shared" si="75"/>
        <v>#REF!</v>
      </c>
      <c r="EZ144" s="139" t="str">
        <f t="shared" si="76"/>
        <v>#REF!</v>
      </c>
      <c r="FA144" s="131">
        <f t="shared" si="77"/>
        <v>10</v>
      </c>
      <c r="FB144" s="131" t="str">
        <f t="shared" si="136"/>
        <v>#REF!</v>
      </c>
      <c r="FC144" s="131" t="str">
        <f t="shared" si="78"/>
        <v>#REF!</v>
      </c>
      <c r="FD144" s="131" t="str">
        <f t="array" ref="FD144">INDEX(FC:FC,MIN(IF(ISNUMBER(FC144:FC340),ROW(FC144:FC340),"")))</f>
        <v/>
      </c>
      <c r="FE144" s="131" t="str">
        <f t="shared" si="137"/>
        <v>#REF!</v>
      </c>
      <c r="FF144" s="138" t="str">
        <f>FE144*VLOOKUP('Données projet (1)'!$B$16,'Paramètres (1)'!$A$1:$I$88,3,0)*VLOOKUP('Données projet (1)'!$B$16,'Paramètres (1)'!$A$1:$I$88,5,0)</f>
        <v>#REF!</v>
      </c>
      <c r="FG144" s="130" t="str">
        <f t="shared" si="138"/>
        <v>#REF!</v>
      </c>
      <c r="FH144" s="141" t="str">
        <f t="shared" si="79"/>
        <v>#REF!</v>
      </c>
      <c r="FI144" s="133" t="str">
        <f t="shared" si="80"/>
        <v>#REF!</v>
      </c>
      <c r="FJ144" s="133" t="str">
        <f t="shared" si="81"/>
        <v>#REF!</v>
      </c>
      <c r="FK144" s="133" t="str">
        <f t="shared" si="139"/>
        <v>#REF!</v>
      </c>
      <c r="FL144" s="134" t="str">
        <f t="shared" si="82"/>
        <v>#REF!</v>
      </c>
      <c r="FM144" s="134" t="str">
        <f t="shared" si="83"/>
        <v>#REF!</v>
      </c>
      <c r="FN144" s="135" t="str">
        <f>IF(ISNA(VLOOKUP(A144,'Données projet (1)'!$A$217:$I$237,5,0)),0%,VLOOKUP(A144,'Données projet (1)'!$A$217:$I$237,5,0)*VLOOKUP('Données projet (1)'!$B$16,'Paramètres (1)'!$A$1:$I$88,7,0))</f>
        <v>#REF!</v>
      </c>
      <c r="FO144" s="135" t="str">
        <f>IF(ISNA(VLOOKUP(A144,'Données projet (1)'!$A$217:$I$237,6,0)),0%,VLOOKUP(A144,'Données projet (1)'!$A$217:$I$237,6,0)*VLOOKUP('Données projet (1)'!$B$16,'Paramètres (1)'!$A$1:$I$88,7,0))</f>
        <v>#REF!</v>
      </c>
      <c r="FP144" s="135" t="str">
        <f t="shared" si="84"/>
        <v>#REF!</v>
      </c>
      <c r="FQ144" s="142" t="str">
        <f>EXP(-LN(2)/35)*FQ143+(1-EXP(-LN(2)/35))/(LN(2)/35)*FM144*FN144*VLOOKUP('Données projet (1)'!$B$16,'Paramètres (1)'!$A$1:$I$88,3,0)*0.475*44/12</f>
        <v>#REF!</v>
      </c>
      <c r="FR144" s="142" t="str">
        <f>EXP(-LN(2)/25)*FR143+(1-EXP(-LN(2)/25))/(LN(2)/25)*'Calculateur (1)'!FM144*'Calculateur (1)'!FO144*VLOOKUP('Données projet (1)'!$B$16,'Paramètres (1)'!$A$1:$I$88,3,0)*0.475*44/12</f>
        <v>#REF!</v>
      </c>
      <c r="FS144" s="142" t="str">
        <f>EXP(-LN(2)/2)*FS143+(1-EXP(-LN(2)/2))/(LN(2)/2)*FM144*FP144*VLOOKUP('Données projet (1)'!$B$16,'Paramètres (1)'!$A$1:$I$88,3,0)*0.475*44/12</f>
        <v>#REF!</v>
      </c>
      <c r="FT144" s="143" t="str">
        <f t="shared" si="85"/>
        <v>#REF!</v>
      </c>
      <c r="FU144" s="139" t="str">
        <f t="shared" si="86"/>
        <v>#REF!</v>
      </c>
      <c r="FV144" s="131">
        <f t="shared" si="87"/>
        <v>10</v>
      </c>
      <c r="FW144" s="131" t="str">
        <f t="shared" si="140"/>
        <v>#REF!</v>
      </c>
      <c r="FX144" s="131" t="str">
        <f t="shared" si="88"/>
        <v>#REF!</v>
      </c>
      <c r="FY144" s="131" t="str">
        <f t="array" ref="FY144">INDEX(FX:FX,MIN(IF(ISNUMBER(FX144:FX340),ROW(FX144:FX340),"")))</f>
        <v/>
      </c>
      <c r="FZ144" s="131" t="str">
        <f t="shared" si="141"/>
        <v>#REF!</v>
      </c>
      <c r="GA144" s="138" t="str">
        <f>FZ144*VLOOKUP('Données projet (1)'!$B$17,'Paramètres (1)'!$A$1:$I$88,3,0)*VLOOKUP('Données projet (1)'!$B$17,'Paramètres (1)'!$A$1:$I$88,5,0)</f>
        <v>#REF!</v>
      </c>
      <c r="GB144" s="130" t="str">
        <f t="shared" si="142"/>
        <v>#REF!</v>
      </c>
      <c r="GC144" s="141" t="str">
        <f t="shared" si="89"/>
        <v>#REF!</v>
      </c>
      <c r="GD144" s="133" t="str">
        <f t="shared" si="90"/>
        <v>#REF!</v>
      </c>
      <c r="GE144" s="133" t="str">
        <f t="shared" si="91"/>
        <v>#REF!</v>
      </c>
      <c r="GF144" s="133" t="str">
        <f t="shared" si="143"/>
        <v>#REF!</v>
      </c>
      <c r="GG144" s="134" t="str">
        <f t="shared" si="92"/>
        <v>#REF!</v>
      </c>
      <c r="GH144" s="134" t="str">
        <f t="shared" si="93"/>
        <v>#REF!</v>
      </c>
      <c r="GI144" s="135" t="str">
        <f>IF(ISNA(VLOOKUP(A144,'Données projet (1)'!$A$243:$I$263,5,0)),0%,VLOOKUP(A144,'Données projet (1)'!$A$243:$I$263,5,0)*VLOOKUP('Données projet (1)'!$B$17,'Paramètres (1)'!$A$1:$I$88,7,0))</f>
        <v>#REF!</v>
      </c>
      <c r="GJ144" s="135" t="str">
        <f>IF(ISNA(VLOOKUP(A144,'Données projet (1)'!$A$243:$I$263,6,0)),0%,VLOOKUP(A144,'Données projet (1)'!$A$243:$I$263,6,0)*VLOOKUP('Données projet (1)'!$B$17,'Paramètres (1)'!$A$1:$I$88,7,0))</f>
        <v>#REF!</v>
      </c>
      <c r="GK144" s="135" t="str">
        <f t="shared" si="94"/>
        <v>#REF!</v>
      </c>
      <c r="GL144" s="142" t="str">
        <f>EXP(-LN(2)/35)*GL143+(1-EXP(-LN(2)/35))/(LN(2)/35)*GH144*GI144*VLOOKUP('Données projet (1)'!$B$17,'Paramètres (1)'!$A$1:$I$88,3,0)*0.475*44/12</f>
        <v>#REF!</v>
      </c>
      <c r="GM144" s="142" t="str">
        <f>EXP(-LN(2)/25)*GM143+(1-EXP(-LN(2)/25))/(LN(2)/25)*'Calculateur (1)'!GH144*'Calculateur (1)'!GJ144*VLOOKUP('Données projet (1)'!$B$17,'Paramètres (1)'!$A$1:$I$88,3,0)*0.475*44/12</f>
        <v>#REF!</v>
      </c>
      <c r="GN144" s="142" t="str">
        <f>EXP(-LN(2)/2)*GN143+(1-EXP(-LN(2)/2))/(LN(2)/2)*GH144*GK144*VLOOKUP('Données projet (1)'!$B$17,'Paramètres (1)'!$A$1:$I$88,3,0)*0.475*44/12</f>
        <v>#REF!</v>
      </c>
      <c r="GO144" s="142" t="str">
        <f t="shared" si="95"/>
        <v>#REF!</v>
      </c>
      <c r="GP144" s="139" t="str">
        <f t="shared" si="96"/>
        <v>#REF!</v>
      </c>
      <c r="GQ144" s="131">
        <f t="shared" si="97"/>
        <v>10</v>
      </c>
      <c r="GR144" s="131" t="str">
        <f t="shared" si="144"/>
        <v>#REF!</v>
      </c>
      <c r="GS144" s="131" t="str">
        <f t="shared" si="98"/>
        <v>#REF!</v>
      </c>
      <c r="GT144" s="131" t="str">
        <f t="array" ref="GT144">INDEX(GS:GS,MIN(IF(ISNUMBER(GS144:GS340),ROW(GS144:GS340),"")))</f>
        <v/>
      </c>
      <c r="GU144" s="131" t="str">
        <f t="shared" si="145"/>
        <v>#REF!</v>
      </c>
      <c r="GV144" s="138" t="str">
        <f>GU144*VLOOKUP('Données projet (1)'!$B$18,'Paramètres (1)'!$A$1:$I$88,3,0)*VLOOKUP('Données projet (1)'!$B$18,'Paramètres (1)'!$A$1:$I$88,5,0)</f>
        <v>#REF!</v>
      </c>
      <c r="GW144" s="130" t="str">
        <f t="shared" si="146"/>
        <v>#REF!</v>
      </c>
      <c r="GX144" s="141" t="str">
        <f t="shared" si="99"/>
        <v>#REF!</v>
      </c>
      <c r="GY144" s="133" t="str">
        <f t="shared" si="100"/>
        <v>#REF!</v>
      </c>
      <c r="GZ144" s="133" t="str">
        <f t="shared" si="101"/>
        <v>#REF!</v>
      </c>
      <c r="HA144" s="133" t="str">
        <f t="shared" si="147"/>
        <v>#REF!</v>
      </c>
      <c r="HB144" s="134" t="str">
        <f t="shared" si="102"/>
        <v>#REF!</v>
      </c>
      <c r="HC144" s="134" t="str">
        <f t="shared" si="103"/>
        <v>#REF!</v>
      </c>
      <c r="HD144" s="135" t="str">
        <f>IF(ISNA(VLOOKUP(A144,'Données projet (1)'!$A$269:$I$289,5,0)),0%,VLOOKUP(A144,'Données projet (1)'!$A$269:$I$289,5,0)*VLOOKUP('Données projet (1)'!$B$18,'Paramètres (1)'!$A$1:$I$88,7,0))</f>
        <v>#REF!</v>
      </c>
      <c r="HE144" s="135" t="str">
        <f>IF(ISNA(VLOOKUP(A144,'Données projet (1)'!$A$269:$I$289,6,0)),0%,VLOOKUP(A144,'Données projet (1)'!$A$269:$I$289,6,0)*VLOOKUP('Données projet (1)'!$B$18,'Paramètres (1)'!$A$1:$I$88,7,0))</f>
        <v>#REF!</v>
      </c>
      <c r="HF144" s="135" t="str">
        <f t="shared" si="104"/>
        <v>#REF!</v>
      </c>
      <c r="HG144" s="142" t="str">
        <f>EXP(-LN(2)/35)*HG143+(1-EXP(-LN(2)/35))/(LN(2)/35)*HC144*HD144*VLOOKUP('Données projet (1)'!$B$18,'Paramètres (1)'!$A$1:$I$88,3,0)*0.475*44/12</f>
        <v>#REF!</v>
      </c>
      <c r="HH144" s="142" t="str">
        <f>EXP(-LN(2)/25)*HH143+(1-EXP(-LN(2)/25))/(LN(2)/25)*'Calculateur (1)'!HC144*'Calculateur (1)'!HE144*VLOOKUP('Données projet (1)'!$B$18,'Paramètres (1)'!$A$1:$I$88,3,0)*0.475*44/12</f>
        <v>#REF!</v>
      </c>
      <c r="HI144" s="142" t="str">
        <f>EXP(-LN(2)/2)*HI143+(1-EXP(-LN(2)/2))/(LN(2)/2)*HC144*HF144*VLOOKUP('Données projet (1)'!$B$18,'Paramètres (1)'!$A$1:$I$88,3,0)*0.475*44/12</f>
        <v>#REF!</v>
      </c>
      <c r="HJ144" s="143" t="str">
        <f t="shared" si="105"/>
        <v>#REF!</v>
      </c>
    </row>
    <row r="145" ht="14.25" customHeight="1">
      <c r="A145" s="125">
        <f t="shared" si="106"/>
        <v>142</v>
      </c>
      <c r="B145" s="126" t="str">
        <f t="shared" si="1"/>
        <v>#REF!</v>
      </c>
      <c r="C145" s="140" t="str">
        <f>'Calculateur (1)'!C144+'Scénario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5" s="127">
        <f t="shared" si="107"/>
        <v>0</v>
      </c>
      <c r="E145" s="127" t="str">
        <f t="shared" si="2"/>
        <v>#REF!</v>
      </c>
      <c r="F145" s="127" t="str">
        <f t="shared" si="3"/>
        <v>#REF!</v>
      </c>
      <c r="G145" s="127" t="str">
        <f t="shared" si="4"/>
        <v>#REF!</v>
      </c>
      <c r="H145" s="128" t="str">
        <f t="shared" si="5"/>
        <v>#REF!</v>
      </c>
      <c r="I145" s="129" t="str">
        <f t="shared" si="6"/>
        <v>#REF!</v>
      </c>
      <c r="J145" s="130">
        <f t="shared" si="7"/>
        <v>10</v>
      </c>
      <c r="K145" s="131" t="str">
        <f t="shared" si="108"/>
        <v>#REF!</v>
      </c>
      <c r="L145" s="131" t="str">
        <f t="shared" si="8"/>
        <v>#REF!</v>
      </c>
      <c r="M145" s="131" t="str">
        <f t="array" ref="M145">INDEX(L:L,MIN(IF(ISNUMBER(L145:L341),ROW(L145:L341),"")))</f>
        <v/>
      </c>
      <c r="N145" s="130" t="str">
        <f t="shared" si="109"/>
        <v>#REF!</v>
      </c>
      <c r="O145" s="130" t="str">
        <f>N145*VLOOKUP('Données projet (1)'!$B$9,'Paramètres (1)'!$A$1:$I$88,3,0)*VLOOKUP('Données projet (1)'!$B$9,'Paramètres (1)'!$A$1:$I$88,5,0)</f>
        <v>#REF!</v>
      </c>
      <c r="P145" s="130" t="str">
        <f t="shared" si="110"/>
        <v>#REF!</v>
      </c>
      <c r="Q145" s="141" t="str">
        <f t="shared" si="9"/>
        <v>#REF!</v>
      </c>
      <c r="R145" s="133" t="str">
        <f t="shared" si="10"/>
        <v>#REF!</v>
      </c>
      <c r="S145" s="133" t="str">
        <f t="shared" si="11"/>
        <v>#REF!</v>
      </c>
      <c r="T145" s="133" t="str">
        <f t="shared" si="111"/>
        <v>#REF!</v>
      </c>
      <c r="U145" s="134" t="str">
        <f t="shared" si="12"/>
        <v>#REF!</v>
      </c>
      <c r="V145" s="134" t="str">
        <f t="shared" si="13"/>
        <v>#REF!</v>
      </c>
      <c r="W145" s="135" t="str">
        <f>IF(ISNA(VLOOKUP(A145,'Données projet (1)'!$A$35:$I$55,5,0)),0%,VLOOKUP(A145,'Données projet (1)'!$A$35:$I$55,5,0)*VLOOKUP('Données projet (1)'!$B$9,'Paramètres (1)'!$A$1:$I$88,7,0))</f>
        <v>#REF!</v>
      </c>
      <c r="X145" s="135" t="str">
        <f>IF(ISNA(VLOOKUP(A145,'Données projet (1)'!$A$35:$I$55,6,0)),0%,VLOOKUP(A145,'Données projet (1)'!$A$35:$I$55,6,0)*VLOOKUP('Données projet (1)'!$B$9,'Paramètres (1)'!$A$1:$I$88,7,0))</f>
        <v>#REF!</v>
      </c>
      <c r="Y145" s="135" t="str">
        <f t="shared" si="14"/>
        <v>#REF!</v>
      </c>
      <c r="Z145" s="142" t="str">
        <f>EXP(-LN(2)/35)*Z144+(1-EXP(-LN(2)/35))/(LN(2)/35)*V145*W145*VLOOKUP('Données projet (1)'!$B$9,'Paramètres (1)'!$A$1:$I$88,3,0)*0.475*44/12</f>
        <v>#REF!</v>
      </c>
      <c r="AA145" s="142" t="str">
        <f>EXP(-LN(2)/25)*AA144+(1-EXP(-LN(2)/25))/(LN(2)/25)*'Calculateur (1)'!V145*'Calculateur (1)'!X145*VLOOKUP('Données projet (1)'!$B$9,'Paramètres (1)'!$A$1:$I$88,3,0)*0.475*44/12</f>
        <v>#REF!</v>
      </c>
      <c r="AB145" s="142" t="str">
        <f>EXP(-LN(2)/2)*AB144+(1-EXP(-LN(2)/2))/(LN(2)/2)*V145*Y145*VLOOKUP('Données projet (1)'!$B$9,'Paramètres (1)'!$A$1:$I$88,3,0)*0.475*44/12</f>
        <v>#REF!</v>
      </c>
      <c r="AC145" s="143" t="str">
        <f t="shared" si="15"/>
        <v>#REF!</v>
      </c>
      <c r="AD145" s="130" t="str">
        <f t="shared" si="16"/>
        <v>#REF!</v>
      </c>
      <c r="AE145" s="130">
        <f t="shared" si="17"/>
        <v>10</v>
      </c>
      <c r="AF145" s="131" t="str">
        <f t="shared" si="112"/>
        <v>#REF!</v>
      </c>
      <c r="AG145" s="131" t="str">
        <f t="shared" si="18"/>
        <v>#REF!</v>
      </c>
      <c r="AH145" s="131" t="str">
        <f t="array" ref="AH145">INDEX(AG:AG,MIN(IF(ISNUMBER(AG145:AG341),ROW(AG145:AG341),"")))</f>
        <v/>
      </c>
      <c r="AI145" s="130" t="str">
        <f t="shared" si="113"/>
        <v>#REF!</v>
      </c>
      <c r="AJ145" s="130" t="str">
        <f>AI145*VLOOKUP('Données projet (1)'!$B$10,'Paramètres (1)'!$A$1:$I$88,3,0)*VLOOKUP('Données projet (1)'!$B$10,'Paramètres (1)'!$A$1:$I$88,5,0)</f>
        <v>#REF!</v>
      </c>
      <c r="AK145" s="130" t="str">
        <f t="shared" si="114"/>
        <v>#REF!</v>
      </c>
      <c r="AL145" s="141" t="str">
        <f t="shared" si="19"/>
        <v>#REF!</v>
      </c>
      <c r="AM145" s="133" t="str">
        <f t="shared" si="20"/>
        <v>#REF!</v>
      </c>
      <c r="AN145" s="133" t="str">
        <f t="shared" si="21"/>
        <v>#REF!</v>
      </c>
      <c r="AO145" s="133" t="str">
        <f t="shared" si="115"/>
        <v>#REF!</v>
      </c>
      <c r="AP145" s="134" t="str">
        <f t="shared" si="22"/>
        <v>#REF!</v>
      </c>
      <c r="AQ145" s="134" t="str">
        <f t="shared" si="23"/>
        <v>#REF!</v>
      </c>
      <c r="AR145" s="135" t="str">
        <f>IF(ISNA(VLOOKUP(A145,'Données projet (1)'!$A$61:$I$81,5,0)),0%,VLOOKUP(A145,'Données projet (1)'!$A$61:$I$81,5,0)*VLOOKUP('Données projet (1)'!$B$10,'Paramètres (1)'!$A$1:$I$88,7,0))</f>
        <v>#REF!</v>
      </c>
      <c r="AS145" s="135" t="str">
        <f>IF(ISNA(VLOOKUP(A145,'Données projet (1)'!$A$61:$I$81,6,0)),0%,VLOOKUP(A145,'Données projet (1)'!$A$61:$I$81,6,0)*VLOOKUP('Données projet (1)'!$B$10,'Paramètres (1)'!$A$1:$I$88,7,0))</f>
        <v>#REF!</v>
      </c>
      <c r="AT145" s="135" t="str">
        <f t="shared" si="24"/>
        <v>#REF!</v>
      </c>
      <c r="AU145" s="142" t="str">
        <f>EXP(-LN(2)/35)*AU144+(1-EXP(-LN(2)/35))/(LN(2)/35)*AQ145*AR145*VLOOKUP('Données projet (1)'!$B$10,'Paramètres (1)'!$A$1:$I$88,3,0)*0.475*44/12</f>
        <v>#REF!</v>
      </c>
      <c r="AV145" s="142" t="str">
        <f>EXP(-LN(2)/25)*AV144+(1-EXP(-LN(2)/25))/(LN(2)/25)*'Calculateur (1)'!AQ145*'Calculateur (1)'!AS145*VLOOKUP('Données projet (1)'!$B$10,'Paramètres (1)'!$A$1:$I$88,3,0)*0.475*44/12</f>
        <v>#REF!</v>
      </c>
      <c r="AW145" s="142" t="str">
        <f>EXP(-LN(2)/2)*AW144+(1-EXP(-LN(2)/2))/(LN(2)/2)*AQ145*AT145*VLOOKUP('Données projet (1)'!$B$10,'Paramètres (1)'!$A$1:$I$88,3,0)*0.475*44/12</f>
        <v>#REF!</v>
      </c>
      <c r="AX145" s="142" t="str">
        <f t="shared" si="25"/>
        <v>#REF!</v>
      </c>
      <c r="AY145" s="137" t="str">
        <f t="shared" si="26"/>
        <v>#REF!</v>
      </c>
      <c r="AZ145" s="131">
        <f t="shared" si="27"/>
        <v>10</v>
      </c>
      <c r="BA145" s="131" t="str">
        <f t="shared" si="116"/>
        <v>#REF!</v>
      </c>
      <c r="BB145" s="131" t="str">
        <f t="shared" si="28"/>
        <v>#REF!</v>
      </c>
      <c r="BC145" s="131" t="str">
        <f t="array" ref="BC145">INDEX(BB:BB,MIN(IF(ISNUMBER(BB145:BB341),ROW(BB145:BB341),"")))</f>
        <v/>
      </c>
      <c r="BD145" s="131" t="str">
        <f t="shared" si="117"/>
        <v>#REF!</v>
      </c>
      <c r="BE145" s="130" t="str">
        <f>BD145*VLOOKUP('Données projet (1)'!$B$11,'Paramètres (1)'!$A$1:$I$88,3,0)*VLOOKUP('Données projet (1)'!$B$11,'Paramètres (1)'!$A$1:$I$88,5,0)</f>
        <v>#REF!</v>
      </c>
      <c r="BF145" s="130" t="str">
        <f t="shared" si="118"/>
        <v>#REF!</v>
      </c>
      <c r="BG145" s="141" t="str">
        <f t="shared" si="29"/>
        <v>#REF!</v>
      </c>
      <c r="BH145" s="133" t="str">
        <f t="shared" si="30"/>
        <v>#REF!</v>
      </c>
      <c r="BI145" s="133" t="str">
        <f t="shared" si="31"/>
        <v>#REF!</v>
      </c>
      <c r="BJ145" s="133" t="str">
        <f t="shared" si="119"/>
        <v>#REF!</v>
      </c>
      <c r="BK145" s="134" t="str">
        <f t="shared" si="32"/>
        <v>#REF!</v>
      </c>
      <c r="BL145" s="134" t="str">
        <f t="shared" si="33"/>
        <v>#REF!</v>
      </c>
      <c r="BM145" s="135" t="str">
        <f>IF(ISNA(VLOOKUP(A145,'Données projet (1)'!$A$87:$I$107,5,0)),0%,VLOOKUP(A145,'Données projet (1)'!$A$87:$I$107,5,0)*VLOOKUP('Données projet (1)'!$B$11,'Paramètres (1)'!$A$1:$I$88,7,0))</f>
        <v>#REF!</v>
      </c>
      <c r="BN145" s="135" t="str">
        <f>IF(ISNA(VLOOKUP(A145,'Données projet (1)'!$A$87:$I$107,6,0)),0%,VLOOKUP(A145,'Données projet (1)'!$A$87:$I$107,6,0)*VLOOKUP('Données projet (1)'!$B$11,'Paramètres (1)'!$A$1:$I$88,7,0))</f>
        <v>#REF!</v>
      </c>
      <c r="BO145" s="135" t="str">
        <f t="shared" si="34"/>
        <v>#REF!</v>
      </c>
      <c r="BP145" s="142" t="str">
        <f>EXP(-LN(2)/35)*BP144+(1-EXP(-LN(2)/35))/(LN(2)/35)*BL145*BM145*VLOOKUP('Données projet (1)'!$B$11,'Paramètres (1)'!$A$1:$I$88,3,0)*0.475*44/12</f>
        <v>#REF!</v>
      </c>
      <c r="BQ145" s="142" t="str">
        <f>EXP(-LN(2)/25)*BQ144+(1-EXP(-LN(2)/25))/(LN(2)/25)*'Calculateur (1)'!BL145*'Calculateur (1)'!BN145*VLOOKUP('Données projet (1)'!$B$11,'Paramètres (1)'!$A$1:$I$88,3,0)*0.475*44/12</f>
        <v>#REF!</v>
      </c>
      <c r="BR145" s="142" t="str">
        <f>EXP(-LN(2)/2)*BR144+(1-EXP(-LN(2)/2))/(LN(2)/2)*BL145*BO145*VLOOKUP('Données projet (1)'!$B$11,'Paramètres (1)'!$A$1:$I$88,3,0)*0.475*44/12</f>
        <v>#REF!</v>
      </c>
      <c r="BS145" s="143" t="str">
        <f t="shared" si="35"/>
        <v>#REF!</v>
      </c>
      <c r="BT145" s="139" t="str">
        <f t="shared" si="36"/>
        <v>#REF!</v>
      </c>
      <c r="BU145" s="131">
        <f t="shared" si="37"/>
        <v>10</v>
      </c>
      <c r="BV145" s="131" t="str">
        <f t="shared" si="120"/>
        <v>#REF!</v>
      </c>
      <c r="BW145" s="131" t="str">
        <f t="shared" si="38"/>
        <v>#REF!</v>
      </c>
      <c r="BX145" s="131" t="str">
        <f t="array" ref="BX145">INDEX(BW:BW,MIN(IF(ISNUMBER(BW145:BW341),ROW(BW145:BW341),"")))</f>
        <v/>
      </c>
      <c r="BY145" s="131" t="str">
        <f t="shared" si="121"/>
        <v>#REF!</v>
      </c>
      <c r="BZ145" s="130" t="str">
        <f>BY145*VLOOKUP('Données projet (1)'!$B$12,'Paramètres (1)'!$A$1:$I$88,3,0)*VLOOKUP('Données projet (1)'!$B$12,'Paramètres (1)'!$A$1:$I$88,5,0)</f>
        <v>#REF!</v>
      </c>
      <c r="CA145" s="130" t="str">
        <f t="shared" si="122"/>
        <v>#REF!</v>
      </c>
      <c r="CB145" s="141" t="str">
        <f t="shared" si="39"/>
        <v>#REF!</v>
      </c>
      <c r="CC145" s="133" t="str">
        <f t="shared" si="40"/>
        <v>#REF!</v>
      </c>
      <c r="CD145" s="133" t="str">
        <f t="shared" si="41"/>
        <v>#REF!</v>
      </c>
      <c r="CE145" s="133" t="str">
        <f t="shared" si="123"/>
        <v>#REF!</v>
      </c>
      <c r="CF145" s="134" t="str">
        <f t="shared" si="42"/>
        <v>#REF!</v>
      </c>
      <c r="CG145" s="134" t="str">
        <f t="shared" si="43"/>
        <v>#REF!</v>
      </c>
      <c r="CH145" s="135" t="str">
        <f>IF(ISNA(VLOOKUP(A145,'Données projet (1)'!$A$113:$I$133,5,0)),0%,VLOOKUP(A145,'Données projet (1)'!$A$113:$I$133,5,0)*VLOOKUP('Données projet (1)'!$B$12,'Paramètres (1)'!$A$1:$I$88,7,0))</f>
        <v>#REF!</v>
      </c>
      <c r="CI145" s="135" t="str">
        <f>IF(ISNA(VLOOKUP(A145,'Données projet (1)'!$A$113:$I$133,6,0)),0%,VLOOKUP(A145,'Données projet (1)'!$A$113:$I$133,6,0)*VLOOKUP('Données projet (1)'!$B$12,'Paramètres (1)'!$A$1:$I$88,7,0))</f>
        <v>#REF!</v>
      </c>
      <c r="CJ145" s="135" t="str">
        <f t="shared" si="44"/>
        <v>#REF!</v>
      </c>
      <c r="CK145" s="142" t="str">
        <f>EXP(-LN(2)/35)*CK144+(1-EXP(-LN(2)/35))/(LN(2)/35)*CG145*CH145*VLOOKUP('Données projet (1)'!$B$12,'Paramètres (1)'!$A$1:$I$88,3,0)*0.475*44/12</f>
        <v>#REF!</v>
      </c>
      <c r="CL145" s="142" t="str">
        <f>EXP(-LN(2)/25)*CL144+(1-EXP(-LN(2)/25))/(LN(2)/25)*'Calculateur (1)'!CG145*'Calculateur (1)'!CI145*VLOOKUP('Données projet (1)'!$B$12,'Paramètres (1)'!$A$1:$I$88,3,0)*0.475*44/12</f>
        <v>#REF!</v>
      </c>
      <c r="CM145" s="142" t="str">
        <f>EXP(-LN(2)/2)*CM144+(1-EXP(-LN(2)/2))/(LN(2)/2)*CG145*CJ145*VLOOKUP('Données projet (1)'!$B$12,'Paramètres (1)'!$A$1:$I$88,3,0)*0.475*44/12</f>
        <v>#REF!</v>
      </c>
      <c r="CN145" s="143" t="str">
        <f t="shared" si="45"/>
        <v>#REF!</v>
      </c>
      <c r="CO145" s="139" t="str">
        <f t="shared" si="46"/>
        <v>#REF!</v>
      </c>
      <c r="CP145" s="131">
        <f t="shared" si="47"/>
        <v>10</v>
      </c>
      <c r="CQ145" s="131" t="str">
        <f t="shared" si="124"/>
        <v>#REF!</v>
      </c>
      <c r="CR145" s="131" t="str">
        <f t="shared" si="48"/>
        <v>#REF!</v>
      </c>
      <c r="CS145" s="131" t="str">
        <f t="array" ref="CS145">INDEX(CR:CR,MIN(IF(ISNUMBER(CR145:CR341),ROW(CR145:CR341),"")))</f>
        <v/>
      </c>
      <c r="CT145" s="131" t="str">
        <f t="shared" si="125"/>
        <v>#REF!</v>
      </c>
      <c r="CU145" s="138" t="str">
        <f>CT145*VLOOKUP('Données projet (1)'!$B$13,'Paramètres (1)'!$A$1:$I$88,3,0)*VLOOKUP('Données projet (1)'!$B$13,'Paramètres (1)'!$A$1:$I$88,5,0)</f>
        <v>#REF!</v>
      </c>
      <c r="CV145" s="130" t="str">
        <f t="shared" si="126"/>
        <v>#REF!</v>
      </c>
      <c r="CW145" s="141" t="str">
        <f t="shared" si="49"/>
        <v>#REF!</v>
      </c>
      <c r="CX145" s="133" t="str">
        <f t="shared" si="50"/>
        <v>#REF!</v>
      </c>
      <c r="CY145" s="133" t="str">
        <f t="shared" si="51"/>
        <v>#REF!</v>
      </c>
      <c r="CZ145" s="133" t="str">
        <f t="shared" si="127"/>
        <v>#REF!</v>
      </c>
      <c r="DA145" s="134" t="str">
        <f t="shared" si="52"/>
        <v>#REF!</v>
      </c>
      <c r="DB145" s="134" t="str">
        <f t="shared" si="53"/>
        <v>#REF!</v>
      </c>
      <c r="DC145" s="135" t="str">
        <f>IF(ISNA(VLOOKUP(A145,'Données projet (1)'!$A$139:$I$159,5,0)),0%,VLOOKUP(A145,'Données projet (1)'!$A$139:$I$159,5,0)*VLOOKUP('Données projet (1)'!$B$13,'Paramètres (1)'!$A$1:$I$88,7,0))</f>
        <v>#REF!</v>
      </c>
      <c r="DD145" s="135" t="str">
        <f>IF(ISNA(VLOOKUP(A145,'Données projet (1)'!$A$139:$I$159,6,0)),0%,VLOOKUP(A145,'Données projet (1)'!$A$139:$I$159,6,0)*VLOOKUP('Données projet (1)'!$B$13,'Paramètres (1)'!$A$1:$I$88,7,0))</f>
        <v>#REF!</v>
      </c>
      <c r="DE145" s="135" t="str">
        <f t="shared" si="54"/>
        <v>#REF!</v>
      </c>
      <c r="DF145" s="142" t="str">
        <f>EXP(-LN(2)/35)*DF144+(1-EXP(-LN(2)/35))/(LN(2)/35)*DB145*DC145*VLOOKUP('Données projet (1)'!$B$13,'Paramètres (1)'!$A$1:$I$88,3,0)*0.475*44/12</f>
        <v>#REF!</v>
      </c>
      <c r="DG145" s="142" t="str">
        <f>EXP(-LN(2)/25)*DG144+(1-EXP(-LN(2)/25))/(LN(2)/25)*'Calculateur (1)'!DB145*'Calculateur (1)'!DD145*VLOOKUP('Données projet (1)'!$B$13,'Paramètres (1)'!$A$1:$I$88,3,0)*0.475*44/12</f>
        <v>#REF!</v>
      </c>
      <c r="DH145" s="142" t="str">
        <f>EXP(-LN(2)/2)*DH144+(1-EXP(-LN(2)/2))/(LN(2)/2)*DB145*DE145*VLOOKUP('Données projet (1)'!$B$13,'Paramètres (1)'!$A$1:$I$88,3,0)*0.475*44/12</f>
        <v>#REF!</v>
      </c>
      <c r="DI145" s="143" t="str">
        <f t="shared" si="55"/>
        <v>#REF!</v>
      </c>
      <c r="DJ145" s="139" t="str">
        <f t="shared" si="56"/>
        <v>#REF!</v>
      </c>
      <c r="DK145" s="131">
        <f t="shared" si="57"/>
        <v>10</v>
      </c>
      <c r="DL145" s="131" t="str">
        <f t="shared" si="128"/>
        <v>#REF!</v>
      </c>
      <c r="DM145" s="131" t="str">
        <f t="shared" si="58"/>
        <v>#REF!</v>
      </c>
      <c r="DN145" s="131" t="str">
        <f t="array" ref="DN145">INDEX(DM:DM,MIN(IF(ISNUMBER(DM145:DM341),ROW(DM145:DM341),"")))</f>
        <v/>
      </c>
      <c r="DO145" s="131" t="str">
        <f t="shared" si="129"/>
        <v>#REF!</v>
      </c>
      <c r="DP145" s="138" t="str">
        <f>DO145*VLOOKUP('Données projet (1)'!$B$14,'Paramètres (1)'!$A$1:$I$88,3,0)*VLOOKUP('Données projet (1)'!$B$14,'Paramètres (1)'!$A$1:$I$88,5,0)</f>
        <v>#REF!</v>
      </c>
      <c r="DQ145" s="130" t="str">
        <f t="shared" si="130"/>
        <v>#REF!</v>
      </c>
      <c r="DR145" s="141" t="str">
        <f t="shared" si="59"/>
        <v>#REF!</v>
      </c>
      <c r="DS145" s="133" t="str">
        <f t="shared" si="60"/>
        <v>#REF!</v>
      </c>
      <c r="DT145" s="133" t="str">
        <f t="shared" si="61"/>
        <v>#REF!</v>
      </c>
      <c r="DU145" s="133" t="str">
        <f t="shared" si="131"/>
        <v>#REF!</v>
      </c>
      <c r="DV145" s="134" t="str">
        <f t="shared" si="62"/>
        <v>#REF!</v>
      </c>
      <c r="DW145" s="134" t="str">
        <f t="shared" si="63"/>
        <v>#REF!</v>
      </c>
      <c r="DX145" s="135" t="str">
        <f>IF(ISNA(VLOOKUP(A145,'Données projet (1)'!$A$165:$I$185,5,0)),0%,VLOOKUP(A145,'Données projet (1)'!$A$165:$I$185,5,0)*VLOOKUP('Données projet (1)'!$B$14,'Paramètres (1)'!$A$1:$I$88,7,0))</f>
        <v>#REF!</v>
      </c>
      <c r="DY145" s="135" t="str">
        <f>IF(ISNA(VLOOKUP(A145,'Données projet (1)'!$A$165:$I$185,6,0)),0%,VLOOKUP(A145,'Données projet (1)'!$A$165:$I$185,6,0)*VLOOKUP('Données projet (1)'!$B$14,'Paramètres (1)'!$A$1:$I$88,7,0))</f>
        <v>#REF!</v>
      </c>
      <c r="DZ145" s="135" t="str">
        <f t="shared" si="64"/>
        <v>#REF!</v>
      </c>
      <c r="EA145" s="142" t="str">
        <f>EXP(-LN(2)/35)*EA144+(1-EXP(-LN(2)/35))/(LN(2)/35)*DW145*DX145*VLOOKUP('Données projet (1)'!$B$14,'Paramètres (1)'!$A$1:$I$88,3,0)*0.475*44/12</f>
        <v>#REF!</v>
      </c>
      <c r="EB145" s="142" t="str">
        <f>EXP(-LN(2)/25)*EB144+(1-EXP(-LN(2)/25))/(LN(2)/25)*'Calculateur (1)'!DW145*'Calculateur (1)'!DY145*VLOOKUP('Données projet (1)'!$B$14,'Paramètres (1)'!$A$1:$I$88,3,0)*0.475*44/12</f>
        <v>#REF!</v>
      </c>
      <c r="EC145" s="142" t="str">
        <f>EXP(-LN(2)/2)*EC144+(1-EXP(-LN(2)/2))/(LN(2)/2)*DW145*DZ145*VLOOKUP('Données projet (1)'!$B$14,'Paramètres (1)'!$A$1:$I$88,3,0)*0.475*44/12</f>
        <v>#REF!</v>
      </c>
      <c r="ED145" s="143" t="str">
        <f t="shared" si="65"/>
        <v>#REF!</v>
      </c>
      <c r="EE145" s="139" t="str">
        <f t="shared" si="66"/>
        <v>#REF!</v>
      </c>
      <c r="EF145" s="131">
        <f t="shared" si="67"/>
        <v>10</v>
      </c>
      <c r="EG145" s="131" t="str">
        <f t="shared" si="132"/>
        <v>#REF!</v>
      </c>
      <c r="EH145" s="131" t="str">
        <f t="shared" si="68"/>
        <v>#REF!</v>
      </c>
      <c r="EI145" s="131" t="str">
        <f t="array" ref="EI145">INDEX(EH:EH,MIN(IF(ISNUMBER(EH145:EH341),ROW(EH145:EH341),"")))</f>
        <v/>
      </c>
      <c r="EJ145" s="131" t="str">
        <f t="shared" si="133"/>
        <v>#REF!</v>
      </c>
      <c r="EK145" s="138" t="str">
        <f>EJ145*VLOOKUP('Données projet (1)'!$B$15,'Paramètres (1)'!$A$1:$I$88,3,0)*VLOOKUP('Données projet (1)'!$B$15,'Paramètres (1)'!$A$1:$I$88,5,0)</f>
        <v>#REF!</v>
      </c>
      <c r="EL145" s="130" t="str">
        <f t="shared" si="134"/>
        <v>#REF!</v>
      </c>
      <c r="EM145" s="141" t="str">
        <f t="shared" si="69"/>
        <v>#REF!</v>
      </c>
      <c r="EN145" s="133" t="str">
        <f t="shared" si="70"/>
        <v>#REF!</v>
      </c>
      <c r="EO145" s="133" t="str">
        <f t="shared" si="71"/>
        <v>#REF!</v>
      </c>
      <c r="EP145" s="133" t="str">
        <f t="shared" si="135"/>
        <v>#REF!</v>
      </c>
      <c r="EQ145" s="134" t="str">
        <f t="shared" si="72"/>
        <v>#REF!</v>
      </c>
      <c r="ER145" s="134" t="str">
        <f t="shared" si="73"/>
        <v>#REF!</v>
      </c>
      <c r="ES145" s="135" t="str">
        <f>IF(ISNA(VLOOKUP(A145,'Données projet (1)'!$A$191:$I$211,5,0)),0%,VLOOKUP(A145,'Données projet (1)'!$A$191:$I$211,5,0)*VLOOKUP('Données projet (1)'!$B$15,'Paramètres (1)'!$A$1:$I$88,7,0))</f>
        <v>#REF!</v>
      </c>
      <c r="ET145" s="135" t="str">
        <f>IF(ISNA(VLOOKUP(A145,'Données projet (1)'!$A$191:$I$211,6,0)),0%,VLOOKUP(A145,'Données projet (1)'!$A$191:$I$211,6,0)*VLOOKUP('Données projet (1)'!$B$15,'Paramètres (1)'!$A$1:$I$88,7,0))</f>
        <v>#REF!</v>
      </c>
      <c r="EU145" s="135" t="str">
        <f t="shared" si="74"/>
        <v>#REF!</v>
      </c>
      <c r="EV145" s="142" t="str">
        <f>EXP(-LN(2)/35)*EV144+(1-EXP(-LN(2)/35))/(LN(2)/35)*ER145*ES145*VLOOKUP('Données projet (1)'!$B$15,'Paramètres (1)'!$A$1:$I$88,3,0)*0.475*44/12</f>
        <v>#REF!</v>
      </c>
      <c r="EW145" s="142" t="str">
        <f>EXP(-LN(2)/25)*EW144+(1-EXP(-LN(2)/25))/(LN(2)/25)*'Calculateur (1)'!ER145*'Calculateur (1)'!ET145*VLOOKUP('Données projet (1)'!$B$15,'Paramètres (1)'!$A$1:$I$88,3,0)*0.475*44/12</f>
        <v>#REF!</v>
      </c>
      <c r="EX145" s="142" t="str">
        <f>EXP(-LN(2)/2)*EX144+(1-EXP(-LN(2)/2))/(LN(2)/2)*ER145*EU145*VLOOKUP('Données projet (1)'!$B$15,'Paramètres (1)'!$A$1:$I$88,3,0)*0.475*44/12</f>
        <v>#REF!</v>
      </c>
      <c r="EY145" s="143" t="str">
        <f t="shared" si="75"/>
        <v>#REF!</v>
      </c>
      <c r="EZ145" s="139" t="str">
        <f t="shared" si="76"/>
        <v>#REF!</v>
      </c>
      <c r="FA145" s="131">
        <f t="shared" si="77"/>
        <v>10</v>
      </c>
      <c r="FB145" s="131" t="str">
        <f t="shared" si="136"/>
        <v>#REF!</v>
      </c>
      <c r="FC145" s="131" t="str">
        <f t="shared" si="78"/>
        <v>#REF!</v>
      </c>
      <c r="FD145" s="131" t="str">
        <f t="array" ref="FD145">INDEX(FC:FC,MIN(IF(ISNUMBER(FC145:FC341),ROW(FC145:FC341),"")))</f>
        <v/>
      </c>
      <c r="FE145" s="131" t="str">
        <f t="shared" si="137"/>
        <v>#REF!</v>
      </c>
      <c r="FF145" s="138" t="str">
        <f>FE145*VLOOKUP('Données projet (1)'!$B$16,'Paramètres (1)'!$A$1:$I$88,3,0)*VLOOKUP('Données projet (1)'!$B$16,'Paramètres (1)'!$A$1:$I$88,5,0)</f>
        <v>#REF!</v>
      </c>
      <c r="FG145" s="130" t="str">
        <f t="shared" si="138"/>
        <v>#REF!</v>
      </c>
      <c r="FH145" s="141" t="str">
        <f t="shared" si="79"/>
        <v>#REF!</v>
      </c>
      <c r="FI145" s="133" t="str">
        <f t="shared" si="80"/>
        <v>#REF!</v>
      </c>
      <c r="FJ145" s="133" t="str">
        <f t="shared" si="81"/>
        <v>#REF!</v>
      </c>
      <c r="FK145" s="133" t="str">
        <f t="shared" si="139"/>
        <v>#REF!</v>
      </c>
      <c r="FL145" s="134" t="str">
        <f t="shared" si="82"/>
        <v>#REF!</v>
      </c>
      <c r="FM145" s="134" t="str">
        <f t="shared" si="83"/>
        <v>#REF!</v>
      </c>
      <c r="FN145" s="135" t="str">
        <f>IF(ISNA(VLOOKUP(A145,'Données projet (1)'!$A$217:$I$237,5,0)),0%,VLOOKUP(A145,'Données projet (1)'!$A$217:$I$237,5,0)*VLOOKUP('Données projet (1)'!$B$16,'Paramètres (1)'!$A$1:$I$88,7,0))</f>
        <v>#REF!</v>
      </c>
      <c r="FO145" s="135" t="str">
        <f>IF(ISNA(VLOOKUP(A145,'Données projet (1)'!$A$217:$I$237,6,0)),0%,VLOOKUP(A145,'Données projet (1)'!$A$217:$I$237,6,0)*VLOOKUP('Données projet (1)'!$B$16,'Paramètres (1)'!$A$1:$I$88,7,0))</f>
        <v>#REF!</v>
      </c>
      <c r="FP145" s="135" t="str">
        <f t="shared" si="84"/>
        <v>#REF!</v>
      </c>
      <c r="FQ145" s="142" t="str">
        <f>EXP(-LN(2)/35)*FQ144+(1-EXP(-LN(2)/35))/(LN(2)/35)*FM145*FN145*VLOOKUP('Données projet (1)'!$B$16,'Paramètres (1)'!$A$1:$I$88,3,0)*0.475*44/12</f>
        <v>#REF!</v>
      </c>
      <c r="FR145" s="142" t="str">
        <f>EXP(-LN(2)/25)*FR144+(1-EXP(-LN(2)/25))/(LN(2)/25)*'Calculateur (1)'!FM145*'Calculateur (1)'!FO145*VLOOKUP('Données projet (1)'!$B$16,'Paramètres (1)'!$A$1:$I$88,3,0)*0.475*44/12</f>
        <v>#REF!</v>
      </c>
      <c r="FS145" s="142" t="str">
        <f>EXP(-LN(2)/2)*FS144+(1-EXP(-LN(2)/2))/(LN(2)/2)*FM145*FP145*VLOOKUP('Données projet (1)'!$B$16,'Paramètres (1)'!$A$1:$I$88,3,0)*0.475*44/12</f>
        <v>#REF!</v>
      </c>
      <c r="FT145" s="143" t="str">
        <f t="shared" si="85"/>
        <v>#REF!</v>
      </c>
      <c r="FU145" s="139" t="str">
        <f t="shared" si="86"/>
        <v>#REF!</v>
      </c>
      <c r="FV145" s="131">
        <f t="shared" si="87"/>
        <v>10</v>
      </c>
      <c r="FW145" s="131" t="str">
        <f t="shared" si="140"/>
        <v>#REF!</v>
      </c>
      <c r="FX145" s="131" t="str">
        <f t="shared" si="88"/>
        <v>#REF!</v>
      </c>
      <c r="FY145" s="131" t="str">
        <f t="array" ref="FY145">INDEX(FX:FX,MIN(IF(ISNUMBER(FX145:FX341),ROW(FX145:FX341),"")))</f>
        <v/>
      </c>
      <c r="FZ145" s="131" t="str">
        <f t="shared" si="141"/>
        <v>#REF!</v>
      </c>
      <c r="GA145" s="138" t="str">
        <f>FZ145*VLOOKUP('Données projet (1)'!$B$17,'Paramètres (1)'!$A$1:$I$88,3,0)*VLOOKUP('Données projet (1)'!$B$17,'Paramètres (1)'!$A$1:$I$88,5,0)</f>
        <v>#REF!</v>
      </c>
      <c r="GB145" s="130" t="str">
        <f t="shared" si="142"/>
        <v>#REF!</v>
      </c>
      <c r="GC145" s="141" t="str">
        <f t="shared" si="89"/>
        <v>#REF!</v>
      </c>
      <c r="GD145" s="133" t="str">
        <f t="shared" si="90"/>
        <v>#REF!</v>
      </c>
      <c r="GE145" s="133" t="str">
        <f t="shared" si="91"/>
        <v>#REF!</v>
      </c>
      <c r="GF145" s="133" t="str">
        <f t="shared" si="143"/>
        <v>#REF!</v>
      </c>
      <c r="GG145" s="134" t="str">
        <f t="shared" si="92"/>
        <v>#REF!</v>
      </c>
      <c r="GH145" s="134" t="str">
        <f t="shared" si="93"/>
        <v>#REF!</v>
      </c>
      <c r="GI145" s="135" t="str">
        <f>IF(ISNA(VLOOKUP(A145,'Données projet (1)'!$A$243:$I$263,5,0)),0%,VLOOKUP(A145,'Données projet (1)'!$A$243:$I$263,5,0)*VLOOKUP('Données projet (1)'!$B$17,'Paramètres (1)'!$A$1:$I$88,7,0))</f>
        <v>#REF!</v>
      </c>
      <c r="GJ145" s="135" t="str">
        <f>IF(ISNA(VLOOKUP(A145,'Données projet (1)'!$A$243:$I$263,6,0)),0%,VLOOKUP(A145,'Données projet (1)'!$A$243:$I$263,6,0)*VLOOKUP('Données projet (1)'!$B$17,'Paramètres (1)'!$A$1:$I$88,7,0))</f>
        <v>#REF!</v>
      </c>
      <c r="GK145" s="135" t="str">
        <f t="shared" si="94"/>
        <v>#REF!</v>
      </c>
      <c r="GL145" s="142" t="str">
        <f>EXP(-LN(2)/35)*GL144+(1-EXP(-LN(2)/35))/(LN(2)/35)*GH145*GI145*VLOOKUP('Données projet (1)'!$B$17,'Paramètres (1)'!$A$1:$I$88,3,0)*0.475*44/12</f>
        <v>#REF!</v>
      </c>
      <c r="GM145" s="142" t="str">
        <f>EXP(-LN(2)/25)*GM144+(1-EXP(-LN(2)/25))/(LN(2)/25)*'Calculateur (1)'!GH145*'Calculateur (1)'!GJ145*VLOOKUP('Données projet (1)'!$B$17,'Paramètres (1)'!$A$1:$I$88,3,0)*0.475*44/12</f>
        <v>#REF!</v>
      </c>
      <c r="GN145" s="142" t="str">
        <f>EXP(-LN(2)/2)*GN144+(1-EXP(-LN(2)/2))/(LN(2)/2)*GH145*GK145*VLOOKUP('Données projet (1)'!$B$17,'Paramètres (1)'!$A$1:$I$88,3,0)*0.475*44/12</f>
        <v>#REF!</v>
      </c>
      <c r="GO145" s="142" t="str">
        <f t="shared" si="95"/>
        <v>#REF!</v>
      </c>
      <c r="GP145" s="139" t="str">
        <f t="shared" si="96"/>
        <v>#REF!</v>
      </c>
      <c r="GQ145" s="131">
        <f t="shared" si="97"/>
        <v>10</v>
      </c>
      <c r="GR145" s="131" t="str">
        <f t="shared" si="144"/>
        <v>#REF!</v>
      </c>
      <c r="GS145" s="131" t="str">
        <f t="shared" si="98"/>
        <v>#REF!</v>
      </c>
      <c r="GT145" s="131" t="str">
        <f t="array" ref="GT145">INDEX(GS:GS,MIN(IF(ISNUMBER(GS145:GS341),ROW(GS145:GS341),"")))</f>
        <v/>
      </c>
      <c r="GU145" s="131" t="str">
        <f t="shared" si="145"/>
        <v>#REF!</v>
      </c>
      <c r="GV145" s="138" t="str">
        <f>GU145*VLOOKUP('Données projet (1)'!$B$18,'Paramètres (1)'!$A$1:$I$88,3,0)*VLOOKUP('Données projet (1)'!$B$18,'Paramètres (1)'!$A$1:$I$88,5,0)</f>
        <v>#REF!</v>
      </c>
      <c r="GW145" s="130" t="str">
        <f t="shared" si="146"/>
        <v>#REF!</v>
      </c>
      <c r="GX145" s="141" t="str">
        <f t="shared" si="99"/>
        <v>#REF!</v>
      </c>
      <c r="GY145" s="133" t="str">
        <f t="shared" si="100"/>
        <v>#REF!</v>
      </c>
      <c r="GZ145" s="133" t="str">
        <f t="shared" si="101"/>
        <v>#REF!</v>
      </c>
      <c r="HA145" s="133" t="str">
        <f t="shared" si="147"/>
        <v>#REF!</v>
      </c>
      <c r="HB145" s="134" t="str">
        <f t="shared" si="102"/>
        <v>#REF!</v>
      </c>
      <c r="HC145" s="134" t="str">
        <f t="shared" si="103"/>
        <v>#REF!</v>
      </c>
      <c r="HD145" s="135" t="str">
        <f>IF(ISNA(VLOOKUP(A145,'Données projet (1)'!$A$269:$I$289,5,0)),0%,VLOOKUP(A145,'Données projet (1)'!$A$269:$I$289,5,0)*VLOOKUP('Données projet (1)'!$B$18,'Paramètres (1)'!$A$1:$I$88,7,0))</f>
        <v>#REF!</v>
      </c>
      <c r="HE145" s="135" t="str">
        <f>IF(ISNA(VLOOKUP(A145,'Données projet (1)'!$A$269:$I$289,6,0)),0%,VLOOKUP(A145,'Données projet (1)'!$A$269:$I$289,6,0)*VLOOKUP('Données projet (1)'!$B$18,'Paramètres (1)'!$A$1:$I$88,7,0))</f>
        <v>#REF!</v>
      </c>
      <c r="HF145" s="135" t="str">
        <f t="shared" si="104"/>
        <v>#REF!</v>
      </c>
      <c r="HG145" s="142" t="str">
        <f>EXP(-LN(2)/35)*HG144+(1-EXP(-LN(2)/35))/(LN(2)/35)*HC145*HD145*VLOOKUP('Données projet (1)'!$B$18,'Paramètres (1)'!$A$1:$I$88,3,0)*0.475*44/12</f>
        <v>#REF!</v>
      </c>
      <c r="HH145" s="142" t="str">
        <f>EXP(-LN(2)/25)*HH144+(1-EXP(-LN(2)/25))/(LN(2)/25)*'Calculateur (1)'!HC145*'Calculateur (1)'!HE145*VLOOKUP('Données projet (1)'!$B$18,'Paramètres (1)'!$A$1:$I$88,3,0)*0.475*44/12</f>
        <v>#REF!</v>
      </c>
      <c r="HI145" s="142" t="str">
        <f>EXP(-LN(2)/2)*HI144+(1-EXP(-LN(2)/2))/(LN(2)/2)*HC145*HF145*VLOOKUP('Données projet (1)'!$B$18,'Paramètres (1)'!$A$1:$I$88,3,0)*0.475*44/12</f>
        <v>#REF!</v>
      </c>
      <c r="HJ145" s="143" t="str">
        <f t="shared" si="105"/>
        <v>#REF!</v>
      </c>
    </row>
    <row r="146" ht="14.25" customHeight="1">
      <c r="A146" s="125">
        <f t="shared" si="106"/>
        <v>143</v>
      </c>
      <c r="B146" s="126" t="str">
        <f t="shared" si="1"/>
        <v>#REF!</v>
      </c>
      <c r="C146" s="140" t="str">
        <f>'Calculateur (1)'!C145+'Scénario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6" s="127">
        <f t="shared" si="107"/>
        <v>0</v>
      </c>
      <c r="E146" s="127" t="str">
        <f t="shared" si="2"/>
        <v>#REF!</v>
      </c>
      <c r="F146" s="127" t="str">
        <f t="shared" si="3"/>
        <v>#REF!</v>
      </c>
      <c r="G146" s="127" t="str">
        <f t="shared" si="4"/>
        <v>#REF!</v>
      </c>
      <c r="H146" s="128" t="str">
        <f t="shared" si="5"/>
        <v>#REF!</v>
      </c>
      <c r="I146" s="129" t="str">
        <f t="shared" si="6"/>
        <v>#REF!</v>
      </c>
      <c r="J146" s="130">
        <f t="shared" si="7"/>
        <v>10</v>
      </c>
      <c r="K146" s="131" t="str">
        <f t="shared" si="108"/>
        <v>#REF!</v>
      </c>
      <c r="L146" s="131" t="str">
        <f t="shared" si="8"/>
        <v>#REF!</v>
      </c>
      <c r="M146" s="131" t="str">
        <f t="array" ref="M146">INDEX(L:L,MIN(IF(ISNUMBER(L146:L342),ROW(L146:L342),"")))</f>
        <v/>
      </c>
      <c r="N146" s="130" t="str">
        <f t="shared" si="109"/>
        <v>#REF!</v>
      </c>
      <c r="O146" s="130" t="str">
        <f>N146*VLOOKUP('Données projet (1)'!$B$9,'Paramètres (1)'!$A$1:$I$88,3,0)*VLOOKUP('Données projet (1)'!$B$9,'Paramètres (1)'!$A$1:$I$88,5,0)</f>
        <v>#REF!</v>
      </c>
      <c r="P146" s="130" t="str">
        <f t="shared" si="110"/>
        <v>#REF!</v>
      </c>
      <c r="Q146" s="141" t="str">
        <f t="shared" si="9"/>
        <v>#REF!</v>
      </c>
      <c r="R146" s="133" t="str">
        <f t="shared" si="10"/>
        <v>#REF!</v>
      </c>
      <c r="S146" s="133" t="str">
        <f t="shared" si="11"/>
        <v>#REF!</v>
      </c>
      <c r="T146" s="133" t="str">
        <f t="shared" si="111"/>
        <v>#REF!</v>
      </c>
      <c r="U146" s="134" t="str">
        <f t="shared" si="12"/>
        <v>#REF!</v>
      </c>
      <c r="V146" s="134" t="str">
        <f t="shared" si="13"/>
        <v>#REF!</v>
      </c>
      <c r="W146" s="135" t="str">
        <f>IF(ISNA(VLOOKUP(A146,'Données projet (1)'!$A$35:$I$55,5,0)),0%,VLOOKUP(A146,'Données projet (1)'!$A$35:$I$55,5,0)*VLOOKUP('Données projet (1)'!$B$9,'Paramètres (1)'!$A$1:$I$88,7,0))</f>
        <v>#REF!</v>
      </c>
      <c r="X146" s="135" t="str">
        <f>IF(ISNA(VLOOKUP(A146,'Données projet (1)'!$A$35:$I$55,6,0)),0%,VLOOKUP(A146,'Données projet (1)'!$A$35:$I$55,6,0)*VLOOKUP('Données projet (1)'!$B$9,'Paramètres (1)'!$A$1:$I$88,7,0))</f>
        <v>#REF!</v>
      </c>
      <c r="Y146" s="135" t="str">
        <f t="shared" si="14"/>
        <v>#REF!</v>
      </c>
      <c r="Z146" s="142" t="str">
        <f>EXP(-LN(2)/35)*Z145+(1-EXP(-LN(2)/35))/(LN(2)/35)*V146*W146*VLOOKUP('Données projet (1)'!$B$9,'Paramètres (1)'!$A$1:$I$88,3,0)*0.475*44/12</f>
        <v>#REF!</v>
      </c>
      <c r="AA146" s="142" t="str">
        <f>EXP(-LN(2)/25)*AA145+(1-EXP(-LN(2)/25))/(LN(2)/25)*'Calculateur (1)'!V146*'Calculateur (1)'!X146*VLOOKUP('Données projet (1)'!$B$9,'Paramètres (1)'!$A$1:$I$88,3,0)*0.475*44/12</f>
        <v>#REF!</v>
      </c>
      <c r="AB146" s="142" t="str">
        <f>EXP(-LN(2)/2)*AB145+(1-EXP(-LN(2)/2))/(LN(2)/2)*V146*Y146*VLOOKUP('Données projet (1)'!$B$9,'Paramètres (1)'!$A$1:$I$88,3,0)*0.475*44/12</f>
        <v>#REF!</v>
      </c>
      <c r="AC146" s="143" t="str">
        <f t="shared" si="15"/>
        <v>#REF!</v>
      </c>
      <c r="AD146" s="130" t="str">
        <f t="shared" si="16"/>
        <v>#REF!</v>
      </c>
      <c r="AE146" s="130">
        <f t="shared" si="17"/>
        <v>10</v>
      </c>
      <c r="AF146" s="131" t="str">
        <f t="shared" si="112"/>
        <v>#REF!</v>
      </c>
      <c r="AG146" s="131" t="str">
        <f t="shared" si="18"/>
        <v>#REF!</v>
      </c>
      <c r="AH146" s="131" t="str">
        <f t="array" ref="AH146">INDEX(AG:AG,MIN(IF(ISNUMBER(AG146:AG342),ROW(AG146:AG342),"")))</f>
        <v/>
      </c>
      <c r="AI146" s="130" t="str">
        <f t="shared" si="113"/>
        <v>#REF!</v>
      </c>
      <c r="AJ146" s="130" t="str">
        <f>AI146*VLOOKUP('Données projet (1)'!$B$10,'Paramètres (1)'!$A$1:$I$88,3,0)*VLOOKUP('Données projet (1)'!$B$10,'Paramètres (1)'!$A$1:$I$88,5,0)</f>
        <v>#REF!</v>
      </c>
      <c r="AK146" s="130" t="str">
        <f t="shared" si="114"/>
        <v>#REF!</v>
      </c>
      <c r="AL146" s="141" t="str">
        <f t="shared" si="19"/>
        <v>#REF!</v>
      </c>
      <c r="AM146" s="133" t="str">
        <f t="shared" si="20"/>
        <v>#REF!</v>
      </c>
      <c r="AN146" s="133" t="str">
        <f t="shared" si="21"/>
        <v>#REF!</v>
      </c>
      <c r="AO146" s="133" t="str">
        <f t="shared" si="115"/>
        <v>#REF!</v>
      </c>
      <c r="AP146" s="134" t="str">
        <f t="shared" si="22"/>
        <v>#REF!</v>
      </c>
      <c r="AQ146" s="134" t="str">
        <f t="shared" si="23"/>
        <v>#REF!</v>
      </c>
      <c r="AR146" s="135" t="str">
        <f>IF(ISNA(VLOOKUP(A146,'Données projet (1)'!$A$61:$I$81,5,0)),0%,VLOOKUP(A146,'Données projet (1)'!$A$61:$I$81,5,0)*VLOOKUP('Données projet (1)'!$B$10,'Paramètres (1)'!$A$1:$I$88,7,0))</f>
        <v>#REF!</v>
      </c>
      <c r="AS146" s="135" t="str">
        <f>IF(ISNA(VLOOKUP(A146,'Données projet (1)'!$A$61:$I$81,6,0)),0%,VLOOKUP(A146,'Données projet (1)'!$A$61:$I$81,6,0)*VLOOKUP('Données projet (1)'!$B$10,'Paramètres (1)'!$A$1:$I$88,7,0))</f>
        <v>#REF!</v>
      </c>
      <c r="AT146" s="135" t="str">
        <f t="shared" si="24"/>
        <v>#REF!</v>
      </c>
      <c r="AU146" s="142" t="str">
        <f>EXP(-LN(2)/35)*AU145+(1-EXP(-LN(2)/35))/(LN(2)/35)*AQ146*AR146*VLOOKUP('Données projet (1)'!$B$10,'Paramètres (1)'!$A$1:$I$88,3,0)*0.475*44/12</f>
        <v>#REF!</v>
      </c>
      <c r="AV146" s="142" t="str">
        <f>EXP(-LN(2)/25)*AV145+(1-EXP(-LN(2)/25))/(LN(2)/25)*'Calculateur (1)'!AQ146*'Calculateur (1)'!AS146*VLOOKUP('Données projet (1)'!$B$10,'Paramètres (1)'!$A$1:$I$88,3,0)*0.475*44/12</f>
        <v>#REF!</v>
      </c>
      <c r="AW146" s="142" t="str">
        <f>EXP(-LN(2)/2)*AW145+(1-EXP(-LN(2)/2))/(LN(2)/2)*AQ146*AT146*VLOOKUP('Données projet (1)'!$B$10,'Paramètres (1)'!$A$1:$I$88,3,0)*0.475*44/12</f>
        <v>#REF!</v>
      </c>
      <c r="AX146" s="142" t="str">
        <f t="shared" si="25"/>
        <v>#REF!</v>
      </c>
      <c r="AY146" s="137" t="str">
        <f t="shared" si="26"/>
        <v>#REF!</v>
      </c>
      <c r="AZ146" s="131">
        <f t="shared" si="27"/>
        <v>10</v>
      </c>
      <c r="BA146" s="131" t="str">
        <f t="shared" si="116"/>
        <v>#REF!</v>
      </c>
      <c r="BB146" s="131" t="str">
        <f t="shared" si="28"/>
        <v>#REF!</v>
      </c>
      <c r="BC146" s="131" t="str">
        <f t="array" ref="BC146">INDEX(BB:BB,MIN(IF(ISNUMBER(BB146:BB342),ROW(BB146:BB342),"")))</f>
        <v/>
      </c>
      <c r="BD146" s="131" t="str">
        <f t="shared" si="117"/>
        <v>#REF!</v>
      </c>
      <c r="BE146" s="130" t="str">
        <f>BD146*VLOOKUP('Données projet (1)'!$B$11,'Paramètres (1)'!$A$1:$I$88,3,0)*VLOOKUP('Données projet (1)'!$B$11,'Paramètres (1)'!$A$1:$I$88,5,0)</f>
        <v>#REF!</v>
      </c>
      <c r="BF146" s="130" t="str">
        <f t="shared" si="118"/>
        <v>#REF!</v>
      </c>
      <c r="BG146" s="141" t="str">
        <f t="shared" si="29"/>
        <v>#REF!</v>
      </c>
      <c r="BH146" s="133" t="str">
        <f t="shared" si="30"/>
        <v>#REF!</v>
      </c>
      <c r="BI146" s="133" t="str">
        <f t="shared" si="31"/>
        <v>#REF!</v>
      </c>
      <c r="BJ146" s="133" t="str">
        <f t="shared" si="119"/>
        <v>#REF!</v>
      </c>
      <c r="BK146" s="134" t="str">
        <f t="shared" si="32"/>
        <v>#REF!</v>
      </c>
      <c r="BL146" s="134" t="str">
        <f t="shared" si="33"/>
        <v>#REF!</v>
      </c>
      <c r="BM146" s="135" t="str">
        <f>IF(ISNA(VLOOKUP(A146,'Données projet (1)'!$A$87:$I$107,5,0)),0%,VLOOKUP(A146,'Données projet (1)'!$A$87:$I$107,5,0)*VLOOKUP('Données projet (1)'!$B$11,'Paramètres (1)'!$A$1:$I$88,7,0))</f>
        <v>#REF!</v>
      </c>
      <c r="BN146" s="135" t="str">
        <f>IF(ISNA(VLOOKUP(A146,'Données projet (1)'!$A$87:$I$107,6,0)),0%,VLOOKUP(A146,'Données projet (1)'!$A$87:$I$107,6,0)*VLOOKUP('Données projet (1)'!$B$11,'Paramètres (1)'!$A$1:$I$88,7,0))</f>
        <v>#REF!</v>
      </c>
      <c r="BO146" s="135" t="str">
        <f t="shared" si="34"/>
        <v>#REF!</v>
      </c>
      <c r="BP146" s="142" t="str">
        <f>EXP(-LN(2)/35)*BP145+(1-EXP(-LN(2)/35))/(LN(2)/35)*BL146*BM146*VLOOKUP('Données projet (1)'!$B$11,'Paramètres (1)'!$A$1:$I$88,3,0)*0.475*44/12</f>
        <v>#REF!</v>
      </c>
      <c r="BQ146" s="142" t="str">
        <f>EXP(-LN(2)/25)*BQ145+(1-EXP(-LN(2)/25))/(LN(2)/25)*'Calculateur (1)'!BL146*'Calculateur (1)'!BN146*VLOOKUP('Données projet (1)'!$B$11,'Paramètres (1)'!$A$1:$I$88,3,0)*0.475*44/12</f>
        <v>#REF!</v>
      </c>
      <c r="BR146" s="142" t="str">
        <f>EXP(-LN(2)/2)*BR145+(1-EXP(-LN(2)/2))/(LN(2)/2)*BL146*BO146*VLOOKUP('Données projet (1)'!$B$11,'Paramètres (1)'!$A$1:$I$88,3,0)*0.475*44/12</f>
        <v>#REF!</v>
      </c>
      <c r="BS146" s="143" t="str">
        <f t="shared" si="35"/>
        <v>#REF!</v>
      </c>
      <c r="BT146" s="139" t="str">
        <f t="shared" si="36"/>
        <v>#REF!</v>
      </c>
      <c r="BU146" s="131">
        <f t="shared" si="37"/>
        <v>10</v>
      </c>
      <c r="BV146" s="131" t="str">
        <f t="shared" si="120"/>
        <v>#REF!</v>
      </c>
      <c r="BW146" s="131" t="str">
        <f t="shared" si="38"/>
        <v>#REF!</v>
      </c>
      <c r="BX146" s="131" t="str">
        <f t="array" ref="BX146">INDEX(BW:BW,MIN(IF(ISNUMBER(BW146:BW342),ROW(BW146:BW342),"")))</f>
        <v/>
      </c>
      <c r="BY146" s="131" t="str">
        <f t="shared" si="121"/>
        <v>#REF!</v>
      </c>
      <c r="BZ146" s="130" t="str">
        <f>BY146*VLOOKUP('Données projet (1)'!$B$12,'Paramètres (1)'!$A$1:$I$88,3,0)*VLOOKUP('Données projet (1)'!$B$12,'Paramètres (1)'!$A$1:$I$88,5,0)</f>
        <v>#REF!</v>
      </c>
      <c r="CA146" s="130" t="str">
        <f t="shared" si="122"/>
        <v>#REF!</v>
      </c>
      <c r="CB146" s="141" t="str">
        <f t="shared" si="39"/>
        <v>#REF!</v>
      </c>
      <c r="CC146" s="133" t="str">
        <f t="shared" si="40"/>
        <v>#REF!</v>
      </c>
      <c r="CD146" s="133" t="str">
        <f t="shared" si="41"/>
        <v>#REF!</v>
      </c>
      <c r="CE146" s="133" t="str">
        <f t="shared" si="123"/>
        <v>#REF!</v>
      </c>
      <c r="CF146" s="134" t="str">
        <f t="shared" si="42"/>
        <v>#REF!</v>
      </c>
      <c r="CG146" s="134" t="str">
        <f t="shared" si="43"/>
        <v>#REF!</v>
      </c>
      <c r="CH146" s="135" t="str">
        <f>IF(ISNA(VLOOKUP(A146,'Données projet (1)'!$A$113:$I$133,5,0)),0%,VLOOKUP(A146,'Données projet (1)'!$A$113:$I$133,5,0)*VLOOKUP('Données projet (1)'!$B$12,'Paramètres (1)'!$A$1:$I$88,7,0))</f>
        <v>#REF!</v>
      </c>
      <c r="CI146" s="135" t="str">
        <f>IF(ISNA(VLOOKUP(A146,'Données projet (1)'!$A$113:$I$133,6,0)),0%,VLOOKUP(A146,'Données projet (1)'!$A$113:$I$133,6,0)*VLOOKUP('Données projet (1)'!$B$12,'Paramètres (1)'!$A$1:$I$88,7,0))</f>
        <v>#REF!</v>
      </c>
      <c r="CJ146" s="135" t="str">
        <f t="shared" si="44"/>
        <v>#REF!</v>
      </c>
      <c r="CK146" s="142" t="str">
        <f>EXP(-LN(2)/35)*CK145+(1-EXP(-LN(2)/35))/(LN(2)/35)*CG146*CH146*VLOOKUP('Données projet (1)'!$B$12,'Paramètres (1)'!$A$1:$I$88,3,0)*0.475*44/12</f>
        <v>#REF!</v>
      </c>
      <c r="CL146" s="142" t="str">
        <f>EXP(-LN(2)/25)*CL145+(1-EXP(-LN(2)/25))/(LN(2)/25)*'Calculateur (1)'!CG146*'Calculateur (1)'!CI146*VLOOKUP('Données projet (1)'!$B$12,'Paramètres (1)'!$A$1:$I$88,3,0)*0.475*44/12</f>
        <v>#REF!</v>
      </c>
      <c r="CM146" s="142" t="str">
        <f>EXP(-LN(2)/2)*CM145+(1-EXP(-LN(2)/2))/(LN(2)/2)*CG146*CJ146*VLOOKUP('Données projet (1)'!$B$12,'Paramètres (1)'!$A$1:$I$88,3,0)*0.475*44/12</f>
        <v>#REF!</v>
      </c>
      <c r="CN146" s="143" t="str">
        <f t="shared" si="45"/>
        <v>#REF!</v>
      </c>
      <c r="CO146" s="139" t="str">
        <f t="shared" si="46"/>
        <v>#REF!</v>
      </c>
      <c r="CP146" s="131">
        <f t="shared" si="47"/>
        <v>10</v>
      </c>
      <c r="CQ146" s="131" t="str">
        <f t="shared" si="124"/>
        <v>#REF!</v>
      </c>
      <c r="CR146" s="131" t="str">
        <f t="shared" si="48"/>
        <v>#REF!</v>
      </c>
      <c r="CS146" s="131" t="str">
        <f t="array" ref="CS146">INDEX(CR:CR,MIN(IF(ISNUMBER(CR146:CR342),ROW(CR146:CR342),"")))</f>
        <v/>
      </c>
      <c r="CT146" s="131" t="str">
        <f t="shared" si="125"/>
        <v>#REF!</v>
      </c>
      <c r="CU146" s="138" t="str">
        <f>CT146*VLOOKUP('Données projet (1)'!$B$13,'Paramètres (1)'!$A$1:$I$88,3,0)*VLOOKUP('Données projet (1)'!$B$13,'Paramètres (1)'!$A$1:$I$88,5,0)</f>
        <v>#REF!</v>
      </c>
      <c r="CV146" s="130" t="str">
        <f t="shared" si="126"/>
        <v>#REF!</v>
      </c>
      <c r="CW146" s="141" t="str">
        <f t="shared" si="49"/>
        <v>#REF!</v>
      </c>
      <c r="CX146" s="133" t="str">
        <f t="shared" si="50"/>
        <v>#REF!</v>
      </c>
      <c r="CY146" s="133" t="str">
        <f t="shared" si="51"/>
        <v>#REF!</v>
      </c>
      <c r="CZ146" s="133" t="str">
        <f t="shared" si="127"/>
        <v>#REF!</v>
      </c>
      <c r="DA146" s="134" t="str">
        <f t="shared" si="52"/>
        <v>#REF!</v>
      </c>
      <c r="DB146" s="134" t="str">
        <f t="shared" si="53"/>
        <v>#REF!</v>
      </c>
      <c r="DC146" s="135" t="str">
        <f>IF(ISNA(VLOOKUP(A146,'Données projet (1)'!$A$139:$I$159,5,0)),0%,VLOOKUP(A146,'Données projet (1)'!$A$139:$I$159,5,0)*VLOOKUP('Données projet (1)'!$B$13,'Paramètres (1)'!$A$1:$I$88,7,0))</f>
        <v>#REF!</v>
      </c>
      <c r="DD146" s="135" t="str">
        <f>IF(ISNA(VLOOKUP(A146,'Données projet (1)'!$A$139:$I$159,6,0)),0%,VLOOKUP(A146,'Données projet (1)'!$A$139:$I$159,6,0)*VLOOKUP('Données projet (1)'!$B$13,'Paramètres (1)'!$A$1:$I$88,7,0))</f>
        <v>#REF!</v>
      </c>
      <c r="DE146" s="135" t="str">
        <f t="shared" si="54"/>
        <v>#REF!</v>
      </c>
      <c r="DF146" s="142" t="str">
        <f>EXP(-LN(2)/35)*DF145+(1-EXP(-LN(2)/35))/(LN(2)/35)*DB146*DC146*VLOOKUP('Données projet (1)'!$B$13,'Paramètres (1)'!$A$1:$I$88,3,0)*0.475*44/12</f>
        <v>#REF!</v>
      </c>
      <c r="DG146" s="142" t="str">
        <f>EXP(-LN(2)/25)*DG145+(1-EXP(-LN(2)/25))/(LN(2)/25)*'Calculateur (1)'!DB146*'Calculateur (1)'!DD146*VLOOKUP('Données projet (1)'!$B$13,'Paramètres (1)'!$A$1:$I$88,3,0)*0.475*44/12</f>
        <v>#REF!</v>
      </c>
      <c r="DH146" s="142" t="str">
        <f>EXP(-LN(2)/2)*DH145+(1-EXP(-LN(2)/2))/(LN(2)/2)*DB146*DE146*VLOOKUP('Données projet (1)'!$B$13,'Paramètres (1)'!$A$1:$I$88,3,0)*0.475*44/12</f>
        <v>#REF!</v>
      </c>
      <c r="DI146" s="143" t="str">
        <f t="shared" si="55"/>
        <v>#REF!</v>
      </c>
      <c r="DJ146" s="139" t="str">
        <f t="shared" si="56"/>
        <v>#REF!</v>
      </c>
      <c r="DK146" s="131">
        <f t="shared" si="57"/>
        <v>10</v>
      </c>
      <c r="DL146" s="131" t="str">
        <f t="shared" si="128"/>
        <v>#REF!</v>
      </c>
      <c r="DM146" s="131" t="str">
        <f t="shared" si="58"/>
        <v>#REF!</v>
      </c>
      <c r="DN146" s="131" t="str">
        <f t="array" ref="DN146">INDEX(DM:DM,MIN(IF(ISNUMBER(DM146:DM342),ROW(DM146:DM342),"")))</f>
        <v/>
      </c>
      <c r="DO146" s="131" t="str">
        <f t="shared" si="129"/>
        <v>#REF!</v>
      </c>
      <c r="DP146" s="138" t="str">
        <f>DO146*VLOOKUP('Données projet (1)'!$B$14,'Paramètres (1)'!$A$1:$I$88,3,0)*VLOOKUP('Données projet (1)'!$B$14,'Paramètres (1)'!$A$1:$I$88,5,0)</f>
        <v>#REF!</v>
      </c>
      <c r="DQ146" s="130" t="str">
        <f t="shared" si="130"/>
        <v>#REF!</v>
      </c>
      <c r="DR146" s="141" t="str">
        <f t="shared" si="59"/>
        <v>#REF!</v>
      </c>
      <c r="DS146" s="133" t="str">
        <f t="shared" si="60"/>
        <v>#REF!</v>
      </c>
      <c r="DT146" s="133" t="str">
        <f t="shared" si="61"/>
        <v>#REF!</v>
      </c>
      <c r="DU146" s="133" t="str">
        <f t="shared" si="131"/>
        <v>#REF!</v>
      </c>
      <c r="DV146" s="134" t="str">
        <f t="shared" si="62"/>
        <v>#REF!</v>
      </c>
      <c r="DW146" s="134" t="str">
        <f t="shared" si="63"/>
        <v>#REF!</v>
      </c>
      <c r="DX146" s="135" t="str">
        <f>IF(ISNA(VLOOKUP(A146,'Données projet (1)'!$A$165:$I$185,5,0)),0%,VLOOKUP(A146,'Données projet (1)'!$A$165:$I$185,5,0)*VLOOKUP('Données projet (1)'!$B$14,'Paramètres (1)'!$A$1:$I$88,7,0))</f>
        <v>#REF!</v>
      </c>
      <c r="DY146" s="135" t="str">
        <f>IF(ISNA(VLOOKUP(A146,'Données projet (1)'!$A$165:$I$185,6,0)),0%,VLOOKUP(A146,'Données projet (1)'!$A$165:$I$185,6,0)*VLOOKUP('Données projet (1)'!$B$14,'Paramètres (1)'!$A$1:$I$88,7,0))</f>
        <v>#REF!</v>
      </c>
      <c r="DZ146" s="135" t="str">
        <f t="shared" si="64"/>
        <v>#REF!</v>
      </c>
      <c r="EA146" s="142" t="str">
        <f>EXP(-LN(2)/35)*EA145+(1-EXP(-LN(2)/35))/(LN(2)/35)*DW146*DX146*VLOOKUP('Données projet (1)'!$B$14,'Paramètres (1)'!$A$1:$I$88,3,0)*0.475*44/12</f>
        <v>#REF!</v>
      </c>
      <c r="EB146" s="142" t="str">
        <f>EXP(-LN(2)/25)*EB145+(1-EXP(-LN(2)/25))/(LN(2)/25)*'Calculateur (1)'!DW146*'Calculateur (1)'!DY146*VLOOKUP('Données projet (1)'!$B$14,'Paramètres (1)'!$A$1:$I$88,3,0)*0.475*44/12</f>
        <v>#REF!</v>
      </c>
      <c r="EC146" s="142" t="str">
        <f>EXP(-LN(2)/2)*EC145+(1-EXP(-LN(2)/2))/(LN(2)/2)*DW146*DZ146*VLOOKUP('Données projet (1)'!$B$14,'Paramètres (1)'!$A$1:$I$88,3,0)*0.475*44/12</f>
        <v>#REF!</v>
      </c>
      <c r="ED146" s="143" t="str">
        <f t="shared" si="65"/>
        <v>#REF!</v>
      </c>
      <c r="EE146" s="139" t="str">
        <f t="shared" si="66"/>
        <v>#REF!</v>
      </c>
      <c r="EF146" s="131">
        <f t="shared" si="67"/>
        <v>10</v>
      </c>
      <c r="EG146" s="131" t="str">
        <f t="shared" si="132"/>
        <v>#REF!</v>
      </c>
      <c r="EH146" s="131" t="str">
        <f t="shared" si="68"/>
        <v>#REF!</v>
      </c>
      <c r="EI146" s="131" t="str">
        <f t="array" ref="EI146">INDEX(EH:EH,MIN(IF(ISNUMBER(EH146:EH342),ROW(EH146:EH342),"")))</f>
        <v/>
      </c>
      <c r="EJ146" s="131" t="str">
        <f t="shared" si="133"/>
        <v>#REF!</v>
      </c>
      <c r="EK146" s="138" t="str">
        <f>EJ146*VLOOKUP('Données projet (1)'!$B$15,'Paramètres (1)'!$A$1:$I$88,3,0)*VLOOKUP('Données projet (1)'!$B$15,'Paramètres (1)'!$A$1:$I$88,5,0)</f>
        <v>#REF!</v>
      </c>
      <c r="EL146" s="130" t="str">
        <f t="shared" si="134"/>
        <v>#REF!</v>
      </c>
      <c r="EM146" s="141" t="str">
        <f t="shared" si="69"/>
        <v>#REF!</v>
      </c>
      <c r="EN146" s="133" t="str">
        <f t="shared" si="70"/>
        <v>#REF!</v>
      </c>
      <c r="EO146" s="133" t="str">
        <f t="shared" si="71"/>
        <v>#REF!</v>
      </c>
      <c r="EP146" s="133" t="str">
        <f t="shared" si="135"/>
        <v>#REF!</v>
      </c>
      <c r="EQ146" s="134" t="str">
        <f t="shared" si="72"/>
        <v>#REF!</v>
      </c>
      <c r="ER146" s="134" t="str">
        <f t="shared" si="73"/>
        <v>#REF!</v>
      </c>
      <c r="ES146" s="135" t="str">
        <f>IF(ISNA(VLOOKUP(A146,'Données projet (1)'!$A$191:$I$211,5,0)),0%,VLOOKUP(A146,'Données projet (1)'!$A$191:$I$211,5,0)*VLOOKUP('Données projet (1)'!$B$15,'Paramètres (1)'!$A$1:$I$88,7,0))</f>
        <v>#REF!</v>
      </c>
      <c r="ET146" s="135" t="str">
        <f>IF(ISNA(VLOOKUP(A146,'Données projet (1)'!$A$191:$I$211,6,0)),0%,VLOOKUP(A146,'Données projet (1)'!$A$191:$I$211,6,0)*VLOOKUP('Données projet (1)'!$B$15,'Paramètres (1)'!$A$1:$I$88,7,0))</f>
        <v>#REF!</v>
      </c>
      <c r="EU146" s="135" t="str">
        <f t="shared" si="74"/>
        <v>#REF!</v>
      </c>
      <c r="EV146" s="142" t="str">
        <f>EXP(-LN(2)/35)*EV145+(1-EXP(-LN(2)/35))/(LN(2)/35)*ER146*ES146*VLOOKUP('Données projet (1)'!$B$15,'Paramètres (1)'!$A$1:$I$88,3,0)*0.475*44/12</f>
        <v>#REF!</v>
      </c>
      <c r="EW146" s="142" t="str">
        <f>EXP(-LN(2)/25)*EW145+(1-EXP(-LN(2)/25))/(LN(2)/25)*'Calculateur (1)'!ER146*'Calculateur (1)'!ET146*VLOOKUP('Données projet (1)'!$B$15,'Paramètres (1)'!$A$1:$I$88,3,0)*0.475*44/12</f>
        <v>#REF!</v>
      </c>
      <c r="EX146" s="142" t="str">
        <f>EXP(-LN(2)/2)*EX145+(1-EXP(-LN(2)/2))/(LN(2)/2)*ER146*EU146*VLOOKUP('Données projet (1)'!$B$15,'Paramètres (1)'!$A$1:$I$88,3,0)*0.475*44/12</f>
        <v>#REF!</v>
      </c>
      <c r="EY146" s="143" t="str">
        <f t="shared" si="75"/>
        <v>#REF!</v>
      </c>
      <c r="EZ146" s="139" t="str">
        <f t="shared" si="76"/>
        <v>#REF!</v>
      </c>
      <c r="FA146" s="131">
        <f t="shared" si="77"/>
        <v>10</v>
      </c>
      <c r="FB146" s="131" t="str">
        <f t="shared" si="136"/>
        <v>#REF!</v>
      </c>
      <c r="FC146" s="131" t="str">
        <f t="shared" si="78"/>
        <v>#REF!</v>
      </c>
      <c r="FD146" s="131" t="str">
        <f t="array" ref="FD146">INDEX(FC:FC,MIN(IF(ISNUMBER(FC146:FC342),ROW(FC146:FC342),"")))</f>
        <v/>
      </c>
      <c r="FE146" s="131" t="str">
        <f t="shared" si="137"/>
        <v>#REF!</v>
      </c>
      <c r="FF146" s="138" t="str">
        <f>FE146*VLOOKUP('Données projet (1)'!$B$16,'Paramètres (1)'!$A$1:$I$88,3,0)*VLOOKUP('Données projet (1)'!$B$16,'Paramètres (1)'!$A$1:$I$88,5,0)</f>
        <v>#REF!</v>
      </c>
      <c r="FG146" s="130" t="str">
        <f t="shared" si="138"/>
        <v>#REF!</v>
      </c>
      <c r="FH146" s="141" t="str">
        <f t="shared" si="79"/>
        <v>#REF!</v>
      </c>
      <c r="FI146" s="133" t="str">
        <f t="shared" si="80"/>
        <v>#REF!</v>
      </c>
      <c r="FJ146" s="133" t="str">
        <f t="shared" si="81"/>
        <v>#REF!</v>
      </c>
      <c r="FK146" s="133" t="str">
        <f t="shared" si="139"/>
        <v>#REF!</v>
      </c>
      <c r="FL146" s="134" t="str">
        <f t="shared" si="82"/>
        <v>#REF!</v>
      </c>
      <c r="FM146" s="134" t="str">
        <f t="shared" si="83"/>
        <v>#REF!</v>
      </c>
      <c r="FN146" s="135" t="str">
        <f>IF(ISNA(VLOOKUP(A146,'Données projet (1)'!$A$217:$I$237,5,0)),0%,VLOOKUP(A146,'Données projet (1)'!$A$217:$I$237,5,0)*VLOOKUP('Données projet (1)'!$B$16,'Paramètres (1)'!$A$1:$I$88,7,0))</f>
        <v>#REF!</v>
      </c>
      <c r="FO146" s="135" t="str">
        <f>IF(ISNA(VLOOKUP(A146,'Données projet (1)'!$A$217:$I$237,6,0)),0%,VLOOKUP(A146,'Données projet (1)'!$A$217:$I$237,6,0)*VLOOKUP('Données projet (1)'!$B$16,'Paramètres (1)'!$A$1:$I$88,7,0))</f>
        <v>#REF!</v>
      </c>
      <c r="FP146" s="135" t="str">
        <f t="shared" si="84"/>
        <v>#REF!</v>
      </c>
      <c r="FQ146" s="142" t="str">
        <f>EXP(-LN(2)/35)*FQ145+(1-EXP(-LN(2)/35))/(LN(2)/35)*FM146*FN146*VLOOKUP('Données projet (1)'!$B$16,'Paramètres (1)'!$A$1:$I$88,3,0)*0.475*44/12</f>
        <v>#REF!</v>
      </c>
      <c r="FR146" s="142" t="str">
        <f>EXP(-LN(2)/25)*FR145+(1-EXP(-LN(2)/25))/(LN(2)/25)*'Calculateur (1)'!FM146*'Calculateur (1)'!FO146*VLOOKUP('Données projet (1)'!$B$16,'Paramètres (1)'!$A$1:$I$88,3,0)*0.475*44/12</f>
        <v>#REF!</v>
      </c>
      <c r="FS146" s="142" t="str">
        <f>EXP(-LN(2)/2)*FS145+(1-EXP(-LN(2)/2))/(LN(2)/2)*FM146*FP146*VLOOKUP('Données projet (1)'!$B$16,'Paramètres (1)'!$A$1:$I$88,3,0)*0.475*44/12</f>
        <v>#REF!</v>
      </c>
      <c r="FT146" s="143" t="str">
        <f t="shared" si="85"/>
        <v>#REF!</v>
      </c>
      <c r="FU146" s="139" t="str">
        <f t="shared" si="86"/>
        <v>#REF!</v>
      </c>
      <c r="FV146" s="131">
        <f t="shared" si="87"/>
        <v>10</v>
      </c>
      <c r="FW146" s="131" t="str">
        <f t="shared" si="140"/>
        <v>#REF!</v>
      </c>
      <c r="FX146" s="131" t="str">
        <f t="shared" si="88"/>
        <v>#REF!</v>
      </c>
      <c r="FY146" s="131" t="str">
        <f t="array" ref="FY146">INDEX(FX:FX,MIN(IF(ISNUMBER(FX146:FX342),ROW(FX146:FX342),"")))</f>
        <v/>
      </c>
      <c r="FZ146" s="131" t="str">
        <f t="shared" si="141"/>
        <v>#REF!</v>
      </c>
      <c r="GA146" s="138" t="str">
        <f>FZ146*VLOOKUP('Données projet (1)'!$B$17,'Paramètres (1)'!$A$1:$I$88,3,0)*VLOOKUP('Données projet (1)'!$B$17,'Paramètres (1)'!$A$1:$I$88,5,0)</f>
        <v>#REF!</v>
      </c>
      <c r="GB146" s="130" t="str">
        <f t="shared" si="142"/>
        <v>#REF!</v>
      </c>
      <c r="GC146" s="141" t="str">
        <f t="shared" si="89"/>
        <v>#REF!</v>
      </c>
      <c r="GD146" s="133" t="str">
        <f t="shared" si="90"/>
        <v>#REF!</v>
      </c>
      <c r="GE146" s="133" t="str">
        <f t="shared" si="91"/>
        <v>#REF!</v>
      </c>
      <c r="GF146" s="133" t="str">
        <f t="shared" si="143"/>
        <v>#REF!</v>
      </c>
      <c r="GG146" s="134" t="str">
        <f t="shared" si="92"/>
        <v>#REF!</v>
      </c>
      <c r="GH146" s="134" t="str">
        <f t="shared" si="93"/>
        <v>#REF!</v>
      </c>
      <c r="GI146" s="135" t="str">
        <f>IF(ISNA(VLOOKUP(A146,'Données projet (1)'!$A$243:$I$263,5,0)),0%,VLOOKUP(A146,'Données projet (1)'!$A$243:$I$263,5,0)*VLOOKUP('Données projet (1)'!$B$17,'Paramètres (1)'!$A$1:$I$88,7,0))</f>
        <v>#REF!</v>
      </c>
      <c r="GJ146" s="135" t="str">
        <f>IF(ISNA(VLOOKUP(A146,'Données projet (1)'!$A$243:$I$263,6,0)),0%,VLOOKUP(A146,'Données projet (1)'!$A$243:$I$263,6,0)*VLOOKUP('Données projet (1)'!$B$17,'Paramètres (1)'!$A$1:$I$88,7,0))</f>
        <v>#REF!</v>
      </c>
      <c r="GK146" s="135" t="str">
        <f t="shared" si="94"/>
        <v>#REF!</v>
      </c>
      <c r="GL146" s="142" t="str">
        <f>EXP(-LN(2)/35)*GL145+(1-EXP(-LN(2)/35))/(LN(2)/35)*GH146*GI146*VLOOKUP('Données projet (1)'!$B$17,'Paramètres (1)'!$A$1:$I$88,3,0)*0.475*44/12</f>
        <v>#REF!</v>
      </c>
      <c r="GM146" s="142" t="str">
        <f>EXP(-LN(2)/25)*GM145+(1-EXP(-LN(2)/25))/(LN(2)/25)*'Calculateur (1)'!GH146*'Calculateur (1)'!GJ146*VLOOKUP('Données projet (1)'!$B$17,'Paramètres (1)'!$A$1:$I$88,3,0)*0.475*44/12</f>
        <v>#REF!</v>
      </c>
      <c r="GN146" s="142" t="str">
        <f>EXP(-LN(2)/2)*GN145+(1-EXP(-LN(2)/2))/(LN(2)/2)*GH146*GK146*VLOOKUP('Données projet (1)'!$B$17,'Paramètres (1)'!$A$1:$I$88,3,0)*0.475*44/12</f>
        <v>#REF!</v>
      </c>
      <c r="GO146" s="142" t="str">
        <f t="shared" si="95"/>
        <v>#REF!</v>
      </c>
      <c r="GP146" s="139" t="str">
        <f t="shared" si="96"/>
        <v>#REF!</v>
      </c>
      <c r="GQ146" s="131">
        <f t="shared" si="97"/>
        <v>10</v>
      </c>
      <c r="GR146" s="131" t="str">
        <f t="shared" si="144"/>
        <v>#REF!</v>
      </c>
      <c r="GS146" s="131" t="str">
        <f t="shared" si="98"/>
        <v>#REF!</v>
      </c>
      <c r="GT146" s="131" t="str">
        <f t="array" ref="GT146">INDEX(GS:GS,MIN(IF(ISNUMBER(GS146:GS342),ROW(GS146:GS342),"")))</f>
        <v/>
      </c>
      <c r="GU146" s="131" t="str">
        <f t="shared" si="145"/>
        <v>#REF!</v>
      </c>
      <c r="GV146" s="138" t="str">
        <f>GU146*VLOOKUP('Données projet (1)'!$B$18,'Paramètres (1)'!$A$1:$I$88,3,0)*VLOOKUP('Données projet (1)'!$B$18,'Paramètres (1)'!$A$1:$I$88,5,0)</f>
        <v>#REF!</v>
      </c>
      <c r="GW146" s="130" t="str">
        <f t="shared" si="146"/>
        <v>#REF!</v>
      </c>
      <c r="GX146" s="141" t="str">
        <f t="shared" si="99"/>
        <v>#REF!</v>
      </c>
      <c r="GY146" s="133" t="str">
        <f t="shared" si="100"/>
        <v>#REF!</v>
      </c>
      <c r="GZ146" s="133" t="str">
        <f t="shared" si="101"/>
        <v>#REF!</v>
      </c>
      <c r="HA146" s="133" t="str">
        <f t="shared" si="147"/>
        <v>#REF!</v>
      </c>
      <c r="HB146" s="134" t="str">
        <f t="shared" si="102"/>
        <v>#REF!</v>
      </c>
      <c r="HC146" s="134" t="str">
        <f t="shared" si="103"/>
        <v>#REF!</v>
      </c>
      <c r="HD146" s="135" t="str">
        <f>IF(ISNA(VLOOKUP(A146,'Données projet (1)'!$A$269:$I$289,5,0)),0%,VLOOKUP(A146,'Données projet (1)'!$A$269:$I$289,5,0)*VLOOKUP('Données projet (1)'!$B$18,'Paramètres (1)'!$A$1:$I$88,7,0))</f>
        <v>#REF!</v>
      </c>
      <c r="HE146" s="135" t="str">
        <f>IF(ISNA(VLOOKUP(A146,'Données projet (1)'!$A$269:$I$289,6,0)),0%,VLOOKUP(A146,'Données projet (1)'!$A$269:$I$289,6,0)*VLOOKUP('Données projet (1)'!$B$18,'Paramètres (1)'!$A$1:$I$88,7,0))</f>
        <v>#REF!</v>
      </c>
      <c r="HF146" s="135" t="str">
        <f t="shared" si="104"/>
        <v>#REF!</v>
      </c>
      <c r="HG146" s="142" t="str">
        <f>EXP(-LN(2)/35)*HG145+(1-EXP(-LN(2)/35))/(LN(2)/35)*HC146*HD146*VLOOKUP('Données projet (1)'!$B$18,'Paramètres (1)'!$A$1:$I$88,3,0)*0.475*44/12</f>
        <v>#REF!</v>
      </c>
      <c r="HH146" s="142" t="str">
        <f>EXP(-LN(2)/25)*HH145+(1-EXP(-LN(2)/25))/(LN(2)/25)*'Calculateur (1)'!HC146*'Calculateur (1)'!HE146*VLOOKUP('Données projet (1)'!$B$18,'Paramètres (1)'!$A$1:$I$88,3,0)*0.475*44/12</f>
        <v>#REF!</v>
      </c>
      <c r="HI146" s="142" t="str">
        <f>EXP(-LN(2)/2)*HI145+(1-EXP(-LN(2)/2))/(LN(2)/2)*HC146*HF146*VLOOKUP('Données projet (1)'!$B$18,'Paramètres (1)'!$A$1:$I$88,3,0)*0.475*44/12</f>
        <v>#REF!</v>
      </c>
      <c r="HJ146" s="143" t="str">
        <f t="shared" si="105"/>
        <v>#REF!</v>
      </c>
    </row>
    <row r="147" ht="14.25" customHeight="1">
      <c r="A147" s="125">
        <f t="shared" si="106"/>
        <v>144</v>
      </c>
      <c r="B147" s="126" t="str">
        <f t="shared" si="1"/>
        <v>#REF!</v>
      </c>
      <c r="C147" s="140" t="str">
        <f>'Calculateur (1)'!C146+'Scénario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7" s="127">
        <f t="shared" si="107"/>
        <v>0</v>
      </c>
      <c r="E147" s="127" t="str">
        <f t="shared" si="2"/>
        <v>#REF!</v>
      </c>
      <c r="F147" s="127" t="str">
        <f t="shared" si="3"/>
        <v>#REF!</v>
      </c>
      <c r="G147" s="127" t="str">
        <f t="shared" si="4"/>
        <v>#REF!</v>
      </c>
      <c r="H147" s="128" t="str">
        <f t="shared" si="5"/>
        <v>#REF!</v>
      </c>
      <c r="I147" s="129" t="str">
        <f t="shared" si="6"/>
        <v>#REF!</v>
      </c>
      <c r="J147" s="130">
        <f t="shared" si="7"/>
        <v>10</v>
      </c>
      <c r="K147" s="131" t="str">
        <f t="shared" si="108"/>
        <v>#REF!</v>
      </c>
      <c r="L147" s="131" t="str">
        <f t="shared" si="8"/>
        <v>#REF!</v>
      </c>
      <c r="M147" s="131" t="str">
        <f t="array" ref="M147">INDEX(L:L,MIN(IF(ISNUMBER(L147:L343),ROW(L147:L343),"")))</f>
        <v/>
      </c>
      <c r="N147" s="130" t="str">
        <f t="shared" si="109"/>
        <v>#REF!</v>
      </c>
      <c r="O147" s="130" t="str">
        <f>N147*VLOOKUP('Données projet (1)'!$B$9,'Paramètres (1)'!$A$1:$I$88,3,0)*VLOOKUP('Données projet (1)'!$B$9,'Paramètres (1)'!$A$1:$I$88,5,0)</f>
        <v>#REF!</v>
      </c>
      <c r="P147" s="130" t="str">
        <f t="shared" si="110"/>
        <v>#REF!</v>
      </c>
      <c r="Q147" s="141" t="str">
        <f t="shared" si="9"/>
        <v>#REF!</v>
      </c>
      <c r="R147" s="133" t="str">
        <f t="shared" si="10"/>
        <v>#REF!</v>
      </c>
      <c r="S147" s="133" t="str">
        <f t="shared" si="11"/>
        <v>#REF!</v>
      </c>
      <c r="T147" s="133" t="str">
        <f t="shared" si="111"/>
        <v>#REF!</v>
      </c>
      <c r="U147" s="134" t="str">
        <f t="shared" si="12"/>
        <v>#REF!</v>
      </c>
      <c r="V147" s="134" t="str">
        <f t="shared" si="13"/>
        <v>#REF!</v>
      </c>
      <c r="W147" s="135" t="str">
        <f>IF(ISNA(VLOOKUP(A147,'Données projet (1)'!$A$35:$I$55,5,0)),0%,VLOOKUP(A147,'Données projet (1)'!$A$35:$I$55,5,0)*VLOOKUP('Données projet (1)'!$B$9,'Paramètres (1)'!$A$1:$I$88,7,0))</f>
        <v>#REF!</v>
      </c>
      <c r="X147" s="135" t="str">
        <f>IF(ISNA(VLOOKUP(A147,'Données projet (1)'!$A$35:$I$55,6,0)),0%,VLOOKUP(A147,'Données projet (1)'!$A$35:$I$55,6,0)*VLOOKUP('Données projet (1)'!$B$9,'Paramètres (1)'!$A$1:$I$88,7,0))</f>
        <v>#REF!</v>
      </c>
      <c r="Y147" s="135" t="str">
        <f t="shared" si="14"/>
        <v>#REF!</v>
      </c>
      <c r="Z147" s="142" t="str">
        <f>EXP(-LN(2)/35)*Z146+(1-EXP(-LN(2)/35))/(LN(2)/35)*V147*W147*VLOOKUP('Données projet (1)'!$B$9,'Paramètres (1)'!$A$1:$I$88,3,0)*0.475*44/12</f>
        <v>#REF!</v>
      </c>
      <c r="AA147" s="142" t="str">
        <f>EXP(-LN(2)/25)*AA146+(1-EXP(-LN(2)/25))/(LN(2)/25)*'Calculateur (1)'!V147*'Calculateur (1)'!X147*VLOOKUP('Données projet (1)'!$B$9,'Paramètres (1)'!$A$1:$I$88,3,0)*0.475*44/12</f>
        <v>#REF!</v>
      </c>
      <c r="AB147" s="142" t="str">
        <f>EXP(-LN(2)/2)*AB146+(1-EXP(-LN(2)/2))/(LN(2)/2)*V147*Y147*VLOOKUP('Données projet (1)'!$B$9,'Paramètres (1)'!$A$1:$I$88,3,0)*0.475*44/12</f>
        <v>#REF!</v>
      </c>
      <c r="AC147" s="143" t="str">
        <f t="shared" si="15"/>
        <v>#REF!</v>
      </c>
      <c r="AD147" s="130" t="str">
        <f t="shared" si="16"/>
        <v>#REF!</v>
      </c>
      <c r="AE147" s="130">
        <f t="shared" si="17"/>
        <v>10</v>
      </c>
      <c r="AF147" s="131" t="str">
        <f t="shared" si="112"/>
        <v>#REF!</v>
      </c>
      <c r="AG147" s="131" t="str">
        <f t="shared" si="18"/>
        <v>#REF!</v>
      </c>
      <c r="AH147" s="131" t="str">
        <f t="array" ref="AH147">INDEX(AG:AG,MIN(IF(ISNUMBER(AG147:AG343),ROW(AG147:AG343),"")))</f>
        <v/>
      </c>
      <c r="AI147" s="130" t="str">
        <f t="shared" si="113"/>
        <v>#REF!</v>
      </c>
      <c r="AJ147" s="130" t="str">
        <f>AI147*VLOOKUP('Données projet (1)'!$B$10,'Paramètres (1)'!$A$1:$I$88,3,0)*VLOOKUP('Données projet (1)'!$B$10,'Paramètres (1)'!$A$1:$I$88,5,0)</f>
        <v>#REF!</v>
      </c>
      <c r="AK147" s="130" t="str">
        <f t="shared" si="114"/>
        <v>#REF!</v>
      </c>
      <c r="AL147" s="141" t="str">
        <f t="shared" si="19"/>
        <v>#REF!</v>
      </c>
      <c r="AM147" s="133" t="str">
        <f t="shared" si="20"/>
        <v>#REF!</v>
      </c>
      <c r="AN147" s="133" t="str">
        <f t="shared" si="21"/>
        <v>#REF!</v>
      </c>
      <c r="AO147" s="133" t="str">
        <f t="shared" si="115"/>
        <v>#REF!</v>
      </c>
      <c r="AP147" s="134" t="str">
        <f t="shared" si="22"/>
        <v>#REF!</v>
      </c>
      <c r="AQ147" s="134" t="str">
        <f t="shared" si="23"/>
        <v>#REF!</v>
      </c>
      <c r="AR147" s="135" t="str">
        <f>IF(ISNA(VLOOKUP(A147,'Données projet (1)'!$A$61:$I$81,5,0)),0%,VLOOKUP(A147,'Données projet (1)'!$A$61:$I$81,5,0)*VLOOKUP('Données projet (1)'!$B$10,'Paramètres (1)'!$A$1:$I$88,7,0))</f>
        <v>#REF!</v>
      </c>
      <c r="AS147" s="135" t="str">
        <f>IF(ISNA(VLOOKUP(A147,'Données projet (1)'!$A$61:$I$81,6,0)),0%,VLOOKUP(A147,'Données projet (1)'!$A$61:$I$81,6,0)*VLOOKUP('Données projet (1)'!$B$10,'Paramètres (1)'!$A$1:$I$88,7,0))</f>
        <v>#REF!</v>
      </c>
      <c r="AT147" s="135" t="str">
        <f t="shared" si="24"/>
        <v>#REF!</v>
      </c>
      <c r="AU147" s="142" t="str">
        <f>EXP(-LN(2)/35)*AU146+(1-EXP(-LN(2)/35))/(LN(2)/35)*AQ147*AR147*VLOOKUP('Données projet (1)'!$B$10,'Paramètres (1)'!$A$1:$I$88,3,0)*0.475*44/12</f>
        <v>#REF!</v>
      </c>
      <c r="AV147" s="142" t="str">
        <f>EXP(-LN(2)/25)*AV146+(1-EXP(-LN(2)/25))/(LN(2)/25)*'Calculateur (1)'!AQ147*'Calculateur (1)'!AS147*VLOOKUP('Données projet (1)'!$B$10,'Paramètres (1)'!$A$1:$I$88,3,0)*0.475*44/12</f>
        <v>#REF!</v>
      </c>
      <c r="AW147" s="142" t="str">
        <f>EXP(-LN(2)/2)*AW146+(1-EXP(-LN(2)/2))/(LN(2)/2)*AQ147*AT147*VLOOKUP('Données projet (1)'!$B$10,'Paramètres (1)'!$A$1:$I$88,3,0)*0.475*44/12</f>
        <v>#REF!</v>
      </c>
      <c r="AX147" s="142" t="str">
        <f t="shared" si="25"/>
        <v>#REF!</v>
      </c>
      <c r="AY147" s="137" t="str">
        <f t="shared" si="26"/>
        <v>#REF!</v>
      </c>
      <c r="AZ147" s="131">
        <f t="shared" si="27"/>
        <v>10</v>
      </c>
      <c r="BA147" s="131" t="str">
        <f t="shared" si="116"/>
        <v>#REF!</v>
      </c>
      <c r="BB147" s="131" t="str">
        <f t="shared" si="28"/>
        <v>#REF!</v>
      </c>
      <c r="BC147" s="131" t="str">
        <f t="array" ref="BC147">INDEX(BB:BB,MIN(IF(ISNUMBER(BB147:BB343),ROW(BB147:BB343),"")))</f>
        <v/>
      </c>
      <c r="BD147" s="131" t="str">
        <f t="shared" si="117"/>
        <v>#REF!</v>
      </c>
      <c r="BE147" s="130" t="str">
        <f>BD147*VLOOKUP('Données projet (1)'!$B$11,'Paramètres (1)'!$A$1:$I$88,3,0)*VLOOKUP('Données projet (1)'!$B$11,'Paramètres (1)'!$A$1:$I$88,5,0)</f>
        <v>#REF!</v>
      </c>
      <c r="BF147" s="130" t="str">
        <f t="shared" si="118"/>
        <v>#REF!</v>
      </c>
      <c r="BG147" s="141" t="str">
        <f t="shared" si="29"/>
        <v>#REF!</v>
      </c>
      <c r="BH147" s="133" t="str">
        <f t="shared" si="30"/>
        <v>#REF!</v>
      </c>
      <c r="BI147" s="133" t="str">
        <f t="shared" si="31"/>
        <v>#REF!</v>
      </c>
      <c r="BJ147" s="133" t="str">
        <f t="shared" si="119"/>
        <v>#REF!</v>
      </c>
      <c r="BK147" s="134" t="str">
        <f t="shared" si="32"/>
        <v>#REF!</v>
      </c>
      <c r="BL147" s="134" t="str">
        <f t="shared" si="33"/>
        <v>#REF!</v>
      </c>
      <c r="BM147" s="135" t="str">
        <f>IF(ISNA(VLOOKUP(A147,'Données projet (1)'!$A$87:$I$107,5,0)),0%,VLOOKUP(A147,'Données projet (1)'!$A$87:$I$107,5,0)*VLOOKUP('Données projet (1)'!$B$11,'Paramètres (1)'!$A$1:$I$88,7,0))</f>
        <v>#REF!</v>
      </c>
      <c r="BN147" s="135" t="str">
        <f>IF(ISNA(VLOOKUP(A147,'Données projet (1)'!$A$87:$I$107,6,0)),0%,VLOOKUP(A147,'Données projet (1)'!$A$87:$I$107,6,0)*VLOOKUP('Données projet (1)'!$B$11,'Paramètres (1)'!$A$1:$I$88,7,0))</f>
        <v>#REF!</v>
      </c>
      <c r="BO147" s="135" t="str">
        <f t="shared" si="34"/>
        <v>#REF!</v>
      </c>
      <c r="BP147" s="142" t="str">
        <f>EXP(-LN(2)/35)*BP146+(1-EXP(-LN(2)/35))/(LN(2)/35)*BL147*BM147*VLOOKUP('Données projet (1)'!$B$11,'Paramètres (1)'!$A$1:$I$88,3,0)*0.475*44/12</f>
        <v>#REF!</v>
      </c>
      <c r="BQ147" s="142" t="str">
        <f>EXP(-LN(2)/25)*BQ146+(1-EXP(-LN(2)/25))/(LN(2)/25)*'Calculateur (1)'!BL147*'Calculateur (1)'!BN147*VLOOKUP('Données projet (1)'!$B$11,'Paramètres (1)'!$A$1:$I$88,3,0)*0.475*44/12</f>
        <v>#REF!</v>
      </c>
      <c r="BR147" s="142" t="str">
        <f>EXP(-LN(2)/2)*BR146+(1-EXP(-LN(2)/2))/(LN(2)/2)*BL147*BO147*VLOOKUP('Données projet (1)'!$B$11,'Paramètres (1)'!$A$1:$I$88,3,0)*0.475*44/12</f>
        <v>#REF!</v>
      </c>
      <c r="BS147" s="143" t="str">
        <f t="shared" si="35"/>
        <v>#REF!</v>
      </c>
      <c r="BT147" s="139" t="str">
        <f t="shared" si="36"/>
        <v>#REF!</v>
      </c>
      <c r="BU147" s="131">
        <f t="shared" si="37"/>
        <v>10</v>
      </c>
      <c r="BV147" s="131" t="str">
        <f t="shared" si="120"/>
        <v>#REF!</v>
      </c>
      <c r="BW147" s="131" t="str">
        <f t="shared" si="38"/>
        <v>#REF!</v>
      </c>
      <c r="BX147" s="131" t="str">
        <f t="array" ref="BX147">INDEX(BW:BW,MIN(IF(ISNUMBER(BW147:BW343),ROW(BW147:BW343),"")))</f>
        <v/>
      </c>
      <c r="BY147" s="131" t="str">
        <f t="shared" si="121"/>
        <v>#REF!</v>
      </c>
      <c r="BZ147" s="130" t="str">
        <f>BY147*VLOOKUP('Données projet (1)'!$B$12,'Paramètres (1)'!$A$1:$I$88,3,0)*VLOOKUP('Données projet (1)'!$B$12,'Paramètres (1)'!$A$1:$I$88,5,0)</f>
        <v>#REF!</v>
      </c>
      <c r="CA147" s="130" t="str">
        <f t="shared" si="122"/>
        <v>#REF!</v>
      </c>
      <c r="CB147" s="141" t="str">
        <f t="shared" si="39"/>
        <v>#REF!</v>
      </c>
      <c r="CC147" s="133" t="str">
        <f t="shared" si="40"/>
        <v>#REF!</v>
      </c>
      <c r="CD147" s="133" t="str">
        <f t="shared" si="41"/>
        <v>#REF!</v>
      </c>
      <c r="CE147" s="133" t="str">
        <f t="shared" si="123"/>
        <v>#REF!</v>
      </c>
      <c r="CF147" s="134" t="str">
        <f t="shared" si="42"/>
        <v>#REF!</v>
      </c>
      <c r="CG147" s="134" t="str">
        <f t="shared" si="43"/>
        <v>#REF!</v>
      </c>
      <c r="CH147" s="135" t="str">
        <f>IF(ISNA(VLOOKUP(A147,'Données projet (1)'!$A$113:$I$133,5,0)),0%,VLOOKUP(A147,'Données projet (1)'!$A$113:$I$133,5,0)*VLOOKUP('Données projet (1)'!$B$12,'Paramètres (1)'!$A$1:$I$88,7,0))</f>
        <v>#REF!</v>
      </c>
      <c r="CI147" s="135" t="str">
        <f>IF(ISNA(VLOOKUP(A147,'Données projet (1)'!$A$113:$I$133,6,0)),0%,VLOOKUP(A147,'Données projet (1)'!$A$113:$I$133,6,0)*VLOOKUP('Données projet (1)'!$B$12,'Paramètres (1)'!$A$1:$I$88,7,0))</f>
        <v>#REF!</v>
      </c>
      <c r="CJ147" s="135" t="str">
        <f t="shared" si="44"/>
        <v>#REF!</v>
      </c>
      <c r="CK147" s="142" t="str">
        <f>EXP(-LN(2)/35)*CK146+(1-EXP(-LN(2)/35))/(LN(2)/35)*CG147*CH147*VLOOKUP('Données projet (1)'!$B$12,'Paramètres (1)'!$A$1:$I$88,3,0)*0.475*44/12</f>
        <v>#REF!</v>
      </c>
      <c r="CL147" s="142" t="str">
        <f>EXP(-LN(2)/25)*CL146+(1-EXP(-LN(2)/25))/(LN(2)/25)*'Calculateur (1)'!CG147*'Calculateur (1)'!CI147*VLOOKUP('Données projet (1)'!$B$12,'Paramètres (1)'!$A$1:$I$88,3,0)*0.475*44/12</f>
        <v>#REF!</v>
      </c>
      <c r="CM147" s="142" t="str">
        <f>EXP(-LN(2)/2)*CM146+(1-EXP(-LN(2)/2))/(LN(2)/2)*CG147*CJ147*VLOOKUP('Données projet (1)'!$B$12,'Paramètres (1)'!$A$1:$I$88,3,0)*0.475*44/12</f>
        <v>#REF!</v>
      </c>
      <c r="CN147" s="143" t="str">
        <f t="shared" si="45"/>
        <v>#REF!</v>
      </c>
      <c r="CO147" s="139" t="str">
        <f t="shared" si="46"/>
        <v>#REF!</v>
      </c>
      <c r="CP147" s="131">
        <f t="shared" si="47"/>
        <v>10</v>
      </c>
      <c r="CQ147" s="131" t="str">
        <f t="shared" si="124"/>
        <v>#REF!</v>
      </c>
      <c r="CR147" s="131" t="str">
        <f t="shared" si="48"/>
        <v>#REF!</v>
      </c>
      <c r="CS147" s="131" t="str">
        <f t="array" ref="CS147">INDEX(CR:CR,MIN(IF(ISNUMBER(CR147:CR343),ROW(CR147:CR343),"")))</f>
        <v/>
      </c>
      <c r="CT147" s="131" t="str">
        <f t="shared" si="125"/>
        <v>#REF!</v>
      </c>
      <c r="CU147" s="138" t="str">
        <f>CT147*VLOOKUP('Données projet (1)'!$B$13,'Paramètres (1)'!$A$1:$I$88,3,0)*VLOOKUP('Données projet (1)'!$B$13,'Paramètres (1)'!$A$1:$I$88,5,0)</f>
        <v>#REF!</v>
      </c>
      <c r="CV147" s="130" t="str">
        <f t="shared" si="126"/>
        <v>#REF!</v>
      </c>
      <c r="CW147" s="141" t="str">
        <f t="shared" si="49"/>
        <v>#REF!</v>
      </c>
      <c r="CX147" s="133" t="str">
        <f t="shared" si="50"/>
        <v>#REF!</v>
      </c>
      <c r="CY147" s="133" t="str">
        <f t="shared" si="51"/>
        <v>#REF!</v>
      </c>
      <c r="CZ147" s="133" t="str">
        <f t="shared" si="127"/>
        <v>#REF!</v>
      </c>
      <c r="DA147" s="134" t="str">
        <f t="shared" si="52"/>
        <v>#REF!</v>
      </c>
      <c r="DB147" s="134" t="str">
        <f t="shared" si="53"/>
        <v>#REF!</v>
      </c>
      <c r="DC147" s="135" t="str">
        <f>IF(ISNA(VLOOKUP(A147,'Données projet (1)'!$A$139:$I$159,5,0)),0%,VLOOKUP(A147,'Données projet (1)'!$A$139:$I$159,5,0)*VLOOKUP('Données projet (1)'!$B$13,'Paramètres (1)'!$A$1:$I$88,7,0))</f>
        <v>#REF!</v>
      </c>
      <c r="DD147" s="135" t="str">
        <f>IF(ISNA(VLOOKUP(A147,'Données projet (1)'!$A$139:$I$159,6,0)),0%,VLOOKUP(A147,'Données projet (1)'!$A$139:$I$159,6,0)*VLOOKUP('Données projet (1)'!$B$13,'Paramètres (1)'!$A$1:$I$88,7,0))</f>
        <v>#REF!</v>
      </c>
      <c r="DE147" s="135" t="str">
        <f t="shared" si="54"/>
        <v>#REF!</v>
      </c>
      <c r="DF147" s="142" t="str">
        <f>EXP(-LN(2)/35)*DF146+(1-EXP(-LN(2)/35))/(LN(2)/35)*DB147*DC147*VLOOKUP('Données projet (1)'!$B$13,'Paramètres (1)'!$A$1:$I$88,3,0)*0.475*44/12</f>
        <v>#REF!</v>
      </c>
      <c r="DG147" s="142" t="str">
        <f>EXP(-LN(2)/25)*DG146+(1-EXP(-LN(2)/25))/(LN(2)/25)*'Calculateur (1)'!DB147*'Calculateur (1)'!DD147*VLOOKUP('Données projet (1)'!$B$13,'Paramètres (1)'!$A$1:$I$88,3,0)*0.475*44/12</f>
        <v>#REF!</v>
      </c>
      <c r="DH147" s="142" t="str">
        <f>EXP(-LN(2)/2)*DH146+(1-EXP(-LN(2)/2))/(LN(2)/2)*DB147*DE147*VLOOKUP('Données projet (1)'!$B$13,'Paramètres (1)'!$A$1:$I$88,3,0)*0.475*44/12</f>
        <v>#REF!</v>
      </c>
      <c r="DI147" s="143" t="str">
        <f t="shared" si="55"/>
        <v>#REF!</v>
      </c>
      <c r="DJ147" s="139" t="str">
        <f t="shared" si="56"/>
        <v>#REF!</v>
      </c>
      <c r="DK147" s="131">
        <f t="shared" si="57"/>
        <v>10</v>
      </c>
      <c r="DL147" s="131" t="str">
        <f t="shared" si="128"/>
        <v>#REF!</v>
      </c>
      <c r="DM147" s="131" t="str">
        <f t="shared" si="58"/>
        <v>#REF!</v>
      </c>
      <c r="DN147" s="131" t="str">
        <f t="array" ref="DN147">INDEX(DM:DM,MIN(IF(ISNUMBER(DM147:DM343),ROW(DM147:DM343),"")))</f>
        <v/>
      </c>
      <c r="DO147" s="131" t="str">
        <f t="shared" si="129"/>
        <v>#REF!</v>
      </c>
      <c r="DP147" s="138" t="str">
        <f>DO147*VLOOKUP('Données projet (1)'!$B$14,'Paramètres (1)'!$A$1:$I$88,3,0)*VLOOKUP('Données projet (1)'!$B$14,'Paramètres (1)'!$A$1:$I$88,5,0)</f>
        <v>#REF!</v>
      </c>
      <c r="DQ147" s="130" t="str">
        <f t="shared" si="130"/>
        <v>#REF!</v>
      </c>
      <c r="DR147" s="141" t="str">
        <f t="shared" si="59"/>
        <v>#REF!</v>
      </c>
      <c r="DS147" s="133" t="str">
        <f t="shared" si="60"/>
        <v>#REF!</v>
      </c>
      <c r="DT147" s="133" t="str">
        <f t="shared" si="61"/>
        <v>#REF!</v>
      </c>
      <c r="DU147" s="133" t="str">
        <f t="shared" si="131"/>
        <v>#REF!</v>
      </c>
      <c r="DV147" s="134" t="str">
        <f t="shared" si="62"/>
        <v>#REF!</v>
      </c>
      <c r="DW147" s="134" t="str">
        <f t="shared" si="63"/>
        <v>#REF!</v>
      </c>
      <c r="DX147" s="135" t="str">
        <f>IF(ISNA(VLOOKUP(A147,'Données projet (1)'!$A$165:$I$185,5,0)),0%,VLOOKUP(A147,'Données projet (1)'!$A$165:$I$185,5,0)*VLOOKUP('Données projet (1)'!$B$14,'Paramètres (1)'!$A$1:$I$88,7,0))</f>
        <v>#REF!</v>
      </c>
      <c r="DY147" s="135" t="str">
        <f>IF(ISNA(VLOOKUP(A147,'Données projet (1)'!$A$165:$I$185,6,0)),0%,VLOOKUP(A147,'Données projet (1)'!$A$165:$I$185,6,0)*VLOOKUP('Données projet (1)'!$B$14,'Paramètres (1)'!$A$1:$I$88,7,0))</f>
        <v>#REF!</v>
      </c>
      <c r="DZ147" s="135" t="str">
        <f t="shared" si="64"/>
        <v>#REF!</v>
      </c>
      <c r="EA147" s="142" t="str">
        <f>EXP(-LN(2)/35)*EA146+(1-EXP(-LN(2)/35))/(LN(2)/35)*DW147*DX147*VLOOKUP('Données projet (1)'!$B$14,'Paramètres (1)'!$A$1:$I$88,3,0)*0.475*44/12</f>
        <v>#REF!</v>
      </c>
      <c r="EB147" s="142" t="str">
        <f>EXP(-LN(2)/25)*EB146+(1-EXP(-LN(2)/25))/(LN(2)/25)*'Calculateur (1)'!DW147*'Calculateur (1)'!DY147*VLOOKUP('Données projet (1)'!$B$14,'Paramètres (1)'!$A$1:$I$88,3,0)*0.475*44/12</f>
        <v>#REF!</v>
      </c>
      <c r="EC147" s="142" t="str">
        <f>EXP(-LN(2)/2)*EC146+(1-EXP(-LN(2)/2))/(LN(2)/2)*DW147*DZ147*VLOOKUP('Données projet (1)'!$B$14,'Paramètres (1)'!$A$1:$I$88,3,0)*0.475*44/12</f>
        <v>#REF!</v>
      </c>
      <c r="ED147" s="143" t="str">
        <f t="shared" si="65"/>
        <v>#REF!</v>
      </c>
      <c r="EE147" s="139" t="str">
        <f t="shared" si="66"/>
        <v>#REF!</v>
      </c>
      <c r="EF147" s="131">
        <f t="shared" si="67"/>
        <v>10</v>
      </c>
      <c r="EG147" s="131" t="str">
        <f t="shared" si="132"/>
        <v>#REF!</v>
      </c>
      <c r="EH147" s="131" t="str">
        <f t="shared" si="68"/>
        <v>#REF!</v>
      </c>
      <c r="EI147" s="131" t="str">
        <f t="array" ref="EI147">INDEX(EH:EH,MIN(IF(ISNUMBER(EH147:EH343),ROW(EH147:EH343),"")))</f>
        <v/>
      </c>
      <c r="EJ147" s="131" t="str">
        <f t="shared" si="133"/>
        <v>#REF!</v>
      </c>
      <c r="EK147" s="138" t="str">
        <f>EJ147*VLOOKUP('Données projet (1)'!$B$15,'Paramètres (1)'!$A$1:$I$88,3,0)*VLOOKUP('Données projet (1)'!$B$15,'Paramètres (1)'!$A$1:$I$88,5,0)</f>
        <v>#REF!</v>
      </c>
      <c r="EL147" s="130" t="str">
        <f t="shared" si="134"/>
        <v>#REF!</v>
      </c>
      <c r="EM147" s="141" t="str">
        <f t="shared" si="69"/>
        <v>#REF!</v>
      </c>
      <c r="EN147" s="133" t="str">
        <f t="shared" si="70"/>
        <v>#REF!</v>
      </c>
      <c r="EO147" s="133" t="str">
        <f t="shared" si="71"/>
        <v>#REF!</v>
      </c>
      <c r="EP147" s="133" t="str">
        <f t="shared" si="135"/>
        <v>#REF!</v>
      </c>
      <c r="EQ147" s="134" t="str">
        <f t="shared" si="72"/>
        <v>#REF!</v>
      </c>
      <c r="ER147" s="134" t="str">
        <f t="shared" si="73"/>
        <v>#REF!</v>
      </c>
      <c r="ES147" s="135" t="str">
        <f>IF(ISNA(VLOOKUP(A147,'Données projet (1)'!$A$191:$I$211,5,0)),0%,VLOOKUP(A147,'Données projet (1)'!$A$191:$I$211,5,0)*VLOOKUP('Données projet (1)'!$B$15,'Paramètres (1)'!$A$1:$I$88,7,0))</f>
        <v>#REF!</v>
      </c>
      <c r="ET147" s="135" t="str">
        <f>IF(ISNA(VLOOKUP(A147,'Données projet (1)'!$A$191:$I$211,6,0)),0%,VLOOKUP(A147,'Données projet (1)'!$A$191:$I$211,6,0)*VLOOKUP('Données projet (1)'!$B$15,'Paramètres (1)'!$A$1:$I$88,7,0))</f>
        <v>#REF!</v>
      </c>
      <c r="EU147" s="135" t="str">
        <f t="shared" si="74"/>
        <v>#REF!</v>
      </c>
      <c r="EV147" s="142" t="str">
        <f>EXP(-LN(2)/35)*EV146+(1-EXP(-LN(2)/35))/(LN(2)/35)*ER147*ES147*VLOOKUP('Données projet (1)'!$B$15,'Paramètres (1)'!$A$1:$I$88,3,0)*0.475*44/12</f>
        <v>#REF!</v>
      </c>
      <c r="EW147" s="142" t="str">
        <f>EXP(-LN(2)/25)*EW146+(1-EXP(-LN(2)/25))/(LN(2)/25)*'Calculateur (1)'!ER147*'Calculateur (1)'!ET147*VLOOKUP('Données projet (1)'!$B$15,'Paramètres (1)'!$A$1:$I$88,3,0)*0.475*44/12</f>
        <v>#REF!</v>
      </c>
      <c r="EX147" s="142" t="str">
        <f>EXP(-LN(2)/2)*EX146+(1-EXP(-LN(2)/2))/(LN(2)/2)*ER147*EU147*VLOOKUP('Données projet (1)'!$B$15,'Paramètres (1)'!$A$1:$I$88,3,0)*0.475*44/12</f>
        <v>#REF!</v>
      </c>
      <c r="EY147" s="143" t="str">
        <f t="shared" si="75"/>
        <v>#REF!</v>
      </c>
      <c r="EZ147" s="139" t="str">
        <f t="shared" si="76"/>
        <v>#REF!</v>
      </c>
      <c r="FA147" s="131">
        <f t="shared" si="77"/>
        <v>10</v>
      </c>
      <c r="FB147" s="131" t="str">
        <f t="shared" si="136"/>
        <v>#REF!</v>
      </c>
      <c r="FC147" s="131" t="str">
        <f t="shared" si="78"/>
        <v>#REF!</v>
      </c>
      <c r="FD147" s="131" t="str">
        <f t="array" ref="FD147">INDEX(FC:FC,MIN(IF(ISNUMBER(FC147:FC343),ROW(FC147:FC343),"")))</f>
        <v/>
      </c>
      <c r="FE147" s="131" t="str">
        <f t="shared" si="137"/>
        <v>#REF!</v>
      </c>
      <c r="FF147" s="138" t="str">
        <f>FE147*VLOOKUP('Données projet (1)'!$B$16,'Paramètres (1)'!$A$1:$I$88,3,0)*VLOOKUP('Données projet (1)'!$B$16,'Paramètres (1)'!$A$1:$I$88,5,0)</f>
        <v>#REF!</v>
      </c>
      <c r="FG147" s="130" t="str">
        <f t="shared" si="138"/>
        <v>#REF!</v>
      </c>
      <c r="FH147" s="141" t="str">
        <f t="shared" si="79"/>
        <v>#REF!</v>
      </c>
      <c r="FI147" s="133" t="str">
        <f t="shared" si="80"/>
        <v>#REF!</v>
      </c>
      <c r="FJ147" s="133" t="str">
        <f t="shared" si="81"/>
        <v>#REF!</v>
      </c>
      <c r="FK147" s="133" t="str">
        <f t="shared" si="139"/>
        <v>#REF!</v>
      </c>
      <c r="FL147" s="134" t="str">
        <f t="shared" si="82"/>
        <v>#REF!</v>
      </c>
      <c r="FM147" s="134" t="str">
        <f t="shared" si="83"/>
        <v>#REF!</v>
      </c>
      <c r="FN147" s="135" t="str">
        <f>IF(ISNA(VLOOKUP(A147,'Données projet (1)'!$A$217:$I$237,5,0)),0%,VLOOKUP(A147,'Données projet (1)'!$A$217:$I$237,5,0)*VLOOKUP('Données projet (1)'!$B$16,'Paramètres (1)'!$A$1:$I$88,7,0))</f>
        <v>#REF!</v>
      </c>
      <c r="FO147" s="135" t="str">
        <f>IF(ISNA(VLOOKUP(A147,'Données projet (1)'!$A$217:$I$237,6,0)),0%,VLOOKUP(A147,'Données projet (1)'!$A$217:$I$237,6,0)*VLOOKUP('Données projet (1)'!$B$16,'Paramètres (1)'!$A$1:$I$88,7,0))</f>
        <v>#REF!</v>
      </c>
      <c r="FP147" s="135" t="str">
        <f t="shared" si="84"/>
        <v>#REF!</v>
      </c>
      <c r="FQ147" s="142" t="str">
        <f>EXP(-LN(2)/35)*FQ146+(1-EXP(-LN(2)/35))/(LN(2)/35)*FM147*FN147*VLOOKUP('Données projet (1)'!$B$16,'Paramètres (1)'!$A$1:$I$88,3,0)*0.475*44/12</f>
        <v>#REF!</v>
      </c>
      <c r="FR147" s="142" t="str">
        <f>EXP(-LN(2)/25)*FR146+(1-EXP(-LN(2)/25))/(LN(2)/25)*'Calculateur (1)'!FM147*'Calculateur (1)'!FO147*VLOOKUP('Données projet (1)'!$B$16,'Paramètres (1)'!$A$1:$I$88,3,0)*0.475*44/12</f>
        <v>#REF!</v>
      </c>
      <c r="FS147" s="142" t="str">
        <f>EXP(-LN(2)/2)*FS146+(1-EXP(-LN(2)/2))/(LN(2)/2)*FM147*FP147*VLOOKUP('Données projet (1)'!$B$16,'Paramètres (1)'!$A$1:$I$88,3,0)*0.475*44/12</f>
        <v>#REF!</v>
      </c>
      <c r="FT147" s="143" t="str">
        <f t="shared" si="85"/>
        <v>#REF!</v>
      </c>
      <c r="FU147" s="139" t="str">
        <f t="shared" si="86"/>
        <v>#REF!</v>
      </c>
      <c r="FV147" s="131">
        <f t="shared" si="87"/>
        <v>10</v>
      </c>
      <c r="FW147" s="131" t="str">
        <f t="shared" si="140"/>
        <v>#REF!</v>
      </c>
      <c r="FX147" s="131" t="str">
        <f t="shared" si="88"/>
        <v>#REF!</v>
      </c>
      <c r="FY147" s="131" t="str">
        <f t="array" ref="FY147">INDEX(FX:FX,MIN(IF(ISNUMBER(FX147:FX343),ROW(FX147:FX343),"")))</f>
        <v/>
      </c>
      <c r="FZ147" s="131" t="str">
        <f t="shared" si="141"/>
        <v>#REF!</v>
      </c>
      <c r="GA147" s="138" t="str">
        <f>FZ147*VLOOKUP('Données projet (1)'!$B$17,'Paramètres (1)'!$A$1:$I$88,3,0)*VLOOKUP('Données projet (1)'!$B$17,'Paramètres (1)'!$A$1:$I$88,5,0)</f>
        <v>#REF!</v>
      </c>
      <c r="GB147" s="130" t="str">
        <f t="shared" si="142"/>
        <v>#REF!</v>
      </c>
      <c r="GC147" s="141" t="str">
        <f t="shared" si="89"/>
        <v>#REF!</v>
      </c>
      <c r="GD147" s="133" t="str">
        <f t="shared" si="90"/>
        <v>#REF!</v>
      </c>
      <c r="GE147" s="133" t="str">
        <f t="shared" si="91"/>
        <v>#REF!</v>
      </c>
      <c r="GF147" s="133" t="str">
        <f t="shared" si="143"/>
        <v>#REF!</v>
      </c>
      <c r="GG147" s="134" t="str">
        <f t="shared" si="92"/>
        <v>#REF!</v>
      </c>
      <c r="GH147" s="134" t="str">
        <f t="shared" si="93"/>
        <v>#REF!</v>
      </c>
      <c r="GI147" s="135" t="str">
        <f>IF(ISNA(VLOOKUP(A147,'Données projet (1)'!$A$243:$I$263,5,0)),0%,VLOOKUP(A147,'Données projet (1)'!$A$243:$I$263,5,0)*VLOOKUP('Données projet (1)'!$B$17,'Paramètres (1)'!$A$1:$I$88,7,0))</f>
        <v>#REF!</v>
      </c>
      <c r="GJ147" s="135" t="str">
        <f>IF(ISNA(VLOOKUP(A147,'Données projet (1)'!$A$243:$I$263,6,0)),0%,VLOOKUP(A147,'Données projet (1)'!$A$243:$I$263,6,0)*VLOOKUP('Données projet (1)'!$B$17,'Paramètres (1)'!$A$1:$I$88,7,0))</f>
        <v>#REF!</v>
      </c>
      <c r="GK147" s="135" t="str">
        <f t="shared" si="94"/>
        <v>#REF!</v>
      </c>
      <c r="GL147" s="142" t="str">
        <f>EXP(-LN(2)/35)*GL146+(1-EXP(-LN(2)/35))/(LN(2)/35)*GH147*GI147*VLOOKUP('Données projet (1)'!$B$17,'Paramètres (1)'!$A$1:$I$88,3,0)*0.475*44/12</f>
        <v>#REF!</v>
      </c>
      <c r="GM147" s="142" t="str">
        <f>EXP(-LN(2)/25)*GM146+(1-EXP(-LN(2)/25))/(LN(2)/25)*'Calculateur (1)'!GH147*'Calculateur (1)'!GJ147*VLOOKUP('Données projet (1)'!$B$17,'Paramètres (1)'!$A$1:$I$88,3,0)*0.475*44/12</f>
        <v>#REF!</v>
      </c>
      <c r="GN147" s="142" t="str">
        <f>EXP(-LN(2)/2)*GN146+(1-EXP(-LN(2)/2))/(LN(2)/2)*GH147*GK147*VLOOKUP('Données projet (1)'!$B$17,'Paramètres (1)'!$A$1:$I$88,3,0)*0.475*44/12</f>
        <v>#REF!</v>
      </c>
      <c r="GO147" s="142" t="str">
        <f t="shared" si="95"/>
        <v>#REF!</v>
      </c>
      <c r="GP147" s="139" t="str">
        <f t="shared" si="96"/>
        <v>#REF!</v>
      </c>
      <c r="GQ147" s="131">
        <f t="shared" si="97"/>
        <v>10</v>
      </c>
      <c r="GR147" s="131" t="str">
        <f t="shared" si="144"/>
        <v>#REF!</v>
      </c>
      <c r="GS147" s="131" t="str">
        <f t="shared" si="98"/>
        <v>#REF!</v>
      </c>
      <c r="GT147" s="131" t="str">
        <f t="array" ref="GT147">INDEX(GS:GS,MIN(IF(ISNUMBER(GS147:GS343),ROW(GS147:GS343),"")))</f>
        <v/>
      </c>
      <c r="GU147" s="131" t="str">
        <f t="shared" si="145"/>
        <v>#REF!</v>
      </c>
      <c r="GV147" s="138" t="str">
        <f>GU147*VLOOKUP('Données projet (1)'!$B$18,'Paramètres (1)'!$A$1:$I$88,3,0)*VLOOKUP('Données projet (1)'!$B$18,'Paramètres (1)'!$A$1:$I$88,5,0)</f>
        <v>#REF!</v>
      </c>
      <c r="GW147" s="130" t="str">
        <f t="shared" si="146"/>
        <v>#REF!</v>
      </c>
      <c r="GX147" s="141" t="str">
        <f t="shared" si="99"/>
        <v>#REF!</v>
      </c>
      <c r="GY147" s="133" t="str">
        <f t="shared" si="100"/>
        <v>#REF!</v>
      </c>
      <c r="GZ147" s="133" t="str">
        <f t="shared" si="101"/>
        <v>#REF!</v>
      </c>
      <c r="HA147" s="133" t="str">
        <f t="shared" si="147"/>
        <v>#REF!</v>
      </c>
      <c r="HB147" s="134" t="str">
        <f t="shared" si="102"/>
        <v>#REF!</v>
      </c>
      <c r="HC147" s="134" t="str">
        <f t="shared" si="103"/>
        <v>#REF!</v>
      </c>
      <c r="HD147" s="135" t="str">
        <f>IF(ISNA(VLOOKUP(A147,'Données projet (1)'!$A$269:$I$289,5,0)),0%,VLOOKUP(A147,'Données projet (1)'!$A$269:$I$289,5,0)*VLOOKUP('Données projet (1)'!$B$18,'Paramètres (1)'!$A$1:$I$88,7,0))</f>
        <v>#REF!</v>
      </c>
      <c r="HE147" s="135" t="str">
        <f>IF(ISNA(VLOOKUP(A147,'Données projet (1)'!$A$269:$I$289,6,0)),0%,VLOOKUP(A147,'Données projet (1)'!$A$269:$I$289,6,0)*VLOOKUP('Données projet (1)'!$B$18,'Paramètres (1)'!$A$1:$I$88,7,0))</f>
        <v>#REF!</v>
      </c>
      <c r="HF147" s="135" t="str">
        <f t="shared" si="104"/>
        <v>#REF!</v>
      </c>
      <c r="HG147" s="142" t="str">
        <f>EXP(-LN(2)/35)*HG146+(1-EXP(-LN(2)/35))/(LN(2)/35)*HC147*HD147*VLOOKUP('Données projet (1)'!$B$18,'Paramètres (1)'!$A$1:$I$88,3,0)*0.475*44/12</f>
        <v>#REF!</v>
      </c>
      <c r="HH147" s="142" t="str">
        <f>EXP(-LN(2)/25)*HH146+(1-EXP(-LN(2)/25))/(LN(2)/25)*'Calculateur (1)'!HC147*'Calculateur (1)'!HE147*VLOOKUP('Données projet (1)'!$B$18,'Paramètres (1)'!$A$1:$I$88,3,0)*0.475*44/12</f>
        <v>#REF!</v>
      </c>
      <c r="HI147" s="142" t="str">
        <f>EXP(-LN(2)/2)*HI146+(1-EXP(-LN(2)/2))/(LN(2)/2)*HC147*HF147*VLOOKUP('Données projet (1)'!$B$18,'Paramètres (1)'!$A$1:$I$88,3,0)*0.475*44/12</f>
        <v>#REF!</v>
      </c>
      <c r="HJ147" s="143" t="str">
        <f t="shared" si="105"/>
        <v>#REF!</v>
      </c>
    </row>
    <row r="148" ht="14.25" customHeight="1">
      <c r="A148" s="125">
        <f t="shared" si="106"/>
        <v>145</v>
      </c>
      <c r="B148" s="126" t="str">
        <f t="shared" si="1"/>
        <v>#REF!</v>
      </c>
      <c r="C148" s="140" t="str">
        <f>'Calculateur (1)'!C147+'Scénario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8" s="127">
        <f t="shared" si="107"/>
        <v>0</v>
      </c>
      <c r="E148" s="127" t="str">
        <f t="shared" si="2"/>
        <v>#REF!</v>
      </c>
      <c r="F148" s="127" t="str">
        <f t="shared" si="3"/>
        <v>#REF!</v>
      </c>
      <c r="G148" s="127" t="str">
        <f t="shared" si="4"/>
        <v>#REF!</v>
      </c>
      <c r="H148" s="128" t="str">
        <f t="shared" si="5"/>
        <v>#REF!</v>
      </c>
      <c r="I148" s="129" t="str">
        <f t="shared" si="6"/>
        <v>#REF!</v>
      </c>
      <c r="J148" s="130">
        <f t="shared" si="7"/>
        <v>10</v>
      </c>
      <c r="K148" s="131" t="str">
        <f t="shared" si="108"/>
        <v>#REF!</v>
      </c>
      <c r="L148" s="131" t="str">
        <f t="shared" si="8"/>
        <v>#REF!</v>
      </c>
      <c r="M148" s="131" t="str">
        <f t="array" ref="M148">INDEX(L:L,MIN(IF(ISNUMBER(L148:L344),ROW(L148:L344),"")))</f>
        <v/>
      </c>
      <c r="N148" s="130" t="str">
        <f t="shared" si="109"/>
        <v>#REF!</v>
      </c>
      <c r="O148" s="130" t="str">
        <f>N148*VLOOKUP('Données projet (1)'!$B$9,'Paramètres (1)'!$A$1:$I$88,3,0)*VLOOKUP('Données projet (1)'!$B$9,'Paramètres (1)'!$A$1:$I$88,5,0)</f>
        <v>#REF!</v>
      </c>
      <c r="P148" s="130" t="str">
        <f t="shared" si="110"/>
        <v>#REF!</v>
      </c>
      <c r="Q148" s="141" t="str">
        <f t="shared" si="9"/>
        <v>#REF!</v>
      </c>
      <c r="R148" s="133" t="str">
        <f t="shared" si="10"/>
        <v>#REF!</v>
      </c>
      <c r="S148" s="133" t="str">
        <f t="shared" si="11"/>
        <v>#REF!</v>
      </c>
      <c r="T148" s="133" t="str">
        <f t="shared" si="111"/>
        <v>#REF!</v>
      </c>
      <c r="U148" s="134" t="str">
        <f t="shared" si="12"/>
        <v>#REF!</v>
      </c>
      <c r="V148" s="134" t="str">
        <f t="shared" si="13"/>
        <v>#REF!</v>
      </c>
      <c r="W148" s="135" t="str">
        <f>IF(ISNA(VLOOKUP(A148,'Données projet (1)'!$A$35:$I$55,5,0)),0%,VLOOKUP(A148,'Données projet (1)'!$A$35:$I$55,5,0)*VLOOKUP('Données projet (1)'!$B$9,'Paramètres (1)'!$A$1:$I$88,7,0))</f>
        <v>#REF!</v>
      </c>
      <c r="X148" s="135" t="str">
        <f>IF(ISNA(VLOOKUP(A148,'Données projet (1)'!$A$35:$I$55,6,0)),0%,VLOOKUP(A148,'Données projet (1)'!$A$35:$I$55,6,0)*VLOOKUP('Données projet (1)'!$B$9,'Paramètres (1)'!$A$1:$I$88,7,0))</f>
        <v>#REF!</v>
      </c>
      <c r="Y148" s="135" t="str">
        <f t="shared" si="14"/>
        <v>#REF!</v>
      </c>
      <c r="Z148" s="142" t="str">
        <f>EXP(-LN(2)/35)*Z147+(1-EXP(-LN(2)/35))/(LN(2)/35)*V148*W148*VLOOKUP('Données projet (1)'!$B$9,'Paramètres (1)'!$A$1:$I$88,3,0)*0.475*44/12</f>
        <v>#REF!</v>
      </c>
      <c r="AA148" s="142" t="str">
        <f>EXP(-LN(2)/25)*AA147+(1-EXP(-LN(2)/25))/(LN(2)/25)*'Calculateur (1)'!V148*'Calculateur (1)'!X148*VLOOKUP('Données projet (1)'!$B$9,'Paramètres (1)'!$A$1:$I$88,3,0)*0.475*44/12</f>
        <v>#REF!</v>
      </c>
      <c r="AB148" s="142" t="str">
        <f>EXP(-LN(2)/2)*AB147+(1-EXP(-LN(2)/2))/(LN(2)/2)*V148*Y148*VLOOKUP('Données projet (1)'!$B$9,'Paramètres (1)'!$A$1:$I$88,3,0)*0.475*44/12</f>
        <v>#REF!</v>
      </c>
      <c r="AC148" s="143" t="str">
        <f t="shared" si="15"/>
        <v>#REF!</v>
      </c>
      <c r="AD148" s="130" t="str">
        <f t="shared" si="16"/>
        <v>#REF!</v>
      </c>
      <c r="AE148" s="130">
        <f t="shared" si="17"/>
        <v>10</v>
      </c>
      <c r="AF148" s="131" t="str">
        <f t="shared" si="112"/>
        <v>#REF!</v>
      </c>
      <c r="AG148" s="131" t="str">
        <f t="shared" si="18"/>
        <v>#REF!</v>
      </c>
      <c r="AH148" s="131" t="str">
        <f t="array" ref="AH148">INDEX(AG:AG,MIN(IF(ISNUMBER(AG148:AG344),ROW(AG148:AG344),"")))</f>
        <v/>
      </c>
      <c r="AI148" s="130" t="str">
        <f t="shared" si="113"/>
        <v>#REF!</v>
      </c>
      <c r="AJ148" s="130" t="str">
        <f>AI148*VLOOKUP('Données projet (1)'!$B$10,'Paramètres (1)'!$A$1:$I$88,3,0)*VLOOKUP('Données projet (1)'!$B$10,'Paramètres (1)'!$A$1:$I$88,5,0)</f>
        <v>#REF!</v>
      </c>
      <c r="AK148" s="130" t="str">
        <f t="shared" si="114"/>
        <v>#REF!</v>
      </c>
      <c r="AL148" s="141" t="str">
        <f t="shared" si="19"/>
        <v>#REF!</v>
      </c>
      <c r="AM148" s="133" t="str">
        <f t="shared" si="20"/>
        <v>#REF!</v>
      </c>
      <c r="AN148" s="133" t="str">
        <f t="shared" si="21"/>
        <v>#REF!</v>
      </c>
      <c r="AO148" s="133" t="str">
        <f t="shared" si="115"/>
        <v>#REF!</v>
      </c>
      <c r="AP148" s="134" t="str">
        <f t="shared" si="22"/>
        <v>#REF!</v>
      </c>
      <c r="AQ148" s="134" t="str">
        <f t="shared" si="23"/>
        <v>#REF!</v>
      </c>
      <c r="AR148" s="135" t="str">
        <f>IF(ISNA(VLOOKUP(A148,'Données projet (1)'!$A$61:$I$81,5,0)),0%,VLOOKUP(A148,'Données projet (1)'!$A$61:$I$81,5,0)*VLOOKUP('Données projet (1)'!$B$10,'Paramètres (1)'!$A$1:$I$88,7,0))</f>
        <v>#REF!</v>
      </c>
      <c r="AS148" s="135" t="str">
        <f>IF(ISNA(VLOOKUP(A148,'Données projet (1)'!$A$61:$I$81,6,0)),0%,VLOOKUP(A148,'Données projet (1)'!$A$61:$I$81,6,0)*VLOOKUP('Données projet (1)'!$B$10,'Paramètres (1)'!$A$1:$I$88,7,0))</f>
        <v>#REF!</v>
      </c>
      <c r="AT148" s="135" t="str">
        <f t="shared" si="24"/>
        <v>#REF!</v>
      </c>
      <c r="AU148" s="142" t="str">
        <f>EXP(-LN(2)/35)*AU147+(1-EXP(-LN(2)/35))/(LN(2)/35)*AQ148*AR148*VLOOKUP('Données projet (1)'!$B$10,'Paramètres (1)'!$A$1:$I$88,3,0)*0.475*44/12</f>
        <v>#REF!</v>
      </c>
      <c r="AV148" s="142" t="str">
        <f>EXP(-LN(2)/25)*AV147+(1-EXP(-LN(2)/25))/(LN(2)/25)*'Calculateur (1)'!AQ148*'Calculateur (1)'!AS148*VLOOKUP('Données projet (1)'!$B$10,'Paramètres (1)'!$A$1:$I$88,3,0)*0.475*44/12</f>
        <v>#REF!</v>
      </c>
      <c r="AW148" s="142" t="str">
        <f>EXP(-LN(2)/2)*AW147+(1-EXP(-LN(2)/2))/(LN(2)/2)*AQ148*AT148*VLOOKUP('Données projet (1)'!$B$10,'Paramètres (1)'!$A$1:$I$88,3,0)*0.475*44/12</f>
        <v>#REF!</v>
      </c>
      <c r="AX148" s="142" t="str">
        <f t="shared" si="25"/>
        <v>#REF!</v>
      </c>
      <c r="AY148" s="137" t="str">
        <f t="shared" si="26"/>
        <v>#REF!</v>
      </c>
      <c r="AZ148" s="131">
        <f t="shared" si="27"/>
        <v>10</v>
      </c>
      <c r="BA148" s="131" t="str">
        <f t="shared" si="116"/>
        <v>#REF!</v>
      </c>
      <c r="BB148" s="131" t="str">
        <f t="shared" si="28"/>
        <v>#REF!</v>
      </c>
      <c r="BC148" s="131" t="str">
        <f t="array" ref="BC148">INDEX(BB:BB,MIN(IF(ISNUMBER(BB148:BB344),ROW(BB148:BB344),"")))</f>
        <v/>
      </c>
      <c r="BD148" s="131" t="str">
        <f t="shared" si="117"/>
        <v>#REF!</v>
      </c>
      <c r="BE148" s="130" t="str">
        <f>BD148*VLOOKUP('Données projet (1)'!$B$11,'Paramètres (1)'!$A$1:$I$88,3,0)*VLOOKUP('Données projet (1)'!$B$11,'Paramètres (1)'!$A$1:$I$88,5,0)</f>
        <v>#REF!</v>
      </c>
      <c r="BF148" s="130" t="str">
        <f t="shared" si="118"/>
        <v>#REF!</v>
      </c>
      <c r="BG148" s="141" t="str">
        <f t="shared" si="29"/>
        <v>#REF!</v>
      </c>
      <c r="BH148" s="133" t="str">
        <f t="shared" si="30"/>
        <v>#REF!</v>
      </c>
      <c r="BI148" s="133" t="str">
        <f t="shared" si="31"/>
        <v>#REF!</v>
      </c>
      <c r="BJ148" s="133" t="str">
        <f t="shared" si="119"/>
        <v>#REF!</v>
      </c>
      <c r="BK148" s="134" t="str">
        <f t="shared" si="32"/>
        <v>#REF!</v>
      </c>
      <c r="BL148" s="134" t="str">
        <f t="shared" si="33"/>
        <v>#REF!</v>
      </c>
      <c r="BM148" s="135" t="str">
        <f>IF(ISNA(VLOOKUP(A148,'Données projet (1)'!$A$87:$I$107,5,0)),0%,VLOOKUP(A148,'Données projet (1)'!$A$87:$I$107,5,0)*VLOOKUP('Données projet (1)'!$B$11,'Paramètres (1)'!$A$1:$I$88,7,0))</f>
        <v>#REF!</v>
      </c>
      <c r="BN148" s="135" t="str">
        <f>IF(ISNA(VLOOKUP(A148,'Données projet (1)'!$A$87:$I$107,6,0)),0%,VLOOKUP(A148,'Données projet (1)'!$A$87:$I$107,6,0)*VLOOKUP('Données projet (1)'!$B$11,'Paramètres (1)'!$A$1:$I$88,7,0))</f>
        <v>#REF!</v>
      </c>
      <c r="BO148" s="135" t="str">
        <f t="shared" si="34"/>
        <v>#REF!</v>
      </c>
      <c r="BP148" s="142" t="str">
        <f>EXP(-LN(2)/35)*BP147+(1-EXP(-LN(2)/35))/(LN(2)/35)*BL148*BM148*VLOOKUP('Données projet (1)'!$B$11,'Paramètres (1)'!$A$1:$I$88,3,0)*0.475*44/12</f>
        <v>#REF!</v>
      </c>
      <c r="BQ148" s="142" t="str">
        <f>EXP(-LN(2)/25)*BQ147+(1-EXP(-LN(2)/25))/(LN(2)/25)*'Calculateur (1)'!BL148*'Calculateur (1)'!BN148*VLOOKUP('Données projet (1)'!$B$11,'Paramètres (1)'!$A$1:$I$88,3,0)*0.475*44/12</f>
        <v>#REF!</v>
      </c>
      <c r="BR148" s="142" t="str">
        <f>EXP(-LN(2)/2)*BR147+(1-EXP(-LN(2)/2))/(LN(2)/2)*BL148*BO148*VLOOKUP('Données projet (1)'!$B$11,'Paramètres (1)'!$A$1:$I$88,3,0)*0.475*44/12</f>
        <v>#REF!</v>
      </c>
      <c r="BS148" s="143" t="str">
        <f t="shared" si="35"/>
        <v>#REF!</v>
      </c>
      <c r="BT148" s="139" t="str">
        <f t="shared" si="36"/>
        <v>#REF!</v>
      </c>
      <c r="BU148" s="131">
        <f t="shared" si="37"/>
        <v>10</v>
      </c>
      <c r="BV148" s="131" t="str">
        <f t="shared" si="120"/>
        <v>#REF!</v>
      </c>
      <c r="BW148" s="131" t="str">
        <f t="shared" si="38"/>
        <v>#REF!</v>
      </c>
      <c r="BX148" s="131" t="str">
        <f t="array" ref="BX148">INDEX(BW:BW,MIN(IF(ISNUMBER(BW148:BW344),ROW(BW148:BW344),"")))</f>
        <v/>
      </c>
      <c r="BY148" s="131" t="str">
        <f t="shared" si="121"/>
        <v>#REF!</v>
      </c>
      <c r="BZ148" s="130" t="str">
        <f>BY148*VLOOKUP('Données projet (1)'!$B$12,'Paramètres (1)'!$A$1:$I$88,3,0)*VLOOKUP('Données projet (1)'!$B$12,'Paramètres (1)'!$A$1:$I$88,5,0)</f>
        <v>#REF!</v>
      </c>
      <c r="CA148" s="130" t="str">
        <f t="shared" si="122"/>
        <v>#REF!</v>
      </c>
      <c r="CB148" s="141" t="str">
        <f t="shared" si="39"/>
        <v>#REF!</v>
      </c>
      <c r="CC148" s="133" t="str">
        <f t="shared" si="40"/>
        <v>#REF!</v>
      </c>
      <c r="CD148" s="133" t="str">
        <f t="shared" si="41"/>
        <v>#REF!</v>
      </c>
      <c r="CE148" s="133" t="str">
        <f t="shared" si="123"/>
        <v>#REF!</v>
      </c>
      <c r="CF148" s="134" t="str">
        <f t="shared" si="42"/>
        <v>#REF!</v>
      </c>
      <c r="CG148" s="134" t="str">
        <f t="shared" si="43"/>
        <v>#REF!</v>
      </c>
      <c r="CH148" s="135" t="str">
        <f>IF(ISNA(VLOOKUP(A148,'Données projet (1)'!$A$113:$I$133,5,0)),0%,VLOOKUP(A148,'Données projet (1)'!$A$113:$I$133,5,0)*VLOOKUP('Données projet (1)'!$B$12,'Paramètres (1)'!$A$1:$I$88,7,0))</f>
        <v>#REF!</v>
      </c>
      <c r="CI148" s="135" t="str">
        <f>IF(ISNA(VLOOKUP(A148,'Données projet (1)'!$A$113:$I$133,6,0)),0%,VLOOKUP(A148,'Données projet (1)'!$A$113:$I$133,6,0)*VLOOKUP('Données projet (1)'!$B$12,'Paramètres (1)'!$A$1:$I$88,7,0))</f>
        <v>#REF!</v>
      </c>
      <c r="CJ148" s="135" t="str">
        <f t="shared" si="44"/>
        <v>#REF!</v>
      </c>
      <c r="CK148" s="142" t="str">
        <f>EXP(-LN(2)/35)*CK147+(1-EXP(-LN(2)/35))/(LN(2)/35)*CG148*CH148*VLOOKUP('Données projet (1)'!$B$12,'Paramètres (1)'!$A$1:$I$88,3,0)*0.475*44/12</f>
        <v>#REF!</v>
      </c>
      <c r="CL148" s="142" t="str">
        <f>EXP(-LN(2)/25)*CL147+(1-EXP(-LN(2)/25))/(LN(2)/25)*'Calculateur (1)'!CG148*'Calculateur (1)'!CI148*VLOOKUP('Données projet (1)'!$B$12,'Paramètres (1)'!$A$1:$I$88,3,0)*0.475*44/12</f>
        <v>#REF!</v>
      </c>
      <c r="CM148" s="142" t="str">
        <f>EXP(-LN(2)/2)*CM147+(1-EXP(-LN(2)/2))/(LN(2)/2)*CG148*CJ148*VLOOKUP('Données projet (1)'!$B$12,'Paramètres (1)'!$A$1:$I$88,3,0)*0.475*44/12</f>
        <v>#REF!</v>
      </c>
      <c r="CN148" s="143" t="str">
        <f t="shared" si="45"/>
        <v>#REF!</v>
      </c>
      <c r="CO148" s="139" t="str">
        <f t="shared" si="46"/>
        <v>#REF!</v>
      </c>
      <c r="CP148" s="131">
        <f t="shared" si="47"/>
        <v>10</v>
      </c>
      <c r="CQ148" s="131" t="str">
        <f t="shared" si="124"/>
        <v>#REF!</v>
      </c>
      <c r="CR148" s="131" t="str">
        <f t="shared" si="48"/>
        <v>#REF!</v>
      </c>
      <c r="CS148" s="131" t="str">
        <f t="array" ref="CS148">INDEX(CR:CR,MIN(IF(ISNUMBER(CR148:CR344),ROW(CR148:CR344),"")))</f>
        <v/>
      </c>
      <c r="CT148" s="131" t="str">
        <f t="shared" si="125"/>
        <v>#REF!</v>
      </c>
      <c r="CU148" s="138" t="str">
        <f>CT148*VLOOKUP('Données projet (1)'!$B$13,'Paramètres (1)'!$A$1:$I$88,3,0)*VLOOKUP('Données projet (1)'!$B$13,'Paramètres (1)'!$A$1:$I$88,5,0)</f>
        <v>#REF!</v>
      </c>
      <c r="CV148" s="130" t="str">
        <f t="shared" si="126"/>
        <v>#REF!</v>
      </c>
      <c r="CW148" s="141" t="str">
        <f t="shared" si="49"/>
        <v>#REF!</v>
      </c>
      <c r="CX148" s="133" t="str">
        <f t="shared" si="50"/>
        <v>#REF!</v>
      </c>
      <c r="CY148" s="133" t="str">
        <f t="shared" si="51"/>
        <v>#REF!</v>
      </c>
      <c r="CZ148" s="133" t="str">
        <f t="shared" si="127"/>
        <v>#REF!</v>
      </c>
      <c r="DA148" s="134" t="str">
        <f t="shared" si="52"/>
        <v>#REF!</v>
      </c>
      <c r="DB148" s="134" t="str">
        <f t="shared" si="53"/>
        <v>#REF!</v>
      </c>
      <c r="DC148" s="135" t="str">
        <f>IF(ISNA(VLOOKUP(A148,'Données projet (1)'!$A$139:$I$159,5,0)),0%,VLOOKUP(A148,'Données projet (1)'!$A$139:$I$159,5,0)*VLOOKUP('Données projet (1)'!$B$13,'Paramètres (1)'!$A$1:$I$88,7,0))</f>
        <v>#REF!</v>
      </c>
      <c r="DD148" s="135" t="str">
        <f>IF(ISNA(VLOOKUP(A148,'Données projet (1)'!$A$139:$I$159,6,0)),0%,VLOOKUP(A148,'Données projet (1)'!$A$139:$I$159,6,0)*VLOOKUP('Données projet (1)'!$B$13,'Paramètres (1)'!$A$1:$I$88,7,0))</f>
        <v>#REF!</v>
      </c>
      <c r="DE148" s="135" t="str">
        <f t="shared" si="54"/>
        <v>#REF!</v>
      </c>
      <c r="DF148" s="142" t="str">
        <f>EXP(-LN(2)/35)*DF147+(1-EXP(-LN(2)/35))/(LN(2)/35)*DB148*DC148*VLOOKUP('Données projet (1)'!$B$13,'Paramètres (1)'!$A$1:$I$88,3,0)*0.475*44/12</f>
        <v>#REF!</v>
      </c>
      <c r="DG148" s="142" t="str">
        <f>EXP(-LN(2)/25)*DG147+(1-EXP(-LN(2)/25))/(LN(2)/25)*'Calculateur (1)'!DB148*'Calculateur (1)'!DD148*VLOOKUP('Données projet (1)'!$B$13,'Paramètres (1)'!$A$1:$I$88,3,0)*0.475*44/12</f>
        <v>#REF!</v>
      </c>
      <c r="DH148" s="142" t="str">
        <f>EXP(-LN(2)/2)*DH147+(1-EXP(-LN(2)/2))/(LN(2)/2)*DB148*DE148*VLOOKUP('Données projet (1)'!$B$13,'Paramètres (1)'!$A$1:$I$88,3,0)*0.475*44/12</f>
        <v>#REF!</v>
      </c>
      <c r="DI148" s="143" t="str">
        <f t="shared" si="55"/>
        <v>#REF!</v>
      </c>
      <c r="DJ148" s="139" t="str">
        <f t="shared" si="56"/>
        <v>#REF!</v>
      </c>
      <c r="DK148" s="131">
        <f t="shared" si="57"/>
        <v>10</v>
      </c>
      <c r="DL148" s="131" t="str">
        <f t="shared" si="128"/>
        <v>#REF!</v>
      </c>
      <c r="DM148" s="131" t="str">
        <f t="shared" si="58"/>
        <v>#REF!</v>
      </c>
      <c r="DN148" s="131" t="str">
        <f t="array" ref="DN148">INDEX(DM:DM,MIN(IF(ISNUMBER(DM148:DM344),ROW(DM148:DM344),"")))</f>
        <v/>
      </c>
      <c r="DO148" s="131" t="str">
        <f t="shared" si="129"/>
        <v>#REF!</v>
      </c>
      <c r="DP148" s="138" t="str">
        <f>DO148*VLOOKUP('Données projet (1)'!$B$14,'Paramètres (1)'!$A$1:$I$88,3,0)*VLOOKUP('Données projet (1)'!$B$14,'Paramètres (1)'!$A$1:$I$88,5,0)</f>
        <v>#REF!</v>
      </c>
      <c r="DQ148" s="130" t="str">
        <f t="shared" si="130"/>
        <v>#REF!</v>
      </c>
      <c r="DR148" s="141" t="str">
        <f t="shared" si="59"/>
        <v>#REF!</v>
      </c>
      <c r="DS148" s="133" t="str">
        <f t="shared" si="60"/>
        <v>#REF!</v>
      </c>
      <c r="DT148" s="133" t="str">
        <f t="shared" si="61"/>
        <v>#REF!</v>
      </c>
      <c r="DU148" s="133" t="str">
        <f t="shared" si="131"/>
        <v>#REF!</v>
      </c>
      <c r="DV148" s="134" t="str">
        <f t="shared" si="62"/>
        <v>#REF!</v>
      </c>
      <c r="DW148" s="134" t="str">
        <f t="shared" si="63"/>
        <v>#REF!</v>
      </c>
      <c r="DX148" s="135" t="str">
        <f>IF(ISNA(VLOOKUP(A148,'Données projet (1)'!$A$165:$I$185,5,0)),0%,VLOOKUP(A148,'Données projet (1)'!$A$165:$I$185,5,0)*VLOOKUP('Données projet (1)'!$B$14,'Paramètres (1)'!$A$1:$I$88,7,0))</f>
        <v>#REF!</v>
      </c>
      <c r="DY148" s="135" t="str">
        <f>IF(ISNA(VLOOKUP(A148,'Données projet (1)'!$A$165:$I$185,6,0)),0%,VLOOKUP(A148,'Données projet (1)'!$A$165:$I$185,6,0)*VLOOKUP('Données projet (1)'!$B$14,'Paramètres (1)'!$A$1:$I$88,7,0))</f>
        <v>#REF!</v>
      </c>
      <c r="DZ148" s="135" t="str">
        <f t="shared" si="64"/>
        <v>#REF!</v>
      </c>
      <c r="EA148" s="142" t="str">
        <f>EXP(-LN(2)/35)*EA147+(1-EXP(-LN(2)/35))/(LN(2)/35)*DW148*DX148*VLOOKUP('Données projet (1)'!$B$14,'Paramètres (1)'!$A$1:$I$88,3,0)*0.475*44/12</f>
        <v>#REF!</v>
      </c>
      <c r="EB148" s="142" t="str">
        <f>EXP(-LN(2)/25)*EB147+(1-EXP(-LN(2)/25))/(LN(2)/25)*'Calculateur (1)'!DW148*'Calculateur (1)'!DY148*VLOOKUP('Données projet (1)'!$B$14,'Paramètres (1)'!$A$1:$I$88,3,0)*0.475*44/12</f>
        <v>#REF!</v>
      </c>
      <c r="EC148" s="142" t="str">
        <f>EXP(-LN(2)/2)*EC147+(1-EXP(-LN(2)/2))/(LN(2)/2)*DW148*DZ148*VLOOKUP('Données projet (1)'!$B$14,'Paramètres (1)'!$A$1:$I$88,3,0)*0.475*44/12</f>
        <v>#REF!</v>
      </c>
      <c r="ED148" s="143" t="str">
        <f t="shared" si="65"/>
        <v>#REF!</v>
      </c>
      <c r="EE148" s="139" t="str">
        <f t="shared" si="66"/>
        <v>#REF!</v>
      </c>
      <c r="EF148" s="131">
        <f t="shared" si="67"/>
        <v>10</v>
      </c>
      <c r="EG148" s="131" t="str">
        <f t="shared" si="132"/>
        <v>#REF!</v>
      </c>
      <c r="EH148" s="131" t="str">
        <f t="shared" si="68"/>
        <v>#REF!</v>
      </c>
      <c r="EI148" s="131" t="str">
        <f t="array" ref="EI148">INDEX(EH:EH,MIN(IF(ISNUMBER(EH148:EH344),ROW(EH148:EH344),"")))</f>
        <v/>
      </c>
      <c r="EJ148" s="131" t="str">
        <f t="shared" si="133"/>
        <v>#REF!</v>
      </c>
      <c r="EK148" s="138" t="str">
        <f>EJ148*VLOOKUP('Données projet (1)'!$B$15,'Paramètres (1)'!$A$1:$I$88,3,0)*VLOOKUP('Données projet (1)'!$B$15,'Paramètres (1)'!$A$1:$I$88,5,0)</f>
        <v>#REF!</v>
      </c>
      <c r="EL148" s="130" t="str">
        <f t="shared" si="134"/>
        <v>#REF!</v>
      </c>
      <c r="EM148" s="141" t="str">
        <f t="shared" si="69"/>
        <v>#REF!</v>
      </c>
      <c r="EN148" s="133" t="str">
        <f t="shared" si="70"/>
        <v>#REF!</v>
      </c>
      <c r="EO148" s="133" t="str">
        <f t="shared" si="71"/>
        <v>#REF!</v>
      </c>
      <c r="EP148" s="133" t="str">
        <f t="shared" si="135"/>
        <v>#REF!</v>
      </c>
      <c r="EQ148" s="134" t="str">
        <f t="shared" si="72"/>
        <v>#REF!</v>
      </c>
      <c r="ER148" s="134" t="str">
        <f t="shared" si="73"/>
        <v>#REF!</v>
      </c>
      <c r="ES148" s="135" t="str">
        <f>IF(ISNA(VLOOKUP(A148,'Données projet (1)'!$A$191:$I$211,5,0)),0%,VLOOKUP(A148,'Données projet (1)'!$A$191:$I$211,5,0)*VLOOKUP('Données projet (1)'!$B$15,'Paramètres (1)'!$A$1:$I$88,7,0))</f>
        <v>#REF!</v>
      </c>
      <c r="ET148" s="135" t="str">
        <f>IF(ISNA(VLOOKUP(A148,'Données projet (1)'!$A$191:$I$211,6,0)),0%,VLOOKUP(A148,'Données projet (1)'!$A$191:$I$211,6,0)*VLOOKUP('Données projet (1)'!$B$15,'Paramètres (1)'!$A$1:$I$88,7,0))</f>
        <v>#REF!</v>
      </c>
      <c r="EU148" s="135" t="str">
        <f t="shared" si="74"/>
        <v>#REF!</v>
      </c>
      <c r="EV148" s="142" t="str">
        <f>EXP(-LN(2)/35)*EV147+(1-EXP(-LN(2)/35))/(LN(2)/35)*ER148*ES148*VLOOKUP('Données projet (1)'!$B$15,'Paramètres (1)'!$A$1:$I$88,3,0)*0.475*44/12</f>
        <v>#REF!</v>
      </c>
      <c r="EW148" s="142" t="str">
        <f>EXP(-LN(2)/25)*EW147+(1-EXP(-LN(2)/25))/(LN(2)/25)*'Calculateur (1)'!ER148*'Calculateur (1)'!ET148*VLOOKUP('Données projet (1)'!$B$15,'Paramètres (1)'!$A$1:$I$88,3,0)*0.475*44/12</f>
        <v>#REF!</v>
      </c>
      <c r="EX148" s="142" t="str">
        <f>EXP(-LN(2)/2)*EX147+(1-EXP(-LN(2)/2))/(LN(2)/2)*ER148*EU148*VLOOKUP('Données projet (1)'!$B$15,'Paramètres (1)'!$A$1:$I$88,3,0)*0.475*44/12</f>
        <v>#REF!</v>
      </c>
      <c r="EY148" s="143" t="str">
        <f t="shared" si="75"/>
        <v>#REF!</v>
      </c>
      <c r="EZ148" s="139" t="str">
        <f t="shared" si="76"/>
        <v>#REF!</v>
      </c>
      <c r="FA148" s="131">
        <f t="shared" si="77"/>
        <v>10</v>
      </c>
      <c r="FB148" s="131" t="str">
        <f t="shared" si="136"/>
        <v>#REF!</v>
      </c>
      <c r="FC148" s="131" t="str">
        <f t="shared" si="78"/>
        <v>#REF!</v>
      </c>
      <c r="FD148" s="131" t="str">
        <f t="array" ref="FD148">INDEX(FC:FC,MIN(IF(ISNUMBER(FC148:FC344),ROW(FC148:FC344),"")))</f>
        <v/>
      </c>
      <c r="FE148" s="131" t="str">
        <f t="shared" si="137"/>
        <v>#REF!</v>
      </c>
      <c r="FF148" s="138" t="str">
        <f>FE148*VLOOKUP('Données projet (1)'!$B$16,'Paramètres (1)'!$A$1:$I$88,3,0)*VLOOKUP('Données projet (1)'!$B$16,'Paramètres (1)'!$A$1:$I$88,5,0)</f>
        <v>#REF!</v>
      </c>
      <c r="FG148" s="130" t="str">
        <f t="shared" si="138"/>
        <v>#REF!</v>
      </c>
      <c r="FH148" s="141" t="str">
        <f t="shared" si="79"/>
        <v>#REF!</v>
      </c>
      <c r="FI148" s="133" t="str">
        <f t="shared" si="80"/>
        <v>#REF!</v>
      </c>
      <c r="FJ148" s="133" t="str">
        <f t="shared" si="81"/>
        <v>#REF!</v>
      </c>
      <c r="FK148" s="133" t="str">
        <f t="shared" si="139"/>
        <v>#REF!</v>
      </c>
      <c r="FL148" s="134" t="str">
        <f t="shared" si="82"/>
        <v>#REF!</v>
      </c>
      <c r="FM148" s="134" t="str">
        <f t="shared" si="83"/>
        <v>#REF!</v>
      </c>
      <c r="FN148" s="135" t="str">
        <f>IF(ISNA(VLOOKUP(A148,'Données projet (1)'!$A$217:$I$237,5,0)),0%,VLOOKUP(A148,'Données projet (1)'!$A$217:$I$237,5,0)*VLOOKUP('Données projet (1)'!$B$16,'Paramètres (1)'!$A$1:$I$88,7,0))</f>
        <v>#REF!</v>
      </c>
      <c r="FO148" s="135" t="str">
        <f>IF(ISNA(VLOOKUP(A148,'Données projet (1)'!$A$217:$I$237,6,0)),0%,VLOOKUP(A148,'Données projet (1)'!$A$217:$I$237,6,0)*VLOOKUP('Données projet (1)'!$B$16,'Paramètres (1)'!$A$1:$I$88,7,0))</f>
        <v>#REF!</v>
      </c>
      <c r="FP148" s="135" t="str">
        <f t="shared" si="84"/>
        <v>#REF!</v>
      </c>
      <c r="FQ148" s="142" t="str">
        <f>EXP(-LN(2)/35)*FQ147+(1-EXP(-LN(2)/35))/(LN(2)/35)*FM148*FN148*VLOOKUP('Données projet (1)'!$B$16,'Paramètres (1)'!$A$1:$I$88,3,0)*0.475*44/12</f>
        <v>#REF!</v>
      </c>
      <c r="FR148" s="142" t="str">
        <f>EXP(-LN(2)/25)*FR147+(1-EXP(-LN(2)/25))/(LN(2)/25)*'Calculateur (1)'!FM148*'Calculateur (1)'!FO148*VLOOKUP('Données projet (1)'!$B$16,'Paramètres (1)'!$A$1:$I$88,3,0)*0.475*44/12</f>
        <v>#REF!</v>
      </c>
      <c r="FS148" s="142" t="str">
        <f>EXP(-LN(2)/2)*FS147+(1-EXP(-LN(2)/2))/(LN(2)/2)*FM148*FP148*VLOOKUP('Données projet (1)'!$B$16,'Paramètres (1)'!$A$1:$I$88,3,0)*0.475*44/12</f>
        <v>#REF!</v>
      </c>
      <c r="FT148" s="143" t="str">
        <f t="shared" si="85"/>
        <v>#REF!</v>
      </c>
      <c r="FU148" s="139" t="str">
        <f t="shared" si="86"/>
        <v>#REF!</v>
      </c>
      <c r="FV148" s="131">
        <f t="shared" si="87"/>
        <v>10</v>
      </c>
      <c r="FW148" s="131" t="str">
        <f t="shared" si="140"/>
        <v>#REF!</v>
      </c>
      <c r="FX148" s="131" t="str">
        <f t="shared" si="88"/>
        <v>#REF!</v>
      </c>
      <c r="FY148" s="131" t="str">
        <f t="array" ref="FY148">INDEX(FX:FX,MIN(IF(ISNUMBER(FX148:FX344),ROW(FX148:FX344),"")))</f>
        <v/>
      </c>
      <c r="FZ148" s="131" t="str">
        <f t="shared" si="141"/>
        <v>#REF!</v>
      </c>
      <c r="GA148" s="138" t="str">
        <f>FZ148*VLOOKUP('Données projet (1)'!$B$17,'Paramètres (1)'!$A$1:$I$88,3,0)*VLOOKUP('Données projet (1)'!$B$17,'Paramètres (1)'!$A$1:$I$88,5,0)</f>
        <v>#REF!</v>
      </c>
      <c r="GB148" s="130" t="str">
        <f t="shared" si="142"/>
        <v>#REF!</v>
      </c>
      <c r="GC148" s="141" t="str">
        <f t="shared" si="89"/>
        <v>#REF!</v>
      </c>
      <c r="GD148" s="133" t="str">
        <f t="shared" si="90"/>
        <v>#REF!</v>
      </c>
      <c r="GE148" s="133" t="str">
        <f t="shared" si="91"/>
        <v>#REF!</v>
      </c>
      <c r="GF148" s="133" t="str">
        <f t="shared" si="143"/>
        <v>#REF!</v>
      </c>
      <c r="GG148" s="134" t="str">
        <f t="shared" si="92"/>
        <v>#REF!</v>
      </c>
      <c r="GH148" s="134" t="str">
        <f t="shared" si="93"/>
        <v>#REF!</v>
      </c>
      <c r="GI148" s="135" t="str">
        <f>IF(ISNA(VLOOKUP(A148,'Données projet (1)'!$A$243:$I$263,5,0)),0%,VLOOKUP(A148,'Données projet (1)'!$A$243:$I$263,5,0)*VLOOKUP('Données projet (1)'!$B$17,'Paramètres (1)'!$A$1:$I$88,7,0))</f>
        <v>#REF!</v>
      </c>
      <c r="GJ148" s="135" t="str">
        <f>IF(ISNA(VLOOKUP(A148,'Données projet (1)'!$A$243:$I$263,6,0)),0%,VLOOKUP(A148,'Données projet (1)'!$A$243:$I$263,6,0)*VLOOKUP('Données projet (1)'!$B$17,'Paramètres (1)'!$A$1:$I$88,7,0))</f>
        <v>#REF!</v>
      </c>
      <c r="GK148" s="135" t="str">
        <f t="shared" si="94"/>
        <v>#REF!</v>
      </c>
      <c r="GL148" s="142" t="str">
        <f>EXP(-LN(2)/35)*GL147+(1-EXP(-LN(2)/35))/(LN(2)/35)*GH148*GI148*VLOOKUP('Données projet (1)'!$B$17,'Paramètres (1)'!$A$1:$I$88,3,0)*0.475*44/12</f>
        <v>#REF!</v>
      </c>
      <c r="GM148" s="142" t="str">
        <f>EXP(-LN(2)/25)*GM147+(1-EXP(-LN(2)/25))/(LN(2)/25)*'Calculateur (1)'!GH148*'Calculateur (1)'!GJ148*VLOOKUP('Données projet (1)'!$B$17,'Paramètres (1)'!$A$1:$I$88,3,0)*0.475*44/12</f>
        <v>#REF!</v>
      </c>
      <c r="GN148" s="142" t="str">
        <f>EXP(-LN(2)/2)*GN147+(1-EXP(-LN(2)/2))/(LN(2)/2)*GH148*GK148*VLOOKUP('Données projet (1)'!$B$17,'Paramètres (1)'!$A$1:$I$88,3,0)*0.475*44/12</f>
        <v>#REF!</v>
      </c>
      <c r="GO148" s="142" t="str">
        <f t="shared" si="95"/>
        <v>#REF!</v>
      </c>
      <c r="GP148" s="139" t="str">
        <f t="shared" si="96"/>
        <v>#REF!</v>
      </c>
      <c r="GQ148" s="131">
        <f t="shared" si="97"/>
        <v>10</v>
      </c>
      <c r="GR148" s="131" t="str">
        <f t="shared" si="144"/>
        <v>#REF!</v>
      </c>
      <c r="GS148" s="131" t="str">
        <f t="shared" si="98"/>
        <v>#REF!</v>
      </c>
      <c r="GT148" s="131" t="str">
        <f t="array" ref="GT148">INDEX(GS:GS,MIN(IF(ISNUMBER(GS148:GS344),ROW(GS148:GS344),"")))</f>
        <v/>
      </c>
      <c r="GU148" s="131" t="str">
        <f t="shared" si="145"/>
        <v>#REF!</v>
      </c>
      <c r="GV148" s="138" t="str">
        <f>GU148*VLOOKUP('Données projet (1)'!$B$18,'Paramètres (1)'!$A$1:$I$88,3,0)*VLOOKUP('Données projet (1)'!$B$18,'Paramètres (1)'!$A$1:$I$88,5,0)</f>
        <v>#REF!</v>
      </c>
      <c r="GW148" s="130" t="str">
        <f t="shared" si="146"/>
        <v>#REF!</v>
      </c>
      <c r="GX148" s="141" t="str">
        <f t="shared" si="99"/>
        <v>#REF!</v>
      </c>
      <c r="GY148" s="133" t="str">
        <f t="shared" si="100"/>
        <v>#REF!</v>
      </c>
      <c r="GZ148" s="133" t="str">
        <f t="shared" si="101"/>
        <v>#REF!</v>
      </c>
      <c r="HA148" s="133" t="str">
        <f t="shared" si="147"/>
        <v>#REF!</v>
      </c>
      <c r="HB148" s="134" t="str">
        <f t="shared" si="102"/>
        <v>#REF!</v>
      </c>
      <c r="HC148" s="134" t="str">
        <f t="shared" si="103"/>
        <v>#REF!</v>
      </c>
      <c r="HD148" s="135" t="str">
        <f>IF(ISNA(VLOOKUP(A148,'Données projet (1)'!$A$269:$I$289,5,0)),0%,VLOOKUP(A148,'Données projet (1)'!$A$269:$I$289,5,0)*VLOOKUP('Données projet (1)'!$B$18,'Paramètres (1)'!$A$1:$I$88,7,0))</f>
        <v>#REF!</v>
      </c>
      <c r="HE148" s="135" t="str">
        <f>IF(ISNA(VLOOKUP(A148,'Données projet (1)'!$A$269:$I$289,6,0)),0%,VLOOKUP(A148,'Données projet (1)'!$A$269:$I$289,6,0)*VLOOKUP('Données projet (1)'!$B$18,'Paramètres (1)'!$A$1:$I$88,7,0))</f>
        <v>#REF!</v>
      </c>
      <c r="HF148" s="135" t="str">
        <f t="shared" si="104"/>
        <v>#REF!</v>
      </c>
      <c r="HG148" s="142" t="str">
        <f>EXP(-LN(2)/35)*HG147+(1-EXP(-LN(2)/35))/(LN(2)/35)*HC148*HD148*VLOOKUP('Données projet (1)'!$B$18,'Paramètres (1)'!$A$1:$I$88,3,0)*0.475*44/12</f>
        <v>#REF!</v>
      </c>
      <c r="HH148" s="142" t="str">
        <f>EXP(-LN(2)/25)*HH147+(1-EXP(-LN(2)/25))/(LN(2)/25)*'Calculateur (1)'!HC148*'Calculateur (1)'!HE148*VLOOKUP('Données projet (1)'!$B$18,'Paramètres (1)'!$A$1:$I$88,3,0)*0.475*44/12</f>
        <v>#REF!</v>
      </c>
      <c r="HI148" s="142" t="str">
        <f>EXP(-LN(2)/2)*HI147+(1-EXP(-LN(2)/2))/(LN(2)/2)*HC148*HF148*VLOOKUP('Données projet (1)'!$B$18,'Paramètres (1)'!$A$1:$I$88,3,0)*0.475*44/12</f>
        <v>#REF!</v>
      </c>
      <c r="HJ148" s="143" t="str">
        <f t="shared" si="105"/>
        <v>#REF!</v>
      </c>
    </row>
    <row r="149" ht="14.25" customHeight="1">
      <c r="A149" s="125">
        <f t="shared" si="106"/>
        <v>146</v>
      </c>
      <c r="B149" s="126" t="str">
        <f t="shared" si="1"/>
        <v>#REF!</v>
      </c>
      <c r="C149" s="140" t="str">
        <f>'Calculateur (1)'!C148+'Scénario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9" s="127">
        <f t="shared" si="107"/>
        <v>0</v>
      </c>
      <c r="E149" s="127" t="str">
        <f t="shared" si="2"/>
        <v>#REF!</v>
      </c>
      <c r="F149" s="127" t="str">
        <f t="shared" si="3"/>
        <v>#REF!</v>
      </c>
      <c r="G149" s="127" t="str">
        <f t="shared" si="4"/>
        <v>#REF!</v>
      </c>
      <c r="H149" s="128" t="str">
        <f t="shared" si="5"/>
        <v>#REF!</v>
      </c>
      <c r="I149" s="129" t="str">
        <f t="shared" si="6"/>
        <v>#REF!</v>
      </c>
      <c r="J149" s="130">
        <f t="shared" si="7"/>
        <v>10</v>
      </c>
      <c r="K149" s="131" t="str">
        <f t="shared" si="108"/>
        <v>#REF!</v>
      </c>
      <c r="L149" s="131" t="str">
        <f t="shared" si="8"/>
        <v>#REF!</v>
      </c>
      <c r="M149" s="131" t="str">
        <f t="array" ref="M149">INDEX(L:L,MIN(IF(ISNUMBER(L149:L345),ROW(L149:L345),"")))</f>
        <v/>
      </c>
      <c r="N149" s="130" t="str">
        <f t="shared" si="109"/>
        <v>#REF!</v>
      </c>
      <c r="O149" s="130" t="str">
        <f>N149*VLOOKUP('Données projet (1)'!$B$9,'Paramètres (1)'!$A$1:$I$88,3,0)*VLOOKUP('Données projet (1)'!$B$9,'Paramètres (1)'!$A$1:$I$88,5,0)</f>
        <v>#REF!</v>
      </c>
      <c r="P149" s="130" t="str">
        <f t="shared" si="110"/>
        <v>#REF!</v>
      </c>
      <c r="Q149" s="141" t="str">
        <f t="shared" si="9"/>
        <v>#REF!</v>
      </c>
      <c r="R149" s="133" t="str">
        <f t="shared" si="10"/>
        <v>#REF!</v>
      </c>
      <c r="S149" s="133" t="str">
        <f t="shared" si="11"/>
        <v>#REF!</v>
      </c>
      <c r="T149" s="133" t="str">
        <f t="shared" si="111"/>
        <v>#REF!</v>
      </c>
      <c r="U149" s="134" t="str">
        <f t="shared" si="12"/>
        <v>#REF!</v>
      </c>
      <c r="V149" s="134" t="str">
        <f t="shared" si="13"/>
        <v>#REF!</v>
      </c>
      <c r="W149" s="135" t="str">
        <f>IF(ISNA(VLOOKUP(A149,'Données projet (1)'!$A$35:$I$55,5,0)),0%,VLOOKUP(A149,'Données projet (1)'!$A$35:$I$55,5,0)*VLOOKUP('Données projet (1)'!$B$9,'Paramètres (1)'!$A$1:$I$88,7,0))</f>
        <v>#REF!</v>
      </c>
      <c r="X149" s="135" t="str">
        <f>IF(ISNA(VLOOKUP(A149,'Données projet (1)'!$A$35:$I$55,6,0)),0%,VLOOKUP(A149,'Données projet (1)'!$A$35:$I$55,6,0)*VLOOKUP('Données projet (1)'!$B$9,'Paramètres (1)'!$A$1:$I$88,7,0))</f>
        <v>#REF!</v>
      </c>
      <c r="Y149" s="135" t="str">
        <f t="shared" si="14"/>
        <v>#REF!</v>
      </c>
      <c r="Z149" s="142" t="str">
        <f>EXP(-LN(2)/35)*Z148+(1-EXP(-LN(2)/35))/(LN(2)/35)*V149*W149*VLOOKUP('Données projet (1)'!$B$9,'Paramètres (1)'!$A$1:$I$88,3,0)*0.475*44/12</f>
        <v>#REF!</v>
      </c>
      <c r="AA149" s="142" t="str">
        <f>EXP(-LN(2)/25)*AA148+(1-EXP(-LN(2)/25))/(LN(2)/25)*'Calculateur (1)'!V149*'Calculateur (1)'!X149*VLOOKUP('Données projet (1)'!$B$9,'Paramètres (1)'!$A$1:$I$88,3,0)*0.475*44/12</f>
        <v>#REF!</v>
      </c>
      <c r="AB149" s="142" t="str">
        <f>EXP(-LN(2)/2)*AB148+(1-EXP(-LN(2)/2))/(LN(2)/2)*V149*Y149*VLOOKUP('Données projet (1)'!$B$9,'Paramètres (1)'!$A$1:$I$88,3,0)*0.475*44/12</f>
        <v>#REF!</v>
      </c>
      <c r="AC149" s="143" t="str">
        <f t="shared" si="15"/>
        <v>#REF!</v>
      </c>
      <c r="AD149" s="130" t="str">
        <f t="shared" si="16"/>
        <v>#REF!</v>
      </c>
      <c r="AE149" s="130">
        <f t="shared" si="17"/>
        <v>10</v>
      </c>
      <c r="AF149" s="131" t="str">
        <f t="shared" si="112"/>
        <v>#REF!</v>
      </c>
      <c r="AG149" s="131" t="str">
        <f t="shared" si="18"/>
        <v>#REF!</v>
      </c>
      <c r="AH149" s="131" t="str">
        <f t="array" ref="AH149">INDEX(AG:AG,MIN(IF(ISNUMBER(AG149:AG345),ROW(AG149:AG345),"")))</f>
        <v/>
      </c>
      <c r="AI149" s="130" t="str">
        <f t="shared" si="113"/>
        <v>#REF!</v>
      </c>
      <c r="AJ149" s="130" t="str">
        <f>AI149*VLOOKUP('Données projet (1)'!$B$10,'Paramètres (1)'!$A$1:$I$88,3,0)*VLOOKUP('Données projet (1)'!$B$10,'Paramètres (1)'!$A$1:$I$88,5,0)</f>
        <v>#REF!</v>
      </c>
      <c r="AK149" s="130" t="str">
        <f t="shared" si="114"/>
        <v>#REF!</v>
      </c>
      <c r="AL149" s="141" t="str">
        <f t="shared" si="19"/>
        <v>#REF!</v>
      </c>
      <c r="AM149" s="133" t="str">
        <f t="shared" si="20"/>
        <v>#REF!</v>
      </c>
      <c r="AN149" s="133" t="str">
        <f t="shared" si="21"/>
        <v>#REF!</v>
      </c>
      <c r="AO149" s="133" t="str">
        <f t="shared" si="115"/>
        <v>#REF!</v>
      </c>
      <c r="AP149" s="134" t="str">
        <f t="shared" si="22"/>
        <v>#REF!</v>
      </c>
      <c r="AQ149" s="134" t="str">
        <f t="shared" si="23"/>
        <v>#REF!</v>
      </c>
      <c r="AR149" s="135" t="str">
        <f>IF(ISNA(VLOOKUP(A149,'Données projet (1)'!$A$61:$I$81,5,0)),0%,VLOOKUP(A149,'Données projet (1)'!$A$61:$I$81,5,0)*VLOOKUP('Données projet (1)'!$B$10,'Paramètres (1)'!$A$1:$I$88,7,0))</f>
        <v>#REF!</v>
      </c>
      <c r="AS149" s="135" t="str">
        <f>IF(ISNA(VLOOKUP(A149,'Données projet (1)'!$A$61:$I$81,6,0)),0%,VLOOKUP(A149,'Données projet (1)'!$A$61:$I$81,6,0)*VLOOKUP('Données projet (1)'!$B$10,'Paramètres (1)'!$A$1:$I$88,7,0))</f>
        <v>#REF!</v>
      </c>
      <c r="AT149" s="135" t="str">
        <f t="shared" si="24"/>
        <v>#REF!</v>
      </c>
      <c r="AU149" s="142" t="str">
        <f>EXP(-LN(2)/35)*AU148+(1-EXP(-LN(2)/35))/(LN(2)/35)*AQ149*AR149*VLOOKUP('Données projet (1)'!$B$10,'Paramètres (1)'!$A$1:$I$88,3,0)*0.475*44/12</f>
        <v>#REF!</v>
      </c>
      <c r="AV149" s="142" t="str">
        <f>EXP(-LN(2)/25)*AV148+(1-EXP(-LN(2)/25))/(LN(2)/25)*'Calculateur (1)'!AQ149*'Calculateur (1)'!AS149*VLOOKUP('Données projet (1)'!$B$10,'Paramètres (1)'!$A$1:$I$88,3,0)*0.475*44/12</f>
        <v>#REF!</v>
      </c>
      <c r="AW149" s="142" t="str">
        <f>EXP(-LN(2)/2)*AW148+(1-EXP(-LN(2)/2))/(LN(2)/2)*AQ149*AT149*VLOOKUP('Données projet (1)'!$B$10,'Paramètres (1)'!$A$1:$I$88,3,0)*0.475*44/12</f>
        <v>#REF!</v>
      </c>
      <c r="AX149" s="142" t="str">
        <f t="shared" si="25"/>
        <v>#REF!</v>
      </c>
      <c r="AY149" s="137" t="str">
        <f t="shared" si="26"/>
        <v>#REF!</v>
      </c>
      <c r="AZ149" s="131">
        <f t="shared" si="27"/>
        <v>10</v>
      </c>
      <c r="BA149" s="131" t="str">
        <f t="shared" si="116"/>
        <v>#REF!</v>
      </c>
      <c r="BB149" s="131" t="str">
        <f t="shared" si="28"/>
        <v>#REF!</v>
      </c>
      <c r="BC149" s="131" t="str">
        <f t="array" ref="BC149">INDEX(BB:BB,MIN(IF(ISNUMBER(BB149:BB345),ROW(BB149:BB345),"")))</f>
        <v/>
      </c>
      <c r="BD149" s="131" t="str">
        <f t="shared" si="117"/>
        <v>#REF!</v>
      </c>
      <c r="BE149" s="130" t="str">
        <f>BD149*VLOOKUP('Données projet (1)'!$B$11,'Paramètres (1)'!$A$1:$I$88,3,0)*VLOOKUP('Données projet (1)'!$B$11,'Paramètres (1)'!$A$1:$I$88,5,0)</f>
        <v>#REF!</v>
      </c>
      <c r="BF149" s="130" t="str">
        <f t="shared" si="118"/>
        <v>#REF!</v>
      </c>
      <c r="BG149" s="141" t="str">
        <f t="shared" si="29"/>
        <v>#REF!</v>
      </c>
      <c r="BH149" s="133" t="str">
        <f t="shared" si="30"/>
        <v>#REF!</v>
      </c>
      <c r="BI149" s="133" t="str">
        <f t="shared" si="31"/>
        <v>#REF!</v>
      </c>
      <c r="BJ149" s="133" t="str">
        <f t="shared" si="119"/>
        <v>#REF!</v>
      </c>
      <c r="BK149" s="134" t="str">
        <f t="shared" si="32"/>
        <v>#REF!</v>
      </c>
      <c r="BL149" s="134" t="str">
        <f t="shared" si="33"/>
        <v>#REF!</v>
      </c>
      <c r="BM149" s="135" t="str">
        <f>IF(ISNA(VLOOKUP(A149,'Données projet (1)'!$A$87:$I$107,5,0)),0%,VLOOKUP(A149,'Données projet (1)'!$A$87:$I$107,5,0)*VLOOKUP('Données projet (1)'!$B$11,'Paramètres (1)'!$A$1:$I$88,7,0))</f>
        <v>#REF!</v>
      </c>
      <c r="BN149" s="135" t="str">
        <f>IF(ISNA(VLOOKUP(A149,'Données projet (1)'!$A$87:$I$107,6,0)),0%,VLOOKUP(A149,'Données projet (1)'!$A$87:$I$107,6,0)*VLOOKUP('Données projet (1)'!$B$11,'Paramètres (1)'!$A$1:$I$88,7,0))</f>
        <v>#REF!</v>
      </c>
      <c r="BO149" s="135" t="str">
        <f t="shared" si="34"/>
        <v>#REF!</v>
      </c>
      <c r="BP149" s="142" t="str">
        <f>EXP(-LN(2)/35)*BP148+(1-EXP(-LN(2)/35))/(LN(2)/35)*BL149*BM149*VLOOKUP('Données projet (1)'!$B$11,'Paramètres (1)'!$A$1:$I$88,3,0)*0.475*44/12</f>
        <v>#REF!</v>
      </c>
      <c r="BQ149" s="142" t="str">
        <f>EXP(-LN(2)/25)*BQ148+(1-EXP(-LN(2)/25))/(LN(2)/25)*'Calculateur (1)'!BL149*'Calculateur (1)'!BN149*VLOOKUP('Données projet (1)'!$B$11,'Paramètres (1)'!$A$1:$I$88,3,0)*0.475*44/12</f>
        <v>#REF!</v>
      </c>
      <c r="BR149" s="142" t="str">
        <f>EXP(-LN(2)/2)*BR148+(1-EXP(-LN(2)/2))/(LN(2)/2)*BL149*BO149*VLOOKUP('Données projet (1)'!$B$11,'Paramètres (1)'!$A$1:$I$88,3,0)*0.475*44/12</f>
        <v>#REF!</v>
      </c>
      <c r="BS149" s="143" t="str">
        <f t="shared" si="35"/>
        <v>#REF!</v>
      </c>
      <c r="BT149" s="139" t="str">
        <f t="shared" si="36"/>
        <v>#REF!</v>
      </c>
      <c r="BU149" s="131">
        <f t="shared" si="37"/>
        <v>10</v>
      </c>
      <c r="BV149" s="131" t="str">
        <f t="shared" si="120"/>
        <v>#REF!</v>
      </c>
      <c r="BW149" s="131" t="str">
        <f t="shared" si="38"/>
        <v>#REF!</v>
      </c>
      <c r="BX149" s="131" t="str">
        <f t="array" ref="BX149">INDEX(BW:BW,MIN(IF(ISNUMBER(BW149:BW345),ROW(BW149:BW345),"")))</f>
        <v/>
      </c>
      <c r="BY149" s="131" t="str">
        <f t="shared" si="121"/>
        <v>#REF!</v>
      </c>
      <c r="BZ149" s="130" t="str">
        <f>BY149*VLOOKUP('Données projet (1)'!$B$12,'Paramètres (1)'!$A$1:$I$88,3,0)*VLOOKUP('Données projet (1)'!$B$12,'Paramètres (1)'!$A$1:$I$88,5,0)</f>
        <v>#REF!</v>
      </c>
      <c r="CA149" s="130" t="str">
        <f t="shared" si="122"/>
        <v>#REF!</v>
      </c>
      <c r="CB149" s="141" t="str">
        <f t="shared" si="39"/>
        <v>#REF!</v>
      </c>
      <c r="CC149" s="133" t="str">
        <f t="shared" si="40"/>
        <v>#REF!</v>
      </c>
      <c r="CD149" s="133" t="str">
        <f t="shared" si="41"/>
        <v>#REF!</v>
      </c>
      <c r="CE149" s="133" t="str">
        <f t="shared" si="123"/>
        <v>#REF!</v>
      </c>
      <c r="CF149" s="134" t="str">
        <f t="shared" si="42"/>
        <v>#REF!</v>
      </c>
      <c r="CG149" s="134" t="str">
        <f t="shared" si="43"/>
        <v>#REF!</v>
      </c>
      <c r="CH149" s="135" t="str">
        <f>IF(ISNA(VLOOKUP(A149,'Données projet (1)'!$A$113:$I$133,5,0)),0%,VLOOKUP(A149,'Données projet (1)'!$A$113:$I$133,5,0)*VLOOKUP('Données projet (1)'!$B$12,'Paramètres (1)'!$A$1:$I$88,7,0))</f>
        <v>#REF!</v>
      </c>
      <c r="CI149" s="135" t="str">
        <f>IF(ISNA(VLOOKUP(A149,'Données projet (1)'!$A$113:$I$133,6,0)),0%,VLOOKUP(A149,'Données projet (1)'!$A$113:$I$133,6,0)*VLOOKUP('Données projet (1)'!$B$12,'Paramètres (1)'!$A$1:$I$88,7,0))</f>
        <v>#REF!</v>
      </c>
      <c r="CJ149" s="135" t="str">
        <f t="shared" si="44"/>
        <v>#REF!</v>
      </c>
      <c r="CK149" s="142" t="str">
        <f>EXP(-LN(2)/35)*CK148+(1-EXP(-LN(2)/35))/(LN(2)/35)*CG149*CH149*VLOOKUP('Données projet (1)'!$B$12,'Paramètres (1)'!$A$1:$I$88,3,0)*0.475*44/12</f>
        <v>#REF!</v>
      </c>
      <c r="CL149" s="142" t="str">
        <f>EXP(-LN(2)/25)*CL148+(1-EXP(-LN(2)/25))/(LN(2)/25)*'Calculateur (1)'!CG149*'Calculateur (1)'!CI149*VLOOKUP('Données projet (1)'!$B$12,'Paramètres (1)'!$A$1:$I$88,3,0)*0.475*44/12</f>
        <v>#REF!</v>
      </c>
      <c r="CM149" s="142" t="str">
        <f>EXP(-LN(2)/2)*CM148+(1-EXP(-LN(2)/2))/(LN(2)/2)*CG149*CJ149*VLOOKUP('Données projet (1)'!$B$12,'Paramètres (1)'!$A$1:$I$88,3,0)*0.475*44/12</f>
        <v>#REF!</v>
      </c>
      <c r="CN149" s="143" t="str">
        <f t="shared" si="45"/>
        <v>#REF!</v>
      </c>
      <c r="CO149" s="139" t="str">
        <f t="shared" si="46"/>
        <v>#REF!</v>
      </c>
      <c r="CP149" s="131">
        <f t="shared" si="47"/>
        <v>10</v>
      </c>
      <c r="CQ149" s="131" t="str">
        <f t="shared" si="124"/>
        <v>#REF!</v>
      </c>
      <c r="CR149" s="131" t="str">
        <f t="shared" si="48"/>
        <v>#REF!</v>
      </c>
      <c r="CS149" s="131" t="str">
        <f t="array" ref="CS149">INDEX(CR:CR,MIN(IF(ISNUMBER(CR149:CR345),ROW(CR149:CR345),"")))</f>
        <v/>
      </c>
      <c r="CT149" s="131" t="str">
        <f t="shared" si="125"/>
        <v>#REF!</v>
      </c>
      <c r="CU149" s="138" t="str">
        <f>CT149*VLOOKUP('Données projet (1)'!$B$13,'Paramètres (1)'!$A$1:$I$88,3,0)*VLOOKUP('Données projet (1)'!$B$13,'Paramètres (1)'!$A$1:$I$88,5,0)</f>
        <v>#REF!</v>
      </c>
      <c r="CV149" s="130" t="str">
        <f t="shared" si="126"/>
        <v>#REF!</v>
      </c>
      <c r="CW149" s="141" t="str">
        <f t="shared" si="49"/>
        <v>#REF!</v>
      </c>
      <c r="CX149" s="133" t="str">
        <f t="shared" si="50"/>
        <v>#REF!</v>
      </c>
      <c r="CY149" s="133" t="str">
        <f t="shared" si="51"/>
        <v>#REF!</v>
      </c>
      <c r="CZ149" s="133" t="str">
        <f t="shared" si="127"/>
        <v>#REF!</v>
      </c>
      <c r="DA149" s="134" t="str">
        <f t="shared" si="52"/>
        <v>#REF!</v>
      </c>
      <c r="DB149" s="134" t="str">
        <f t="shared" si="53"/>
        <v>#REF!</v>
      </c>
      <c r="DC149" s="135" t="str">
        <f>IF(ISNA(VLOOKUP(A149,'Données projet (1)'!$A$139:$I$159,5,0)),0%,VLOOKUP(A149,'Données projet (1)'!$A$139:$I$159,5,0)*VLOOKUP('Données projet (1)'!$B$13,'Paramètres (1)'!$A$1:$I$88,7,0))</f>
        <v>#REF!</v>
      </c>
      <c r="DD149" s="135" t="str">
        <f>IF(ISNA(VLOOKUP(A149,'Données projet (1)'!$A$139:$I$159,6,0)),0%,VLOOKUP(A149,'Données projet (1)'!$A$139:$I$159,6,0)*VLOOKUP('Données projet (1)'!$B$13,'Paramètres (1)'!$A$1:$I$88,7,0))</f>
        <v>#REF!</v>
      </c>
      <c r="DE149" s="135" t="str">
        <f t="shared" si="54"/>
        <v>#REF!</v>
      </c>
      <c r="DF149" s="142" t="str">
        <f>EXP(-LN(2)/35)*DF148+(1-EXP(-LN(2)/35))/(LN(2)/35)*DB149*DC149*VLOOKUP('Données projet (1)'!$B$13,'Paramètres (1)'!$A$1:$I$88,3,0)*0.475*44/12</f>
        <v>#REF!</v>
      </c>
      <c r="DG149" s="142" t="str">
        <f>EXP(-LN(2)/25)*DG148+(1-EXP(-LN(2)/25))/(LN(2)/25)*'Calculateur (1)'!DB149*'Calculateur (1)'!DD149*VLOOKUP('Données projet (1)'!$B$13,'Paramètres (1)'!$A$1:$I$88,3,0)*0.475*44/12</f>
        <v>#REF!</v>
      </c>
      <c r="DH149" s="142" t="str">
        <f>EXP(-LN(2)/2)*DH148+(1-EXP(-LN(2)/2))/(LN(2)/2)*DB149*DE149*VLOOKUP('Données projet (1)'!$B$13,'Paramètres (1)'!$A$1:$I$88,3,0)*0.475*44/12</f>
        <v>#REF!</v>
      </c>
      <c r="DI149" s="143" t="str">
        <f t="shared" si="55"/>
        <v>#REF!</v>
      </c>
      <c r="DJ149" s="139" t="str">
        <f t="shared" si="56"/>
        <v>#REF!</v>
      </c>
      <c r="DK149" s="131">
        <f t="shared" si="57"/>
        <v>10</v>
      </c>
      <c r="DL149" s="131" t="str">
        <f t="shared" si="128"/>
        <v>#REF!</v>
      </c>
      <c r="DM149" s="131" t="str">
        <f t="shared" si="58"/>
        <v>#REF!</v>
      </c>
      <c r="DN149" s="131" t="str">
        <f t="array" ref="DN149">INDEX(DM:DM,MIN(IF(ISNUMBER(DM149:DM345),ROW(DM149:DM345),"")))</f>
        <v/>
      </c>
      <c r="DO149" s="131" t="str">
        <f t="shared" si="129"/>
        <v>#REF!</v>
      </c>
      <c r="DP149" s="138" t="str">
        <f>DO149*VLOOKUP('Données projet (1)'!$B$14,'Paramètres (1)'!$A$1:$I$88,3,0)*VLOOKUP('Données projet (1)'!$B$14,'Paramètres (1)'!$A$1:$I$88,5,0)</f>
        <v>#REF!</v>
      </c>
      <c r="DQ149" s="130" t="str">
        <f t="shared" si="130"/>
        <v>#REF!</v>
      </c>
      <c r="DR149" s="141" t="str">
        <f t="shared" si="59"/>
        <v>#REF!</v>
      </c>
      <c r="DS149" s="133" t="str">
        <f t="shared" si="60"/>
        <v>#REF!</v>
      </c>
      <c r="DT149" s="133" t="str">
        <f t="shared" si="61"/>
        <v>#REF!</v>
      </c>
      <c r="DU149" s="133" t="str">
        <f t="shared" si="131"/>
        <v>#REF!</v>
      </c>
      <c r="DV149" s="134" t="str">
        <f t="shared" si="62"/>
        <v>#REF!</v>
      </c>
      <c r="DW149" s="134" t="str">
        <f t="shared" si="63"/>
        <v>#REF!</v>
      </c>
      <c r="DX149" s="135" t="str">
        <f>IF(ISNA(VLOOKUP(A149,'Données projet (1)'!$A$165:$I$185,5,0)),0%,VLOOKUP(A149,'Données projet (1)'!$A$165:$I$185,5,0)*VLOOKUP('Données projet (1)'!$B$14,'Paramètres (1)'!$A$1:$I$88,7,0))</f>
        <v>#REF!</v>
      </c>
      <c r="DY149" s="135" t="str">
        <f>IF(ISNA(VLOOKUP(A149,'Données projet (1)'!$A$165:$I$185,6,0)),0%,VLOOKUP(A149,'Données projet (1)'!$A$165:$I$185,6,0)*VLOOKUP('Données projet (1)'!$B$14,'Paramètres (1)'!$A$1:$I$88,7,0))</f>
        <v>#REF!</v>
      </c>
      <c r="DZ149" s="135" t="str">
        <f t="shared" si="64"/>
        <v>#REF!</v>
      </c>
      <c r="EA149" s="142" t="str">
        <f>EXP(-LN(2)/35)*EA148+(1-EXP(-LN(2)/35))/(LN(2)/35)*DW149*DX149*VLOOKUP('Données projet (1)'!$B$14,'Paramètres (1)'!$A$1:$I$88,3,0)*0.475*44/12</f>
        <v>#REF!</v>
      </c>
      <c r="EB149" s="142" t="str">
        <f>EXP(-LN(2)/25)*EB148+(1-EXP(-LN(2)/25))/(LN(2)/25)*'Calculateur (1)'!DW149*'Calculateur (1)'!DY149*VLOOKUP('Données projet (1)'!$B$14,'Paramètres (1)'!$A$1:$I$88,3,0)*0.475*44/12</f>
        <v>#REF!</v>
      </c>
      <c r="EC149" s="142" t="str">
        <f>EXP(-LN(2)/2)*EC148+(1-EXP(-LN(2)/2))/(LN(2)/2)*DW149*DZ149*VLOOKUP('Données projet (1)'!$B$14,'Paramètres (1)'!$A$1:$I$88,3,0)*0.475*44/12</f>
        <v>#REF!</v>
      </c>
      <c r="ED149" s="143" t="str">
        <f t="shared" si="65"/>
        <v>#REF!</v>
      </c>
      <c r="EE149" s="139" t="str">
        <f t="shared" si="66"/>
        <v>#REF!</v>
      </c>
      <c r="EF149" s="131">
        <f t="shared" si="67"/>
        <v>10</v>
      </c>
      <c r="EG149" s="131" t="str">
        <f t="shared" si="132"/>
        <v>#REF!</v>
      </c>
      <c r="EH149" s="131" t="str">
        <f t="shared" si="68"/>
        <v>#REF!</v>
      </c>
      <c r="EI149" s="131" t="str">
        <f t="array" ref="EI149">INDEX(EH:EH,MIN(IF(ISNUMBER(EH149:EH345),ROW(EH149:EH345),"")))</f>
        <v/>
      </c>
      <c r="EJ149" s="131" t="str">
        <f t="shared" si="133"/>
        <v>#REF!</v>
      </c>
      <c r="EK149" s="138" t="str">
        <f>EJ149*VLOOKUP('Données projet (1)'!$B$15,'Paramètres (1)'!$A$1:$I$88,3,0)*VLOOKUP('Données projet (1)'!$B$15,'Paramètres (1)'!$A$1:$I$88,5,0)</f>
        <v>#REF!</v>
      </c>
      <c r="EL149" s="130" t="str">
        <f t="shared" si="134"/>
        <v>#REF!</v>
      </c>
      <c r="EM149" s="141" t="str">
        <f t="shared" si="69"/>
        <v>#REF!</v>
      </c>
      <c r="EN149" s="133" t="str">
        <f t="shared" si="70"/>
        <v>#REF!</v>
      </c>
      <c r="EO149" s="133" t="str">
        <f t="shared" si="71"/>
        <v>#REF!</v>
      </c>
      <c r="EP149" s="133" t="str">
        <f t="shared" si="135"/>
        <v>#REF!</v>
      </c>
      <c r="EQ149" s="134" t="str">
        <f t="shared" si="72"/>
        <v>#REF!</v>
      </c>
      <c r="ER149" s="134" t="str">
        <f t="shared" si="73"/>
        <v>#REF!</v>
      </c>
      <c r="ES149" s="135" t="str">
        <f>IF(ISNA(VLOOKUP(A149,'Données projet (1)'!$A$191:$I$211,5,0)),0%,VLOOKUP(A149,'Données projet (1)'!$A$191:$I$211,5,0)*VLOOKUP('Données projet (1)'!$B$15,'Paramètres (1)'!$A$1:$I$88,7,0))</f>
        <v>#REF!</v>
      </c>
      <c r="ET149" s="135" t="str">
        <f>IF(ISNA(VLOOKUP(A149,'Données projet (1)'!$A$191:$I$211,6,0)),0%,VLOOKUP(A149,'Données projet (1)'!$A$191:$I$211,6,0)*VLOOKUP('Données projet (1)'!$B$15,'Paramètres (1)'!$A$1:$I$88,7,0))</f>
        <v>#REF!</v>
      </c>
      <c r="EU149" s="135" t="str">
        <f t="shared" si="74"/>
        <v>#REF!</v>
      </c>
      <c r="EV149" s="142" t="str">
        <f>EXP(-LN(2)/35)*EV148+(1-EXP(-LN(2)/35))/(LN(2)/35)*ER149*ES149*VLOOKUP('Données projet (1)'!$B$15,'Paramètres (1)'!$A$1:$I$88,3,0)*0.475*44/12</f>
        <v>#REF!</v>
      </c>
      <c r="EW149" s="142" t="str">
        <f>EXP(-LN(2)/25)*EW148+(1-EXP(-LN(2)/25))/(LN(2)/25)*'Calculateur (1)'!ER149*'Calculateur (1)'!ET149*VLOOKUP('Données projet (1)'!$B$15,'Paramètres (1)'!$A$1:$I$88,3,0)*0.475*44/12</f>
        <v>#REF!</v>
      </c>
      <c r="EX149" s="142" t="str">
        <f>EXP(-LN(2)/2)*EX148+(1-EXP(-LN(2)/2))/(LN(2)/2)*ER149*EU149*VLOOKUP('Données projet (1)'!$B$15,'Paramètres (1)'!$A$1:$I$88,3,0)*0.475*44/12</f>
        <v>#REF!</v>
      </c>
      <c r="EY149" s="143" t="str">
        <f t="shared" si="75"/>
        <v>#REF!</v>
      </c>
      <c r="EZ149" s="139" t="str">
        <f t="shared" si="76"/>
        <v>#REF!</v>
      </c>
      <c r="FA149" s="131">
        <f t="shared" si="77"/>
        <v>10</v>
      </c>
      <c r="FB149" s="131" t="str">
        <f t="shared" si="136"/>
        <v>#REF!</v>
      </c>
      <c r="FC149" s="131" t="str">
        <f t="shared" si="78"/>
        <v>#REF!</v>
      </c>
      <c r="FD149" s="131" t="str">
        <f t="array" ref="FD149">INDEX(FC:FC,MIN(IF(ISNUMBER(FC149:FC345),ROW(FC149:FC345),"")))</f>
        <v/>
      </c>
      <c r="FE149" s="131" t="str">
        <f t="shared" si="137"/>
        <v>#REF!</v>
      </c>
      <c r="FF149" s="138" t="str">
        <f>FE149*VLOOKUP('Données projet (1)'!$B$16,'Paramètres (1)'!$A$1:$I$88,3,0)*VLOOKUP('Données projet (1)'!$B$16,'Paramètres (1)'!$A$1:$I$88,5,0)</f>
        <v>#REF!</v>
      </c>
      <c r="FG149" s="130" t="str">
        <f t="shared" si="138"/>
        <v>#REF!</v>
      </c>
      <c r="FH149" s="141" t="str">
        <f t="shared" si="79"/>
        <v>#REF!</v>
      </c>
      <c r="FI149" s="133" t="str">
        <f t="shared" si="80"/>
        <v>#REF!</v>
      </c>
      <c r="FJ149" s="133" t="str">
        <f t="shared" si="81"/>
        <v>#REF!</v>
      </c>
      <c r="FK149" s="133" t="str">
        <f t="shared" si="139"/>
        <v>#REF!</v>
      </c>
      <c r="FL149" s="134" t="str">
        <f t="shared" si="82"/>
        <v>#REF!</v>
      </c>
      <c r="FM149" s="134" t="str">
        <f t="shared" si="83"/>
        <v>#REF!</v>
      </c>
      <c r="FN149" s="135" t="str">
        <f>IF(ISNA(VLOOKUP(A149,'Données projet (1)'!$A$217:$I$237,5,0)),0%,VLOOKUP(A149,'Données projet (1)'!$A$217:$I$237,5,0)*VLOOKUP('Données projet (1)'!$B$16,'Paramètres (1)'!$A$1:$I$88,7,0))</f>
        <v>#REF!</v>
      </c>
      <c r="FO149" s="135" t="str">
        <f>IF(ISNA(VLOOKUP(A149,'Données projet (1)'!$A$217:$I$237,6,0)),0%,VLOOKUP(A149,'Données projet (1)'!$A$217:$I$237,6,0)*VLOOKUP('Données projet (1)'!$B$16,'Paramètres (1)'!$A$1:$I$88,7,0))</f>
        <v>#REF!</v>
      </c>
      <c r="FP149" s="135" t="str">
        <f t="shared" si="84"/>
        <v>#REF!</v>
      </c>
      <c r="FQ149" s="142" t="str">
        <f>EXP(-LN(2)/35)*FQ148+(1-EXP(-LN(2)/35))/(LN(2)/35)*FM149*FN149*VLOOKUP('Données projet (1)'!$B$16,'Paramètres (1)'!$A$1:$I$88,3,0)*0.475*44/12</f>
        <v>#REF!</v>
      </c>
      <c r="FR149" s="142" t="str">
        <f>EXP(-LN(2)/25)*FR148+(1-EXP(-LN(2)/25))/(LN(2)/25)*'Calculateur (1)'!FM149*'Calculateur (1)'!FO149*VLOOKUP('Données projet (1)'!$B$16,'Paramètres (1)'!$A$1:$I$88,3,0)*0.475*44/12</f>
        <v>#REF!</v>
      </c>
      <c r="FS149" s="142" t="str">
        <f>EXP(-LN(2)/2)*FS148+(1-EXP(-LN(2)/2))/(LN(2)/2)*FM149*FP149*VLOOKUP('Données projet (1)'!$B$16,'Paramètres (1)'!$A$1:$I$88,3,0)*0.475*44/12</f>
        <v>#REF!</v>
      </c>
      <c r="FT149" s="143" t="str">
        <f t="shared" si="85"/>
        <v>#REF!</v>
      </c>
      <c r="FU149" s="139" t="str">
        <f t="shared" si="86"/>
        <v>#REF!</v>
      </c>
      <c r="FV149" s="131">
        <f t="shared" si="87"/>
        <v>10</v>
      </c>
      <c r="FW149" s="131" t="str">
        <f t="shared" si="140"/>
        <v>#REF!</v>
      </c>
      <c r="FX149" s="131" t="str">
        <f t="shared" si="88"/>
        <v>#REF!</v>
      </c>
      <c r="FY149" s="131" t="str">
        <f t="array" ref="FY149">INDEX(FX:FX,MIN(IF(ISNUMBER(FX149:FX345),ROW(FX149:FX345),"")))</f>
        <v/>
      </c>
      <c r="FZ149" s="131" t="str">
        <f t="shared" si="141"/>
        <v>#REF!</v>
      </c>
      <c r="GA149" s="138" t="str">
        <f>FZ149*VLOOKUP('Données projet (1)'!$B$17,'Paramètres (1)'!$A$1:$I$88,3,0)*VLOOKUP('Données projet (1)'!$B$17,'Paramètres (1)'!$A$1:$I$88,5,0)</f>
        <v>#REF!</v>
      </c>
      <c r="GB149" s="130" t="str">
        <f t="shared" si="142"/>
        <v>#REF!</v>
      </c>
      <c r="GC149" s="141" t="str">
        <f t="shared" si="89"/>
        <v>#REF!</v>
      </c>
      <c r="GD149" s="133" t="str">
        <f t="shared" si="90"/>
        <v>#REF!</v>
      </c>
      <c r="GE149" s="133" t="str">
        <f t="shared" si="91"/>
        <v>#REF!</v>
      </c>
      <c r="GF149" s="133" t="str">
        <f t="shared" si="143"/>
        <v>#REF!</v>
      </c>
      <c r="GG149" s="134" t="str">
        <f t="shared" si="92"/>
        <v>#REF!</v>
      </c>
      <c r="GH149" s="134" t="str">
        <f t="shared" si="93"/>
        <v>#REF!</v>
      </c>
      <c r="GI149" s="135" t="str">
        <f>IF(ISNA(VLOOKUP(A149,'Données projet (1)'!$A$243:$I$263,5,0)),0%,VLOOKUP(A149,'Données projet (1)'!$A$243:$I$263,5,0)*VLOOKUP('Données projet (1)'!$B$17,'Paramètres (1)'!$A$1:$I$88,7,0))</f>
        <v>#REF!</v>
      </c>
      <c r="GJ149" s="135" t="str">
        <f>IF(ISNA(VLOOKUP(A149,'Données projet (1)'!$A$243:$I$263,6,0)),0%,VLOOKUP(A149,'Données projet (1)'!$A$243:$I$263,6,0)*VLOOKUP('Données projet (1)'!$B$17,'Paramètres (1)'!$A$1:$I$88,7,0))</f>
        <v>#REF!</v>
      </c>
      <c r="GK149" s="135" t="str">
        <f t="shared" si="94"/>
        <v>#REF!</v>
      </c>
      <c r="GL149" s="142" t="str">
        <f>EXP(-LN(2)/35)*GL148+(1-EXP(-LN(2)/35))/(LN(2)/35)*GH149*GI149*VLOOKUP('Données projet (1)'!$B$17,'Paramètres (1)'!$A$1:$I$88,3,0)*0.475*44/12</f>
        <v>#REF!</v>
      </c>
      <c r="GM149" s="142" t="str">
        <f>EXP(-LN(2)/25)*GM148+(1-EXP(-LN(2)/25))/(LN(2)/25)*'Calculateur (1)'!GH149*'Calculateur (1)'!GJ149*VLOOKUP('Données projet (1)'!$B$17,'Paramètres (1)'!$A$1:$I$88,3,0)*0.475*44/12</f>
        <v>#REF!</v>
      </c>
      <c r="GN149" s="142" t="str">
        <f>EXP(-LN(2)/2)*GN148+(1-EXP(-LN(2)/2))/(LN(2)/2)*GH149*GK149*VLOOKUP('Données projet (1)'!$B$17,'Paramètres (1)'!$A$1:$I$88,3,0)*0.475*44/12</f>
        <v>#REF!</v>
      </c>
      <c r="GO149" s="142" t="str">
        <f t="shared" si="95"/>
        <v>#REF!</v>
      </c>
      <c r="GP149" s="139" t="str">
        <f t="shared" si="96"/>
        <v>#REF!</v>
      </c>
      <c r="GQ149" s="131">
        <f t="shared" si="97"/>
        <v>10</v>
      </c>
      <c r="GR149" s="131" t="str">
        <f t="shared" si="144"/>
        <v>#REF!</v>
      </c>
      <c r="GS149" s="131" t="str">
        <f t="shared" si="98"/>
        <v>#REF!</v>
      </c>
      <c r="GT149" s="131" t="str">
        <f t="array" ref="GT149">INDEX(GS:GS,MIN(IF(ISNUMBER(GS149:GS345),ROW(GS149:GS345),"")))</f>
        <v/>
      </c>
      <c r="GU149" s="131" t="str">
        <f t="shared" si="145"/>
        <v>#REF!</v>
      </c>
      <c r="GV149" s="138" t="str">
        <f>GU149*VLOOKUP('Données projet (1)'!$B$18,'Paramètres (1)'!$A$1:$I$88,3,0)*VLOOKUP('Données projet (1)'!$B$18,'Paramètres (1)'!$A$1:$I$88,5,0)</f>
        <v>#REF!</v>
      </c>
      <c r="GW149" s="130" t="str">
        <f t="shared" si="146"/>
        <v>#REF!</v>
      </c>
      <c r="GX149" s="141" t="str">
        <f t="shared" si="99"/>
        <v>#REF!</v>
      </c>
      <c r="GY149" s="133" t="str">
        <f t="shared" si="100"/>
        <v>#REF!</v>
      </c>
      <c r="GZ149" s="133" t="str">
        <f t="shared" si="101"/>
        <v>#REF!</v>
      </c>
      <c r="HA149" s="133" t="str">
        <f t="shared" si="147"/>
        <v>#REF!</v>
      </c>
      <c r="HB149" s="134" t="str">
        <f t="shared" si="102"/>
        <v>#REF!</v>
      </c>
      <c r="HC149" s="134" t="str">
        <f t="shared" si="103"/>
        <v>#REF!</v>
      </c>
      <c r="HD149" s="135" t="str">
        <f>IF(ISNA(VLOOKUP(A149,'Données projet (1)'!$A$269:$I$289,5,0)),0%,VLOOKUP(A149,'Données projet (1)'!$A$269:$I$289,5,0)*VLOOKUP('Données projet (1)'!$B$18,'Paramètres (1)'!$A$1:$I$88,7,0))</f>
        <v>#REF!</v>
      </c>
      <c r="HE149" s="135" t="str">
        <f>IF(ISNA(VLOOKUP(A149,'Données projet (1)'!$A$269:$I$289,6,0)),0%,VLOOKUP(A149,'Données projet (1)'!$A$269:$I$289,6,0)*VLOOKUP('Données projet (1)'!$B$18,'Paramètres (1)'!$A$1:$I$88,7,0))</f>
        <v>#REF!</v>
      </c>
      <c r="HF149" s="135" t="str">
        <f t="shared" si="104"/>
        <v>#REF!</v>
      </c>
      <c r="HG149" s="142" t="str">
        <f>EXP(-LN(2)/35)*HG148+(1-EXP(-LN(2)/35))/(LN(2)/35)*HC149*HD149*VLOOKUP('Données projet (1)'!$B$18,'Paramètres (1)'!$A$1:$I$88,3,0)*0.475*44/12</f>
        <v>#REF!</v>
      </c>
      <c r="HH149" s="142" t="str">
        <f>EXP(-LN(2)/25)*HH148+(1-EXP(-LN(2)/25))/(LN(2)/25)*'Calculateur (1)'!HC149*'Calculateur (1)'!HE149*VLOOKUP('Données projet (1)'!$B$18,'Paramètres (1)'!$A$1:$I$88,3,0)*0.475*44/12</f>
        <v>#REF!</v>
      </c>
      <c r="HI149" s="142" t="str">
        <f>EXP(-LN(2)/2)*HI148+(1-EXP(-LN(2)/2))/(LN(2)/2)*HC149*HF149*VLOOKUP('Données projet (1)'!$B$18,'Paramètres (1)'!$A$1:$I$88,3,0)*0.475*44/12</f>
        <v>#REF!</v>
      </c>
      <c r="HJ149" s="143" t="str">
        <f t="shared" si="105"/>
        <v>#REF!</v>
      </c>
    </row>
    <row r="150" ht="14.25" customHeight="1">
      <c r="A150" s="125">
        <f t="shared" si="106"/>
        <v>147</v>
      </c>
      <c r="B150" s="126" t="str">
        <f t="shared" si="1"/>
        <v>#REF!</v>
      </c>
      <c r="C150" s="140" t="str">
        <f>'Calculateur (1)'!C149+'Scénario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0" s="127">
        <f t="shared" si="107"/>
        <v>0</v>
      </c>
      <c r="E150" s="127" t="str">
        <f t="shared" si="2"/>
        <v>#REF!</v>
      </c>
      <c r="F150" s="127" t="str">
        <f t="shared" si="3"/>
        <v>#REF!</v>
      </c>
      <c r="G150" s="127" t="str">
        <f t="shared" si="4"/>
        <v>#REF!</v>
      </c>
      <c r="H150" s="128" t="str">
        <f t="shared" si="5"/>
        <v>#REF!</v>
      </c>
      <c r="I150" s="129" t="str">
        <f t="shared" si="6"/>
        <v>#REF!</v>
      </c>
      <c r="J150" s="130">
        <f t="shared" si="7"/>
        <v>10</v>
      </c>
      <c r="K150" s="131" t="str">
        <f t="shared" si="108"/>
        <v>#REF!</v>
      </c>
      <c r="L150" s="131" t="str">
        <f t="shared" si="8"/>
        <v>#REF!</v>
      </c>
      <c r="M150" s="131" t="str">
        <f t="array" ref="M150">INDEX(L:L,MIN(IF(ISNUMBER(L150:L346),ROW(L150:L346),"")))</f>
        <v/>
      </c>
      <c r="N150" s="130" t="str">
        <f t="shared" si="109"/>
        <v>#REF!</v>
      </c>
      <c r="O150" s="130" t="str">
        <f>N150*VLOOKUP('Données projet (1)'!$B$9,'Paramètres (1)'!$A$1:$I$88,3,0)*VLOOKUP('Données projet (1)'!$B$9,'Paramètres (1)'!$A$1:$I$88,5,0)</f>
        <v>#REF!</v>
      </c>
      <c r="P150" s="130" t="str">
        <f t="shared" si="110"/>
        <v>#REF!</v>
      </c>
      <c r="Q150" s="141" t="str">
        <f t="shared" si="9"/>
        <v>#REF!</v>
      </c>
      <c r="R150" s="133" t="str">
        <f t="shared" si="10"/>
        <v>#REF!</v>
      </c>
      <c r="S150" s="133" t="str">
        <f t="shared" si="11"/>
        <v>#REF!</v>
      </c>
      <c r="T150" s="133" t="str">
        <f t="shared" si="111"/>
        <v>#REF!</v>
      </c>
      <c r="U150" s="134" t="str">
        <f t="shared" si="12"/>
        <v>#REF!</v>
      </c>
      <c r="V150" s="134" t="str">
        <f t="shared" si="13"/>
        <v>#REF!</v>
      </c>
      <c r="W150" s="135" t="str">
        <f>IF(ISNA(VLOOKUP(A150,'Données projet (1)'!$A$35:$I$55,5,0)),0%,VLOOKUP(A150,'Données projet (1)'!$A$35:$I$55,5,0)*VLOOKUP('Données projet (1)'!$B$9,'Paramètres (1)'!$A$1:$I$88,7,0))</f>
        <v>#REF!</v>
      </c>
      <c r="X150" s="135" t="str">
        <f>IF(ISNA(VLOOKUP(A150,'Données projet (1)'!$A$35:$I$55,6,0)),0%,VLOOKUP(A150,'Données projet (1)'!$A$35:$I$55,6,0)*VLOOKUP('Données projet (1)'!$B$9,'Paramètres (1)'!$A$1:$I$88,7,0))</f>
        <v>#REF!</v>
      </c>
      <c r="Y150" s="135" t="str">
        <f t="shared" si="14"/>
        <v>#REF!</v>
      </c>
      <c r="Z150" s="142" t="str">
        <f>EXP(-LN(2)/35)*Z149+(1-EXP(-LN(2)/35))/(LN(2)/35)*V150*W150*VLOOKUP('Données projet (1)'!$B$9,'Paramètres (1)'!$A$1:$I$88,3,0)*0.475*44/12</f>
        <v>#REF!</v>
      </c>
      <c r="AA150" s="142" t="str">
        <f>EXP(-LN(2)/25)*AA149+(1-EXP(-LN(2)/25))/(LN(2)/25)*'Calculateur (1)'!V150*'Calculateur (1)'!X150*VLOOKUP('Données projet (1)'!$B$9,'Paramètres (1)'!$A$1:$I$88,3,0)*0.475*44/12</f>
        <v>#REF!</v>
      </c>
      <c r="AB150" s="142" t="str">
        <f>EXP(-LN(2)/2)*AB149+(1-EXP(-LN(2)/2))/(LN(2)/2)*V150*Y150*VLOOKUP('Données projet (1)'!$B$9,'Paramètres (1)'!$A$1:$I$88,3,0)*0.475*44/12</f>
        <v>#REF!</v>
      </c>
      <c r="AC150" s="143" t="str">
        <f t="shared" si="15"/>
        <v>#REF!</v>
      </c>
      <c r="AD150" s="130" t="str">
        <f t="shared" si="16"/>
        <v>#REF!</v>
      </c>
      <c r="AE150" s="130">
        <f t="shared" si="17"/>
        <v>10</v>
      </c>
      <c r="AF150" s="131" t="str">
        <f t="shared" si="112"/>
        <v>#REF!</v>
      </c>
      <c r="AG150" s="131" t="str">
        <f t="shared" si="18"/>
        <v>#REF!</v>
      </c>
      <c r="AH150" s="131" t="str">
        <f t="array" ref="AH150">INDEX(AG:AG,MIN(IF(ISNUMBER(AG150:AG346),ROW(AG150:AG346),"")))</f>
        <v/>
      </c>
      <c r="AI150" s="130" t="str">
        <f t="shared" si="113"/>
        <v>#REF!</v>
      </c>
      <c r="AJ150" s="130" t="str">
        <f>AI150*VLOOKUP('Données projet (1)'!$B$10,'Paramètres (1)'!$A$1:$I$88,3,0)*VLOOKUP('Données projet (1)'!$B$10,'Paramètres (1)'!$A$1:$I$88,5,0)</f>
        <v>#REF!</v>
      </c>
      <c r="AK150" s="130" t="str">
        <f t="shared" si="114"/>
        <v>#REF!</v>
      </c>
      <c r="AL150" s="141" t="str">
        <f t="shared" si="19"/>
        <v>#REF!</v>
      </c>
      <c r="AM150" s="133" t="str">
        <f t="shared" si="20"/>
        <v>#REF!</v>
      </c>
      <c r="AN150" s="133" t="str">
        <f t="shared" si="21"/>
        <v>#REF!</v>
      </c>
      <c r="AO150" s="133" t="str">
        <f t="shared" si="115"/>
        <v>#REF!</v>
      </c>
      <c r="AP150" s="134" t="str">
        <f t="shared" si="22"/>
        <v>#REF!</v>
      </c>
      <c r="AQ150" s="134" t="str">
        <f t="shared" si="23"/>
        <v>#REF!</v>
      </c>
      <c r="AR150" s="135" t="str">
        <f>IF(ISNA(VLOOKUP(A150,'Données projet (1)'!$A$61:$I$81,5,0)),0%,VLOOKUP(A150,'Données projet (1)'!$A$61:$I$81,5,0)*VLOOKUP('Données projet (1)'!$B$10,'Paramètres (1)'!$A$1:$I$88,7,0))</f>
        <v>#REF!</v>
      </c>
      <c r="AS150" s="135" t="str">
        <f>IF(ISNA(VLOOKUP(A150,'Données projet (1)'!$A$61:$I$81,6,0)),0%,VLOOKUP(A150,'Données projet (1)'!$A$61:$I$81,6,0)*VLOOKUP('Données projet (1)'!$B$10,'Paramètres (1)'!$A$1:$I$88,7,0))</f>
        <v>#REF!</v>
      </c>
      <c r="AT150" s="135" t="str">
        <f t="shared" si="24"/>
        <v>#REF!</v>
      </c>
      <c r="AU150" s="142" t="str">
        <f>EXP(-LN(2)/35)*AU149+(1-EXP(-LN(2)/35))/(LN(2)/35)*AQ150*AR150*VLOOKUP('Données projet (1)'!$B$10,'Paramètres (1)'!$A$1:$I$88,3,0)*0.475*44/12</f>
        <v>#REF!</v>
      </c>
      <c r="AV150" s="142" t="str">
        <f>EXP(-LN(2)/25)*AV149+(1-EXP(-LN(2)/25))/(LN(2)/25)*'Calculateur (1)'!AQ150*'Calculateur (1)'!AS150*VLOOKUP('Données projet (1)'!$B$10,'Paramètres (1)'!$A$1:$I$88,3,0)*0.475*44/12</f>
        <v>#REF!</v>
      </c>
      <c r="AW150" s="142" t="str">
        <f>EXP(-LN(2)/2)*AW149+(1-EXP(-LN(2)/2))/(LN(2)/2)*AQ150*AT150*VLOOKUP('Données projet (1)'!$B$10,'Paramètres (1)'!$A$1:$I$88,3,0)*0.475*44/12</f>
        <v>#REF!</v>
      </c>
      <c r="AX150" s="142" t="str">
        <f t="shared" si="25"/>
        <v>#REF!</v>
      </c>
      <c r="AY150" s="137" t="str">
        <f t="shared" si="26"/>
        <v>#REF!</v>
      </c>
      <c r="AZ150" s="131">
        <f t="shared" si="27"/>
        <v>10</v>
      </c>
      <c r="BA150" s="131" t="str">
        <f t="shared" si="116"/>
        <v>#REF!</v>
      </c>
      <c r="BB150" s="131" t="str">
        <f t="shared" si="28"/>
        <v>#REF!</v>
      </c>
      <c r="BC150" s="131" t="str">
        <f t="array" ref="BC150">INDEX(BB:BB,MIN(IF(ISNUMBER(BB150:BB346),ROW(BB150:BB346),"")))</f>
        <v/>
      </c>
      <c r="BD150" s="131" t="str">
        <f t="shared" si="117"/>
        <v>#REF!</v>
      </c>
      <c r="BE150" s="130" t="str">
        <f>BD150*VLOOKUP('Données projet (1)'!$B$11,'Paramètres (1)'!$A$1:$I$88,3,0)*VLOOKUP('Données projet (1)'!$B$11,'Paramètres (1)'!$A$1:$I$88,5,0)</f>
        <v>#REF!</v>
      </c>
      <c r="BF150" s="130" t="str">
        <f t="shared" si="118"/>
        <v>#REF!</v>
      </c>
      <c r="BG150" s="141" t="str">
        <f t="shared" si="29"/>
        <v>#REF!</v>
      </c>
      <c r="BH150" s="133" t="str">
        <f t="shared" si="30"/>
        <v>#REF!</v>
      </c>
      <c r="BI150" s="133" t="str">
        <f t="shared" si="31"/>
        <v>#REF!</v>
      </c>
      <c r="BJ150" s="133" t="str">
        <f t="shared" si="119"/>
        <v>#REF!</v>
      </c>
      <c r="BK150" s="134" t="str">
        <f t="shared" si="32"/>
        <v>#REF!</v>
      </c>
      <c r="BL150" s="134" t="str">
        <f t="shared" si="33"/>
        <v>#REF!</v>
      </c>
      <c r="BM150" s="135" t="str">
        <f>IF(ISNA(VLOOKUP(A150,'Données projet (1)'!$A$87:$I$107,5,0)),0%,VLOOKUP(A150,'Données projet (1)'!$A$87:$I$107,5,0)*VLOOKUP('Données projet (1)'!$B$11,'Paramètres (1)'!$A$1:$I$88,7,0))</f>
        <v>#REF!</v>
      </c>
      <c r="BN150" s="135" t="str">
        <f>IF(ISNA(VLOOKUP(A150,'Données projet (1)'!$A$87:$I$107,6,0)),0%,VLOOKUP(A150,'Données projet (1)'!$A$87:$I$107,6,0)*VLOOKUP('Données projet (1)'!$B$11,'Paramètres (1)'!$A$1:$I$88,7,0))</f>
        <v>#REF!</v>
      </c>
      <c r="BO150" s="135" t="str">
        <f t="shared" si="34"/>
        <v>#REF!</v>
      </c>
      <c r="BP150" s="142" t="str">
        <f>EXP(-LN(2)/35)*BP149+(1-EXP(-LN(2)/35))/(LN(2)/35)*BL150*BM150*VLOOKUP('Données projet (1)'!$B$11,'Paramètres (1)'!$A$1:$I$88,3,0)*0.475*44/12</f>
        <v>#REF!</v>
      </c>
      <c r="BQ150" s="142" t="str">
        <f>EXP(-LN(2)/25)*BQ149+(1-EXP(-LN(2)/25))/(LN(2)/25)*'Calculateur (1)'!BL150*'Calculateur (1)'!BN150*VLOOKUP('Données projet (1)'!$B$11,'Paramètres (1)'!$A$1:$I$88,3,0)*0.475*44/12</f>
        <v>#REF!</v>
      </c>
      <c r="BR150" s="142" t="str">
        <f>EXP(-LN(2)/2)*BR149+(1-EXP(-LN(2)/2))/(LN(2)/2)*BL150*BO150*VLOOKUP('Données projet (1)'!$B$11,'Paramètres (1)'!$A$1:$I$88,3,0)*0.475*44/12</f>
        <v>#REF!</v>
      </c>
      <c r="BS150" s="143" t="str">
        <f t="shared" si="35"/>
        <v>#REF!</v>
      </c>
      <c r="BT150" s="139" t="str">
        <f t="shared" si="36"/>
        <v>#REF!</v>
      </c>
      <c r="BU150" s="131">
        <f t="shared" si="37"/>
        <v>10</v>
      </c>
      <c r="BV150" s="131" t="str">
        <f t="shared" si="120"/>
        <v>#REF!</v>
      </c>
      <c r="BW150" s="131" t="str">
        <f t="shared" si="38"/>
        <v>#REF!</v>
      </c>
      <c r="BX150" s="131" t="str">
        <f t="array" ref="BX150">INDEX(BW:BW,MIN(IF(ISNUMBER(BW150:BW346),ROW(BW150:BW346),"")))</f>
        <v/>
      </c>
      <c r="BY150" s="131" t="str">
        <f t="shared" si="121"/>
        <v>#REF!</v>
      </c>
      <c r="BZ150" s="130" t="str">
        <f>BY150*VLOOKUP('Données projet (1)'!$B$12,'Paramètres (1)'!$A$1:$I$88,3,0)*VLOOKUP('Données projet (1)'!$B$12,'Paramètres (1)'!$A$1:$I$88,5,0)</f>
        <v>#REF!</v>
      </c>
      <c r="CA150" s="130" t="str">
        <f t="shared" si="122"/>
        <v>#REF!</v>
      </c>
      <c r="CB150" s="141" t="str">
        <f t="shared" si="39"/>
        <v>#REF!</v>
      </c>
      <c r="CC150" s="133" t="str">
        <f t="shared" si="40"/>
        <v>#REF!</v>
      </c>
      <c r="CD150" s="133" t="str">
        <f t="shared" si="41"/>
        <v>#REF!</v>
      </c>
      <c r="CE150" s="133" t="str">
        <f t="shared" si="123"/>
        <v>#REF!</v>
      </c>
      <c r="CF150" s="134" t="str">
        <f t="shared" si="42"/>
        <v>#REF!</v>
      </c>
      <c r="CG150" s="134" t="str">
        <f t="shared" si="43"/>
        <v>#REF!</v>
      </c>
      <c r="CH150" s="135" t="str">
        <f>IF(ISNA(VLOOKUP(A150,'Données projet (1)'!$A$113:$I$133,5,0)),0%,VLOOKUP(A150,'Données projet (1)'!$A$113:$I$133,5,0)*VLOOKUP('Données projet (1)'!$B$12,'Paramètres (1)'!$A$1:$I$88,7,0))</f>
        <v>#REF!</v>
      </c>
      <c r="CI150" s="135" t="str">
        <f>IF(ISNA(VLOOKUP(A150,'Données projet (1)'!$A$113:$I$133,6,0)),0%,VLOOKUP(A150,'Données projet (1)'!$A$113:$I$133,6,0)*VLOOKUP('Données projet (1)'!$B$12,'Paramètres (1)'!$A$1:$I$88,7,0))</f>
        <v>#REF!</v>
      </c>
      <c r="CJ150" s="135" t="str">
        <f t="shared" si="44"/>
        <v>#REF!</v>
      </c>
      <c r="CK150" s="142" t="str">
        <f>EXP(-LN(2)/35)*CK149+(1-EXP(-LN(2)/35))/(LN(2)/35)*CG150*CH150*VLOOKUP('Données projet (1)'!$B$12,'Paramètres (1)'!$A$1:$I$88,3,0)*0.475*44/12</f>
        <v>#REF!</v>
      </c>
      <c r="CL150" s="142" t="str">
        <f>EXP(-LN(2)/25)*CL149+(1-EXP(-LN(2)/25))/(LN(2)/25)*'Calculateur (1)'!CG150*'Calculateur (1)'!CI150*VLOOKUP('Données projet (1)'!$B$12,'Paramètres (1)'!$A$1:$I$88,3,0)*0.475*44/12</f>
        <v>#REF!</v>
      </c>
      <c r="CM150" s="142" t="str">
        <f>EXP(-LN(2)/2)*CM149+(1-EXP(-LN(2)/2))/(LN(2)/2)*CG150*CJ150*VLOOKUP('Données projet (1)'!$B$12,'Paramètres (1)'!$A$1:$I$88,3,0)*0.475*44/12</f>
        <v>#REF!</v>
      </c>
      <c r="CN150" s="143" t="str">
        <f t="shared" si="45"/>
        <v>#REF!</v>
      </c>
      <c r="CO150" s="139" t="str">
        <f t="shared" si="46"/>
        <v>#REF!</v>
      </c>
      <c r="CP150" s="131">
        <f t="shared" si="47"/>
        <v>10</v>
      </c>
      <c r="CQ150" s="131" t="str">
        <f t="shared" si="124"/>
        <v>#REF!</v>
      </c>
      <c r="CR150" s="131" t="str">
        <f t="shared" si="48"/>
        <v>#REF!</v>
      </c>
      <c r="CS150" s="131" t="str">
        <f t="array" ref="CS150">INDEX(CR:CR,MIN(IF(ISNUMBER(CR150:CR346),ROW(CR150:CR346),"")))</f>
        <v/>
      </c>
      <c r="CT150" s="131" t="str">
        <f t="shared" si="125"/>
        <v>#REF!</v>
      </c>
      <c r="CU150" s="138" t="str">
        <f>CT150*VLOOKUP('Données projet (1)'!$B$13,'Paramètres (1)'!$A$1:$I$88,3,0)*VLOOKUP('Données projet (1)'!$B$13,'Paramètres (1)'!$A$1:$I$88,5,0)</f>
        <v>#REF!</v>
      </c>
      <c r="CV150" s="130" t="str">
        <f t="shared" si="126"/>
        <v>#REF!</v>
      </c>
      <c r="CW150" s="141" t="str">
        <f t="shared" si="49"/>
        <v>#REF!</v>
      </c>
      <c r="CX150" s="133" t="str">
        <f t="shared" si="50"/>
        <v>#REF!</v>
      </c>
      <c r="CY150" s="133" t="str">
        <f t="shared" si="51"/>
        <v>#REF!</v>
      </c>
      <c r="CZ150" s="133" t="str">
        <f t="shared" si="127"/>
        <v>#REF!</v>
      </c>
      <c r="DA150" s="134" t="str">
        <f t="shared" si="52"/>
        <v>#REF!</v>
      </c>
      <c r="DB150" s="134" t="str">
        <f t="shared" si="53"/>
        <v>#REF!</v>
      </c>
      <c r="DC150" s="135" t="str">
        <f>IF(ISNA(VLOOKUP(A150,'Données projet (1)'!$A$139:$I$159,5,0)),0%,VLOOKUP(A150,'Données projet (1)'!$A$139:$I$159,5,0)*VLOOKUP('Données projet (1)'!$B$13,'Paramètres (1)'!$A$1:$I$88,7,0))</f>
        <v>#REF!</v>
      </c>
      <c r="DD150" s="135" t="str">
        <f>IF(ISNA(VLOOKUP(A150,'Données projet (1)'!$A$139:$I$159,6,0)),0%,VLOOKUP(A150,'Données projet (1)'!$A$139:$I$159,6,0)*VLOOKUP('Données projet (1)'!$B$13,'Paramètres (1)'!$A$1:$I$88,7,0))</f>
        <v>#REF!</v>
      </c>
      <c r="DE150" s="135" t="str">
        <f t="shared" si="54"/>
        <v>#REF!</v>
      </c>
      <c r="DF150" s="142" t="str">
        <f>EXP(-LN(2)/35)*DF149+(1-EXP(-LN(2)/35))/(LN(2)/35)*DB150*DC150*VLOOKUP('Données projet (1)'!$B$13,'Paramètres (1)'!$A$1:$I$88,3,0)*0.475*44/12</f>
        <v>#REF!</v>
      </c>
      <c r="DG150" s="142" t="str">
        <f>EXP(-LN(2)/25)*DG149+(1-EXP(-LN(2)/25))/(LN(2)/25)*'Calculateur (1)'!DB150*'Calculateur (1)'!DD150*VLOOKUP('Données projet (1)'!$B$13,'Paramètres (1)'!$A$1:$I$88,3,0)*0.475*44/12</f>
        <v>#REF!</v>
      </c>
      <c r="DH150" s="142" t="str">
        <f>EXP(-LN(2)/2)*DH149+(1-EXP(-LN(2)/2))/(LN(2)/2)*DB150*DE150*VLOOKUP('Données projet (1)'!$B$13,'Paramètres (1)'!$A$1:$I$88,3,0)*0.475*44/12</f>
        <v>#REF!</v>
      </c>
      <c r="DI150" s="143" t="str">
        <f t="shared" si="55"/>
        <v>#REF!</v>
      </c>
      <c r="DJ150" s="139" t="str">
        <f t="shared" si="56"/>
        <v>#REF!</v>
      </c>
      <c r="DK150" s="131">
        <f t="shared" si="57"/>
        <v>10</v>
      </c>
      <c r="DL150" s="131" t="str">
        <f t="shared" si="128"/>
        <v>#REF!</v>
      </c>
      <c r="DM150" s="131" t="str">
        <f t="shared" si="58"/>
        <v>#REF!</v>
      </c>
      <c r="DN150" s="131" t="str">
        <f t="array" ref="DN150">INDEX(DM:DM,MIN(IF(ISNUMBER(DM150:DM346),ROW(DM150:DM346),"")))</f>
        <v/>
      </c>
      <c r="DO150" s="131" t="str">
        <f t="shared" si="129"/>
        <v>#REF!</v>
      </c>
      <c r="DP150" s="138" t="str">
        <f>DO150*VLOOKUP('Données projet (1)'!$B$14,'Paramètres (1)'!$A$1:$I$88,3,0)*VLOOKUP('Données projet (1)'!$B$14,'Paramètres (1)'!$A$1:$I$88,5,0)</f>
        <v>#REF!</v>
      </c>
      <c r="DQ150" s="130" t="str">
        <f t="shared" si="130"/>
        <v>#REF!</v>
      </c>
      <c r="DR150" s="141" t="str">
        <f t="shared" si="59"/>
        <v>#REF!</v>
      </c>
      <c r="DS150" s="133" t="str">
        <f t="shared" si="60"/>
        <v>#REF!</v>
      </c>
      <c r="DT150" s="133" t="str">
        <f t="shared" si="61"/>
        <v>#REF!</v>
      </c>
      <c r="DU150" s="133" t="str">
        <f t="shared" si="131"/>
        <v>#REF!</v>
      </c>
      <c r="DV150" s="134" t="str">
        <f t="shared" si="62"/>
        <v>#REF!</v>
      </c>
      <c r="DW150" s="134" t="str">
        <f t="shared" si="63"/>
        <v>#REF!</v>
      </c>
      <c r="DX150" s="135" t="str">
        <f>IF(ISNA(VLOOKUP(A150,'Données projet (1)'!$A$165:$I$185,5,0)),0%,VLOOKUP(A150,'Données projet (1)'!$A$165:$I$185,5,0)*VLOOKUP('Données projet (1)'!$B$14,'Paramètres (1)'!$A$1:$I$88,7,0))</f>
        <v>#REF!</v>
      </c>
      <c r="DY150" s="135" t="str">
        <f>IF(ISNA(VLOOKUP(A150,'Données projet (1)'!$A$165:$I$185,6,0)),0%,VLOOKUP(A150,'Données projet (1)'!$A$165:$I$185,6,0)*VLOOKUP('Données projet (1)'!$B$14,'Paramètres (1)'!$A$1:$I$88,7,0))</f>
        <v>#REF!</v>
      </c>
      <c r="DZ150" s="135" t="str">
        <f t="shared" si="64"/>
        <v>#REF!</v>
      </c>
      <c r="EA150" s="142" t="str">
        <f>EXP(-LN(2)/35)*EA149+(1-EXP(-LN(2)/35))/(LN(2)/35)*DW150*DX150*VLOOKUP('Données projet (1)'!$B$14,'Paramètres (1)'!$A$1:$I$88,3,0)*0.475*44/12</f>
        <v>#REF!</v>
      </c>
      <c r="EB150" s="142" t="str">
        <f>EXP(-LN(2)/25)*EB149+(1-EXP(-LN(2)/25))/(LN(2)/25)*'Calculateur (1)'!DW150*'Calculateur (1)'!DY150*VLOOKUP('Données projet (1)'!$B$14,'Paramètres (1)'!$A$1:$I$88,3,0)*0.475*44/12</f>
        <v>#REF!</v>
      </c>
      <c r="EC150" s="142" t="str">
        <f>EXP(-LN(2)/2)*EC149+(1-EXP(-LN(2)/2))/(LN(2)/2)*DW150*DZ150*VLOOKUP('Données projet (1)'!$B$14,'Paramètres (1)'!$A$1:$I$88,3,0)*0.475*44/12</f>
        <v>#REF!</v>
      </c>
      <c r="ED150" s="143" t="str">
        <f t="shared" si="65"/>
        <v>#REF!</v>
      </c>
      <c r="EE150" s="139" t="str">
        <f t="shared" si="66"/>
        <v>#REF!</v>
      </c>
      <c r="EF150" s="131">
        <f t="shared" si="67"/>
        <v>10</v>
      </c>
      <c r="EG150" s="131" t="str">
        <f t="shared" si="132"/>
        <v>#REF!</v>
      </c>
      <c r="EH150" s="131" t="str">
        <f t="shared" si="68"/>
        <v>#REF!</v>
      </c>
      <c r="EI150" s="131" t="str">
        <f t="array" ref="EI150">INDEX(EH:EH,MIN(IF(ISNUMBER(EH150:EH346),ROW(EH150:EH346),"")))</f>
        <v/>
      </c>
      <c r="EJ150" s="131" t="str">
        <f t="shared" si="133"/>
        <v>#REF!</v>
      </c>
      <c r="EK150" s="138" t="str">
        <f>EJ150*VLOOKUP('Données projet (1)'!$B$15,'Paramètres (1)'!$A$1:$I$88,3,0)*VLOOKUP('Données projet (1)'!$B$15,'Paramètres (1)'!$A$1:$I$88,5,0)</f>
        <v>#REF!</v>
      </c>
      <c r="EL150" s="130" t="str">
        <f t="shared" si="134"/>
        <v>#REF!</v>
      </c>
      <c r="EM150" s="141" t="str">
        <f t="shared" si="69"/>
        <v>#REF!</v>
      </c>
      <c r="EN150" s="133" t="str">
        <f t="shared" si="70"/>
        <v>#REF!</v>
      </c>
      <c r="EO150" s="133" t="str">
        <f t="shared" si="71"/>
        <v>#REF!</v>
      </c>
      <c r="EP150" s="133" t="str">
        <f t="shared" si="135"/>
        <v>#REF!</v>
      </c>
      <c r="EQ150" s="134" t="str">
        <f t="shared" si="72"/>
        <v>#REF!</v>
      </c>
      <c r="ER150" s="134" t="str">
        <f t="shared" si="73"/>
        <v>#REF!</v>
      </c>
      <c r="ES150" s="135" t="str">
        <f>IF(ISNA(VLOOKUP(A150,'Données projet (1)'!$A$191:$I$211,5,0)),0%,VLOOKUP(A150,'Données projet (1)'!$A$191:$I$211,5,0)*VLOOKUP('Données projet (1)'!$B$15,'Paramètres (1)'!$A$1:$I$88,7,0))</f>
        <v>#REF!</v>
      </c>
      <c r="ET150" s="135" t="str">
        <f>IF(ISNA(VLOOKUP(A150,'Données projet (1)'!$A$191:$I$211,6,0)),0%,VLOOKUP(A150,'Données projet (1)'!$A$191:$I$211,6,0)*VLOOKUP('Données projet (1)'!$B$15,'Paramètres (1)'!$A$1:$I$88,7,0))</f>
        <v>#REF!</v>
      </c>
      <c r="EU150" s="135" t="str">
        <f t="shared" si="74"/>
        <v>#REF!</v>
      </c>
      <c r="EV150" s="142" t="str">
        <f>EXP(-LN(2)/35)*EV149+(1-EXP(-LN(2)/35))/(LN(2)/35)*ER150*ES150*VLOOKUP('Données projet (1)'!$B$15,'Paramètres (1)'!$A$1:$I$88,3,0)*0.475*44/12</f>
        <v>#REF!</v>
      </c>
      <c r="EW150" s="142" t="str">
        <f>EXP(-LN(2)/25)*EW149+(1-EXP(-LN(2)/25))/(LN(2)/25)*'Calculateur (1)'!ER150*'Calculateur (1)'!ET150*VLOOKUP('Données projet (1)'!$B$15,'Paramètres (1)'!$A$1:$I$88,3,0)*0.475*44/12</f>
        <v>#REF!</v>
      </c>
      <c r="EX150" s="142" t="str">
        <f>EXP(-LN(2)/2)*EX149+(1-EXP(-LN(2)/2))/(LN(2)/2)*ER150*EU150*VLOOKUP('Données projet (1)'!$B$15,'Paramètres (1)'!$A$1:$I$88,3,0)*0.475*44/12</f>
        <v>#REF!</v>
      </c>
      <c r="EY150" s="143" t="str">
        <f t="shared" si="75"/>
        <v>#REF!</v>
      </c>
      <c r="EZ150" s="139" t="str">
        <f t="shared" si="76"/>
        <v>#REF!</v>
      </c>
      <c r="FA150" s="131">
        <f t="shared" si="77"/>
        <v>10</v>
      </c>
      <c r="FB150" s="131" t="str">
        <f t="shared" si="136"/>
        <v>#REF!</v>
      </c>
      <c r="FC150" s="131" t="str">
        <f t="shared" si="78"/>
        <v>#REF!</v>
      </c>
      <c r="FD150" s="131" t="str">
        <f t="array" ref="FD150">INDEX(FC:FC,MIN(IF(ISNUMBER(FC150:FC346),ROW(FC150:FC346),"")))</f>
        <v/>
      </c>
      <c r="FE150" s="131" t="str">
        <f t="shared" si="137"/>
        <v>#REF!</v>
      </c>
      <c r="FF150" s="138" t="str">
        <f>FE150*VLOOKUP('Données projet (1)'!$B$16,'Paramètres (1)'!$A$1:$I$88,3,0)*VLOOKUP('Données projet (1)'!$B$16,'Paramètres (1)'!$A$1:$I$88,5,0)</f>
        <v>#REF!</v>
      </c>
      <c r="FG150" s="130" t="str">
        <f t="shared" si="138"/>
        <v>#REF!</v>
      </c>
      <c r="FH150" s="141" t="str">
        <f t="shared" si="79"/>
        <v>#REF!</v>
      </c>
      <c r="FI150" s="133" t="str">
        <f t="shared" si="80"/>
        <v>#REF!</v>
      </c>
      <c r="FJ150" s="133" t="str">
        <f t="shared" si="81"/>
        <v>#REF!</v>
      </c>
      <c r="FK150" s="133" t="str">
        <f t="shared" si="139"/>
        <v>#REF!</v>
      </c>
      <c r="FL150" s="134" t="str">
        <f t="shared" si="82"/>
        <v>#REF!</v>
      </c>
      <c r="FM150" s="134" t="str">
        <f t="shared" si="83"/>
        <v>#REF!</v>
      </c>
      <c r="FN150" s="135" t="str">
        <f>IF(ISNA(VLOOKUP(A150,'Données projet (1)'!$A$217:$I$237,5,0)),0%,VLOOKUP(A150,'Données projet (1)'!$A$217:$I$237,5,0)*VLOOKUP('Données projet (1)'!$B$16,'Paramètres (1)'!$A$1:$I$88,7,0))</f>
        <v>#REF!</v>
      </c>
      <c r="FO150" s="135" t="str">
        <f>IF(ISNA(VLOOKUP(A150,'Données projet (1)'!$A$217:$I$237,6,0)),0%,VLOOKUP(A150,'Données projet (1)'!$A$217:$I$237,6,0)*VLOOKUP('Données projet (1)'!$B$16,'Paramètres (1)'!$A$1:$I$88,7,0))</f>
        <v>#REF!</v>
      </c>
      <c r="FP150" s="135" t="str">
        <f t="shared" si="84"/>
        <v>#REF!</v>
      </c>
      <c r="FQ150" s="142" t="str">
        <f>EXP(-LN(2)/35)*FQ149+(1-EXP(-LN(2)/35))/(LN(2)/35)*FM150*FN150*VLOOKUP('Données projet (1)'!$B$16,'Paramètres (1)'!$A$1:$I$88,3,0)*0.475*44/12</f>
        <v>#REF!</v>
      </c>
      <c r="FR150" s="142" t="str">
        <f>EXP(-LN(2)/25)*FR149+(1-EXP(-LN(2)/25))/(LN(2)/25)*'Calculateur (1)'!FM150*'Calculateur (1)'!FO150*VLOOKUP('Données projet (1)'!$B$16,'Paramètres (1)'!$A$1:$I$88,3,0)*0.475*44/12</f>
        <v>#REF!</v>
      </c>
      <c r="FS150" s="142" t="str">
        <f>EXP(-LN(2)/2)*FS149+(1-EXP(-LN(2)/2))/(LN(2)/2)*FM150*FP150*VLOOKUP('Données projet (1)'!$B$16,'Paramètres (1)'!$A$1:$I$88,3,0)*0.475*44/12</f>
        <v>#REF!</v>
      </c>
      <c r="FT150" s="143" t="str">
        <f t="shared" si="85"/>
        <v>#REF!</v>
      </c>
      <c r="FU150" s="139" t="str">
        <f t="shared" si="86"/>
        <v>#REF!</v>
      </c>
      <c r="FV150" s="131">
        <f t="shared" si="87"/>
        <v>10</v>
      </c>
      <c r="FW150" s="131" t="str">
        <f t="shared" si="140"/>
        <v>#REF!</v>
      </c>
      <c r="FX150" s="131" t="str">
        <f t="shared" si="88"/>
        <v>#REF!</v>
      </c>
      <c r="FY150" s="131" t="str">
        <f t="array" ref="FY150">INDEX(FX:FX,MIN(IF(ISNUMBER(FX150:FX346),ROW(FX150:FX346),"")))</f>
        <v/>
      </c>
      <c r="FZ150" s="131" t="str">
        <f t="shared" si="141"/>
        <v>#REF!</v>
      </c>
      <c r="GA150" s="138" t="str">
        <f>FZ150*VLOOKUP('Données projet (1)'!$B$17,'Paramètres (1)'!$A$1:$I$88,3,0)*VLOOKUP('Données projet (1)'!$B$17,'Paramètres (1)'!$A$1:$I$88,5,0)</f>
        <v>#REF!</v>
      </c>
      <c r="GB150" s="130" t="str">
        <f t="shared" si="142"/>
        <v>#REF!</v>
      </c>
      <c r="GC150" s="141" t="str">
        <f t="shared" si="89"/>
        <v>#REF!</v>
      </c>
      <c r="GD150" s="133" t="str">
        <f t="shared" si="90"/>
        <v>#REF!</v>
      </c>
      <c r="GE150" s="133" t="str">
        <f t="shared" si="91"/>
        <v>#REF!</v>
      </c>
      <c r="GF150" s="133" t="str">
        <f t="shared" si="143"/>
        <v>#REF!</v>
      </c>
      <c r="GG150" s="134" t="str">
        <f t="shared" si="92"/>
        <v>#REF!</v>
      </c>
      <c r="GH150" s="134" t="str">
        <f t="shared" si="93"/>
        <v>#REF!</v>
      </c>
      <c r="GI150" s="135" t="str">
        <f>IF(ISNA(VLOOKUP(A150,'Données projet (1)'!$A$243:$I$263,5,0)),0%,VLOOKUP(A150,'Données projet (1)'!$A$243:$I$263,5,0)*VLOOKUP('Données projet (1)'!$B$17,'Paramètres (1)'!$A$1:$I$88,7,0))</f>
        <v>#REF!</v>
      </c>
      <c r="GJ150" s="135" t="str">
        <f>IF(ISNA(VLOOKUP(A150,'Données projet (1)'!$A$243:$I$263,6,0)),0%,VLOOKUP(A150,'Données projet (1)'!$A$243:$I$263,6,0)*VLOOKUP('Données projet (1)'!$B$17,'Paramètres (1)'!$A$1:$I$88,7,0))</f>
        <v>#REF!</v>
      </c>
      <c r="GK150" s="135" t="str">
        <f t="shared" si="94"/>
        <v>#REF!</v>
      </c>
      <c r="GL150" s="142" t="str">
        <f>EXP(-LN(2)/35)*GL149+(1-EXP(-LN(2)/35))/(LN(2)/35)*GH150*GI150*VLOOKUP('Données projet (1)'!$B$17,'Paramètres (1)'!$A$1:$I$88,3,0)*0.475*44/12</f>
        <v>#REF!</v>
      </c>
      <c r="GM150" s="142" t="str">
        <f>EXP(-LN(2)/25)*GM149+(1-EXP(-LN(2)/25))/(LN(2)/25)*'Calculateur (1)'!GH150*'Calculateur (1)'!GJ150*VLOOKUP('Données projet (1)'!$B$17,'Paramètres (1)'!$A$1:$I$88,3,0)*0.475*44/12</f>
        <v>#REF!</v>
      </c>
      <c r="GN150" s="142" t="str">
        <f>EXP(-LN(2)/2)*GN149+(1-EXP(-LN(2)/2))/(LN(2)/2)*GH150*GK150*VLOOKUP('Données projet (1)'!$B$17,'Paramètres (1)'!$A$1:$I$88,3,0)*0.475*44/12</f>
        <v>#REF!</v>
      </c>
      <c r="GO150" s="142" t="str">
        <f t="shared" si="95"/>
        <v>#REF!</v>
      </c>
      <c r="GP150" s="139" t="str">
        <f t="shared" si="96"/>
        <v>#REF!</v>
      </c>
      <c r="GQ150" s="131">
        <f t="shared" si="97"/>
        <v>10</v>
      </c>
      <c r="GR150" s="131" t="str">
        <f t="shared" si="144"/>
        <v>#REF!</v>
      </c>
      <c r="GS150" s="131" t="str">
        <f t="shared" si="98"/>
        <v>#REF!</v>
      </c>
      <c r="GT150" s="131" t="str">
        <f t="array" ref="GT150">INDEX(GS:GS,MIN(IF(ISNUMBER(GS150:GS346),ROW(GS150:GS346),"")))</f>
        <v/>
      </c>
      <c r="GU150" s="131" t="str">
        <f t="shared" si="145"/>
        <v>#REF!</v>
      </c>
      <c r="GV150" s="138" t="str">
        <f>GU150*VLOOKUP('Données projet (1)'!$B$18,'Paramètres (1)'!$A$1:$I$88,3,0)*VLOOKUP('Données projet (1)'!$B$18,'Paramètres (1)'!$A$1:$I$88,5,0)</f>
        <v>#REF!</v>
      </c>
      <c r="GW150" s="130" t="str">
        <f t="shared" si="146"/>
        <v>#REF!</v>
      </c>
      <c r="GX150" s="141" t="str">
        <f t="shared" si="99"/>
        <v>#REF!</v>
      </c>
      <c r="GY150" s="133" t="str">
        <f t="shared" si="100"/>
        <v>#REF!</v>
      </c>
      <c r="GZ150" s="133" t="str">
        <f t="shared" si="101"/>
        <v>#REF!</v>
      </c>
      <c r="HA150" s="133" t="str">
        <f t="shared" si="147"/>
        <v>#REF!</v>
      </c>
      <c r="HB150" s="134" t="str">
        <f t="shared" si="102"/>
        <v>#REF!</v>
      </c>
      <c r="HC150" s="134" t="str">
        <f t="shared" si="103"/>
        <v>#REF!</v>
      </c>
      <c r="HD150" s="135" t="str">
        <f>IF(ISNA(VLOOKUP(A150,'Données projet (1)'!$A$269:$I$289,5,0)),0%,VLOOKUP(A150,'Données projet (1)'!$A$269:$I$289,5,0)*VLOOKUP('Données projet (1)'!$B$18,'Paramètres (1)'!$A$1:$I$88,7,0))</f>
        <v>#REF!</v>
      </c>
      <c r="HE150" s="135" t="str">
        <f>IF(ISNA(VLOOKUP(A150,'Données projet (1)'!$A$269:$I$289,6,0)),0%,VLOOKUP(A150,'Données projet (1)'!$A$269:$I$289,6,0)*VLOOKUP('Données projet (1)'!$B$18,'Paramètres (1)'!$A$1:$I$88,7,0))</f>
        <v>#REF!</v>
      </c>
      <c r="HF150" s="135" t="str">
        <f t="shared" si="104"/>
        <v>#REF!</v>
      </c>
      <c r="HG150" s="142" t="str">
        <f>EXP(-LN(2)/35)*HG149+(1-EXP(-LN(2)/35))/(LN(2)/35)*HC150*HD150*VLOOKUP('Données projet (1)'!$B$18,'Paramètres (1)'!$A$1:$I$88,3,0)*0.475*44/12</f>
        <v>#REF!</v>
      </c>
      <c r="HH150" s="142" t="str">
        <f>EXP(-LN(2)/25)*HH149+(1-EXP(-LN(2)/25))/(LN(2)/25)*'Calculateur (1)'!HC150*'Calculateur (1)'!HE150*VLOOKUP('Données projet (1)'!$B$18,'Paramètres (1)'!$A$1:$I$88,3,0)*0.475*44/12</f>
        <v>#REF!</v>
      </c>
      <c r="HI150" s="142" t="str">
        <f>EXP(-LN(2)/2)*HI149+(1-EXP(-LN(2)/2))/(LN(2)/2)*HC150*HF150*VLOOKUP('Données projet (1)'!$B$18,'Paramètres (1)'!$A$1:$I$88,3,0)*0.475*44/12</f>
        <v>#REF!</v>
      </c>
      <c r="HJ150" s="143" t="str">
        <f t="shared" si="105"/>
        <v>#REF!</v>
      </c>
    </row>
    <row r="151" ht="14.25" customHeight="1">
      <c r="A151" s="125">
        <f t="shared" si="106"/>
        <v>148</v>
      </c>
      <c r="B151" s="126" t="str">
        <f t="shared" si="1"/>
        <v>#REF!</v>
      </c>
      <c r="C151" s="140" t="str">
        <f>'Calculateur (1)'!C150+'Scénario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1" s="127">
        <f t="shared" si="107"/>
        <v>0</v>
      </c>
      <c r="E151" s="127" t="str">
        <f t="shared" si="2"/>
        <v>#REF!</v>
      </c>
      <c r="F151" s="127" t="str">
        <f t="shared" si="3"/>
        <v>#REF!</v>
      </c>
      <c r="G151" s="127" t="str">
        <f t="shared" si="4"/>
        <v>#REF!</v>
      </c>
      <c r="H151" s="128" t="str">
        <f t="shared" si="5"/>
        <v>#REF!</v>
      </c>
      <c r="I151" s="129" t="str">
        <f t="shared" si="6"/>
        <v>#REF!</v>
      </c>
      <c r="J151" s="130">
        <f t="shared" si="7"/>
        <v>10</v>
      </c>
      <c r="K151" s="131" t="str">
        <f t="shared" si="108"/>
        <v>#REF!</v>
      </c>
      <c r="L151" s="131" t="str">
        <f t="shared" si="8"/>
        <v>#REF!</v>
      </c>
      <c r="M151" s="131" t="str">
        <f t="array" ref="M151">INDEX(L:L,MIN(IF(ISNUMBER(L151:L347),ROW(L151:L347),"")))</f>
        <v/>
      </c>
      <c r="N151" s="130" t="str">
        <f t="shared" si="109"/>
        <v>#REF!</v>
      </c>
      <c r="O151" s="130" t="str">
        <f>N151*VLOOKUP('Données projet (1)'!$B$9,'Paramètres (1)'!$A$1:$I$88,3,0)*VLOOKUP('Données projet (1)'!$B$9,'Paramètres (1)'!$A$1:$I$88,5,0)</f>
        <v>#REF!</v>
      </c>
      <c r="P151" s="130" t="str">
        <f t="shared" si="110"/>
        <v>#REF!</v>
      </c>
      <c r="Q151" s="141" t="str">
        <f t="shared" si="9"/>
        <v>#REF!</v>
      </c>
      <c r="R151" s="133" t="str">
        <f t="shared" si="10"/>
        <v>#REF!</v>
      </c>
      <c r="S151" s="133" t="str">
        <f t="shared" si="11"/>
        <v>#REF!</v>
      </c>
      <c r="T151" s="133" t="str">
        <f t="shared" si="111"/>
        <v>#REF!</v>
      </c>
      <c r="U151" s="134" t="str">
        <f t="shared" si="12"/>
        <v>#REF!</v>
      </c>
      <c r="V151" s="134" t="str">
        <f t="shared" si="13"/>
        <v>#REF!</v>
      </c>
      <c r="W151" s="135" t="str">
        <f>IF(ISNA(VLOOKUP(A151,'Données projet (1)'!$A$35:$I$55,5,0)),0%,VLOOKUP(A151,'Données projet (1)'!$A$35:$I$55,5,0)*VLOOKUP('Données projet (1)'!$B$9,'Paramètres (1)'!$A$1:$I$88,7,0))</f>
        <v>#REF!</v>
      </c>
      <c r="X151" s="135" t="str">
        <f>IF(ISNA(VLOOKUP(A151,'Données projet (1)'!$A$35:$I$55,6,0)),0%,VLOOKUP(A151,'Données projet (1)'!$A$35:$I$55,6,0)*VLOOKUP('Données projet (1)'!$B$9,'Paramètres (1)'!$A$1:$I$88,7,0))</f>
        <v>#REF!</v>
      </c>
      <c r="Y151" s="135" t="str">
        <f t="shared" si="14"/>
        <v>#REF!</v>
      </c>
      <c r="Z151" s="142" t="str">
        <f>EXP(-LN(2)/35)*Z150+(1-EXP(-LN(2)/35))/(LN(2)/35)*V151*W151*VLOOKUP('Données projet (1)'!$B$9,'Paramètres (1)'!$A$1:$I$88,3,0)*0.475*44/12</f>
        <v>#REF!</v>
      </c>
      <c r="AA151" s="142" t="str">
        <f>EXP(-LN(2)/25)*AA150+(1-EXP(-LN(2)/25))/(LN(2)/25)*'Calculateur (1)'!V151*'Calculateur (1)'!X151*VLOOKUP('Données projet (1)'!$B$9,'Paramètres (1)'!$A$1:$I$88,3,0)*0.475*44/12</f>
        <v>#REF!</v>
      </c>
      <c r="AB151" s="142" t="str">
        <f>EXP(-LN(2)/2)*AB150+(1-EXP(-LN(2)/2))/(LN(2)/2)*V151*Y151*VLOOKUP('Données projet (1)'!$B$9,'Paramètres (1)'!$A$1:$I$88,3,0)*0.475*44/12</f>
        <v>#REF!</v>
      </c>
      <c r="AC151" s="143" t="str">
        <f t="shared" si="15"/>
        <v>#REF!</v>
      </c>
      <c r="AD151" s="130" t="str">
        <f t="shared" si="16"/>
        <v>#REF!</v>
      </c>
      <c r="AE151" s="130">
        <f t="shared" si="17"/>
        <v>10</v>
      </c>
      <c r="AF151" s="131" t="str">
        <f t="shared" si="112"/>
        <v>#REF!</v>
      </c>
      <c r="AG151" s="131" t="str">
        <f t="shared" si="18"/>
        <v>#REF!</v>
      </c>
      <c r="AH151" s="131" t="str">
        <f t="array" ref="AH151">INDEX(AG:AG,MIN(IF(ISNUMBER(AG151:AG347),ROW(AG151:AG347),"")))</f>
        <v/>
      </c>
      <c r="AI151" s="130" t="str">
        <f t="shared" si="113"/>
        <v>#REF!</v>
      </c>
      <c r="AJ151" s="130" t="str">
        <f>AI151*VLOOKUP('Données projet (1)'!$B$10,'Paramètres (1)'!$A$1:$I$88,3,0)*VLOOKUP('Données projet (1)'!$B$10,'Paramètres (1)'!$A$1:$I$88,5,0)</f>
        <v>#REF!</v>
      </c>
      <c r="AK151" s="130" t="str">
        <f t="shared" si="114"/>
        <v>#REF!</v>
      </c>
      <c r="AL151" s="141" t="str">
        <f t="shared" si="19"/>
        <v>#REF!</v>
      </c>
      <c r="AM151" s="133" t="str">
        <f t="shared" si="20"/>
        <v>#REF!</v>
      </c>
      <c r="AN151" s="133" t="str">
        <f t="shared" si="21"/>
        <v>#REF!</v>
      </c>
      <c r="AO151" s="133" t="str">
        <f t="shared" si="115"/>
        <v>#REF!</v>
      </c>
      <c r="AP151" s="134" t="str">
        <f t="shared" si="22"/>
        <v>#REF!</v>
      </c>
      <c r="AQ151" s="134" t="str">
        <f t="shared" si="23"/>
        <v>#REF!</v>
      </c>
      <c r="AR151" s="135" t="str">
        <f>IF(ISNA(VLOOKUP(A151,'Données projet (1)'!$A$61:$I$81,5,0)),0%,VLOOKUP(A151,'Données projet (1)'!$A$61:$I$81,5,0)*VLOOKUP('Données projet (1)'!$B$10,'Paramètres (1)'!$A$1:$I$88,7,0))</f>
        <v>#REF!</v>
      </c>
      <c r="AS151" s="135" t="str">
        <f>IF(ISNA(VLOOKUP(A151,'Données projet (1)'!$A$61:$I$81,6,0)),0%,VLOOKUP(A151,'Données projet (1)'!$A$61:$I$81,6,0)*VLOOKUP('Données projet (1)'!$B$10,'Paramètres (1)'!$A$1:$I$88,7,0))</f>
        <v>#REF!</v>
      </c>
      <c r="AT151" s="135" t="str">
        <f t="shared" si="24"/>
        <v>#REF!</v>
      </c>
      <c r="AU151" s="142" t="str">
        <f>EXP(-LN(2)/35)*AU150+(1-EXP(-LN(2)/35))/(LN(2)/35)*AQ151*AR151*VLOOKUP('Données projet (1)'!$B$10,'Paramètres (1)'!$A$1:$I$88,3,0)*0.475*44/12</f>
        <v>#REF!</v>
      </c>
      <c r="AV151" s="142" t="str">
        <f>EXP(-LN(2)/25)*AV150+(1-EXP(-LN(2)/25))/(LN(2)/25)*'Calculateur (1)'!AQ151*'Calculateur (1)'!AS151*VLOOKUP('Données projet (1)'!$B$10,'Paramètres (1)'!$A$1:$I$88,3,0)*0.475*44/12</f>
        <v>#REF!</v>
      </c>
      <c r="AW151" s="142" t="str">
        <f>EXP(-LN(2)/2)*AW150+(1-EXP(-LN(2)/2))/(LN(2)/2)*AQ151*AT151*VLOOKUP('Données projet (1)'!$B$10,'Paramètres (1)'!$A$1:$I$88,3,0)*0.475*44/12</f>
        <v>#REF!</v>
      </c>
      <c r="AX151" s="142" t="str">
        <f t="shared" si="25"/>
        <v>#REF!</v>
      </c>
      <c r="AY151" s="137" t="str">
        <f t="shared" si="26"/>
        <v>#REF!</v>
      </c>
      <c r="AZ151" s="131">
        <f t="shared" si="27"/>
        <v>10</v>
      </c>
      <c r="BA151" s="131" t="str">
        <f t="shared" si="116"/>
        <v>#REF!</v>
      </c>
      <c r="BB151" s="131" t="str">
        <f t="shared" si="28"/>
        <v>#REF!</v>
      </c>
      <c r="BC151" s="131" t="str">
        <f t="array" ref="BC151">INDEX(BB:BB,MIN(IF(ISNUMBER(BB151:BB347),ROW(BB151:BB347),"")))</f>
        <v/>
      </c>
      <c r="BD151" s="131" t="str">
        <f t="shared" si="117"/>
        <v>#REF!</v>
      </c>
      <c r="BE151" s="130" t="str">
        <f>BD151*VLOOKUP('Données projet (1)'!$B$11,'Paramètres (1)'!$A$1:$I$88,3,0)*VLOOKUP('Données projet (1)'!$B$11,'Paramètres (1)'!$A$1:$I$88,5,0)</f>
        <v>#REF!</v>
      </c>
      <c r="BF151" s="130" t="str">
        <f t="shared" si="118"/>
        <v>#REF!</v>
      </c>
      <c r="BG151" s="141" t="str">
        <f t="shared" si="29"/>
        <v>#REF!</v>
      </c>
      <c r="BH151" s="133" t="str">
        <f t="shared" si="30"/>
        <v>#REF!</v>
      </c>
      <c r="BI151" s="133" t="str">
        <f t="shared" si="31"/>
        <v>#REF!</v>
      </c>
      <c r="BJ151" s="133" t="str">
        <f t="shared" si="119"/>
        <v>#REF!</v>
      </c>
      <c r="BK151" s="134" t="str">
        <f t="shared" si="32"/>
        <v>#REF!</v>
      </c>
      <c r="BL151" s="134" t="str">
        <f t="shared" si="33"/>
        <v>#REF!</v>
      </c>
      <c r="BM151" s="135" t="str">
        <f>IF(ISNA(VLOOKUP(A151,'Données projet (1)'!$A$87:$I$107,5,0)),0%,VLOOKUP(A151,'Données projet (1)'!$A$87:$I$107,5,0)*VLOOKUP('Données projet (1)'!$B$11,'Paramètres (1)'!$A$1:$I$88,7,0))</f>
        <v>#REF!</v>
      </c>
      <c r="BN151" s="135" t="str">
        <f>IF(ISNA(VLOOKUP(A151,'Données projet (1)'!$A$87:$I$107,6,0)),0%,VLOOKUP(A151,'Données projet (1)'!$A$87:$I$107,6,0)*VLOOKUP('Données projet (1)'!$B$11,'Paramètres (1)'!$A$1:$I$88,7,0))</f>
        <v>#REF!</v>
      </c>
      <c r="BO151" s="135" t="str">
        <f t="shared" si="34"/>
        <v>#REF!</v>
      </c>
      <c r="BP151" s="142" t="str">
        <f>EXP(-LN(2)/35)*BP150+(1-EXP(-LN(2)/35))/(LN(2)/35)*BL151*BM151*VLOOKUP('Données projet (1)'!$B$11,'Paramètres (1)'!$A$1:$I$88,3,0)*0.475*44/12</f>
        <v>#REF!</v>
      </c>
      <c r="BQ151" s="142" t="str">
        <f>EXP(-LN(2)/25)*BQ150+(1-EXP(-LN(2)/25))/(LN(2)/25)*'Calculateur (1)'!BL151*'Calculateur (1)'!BN151*VLOOKUP('Données projet (1)'!$B$11,'Paramètres (1)'!$A$1:$I$88,3,0)*0.475*44/12</f>
        <v>#REF!</v>
      </c>
      <c r="BR151" s="142" t="str">
        <f>EXP(-LN(2)/2)*BR150+(1-EXP(-LN(2)/2))/(LN(2)/2)*BL151*BO151*VLOOKUP('Données projet (1)'!$B$11,'Paramètres (1)'!$A$1:$I$88,3,0)*0.475*44/12</f>
        <v>#REF!</v>
      </c>
      <c r="BS151" s="143" t="str">
        <f t="shared" si="35"/>
        <v>#REF!</v>
      </c>
      <c r="BT151" s="139" t="str">
        <f t="shared" si="36"/>
        <v>#REF!</v>
      </c>
      <c r="BU151" s="131">
        <f t="shared" si="37"/>
        <v>10</v>
      </c>
      <c r="BV151" s="131" t="str">
        <f t="shared" si="120"/>
        <v>#REF!</v>
      </c>
      <c r="BW151" s="131" t="str">
        <f t="shared" si="38"/>
        <v>#REF!</v>
      </c>
      <c r="BX151" s="131" t="str">
        <f t="array" ref="BX151">INDEX(BW:BW,MIN(IF(ISNUMBER(BW151:BW347),ROW(BW151:BW347),"")))</f>
        <v/>
      </c>
      <c r="BY151" s="131" t="str">
        <f t="shared" si="121"/>
        <v>#REF!</v>
      </c>
      <c r="BZ151" s="130" t="str">
        <f>BY151*VLOOKUP('Données projet (1)'!$B$12,'Paramètres (1)'!$A$1:$I$88,3,0)*VLOOKUP('Données projet (1)'!$B$12,'Paramètres (1)'!$A$1:$I$88,5,0)</f>
        <v>#REF!</v>
      </c>
      <c r="CA151" s="130" t="str">
        <f t="shared" si="122"/>
        <v>#REF!</v>
      </c>
      <c r="CB151" s="141" t="str">
        <f t="shared" si="39"/>
        <v>#REF!</v>
      </c>
      <c r="CC151" s="133" t="str">
        <f t="shared" si="40"/>
        <v>#REF!</v>
      </c>
      <c r="CD151" s="133" t="str">
        <f t="shared" si="41"/>
        <v>#REF!</v>
      </c>
      <c r="CE151" s="133" t="str">
        <f t="shared" si="123"/>
        <v>#REF!</v>
      </c>
      <c r="CF151" s="134" t="str">
        <f t="shared" si="42"/>
        <v>#REF!</v>
      </c>
      <c r="CG151" s="134" t="str">
        <f t="shared" si="43"/>
        <v>#REF!</v>
      </c>
      <c r="CH151" s="135" t="str">
        <f>IF(ISNA(VLOOKUP(A151,'Données projet (1)'!$A$113:$I$133,5,0)),0%,VLOOKUP(A151,'Données projet (1)'!$A$113:$I$133,5,0)*VLOOKUP('Données projet (1)'!$B$12,'Paramètres (1)'!$A$1:$I$88,7,0))</f>
        <v>#REF!</v>
      </c>
      <c r="CI151" s="135" t="str">
        <f>IF(ISNA(VLOOKUP(A151,'Données projet (1)'!$A$113:$I$133,6,0)),0%,VLOOKUP(A151,'Données projet (1)'!$A$113:$I$133,6,0)*VLOOKUP('Données projet (1)'!$B$12,'Paramètres (1)'!$A$1:$I$88,7,0))</f>
        <v>#REF!</v>
      </c>
      <c r="CJ151" s="135" t="str">
        <f t="shared" si="44"/>
        <v>#REF!</v>
      </c>
      <c r="CK151" s="142" t="str">
        <f>EXP(-LN(2)/35)*CK150+(1-EXP(-LN(2)/35))/(LN(2)/35)*CG151*CH151*VLOOKUP('Données projet (1)'!$B$12,'Paramètres (1)'!$A$1:$I$88,3,0)*0.475*44/12</f>
        <v>#REF!</v>
      </c>
      <c r="CL151" s="142" t="str">
        <f>EXP(-LN(2)/25)*CL150+(1-EXP(-LN(2)/25))/(LN(2)/25)*'Calculateur (1)'!CG151*'Calculateur (1)'!CI151*VLOOKUP('Données projet (1)'!$B$12,'Paramètres (1)'!$A$1:$I$88,3,0)*0.475*44/12</f>
        <v>#REF!</v>
      </c>
      <c r="CM151" s="142" t="str">
        <f>EXP(-LN(2)/2)*CM150+(1-EXP(-LN(2)/2))/(LN(2)/2)*CG151*CJ151*VLOOKUP('Données projet (1)'!$B$12,'Paramètres (1)'!$A$1:$I$88,3,0)*0.475*44/12</f>
        <v>#REF!</v>
      </c>
      <c r="CN151" s="143" t="str">
        <f t="shared" si="45"/>
        <v>#REF!</v>
      </c>
      <c r="CO151" s="139" t="str">
        <f t="shared" si="46"/>
        <v>#REF!</v>
      </c>
      <c r="CP151" s="131">
        <f t="shared" si="47"/>
        <v>10</v>
      </c>
      <c r="CQ151" s="131" t="str">
        <f t="shared" si="124"/>
        <v>#REF!</v>
      </c>
      <c r="CR151" s="131" t="str">
        <f t="shared" si="48"/>
        <v>#REF!</v>
      </c>
      <c r="CS151" s="131" t="str">
        <f t="array" ref="CS151">INDEX(CR:CR,MIN(IF(ISNUMBER(CR151:CR347),ROW(CR151:CR347),"")))</f>
        <v/>
      </c>
      <c r="CT151" s="131" t="str">
        <f t="shared" si="125"/>
        <v>#REF!</v>
      </c>
      <c r="CU151" s="138" t="str">
        <f>CT151*VLOOKUP('Données projet (1)'!$B$13,'Paramètres (1)'!$A$1:$I$88,3,0)*VLOOKUP('Données projet (1)'!$B$13,'Paramètres (1)'!$A$1:$I$88,5,0)</f>
        <v>#REF!</v>
      </c>
      <c r="CV151" s="130" t="str">
        <f t="shared" si="126"/>
        <v>#REF!</v>
      </c>
      <c r="CW151" s="141" t="str">
        <f t="shared" si="49"/>
        <v>#REF!</v>
      </c>
      <c r="CX151" s="133" t="str">
        <f t="shared" si="50"/>
        <v>#REF!</v>
      </c>
      <c r="CY151" s="133" t="str">
        <f t="shared" si="51"/>
        <v>#REF!</v>
      </c>
      <c r="CZ151" s="133" t="str">
        <f t="shared" si="127"/>
        <v>#REF!</v>
      </c>
      <c r="DA151" s="134" t="str">
        <f t="shared" si="52"/>
        <v>#REF!</v>
      </c>
      <c r="DB151" s="134" t="str">
        <f t="shared" si="53"/>
        <v>#REF!</v>
      </c>
      <c r="DC151" s="135" t="str">
        <f>IF(ISNA(VLOOKUP(A151,'Données projet (1)'!$A$139:$I$159,5,0)),0%,VLOOKUP(A151,'Données projet (1)'!$A$139:$I$159,5,0)*VLOOKUP('Données projet (1)'!$B$13,'Paramètres (1)'!$A$1:$I$88,7,0))</f>
        <v>#REF!</v>
      </c>
      <c r="DD151" s="135" t="str">
        <f>IF(ISNA(VLOOKUP(A151,'Données projet (1)'!$A$139:$I$159,6,0)),0%,VLOOKUP(A151,'Données projet (1)'!$A$139:$I$159,6,0)*VLOOKUP('Données projet (1)'!$B$13,'Paramètres (1)'!$A$1:$I$88,7,0))</f>
        <v>#REF!</v>
      </c>
      <c r="DE151" s="135" t="str">
        <f t="shared" si="54"/>
        <v>#REF!</v>
      </c>
      <c r="DF151" s="142" t="str">
        <f>EXP(-LN(2)/35)*DF150+(1-EXP(-LN(2)/35))/(LN(2)/35)*DB151*DC151*VLOOKUP('Données projet (1)'!$B$13,'Paramètres (1)'!$A$1:$I$88,3,0)*0.475*44/12</f>
        <v>#REF!</v>
      </c>
      <c r="DG151" s="142" t="str">
        <f>EXP(-LN(2)/25)*DG150+(1-EXP(-LN(2)/25))/(LN(2)/25)*'Calculateur (1)'!DB151*'Calculateur (1)'!DD151*VLOOKUP('Données projet (1)'!$B$13,'Paramètres (1)'!$A$1:$I$88,3,0)*0.475*44/12</f>
        <v>#REF!</v>
      </c>
      <c r="DH151" s="142" t="str">
        <f>EXP(-LN(2)/2)*DH150+(1-EXP(-LN(2)/2))/(LN(2)/2)*DB151*DE151*VLOOKUP('Données projet (1)'!$B$13,'Paramètres (1)'!$A$1:$I$88,3,0)*0.475*44/12</f>
        <v>#REF!</v>
      </c>
      <c r="DI151" s="143" t="str">
        <f t="shared" si="55"/>
        <v>#REF!</v>
      </c>
      <c r="DJ151" s="139" t="str">
        <f t="shared" si="56"/>
        <v>#REF!</v>
      </c>
      <c r="DK151" s="131">
        <f t="shared" si="57"/>
        <v>10</v>
      </c>
      <c r="DL151" s="131" t="str">
        <f t="shared" si="128"/>
        <v>#REF!</v>
      </c>
      <c r="DM151" s="131" t="str">
        <f t="shared" si="58"/>
        <v>#REF!</v>
      </c>
      <c r="DN151" s="131" t="str">
        <f t="array" ref="DN151">INDEX(DM:DM,MIN(IF(ISNUMBER(DM151:DM347),ROW(DM151:DM347),"")))</f>
        <v/>
      </c>
      <c r="DO151" s="131" t="str">
        <f t="shared" si="129"/>
        <v>#REF!</v>
      </c>
      <c r="DP151" s="138" t="str">
        <f>DO151*VLOOKUP('Données projet (1)'!$B$14,'Paramètres (1)'!$A$1:$I$88,3,0)*VLOOKUP('Données projet (1)'!$B$14,'Paramètres (1)'!$A$1:$I$88,5,0)</f>
        <v>#REF!</v>
      </c>
      <c r="DQ151" s="130" t="str">
        <f t="shared" si="130"/>
        <v>#REF!</v>
      </c>
      <c r="DR151" s="141" t="str">
        <f t="shared" si="59"/>
        <v>#REF!</v>
      </c>
      <c r="DS151" s="133" t="str">
        <f t="shared" si="60"/>
        <v>#REF!</v>
      </c>
      <c r="DT151" s="133" t="str">
        <f t="shared" si="61"/>
        <v>#REF!</v>
      </c>
      <c r="DU151" s="133" t="str">
        <f t="shared" si="131"/>
        <v>#REF!</v>
      </c>
      <c r="DV151" s="134" t="str">
        <f t="shared" si="62"/>
        <v>#REF!</v>
      </c>
      <c r="DW151" s="134" t="str">
        <f t="shared" si="63"/>
        <v>#REF!</v>
      </c>
      <c r="DX151" s="135" t="str">
        <f>IF(ISNA(VLOOKUP(A151,'Données projet (1)'!$A$165:$I$185,5,0)),0%,VLOOKUP(A151,'Données projet (1)'!$A$165:$I$185,5,0)*VLOOKUP('Données projet (1)'!$B$14,'Paramètres (1)'!$A$1:$I$88,7,0))</f>
        <v>#REF!</v>
      </c>
      <c r="DY151" s="135" t="str">
        <f>IF(ISNA(VLOOKUP(A151,'Données projet (1)'!$A$165:$I$185,6,0)),0%,VLOOKUP(A151,'Données projet (1)'!$A$165:$I$185,6,0)*VLOOKUP('Données projet (1)'!$B$14,'Paramètres (1)'!$A$1:$I$88,7,0))</f>
        <v>#REF!</v>
      </c>
      <c r="DZ151" s="135" t="str">
        <f t="shared" si="64"/>
        <v>#REF!</v>
      </c>
      <c r="EA151" s="142" t="str">
        <f>EXP(-LN(2)/35)*EA150+(1-EXP(-LN(2)/35))/(LN(2)/35)*DW151*DX151*VLOOKUP('Données projet (1)'!$B$14,'Paramètres (1)'!$A$1:$I$88,3,0)*0.475*44/12</f>
        <v>#REF!</v>
      </c>
      <c r="EB151" s="142" t="str">
        <f>EXP(-LN(2)/25)*EB150+(1-EXP(-LN(2)/25))/(LN(2)/25)*'Calculateur (1)'!DW151*'Calculateur (1)'!DY151*VLOOKUP('Données projet (1)'!$B$14,'Paramètres (1)'!$A$1:$I$88,3,0)*0.475*44/12</f>
        <v>#REF!</v>
      </c>
      <c r="EC151" s="142" t="str">
        <f>EXP(-LN(2)/2)*EC150+(1-EXP(-LN(2)/2))/(LN(2)/2)*DW151*DZ151*VLOOKUP('Données projet (1)'!$B$14,'Paramètres (1)'!$A$1:$I$88,3,0)*0.475*44/12</f>
        <v>#REF!</v>
      </c>
      <c r="ED151" s="143" t="str">
        <f t="shared" si="65"/>
        <v>#REF!</v>
      </c>
      <c r="EE151" s="139" t="str">
        <f t="shared" si="66"/>
        <v>#REF!</v>
      </c>
      <c r="EF151" s="131">
        <f t="shared" si="67"/>
        <v>10</v>
      </c>
      <c r="EG151" s="131" t="str">
        <f t="shared" si="132"/>
        <v>#REF!</v>
      </c>
      <c r="EH151" s="131" t="str">
        <f t="shared" si="68"/>
        <v>#REF!</v>
      </c>
      <c r="EI151" s="131" t="str">
        <f t="array" ref="EI151">INDEX(EH:EH,MIN(IF(ISNUMBER(EH151:EH347),ROW(EH151:EH347),"")))</f>
        <v/>
      </c>
      <c r="EJ151" s="131" t="str">
        <f t="shared" si="133"/>
        <v>#REF!</v>
      </c>
      <c r="EK151" s="138" t="str">
        <f>EJ151*VLOOKUP('Données projet (1)'!$B$15,'Paramètres (1)'!$A$1:$I$88,3,0)*VLOOKUP('Données projet (1)'!$B$15,'Paramètres (1)'!$A$1:$I$88,5,0)</f>
        <v>#REF!</v>
      </c>
      <c r="EL151" s="130" t="str">
        <f t="shared" si="134"/>
        <v>#REF!</v>
      </c>
      <c r="EM151" s="141" t="str">
        <f t="shared" si="69"/>
        <v>#REF!</v>
      </c>
      <c r="EN151" s="133" t="str">
        <f t="shared" si="70"/>
        <v>#REF!</v>
      </c>
      <c r="EO151" s="133" t="str">
        <f t="shared" si="71"/>
        <v>#REF!</v>
      </c>
      <c r="EP151" s="133" t="str">
        <f t="shared" si="135"/>
        <v>#REF!</v>
      </c>
      <c r="EQ151" s="134" t="str">
        <f t="shared" si="72"/>
        <v>#REF!</v>
      </c>
      <c r="ER151" s="134" t="str">
        <f t="shared" si="73"/>
        <v>#REF!</v>
      </c>
      <c r="ES151" s="135" t="str">
        <f>IF(ISNA(VLOOKUP(A151,'Données projet (1)'!$A$191:$I$211,5,0)),0%,VLOOKUP(A151,'Données projet (1)'!$A$191:$I$211,5,0)*VLOOKUP('Données projet (1)'!$B$15,'Paramètres (1)'!$A$1:$I$88,7,0))</f>
        <v>#REF!</v>
      </c>
      <c r="ET151" s="135" t="str">
        <f>IF(ISNA(VLOOKUP(A151,'Données projet (1)'!$A$191:$I$211,6,0)),0%,VLOOKUP(A151,'Données projet (1)'!$A$191:$I$211,6,0)*VLOOKUP('Données projet (1)'!$B$15,'Paramètres (1)'!$A$1:$I$88,7,0))</f>
        <v>#REF!</v>
      </c>
      <c r="EU151" s="135" t="str">
        <f t="shared" si="74"/>
        <v>#REF!</v>
      </c>
      <c r="EV151" s="142" t="str">
        <f>EXP(-LN(2)/35)*EV150+(1-EXP(-LN(2)/35))/(LN(2)/35)*ER151*ES151*VLOOKUP('Données projet (1)'!$B$15,'Paramètres (1)'!$A$1:$I$88,3,0)*0.475*44/12</f>
        <v>#REF!</v>
      </c>
      <c r="EW151" s="142" t="str">
        <f>EXP(-LN(2)/25)*EW150+(1-EXP(-LN(2)/25))/(LN(2)/25)*'Calculateur (1)'!ER151*'Calculateur (1)'!ET151*VLOOKUP('Données projet (1)'!$B$15,'Paramètres (1)'!$A$1:$I$88,3,0)*0.475*44/12</f>
        <v>#REF!</v>
      </c>
      <c r="EX151" s="142" t="str">
        <f>EXP(-LN(2)/2)*EX150+(1-EXP(-LN(2)/2))/(LN(2)/2)*ER151*EU151*VLOOKUP('Données projet (1)'!$B$15,'Paramètres (1)'!$A$1:$I$88,3,0)*0.475*44/12</f>
        <v>#REF!</v>
      </c>
      <c r="EY151" s="143" t="str">
        <f t="shared" si="75"/>
        <v>#REF!</v>
      </c>
      <c r="EZ151" s="139" t="str">
        <f t="shared" si="76"/>
        <v>#REF!</v>
      </c>
      <c r="FA151" s="131">
        <f t="shared" si="77"/>
        <v>10</v>
      </c>
      <c r="FB151" s="131" t="str">
        <f t="shared" si="136"/>
        <v>#REF!</v>
      </c>
      <c r="FC151" s="131" t="str">
        <f t="shared" si="78"/>
        <v>#REF!</v>
      </c>
      <c r="FD151" s="131" t="str">
        <f t="array" ref="FD151">INDEX(FC:FC,MIN(IF(ISNUMBER(FC151:FC347),ROW(FC151:FC347),"")))</f>
        <v/>
      </c>
      <c r="FE151" s="131" t="str">
        <f t="shared" si="137"/>
        <v>#REF!</v>
      </c>
      <c r="FF151" s="138" t="str">
        <f>FE151*VLOOKUP('Données projet (1)'!$B$16,'Paramètres (1)'!$A$1:$I$88,3,0)*VLOOKUP('Données projet (1)'!$B$16,'Paramètres (1)'!$A$1:$I$88,5,0)</f>
        <v>#REF!</v>
      </c>
      <c r="FG151" s="130" t="str">
        <f t="shared" si="138"/>
        <v>#REF!</v>
      </c>
      <c r="FH151" s="141" t="str">
        <f t="shared" si="79"/>
        <v>#REF!</v>
      </c>
      <c r="FI151" s="133" t="str">
        <f t="shared" si="80"/>
        <v>#REF!</v>
      </c>
      <c r="FJ151" s="133" t="str">
        <f t="shared" si="81"/>
        <v>#REF!</v>
      </c>
      <c r="FK151" s="133" t="str">
        <f t="shared" si="139"/>
        <v>#REF!</v>
      </c>
      <c r="FL151" s="134" t="str">
        <f t="shared" si="82"/>
        <v>#REF!</v>
      </c>
      <c r="FM151" s="134" t="str">
        <f t="shared" si="83"/>
        <v>#REF!</v>
      </c>
      <c r="FN151" s="135" t="str">
        <f>IF(ISNA(VLOOKUP(A151,'Données projet (1)'!$A$217:$I$237,5,0)),0%,VLOOKUP(A151,'Données projet (1)'!$A$217:$I$237,5,0)*VLOOKUP('Données projet (1)'!$B$16,'Paramètres (1)'!$A$1:$I$88,7,0))</f>
        <v>#REF!</v>
      </c>
      <c r="FO151" s="135" t="str">
        <f>IF(ISNA(VLOOKUP(A151,'Données projet (1)'!$A$217:$I$237,6,0)),0%,VLOOKUP(A151,'Données projet (1)'!$A$217:$I$237,6,0)*VLOOKUP('Données projet (1)'!$B$16,'Paramètres (1)'!$A$1:$I$88,7,0))</f>
        <v>#REF!</v>
      </c>
      <c r="FP151" s="135" t="str">
        <f t="shared" si="84"/>
        <v>#REF!</v>
      </c>
      <c r="FQ151" s="142" t="str">
        <f>EXP(-LN(2)/35)*FQ150+(1-EXP(-LN(2)/35))/(LN(2)/35)*FM151*FN151*VLOOKUP('Données projet (1)'!$B$16,'Paramètres (1)'!$A$1:$I$88,3,0)*0.475*44/12</f>
        <v>#REF!</v>
      </c>
      <c r="FR151" s="142" t="str">
        <f>EXP(-LN(2)/25)*FR150+(1-EXP(-LN(2)/25))/(LN(2)/25)*'Calculateur (1)'!FM151*'Calculateur (1)'!FO151*VLOOKUP('Données projet (1)'!$B$16,'Paramètres (1)'!$A$1:$I$88,3,0)*0.475*44/12</f>
        <v>#REF!</v>
      </c>
      <c r="FS151" s="142" t="str">
        <f>EXP(-LN(2)/2)*FS150+(1-EXP(-LN(2)/2))/(LN(2)/2)*FM151*FP151*VLOOKUP('Données projet (1)'!$B$16,'Paramètres (1)'!$A$1:$I$88,3,0)*0.475*44/12</f>
        <v>#REF!</v>
      </c>
      <c r="FT151" s="143" t="str">
        <f t="shared" si="85"/>
        <v>#REF!</v>
      </c>
      <c r="FU151" s="139" t="str">
        <f t="shared" si="86"/>
        <v>#REF!</v>
      </c>
      <c r="FV151" s="131">
        <f t="shared" si="87"/>
        <v>10</v>
      </c>
      <c r="FW151" s="131" t="str">
        <f t="shared" si="140"/>
        <v>#REF!</v>
      </c>
      <c r="FX151" s="131" t="str">
        <f t="shared" si="88"/>
        <v>#REF!</v>
      </c>
      <c r="FY151" s="131" t="str">
        <f t="array" ref="FY151">INDEX(FX:FX,MIN(IF(ISNUMBER(FX151:FX347),ROW(FX151:FX347),"")))</f>
        <v/>
      </c>
      <c r="FZ151" s="131" t="str">
        <f t="shared" si="141"/>
        <v>#REF!</v>
      </c>
      <c r="GA151" s="138" t="str">
        <f>FZ151*VLOOKUP('Données projet (1)'!$B$17,'Paramètres (1)'!$A$1:$I$88,3,0)*VLOOKUP('Données projet (1)'!$B$17,'Paramètres (1)'!$A$1:$I$88,5,0)</f>
        <v>#REF!</v>
      </c>
      <c r="GB151" s="130" t="str">
        <f t="shared" si="142"/>
        <v>#REF!</v>
      </c>
      <c r="GC151" s="141" t="str">
        <f t="shared" si="89"/>
        <v>#REF!</v>
      </c>
      <c r="GD151" s="133" t="str">
        <f t="shared" si="90"/>
        <v>#REF!</v>
      </c>
      <c r="GE151" s="133" t="str">
        <f t="shared" si="91"/>
        <v>#REF!</v>
      </c>
      <c r="GF151" s="133" t="str">
        <f t="shared" si="143"/>
        <v>#REF!</v>
      </c>
      <c r="GG151" s="134" t="str">
        <f t="shared" si="92"/>
        <v>#REF!</v>
      </c>
      <c r="GH151" s="134" t="str">
        <f t="shared" si="93"/>
        <v>#REF!</v>
      </c>
      <c r="GI151" s="135" t="str">
        <f>IF(ISNA(VLOOKUP(A151,'Données projet (1)'!$A$243:$I$263,5,0)),0%,VLOOKUP(A151,'Données projet (1)'!$A$243:$I$263,5,0)*VLOOKUP('Données projet (1)'!$B$17,'Paramètres (1)'!$A$1:$I$88,7,0))</f>
        <v>#REF!</v>
      </c>
      <c r="GJ151" s="135" t="str">
        <f>IF(ISNA(VLOOKUP(A151,'Données projet (1)'!$A$243:$I$263,6,0)),0%,VLOOKUP(A151,'Données projet (1)'!$A$243:$I$263,6,0)*VLOOKUP('Données projet (1)'!$B$17,'Paramètres (1)'!$A$1:$I$88,7,0))</f>
        <v>#REF!</v>
      </c>
      <c r="GK151" s="135" t="str">
        <f t="shared" si="94"/>
        <v>#REF!</v>
      </c>
      <c r="GL151" s="142" t="str">
        <f>EXP(-LN(2)/35)*GL150+(1-EXP(-LN(2)/35))/(LN(2)/35)*GH151*GI151*VLOOKUP('Données projet (1)'!$B$17,'Paramètres (1)'!$A$1:$I$88,3,0)*0.475*44/12</f>
        <v>#REF!</v>
      </c>
      <c r="GM151" s="142" t="str">
        <f>EXP(-LN(2)/25)*GM150+(1-EXP(-LN(2)/25))/(LN(2)/25)*'Calculateur (1)'!GH151*'Calculateur (1)'!GJ151*VLOOKUP('Données projet (1)'!$B$17,'Paramètres (1)'!$A$1:$I$88,3,0)*0.475*44/12</f>
        <v>#REF!</v>
      </c>
      <c r="GN151" s="142" t="str">
        <f>EXP(-LN(2)/2)*GN150+(1-EXP(-LN(2)/2))/(LN(2)/2)*GH151*GK151*VLOOKUP('Données projet (1)'!$B$17,'Paramètres (1)'!$A$1:$I$88,3,0)*0.475*44/12</f>
        <v>#REF!</v>
      </c>
      <c r="GO151" s="142" t="str">
        <f t="shared" si="95"/>
        <v>#REF!</v>
      </c>
      <c r="GP151" s="139" t="str">
        <f t="shared" si="96"/>
        <v>#REF!</v>
      </c>
      <c r="GQ151" s="131">
        <f t="shared" si="97"/>
        <v>10</v>
      </c>
      <c r="GR151" s="131" t="str">
        <f t="shared" si="144"/>
        <v>#REF!</v>
      </c>
      <c r="GS151" s="131" t="str">
        <f t="shared" si="98"/>
        <v>#REF!</v>
      </c>
      <c r="GT151" s="131" t="str">
        <f t="array" ref="GT151">INDEX(GS:GS,MIN(IF(ISNUMBER(GS151:GS347),ROW(GS151:GS347),"")))</f>
        <v/>
      </c>
      <c r="GU151" s="131" t="str">
        <f t="shared" si="145"/>
        <v>#REF!</v>
      </c>
      <c r="GV151" s="138" t="str">
        <f>GU151*VLOOKUP('Données projet (1)'!$B$18,'Paramètres (1)'!$A$1:$I$88,3,0)*VLOOKUP('Données projet (1)'!$B$18,'Paramètres (1)'!$A$1:$I$88,5,0)</f>
        <v>#REF!</v>
      </c>
      <c r="GW151" s="130" t="str">
        <f t="shared" si="146"/>
        <v>#REF!</v>
      </c>
      <c r="GX151" s="141" t="str">
        <f t="shared" si="99"/>
        <v>#REF!</v>
      </c>
      <c r="GY151" s="133" t="str">
        <f t="shared" si="100"/>
        <v>#REF!</v>
      </c>
      <c r="GZ151" s="133" t="str">
        <f t="shared" si="101"/>
        <v>#REF!</v>
      </c>
      <c r="HA151" s="133" t="str">
        <f t="shared" si="147"/>
        <v>#REF!</v>
      </c>
      <c r="HB151" s="134" t="str">
        <f t="shared" si="102"/>
        <v>#REF!</v>
      </c>
      <c r="HC151" s="134" t="str">
        <f t="shared" si="103"/>
        <v>#REF!</v>
      </c>
      <c r="HD151" s="135" t="str">
        <f>IF(ISNA(VLOOKUP(A151,'Données projet (1)'!$A$269:$I$289,5,0)),0%,VLOOKUP(A151,'Données projet (1)'!$A$269:$I$289,5,0)*VLOOKUP('Données projet (1)'!$B$18,'Paramètres (1)'!$A$1:$I$88,7,0))</f>
        <v>#REF!</v>
      </c>
      <c r="HE151" s="135" t="str">
        <f>IF(ISNA(VLOOKUP(A151,'Données projet (1)'!$A$269:$I$289,6,0)),0%,VLOOKUP(A151,'Données projet (1)'!$A$269:$I$289,6,0)*VLOOKUP('Données projet (1)'!$B$18,'Paramètres (1)'!$A$1:$I$88,7,0))</f>
        <v>#REF!</v>
      </c>
      <c r="HF151" s="135" t="str">
        <f t="shared" si="104"/>
        <v>#REF!</v>
      </c>
      <c r="HG151" s="142" t="str">
        <f>EXP(-LN(2)/35)*HG150+(1-EXP(-LN(2)/35))/(LN(2)/35)*HC151*HD151*VLOOKUP('Données projet (1)'!$B$18,'Paramètres (1)'!$A$1:$I$88,3,0)*0.475*44/12</f>
        <v>#REF!</v>
      </c>
      <c r="HH151" s="142" t="str">
        <f>EXP(-LN(2)/25)*HH150+(1-EXP(-LN(2)/25))/(LN(2)/25)*'Calculateur (1)'!HC151*'Calculateur (1)'!HE151*VLOOKUP('Données projet (1)'!$B$18,'Paramètres (1)'!$A$1:$I$88,3,0)*0.475*44/12</f>
        <v>#REF!</v>
      </c>
      <c r="HI151" s="142" t="str">
        <f>EXP(-LN(2)/2)*HI150+(1-EXP(-LN(2)/2))/(LN(2)/2)*HC151*HF151*VLOOKUP('Données projet (1)'!$B$18,'Paramètres (1)'!$A$1:$I$88,3,0)*0.475*44/12</f>
        <v>#REF!</v>
      </c>
      <c r="HJ151" s="143" t="str">
        <f t="shared" si="105"/>
        <v>#REF!</v>
      </c>
    </row>
    <row r="152" ht="14.25" customHeight="1">
      <c r="A152" s="125">
        <f t="shared" si="106"/>
        <v>149</v>
      </c>
      <c r="B152" s="126" t="str">
        <f t="shared" si="1"/>
        <v>#REF!</v>
      </c>
      <c r="C152" s="140" t="str">
        <f>'Calculateur (1)'!C151+'Scénario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2" s="127">
        <f t="shared" si="107"/>
        <v>0</v>
      </c>
      <c r="E152" s="127" t="str">
        <f t="shared" si="2"/>
        <v>#REF!</v>
      </c>
      <c r="F152" s="127" t="str">
        <f t="shared" si="3"/>
        <v>#REF!</v>
      </c>
      <c r="G152" s="127" t="str">
        <f t="shared" si="4"/>
        <v>#REF!</v>
      </c>
      <c r="H152" s="128" t="str">
        <f t="shared" si="5"/>
        <v>#REF!</v>
      </c>
      <c r="I152" s="129" t="str">
        <f t="shared" si="6"/>
        <v>#REF!</v>
      </c>
      <c r="J152" s="130">
        <f t="shared" si="7"/>
        <v>10</v>
      </c>
      <c r="K152" s="131" t="str">
        <f t="shared" si="108"/>
        <v>#REF!</v>
      </c>
      <c r="L152" s="131" t="str">
        <f t="shared" si="8"/>
        <v>#REF!</v>
      </c>
      <c r="M152" s="131" t="str">
        <f t="array" ref="M152">INDEX(L:L,MIN(IF(ISNUMBER(L152:L348),ROW(L152:L348),"")))</f>
        <v/>
      </c>
      <c r="N152" s="130" t="str">
        <f t="shared" si="109"/>
        <v>#REF!</v>
      </c>
      <c r="O152" s="130" t="str">
        <f>N152*VLOOKUP('Données projet (1)'!$B$9,'Paramètres (1)'!$A$1:$I$88,3,0)*VLOOKUP('Données projet (1)'!$B$9,'Paramètres (1)'!$A$1:$I$88,5,0)</f>
        <v>#REF!</v>
      </c>
      <c r="P152" s="130" t="str">
        <f t="shared" si="110"/>
        <v>#REF!</v>
      </c>
      <c r="Q152" s="141" t="str">
        <f t="shared" si="9"/>
        <v>#REF!</v>
      </c>
      <c r="R152" s="133" t="str">
        <f t="shared" si="10"/>
        <v>#REF!</v>
      </c>
      <c r="S152" s="133" t="str">
        <f t="shared" si="11"/>
        <v>#REF!</v>
      </c>
      <c r="T152" s="133" t="str">
        <f t="shared" si="111"/>
        <v>#REF!</v>
      </c>
      <c r="U152" s="134" t="str">
        <f t="shared" si="12"/>
        <v>#REF!</v>
      </c>
      <c r="V152" s="134" t="str">
        <f t="shared" si="13"/>
        <v>#REF!</v>
      </c>
      <c r="W152" s="135" t="str">
        <f>IF(ISNA(VLOOKUP(A152,'Données projet (1)'!$A$35:$I$55,5,0)),0%,VLOOKUP(A152,'Données projet (1)'!$A$35:$I$55,5,0)*VLOOKUP('Données projet (1)'!$B$9,'Paramètres (1)'!$A$1:$I$88,7,0))</f>
        <v>#REF!</v>
      </c>
      <c r="X152" s="135" t="str">
        <f>IF(ISNA(VLOOKUP(A152,'Données projet (1)'!$A$35:$I$55,6,0)),0%,VLOOKUP(A152,'Données projet (1)'!$A$35:$I$55,6,0)*VLOOKUP('Données projet (1)'!$B$9,'Paramètres (1)'!$A$1:$I$88,7,0))</f>
        <v>#REF!</v>
      </c>
      <c r="Y152" s="135" t="str">
        <f t="shared" si="14"/>
        <v>#REF!</v>
      </c>
      <c r="Z152" s="142" t="str">
        <f>EXP(-LN(2)/35)*Z151+(1-EXP(-LN(2)/35))/(LN(2)/35)*V152*W152*VLOOKUP('Données projet (1)'!$B$9,'Paramètres (1)'!$A$1:$I$88,3,0)*0.475*44/12</f>
        <v>#REF!</v>
      </c>
      <c r="AA152" s="142" t="str">
        <f>EXP(-LN(2)/25)*AA151+(1-EXP(-LN(2)/25))/(LN(2)/25)*'Calculateur (1)'!V152*'Calculateur (1)'!X152*VLOOKUP('Données projet (1)'!$B$9,'Paramètres (1)'!$A$1:$I$88,3,0)*0.475*44/12</f>
        <v>#REF!</v>
      </c>
      <c r="AB152" s="142" t="str">
        <f>EXP(-LN(2)/2)*AB151+(1-EXP(-LN(2)/2))/(LN(2)/2)*V152*Y152*VLOOKUP('Données projet (1)'!$B$9,'Paramètres (1)'!$A$1:$I$88,3,0)*0.475*44/12</f>
        <v>#REF!</v>
      </c>
      <c r="AC152" s="143" t="str">
        <f t="shared" si="15"/>
        <v>#REF!</v>
      </c>
      <c r="AD152" s="130" t="str">
        <f t="shared" si="16"/>
        <v>#REF!</v>
      </c>
      <c r="AE152" s="130">
        <f t="shared" si="17"/>
        <v>10</v>
      </c>
      <c r="AF152" s="131" t="str">
        <f t="shared" si="112"/>
        <v>#REF!</v>
      </c>
      <c r="AG152" s="131" t="str">
        <f t="shared" si="18"/>
        <v>#REF!</v>
      </c>
      <c r="AH152" s="131" t="str">
        <f t="array" ref="AH152">INDEX(AG:AG,MIN(IF(ISNUMBER(AG152:AG348),ROW(AG152:AG348),"")))</f>
        <v/>
      </c>
      <c r="AI152" s="130" t="str">
        <f t="shared" si="113"/>
        <v>#REF!</v>
      </c>
      <c r="AJ152" s="130" t="str">
        <f>AI152*VLOOKUP('Données projet (1)'!$B$10,'Paramètres (1)'!$A$1:$I$88,3,0)*VLOOKUP('Données projet (1)'!$B$10,'Paramètres (1)'!$A$1:$I$88,5,0)</f>
        <v>#REF!</v>
      </c>
      <c r="AK152" s="130" t="str">
        <f t="shared" si="114"/>
        <v>#REF!</v>
      </c>
      <c r="AL152" s="141" t="str">
        <f t="shared" si="19"/>
        <v>#REF!</v>
      </c>
      <c r="AM152" s="133" t="str">
        <f t="shared" si="20"/>
        <v>#REF!</v>
      </c>
      <c r="AN152" s="133" t="str">
        <f t="shared" si="21"/>
        <v>#REF!</v>
      </c>
      <c r="AO152" s="133" t="str">
        <f t="shared" si="115"/>
        <v>#REF!</v>
      </c>
      <c r="AP152" s="134" t="str">
        <f t="shared" si="22"/>
        <v>#REF!</v>
      </c>
      <c r="AQ152" s="134" t="str">
        <f t="shared" si="23"/>
        <v>#REF!</v>
      </c>
      <c r="AR152" s="135" t="str">
        <f>IF(ISNA(VLOOKUP(A152,'Données projet (1)'!$A$61:$I$81,5,0)),0%,VLOOKUP(A152,'Données projet (1)'!$A$61:$I$81,5,0)*VLOOKUP('Données projet (1)'!$B$10,'Paramètres (1)'!$A$1:$I$88,7,0))</f>
        <v>#REF!</v>
      </c>
      <c r="AS152" s="135" t="str">
        <f>IF(ISNA(VLOOKUP(A152,'Données projet (1)'!$A$61:$I$81,6,0)),0%,VLOOKUP(A152,'Données projet (1)'!$A$61:$I$81,6,0)*VLOOKUP('Données projet (1)'!$B$10,'Paramètres (1)'!$A$1:$I$88,7,0))</f>
        <v>#REF!</v>
      </c>
      <c r="AT152" s="135" t="str">
        <f t="shared" si="24"/>
        <v>#REF!</v>
      </c>
      <c r="AU152" s="142" t="str">
        <f>EXP(-LN(2)/35)*AU151+(1-EXP(-LN(2)/35))/(LN(2)/35)*AQ152*AR152*VLOOKUP('Données projet (1)'!$B$10,'Paramètres (1)'!$A$1:$I$88,3,0)*0.475*44/12</f>
        <v>#REF!</v>
      </c>
      <c r="AV152" s="142" t="str">
        <f>EXP(-LN(2)/25)*AV151+(1-EXP(-LN(2)/25))/(LN(2)/25)*'Calculateur (1)'!AQ152*'Calculateur (1)'!AS152*VLOOKUP('Données projet (1)'!$B$10,'Paramètres (1)'!$A$1:$I$88,3,0)*0.475*44/12</f>
        <v>#REF!</v>
      </c>
      <c r="AW152" s="142" t="str">
        <f>EXP(-LN(2)/2)*AW151+(1-EXP(-LN(2)/2))/(LN(2)/2)*AQ152*AT152*VLOOKUP('Données projet (1)'!$B$10,'Paramètres (1)'!$A$1:$I$88,3,0)*0.475*44/12</f>
        <v>#REF!</v>
      </c>
      <c r="AX152" s="142" t="str">
        <f t="shared" si="25"/>
        <v>#REF!</v>
      </c>
      <c r="AY152" s="137" t="str">
        <f t="shared" si="26"/>
        <v>#REF!</v>
      </c>
      <c r="AZ152" s="131">
        <f t="shared" si="27"/>
        <v>10</v>
      </c>
      <c r="BA152" s="131" t="str">
        <f t="shared" si="116"/>
        <v>#REF!</v>
      </c>
      <c r="BB152" s="131" t="str">
        <f t="shared" si="28"/>
        <v>#REF!</v>
      </c>
      <c r="BC152" s="131" t="str">
        <f t="array" ref="BC152">INDEX(BB:BB,MIN(IF(ISNUMBER(BB152:BB348),ROW(BB152:BB348),"")))</f>
        <v/>
      </c>
      <c r="BD152" s="131" t="str">
        <f t="shared" si="117"/>
        <v>#REF!</v>
      </c>
      <c r="BE152" s="130" t="str">
        <f>BD152*VLOOKUP('Données projet (1)'!$B$11,'Paramètres (1)'!$A$1:$I$88,3,0)*VLOOKUP('Données projet (1)'!$B$11,'Paramètres (1)'!$A$1:$I$88,5,0)</f>
        <v>#REF!</v>
      </c>
      <c r="BF152" s="130" t="str">
        <f t="shared" si="118"/>
        <v>#REF!</v>
      </c>
      <c r="BG152" s="141" t="str">
        <f t="shared" si="29"/>
        <v>#REF!</v>
      </c>
      <c r="BH152" s="133" t="str">
        <f t="shared" si="30"/>
        <v>#REF!</v>
      </c>
      <c r="BI152" s="133" t="str">
        <f t="shared" si="31"/>
        <v>#REF!</v>
      </c>
      <c r="BJ152" s="133" t="str">
        <f t="shared" si="119"/>
        <v>#REF!</v>
      </c>
      <c r="BK152" s="134" t="str">
        <f t="shared" si="32"/>
        <v>#REF!</v>
      </c>
      <c r="BL152" s="134" t="str">
        <f t="shared" si="33"/>
        <v>#REF!</v>
      </c>
      <c r="BM152" s="135" t="str">
        <f>IF(ISNA(VLOOKUP(A152,'Données projet (1)'!$A$87:$I$107,5,0)),0%,VLOOKUP(A152,'Données projet (1)'!$A$87:$I$107,5,0)*VLOOKUP('Données projet (1)'!$B$11,'Paramètres (1)'!$A$1:$I$88,7,0))</f>
        <v>#REF!</v>
      </c>
      <c r="BN152" s="135" t="str">
        <f>IF(ISNA(VLOOKUP(A152,'Données projet (1)'!$A$87:$I$107,6,0)),0%,VLOOKUP(A152,'Données projet (1)'!$A$87:$I$107,6,0)*VLOOKUP('Données projet (1)'!$B$11,'Paramètres (1)'!$A$1:$I$88,7,0))</f>
        <v>#REF!</v>
      </c>
      <c r="BO152" s="135" t="str">
        <f t="shared" si="34"/>
        <v>#REF!</v>
      </c>
      <c r="BP152" s="142" t="str">
        <f>EXP(-LN(2)/35)*BP151+(1-EXP(-LN(2)/35))/(LN(2)/35)*BL152*BM152*VLOOKUP('Données projet (1)'!$B$11,'Paramètres (1)'!$A$1:$I$88,3,0)*0.475*44/12</f>
        <v>#REF!</v>
      </c>
      <c r="BQ152" s="142" t="str">
        <f>EXP(-LN(2)/25)*BQ151+(1-EXP(-LN(2)/25))/(LN(2)/25)*'Calculateur (1)'!BL152*'Calculateur (1)'!BN152*VLOOKUP('Données projet (1)'!$B$11,'Paramètres (1)'!$A$1:$I$88,3,0)*0.475*44/12</f>
        <v>#REF!</v>
      </c>
      <c r="BR152" s="142" t="str">
        <f>EXP(-LN(2)/2)*BR151+(1-EXP(-LN(2)/2))/(LN(2)/2)*BL152*BO152*VLOOKUP('Données projet (1)'!$B$11,'Paramètres (1)'!$A$1:$I$88,3,0)*0.475*44/12</f>
        <v>#REF!</v>
      </c>
      <c r="BS152" s="143" t="str">
        <f t="shared" si="35"/>
        <v>#REF!</v>
      </c>
      <c r="BT152" s="139" t="str">
        <f t="shared" si="36"/>
        <v>#REF!</v>
      </c>
      <c r="BU152" s="131">
        <f t="shared" si="37"/>
        <v>10</v>
      </c>
      <c r="BV152" s="131" t="str">
        <f t="shared" si="120"/>
        <v>#REF!</v>
      </c>
      <c r="BW152" s="131" t="str">
        <f t="shared" si="38"/>
        <v>#REF!</v>
      </c>
      <c r="BX152" s="131" t="str">
        <f t="array" ref="BX152">INDEX(BW:BW,MIN(IF(ISNUMBER(BW152:BW348),ROW(BW152:BW348),"")))</f>
        <v/>
      </c>
      <c r="BY152" s="131" t="str">
        <f t="shared" si="121"/>
        <v>#REF!</v>
      </c>
      <c r="BZ152" s="130" t="str">
        <f>BY152*VLOOKUP('Données projet (1)'!$B$12,'Paramètres (1)'!$A$1:$I$88,3,0)*VLOOKUP('Données projet (1)'!$B$12,'Paramètres (1)'!$A$1:$I$88,5,0)</f>
        <v>#REF!</v>
      </c>
      <c r="CA152" s="130" t="str">
        <f t="shared" si="122"/>
        <v>#REF!</v>
      </c>
      <c r="CB152" s="141" t="str">
        <f t="shared" si="39"/>
        <v>#REF!</v>
      </c>
      <c r="CC152" s="133" t="str">
        <f t="shared" si="40"/>
        <v>#REF!</v>
      </c>
      <c r="CD152" s="133" t="str">
        <f t="shared" si="41"/>
        <v>#REF!</v>
      </c>
      <c r="CE152" s="133" t="str">
        <f t="shared" si="123"/>
        <v>#REF!</v>
      </c>
      <c r="CF152" s="134" t="str">
        <f t="shared" si="42"/>
        <v>#REF!</v>
      </c>
      <c r="CG152" s="134" t="str">
        <f t="shared" si="43"/>
        <v>#REF!</v>
      </c>
      <c r="CH152" s="135" t="str">
        <f>IF(ISNA(VLOOKUP(A152,'Données projet (1)'!$A$113:$I$133,5,0)),0%,VLOOKUP(A152,'Données projet (1)'!$A$113:$I$133,5,0)*VLOOKUP('Données projet (1)'!$B$12,'Paramètres (1)'!$A$1:$I$88,7,0))</f>
        <v>#REF!</v>
      </c>
      <c r="CI152" s="135" t="str">
        <f>IF(ISNA(VLOOKUP(A152,'Données projet (1)'!$A$113:$I$133,6,0)),0%,VLOOKUP(A152,'Données projet (1)'!$A$113:$I$133,6,0)*VLOOKUP('Données projet (1)'!$B$12,'Paramètres (1)'!$A$1:$I$88,7,0))</f>
        <v>#REF!</v>
      </c>
      <c r="CJ152" s="135" t="str">
        <f t="shared" si="44"/>
        <v>#REF!</v>
      </c>
      <c r="CK152" s="142" t="str">
        <f>EXP(-LN(2)/35)*CK151+(1-EXP(-LN(2)/35))/(LN(2)/35)*CG152*CH152*VLOOKUP('Données projet (1)'!$B$12,'Paramètres (1)'!$A$1:$I$88,3,0)*0.475*44/12</f>
        <v>#REF!</v>
      </c>
      <c r="CL152" s="142" t="str">
        <f>EXP(-LN(2)/25)*CL151+(1-EXP(-LN(2)/25))/(LN(2)/25)*'Calculateur (1)'!CG152*'Calculateur (1)'!CI152*VLOOKUP('Données projet (1)'!$B$12,'Paramètres (1)'!$A$1:$I$88,3,0)*0.475*44/12</f>
        <v>#REF!</v>
      </c>
      <c r="CM152" s="142" t="str">
        <f>EXP(-LN(2)/2)*CM151+(1-EXP(-LN(2)/2))/(LN(2)/2)*CG152*CJ152*VLOOKUP('Données projet (1)'!$B$12,'Paramètres (1)'!$A$1:$I$88,3,0)*0.475*44/12</f>
        <v>#REF!</v>
      </c>
      <c r="CN152" s="143" t="str">
        <f t="shared" si="45"/>
        <v>#REF!</v>
      </c>
      <c r="CO152" s="139" t="str">
        <f t="shared" si="46"/>
        <v>#REF!</v>
      </c>
      <c r="CP152" s="131">
        <f t="shared" si="47"/>
        <v>10</v>
      </c>
      <c r="CQ152" s="131" t="str">
        <f t="shared" si="124"/>
        <v>#REF!</v>
      </c>
      <c r="CR152" s="131" t="str">
        <f t="shared" si="48"/>
        <v>#REF!</v>
      </c>
      <c r="CS152" s="131" t="str">
        <f t="array" ref="CS152">INDEX(CR:CR,MIN(IF(ISNUMBER(CR152:CR348),ROW(CR152:CR348),"")))</f>
        <v/>
      </c>
      <c r="CT152" s="131" t="str">
        <f t="shared" si="125"/>
        <v>#REF!</v>
      </c>
      <c r="CU152" s="138" t="str">
        <f>CT152*VLOOKUP('Données projet (1)'!$B$13,'Paramètres (1)'!$A$1:$I$88,3,0)*VLOOKUP('Données projet (1)'!$B$13,'Paramètres (1)'!$A$1:$I$88,5,0)</f>
        <v>#REF!</v>
      </c>
      <c r="CV152" s="130" t="str">
        <f t="shared" si="126"/>
        <v>#REF!</v>
      </c>
      <c r="CW152" s="141" t="str">
        <f t="shared" si="49"/>
        <v>#REF!</v>
      </c>
      <c r="CX152" s="133" t="str">
        <f t="shared" si="50"/>
        <v>#REF!</v>
      </c>
      <c r="CY152" s="133" t="str">
        <f t="shared" si="51"/>
        <v>#REF!</v>
      </c>
      <c r="CZ152" s="133" t="str">
        <f t="shared" si="127"/>
        <v>#REF!</v>
      </c>
      <c r="DA152" s="134" t="str">
        <f t="shared" si="52"/>
        <v>#REF!</v>
      </c>
      <c r="DB152" s="134" t="str">
        <f t="shared" si="53"/>
        <v>#REF!</v>
      </c>
      <c r="DC152" s="135" t="str">
        <f>IF(ISNA(VLOOKUP(A152,'Données projet (1)'!$A$139:$I$159,5,0)),0%,VLOOKUP(A152,'Données projet (1)'!$A$139:$I$159,5,0)*VLOOKUP('Données projet (1)'!$B$13,'Paramètres (1)'!$A$1:$I$88,7,0))</f>
        <v>#REF!</v>
      </c>
      <c r="DD152" s="135" t="str">
        <f>IF(ISNA(VLOOKUP(A152,'Données projet (1)'!$A$139:$I$159,6,0)),0%,VLOOKUP(A152,'Données projet (1)'!$A$139:$I$159,6,0)*VLOOKUP('Données projet (1)'!$B$13,'Paramètres (1)'!$A$1:$I$88,7,0))</f>
        <v>#REF!</v>
      </c>
      <c r="DE152" s="135" t="str">
        <f t="shared" si="54"/>
        <v>#REF!</v>
      </c>
      <c r="DF152" s="142" t="str">
        <f>EXP(-LN(2)/35)*DF151+(1-EXP(-LN(2)/35))/(LN(2)/35)*DB152*DC152*VLOOKUP('Données projet (1)'!$B$13,'Paramètres (1)'!$A$1:$I$88,3,0)*0.475*44/12</f>
        <v>#REF!</v>
      </c>
      <c r="DG152" s="142" t="str">
        <f>EXP(-LN(2)/25)*DG151+(1-EXP(-LN(2)/25))/(LN(2)/25)*'Calculateur (1)'!DB152*'Calculateur (1)'!DD152*VLOOKUP('Données projet (1)'!$B$13,'Paramètres (1)'!$A$1:$I$88,3,0)*0.475*44/12</f>
        <v>#REF!</v>
      </c>
      <c r="DH152" s="142" t="str">
        <f>EXP(-LN(2)/2)*DH151+(1-EXP(-LN(2)/2))/(LN(2)/2)*DB152*DE152*VLOOKUP('Données projet (1)'!$B$13,'Paramètres (1)'!$A$1:$I$88,3,0)*0.475*44/12</f>
        <v>#REF!</v>
      </c>
      <c r="DI152" s="143" t="str">
        <f t="shared" si="55"/>
        <v>#REF!</v>
      </c>
      <c r="DJ152" s="139" t="str">
        <f t="shared" si="56"/>
        <v>#REF!</v>
      </c>
      <c r="DK152" s="131">
        <f t="shared" si="57"/>
        <v>10</v>
      </c>
      <c r="DL152" s="131" t="str">
        <f t="shared" si="128"/>
        <v>#REF!</v>
      </c>
      <c r="DM152" s="131" t="str">
        <f t="shared" si="58"/>
        <v>#REF!</v>
      </c>
      <c r="DN152" s="131" t="str">
        <f t="array" ref="DN152">INDEX(DM:DM,MIN(IF(ISNUMBER(DM152:DM348),ROW(DM152:DM348),"")))</f>
        <v/>
      </c>
      <c r="DO152" s="131" t="str">
        <f t="shared" si="129"/>
        <v>#REF!</v>
      </c>
      <c r="DP152" s="138" t="str">
        <f>DO152*VLOOKUP('Données projet (1)'!$B$14,'Paramètres (1)'!$A$1:$I$88,3,0)*VLOOKUP('Données projet (1)'!$B$14,'Paramètres (1)'!$A$1:$I$88,5,0)</f>
        <v>#REF!</v>
      </c>
      <c r="DQ152" s="130" t="str">
        <f t="shared" si="130"/>
        <v>#REF!</v>
      </c>
      <c r="DR152" s="141" t="str">
        <f t="shared" si="59"/>
        <v>#REF!</v>
      </c>
      <c r="DS152" s="133" t="str">
        <f t="shared" si="60"/>
        <v>#REF!</v>
      </c>
      <c r="DT152" s="133" t="str">
        <f t="shared" si="61"/>
        <v>#REF!</v>
      </c>
      <c r="DU152" s="133" t="str">
        <f t="shared" si="131"/>
        <v>#REF!</v>
      </c>
      <c r="DV152" s="134" t="str">
        <f t="shared" si="62"/>
        <v>#REF!</v>
      </c>
      <c r="DW152" s="134" t="str">
        <f t="shared" si="63"/>
        <v>#REF!</v>
      </c>
      <c r="DX152" s="135" t="str">
        <f>IF(ISNA(VLOOKUP(A152,'Données projet (1)'!$A$165:$I$185,5,0)),0%,VLOOKUP(A152,'Données projet (1)'!$A$165:$I$185,5,0)*VLOOKUP('Données projet (1)'!$B$14,'Paramètres (1)'!$A$1:$I$88,7,0))</f>
        <v>#REF!</v>
      </c>
      <c r="DY152" s="135" t="str">
        <f>IF(ISNA(VLOOKUP(A152,'Données projet (1)'!$A$165:$I$185,6,0)),0%,VLOOKUP(A152,'Données projet (1)'!$A$165:$I$185,6,0)*VLOOKUP('Données projet (1)'!$B$14,'Paramètres (1)'!$A$1:$I$88,7,0))</f>
        <v>#REF!</v>
      </c>
      <c r="DZ152" s="135" t="str">
        <f t="shared" si="64"/>
        <v>#REF!</v>
      </c>
      <c r="EA152" s="142" t="str">
        <f>EXP(-LN(2)/35)*EA151+(1-EXP(-LN(2)/35))/(LN(2)/35)*DW152*DX152*VLOOKUP('Données projet (1)'!$B$14,'Paramètres (1)'!$A$1:$I$88,3,0)*0.475*44/12</f>
        <v>#REF!</v>
      </c>
      <c r="EB152" s="142" t="str">
        <f>EXP(-LN(2)/25)*EB151+(1-EXP(-LN(2)/25))/(LN(2)/25)*'Calculateur (1)'!DW152*'Calculateur (1)'!DY152*VLOOKUP('Données projet (1)'!$B$14,'Paramètres (1)'!$A$1:$I$88,3,0)*0.475*44/12</f>
        <v>#REF!</v>
      </c>
      <c r="EC152" s="142" t="str">
        <f>EXP(-LN(2)/2)*EC151+(1-EXP(-LN(2)/2))/(LN(2)/2)*DW152*DZ152*VLOOKUP('Données projet (1)'!$B$14,'Paramètres (1)'!$A$1:$I$88,3,0)*0.475*44/12</f>
        <v>#REF!</v>
      </c>
      <c r="ED152" s="143" t="str">
        <f t="shared" si="65"/>
        <v>#REF!</v>
      </c>
      <c r="EE152" s="139" t="str">
        <f t="shared" si="66"/>
        <v>#REF!</v>
      </c>
      <c r="EF152" s="131">
        <f t="shared" si="67"/>
        <v>10</v>
      </c>
      <c r="EG152" s="131" t="str">
        <f t="shared" si="132"/>
        <v>#REF!</v>
      </c>
      <c r="EH152" s="131" t="str">
        <f t="shared" si="68"/>
        <v>#REF!</v>
      </c>
      <c r="EI152" s="131" t="str">
        <f t="array" ref="EI152">INDEX(EH:EH,MIN(IF(ISNUMBER(EH152:EH348),ROW(EH152:EH348),"")))</f>
        <v/>
      </c>
      <c r="EJ152" s="131" t="str">
        <f t="shared" si="133"/>
        <v>#REF!</v>
      </c>
      <c r="EK152" s="138" t="str">
        <f>EJ152*VLOOKUP('Données projet (1)'!$B$15,'Paramètres (1)'!$A$1:$I$88,3,0)*VLOOKUP('Données projet (1)'!$B$15,'Paramètres (1)'!$A$1:$I$88,5,0)</f>
        <v>#REF!</v>
      </c>
      <c r="EL152" s="130" t="str">
        <f t="shared" si="134"/>
        <v>#REF!</v>
      </c>
      <c r="EM152" s="141" t="str">
        <f t="shared" si="69"/>
        <v>#REF!</v>
      </c>
      <c r="EN152" s="133" t="str">
        <f t="shared" si="70"/>
        <v>#REF!</v>
      </c>
      <c r="EO152" s="133" t="str">
        <f t="shared" si="71"/>
        <v>#REF!</v>
      </c>
      <c r="EP152" s="133" t="str">
        <f t="shared" si="135"/>
        <v>#REF!</v>
      </c>
      <c r="EQ152" s="134" t="str">
        <f t="shared" si="72"/>
        <v>#REF!</v>
      </c>
      <c r="ER152" s="134" t="str">
        <f t="shared" si="73"/>
        <v>#REF!</v>
      </c>
      <c r="ES152" s="135" t="str">
        <f>IF(ISNA(VLOOKUP(A152,'Données projet (1)'!$A$191:$I$211,5,0)),0%,VLOOKUP(A152,'Données projet (1)'!$A$191:$I$211,5,0)*VLOOKUP('Données projet (1)'!$B$15,'Paramètres (1)'!$A$1:$I$88,7,0))</f>
        <v>#REF!</v>
      </c>
      <c r="ET152" s="135" t="str">
        <f>IF(ISNA(VLOOKUP(A152,'Données projet (1)'!$A$191:$I$211,6,0)),0%,VLOOKUP(A152,'Données projet (1)'!$A$191:$I$211,6,0)*VLOOKUP('Données projet (1)'!$B$15,'Paramètres (1)'!$A$1:$I$88,7,0))</f>
        <v>#REF!</v>
      </c>
      <c r="EU152" s="135" t="str">
        <f t="shared" si="74"/>
        <v>#REF!</v>
      </c>
      <c r="EV152" s="142" t="str">
        <f>EXP(-LN(2)/35)*EV151+(1-EXP(-LN(2)/35))/(LN(2)/35)*ER152*ES152*VLOOKUP('Données projet (1)'!$B$15,'Paramètres (1)'!$A$1:$I$88,3,0)*0.475*44/12</f>
        <v>#REF!</v>
      </c>
      <c r="EW152" s="142" t="str">
        <f>EXP(-LN(2)/25)*EW151+(1-EXP(-LN(2)/25))/(LN(2)/25)*'Calculateur (1)'!ER152*'Calculateur (1)'!ET152*VLOOKUP('Données projet (1)'!$B$15,'Paramètres (1)'!$A$1:$I$88,3,0)*0.475*44/12</f>
        <v>#REF!</v>
      </c>
      <c r="EX152" s="142" t="str">
        <f>EXP(-LN(2)/2)*EX151+(1-EXP(-LN(2)/2))/(LN(2)/2)*ER152*EU152*VLOOKUP('Données projet (1)'!$B$15,'Paramètres (1)'!$A$1:$I$88,3,0)*0.475*44/12</f>
        <v>#REF!</v>
      </c>
      <c r="EY152" s="143" t="str">
        <f t="shared" si="75"/>
        <v>#REF!</v>
      </c>
      <c r="EZ152" s="139" t="str">
        <f t="shared" si="76"/>
        <v>#REF!</v>
      </c>
      <c r="FA152" s="131">
        <f t="shared" si="77"/>
        <v>10</v>
      </c>
      <c r="FB152" s="131" t="str">
        <f t="shared" si="136"/>
        <v>#REF!</v>
      </c>
      <c r="FC152" s="131" t="str">
        <f t="shared" si="78"/>
        <v>#REF!</v>
      </c>
      <c r="FD152" s="131" t="str">
        <f t="array" ref="FD152">INDEX(FC:FC,MIN(IF(ISNUMBER(FC152:FC348),ROW(FC152:FC348),"")))</f>
        <v/>
      </c>
      <c r="FE152" s="131" t="str">
        <f t="shared" si="137"/>
        <v>#REF!</v>
      </c>
      <c r="FF152" s="138" t="str">
        <f>FE152*VLOOKUP('Données projet (1)'!$B$16,'Paramètres (1)'!$A$1:$I$88,3,0)*VLOOKUP('Données projet (1)'!$B$16,'Paramètres (1)'!$A$1:$I$88,5,0)</f>
        <v>#REF!</v>
      </c>
      <c r="FG152" s="130" t="str">
        <f t="shared" si="138"/>
        <v>#REF!</v>
      </c>
      <c r="FH152" s="141" t="str">
        <f t="shared" si="79"/>
        <v>#REF!</v>
      </c>
      <c r="FI152" s="133" t="str">
        <f t="shared" si="80"/>
        <v>#REF!</v>
      </c>
      <c r="FJ152" s="133" t="str">
        <f t="shared" si="81"/>
        <v>#REF!</v>
      </c>
      <c r="FK152" s="133" t="str">
        <f t="shared" si="139"/>
        <v>#REF!</v>
      </c>
      <c r="FL152" s="134" t="str">
        <f t="shared" si="82"/>
        <v>#REF!</v>
      </c>
      <c r="FM152" s="134" t="str">
        <f t="shared" si="83"/>
        <v>#REF!</v>
      </c>
      <c r="FN152" s="135" t="str">
        <f>IF(ISNA(VLOOKUP(A152,'Données projet (1)'!$A$217:$I$237,5,0)),0%,VLOOKUP(A152,'Données projet (1)'!$A$217:$I$237,5,0)*VLOOKUP('Données projet (1)'!$B$16,'Paramètres (1)'!$A$1:$I$88,7,0))</f>
        <v>#REF!</v>
      </c>
      <c r="FO152" s="135" t="str">
        <f>IF(ISNA(VLOOKUP(A152,'Données projet (1)'!$A$217:$I$237,6,0)),0%,VLOOKUP(A152,'Données projet (1)'!$A$217:$I$237,6,0)*VLOOKUP('Données projet (1)'!$B$16,'Paramètres (1)'!$A$1:$I$88,7,0))</f>
        <v>#REF!</v>
      </c>
      <c r="FP152" s="135" t="str">
        <f t="shared" si="84"/>
        <v>#REF!</v>
      </c>
      <c r="FQ152" s="142" t="str">
        <f>EXP(-LN(2)/35)*FQ151+(1-EXP(-LN(2)/35))/(LN(2)/35)*FM152*FN152*VLOOKUP('Données projet (1)'!$B$16,'Paramètres (1)'!$A$1:$I$88,3,0)*0.475*44/12</f>
        <v>#REF!</v>
      </c>
      <c r="FR152" s="142" t="str">
        <f>EXP(-LN(2)/25)*FR151+(1-EXP(-LN(2)/25))/(LN(2)/25)*'Calculateur (1)'!FM152*'Calculateur (1)'!FO152*VLOOKUP('Données projet (1)'!$B$16,'Paramètres (1)'!$A$1:$I$88,3,0)*0.475*44/12</f>
        <v>#REF!</v>
      </c>
      <c r="FS152" s="142" t="str">
        <f>EXP(-LN(2)/2)*FS151+(1-EXP(-LN(2)/2))/(LN(2)/2)*FM152*FP152*VLOOKUP('Données projet (1)'!$B$16,'Paramètres (1)'!$A$1:$I$88,3,0)*0.475*44/12</f>
        <v>#REF!</v>
      </c>
      <c r="FT152" s="143" t="str">
        <f t="shared" si="85"/>
        <v>#REF!</v>
      </c>
      <c r="FU152" s="139" t="str">
        <f t="shared" si="86"/>
        <v>#REF!</v>
      </c>
      <c r="FV152" s="131">
        <f t="shared" si="87"/>
        <v>10</v>
      </c>
      <c r="FW152" s="131" t="str">
        <f t="shared" si="140"/>
        <v>#REF!</v>
      </c>
      <c r="FX152" s="131" t="str">
        <f t="shared" si="88"/>
        <v>#REF!</v>
      </c>
      <c r="FY152" s="131" t="str">
        <f t="array" ref="FY152">INDEX(FX:FX,MIN(IF(ISNUMBER(FX152:FX348),ROW(FX152:FX348),"")))</f>
        <v/>
      </c>
      <c r="FZ152" s="131" t="str">
        <f t="shared" si="141"/>
        <v>#REF!</v>
      </c>
      <c r="GA152" s="138" t="str">
        <f>FZ152*VLOOKUP('Données projet (1)'!$B$17,'Paramètres (1)'!$A$1:$I$88,3,0)*VLOOKUP('Données projet (1)'!$B$17,'Paramètres (1)'!$A$1:$I$88,5,0)</f>
        <v>#REF!</v>
      </c>
      <c r="GB152" s="130" t="str">
        <f t="shared" si="142"/>
        <v>#REF!</v>
      </c>
      <c r="GC152" s="141" t="str">
        <f t="shared" si="89"/>
        <v>#REF!</v>
      </c>
      <c r="GD152" s="133" t="str">
        <f t="shared" si="90"/>
        <v>#REF!</v>
      </c>
      <c r="GE152" s="133" t="str">
        <f t="shared" si="91"/>
        <v>#REF!</v>
      </c>
      <c r="GF152" s="133" t="str">
        <f t="shared" si="143"/>
        <v>#REF!</v>
      </c>
      <c r="GG152" s="134" t="str">
        <f t="shared" si="92"/>
        <v>#REF!</v>
      </c>
      <c r="GH152" s="134" t="str">
        <f t="shared" si="93"/>
        <v>#REF!</v>
      </c>
      <c r="GI152" s="135" t="str">
        <f>IF(ISNA(VLOOKUP(A152,'Données projet (1)'!$A$243:$I$263,5,0)),0%,VLOOKUP(A152,'Données projet (1)'!$A$243:$I$263,5,0)*VLOOKUP('Données projet (1)'!$B$17,'Paramètres (1)'!$A$1:$I$88,7,0))</f>
        <v>#REF!</v>
      </c>
      <c r="GJ152" s="135" t="str">
        <f>IF(ISNA(VLOOKUP(A152,'Données projet (1)'!$A$243:$I$263,6,0)),0%,VLOOKUP(A152,'Données projet (1)'!$A$243:$I$263,6,0)*VLOOKUP('Données projet (1)'!$B$17,'Paramètres (1)'!$A$1:$I$88,7,0))</f>
        <v>#REF!</v>
      </c>
      <c r="GK152" s="135" t="str">
        <f t="shared" si="94"/>
        <v>#REF!</v>
      </c>
      <c r="GL152" s="142" t="str">
        <f>EXP(-LN(2)/35)*GL151+(1-EXP(-LN(2)/35))/(LN(2)/35)*GH152*GI152*VLOOKUP('Données projet (1)'!$B$17,'Paramètres (1)'!$A$1:$I$88,3,0)*0.475*44/12</f>
        <v>#REF!</v>
      </c>
      <c r="GM152" s="142" t="str">
        <f>EXP(-LN(2)/25)*GM151+(1-EXP(-LN(2)/25))/(LN(2)/25)*'Calculateur (1)'!GH152*'Calculateur (1)'!GJ152*VLOOKUP('Données projet (1)'!$B$17,'Paramètres (1)'!$A$1:$I$88,3,0)*0.475*44/12</f>
        <v>#REF!</v>
      </c>
      <c r="GN152" s="142" t="str">
        <f>EXP(-LN(2)/2)*GN151+(1-EXP(-LN(2)/2))/(LN(2)/2)*GH152*GK152*VLOOKUP('Données projet (1)'!$B$17,'Paramètres (1)'!$A$1:$I$88,3,0)*0.475*44/12</f>
        <v>#REF!</v>
      </c>
      <c r="GO152" s="142" t="str">
        <f t="shared" si="95"/>
        <v>#REF!</v>
      </c>
      <c r="GP152" s="139" t="str">
        <f t="shared" si="96"/>
        <v>#REF!</v>
      </c>
      <c r="GQ152" s="131">
        <f t="shared" si="97"/>
        <v>10</v>
      </c>
      <c r="GR152" s="131" t="str">
        <f t="shared" si="144"/>
        <v>#REF!</v>
      </c>
      <c r="GS152" s="131" t="str">
        <f t="shared" si="98"/>
        <v>#REF!</v>
      </c>
      <c r="GT152" s="131" t="str">
        <f t="array" ref="GT152">INDEX(GS:GS,MIN(IF(ISNUMBER(GS152:GS348),ROW(GS152:GS348),"")))</f>
        <v/>
      </c>
      <c r="GU152" s="131" t="str">
        <f t="shared" si="145"/>
        <v>#REF!</v>
      </c>
      <c r="GV152" s="138" t="str">
        <f>GU152*VLOOKUP('Données projet (1)'!$B$18,'Paramètres (1)'!$A$1:$I$88,3,0)*VLOOKUP('Données projet (1)'!$B$18,'Paramètres (1)'!$A$1:$I$88,5,0)</f>
        <v>#REF!</v>
      </c>
      <c r="GW152" s="130" t="str">
        <f t="shared" si="146"/>
        <v>#REF!</v>
      </c>
      <c r="GX152" s="141" t="str">
        <f t="shared" si="99"/>
        <v>#REF!</v>
      </c>
      <c r="GY152" s="133" t="str">
        <f t="shared" si="100"/>
        <v>#REF!</v>
      </c>
      <c r="GZ152" s="133" t="str">
        <f t="shared" si="101"/>
        <v>#REF!</v>
      </c>
      <c r="HA152" s="133" t="str">
        <f t="shared" si="147"/>
        <v>#REF!</v>
      </c>
      <c r="HB152" s="134" t="str">
        <f t="shared" si="102"/>
        <v>#REF!</v>
      </c>
      <c r="HC152" s="134" t="str">
        <f t="shared" si="103"/>
        <v>#REF!</v>
      </c>
      <c r="HD152" s="135" t="str">
        <f>IF(ISNA(VLOOKUP(A152,'Données projet (1)'!$A$269:$I$289,5,0)),0%,VLOOKUP(A152,'Données projet (1)'!$A$269:$I$289,5,0)*VLOOKUP('Données projet (1)'!$B$18,'Paramètres (1)'!$A$1:$I$88,7,0))</f>
        <v>#REF!</v>
      </c>
      <c r="HE152" s="135" t="str">
        <f>IF(ISNA(VLOOKUP(A152,'Données projet (1)'!$A$269:$I$289,6,0)),0%,VLOOKUP(A152,'Données projet (1)'!$A$269:$I$289,6,0)*VLOOKUP('Données projet (1)'!$B$18,'Paramètres (1)'!$A$1:$I$88,7,0))</f>
        <v>#REF!</v>
      </c>
      <c r="HF152" s="135" t="str">
        <f t="shared" si="104"/>
        <v>#REF!</v>
      </c>
      <c r="HG152" s="142" t="str">
        <f>EXP(-LN(2)/35)*HG151+(1-EXP(-LN(2)/35))/(LN(2)/35)*HC152*HD152*VLOOKUP('Données projet (1)'!$B$18,'Paramètres (1)'!$A$1:$I$88,3,0)*0.475*44/12</f>
        <v>#REF!</v>
      </c>
      <c r="HH152" s="142" t="str">
        <f>EXP(-LN(2)/25)*HH151+(1-EXP(-LN(2)/25))/(LN(2)/25)*'Calculateur (1)'!HC152*'Calculateur (1)'!HE152*VLOOKUP('Données projet (1)'!$B$18,'Paramètres (1)'!$A$1:$I$88,3,0)*0.475*44/12</f>
        <v>#REF!</v>
      </c>
      <c r="HI152" s="142" t="str">
        <f>EXP(-LN(2)/2)*HI151+(1-EXP(-LN(2)/2))/(LN(2)/2)*HC152*HF152*VLOOKUP('Données projet (1)'!$B$18,'Paramètres (1)'!$A$1:$I$88,3,0)*0.475*44/12</f>
        <v>#REF!</v>
      </c>
      <c r="HJ152" s="143" t="str">
        <f t="shared" si="105"/>
        <v>#REF!</v>
      </c>
    </row>
    <row r="153" ht="14.25" customHeight="1">
      <c r="A153" s="125">
        <f t="shared" si="106"/>
        <v>150</v>
      </c>
      <c r="B153" s="126" t="str">
        <f t="shared" si="1"/>
        <v>#REF!</v>
      </c>
      <c r="C153" s="140" t="str">
        <f>'Calculateur (1)'!C152+'Scénario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3" s="127">
        <f t="shared" si="107"/>
        <v>0</v>
      </c>
      <c r="E153" s="127" t="str">
        <f t="shared" si="2"/>
        <v>#REF!</v>
      </c>
      <c r="F153" s="127" t="str">
        <f t="shared" si="3"/>
        <v>#REF!</v>
      </c>
      <c r="G153" s="127" t="str">
        <f t="shared" si="4"/>
        <v>#REF!</v>
      </c>
      <c r="H153" s="128" t="str">
        <f t="shared" si="5"/>
        <v>#REF!</v>
      </c>
      <c r="I153" s="129" t="str">
        <f t="shared" si="6"/>
        <v>#REF!</v>
      </c>
      <c r="J153" s="130">
        <f t="shared" si="7"/>
        <v>10</v>
      </c>
      <c r="K153" s="131" t="str">
        <f t="shared" si="108"/>
        <v>#REF!</v>
      </c>
      <c r="L153" s="131" t="str">
        <f t="shared" si="8"/>
        <v>#REF!</v>
      </c>
      <c r="M153" s="131" t="str">
        <f t="array" ref="M153">INDEX(L:L,MIN(IF(ISNUMBER(L153:L349),ROW(L153:L349),"")))</f>
        <v/>
      </c>
      <c r="N153" s="130" t="str">
        <f t="shared" si="109"/>
        <v>#REF!</v>
      </c>
      <c r="O153" s="130" t="str">
        <f>N153*VLOOKUP('Données projet (1)'!$B$9,'Paramètres (1)'!$A$1:$I$88,3,0)*VLOOKUP('Données projet (1)'!$B$9,'Paramètres (1)'!$A$1:$I$88,5,0)</f>
        <v>#REF!</v>
      </c>
      <c r="P153" s="130" t="str">
        <f t="shared" si="110"/>
        <v>#REF!</v>
      </c>
      <c r="Q153" s="141" t="str">
        <f t="shared" si="9"/>
        <v>#REF!</v>
      </c>
      <c r="R153" s="133" t="str">
        <f t="shared" si="10"/>
        <v>#REF!</v>
      </c>
      <c r="S153" s="133" t="str">
        <f t="shared" si="11"/>
        <v>#REF!</v>
      </c>
      <c r="T153" s="133" t="str">
        <f t="shared" si="111"/>
        <v>#REF!</v>
      </c>
      <c r="U153" s="134" t="str">
        <f t="shared" si="12"/>
        <v>#REF!</v>
      </c>
      <c r="V153" s="134" t="str">
        <f t="shared" si="13"/>
        <v>#REF!</v>
      </c>
      <c r="W153" s="135" t="str">
        <f>IF(ISNA(VLOOKUP(A153,'Données projet (1)'!$A$35:$I$55,5,0)),0%,VLOOKUP(A153,'Données projet (1)'!$A$35:$I$55,5,0)*VLOOKUP('Données projet (1)'!$B$9,'Paramètres (1)'!$A$1:$I$88,7,0))</f>
        <v>#REF!</v>
      </c>
      <c r="X153" s="135" t="str">
        <f>IF(ISNA(VLOOKUP(A153,'Données projet (1)'!$A$35:$I$55,6,0)),0%,VLOOKUP(A153,'Données projet (1)'!$A$35:$I$55,6,0)*VLOOKUP('Données projet (1)'!$B$9,'Paramètres (1)'!$A$1:$I$88,7,0))</f>
        <v>#REF!</v>
      </c>
      <c r="Y153" s="135" t="str">
        <f t="shared" si="14"/>
        <v>#REF!</v>
      </c>
      <c r="Z153" s="142" t="str">
        <f>EXP(-LN(2)/35)*Z152+(1-EXP(-LN(2)/35))/(LN(2)/35)*V153*W153*VLOOKUP('Données projet (1)'!$B$9,'Paramètres (1)'!$A$1:$I$88,3,0)*0.475*44/12</f>
        <v>#REF!</v>
      </c>
      <c r="AA153" s="142" t="str">
        <f>EXP(-LN(2)/25)*AA152+(1-EXP(-LN(2)/25))/(LN(2)/25)*'Calculateur (1)'!V153*'Calculateur (1)'!X153*VLOOKUP('Données projet (1)'!$B$9,'Paramètres (1)'!$A$1:$I$88,3,0)*0.475*44/12</f>
        <v>#REF!</v>
      </c>
      <c r="AB153" s="142" t="str">
        <f>EXP(-LN(2)/2)*AB152+(1-EXP(-LN(2)/2))/(LN(2)/2)*V153*Y153*VLOOKUP('Données projet (1)'!$B$9,'Paramètres (1)'!$A$1:$I$88,3,0)*0.475*44/12</f>
        <v>#REF!</v>
      </c>
      <c r="AC153" s="143" t="str">
        <f t="shared" si="15"/>
        <v>#REF!</v>
      </c>
      <c r="AD153" s="130" t="str">
        <f t="shared" si="16"/>
        <v>#REF!</v>
      </c>
      <c r="AE153" s="130">
        <f t="shared" si="17"/>
        <v>10</v>
      </c>
      <c r="AF153" s="131" t="str">
        <f t="shared" si="112"/>
        <v>#REF!</v>
      </c>
      <c r="AG153" s="131" t="str">
        <f t="shared" si="18"/>
        <v>#REF!</v>
      </c>
      <c r="AH153" s="131" t="str">
        <f t="array" ref="AH153">INDEX(AG:AG,MIN(IF(ISNUMBER(AG153:AG349),ROW(AG153:AG349),"")))</f>
        <v/>
      </c>
      <c r="AI153" s="130" t="str">
        <f t="shared" si="113"/>
        <v>#REF!</v>
      </c>
      <c r="AJ153" s="130" t="str">
        <f>AI153*VLOOKUP('Données projet (1)'!$B$10,'Paramètres (1)'!$A$1:$I$88,3,0)*VLOOKUP('Données projet (1)'!$B$10,'Paramètres (1)'!$A$1:$I$88,5,0)</f>
        <v>#REF!</v>
      </c>
      <c r="AK153" s="130" t="str">
        <f t="shared" si="114"/>
        <v>#REF!</v>
      </c>
      <c r="AL153" s="141" t="str">
        <f t="shared" si="19"/>
        <v>#REF!</v>
      </c>
      <c r="AM153" s="133" t="str">
        <f t="shared" si="20"/>
        <v>#REF!</v>
      </c>
      <c r="AN153" s="133" t="str">
        <f t="shared" si="21"/>
        <v>#REF!</v>
      </c>
      <c r="AO153" s="133" t="str">
        <f t="shared" si="115"/>
        <v>#REF!</v>
      </c>
      <c r="AP153" s="134" t="str">
        <f t="shared" si="22"/>
        <v>#REF!</v>
      </c>
      <c r="AQ153" s="134" t="str">
        <f t="shared" si="23"/>
        <v>#REF!</v>
      </c>
      <c r="AR153" s="135" t="str">
        <f>IF(ISNA(VLOOKUP(A153,'Données projet (1)'!$A$61:$I$81,5,0)),0%,VLOOKUP(A153,'Données projet (1)'!$A$61:$I$81,5,0)*VLOOKUP('Données projet (1)'!$B$10,'Paramètres (1)'!$A$1:$I$88,7,0))</f>
        <v>#REF!</v>
      </c>
      <c r="AS153" s="135" t="str">
        <f>IF(ISNA(VLOOKUP(A153,'Données projet (1)'!$A$61:$I$81,6,0)),0%,VLOOKUP(A153,'Données projet (1)'!$A$61:$I$81,6,0)*VLOOKUP('Données projet (1)'!$B$10,'Paramètres (1)'!$A$1:$I$88,7,0))</f>
        <v>#REF!</v>
      </c>
      <c r="AT153" s="135" t="str">
        <f t="shared" si="24"/>
        <v>#REF!</v>
      </c>
      <c r="AU153" s="142" t="str">
        <f>EXP(-LN(2)/35)*AU152+(1-EXP(-LN(2)/35))/(LN(2)/35)*AQ153*AR153*VLOOKUP('Données projet (1)'!$B$10,'Paramètres (1)'!$A$1:$I$88,3,0)*0.475*44/12</f>
        <v>#REF!</v>
      </c>
      <c r="AV153" s="142" t="str">
        <f>EXP(-LN(2)/25)*AV152+(1-EXP(-LN(2)/25))/(LN(2)/25)*'Calculateur (1)'!AQ153*'Calculateur (1)'!AS153*VLOOKUP('Données projet (1)'!$B$10,'Paramètres (1)'!$A$1:$I$88,3,0)*0.475*44/12</f>
        <v>#REF!</v>
      </c>
      <c r="AW153" s="142" t="str">
        <f>EXP(-LN(2)/2)*AW152+(1-EXP(-LN(2)/2))/(LN(2)/2)*AQ153*AT153*VLOOKUP('Données projet (1)'!$B$10,'Paramètres (1)'!$A$1:$I$88,3,0)*0.475*44/12</f>
        <v>#REF!</v>
      </c>
      <c r="AX153" s="142" t="str">
        <f t="shared" si="25"/>
        <v>#REF!</v>
      </c>
      <c r="AY153" s="137" t="str">
        <f t="shared" si="26"/>
        <v>#REF!</v>
      </c>
      <c r="AZ153" s="131">
        <f t="shared" si="27"/>
        <v>10</v>
      </c>
      <c r="BA153" s="131" t="str">
        <f t="shared" si="116"/>
        <v>#REF!</v>
      </c>
      <c r="BB153" s="131" t="str">
        <f t="shared" si="28"/>
        <v>#REF!</v>
      </c>
      <c r="BC153" s="131" t="str">
        <f t="array" ref="BC153">INDEX(BB:BB,MIN(IF(ISNUMBER(BB153:BB349),ROW(BB153:BB349),"")))</f>
        <v/>
      </c>
      <c r="BD153" s="131" t="str">
        <f t="shared" si="117"/>
        <v>#REF!</v>
      </c>
      <c r="BE153" s="130" t="str">
        <f>BD153*VLOOKUP('Données projet (1)'!$B$11,'Paramètres (1)'!$A$1:$I$88,3,0)*VLOOKUP('Données projet (1)'!$B$11,'Paramètres (1)'!$A$1:$I$88,5,0)</f>
        <v>#REF!</v>
      </c>
      <c r="BF153" s="130" t="str">
        <f t="shared" si="118"/>
        <v>#REF!</v>
      </c>
      <c r="BG153" s="141" t="str">
        <f t="shared" si="29"/>
        <v>#REF!</v>
      </c>
      <c r="BH153" s="133" t="str">
        <f t="shared" si="30"/>
        <v>#REF!</v>
      </c>
      <c r="BI153" s="133" t="str">
        <f t="shared" si="31"/>
        <v>#REF!</v>
      </c>
      <c r="BJ153" s="133" t="str">
        <f t="shared" si="119"/>
        <v>#REF!</v>
      </c>
      <c r="BK153" s="134" t="str">
        <f t="shared" si="32"/>
        <v>#REF!</v>
      </c>
      <c r="BL153" s="134" t="str">
        <f t="shared" si="33"/>
        <v>#REF!</v>
      </c>
      <c r="BM153" s="135" t="str">
        <f>IF(ISNA(VLOOKUP(A153,'Données projet (1)'!$A$87:$I$107,5,0)),0%,VLOOKUP(A153,'Données projet (1)'!$A$87:$I$107,5,0)*VLOOKUP('Données projet (1)'!$B$11,'Paramètres (1)'!$A$1:$I$88,7,0))</f>
        <v>#REF!</v>
      </c>
      <c r="BN153" s="135" t="str">
        <f>IF(ISNA(VLOOKUP(A153,'Données projet (1)'!$A$87:$I$107,6,0)),0%,VLOOKUP(A153,'Données projet (1)'!$A$87:$I$107,6,0)*VLOOKUP('Données projet (1)'!$B$11,'Paramètres (1)'!$A$1:$I$88,7,0))</f>
        <v>#REF!</v>
      </c>
      <c r="BO153" s="135" t="str">
        <f t="shared" si="34"/>
        <v>#REF!</v>
      </c>
      <c r="BP153" s="142" t="str">
        <f>EXP(-LN(2)/35)*BP152+(1-EXP(-LN(2)/35))/(LN(2)/35)*BL153*BM153*VLOOKUP('Données projet (1)'!$B$11,'Paramètres (1)'!$A$1:$I$88,3,0)*0.475*44/12</f>
        <v>#REF!</v>
      </c>
      <c r="BQ153" s="142" t="str">
        <f>EXP(-LN(2)/25)*BQ152+(1-EXP(-LN(2)/25))/(LN(2)/25)*'Calculateur (1)'!BL153*'Calculateur (1)'!BN153*VLOOKUP('Données projet (1)'!$B$11,'Paramètres (1)'!$A$1:$I$88,3,0)*0.475*44/12</f>
        <v>#REF!</v>
      </c>
      <c r="BR153" s="142" t="str">
        <f>EXP(-LN(2)/2)*BR152+(1-EXP(-LN(2)/2))/(LN(2)/2)*BL153*BO153*VLOOKUP('Données projet (1)'!$B$11,'Paramètres (1)'!$A$1:$I$88,3,0)*0.475*44/12</f>
        <v>#REF!</v>
      </c>
      <c r="BS153" s="143" t="str">
        <f t="shared" si="35"/>
        <v>#REF!</v>
      </c>
      <c r="BT153" s="139" t="str">
        <f t="shared" si="36"/>
        <v>#REF!</v>
      </c>
      <c r="BU153" s="131">
        <f t="shared" si="37"/>
        <v>10</v>
      </c>
      <c r="BV153" s="131" t="str">
        <f t="shared" si="120"/>
        <v>#REF!</v>
      </c>
      <c r="BW153" s="131" t="str">
        <f t="shared" si="38"/>
        <v>#REF!</v>
      </c>
      <c r="BX153" s="131" t="str">
        <f t="array" ref="BX153">INDEX(BW:BW,MIN(IF(ISNUMBER(BW153:BW349),ROW(BW153:BW349),"")))</f>
        <v/>
      </c>
      <c r="BY153" s="131" t="str">
        <f t="shared" si="121"/>
        <v>#REF!</v>
      </c>
      <c r="BZ153" s="130" t="str">
        <f>BY153*VLOOKUP('Données projet (1)'!$B$12,'Paramètres (1)'!$A$1:$I$88,3,0)*VLOOKUP('Données projet (1)'!$B$12,'Paramètres (1)'!$A$1:$I$88,5,0)</f>
        <v>#REF!</v>
      </c>
      <c r="CA153" s="130" t="str">
        <f t="shared" si="122"/>
        <v>#REF!</v>
      </c>
      <c r="CB153" s="141" t="str">
        <f t="shared" si="39"/>
        <v>#REF!</v>
      </c>
      <c r="CC153" s="133" t="str">
        <f t="shared" si="40"/>
        <v>#REF!</v>
      </c>
      <c r="CD153" s="133" t="str">
        <f t="shared" si="41"/>
        <v>#REF!</v>
      </c>
      <c r="CE153" s="133" t="str">
        <f t="shared" si="123"/>
        <v>#REF!</v>
      </c>
      <c r="CF153" s="134" t="str">
        <f t="shared" si="42"/>
        <v>#REF!</v>
      </c>
      <c r="CG153" s="134" t="str">
        <f t="shared" si="43"/>
        <v>#REF!</v>
      </c>
      <c r="CH153" s="135" t="str">
        <f>IF(ISNA(VLOOKUP(A153,'Données projet (1)'!$A$113:$I$133,5,0)),0%,VLOOKUP(A153,'Données projet (1)'!$A$113:$I$133,5,0)*VLOOKUP('Données projet (1)'!$B$12,'Paramètres (1)'!$A$1:$I$88,7,0))</f>
        <v>#REF!</v>
      </c>
      <c r="CI153" s="135" t="str">
        <f>IF(ISNA(VLOOKUP(A153,'Données projet (1)'!$A$113:$I$133,6,0)),0%,VLOOKUP(A153,'Données projet (1)'!$A$113:$I$133,6,0)*VLOOKUP('Données projet (1)'!$B$12,'Paramètres (1)'!$A$1:$I$88,7,0))</f>
        <v>#REF!</v>
      </c>
      <c r="CJ153" s="135" t="str">
        <f t="shared" si="44"/>
        <v>#REF!</v>
      </c>
      <c r="CK153" s="142" t="str">
        <f>EXP(-LN(2)/35)*CK152+(1-EXP(-LN(2)/35))/(LN(2)/35)*CG153*CH153*VLOOKUP('Données projet (1)'!$B$12,'Paramètres (1)'!$A$1:$I$88,3,0)*0.475*44/12</f>
        <v>#REF!</v>
      </c>
      <c r="CL153" s="142" t="str">
        <f>EXP(-LN(2)/25)*CL152+(1-EXP(-LN(2)/25))/(LN(2)/25)*'Calculateur (1)'!CG153*'Calculateur (1)'!CI153*VLOOKUP('Données projet (1)'!$B$12,'Paramètres (1)'!$A$1:$I$88,3,0)*0.475*44/12</f>
        <v>#REF!</v>
      </c>
      <c r="CM153" s="142" t="str">
        <f>EXP(-LN(2)/2)*CM152+(1-EXP(-LN(2)/2))/(LN(2)/2)*CG153*CJ153*VLOOKUP('Données projet (1)'!$B$12,'Paramètres (1)'!$A$1:$I$88,3,0)*0.475*44/12</f>
        <v>#REF!</v>
      </c>
      <c r="CN153" s="143" t="str">
        <f t="shared" si="45"/>
        <v>#REF!</v>
      </c>
      <c r="CO153" s="139" t="str">
        <f t="shared" si="46"/>
        <v>#REF!</v>
      </c>
      <c r="CP153" s="131">
        <f t="shared" si="47"/>
        <v>10</v>
      </c>
      <c r="CQ153" s="131" t="str">
        <f t="shared" si="124"/>
        <v>#REF!</v>
      </c>
      <c r="CR153" s="131" t="str">
        <f t="shared" si="48"/>
        <v>#REF!</v>
      </c>
      <c r="CS153" s="131" t="str">
        <f t="array" ref="CS153">INDEX(CR:CR,MIN(IF(ISNUMBER(CR153:CR349),ROW(CR153:CR349),"")))</f>
        <v/>
      </c>
      <c r="CT153" s="131" t="str">
        <f t="shared" si="125"/>
        <v>#REF!</v>
      </c>
      <c r="CU153" s="138" t="str">
        <f>CT153*VLOOKUP('Données projet (1)'!$B$13,'Paramètres (1)'!$A$1:$I$88,3,0)*VLOOKUP('Données projet (1)'!$B$13,'Paramètres (1)'!$A$1:$I$88,5,0)</f>
        <v>#REF!</v>
      </c>
      <c r="CV153" s="130" t="str">
        <f t="shared" si="126"/>
        <v>#REF!</v>
      </c>
      <c r="CW153" s="141" t="str">
        <f t="shared" si="49"/>
        <v>#REF!</v>
      </c>
      <c r="CX153" s="133" t="str">
        <f t="shared" si="50"/>
        <v>#REF!</v>
      </c>
      <c r="CY153" s="133" t="str">
        <f t="shared" si="51"/>
        <v>#REF!</v>
      </c>
      <c r="CZ153" s="133" t="str">
        <f t="shared" si="127"/>
        <v>#REF!</v>
      </c>
      <c r="DA153" s="134" t="str">
        <f t="shared" si="52"/>
        <v>#REF!</v>
      </c>
      <c r="DB153" s="134" t="str">
        <f t="shared" si="53"/>
        <v>#REF!</v>
      </c>
      <c r="DC153" s="135" t="str">
        <f>IF(ISNA(VLOOKUP(A153,'Données projet (1)'!$A$139:$I$159,5,0)),0%,VLOOKUP(A153,'Données projet (1)'!$A$139:$I$159,5,0)*VLOOKUP('Données projet (1)'!$B$13,'Paramètres (1)'!$A$1:$I$88,7,0))</f>
        <v>#REF!</v>
      </c>
      <c r="DD153" s="135" t="str">
        <f>IF(ISNA(VLOOKUP(A153,'Données projet (1)'!$A$139:$I$159,6,0)),0%,VLOOKUP(A153,'Données projet (1)'!$A$139:$I$159,6,0)*VLOOKUP('Données projet (1)'!$B$13,'Paramètres (1)'!$A$1:$I$88,7,0))</f>
        <v>#REF!</v>
      </c>
      <c r="DE153" s="135" t="str">
        <f t="shared" si="54"/>
        <v>#REF!</v>
      </c>
      <c r="DF153" s="142" t="str">
        <f>EXP(-LN(2)/35)*DF152+(1-EXP(-LN(2)/35))/(LN(2)/35)*DB153*DC153*VLOOKUP('Données projet (1)'!$B$13,'Paramètres (1)'!$A$1:$I$88,3,0)*0.475*44/12</f>
        <v>#REF!</v>
      </c>
      <c r="DG153" s="142" t="str">
        <f>EXP(-LN(2)/25)*DG152+(1-EXP(-LN(2)/25))/(LN(2)/25)*'Calculateur (1)'!DB153*'Calculateur (1)'!DD153*VLOOKUP('Données projet (1)'!$B$13,'Paramètres (1)'!$A$1:$I$88,3,0)*0.475*44/12</f>
        <v>#REF!</v>
      </c>
      <c r="DH153" s="142" t="str">
        <f>EXP(-LN(2)/2)*DH152+(1-EXP(-LN(2)/2))/(LN(2)/2)*DB153*DE153*VLOOKUP('Données projet (1)'!$B$13,'Paramètres (1)'!$A$1:$I$88,3,0)*0.475*44/12</f>
        <v>#REF!</v>
      </c>
      <c r="DI153" s="143" t="str">
        <f t="shared" si="55"/>
        <v>#REF!</v>
      </c>
      <c r="DJ153" s="139" t="str">
        <f t="shared" si="56"/>
        <v>#REF!</v>
      </c>
      <c r="DK153" s="131">
        <f t="shared" si="57"/>
        <v>10</v>
      </c>
      <c r="DL153" s="131" t="str">
        <f t="shared" si="128"/>
        <v>#REF!</v>
      </c>
      <c r="DM153" s="131" t="str">
        <f t="shared" si="58"/>
        <v>#REF!</v>
      </c>
      <c r="DN153" s="131" t="str">
        <f t="array" ref="DN153">INDEX(DM:DM,MIN(IF(ISNUMBER(DM153:DM349),ROW(DM153:DM349),"")))</f>
        <v/>
      </c>
      <c r="DO153" s="131" t="str">
        <f t="shared" si="129"/>
        <v>#REF!</v>
      </c>
      <c r="DP153" s="138" t="str">
        <f>DO153*VLOOKUP('Données projet (1)'!$B$14,'Paramètres (1)'!$A$1:$I$88,3,0)*VLOOKUP('Données projet (1)'!$B$14,'Paramètres (1)'!$A$1:$I$88,5,0)</f>
        <v>#REF!</v>
      </c>
      <c r="DQ153" s="130" t="str">
        <f t="shared" si="130"/>
        <v>#REF!</v>
      </c>
      <c r="DR153" s="141" t="str">
        <f t="shared" si="59"/>
        <v>#REF!</v>
      </c>
      <c r="DS153" s="133" t="str">
        <f t="shared" si="60"/>
        <v>#REF!</v>
      </c>
      <c r="DT153" s="133" t="str">
        <f t="shared" si="61"/>
        <v>#REF!</v>
      </c>
      <c r="DU153" s="133" t="str">
        <f t="shared" si="131"/>
        <v>#REF!</v>
      </c>
      <c r="DV153" s="134" t="str">
        <f t="shared" si="62"/>
        <v>#REF!</v>
      </c>
      <c r="DW153" s="134" t="str">
        <f t="shared" si="63"/>
        <v>#REF!</v>
      </c>
      <c r="DX153" s="135" t="str">
        <f>IF(ISNA(VLOOKUP(A153,'Données projet (1)'!$A$165:$I$185,5,0)),0%,VLOOKUP(A153,'Données projet (1)'!$A$165:$I$185,5,0)*VLOOKUP('Données projet (1)'!$B$14,'Paramètres (1)'!$A$1:$I$88,7,0))</f>
        <v>#REF!</v>
      </c>
      <c r="DY153" s="135" t="str">
        <f>IF(ISNA(VLOOKUP(A153,'Données projet (1)'!$A$165:$I$185,6,0)),0%,VLOOKUP(A153,'Données projet (1)'!$A$165:$I$185,6,0)*VLOOKUP('Données projet (1)'!$B$14,'Paramètres (1)'!$A$1:$I$88,7,0))</f>
        <v>#REF!</v>
      </c>
      <c r="DZ153" s="135" t="str">
        <f t="shared" si="64"/>
        <v>#REF!</v>
      </c>
      <c r="EA153" s="142" t="str">
        <f>EXP(-LN(2)/35)*EA152+(1-EXP(-LN(2)/35))/(LN(2)/35)*DW153*DX153*VLOOKUP('Données projet (1)'!$B$14,'Paramètres (1)'!$A$1:$I$88,3,0)*0.475*44/12</f>
        <v>#REF!</v>
      </c>
      <c r="EB153" s="142" t="str">
        <f>EXP(-LN(2)/25)*EB152+(1-EXP(-LN(2)/25))/(LN(2)/25)*'Calculateur (1)'!DW153*'Calculateur (1)'!DY153*VLOOKUP('Données projet (1)'!$B$14,'Paramètres (1)'!$A$1:$I$88,3,0)*0.475*44/12</f>
        <v>#REF!</v>
      </c>
      <c r="EC153" s="142" t="str">
        <f>EXP(-LN(2)/2)*EC152+(1-EXP(-LN(2)/2))/(LN(2)/2)*DW153*DZ153*VLOOKUP('Données projet (1)'!$B$14,'Paramètres (1)'!$A$1:$I$88,3,0)*0.475*44/12</f>
        <v>#REF!</v>
      </c>
      <c r="ED153" s="143" t="str">
        <f t="shared" si="65"/>
        <v>#REF!</v>
      </c>
      <c r="EE153" s="139" t="str">
        <f t="shared" si="66"/>
        <v>#REF!</v>
      </c>
      <c r="EF153" s="131">
        <f t="shared" si="67"/>
        <v>10</v>
      </c>
      <c r="EG153" s="131" t="str">
        <f t="shared" si="132"/>
        <v>#REF!</v>
      </c>
      <c r="EH153" s="131" t="str">
        <f t="shared" si="68"/>
        <v>#REF!</v>
      </c>
      <c r="EI153" s="131" t="str">
        <f t="array" ref="EI153">INDEX(EH:EH,MIN(IF(ISNUMBER(EH153:EH349),ROW(EH153:EH349),"")))</f>
        <v/>
      </c>
      <c r="EJ153" s="131" t="str">
        <f t="shared" si="133"/>
        <v>#REF!</v>
      </c>
      <c r="EK153" s="138" t="str">
        <f>EJ153*VLOOKUP('Données projet (1)'!$B$15,'Paramètres (1)'!$A$1:$I$88,3,0)*VLOOKUP('Données projet (1)'!$B$15,'Paramètres (1)'!$A$1:$I$88,5,0)</f>
        <v>#REF!</v>
      </c>
      <c r="EL153" s="130" t="str">
        <f t="shared" si="134"/>
        <v>#REF!</v>
      </c>
      <c r="EM153" s="141" t="str">
        <f t="shared" si="69"/>
        <v>#REF!</v>
      </c>
      <c r="EN153" s="133" t="str">
        <f t="shared" si="70"/>
        <v>#REF!</v>
      </c>
      <c r="EO153" s="133" t="str">
        <f t="shared" si="71"/>
        <v>#REF!</v>
      </c>
      <c r="EP153" s="133" t="str">
        <f t="shared" si="135"/>
        <v>#REF!</v>
      </c>
      <c r="EQ153" s="134" t="str">
        <f t="shared" si="72"/>
        <v>#REF!</v>
      </c>
      <c r="ER153" s="134" t="str">
        <f t="shared" si="73"/>
        <v>#REF!</v>
      </c>
      <c r="ES153" s="135" t="str">
        <f>IF(ISNA(VLOOKUP(A153,'Données projet (1)'!$A$191:$I$211,5,0)),0%,VLOOKUP(A153,'Données projet (1)'!$A$191:$I$211,5,0)*VLOOKUP('Données projet (1)'!$B$15,'Paramètres (1)'!$A$1:$I$88,7,0))</f>
        <v>#REF!</v>
      </c>
      <c r="ET153" s="135" t="str">
        <f>IF(ISNA(VLOOKUP(A153,'Données projet (1)'!$A$191:$I$211,6,0)),0%,VLOOKUP(A153,'Données projet (1)'!$A$191:$I$211,6,0)*VLOOKUP('Données projet (1)'!$B$15,'Paramètres (1)'!$A$1:$I$88,7,0))</f>
        <v>#REF!</v>
      </c>
      <c r="EU153" s="135" t="str">
        <f t="shared" si="74"/>
        <v>#REF!</v>
      </c>
      <c r="EV153" s="142" t="str">
        <f>EXP(-LN(2)/35)*EV152+(1-EXP(-LN(2)/35))/(LN(2)/35)*ER153*ES153*VLOOKUP('Données projet (1)'!$B$15,'Paramètres (1)'!$A$1:$I$88,3,0)*0.475*44/12</f>
        <v>#REF!</v>
      </c>
      <c r="EW153" s="142" t="str">
        <f>EXP(-LN(2)/25)*EW152+(1-EXP(-LN(2)/25))/(LN(2)/25)*'Calculateur (1)'!ER153*'Calculateur (1)'!ET153*VLOOKUP('Données projet (1)'!$B$15,'Paramètres (1)'!$A$1:$I$88,3,0)*0.475*44/12</f>
        <v>#REF!</v>
      </c>
      <c r="EX153" s="142" t="str">
        <f>EXP(-LN(2)/2)*EX152+(1-EXP(-LN(2)/2))/(LN(2)/2)*ER153*EU153*VLOOKUP('Données projet (1)'!$B$15,'Paramètres (1)'!$A$1:$I$88,3,0)*0.475*44/12</f>
        <v>#REF!</v>
      </c>
      <c r="EY153" s="143" t="str">
        <f t="shared" si="75"/>
        <v>#REF!</v>
      </c>
      <c r="EZ153" s="139" t="str">
        <f t="shared" si="76"/>
        <v>#REF!</v>
      </c>
      <c r="FA153" s="131">
        <f t="shared" si="77"/>
        <v>10</v>
      </c>
      <c r="FB153" s="131" t="str">
        <f t="shared" si="136"/>
        <v>#REF!</v>
      </c>
      <c r="FC153" s="131" t="str">
        <f t="shared" si="78"/>
        <v>#REF!</v>
      </c>
      <c r="FD153" s="131" t="str">
        <f t="array" ref="FD153">INDEX(FC:FC,MIN(IF(ISNUMBER(FC153:FC349),ROW(FC153:FC349),"")))</f>
        <v/>
      </c>
      <c r="FE153" s="131" t="str">
        <f t="shared" si="137"/>
        <v>#REF!</v>
      </c>
      <c r="FF153" s="138" t="str">
        <f>FE153*VLOOKUP('Données projet (1)'!$B$16,'Paramètres (1)'!$A$1:$I$88,3,0)*VLOOKUP('Données projet (1)'!$B$16,'Paramètres (1)'!$A$1:$I$88,5,0)</f>
        <v>#REF!</v>
      </c>
      <c r="FG153" s="130" t="str">
        <f t="shared" si="138"/>
        <v>#REF!</v>
      </c>
      <c r="FH153" s="141" t="str">
        <f t="shared" si="79"/>
        <v>#REF!</v>
      </c>
      <c r="FI153" s="133" t="str">
        <f t="shared" si="80"/>
        <v>#REF!</v>
      </c>
      <c r="FJ153" s="133" t="str">
        <f t="shared" si="81"/>
        <v>#REF!</v>
      </c>
      <c r="FK153" s="133" t="str">
        <f t="shared" si="139"/>
        <v>#REF!</v>
      </c>
      <c r="FL153" s="134" t="str">
        <f t="shared" si="82"/>
        <v>#REF!</v>
      </c>
      <c r="FM153" s="134" t="str">
        <f t="shared" si="83"/>
        <v>#REF!</v>
      </c>
      <c r="FN153" s="135" t="str">
        <f>IF(ISNA(VLOOKUP(A153,'Données projet (1)'!$A$217:$I$237,5,0)),0%,VLOOKUP(A153,'Données projet (1)'!$A$217:$I$237,5,0)*VLOOKUP('Données projet (1)'!$B$16,'Paramètres (1)'!$A$1:$I$88,7,0))</f>
        <v>#REF!</v>
      </c>
      <c r="FO153" s="135" t="str">
        <f>IF(ISNA(VLOOKUP(A153,'Données projet (1)'!$A$217:$I$237,6,0)),0%,VLOOKUP(A153,'Données projet (1)'!$A$217:$I$237,6,0)*VLOOKUP('Données projet (1)'!$B$16,'Paramètres (1)'!$A$1:$I$88,7,0))</f>
        <v>#REF!</v>
      </c>
      <c r="FP153" s="135" t="str">
        <f t="shared" si="84"/>
        <v>#REF!</v>
      </c>
      <c r="FQ153" s="142" t="str">
        <f>EXP(-LN(2)/35)*FQ152+(1-EXP(-LN(2)/35))/(LN(2)/35)*FM153*FN153*VLOOKUP('Données projet (1)'!$B$16,'Paramètres (1)'!$A$1:$I$88,3,0)*0.475*44/12</f>
        <v>#REF!</v>
      </c>
      <c r="FR153" s="142" t="str">
        <f>EXP(-LN(2)/25)*FR152+(1-EXP(-LN(2)/25))/(LN(2)/25)*'Calculateur (1)'!FM153*'Calculateur (1)'!FO153*VLOOKUP('Données projet (1)'!$B$16,'Paramètres (1)'!$A$1:$I$88,3,0)*0.475*44/12</f>
        <v>#REF!</v>
      </c>
      <c r="FS153" s="142" t="str">
        <f>EXP(-LN(2)/2)*FS152+(1-EXP(-LN(2)/2))/(LN(2)/2)*FM153*FP153*VLOOKUP('Données projet (1)'!$B$16,'Paramètres (1)'!$A$1:$I$88,3,0)*0.475*44/12</f>
        <v>#REF!</v>
      </c>
      <c r="FT153" s="143" t="str">
        <f t="shared" si="85"/>
        <v>#REF!</v>
      </c>
      <c r="FU153" s="139" t="str">
        <f t="shared" si="86"/>
        <v>#REF!</v>
      </c>
      <c r="FV153" s="131">
        <f t="shared" si="87"/>
        <v>10</v>
      </c>
      <c r="FW153" s="131" t="str">
        <f t="shared" si="140"/>
        <v>#REF!</v>
      </c>
      <c r="FX153" s="131" t="str">
        <f t="shared" si="88"/>
        <v>#REF!</v>
      </c>
      <c r="FY153" s="131" t="str">
        <f t="array" ref="FY153">INDEX(FX:FX,MIN(IF(ISNUMBER(FX153:FX349),ROW(FX153:FX349),"")))</f>
        <v/>
      </c>
      <c r="FZ153" s="131" t="str">
        <f t="shared" si="141"/>
        <v>#REF!</v>
      </c>
      <c r="GA153" s="138" t="str">
        <f>FZ153*VLOOKUP('Données projet (1)'!$B$17,'Paramètres (1)'!$A$1:$I$88,3,0)*VLOOKUP('Données projet (1)'!$B$17,'Paramètres (1)'!$A$1:$I$88,5,0)</f>
        <v>#REF!</v>
      </c>
      <c r="GB153" s="130" t="str">
        <f t="shared" si="142"/>
        <v>#REF!</v>
      </c>
      <c r="GC153" s="141" t="str">
        <f t="shared" si="89"/>
        <v>#REF!</v>
      </c>
      <c r="GD153" s="133" t="str">
        <f t="shared" si="90"/>
        <v>#REF!</v>
      </c>
      <c r="GE153" s="133" t="str">
        <f t="shared" si="91"/>
        <v>#REF!</v>
      </c>
      <c r="GF153" s="133" t="str">
        <f t="shared" si="143"/>
        <v>#REF!</v>
      </c>
      <c r="GG153" s="134" t="str">
        <f t="shared" si="92"/>
        <v>#REF!</v>
      </c>
      <c r="GH153" s="134" t="str">
        <f t="shared" si="93"/>
        <v>#REF!</v>
      </c>
      <c r="GI153" s="135" t="str">
        <f>IF(ISNA(VLOOKUP(A153,'Données projet (1)'!$A$243:$I$263,5,0)),0%,VLOOKUP(A153,'Données projet (1)'!$A$243:$I$263,5,0)*VLOOKUP('Données projet (1)'!$B$17,'Paramètres (1)'!$A$1:$I$88,7,0))</f>
        <v>#REF!</v>
      </c>
      <c r="GJ153" s="135" t="str">
        <f>IF(ISNA(VLOOKUP(A153,'Données projet (1)'!$A$243:$I$263,6,0)),0%,VLOOKUP(A153,'Données projet (1)'!$A$243:$I$263,6,0)*VLOOKUP('Données projet (1)'!$B$17,'Paramètres (1)'!$A$1:$I$88,7,0))</f>
        <v>#REF!</v>
      </c>
      <c r="GK153" s="135" t="str">
        <f t="shared" si="94"/>
        <v>#REF!</v>
      </c>
      <c r="GL153" s="142" t="str">
        <f>EXP(-LN(2)/35)*GL152+(1-EXP(-LN(2)/35))/(LN(2)/35)*GH153*GI153*VLOOKUP('Données projet (1)'!$B$17,'Paramètres (1)'!$A$1:$I$88,3,0)*0.475*44/12</f>
        <v>#REF!</v>
      </c>
      <c r="GM153" s="142" t="str">
        <f>EXP(-LN(2)/25)*GM152+(1-EXP(-LN(2)/25))/(LN(2)/25)*'Calculateur (1)'!GH153*'Calculateur (1)'!GJ153*VLOOKUP('Données projet (1)'!$B$17,'Paramètres (1)'!$A$1:$I$88,3,0)*0.475*44/12</f>
        <v>#REF!</v>
      </c>
      <c r="GN153" s="142" t="str">
        <f>EXP(-LN(2)/2)*GN152+(1-EXP(-LN(2)/2))/(LN(2)/2)*GH153*GK153*VLOOKUP('Données projet (1)'!$B$17,'Paramètres (1)'!$A$1:$I$88,3,0)*0.475*44/12</f>
        <v>#REF!</v>
      </c>
      <c r="GO153" s="142" t="str">
        <f t="shared" si="95"/>
        <v>#REF!</v>
      </c>
      <c r="GP153" s="139" t="str">
        <f t="shared" si="96"/>
        <v>#REF!</v>
      </c>
      <c r="GQ153" s="131">
        <f t="shared" si="97"/>
        <v>10</v>
      </c>
      <c r="GR153" s="131" t="str">
        <f t="shared" si="144"/>
        <v>#REF!</v>
      </c>
      <c r="GS153" s="131" t="str">
        <f t="shared" si="98"/>
        <v>#REF!</v>
      </c>
      <c r="GT153" s="131" t="str">
        <f t="array" ref="GT153">INDEX(GS:GS,MIN(IF(ISNUMBER(GS153:GS349),ROW(GS153:GS349),"")))</f>
        <v/>
      </c>
      <c r="GU153" s="131" t="str">
        <f t="shared" si="145"/>
        <v>#REF!</v>
      </c>
      <c r="GV153" s="138" t="str">
        <f>GU153*VLOOKUP('Données projet (1)'!$B$18,'Paramètres (1)'!$A$1:$I$88,3,0)*VLOOKUP('Données projet (1)'!$B$18,'Paramètres (1)'!$A$1:$I$88,5,0)</f>
        <v>#REF!</v>
      </c>
      <c r="GW153" s="130" t="str">
        <f t="shared" si="146"/>
        <v>#REF!</v>
      </c>
      <c r="GX153" s="141" t="str">
        <f t="shared" si="99"/>
        <v>#REF!</v>
      </c>
      <c r="GY153" s="133" t="str">
        <f t="shared" si="100"/>
        <v>#REF!</v>
      </c>
      <c r="GZ153" s="133" t="str">
        <f t="shared" si="101"/>
        <v>#REF!</v>
      </c>
      <c r="HA153" s="133" t="str">
        <f t="shared" si="147"/>
        <v>#REF!</v>
      </c>
      <c r="HB153" s="134" t="str">
        <f t="shared" si="102"/>
        <v>#REF!</v>
      </c>
      <c r="HC153" s="134" t="str">
        <f t="shared" si="103"/>
        <v>#REF!</v>
      </c>
      <c r="HD153" s="135" t="str">
        <f>IF(ISNA(VLOOKUP(A153,'Données projet (1)'!$A$269:$I$289,5,0)),0%,VLOOKUP(A153,'Données projet (1)'!$A$269:$I$289,5,0)*VLOOKUP('Données projet (1)'!$B$18,'Paramètres (1)'!$A$1:$I$88,7,0))</f>
        <v>#REF!</v>
      </c>
      <c r="HE153" s="135" t="str">
        <f>IF(ISNA(VLOOKUP(A153,'Données projet (1)'!$A$269:$I$289,6,0)),0%,VLOOKUP(A153,'Données projet (1)'!$A$269:$I$289,6,0)*VLOOKUP('Données projet (1)'!$B$18,'Paramètres (1)'!$A$1:$I$88,7,0))</f>
        <v>#REF!</v>
      </c>
      <c r="HF153" s="135" t="str">
        <f t="shared" si="104"/>
        <v>#REF!</v>
      </c>
      <c r="HG153" s="142" t="str">
        <f>EXP(-LN(2)/35)*HG152+(1-EXP(-LN(2)/35))/(LN(2)/35)*HC153*HD153*VLOOKUP('Données projet (1)'!$B$18,'Paramètres (1)'!$A$1:$I$88,3,0)*0.475*44/12</f>
        <v>#REF!</v>
      </c>
      <c r="HH153" s="142" t="str">
        <f>EXP(-LN(2)/25)*HH152+(1-EXP(-LN(2)/25))/(LN(2)/25)*'Calculateur (1)'!HC153*'Calculateur (1)'!HE153*VLOOKUP('Données projet (1)'!$B$18,'Paramètres (1)'!$A$1:$I$88,3,0)*0.475*44/12</f>
        <v>#REF!</v>
      </c>
      <c r="HI153" s="142" t="str">
        <f>EXP(-LN(2)/2)*HI152+(1-EXP(-LN(2)/2))/(LN(2)/2)*HC153*HF153*VLOOKUP('Données projet (1)'!$B$18,'Paramètres (1)'!$A$1:$I$88,3,0)*0.475*44/12</f>
        <v>#REF!</v>
      </c>
      <c r="HJ153" s="143" t="str">
        <f t="shared" si="105"/>
        <v>#REF!</v>
      </c>
    </row>
    <row r="154" ht="14.25" customHeight="1">
      <c r="A154" s="125">
        <f t="shared" si="106"/>
        <v>151</v>
      </c>
      <c r="B154" s="126" t="str">
        <f t="shared" si="1"/>
        <v>#REF!</v>
      </c>
      <c r="C154" s="140" t="str">
        <f>'Calculateur (1)'!C153+'Scénario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4" s="127">
        <f t="shared" si="107"/>
        <v>0</v>
      </c>
      <c r="E154" s="127" t="str">
        <f t="shared" si="2"/>
        <v>#REF!</v>
      </c>
      <c r="F154" s="127" t="str">
        <f t="shared" si="3"/>
        <v>#REF!</v>
      </c>
      <c r="G154" s="127" t="str">
        <f t="shared" si="4"/>
        <v>#REF!</v>
      </c>
      <c r="H154" s="128" t="str">
        <f t="shared" si="5"/>
        <v>#REF!</v>
      </c>
      <c r="I154" s="129" t="str">
        <f t="shared" si="6"/>
        <v>#REF!</v>
      </c>
      <c r="J154" s="130">
        <f t="shared" si="7"/>
        <v>10</v>
      </c>
      <c r="K154" s="131" t="str">
        <f t="shared" si="108"/>
        <v>#REF!</v>
      </c>
      <c r="L154" s="131" t="str">
        <f t="shared" si="8"/>
        <v>#REF!</v>
      </c>
      <c r="M154" s="131" t="str">
        <f t="array" ref="M154">INDEX(L:L,MIN(IF(ISNUMBER(L154:L350),ROW(L154:L350),"")))</f>
        <v/>
      </c>
      <c r="N154" s="130" t="str">
        <f t="shared" si="109"/>
        <v>#REF!</v>
      </c>
      <c r="O154" s="130" t="str">
        <f>N154*VLOOKUP('Données projet (1)'!$B$9,'Paramètres (1)'!$A$1:$I$88,3,0)*VLOOKUP('Données projet (1)'!$B$9,'Paramètres (1)'!$A$1:$I$88,5,0)</f>
        <v>#REF!</v>
      </c>
      <c r="P154" s="130" t="str">
        <f t="shared" si="110"/>
        <v>#REF!</v>
      </c>
      <c r="Q154" s="141" t="str">
        <f t="shared" si="9"/>
        <v>#REF!</v>
      </c>
      <c r="R154" s="133" t="str">
        <f t="shared" si="10"/>
        <v>#REF!</v>
      </c>
      <c r="S154" s="133" t="str">
        <f t="shared" si="11"/>
        <v>#REF!</v>
      </c>
      <c r="T154" s="133" t="str">
        <f t="shared" si="111"/>
        <v>#REF!</v>
      </c>
      <c r="U154" s="134" t="str">
        <f t="shared" si="12"/>
        <v>#REF!</v>
      </c>
      <c r="V154" s="134" t="str">
        <f t="shared" si="13"/>
        <v>#REF!</v>
      </c>
      <c r="W154" s="135" t="str">
        <f>IF(ISNA(VLOOKUP(A154,'Données projet (1)'!$A$35:$I$55,5,0)),0%,VLOOKUP(A154,'Données projet (1)'!$A$35:$I$55,5,0)*VLOOKUP('Données projet (1)'!$B$9,'Paramètres (1)'!$A$1:$I$88,7,0))</f>
        <v>#REF!</v>
      </c>
      <c r="X154" s="135" t="str">
        <f>IF(ISNA(VLOOKUP(A154,'Données projet (1)'!$A$35:$I$55,6,0)),0%,VLOOKUP(A154,'Données projet (1)'!$A$35:$I$55,6,0)*VLOOKUP('Données projet (1)'!$B$9,'Paramètres (1)'!$A$1:$I$88,7,0))</f>
        <v>#REF!</v>
      </c>
      <c r="Y154" s="135" t="str">
        <f t="shared" si="14"/>
        <v>#REF!</v>
      </c>
      <c r="Z154" s="142" t="str">
        <f>EXP(-LN(2)/35)*Z153+(1-EXP(-LN(2)/35))/(LN(2)/35)*V154*W154*VLOOKUP('Données projet (1)'!$B$9,'Paramètres (1)'!$A$1:$I$88,3,0)*0.475*44/12</f>
        <v>#REF!</v>
      </c>
      <c r="AA154" s="142" t="str">
        <f>EXP(-LN(2)/25)*AA153+(1-EXP(-LN(2)/25))/(LN(2)/25)*'Calculateur (1)'!V154*'Calculateur (1)'!X154*VLOOKUP('Données projet (1)'!$B$9,'Paramètres (1)'!$A$1:$I$88,3,0)*0.475*44/12</f>
        <v>#REF!</v>
      </c>
      <c r="AB154" s="142" t="str">
        <f>EXP(-LN(2)/2)*AB153+(1-EXP(-LN(2)/2))/(LN(2)/2)*V154*Y154*VLOOKUP('Données projet (1)'!$B$9,'Paramètres (1)'!$A$1:$I$88,3,0)*0.475*44/12</f>
        <v>#REF!</v>
      </c>
      <c r="AC154" s="143" t="str">
        <f t="shared" si="15"/>
        <v>#REF!</v>
      </c>
      <c r="AD154" s="130" t="str">
        <f t="shared" si="16"/>
        <v>#REF!</v>
      </c>
      <c r="AE154" s="130">
        <f t="shared" si="17"/>
        <v>10</v>
      </c>
      <c r="AF154" s="131" t="str">
        <f t="shared" si="112"/>
        <v>#REF!</v>
      </c>
      <c r="AG154" s="131" t="str">
        <f t="shared" si="18"/>
        <v>#REF!</v>
      </c>
      <c r="AH154" s="131" t="str">
        <f t="array" ref="AH154">INDEX(AG:AG,MIN(IF(ISNUMBER(AG154:AG350),ROW(AG154:AG350),"")))</f>
        <v/>
      </c>
      <c r="AI154" s="130" t="str">
        <f t="shared" si="113"/>
        <v>#REF!</v>
      </c>
      <c r="AJ154" s="130" t="str">
        <f>AI154*VLOOKUP('Données projet (1)'!$B$10,'Paramètres (1)'!$A$1:$I$88,3,0)*VLOOKUP('Données projet (1)'!$B$10,'Paramètres (1)'!$A$1:$I$88,5,0)</f>
        <v>#REF!</v>
      </c>
      <c r="AK154" s="130" t="str">
        <f t="shared" si="114"/>
        <v>#REF!</v>
      </c>
      <c r="AL154" s="141" t="str">
        <f t="shared" si="19"/>
        <v>#REF!</v>
      </c>
      <c r="AM154" s="133" t="str">
        <f t="shared" si="20"/>
        <v>#REF!</v>
      </c>
      <c r="AN154" s="133" t="str">
        <f t="shared" si="21"/>
        <v>#REF!</v>
      </c>
      <c r="AO154" s="133" t="str">
        <f t="shared" si="115"/>
        <v>#REF!</v>
      </c>
      <c r="AP154" s="134" t="str">
        <f t="shared" si="22"/>
        <v>#REF!</v>
      </c>
      <c r="AQ154" s="134" t="str">
        <f t="shared" si="23"/>
        <v>#REF!</v>
      </c>
      <c r="AR154" s="135" t="str">
        <f>IF(ISNA(VLOOKUP(A154,'Données projet (1)'!$A$61:$I$81,5,0)),0%,VLOOKUP(A154,'Données projet (1)'!$A$61:$I$81,5,0)*VLOOKUP('Données projet (1)'!$B$10,'Paramètres (1)'!$A$1:$I$88,7,0))</f>
        <v>#REF!</v>
      </c>
      <c r="AS154" s="135" t="str">
        <f>IF(ISNA(VLOOKUP(A154,'Données projet (1)'!$A$61:$I$81,6,0)),0%,VLOOKUP(A154,'Données projet (1)'!$A$61:$I$81,6,0)*VLOOKUP('Données projet (1)'!$B$10,'Paramètres (1)'!$A$1:$I$88,7,0))</f>
        <v>#REF!</v>
      </c>
      <c r="AT154" s="135" t="str">
        <f t="shared" si="24"/>
        <v>#REF!</v>
      </c>
      <c r="AU154" s="142" t="str">
        <f>EXP(-LN(2)/35)*AU153+(1-EXP(-LN(2)/35))/(LN(2)/35)*AQ154*AR154*VLOOKUP('Données projet (1)'!$B$10,'Paramètres (1)'!$A$1:$I$88,3,0)*0.475*44/12</f>
        <v>#REF!</v>
      </c>
      <c r="AV154" s="142" t="str">
        <f>EXP(-LN(2)/25)*AV153+(1-EXP(-LN(2)/25))/(LN(2)/25)*'Calculateur (1)'!AQ154*'Calculateur (1)'!AS154*VLOOKUP('Données projet (1)'!$B$10,'Paramètres (1)'!$A$1:$I$88,3,0)*0.475*44/12</f>
        <v>#REF!</v>
      </c>
      <c r="AW154" s="142" t="str">
        <f>EXP(-LN(2)/2)*AW153+(1-EXP(-LN(2)/2))/(LN(2)/2)*AQ154*AT154*VLOOKUP('Données projet (1)'!$B$10,'Paramètres (1)'!$A$1:$I$88,3,0)*0.475*44/12</f>
        <v>#REF!</v>
      </c>
      <c r="AX154" s="142" t="str">
        <f t="shared" si="25"/>
        <v>#REF!</v>
      </c>
      <c r="AY154" s="137" t="str">
        <f t="shared" si="26"/>
        <v>#REF!</v>
      </c>
      <c r="AZ154" s="131">
        <f t="shared" si="27"/>
        <v>10</v>
      </c>
      <c r="BA154" s="131" t="str">
        <f t="shared" si="116"/>
        <v>#REF!</v>
      </c>
      <c r="BB154" s="131" t="str">
        <f t="shared" si="28"/>
        <v>#REF!</v>
      </c>
      <c r="BC154" s="131" t="str">
        <f t="array" ref="BC154">INDEX(BB:BB,MIN(IF(ISNUMBER(BB154:BB350),ROW(BB154:BB350),"")))</f>
        <v/>
      </c>
      <c r="BD154" s="131" t="str">
        <f t="shared" si="117"/>
        <v>#REF!</v>
      </c>
      <c r="BE154" s="130" t="str">
        <f>BD154*VLOOKUP('Données projet (1)'!$B$11,'Paramètres (1)'!$A$1:$I$88,3,0)*VLOOKUP('Données projet (1)'!$B$11,'Paramètres (1)'!$A$1:$I$88,5,0)</f>
        <v>#REF!</v>
      </c>
      <c r="BF154" s="130" t="str">
        <f t="shared" si="118"/>
        <v>#REF!</v>
      </c>
      <c r="BG154" s="141" t="str">
        <f t="shared" si="29"/>
        <v>#REF!</v>
      </c>
      <c r="BH154" s="133" t="str">
        <f t="shared" si="30"/>
        <v>#REF!</v>
      </c>
      <c r="BI154" s="133" t="str">
        <f t="shared" si="31"/>
        <v>#REF!</v>
      </c>
      <c r="BJ154" s="133" t="str">
        <f t="shared" si="119"/>
        <v>#REF!</v>
      </c>
      <c r="BK154" s="134" t="str">
        <f t="shared" si="32"/>
        <v>#REF!</v>
      </c>
      <c r="BL154" s="134" t="str">
        <f t="shared" si="33"/>
        <v>#REF!</v>
      </c>
      <c r="BM154" s="135" t="str">
        <f>IF(ISNA(VLOOKUP(A154,'Données projet (1)'!$A$87:$I$107,5,0)),0%,VLOOKUP(A154,'Données projet (1)'!$A$87:$I$107,5,0)*VLOOKUP('Données projet (1)'!$B$11,'Paramètres (1)'!$A$1:$I$88,7,0))</f>
        <v>#REF!</v>
      </c>
      <c r="BN154" s="135" t="str">
        <f>IF(ISNA(VLOOKUP(A154,'Données projet (1)'!$A$87:$I$107,6,0)),0%,VLOOKUP(A154,'Données projet (1)'!$A$87:$I$107,6,0)*VLOOKUP('Données projet (1)'!$B$11,'Paramètres (1)'!$A$1:$I$88,7,0))</f>
        <v>#REF!</v>
      </c>
      <c r="BO154" s="135" t="str">
        <f t="shared" si="34"/>
        <v>#REF!</v>
      </c>
      <c r="BP154" s="142" t="str">
        <f>EXP(-LN(2)/35)*BP153+(1-EXP(-LN(2)/35))/(LN(2)/35)*BL154*BM154*VLOOKUP('Données projet (1)'!$B$11,'Paramètres (1)'!$A$1:$I$88,3,0)*0.475*44/12</f>
        <v>#REF!</v>
      </c>
      <c r="BQ154" s="142" t="str">
        <f>EXP(-LN(2)/25)*BQ153+(1-EXP(-LN(2)/25))/(LN(2)/25)*'Calculateur (1)'!BL154*'Calculateur (1)'!BN154*VLOOKUP('Données projet (1)'!$B$11,'Paramètres (1)'!$A$1:$I$88,3,0)*0.475*44/12</f>
        <v>#REF!</v>
      </c>
      <c r="BR154" s="142" t="str">
        <f>EXP(-LN(2)/2)*BR153+(1-EXP(-LN(2)/2))/(LN(2)/2)*BL154*BO154*VLOOKUP('Données projet (1)'!$B$11,'Paramètres (1)'!$A$1:$I$88,3,0)*0.475*44/12</f>
        <v>#REF!</v>
      </c>
      <c r="BS154" s="143" t="str">
        <f t="shared" si="35"/>
        <v>#REF!</v>
      </c>
      <c r="BT154" s="139" t="str">
        <f t="shared" si="36"/>
        <v>#REF!</v>
      </c>
      <c r="BU154" s="131">
        <f t="shared" si="37"/>
        <v>10</v>
      </c>
      <c r="BV154" s="131" t="str">
        <f t="shared" si="120"/>
        <v>#REF!</v>
      </c>
      <c r="BW154" s="131" t="str">
        <f t="shared" si="38"/>
        <v>#REF!</v>
      </c>
      <c r="BX154" s="131" t="str">
        <f t="array" ref="BX154">INDEX(BW:BW,MIN(IF(ISNUMBER(BW154:BW350),ROW(BW154:BW350),"")))</f>
        <v/>
      </c>
      <c r="BY154" s="131" t="str">
        <f t="shared" si="121"/>
        <v>#REF!</v>
      </c>
      <c r="BZ154" s="130" t="str">
        <f>BY154*VLOOKUP('Données projet (1)'!$B$12,'Paramètres (1)'!$A$1:$I$88,3,0)*VLOOKUP('Données projet (1)'!$B$12,'Paramètres (1)'!$A$1:$I$88,5,0)</f>
        <v>#REF!</v>
      </c>
      <c r="CA154" s="130" t="str">
        <f t="shared" si="122"/>
        <v>#REF!</v>
      </c>
      <c r="CB154" s="141" t="str">
        <f t="shared" si="39"/>
        <v>#REF!</v>
      </c>
      <c r="CC154" s="133" t="str">
        <f t="shared" si="40"/>
        <v>#REF!</v>
      </c>
      <c r="CD154" s="133" t="str">
        <f t="shared" si="41"/>
        <v>#REF!</v>
      </c>
      <c r="CE154" s="133" t="str">
        <f t="shared" si="123"/>
        <v>#REF!</v>
      </c>
      <c r="CF154" s="134" t="str">
        <f t="shared" si="42"/>
        <v>#REF!</v>
      </c>
      <c r="CG154" s="134" t="str">
        <f t="shared" si="43"/>
        <v>#REF!</v>
      </c>
      <c r="CH154" s="135" t="str">
        <f>IF(ISNA(VLOOKUP(A154,'Données projet (1)'!$A$113:$I$133,5,0)),0%,VLOOKUP(A154,'Données projet (1)'!$A$113:$I$133,5,0)*VLOOKUP('Données projet (1)'!$B$12,'Paramètres (1)'!$A$1:$I$88,7,0))</f>
        <v>#REF!</v>
      </c>
      <c r="CI154" s="135" t="str">
        <f>IF(ISNA(VLOOKUP(A154,'Données projet (1)'!$A$113:$I$133,6,0)),0%,VLOOKUP(A154,'Données projet (1)'!$A$113:$I$133,6,0)*VLOOKUP('Données projet (1)'!$B$12,'Paramètres (1)'!$A$1:$I$88,7,0))</f>
        <v>#REF!</v>
      </c>
      <c r="CJ154" s="135" t="str">
        <f t="shared" si="44"/>
        <v>#REF!</v>
      </c>
      <c r="CK154" s="142" t="str">
        <f>EXP(-LN(2)/35)*CK153+(1-EXP(-LN(2)/35))/(LN(2)/35)*CG154*CH154*VLOOKUP('Données projet (1)'!$B$12,'Paramètres (1)'!$A$1:$I$88,3,0)*0.475*44/12</f>
        <v>#REF!</v>
      </c>
      <c r="CL154" s="142" t="str">
        <f>EXP(-LN(2)/25)*CL153+(1-EXP(-LN(2)/25))/(LN(2)/25)*'Calculateur (1)'!CG154*'Calculateur (1)'!CI154*VLOOKUP('Données projet (1)'!$B$12,'Paramètres (1)'!$A$1:$I$88,3,0)*0.475*44/12</f>
        <v>#REF!</v>
      </c>
      <c r="CM154" s="142" t="str">
        <f>EXP(-LN(2)/2)*CM153+(1-EXP(-LN(2)/2))/(LN(2)/2)*CG154*CJ154*VLOOKUP('Données projet (1)'!$B$12,'Paramètres (1)'!$A$1:$I$88,3,0)*0.475*44/12</f>
        <v>#REF!</v>
      </c>
      <c r="CN154" s="143" t="str">
        <f t="shared" si="45"/>
        <v>#REF!</v>
      </c>
      <c r="CO154" s="139" t="str">
        <f t="shared" si="46"/>
        <v>#REF!</v>
      </c>
      <c r="CP154" s="131">
        <f t="shared" si="47"/>
        <v>10</v>
      </c>
      <c r="CQ154" s="131" t="str">
        <f t="shared" si="124"/>
        <v>#REF!</v>
      </c>
      <c r="CR154" s="131" t="str">
        <f t="shared" si="48"/>
        <v>#REF!</v>
      </c>
      <c r="CS154" s="131" t="str">
        <f t="array" ref="CS154">INDEX(CR:CR,MIN(IF(ISNUMBER(CR154:CR350),ROW(CR154:CR350),"")))</f>
        <v/>
      </c>
      <c r="CT154" s="131" t="str">
        <f t="shared" si="125"/>
        <v>#REF!</v>
      </c>
      <c r="CU154" s="138" t="str">
        <f>CT154*VLOOKUP('Données projet (1)'!$B$13,'Paramètres (1)'!$A$1:$I$88,3,0)*VLOOKUP('Données projet (1)'!$B$13,'Paramètres (1)'!$A$1:$I$88,5,0)</f>
        <v>#REF!</v>
      </c>
      <c r="CV154" s="130" t="str">
        <f t="shared" si="126"/>
        <v>#REF!</v>
      </c>
      <c r="CW154" s="141" t="str">
        <f t="shared" si="49"/>
        <v>#REF!</v>
      </c>
      <c r="CX154" s="133" t="str">
        <f t="shared" si="50"/>
        <v>#REF!</v>
      </c>
      <c r="CY154" s="133" t="str">
        <f t="shared" si="51"/>
        <v>#REF!</v>
      </c>
      <c r="CZ154" s="133" t="str">
        <f t="shared" si="127"/>
        <v>#REF!</v>
      </c>
      <c r="DA154" s="134" t="str">
        <f t="shared" si="52"/>
        <v>#REF!</v>
      </c>
      <c r="DB154" s="134" t="str">
        <f t="shared" si="53"/>
        <v>#REF!</v>
      </c>
      <c r="DC154" s="135" t="str">
        <f>IF(ISNA(VLOOKUP(A154,'Données projet (1)'!$A$139:$I$159,5,0)),0%,VLOOKUP(A154,'Données projet (1)'!$A$139:$I$159,5,0)*VLOOKUP('Données projet (1)'!$B$13,'Paramètres (1)'!$A$1:$I$88,7,0))</f>
        <v>#REF!</v>
      </c>
      <c r="DD154" s="135" t="str">
        <f>IF(ISNA(VLOOKUP(A154,'Données projet (1)'!$A$139:$I$159,6,0)),0%,VLOOKUP(A154,'Données projet (1)'!$A$139:$I$159,6,0)*VLOOKUP('Données projet (1)'!$B$13,'Paramètres (1)'!$A$1:$I$88,7,0))</f>
        <v>#REF!</v>
      </c>
      <c r="DE154" s="135" t="str">
        <f t="shared" si="54"/>
        <v>#REF!</v>
      </c>
      <c r="DF154" s="142" t="str">
        <f>EXP(-LN(2)/35)*DF153+(1-EXP(-LN(2)/35))/(LN(2)/35)*DB154*DC154*VLOOKUP('Données projet (1)'!$B$13,'Paramètres (1)'!$A$1:$I$88,3,0)*0.475*44/12</f>
        <v>#REF!</v>
      </c>
      <c r="DG154" s="142" t="str">
        <f>EXP(-LN(2)/25)*DG153+(1-EXP(-LN(2)/25))/(LN(2)/25)*'Calculateur (1)'!DB154*'Calculateur (1)'!DD154*VLOOKUP('Données projet (1)'!$B$13,'Paramètres (1)'!$A$1:$I$88,3,0)*0.475*44/12</f>
        <v>#REF!</v>
      </c>
      <c r="DH154" s="142" t="str">
        <f>EXP(-LN(2)/2)*DH153+(1-EXP(-LN(2)/2))/(LN(2)/2)*DB154*DE154*VLOOKUP('Données projet (1)'!$B$13,'Paramètres (1)'!$A$1:$I$88,3,0)*0.475*44/12</f>
        <v>#REF!</v>
      </c>
      <c r="DI154" s="143" t="str">
        <f t="shared" si="55"/>
        <v>#REF!</v>
      </c>
      <c r="DJ154" s="139" t="str">
        <f t="shared" si="56"/>
        <v>#REF!</v>
      </c>
      <c r="DK154" s="131">
        <f t="shared" si="57"/>
        <v>10</v>
      </c>
      <c r="DL154" s="131" t="str">
        <f t="shared" si="128"/>
        <v>#REF!</v>
      </c>
      <c r="DM154" s="131" t="str">
        <f t="shared" si="58"/>
        <v>#REF!</v>
      </c>
      <c r="DN154" s="131" t="str">
        <f t="array" ref="DN154">INDEX(DM:DM,MIN(IF(ISNUMBER(DM154:DM350),ROW(DM154:DM350),"")))</f>
        <v/>
      </c>
      <c r="DO154" s="131" t="str">
        <f t="shared" si="129"/>
        <v>#REF!</v>
      </c>
      <c r="DP154" s="138" t="str">
        <f>DO154*VLOOKUP('Données projet (1)'!$B$14,'Paramètres (1)'!$A$1:$I$88,3,0)*VLOOKUP('Données projet (1)'!$B$14,'Paramètres (1)'!$A$1:$I$88,5,0)</f>
        <v>#REF!</v>
      </c>
      <c r="DQ154" s="130" t="str">
        <f t="shared" si="130"/>
        <v>#REF!</v>
      </c>
      <c r="DR154" s="141" t="str">
        <f t="shared" si="59"/>
        <v>#REF!</v>
      </c>
      <c r="DS154" s="133" t="str">
        <f t="shared" si="60"/>
        <v>#REF!</v>
      </c>
      <c r="DT154" s="133" t="str">
        <f t="shared" si="61"/>
        <v>#REF!</v>
      </c>
      <c r="DU154" s="133" t="str">
        <f t="shared" si="131"/>
        <v>#REF!</v>
      </c>
      <c r="DV154" s="134" t="str">
        <f t="shared" si="62"/>
        <v>#REF!</v>
      </c>
      <c r="DW154" s="134" t="str">
        <f t="shared" si="63"/>
        <v>#REF!</v>
      </c>
      <c r="DX154" s="135" t="str">
        <f>IF(ISNA(VLOOKUP(A154,'Données projet (1)'!$A$165:$I$185,5,0)),0%,VLOOKUP(A154,'Données projet (1)'!$A$165:$I$185,5,0)*VLOOKUP('Données projet (1)'!$B$14,'Paramètres (1)'!$A$1:$I$88,7,0))</f>
        <v>#REF!</v>
      </c>
      <c r="DY154" s="135" t="str">
        <f>IF(ISNA(VLOOKUP(A154,'Données projet (1)'!$A$165:$I$185,6,0)),0%,VLOOKUP(A154,'Données projet (1)'!$A$165:$I$185,6,0)*VLOOKUP('Données projet (1)'!$B$14,'Paramètres (1)'!$A$1:$I$88,7,0))</f>
        <v>#REF!</v>
      </c>
      <c r="DZ154" s="135" t="str">
        <f t="shared" si="64"/>
        <v>#REF!</v>
      </c>
      <c r="EA154" s="142" t="str">
        <f>EXP(-LN(2)/35)*EA153+(1-EXP(-LN(2)/35))/(LN(2)/35)*DW154*DX154*VLOOKUP('Données projet (1)'!$B$14,'Paramètres (1)'!$A$1:$I$88,3,0)*0.475*44/12</f>
        <v>#REF!</v>
      </c>
      <c r="EB154" s="142" t="str">
        <f>EXP(-LN(2)/25)*EB153+(1-EXP(-LN(2)/25))/(LN(2)/25)*'Calculateur (1)'!DW154*'Calculateur (1)'!DY154*VLOOKUP('Données projet (1)'!$B$14,'Paramètres (1)'!$A$1:$I$88,3,0)*0.475*44/12</f>
        <v>#REF!</v>
      </c>
      <c r="EC154" s="142" t="str">
        <f>EXP(-LN(2)/2)*EC153+(1-EXP(-LN(2)/2))/(LN(2)/2)*DW154*DZ154*VLOOKUP('Données projet (1)'!$B$14,'Paramètres (1)'!$A$1:$I$88,3,0)*0.475*44/12</f>
        <v>#REF!</v>
      </c>
      <c r="ED154" s="143" t="str">
        <f t="shared" si="65"/>
        <v>#REF!</v>
      </c>
      <c r="EE154" s="139" t="str">
        <f t="shared" si="66"/>
        <v>#REF!</v>
      </c>
      <c r="EF154" s="131">
        <f t="shared" si="67"/>
        <v>10</v>
      </c>
      <c r="EG154" s="131" t="str">
        <f t="shared" si="132"/>
        <v>#REF!</v>
      </c>
      <c r="EH154" s="131" t="str">
        <f t="shared" si="68"/>
        <v>#REF!</v>
      </c>
      <c r="EI154" s="131" t="str">
        <f t="array" ref="EI154">INDEX(EH:EH,MIN(IF(ISNUMBER(EH154:EH350),ROW(EH154:EH350),"")))</f>
        <v/>
      </c>
      <c r="EJ154" s="131" t="str">
        <f t="shared" si="133"/>
        <v>#REF!</v>
      </c>
      <c r="EK154" s="138" t="str">
        <f>EJ154*VLOOKUP('Données projet (1)'!$B$15,'Paramètres (1)'!$A$1:$I$88,3,0)*VLOOKUP('Données projet (1)'!$B$15,'Paramètres (1)'!$A$1:$I$88,5,0)</f>
        <v>#REF!</v>
      </c>
      <c r="EL154" s="130" t="str">
        <f t="shared" si="134"/>
        <v>#REF!</v>
      </c>
      <c r="EM154" s="141" t="str">
        <f t="shared" si="69"/>
        <v>#REF!</v>
      </c>
      <c r="EN154" s="133" t="str">
        <f t="shared" si="70"/>
        <v>#REF!</v>
      </c>
      <c r="EO154" s="133" t="str">
        <f t="shared" si="71"/>
        <v>#REF!</v>
      </c>
      <c r="EP154" s="133" t="str">
        <f t="shared" si="135"/>
        <v>#REF!</v>
      </c>
      <c r="EQ154" s="134" t="str">
        <f t="shared" si="72"/>
        <v>#REF!</v>
      </c>
      <c r="ER154" s="134" t="str">
        <f t="shared" si="73"/>
        <v>#REF!</v>
      </c>
      <c r="ES154" s="135" t="str">
        <f>IF(ISNA(VLOOKUP(A154,'Données projet (1)'!$A$191:$I$211,5,0)),0%,VLOOKUP(A154,'Données projet (1)'!$A$191:$I$211,5,0)*VLOOKUP('Données projet (1)'!$B$15,'Paramètres (1)'!$A$1:$I$88,7,0))</f>
        <v>#REF!</v>
      </c>
      <c r="ET154" s="135" t="str">
        <f>IF(ISNA(VLOOKUP(A154,'Données projet (1)'!$A$191:$I$211,6,0)),0%,VLOOKUP(A154,'Données projet (1)'!$A$191:$I$211,6,0)*VLOOKUP('Données projet (1)'!$B$15,'Paramètres (1)'!$A$1:$I$88,7,0))</f>
        <v>#REF!</v>
      </c>
      <c r="EU154" s="135" t="str">
        <f t="shared" si="74"/>
        <v>#REF!</v>
      </c>
      <c r="EV154" s="142" t="str">
        <f>EXP(-LN(2)/35)*EV153+(1-EXP(-LN(2)/35))/(LN(2)/35)*ER154*ES154*VLOOKUP('Données projet (1)'!$B$15,'Paramètres (1)'!$A$1:$I$88,3,0)*0.475*44/12</f>
        <v>#REF!</v>
      </c>
      <c r="EW154" s="142" t="str">
        <f>EXP(-LN(2)/25)*EW153+(1-EXP(-LN(2)/25))/(LN(2)/25)*'Calculateur (1)'!ER154*'Calculateur (1)'!ET154*VLOOKUP('Données projet (1)'!$B$15,'Paramètres (1)'!$A$1:$I$88,3,0)*0.475*44/12</f>
        <v>#REF!</v>
      </c>
      <c r="EX154" s="142" t="str">
        <f>EXP(-LN(2)/2)*EX153+(1-EXP(-LN(2)/2))/(LN(2)/2)*ER154*EU154*VLOOKUP('Données projet (1)'!$B$15,'Paramètres (1)'!$A$1:$I$88,3,0)*0.475*44/12</f>
        <v>#REF!</v>
      </c>
      <c r="EY154" s="143" t="str">
        <f t="shared" si="75"/>
        <v>#REF!</v>
      </c>
      <c r="EZ154" s="139" t="str">
        <f t="shared" si="76"/>
        <v>#REF!</v>
      </c>
      <c r="FA154" s="131">
        <f t="shared" si="77"/>
        <v>10</v>
      </c>
      <c r="FB154" s="131" t="str">
        <f t="shared" si="136"/>
        <v>#REF!</v>
      </c>
      <c r="FC154" s="131" t="str">
        <f t="shared" si="78"/>
        <v>#REF!</v>
      </c>
      <c r="FD154" s="131" t="str">
        <f t="array" ref="FD154">INDEX(FC:FC,MIN(IF(ISNUMBER(FC154:FC350),ROW(FC154:FC350),"")))</f>
        <v/>
      </c>
      <c r="FE154" s="131" t="str">
        <f t="shared" si="137"/>
        <v>#REF!</v>
      </c>
      <c r="FF154" s="138" t="str">
        <f>FE154*VLOOKUP('Données projet (1)'!$B$16,'Paramètres (1)'!$A$1:$I$88,3,0)*VLOOKUP('Données projet (1)'!$B$16,'Paramètres (1)'!$A$1:$I$88,5,0)</f>
        <v>#REF!</v>
      </c>
      <c r="FG154" s="130" t="str">
        <f t="shared" si="138"/>
        <v>#REF!</v>
      </c>
      <c r="FH154" s="141" t="str">
        <f t="shared" si="79"/>
        <v>#REF!</v>
      </c>
      <c r="FI154" s="133" t="str">
        <f t="shared" si="80"/>
        <v>#REF!</v>
      </c>
      <c r="FJ154" s="133" t="str">
        <f t="shared" si="81"/>
        <v>#REF!</v>
      </c>
      <c r="FK154" s="133" t="str">
        <f t="shared" si="139"/>
        <v>#REF!</v>
      </c>
      <c r="FL154" s="134" t="str">
        <f t="shared" si="82"/>
        <v>#REF!</v>
      </c>
      <c r="FM154" s="134" t="str">
        <f t="shared" si="83"/>
        <v>#REF!</v>
      </c>
      <c r="FN154" s="135" t="str">
        <f>IF(ISNA(VLOOKUP(A154,'Données projet (1)'!$A$217:$I$237,5,0)),0%,VLOOKUP(A154,'Données projet (1)'!$A$217:$I$237,5,0)*VLOOKUP('Données projet (1)'!$B$16,'Paramètres (1)'!$A$1:$I$88,7,0))</f>
        <v>#REF!</v>
      </c>
      <c r="FO154" s="135" t="str">
        <f>IF(ISNA(VLOOKUP(A154,'Données projet (1)'!$A$217:$I$237,6,0)),0%,VLOOKUP(A154,'Données projet (1)'!$A$217:$I$237,6,0)*VLOOKUP('Données projet (1)'!$B$16,'Paramètres (1)'!$A$1:$I$88,7,0))</f>
        <v>#REF!</v>
      </c>
      <c r="FP154" s="135" t="str">
        <f t="shared" si="84"/>
        <v>#REF!</v>
      </c>
      <c r="FQ154" s="142" t="str">
        <f>EXP(-LN(2)/35)*FQ153+(1-EXP(-LN(2)/35))/(LN(2)/35)*FM154*FN154*VLOOKUP('Données projet (1)'!$B$16,'Paramètres (1)'!$A$1:$I$88,3,0)*0.475*44/12</f>
        <v>#REF!</v>
      </c>
      <c r="FR154" s="142" t="str">
        <f>EXP(-LN(2)/25)*FR153+(1-EXP(-LN(2)/25))/(LN(2)/25)*'Calculateur (1)'!FM154*'Calculateur (1)'!FO154*VLOOKUP('Données projet (1)'!$B$16,'Paramètres (1)'!$A$1:$I$88,3,0)*0.475*44/12</f>
        <v>#REF!</v>
      </c>
      <c r="FS154" s="142" t="str">
        <f>EXP(-LN(2)/2)*FS153+(1-EXP(-LN(2)/2))/(LN(2)/2)*FM154*FP154*VLOOKUP('Données projet (1)'!$B$16,'Paramètres (1)'!$A$1:$I$88,3,0)*0.475*44/12</f>
        <v>#REF!</v>
      </c>
      <c r="FT154" s="143" t="str">
        <f t="shared" si="85"/>
        <v>#REF!</v>
      </c>
      <c r="FU154" s="139" t="str">
        <f t="shared" si="86"/>
        <v>#REF!</v>
      </c>
      <c r="FV154" s="131">
        <f t="shared" si="87"/>
        <v>10</v>
      </c>
      <c r="FW154" s="131" t="str">
        <f t="shared" si="140"/>
        <v>#REF!</v>
      </c>
      <c r="FX154" s="131" t="str">
        <f t="shared" si="88"/>
        <v>#REF!</v>
      </c>
      <c r="FY154" s="131" t="str">
        <f t="array" ref="FY154">INDEX(FX:FX,MIN(IF(ISNUMBER(FX154:FX350),ROW(FX154:FX350),"")))</f>
        <v/>
      </c>
      <c r="FZ154" s="131" t="str">
        <f t="shared" si="141"/>
        <v>#REF!</v>
      </c>
      <c r="GA154" s="138" t="str">
        <f>FZ154*VLOOKUP('Données projet (1)'!$B$17,'Paramètres (1)'!$A$1:$I$88,3,0)*VLOOKUP('Données projet (1)'!$B$17,'Paramètres (1)'!$A$1:$I$88,5,0)</f>
        <v>#REF!</v>
      </c>
      <c r="GB154" s="130" t="str">
        <f t="shared" si="142"/>
        <v>#REF!</v>
      </c>
      <c r="GC154" s="141" t="str">
        <f t="shared" si="89"/>
        <v>#REF!</v>
      </c>
      <c r="GD154" s="133" t="str">
        <f t="shared" si="90"/>
        <v>#REF!</v>
      </c>
      <c r="GE154" s="133" t="str">
        <f t="shared" si="91"/>
        <v>#REF!</v>
      </c>
      <c r="GF154" s="133" t="str">
        <f t="shared" si="143"/>
        <v>#REF!</v>
      </c>
      <c r="GG154" s="134" t="str">
        <f t="shared" si="92"/>
        <v>#REF!</v>
      </c>
      <c r="GH154" s="134" t="str">
        <f t="shared" si="93"/>
        <v>#REF!</v>
      </c>
      <c r="GI154" s="135" t="str">
        <f>IF(ISNA(VLOOKUP(A154,'Données projet (1)'!$A$243:$I$263,5,0)),0%,VLOOKUP(A154,'Données projet (1)'!$A$243:$I$263,5,0)*VLOOKUP('Données projet (1)'!$B$17,'Paramètres (1)'!$A$1:$I$88,7,0))</f>
        <v>#REF!</v>
      </c>
      <c r="GJ154" s="135" t="str">
        <f>IF(ISNA(VLOOKUP(A154,'Données projet (1)'!$A$243:$I$263,6,0)),0%,VLOOKUP(A154,'Données projet (1)'!$A$243:$I$263,6,0)*VLOOKUP('Données projet (1)'!$B$17,'Paramètres (1)'!$A$1:$I$88,7,0))</f>
        <v>#REF!</v>
      </c>
      <c r="GK154" s="135" t="str">
        <f t="shared" si="94"/>
        <v>#REF!</v>
      </c>
      <c r="GL154" s="142" t="str">
        <f>EXP(-LN(2)/35)*GL153+(1-EXP(-LN(2)/35))/(LN(2)/35)*GH154*GI154*VLOOKUP('Données projet (1)'!$B$17,'Paramètres (1)'!$A$1:$I$88,3,0)*0.475*44/12</f>
        <v>#REF!</v>
      </c>
      <c r="GM154" s="142" t="str">
        <f>EXP(-LN(2)/25)*GM153+(1-EXP(-LN(2)/25))/(LN(2)/25)*'Calculateur (1)'!GH154*'Calculateur (1)'!GJ154*VLOOKUP('Données projet (1)'!$B$17,'Paramètres (1)'!$A$1:$I$88,3,0)*0.475*44/12</f>
        <v>#REF!</v>
      </c>
      <c r="GN154" s="142" t="str">
        <f>EXP(-LN(2)/2)*GN153+(1-EXP(-LN(2)/2))/(LN(2)/2)*GH154*GK154*VLOOKUP('Données projet (1)'!$B$17,'Paramètres (1)'!$A$1:$I$88,3,0)*0.475*44/12</f>
        <v>#REF!</v>
      </c>
      <c r="GO154" s="142" t="str">
        <f t="shared" si="95"/>
        <v>#REF!</v>
      </c>
      <c r="GP154" s="139" t="str">
        <f t="shared" si="96"/>
        <v>#REF!</v>
      </c>
      <c r="GQ154" s="131">
        <f t="shared" si="97"/>
        <v>10</v>
      </c>
      <c r="GR154" s="131" t="str">
        <f t="shared" si="144"/>
        <v>#REF!</v>
      </c>
      <c r="GS154" s="131" t="str">
        <f t="shared" si="98"/>
        <v>#REF!</v>
      </c>
      <c r="GT154" s="131" t="str">
        <f t="array" ref="GT154">INDEX(GS:GS,MIN(IF(ISNUMBER(GS154:GS350),ROW(GS154:GS350),"")))</f>
        <v/>
      </c>
      <c r="GU154" s="131" t="str">
        <f t="shared" si="145"/>
        <v>#REF!</v>
      </c>
      <c r="GV154" s="138" t="str">
        <f>GU154*VLOOKUP('Données projet (1)'!$B$18,'Paramètres (1)'!$A$1:$I$88,3,0)*VLOOKUP('Données projet (1)'!$B$18,'Paramètres (1)'!$A$1:$I$88,5,0)</f>
        <v>#REF!</v>
      </c>
      <c r="GW154" s="130" t="str">
        <f t="shared" si="146"/>
        <v>#REF!</v>
      </c>
      <c r="GX154" s="141" t="str">
        <f t="shared" si="99"/>
        <v>#REF!</v>
      </c>
      <c r="GY154" s="133" t="str">
        <f t="shared" si="100"/>
        <v>#REF!</v>
      </c>
      <c r="GZ154" s="133" t="str">
        <f t="shared" si="101"/>
        <v>#REF!</v>
      </c>
      <c r="HA154" s="133" t="str">
        <f t="shared" si="147"/>
        <v>#REF!</v>
      </c>
      <c r="HB154" s="134" t="str">
        <f t="shared" si="102"/>
        <v>#REF!</v>
      </c>
      <c r="HC154" s="134" t="str">
        <f t="shared" si="103"/>
        <v>#REF!</v>
      </c>
      <c r="HD154" s="135" t="str">
        <f>IF(ISNA(VLOOKUP(A154,'Données projet (1)'!$A$269:$I$289,5,0)),0%,VLOOKUP(A154,'Données projet (1)'!$A$269:$I$289,5,0)*VLOOKUP('Données projet (1)'!$B$18,'Paramètres (1)'!$A$1:$I$88,7,0))</f>
        <v>#REF!</v>
      </c>
      <c r="HE154" s="135" t="str">
        <f>IF(ISNA(VLOOKUP(A154,'Données projet (1)'!$A$269:$I$289,6,0)),0%,VLOOKUP(A154,'Données projet (1)'!$A$269:$I$289,6,0)*VLOOKUP('Données projet (1)'!$B$18,'Paramètres (1)'!$A$1:$I$88,7,0))</f>
        <v>#REF!</v>
      </c>
      <c r="HF154" s="135" t="str">
        <f t="shared" si="104"/>
        <v>#REF!</v>
      </c>
      <c r="HG154" s="142" t="str">
        <f>EXP(-LN(2)/35)*HG153+(1-EXP(-LN(2)/35))/(LN(2)/35)*HC154*HD154*VLOOKUP('Données projet (1)'!$B$18,'Paramètres (1)'!$A$1:$I$88,3,0)*0.475*44/12</f>
        <v>#REF!</v>
      </c>
      <c r="HH154" s="142" t="str">
        <f>EXP(-LN(2)/25)*HH153+(1-EXP(-LN(2)/25))/(LN(2)/25)*'Calculateur (1)'!HC154*'Calculateur (1)'!HE154*VLOOKUP('Données projet (1)'!$B$18,'Paramètres (1)'!$A$1:$I$88,3,0)*0.475*44/12</f>
        <v>#REF!</v>
      </c>
      <c r="HI154" s="142" t="str">
        <f>EXP(-LN(2)/2)*HI153+(1-EXP(-LN(2)/2))/(LN(2)/2)*HC154*HF154*VLOOKUP('Données projet (1)'!$B$18,'Paramètres (1)'!$A$1:$I$88,3,0)*0.475*44/12</f>
        <v>#REF!</v>
      </c>
      <c r="HJ154" s="143" t="str">
        <f t="shared" si="105"/>
        <v>#REF!</v>
      </c>
    </row>
    <row r="155" ht="14.25" customHeight="1">
      <c r="A155" s="125">
        <f t="shared" si="106"/>
        <v>152</v>
      </c>
      <c r="B155" s="126" t="str">
        <f t="shared" si="1"/>
        <v>#REF!</v>
      </c>
      <c r="C155" s="140" t="str">
        <f>'Calculateur (1)'!C154+'Scénario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5" s="127">
        <f t="shared" si="107"/>
        <v>0</v>
      </c>
      <c r="E155" s="127" t="str">
        <f t="shared" si="2"/>
        <v>#REF!</v>
      </c>
      <c r="F155" s="127" t="str">
        <f t="shared" si="3"/>
        <v>#REF!</v>
      </c>
      <c r="G155" s="127" t="str">
        <f t="shared" si="4"/>
        <v>#REF!</v>
      </c>
      <c r="H155" s="128" t="str">
        <f t="shared" si="5"/>
        <v>#REF!</v>
      </c>
      <c r="I155" s="129" t="str">
        <f t="shared" si="6"/>
        <v>#REF!</v>
      </c>
      <c r="J155" s="130">
        <f t="shared" si="7"/>
        <v>10</v>
      </c>
      <c r="K155" s="131" t="str">
        <f t="shared" si="108"/>
        <v>#REF!</v>
      </c>
      <c r="L155" s="131" t="str">
        <f t="shared" si="8"/>
        <v>#REF!</v>
      </c>
      <c r="M155" s="131" t="str">
        <f t="array" ref="M155">INDEX(L:L,MIN(IF(ISNUMBER(L155:L351),ROW(L155:L351),"")))</f>
        <v/>
      </c>
      <c r="N155" s="130" t="str">
        <f t="shared" si="109"/>
        <v>#REF!</v>
      </c>
      <c r="O155" s="130" t="str">
        <f>N155*VLOOKUP('Données projet (1)'!$B$9,'Paramètres (1)'!$A$1:$I$88,3,0)*VLOOKUP('Données projet (1)'!$B$9,'Paramètres (1)'!$A$1:$I$88,5,0)</f>
        <v>#REF!</v>
      </c>
      <c r="P155" s="130" t="str">
        <f t="shared" si="110"/>
        <v>#REF!</v>
      </c>
      <c r="Q155" s="141" t="str">
        <f t="shared" si="9"/>
        <v>#REF!</v>
      </c>
      <c r="R155" s="133" t="str">
        <f t="shared" si="10"/>
        <v>#REF!</v>
      </c>
      <c r="S155" s="133" t="str">
        <f t="shared" si="11"/>
        <v>#REF!</v>
      </c>
      <c r="T155" s="133" t="str">
        <f t="shared" si="111"/>
        <v>#REF!</v>
      </c>
      <c r="U155" s="134" t="str">
        <f t="shared" si="12"/>
        <v>#REF!</v>
      </c>
      <c r="V155" s="134" t="str">
        <f t="shared" si="13"/>
        <v>#REF!</v>
      </c>
      <c r="W155" s="135" t="str">
        <f>IF(ISNA(VLOOKUP(A155,'Données projet (1)'!$A$35:$I$55,5,0)),0%,VLOOKUP(A155,'Données projet (1)'!$A$35:$I$55,5,0)*VLOOKUP('Données projet (1)'!$B$9,'Paramètres (1)'!$A$1:$I$88,7,0))</f>
        <v>#REF!</v>
      </c>
      <c r="X155" s="135" t="str">
        <f>IF(ISNA(VLOOKUP(A155,'Données projet (1)'!$A$35:$I$55,6,0)),0%,VLOOKUP(A155,'Données projet (1)'!$A$35:$I$55,6,0)*VLOOKUP('Données projet (1)'!$B$9,'Paramètres (1)'!$A$1:$I$88,7,0))</f>
        <v>#REF!</v>
      </c>
      <c r="Y155" s="135" t="str">
        <f t="shared" si="14"/>
        <v>#REF!</v>
      </c>
      <c r="Z155" s="142" t="str">
        <f>EXP(-LN(2)/35)*Z154+(1-EXP(-LN(2)/35))/(LN(2)/35)*V155*W155*VLOOKUP('Données projet (1)'!$B$9,'Paramètres (1)'!$A$1:$I$88,3,0)*0.475*44/12</f>
        <v>#REF!</v>
      </c>
      <c r="AA155" s="142" t="str">
        <f>EXP(-LN(2)/25)*AA154+(1-EXP(-LN(2)/25))/(LN(2)/25)*'Calculateur (1)'!V155*'Calculateur (1)'!X155*VLOOKUP('Données projet (1)'!$B$9,'Paramètres (1)'!$A$1:$I$88,3,0)*0.475*44/12</f>
        <v>#REF!</v>
      </c>
      <c r="AB155" s="142" t="str">
        <f>EXP(-LN(2)/2)*AB154+(1-EXP(-LN(2)/2))/(LN(2)/2)*V155*Y155*VLOOKUP('Données projet (1)'!$B$9,'Paramètres (1)'!$A$1:$I$88,3,0)*0.475*44/12</f>
        <v>#REF!</v>
      </c>
      <c r="AC155" s="143" t="str">
        <f t="shared" si="15"/>
        <v>#REF!</v>
      </c>
      <c r="AD155" s="130" t="str">
        <f t="shared" si="16"/>
        <v>#REF!</v>
      </c>
      <c r="AE155" s="130">
        <f t="shared" si="17"/>
        <v>10</v>
      </c>
      <c r="AF155" s="131" t="str">
        <f t="shared" si="112"/>
        <v>#REF!</v>
      </c>
      <c r="AG155" s="131" t="str">
        <f t="shared" si="18"/>
        <v>#REF!</v>
      </c>
      <c r="AH155" s="131" t="str">
        <f t="array" ref="AH155">INDEX(AG:AG,MIN(IF(ISNUMBER(AG155:AG351),ROW(AG155:AG351),"")))</f>
        <v/>
      </c>
      <c r="AI155" s="130" t="str">
        <f t="shared" si="113"/>
        <v>#REF!</v>
      </c>
      <c r="AJ155" s="130" t="str">
        <f>AI155*VLOOKUP('Données projet (1)'!$B$10,'Paramètres (1)'!$A$1:$I$88,3,0)*VLOOKUP('Données projet (1)'!$B$10,'Paramètres (1)'!$A$1:$I$88,5,0)</f>
        <v>#REF!</v>
      </c>
      <c r="AK155" s="130" t="str">
        <f t="shared" si="114"/>
        <v>#REF!</v>
      </c>
      <c r="AL155" s="141" t="str">
        <f t="shared" si="19"/>
        <v>#REF!</v>
      </c>
      <c r="AM155" s="133" t="str">
        <f t="shared" si="20"/>
        <v>#REF!</v>
      </c>
      <c r="AN155" s="133" t="str">
        <f t="shared" si="21"/>
        <v>#REF!</v>
      </c>
      <c r="AO155" s="133" t="str">
        <f t="shared" si="115"/>
        <v>#REF!</v>
      </c>
      <c r="AP155" s="134" t="str">
        <f t="shared" si="22"/>
        <v>#REF!</v>
      </c>
      <c r="AQ155" s="134" t="str">
        <f t="shared" si="23"/>
        <v>#REF!</v>
      </c>
      <c r="AR155" s="135" t="str">
        <f>IF(ISNA(VLOOKUP(A155,'Données projet (1)'!$A$61:$I$81,5,0)),0%,VLOOKUP(A155,'Données projet (1)'!$A$61:$I$81,5,0)*VLOOKUP('Données projet (1)'!$B$10,'Paramètres (1)'!$A$1:$I$88,7,0))</f>
        <v>#REF!</v>
      </c>
      <c r="AS155" s="135" t="str">
        <f>IF(ISNA(VLOOKUP(A155,'Données projet (1)'!$A$61:$I$81,6,0)),0%,VLOOKUP(A155,'Données projet (1)'!$A$61:$I$81,6,0)*VLOOKUP('Données projet (1)'!$B$10,'Paramètres (1)'!$A$1:$I$88,7,0))</f>
        <v>#REF!</v>
      </c>
      <c r="AT155" s="135" t="str">
        <f t="shared" si="24"/>
        <v>#REF!</v>
      </c>
      <c r="AU155" s="142" t="str">
        <f>EXP(-LN(2)/35)*AU154+(1-EXP(-LN(2)/35))/(LN(2)/35)*AQ155*AR155*VLOOKUP('Données projet (1)'!$B$10,'Paramètres (1)'!$A$1:$I$88,3,0)*0.475*44/12</f>
        <v>#REF!</v>
      </c>
      <c r="AV155" s="142" t="str">
        <f>EXP(-LN(2)/25)*AV154+(1-EXP(-LN(2)/25))/(LN(2)/25)*'Calculateur (1)'!AQ155*'Calculateur (1)'!AS155*VLOOKUP('Données projet (1)'!$B$10,'Paramètres (1)'!$A$1:$I$88,3,0)*0.475*44/12</f>
        <v>#REF!</v>
      </c>
      <c r="AW155" s="142" t="str">
        <f>EXP(-LN(2)/2)*AW154+(1-EXP(-LN(2)/2))/(LN(2)/2)*AQ155*AT155*VLOOKUP('Données projet (1)'!$B$10,'Paramètres (1)'!$A$1:$I$88,3,0)*0.475*44/12</f>
        <v>#REF!</v>
      </c>
      <c r="AX155" s="142" t="str">
        <f t="shared" si="25"/>
        <v>#REF!</v>
      </c>
      <c r="AY155" s="137" t="str">
        <f t="shared" si="26"/>
        <v>#REF!</v>
      </c>
      <c r="AZ155" s="131">
        <f t="shared" si="27"/>
        <v>10</v>
      </c>
      <c r="BA155" s="131" t="str">
        <f t="shared" si="116"/>
        <v>#REF!</v>
      </c>
      <c r="BB155" s="131" t="str">
        <f t="shared" si="28"/>
        <v>#REF!</v>
      </c>
      <c r="BC155" s="131" t="str">
        <f t="array" ref="BC155">INDEX(BB:BB,MIN(IF(ISNUMBER(BB155:BB351),ROW(BB155:BB351),"")))</f>
        <v/>
      </c>
      <c r="BD155" s="131" t="str">
        <f t="shared" si="117"/>
        <v>#REF!</v>
      </c>
      <c r="BE155" s="130" t="str">
        <f>BD155*VLOOKUP('Données projet (1)'!$B$11,'Paramètres (1)'!$A$1:$I$88,3,0)*VLOOKUP('Données projet (1)'!$B$11,'Paramètres (1)'!$A$1:$I$88,5,0)</f>
        <v>#REF!</v>
      </c>
      <c r="BF155" s="130" t="str">
        <f t="shared" si="118"/>
        <v>#REF!</v>
      </c>
      <c r="BG155" s="141" t="str">
        <f t="shared" si="29"/>
        <v>#REF!</v>
      </c>
      <c r="BH155" s="133" t="str">
        <f t="shared" si="30"/>
        <v>#REF!</v>
      </c>
      <c r="BI155" s="133" t="str">
        <f t="shared" si="31"/>
        <v>#REF!</v>
      </c>
      <c r="BJ155" s="133" t="str">
        <f t="shared" si="119"/>
        <v>#REF!</v>
      </c>
      <c r="BK155" s="134" t="str">
        <f t="shared" si="32"/>
        <v>#REF!</v>
      </c>
      <c r="BL155" s="134" t="str">
        <f t="shared" si="33"/>
        <v>#REF!</v>
      </c>
      <c r="BM155" s="135" t="str">
        <f>IF(ISNA(VLOOKUP(A155,'Données projet (1)'!$A$87:$I$107,5,0)),0%,VLOOKUP(A155,'Données projet (1)'!$A$87:$I$107,5,0)*VLOOKUP('Données projet (1)'!$B$11,'Paramètres (1)'!$A$1:$I$88,7,0))</f>
        <v>#REF!</v>
      </c>
      <c r="BN155" s="135" t="str">
        <f>IF(ISNA(VLOOKUP(A155,'Données projet (1)'!$A$87:$I$107,6,0)),0%,VLOOKUP(A155,'Données projet (1)'!$A$87:$I$107,6,0)*VLOOKUP('Données projet (1)'!$B$11,'Paramètres (1)'!$A$1:$I$88,7,0))</f>
        <v>#REF!</v>
      </c>
      <c r="BO155" s="135" t="str">
        <f t="shared" si="34"/>
        <v>#REF!</v>
      </c>
      <c r="BP155" s="142" t="str">
        <f>EXP(-LN(2)/35)*BP154+(1-EXP(-LN(2)/35))/(LN(2)/35)*BL155*BM155*VLOOKUP('Données projet (1)'!$B$11,'Paramètres (1)'!$A$1:$I$88,3,0)*0.475*44/12</f>
        <v>#REF!</v>
      </c>
      <c r="BQ155" s="142" t="str">
        <f>EXP(-LN(2)/25)*BQ154+(1-EXP(-LN(2)/25))/(LN(2)/25)*'Calculateur (1)'!BL155*'Calculateur (1)'!BN155*VLOOKUP('Données projet (1)'!$B$11,'Paramètres (1)'!$A$1:$I$88,3,0)*0.475*44/12</f>
        <v>#REF!</v>
      </c>
      <c r="BR155" s="142" t="str">
        <f>EXP(-LN(2)/2)*BR154+(1-EXP(-LN(2)/2))/(LN(2)/2)*BL155*BO155*VLOOKUP('Données projet (1)'!$B$11,'Paramètres (1)'!$A$1:$I$88,3,0)*0.475*44/12</f>
        <v>#REF!</v>
      </c>
      <c r="BS155" s="143" t="str">
        <f t="shared" si="35"/>
        <v>#REF!</v>
      </c>
      <c r="BT155" s="139" t="str">
        <f t="shared" si="36"/>
        <v>#REF!</v>
      </c>
      <c r="BU155" s="131">
        <f t="shared" si="37"/>
        <v>10</v>
      </c>
      <c r="BV155" s="131" t="str">
        <f t="shared" si="120"/>
        <v>#REF!</v>
      </c>
      <c r="BW155" s="131" t="str">
        <f t="shared" si="38"/>
        <v>#REF!</v>
      </c>
      <c r="BX155" s="131" t="str">
        <f t="array" ref="BX155">INDEX(BW:BW,MIN(IF(ISNUMBER(BW155:BW351),ROW(BW155:BW351),"")))</f>
        <v/>
      </c>
      <c r="BY155" s="131" t="str">
        <f t="shared" si="121"/>
        <v>#REF!</v>
      </c>
      <c r="BZ155" s="130" t="str">
        <f>BY155*VLOOKUP('Données projet (1)'!$B$12,'Paramètres (1)'!$A$1:$I$88,3,0)*VLOOKUP('Données projet (1)'!$B$12,'Paramètres (1)'!$A$1:$I$88,5,0)</f>
        <v>#REF!</v>
      </c>
      <c r="CA155" s="130" t="str">
        <f t="shared" si="122"/>
        <v>#REF!</v>
      </c>
      <c r="CB155" s="141" t="str">
        <f t="shared" si="39"/>
        <v>#REF!</v>
      </c>
      <c r="CC155" s="133" t="str">
        <f t="shared" si="40"/>
        <v>#REF!</v>
      </c>
      <c r="CD155" s="133" t="str">
        <f t="shared" si="41"/>
        <v>#REF!</v>
      </c>
      <c r="CE155" s="133" t="str">
        <f t="shared" si="123"/>
        <v>#REF!</v>
      </c>
      <c r="CF155" s="134" t="str">
        <f t="shared" si="42"/>
        <v>#REF!</v>
      </c>
      <c r="CG155" s="134" t="str">
        <f t="shared" si="43"/>
        <v>#REF!</v>
      </c>
      <c r="CH155" s="135" t="str">
        <f>IF(ISNA(VLOOKUP(A155,'Données projet (1)'!$A$113:$I$133,5,0)),0%,VLOOKUP(A155,'Données projet (1)'!$A$113:$I$133,5,0)*VLOOKUP('Données projet (1)'!$B$12,'Paramètres (1)'!$A$1:$I$88,7,0))</f>
        <v>#REF!</v>
      </c>
      <c r="CI155" s="135" t="str">
        <f>IF(ISNA(VLOOKUP(A155,'Données projet (1)'!$A$113:$I$133,6,0)),0%,VLOOKUP(A155,'Données projet (1)'!$A$113:$I$133,6,0)*VLOOKUP('Données projet (1)'!$B$12,'Paramètres (1)'!$A$1:$I$88,7,0))</f>
        <v>#REF!</v>
      </c>
      <c r="CJ155" s="135" t="str">
        <f t="shared" si="44"/>
        <v>#REF!</v>
      </c>
      <c r="CK155" s="142" t="str">
        <f>EXP(-LN(2)/35)*CK154+(1-EXP(-LN(2)/35))/(LN(2)/35)*CG155*CH155*VLOOKUP('Données projet (1)'!$B$12,'Paramètres (1)'!$A$1:$I$88,3,0)*0.475*44/12</f>
        <v>#REF!</v>
      </c>
      <c r="CL155" s="142" t="str">
        <f>EXP(-LN(2)/25)*CL154+(1-EXP(-LN(2)/25))/(LN(2)/25)*'Calculateur (1)'!CG155*'Calculateur (1)'!CI155*VLOOKUP('Données projet (1)'!$B$12,'Paramètres (1)'!$A$1:$I$88,3,0)*0.475*44/12</f>
        <v>#REF!</v>
      </c>
      <c r="CM155" s="142" t="str">
        <f>EXP(-LN(2)/2)*CM154+(1-EXP(-LN(2)/2))/(LN(2)/2)*CG155*CJ155*VLOOKUP('Données projet (1)'!$B$12,'Paramètres (1)'!$A$1:$I$88,3,0)*0.475*44/12</f>
        <v>#REF!</v>
      </c>
      <c r="CN155" s="143" t="str">
        <f t="shared" si="45"/>
        <v>#REF!</v>
      </c>
      <c r="CO155" s="139" t="str">
        <f t="shared" si="46"/>
        <v>#REF!</v>
      </c>
      <c r="CP155" s="131">
        <f t="shared" si="47"/>
        <v>10</v>
      </c>
      <c r="CQ155" s="131" t="str">
        <f t="shared" si="124"/>
        <v>#REF!</v>
      </c>
      <c r="CR155" s="131" t="str">
        <f t="shared" si="48"/>
        <v>#REF!</v>
      </c>
      <c r="CS155" s="131" t="str">
        <f t="array" ref="CS155">INDEX(CR:CR,MIN(IF(ISNUMBER(CR155:CR351),ROW(CR155:CR351),"")))</f>
        <v/>
      </c>
      <c r="CT155" s="131" t="str">
        <f t="shared" si="125"/>
        <v>#REF!</v>
      </c>
      <c r="CU155" s="138" t="str">
        <f>CT155*VLOOKUP('Données projet (1)'!$B$13,'Paramètres (1)'!$A$1:$I$88,3,0)*VLOOKUP('Données projet (1)'!$B$13,'Paramètres (1)'!$A$1:$I$88,5,0)</f>
        <v>#REF!</v>
      </c>
      <c r="CV155" s="130" t="str">
        <f t="shared" si="126"/>
        <v>#REF!</v>
      </c>
      <c r="CW155" s="141" t="str">
        <f t="shared" si="49"/>
        <v>#REF!</v>
      </c>
      <c r="CX155" s="133" t="str">
        <f t="shared" si="50"/>
        <v>#REF!</v>
      </c>
      <c r="CY155" s="133" t="str">
        <f t="shared" si="51"/>
        <v>#REF!</v>
      </c>
      <c r="CZ155" s="133" t="str">
        <f t="shared" si="127"/>
        <v>#REF!</v>
      </c>
      <c r="DA155" s="134" t="str">
        <f t="shared" si="52"/>
        <v>#REF!</v>
      </c>
      <c r="DB155" s="134" t="str">
        <f t="shared" si="53"/>
        <v>#REF!</v>
      </c>
      <c r="DC155" s="135" t="str">
        <f>IF(ISNA(VLOOKUP(A155,'Données projet (1)'!$A$139:$I$159,5,0)),0%,VLOOKUP(A155,'Données projet (1)'!$A$139:$I$159,5,0)*VLOOKUP('Données projet (1)'!$B$13,'Paramètres (1)'!$A$1:$I$88,7,0))</f>
        <v>#REF!</v>
      </c>
      <c r="DD155" s="135" t="str">
        <f>IF(ISNA(VLOOKUP(A155,'Données projet (1)'!$A$139:$I$159,6,0)),0%,VLOOKUP(A155,'Données projet (1)'!$A$139:$I$159,6,0)*VLOOKUP('Données projet (1)'!$B$13,'Paramètres (1)'!$A$1:$I$88,7,0))</f>
        <v>#REF!</v>
      </c>
      <c r="DE155" s="135" t="str">
        <f t="shared" si="54"/>
        <v>#REF!</v>
      </c>
      <c r="DF155" s="142" t="str">
        <f>EXP(-LN(2)/35)*DF154+(1-EXP(-LN(2)/35))/(LN(2)/35)*DB155*DC155*VLOOKUP('Données projet (1)'!$B$13,'Paramètres (1)'!$A$1:$I$88,3,0)*0.475*44/12</f>
        <v>#REF!</v>
      </c>
      <c r="DG155" s="142" t="str">
        <f>EXP(-LN(2)/25)*DG154+(1-EXP(-LN(2)/25))/(LN(2)/25)*'Calculateur (1)'!DB155*'Calculateur (1)'!DD155*VLOOKUP('Données projet (1)'!$B$13,'Paramètres (1)'!$A$1:$I$88,3,0)*0.475*44/12</f>
        <v>#REF!</v>
      </c>
      <c r="DH155" s="142" t="str">
        <f>EXP(-LN(2)/2)*DH154+(1-EXP(-LN(2)/2))/(LN(2)/2)*DB155*DE155*VLOOKUP('Données projet (1)'!$B$13,'Paramètres (1)'!$A$1:$I$88,3,0)*0.475*44/12</f>
        <v>#REF!</v>
      </c>
      <c r="DI155" s="143" t="str">
        <f t="shared" si="55"/>
        <v>#REF!</v>
      </c>
      <c r="DJ155" s="139" t="str">
        <f t="shared" si="56"/>
        <v>#REF!</v>
      </c>
      <c r="DK155" s="131">
        <f t="shared" si="57"/>
        <v>10</v>
      </c>
      <c r="DL155" s="131" t="str">
        <f t="shared" si="128"/>
        <v>#REF!</v>
      </c>
      <c r="DM155" s="131" t="str">
        <f t="shared" si="58"/>
        <v>#REF!</v>
      </c>
      <c r="DN155" s="131" t="str">
        <f t="array" ref="DN155">INDEX(DM:DM,MIN(IF(ISNUMBER(DM155:DM351),ROW(DM155:DM351),"")))</f>
        <v/>
      </c>
      <c r="DO155" s="131" t="str">
        <f t="shared" si="129"/>
        <v>#REF!</v>
      </c>
      <c r="DP155" s="138" t="str">
        <f>DO155*VLOOKUP('Données projet (1)'!$B$14,'Paramètres (1)'!$A$1:$I$88,3,0)*VLOOKUP('Données projet (1)'!$B$14,'Paramètres (1)'!$A$1:$I$88,5,0)</f>
        <v>#REF!</v>
      </c>
      <c r="DQ155" s="130" t="str">
        <f t="shared" si="130"/>
        <v>#REF!</v>
      </c>
      <c r="DR155" s="141" t="str">
        <f t="shared" si="59"/>
        <v>#REF!</v>
      </c>
      <c r="DS155" s="133" t="str">
        <f t="shared" si="60"/>
        <v>#REF!</v>
      </c>
      <c r="DT155" s="133" t="str">
        <f t="shared" si="61"/>
        <v>#REF!</v>
      </c>
      <c r="DU155" s="133" t="str">
        <f t="shared" si="131"/>
        <v>#REF!</v>
      </c>
      <c r="DV155" s="134" t="str">
        <f t="shared" si="62"/>
        <v>#REF!</v>
      </c>
      <c r="DW155" s="134" t="str">
        <f t="shared" si="63"/>
        <v>#REF!</v>
      </c>
      <c r="DX155" s="135" t="str">
        <f>IF(ISNA(VLOOKUP(A155,'Données projet (1)'!$A$165:$I$185,5,0)),0%,VLOOKUP(A155,'Données projet (1)'!$A$165:$I$185,5,0)*VLOOKUP('Données projet (1)'!$B$14,'Paramètres (1)'!$A$1:$I$88,7,0))</f>
        <v>#REF!</v>
      </c>
      <c r="DY155" s="135" t="str">
        <f>IF(ISNA(VLOOKUP(A155,'Données projet (1)'!$A$165:$I$185,6,0)),0%,VLOOKUP(A155,'Données projet (1)'!$A$165:$I$185,6,0)*VLOOKUP('Données projet (1)'!$B$14,'Paramètres (1)'!$A$1:$I$88,7,0))</f>
        <v>#REF!</v>
      </c>
      <c r="DZ155" s="135" t="str">
        <f t="shared" si="64"/>
        <v>#REF!</v>
      </c>
      <c r="EA155" s="142" t="str">
        <f>EXP(-LN(2)/35)*EA154+(1-EXP(-LN(2)/35))/(LN(2)/35)*DW155*DX155*VLOOKUP('Données projet (1)'!$B$14,'Paramètres (1)'!$A$1:$I$88,3,0)*0.475*44/12</f>
        <v>#REF!</v>
      </c>
      <c r="EB155" s="142" t="str">
        <f>EXP(-LN(2)/25)*EB154+(1-EXP(-LN(2)/25))/(LN(2)/25)*'Calculateur (1)'!DW155*'Calculateur (1)'!DY155*VLOOKUP('Données projet (1)'!$B$14,'Paramètres (1)'!$A$1:$I$88,3,0)*0.475*44/12</f>
        <v>#REF!</v>
      </c>
      <c r="EC155" s="142" t="str">
        <f>EXP(-LN(2)/2)*EC154+(1-EXP(-LN(2)/2))/(LN(2)/2)*DW155*DZ155*VLOOKUP('Données projet (1)'!$B$14,'Paramètres (1)'!$A$1:$I$88,3,0)*0.475*44/12</f>
        <v>#REF!</v>
      </c>
      <c r="ED155" s="143" t="str">
        <f t="shared" si="65"/>
        <v>#REF!</v>
      </c>
      <c r="EE155" s="139" t="str">
        <f t="shared" si="66"/>
        <v>#REF!</v>
      </c>
      <c r="EF155" s="131">
        <f t="shared" si="67"/>
        <v>10</v>
      </c>
      <c r="EG155" s="131" t="str">
        <f t="shared" si="132"/>
        <v>#REF!</v>
      </c>
      <c r="EH155" s="131" t="str">
        <f t="shared" si="68"/>
        <v>#REF!</v>
      </c>
      <c r="EI155" s="131" t="str">
        <f t="array" ref="EI155">INDEX(EH:EH,MIN(IF(ISNUMBER(EH155:EH351),ROW(EH155:EH351),"")))</f>
        <v/>
      </c>
      <c r="EJ155" s="131" t="str">
        <f t="shared" si="133"/>
        <v>#REF!</v>
      </c>
      <c r="EK155" s="138" t="str">
        <f>EJ155*VLOOKUP('Données projet (1)'!$B$15,'Paramètres (1)'!$A$1:$I$88,3,0)*VLOOKUP('Données projet (1)'!$B$15,'Paramètres (1)'!$A$1:$I$88,5,0)</f>
        <v>#REF!</v>
      </c>
      <c r="EL155" s="130" t="str">
        <f t="shared" si="134"/>
        <v>#REF!</v>
      </c>
      <c r="EM155" s="141" t="str">
        <f t="shared" si="69"/>
        <v>#REF!</v>
      </c>
      <c r="EN155" s="133" t="str">
        <f t="shared" si="70"/>
        <v>#REF!</v>
      </c>
      <c r="EO155" s="133" t="str">
        <f t="shared" si="71"/>
        <v>#REF!</v>
      </c>
      <c r="EP155" s="133" t="str">
        <f t="shared" si="135"/>
        <v>#REF!</v>
      </c>
      <c r="EQ155" s="134" t="str">
        <f t="shared" si="72"/>
        <v>#REF!</v>
      </c>
      <c r="ER155" s="134" t="str">
        <f t="shared" si="73"/>
        <v>#REF!</v>
      </c>
      <c r="ES155" s="135" t="str">
        <f>IF(ISNA(VLOOKUP(A155,'Données projet (1)'!$A$191:$I$211,5,0)),0%,VLOOKUP(A155,'Données projet (1)'!$A$191:$I$211,5,0)*VLOOKUP('Données projet (1)'!$B$15,'Paramètres (1)'!$A$1:$I$88,7,0))</f>
        <v>#REF!</v>
      </c>
      <c r="ET155" s="135" t="str">
        <f>IF(ISNA(VLOOKUP(A155,'Données projet (1)'!$A$191:$I$211,6,0)),0%,VLOOKUP(A155,'Données projet (1)'!$A$191:$I$211,6,0)*VLOOKUP('Données projet (1)'!$B$15,'Paramètres (1)'!$A$1:$I$88,7,0))</f>
        <v>#REF!</v>
      </c>
      <c r="EU155" s="135" t="str">
        <f t="shared" si="74"/>
        <v>#REF!</v>
      </c>
      <c r="EV155" s="142" t="str">
        <f>EXP(-LN(2)/35)*EV154+(1-EXP(-LN(2)/35))/(LN(2)/35)*ER155*ES155*VLOOKUP('Données projet (1)'!$B$15,'Paramètres (1)'!$A$1:$I$88,3,0)*0.475*44/12</f>
        <v>#REF!</v>
      </c>
      <c r="EW155" s="142" t="str">
        <f>EXP(-LN(2)/25)*EW154+(1-EXP(-LN(2)/25))/(LN(2)/25)*'Calculateur (1)'!ER155*'Calculateur (1)'!ET155*VLOOKUP('Données projet (1)'!$B$15,'Paramètres (1)'!$A$1:$I$88,3,0)*0.475*44/12</f>
        <v>#REF!</v>
      </c>
      <c r="EX155" s="142" t="str">
        <f>EXP(-LN(2)/2)*EX154+(1-EXP(-LN(2)/2))/(LN(2)/2)*ER155*EU155*VLOOKUP('Données projet (1)'!$B$15,'Paramètres (1)'!$A$1:$I$88,3,0)*0.475*44/12</f>
        <v>#REF!</v>
      </c>
      <c r="EY155" s="143" t="str">
        <f t="shared" si="75"/>
        <v>#REF!</v>
      </c>
      <c r="EZ155" s="139" t="str">
        <f t="shared" si="76"/>
        <v>#REF!</v>
      </c>
      <c r="FA155" s="131">
        <f t="shared" si="77"/>
        <v>10</v>
      </c>
      <c r="FB155" s="131" t="str">
        <f t="shared" si="136"/>
        <v>#REF!</v>
      </c>
      <c r="FC155" s="131" t="str">
        <f t="shared" si="78"/>
        <v>#REF!</v>
      </c>
      <c r="FD155" s="131" t="str">
        <f t="array" ref="FD155">INDEX(FC:FC,MIN(IF(ISNUMBER(FC155:FC351),ROW(FC155:FC351),"")))</f>
        <v/>
      </c>
      <c r="FE155" s="131" t="str">
        <f t="shared" si="137"/>
        <v>#REF!</v>
      </c>
      <c r="FF155" s="138" t="str">
        <f>FE155*VLOOKUP('Données projet (1)'!$B$16,'Paramètres (1)'!$A$1:$I$88,3,0)*VLOOKUP('Données projet (1)'!$B$16,'Paramètres (1)'!$A$1:$I$88,5,0)</f>
        <v>#REF!</v>
      </c>
      <c r="FG155" s="130" t="str">
        <f t="shared" si="138"/>
        <v>#REF!</v>
      </c>
      <c r="FH155" s="141" t="str">
        <f t="shared" si="79"/>
        <v>#REF!</v>
      </c>
      <c r="FI155" s="133" t="str">
        <f t="shared" si="80"/>
        <v>#REF!</v>
      </c>
      <c r="FJ155" s="133" t="str">
        <f t="shared" si="81"/>
        <v>#REF!</v>
      </c>
      <c r="FK155" s="133" t="str">
        <f t="shared" si="139"/>
        <v>#REF!</v>
      </c>
      <c r="FL155" s="134" t="str">
        <f t="shared" si="82"/>
        <v>#REF!</v>
      </c>
      <c r="FM155" s="134" t="str">
        <f t="shared" si="83"/>
        <v>#REF!</v>
      </c>
      <c r="FN155" s="135" t="str">
        <f>IF(ISNA(VLOOKUP(A155,'Données projet (1)'!$A$217:$I$237,5,0)),0%,VLOOKUP(A155,'Données projet (1)'!$A$217:$I$237,5,0)*VLOOKUP('Données projet (1)'!$B$16,'Paramètres (1)'!$A$1:$I$88,7,0))</f>
        <v>#REF!</v>
      </c>
      <c r="FO155" s="135" t="str">
        <f>IF(ISNA(VLOOKUP(A155,'Données projet (1)'!$A$217:$I$237,6,0)),0%,VLOOKUP(A155,'Données projet (1)'!$A$217:$I$237,6,0)*VLOOKUP('Données projet (1)'!$B$16,'Paramètres (1)'!$A$1:$I$88,7,0))</f>
        <v>#REF!</v>
      </c>
      <c r="FP155" s="135" t="str">
        <f t="shared" si="84"/>
        <v>#REF!</v>
      </c>
      <c r="FQ155" s="142" t="str">
        <f>EXP(-LN(2)/35)*FQ154+(1-EXP(-LN(2)/35))/(LN(2)/35)*FM155*FN155*VLOOKUP('Données projet (1)'!$B$16,'Paramètres (1)'!$A$1:$I$88,3,0)*0.475*44/12</f>
        <v>#REF!</v>
      </c>
      <c r="FR155" s="142" t="str">
        <f>EXP(-LN(2)/25)*FR154+(1-EXP(-LN(2)/25))/(LN(2)/25)*'Calculateur (1)'!FM155*'Calculateur (1)'!FO155*VLOOKUP('Données projet (1)'!$B$16,'Paramètres (1)'!$A$1:$I$88,3,0)*0.475*44/12</f>
        <v>#REF!</v>
      </c>
      <c r="FS155" s="142" t="str">
        <f>EXP(-LN(2)/2)*FS154+(1-EXP(-LN(2)/2))/(LN(2)/2)*FM155*FP155*VLOOKUP('Données projet (1)'!$B$16,'Paramètres (1)'!$A$1:$I$88,3,0)*0.475*44/12</f>
        <v>#REF!</v>
      </c>
      <c r="FT155" s="143" t="str">
        <f t="shared" si="85"/>
        <v>#REF!</v>
      </c>
      <c r="FU155" s="139" t="str">
        <f t="shared" si="86"/>
        <v>#REF!</v>
      </c>
      <c r="FV155" s="131">
        <f t="shared" si="87"/>
        <v>10</v>
      </c>
      <c r="FW155" s="131" t="str">
        <f t="shared" si="140"/>
        <v>#REF!</v>
      </c>
      <c r="FX155" s="131" t="str">
        <f t="shared" si="88"/>
        <v>#REF!</v>
      </c>
      <c r="FY155" s="131" t="str">
        <f t="array" ref="FY155">INDEX(FX:FX,MIN(IF(ISNUMBER(FX155:FX351),ROW(FX155:FX351),"")))</f>
        <v/>
      </c>
      <c r="FZ155" s="131" t="str">
        <f t="shared" si="141"/>
        <v>#REF!</v>
      </c>
      <c r="GA155" s="138" t="str">
        <f>FZ155*VLOOKUP('Données projet (1)'!$B$17,'Paramètres (1)'!$A$1:$I$88,3,0)*VLOOKUP('Données projet (1)'!$B$17,'Paramètres (1)'!$A$1:$I$88,5,0)</f>
        <v>#REF!</v>
      </c>
      <c r="GB155" s="130" t="str">
        <f t="shared" si="142"/>
        <v>#REF!</v>
      </c>
      <c r="GC155" s="141" t="str">
        <f t="shared" si="89"/>
        <v>#REF!</v>
      </c>
      <c r="GD155" s="133" t="str">
        <f t="shared" si="90"/>
        <v>#REF!</v>
      </c>
      <c r="GE155" s="133" t="str">
        <f t="shared" si="91"/>
        <v>#REF!</v>
      </c>
      <c r="GF155" s="133" t="str">
        <f t="shared" si="143"/>
        <v>#REF!</v>
      </c>
      <c r="GG155" s="134" t="str">
        <f t="shared" si="92"/>
        <v>#REF!</v>
      </c>
      <c r="GH155" s="134" t="str">
        <f t="shared" si="93"/>
        <v>#REF!</v>
      </c>
      <c r="GI155" s="135" t="str">
        <f>IF(ISNA(VLOOKUP(A155,'Données projet (1)'!$A$243:$I$263,5,0)),0%,VLOOKUP(A155,'Données projet (1)'!$A$243:$I$263,5,0)*VLOOKUP('Données projet (1)'!$B$17,'Paramètres (1)'!$A$1:$I$88,7,0))</f>
        <v>#REF!</v>
      </c>
      <c r="GJ155" s="135" t="str">
        <f>IF(ISNA(VLOOKUP(A155,'Données projet (1)'!$A$243:$I$263,6,0)),0%,VLOOKUP(A155,'Données projet (1)'!$A$243:$I$263,6,0)*VLOOKUP('Données projet (1)'!$B$17,'Paramètres (1)'!$A$1:$I$88,7,0))</f>
        <v>#REF!</v>
      </c>
      <c r="GK155" s="135" t="str">
        <f t="shared" si="94"/>
        <v>#REF!</v>
      </c>
      <c r="GL155" s="142" t="str">
        <f>EXP(-LN(2)/35)*GL154+(1-EXP(-LN(2)/35))/(LN(2)/35)*GH155*GI155*VLOOKUP('Données projet (1)'!$B$17,'Paramètres (1)'!$A$1:$I$88,3,0)*0.475*44/12</f>
        <v>#REF!</v>
      </c>
      <c r="GM155" s="142" t="str">
        <f>EXP(-LN(2)/25)*GM154+(1-EXP(-LN(2)/25))/(LN(2)/25)*'Calculateur (1)'!GH155*'Calculateur (1)'!GJ155*VLOOKUP('Données projet (1)'!$B$17,'Paramètres (1)'!$A$1:$I$88,3,0)*0.475*44/12</f>
        <v>#REF!</v>
      </c>
      <c r="GN155" s="142" t="str">
        <f>EXP(-LN(2)/2)*GN154+(1-EXP(-LN(2)/2))/(LN(2)/2)*GH155*GK155*VLOOKUP('Données projet (1)'!$B$17,'Paramètres (1)'!$A$1:$I$88,3,0)*0.475*44/12</f>
        <v>#REF!</v>
      </c>
      <c r="GO155" s="142" t="str">
        <f t="shared" si="95"/>
        <v>#REF!</v>
      </c>
      <c r="GP155" s="139" t="str">
        <f t="shared" si="96"/>
        <v>#REF!</v>
      </c>
      <c r="GQ155" s="131">
        <f t="shared" si="97"/>
        <v>10</v>
      </c>
      <c r="GR155" s="131" t="str">
        <f t="shared" si="144"/>
        <v>#REF!</v>
      </c>
      <c r="GS155" s="131" t="str">
        <f t="shared" si="98"/>
        <v>#REF!</v>
      </c>
      <c r="GT155" s="131" t="str">
        <f t="array" ref="GT155">INDEX(GS:GS,MIN(IF(ISNUMBER(GS155:GS351),ROW(GS155:GS351),"")))</f>
        <v/>
      </c>
      <c r="GU155" s="131" t="str">
        <f t="shared" si="145"/>
        <v>#REF!</v>
      </c>
      <c r="GV155" s="138" t="str">
        <f>GU155*VLOOKUP('Données projet (1)'!$B$18,'Paramètres (1)'!$A$1:$I$88,3,0)*VLOOKUP('Données projet (1)'!$B$18,'Paramètres (1)'!$A$1:$I$88,5,0)</f>
        <v>#REF!</v>
      </c>
      <c r="GW155" s="130" t="str">
        <f t="shared" si="146"/>
        <v>#REF!</v>
      </c>
      <c r="GX155" s="141" t="str">
        <f t="shared" si="99"/>
        <v>#REF!</v>
      </c>
      <c r="GY155" s="133" t="str">
        <f t="shared" si="100"/>
        <v>#REF!</v>
      </c>
      <c r="GZ155" s="133" t="str">
        <f t="shared" si="101"/>
        <v>#REF!</v>
      </c>
      <c r="HA155" s="133" t="str">
        <f t="shared" si="147"/>
        <v>#REF!</v>
      </c>
      <c r="HB155" s="134" t="str">
        <f t="shared" si="102"/>
        <v>#REF!</v>
      </c>
      <c r="HC155" s="134" t="str">
        <f t="shared" si="103"/>
        <v>#REF!</v>
      </c>
      <c r="HD155" s="135" t="str">
        <f>IF(ISNA(VLOOKUP(A155,'Données projet (1)'!$A$269:$I$289,5,0)),0%,VLOOKUP(A155,'Données projet (1)'!$A$269:$I$289,5,0)*VLOOKUP('Données projet (1)'!$B$18,'Paramètres (1)'!$A$1:$I$88,7,0))</f>
        <v>#REF!</v>
      </c>
      <c r="HE155" s="135" t="str">
        <f>IF(ISNA(VLOOKUP(A155,'Données projet (1)'!$A$269:$I$289,6,0)),0%,VLOOKUP(A155,'Données projet (1)'!$A$269:$I$289,6,0)*VLOOKUP('Données projet (1)'!$B$18,'Paramètres (1)'!$A$1:$I$88,7,0))</f>
        <v>#REF!</v>
      </c>
      <c r="HF155" s="135" t="str">
        <f t="shared" si="104"/>
        <v>#REF!</v>
      </c>
      <c r="HG155" s="142" t="str">
        <f>EXP(-LN(2)/35)*HG154+(1-EXP(-LN(2)/35))/(LN(2)/35)*HC155*HD155*VLOOKUP('Données projet (1)'!$B$18,'Paramètres (1)'!$A$1:$I$88,3,0)*0.475*44/12</f>
        <v>#REF!</v>
      </c>
      <c r="HH155" s="142" t="str">
        <f>EXP(-LN(2)/25)*HH154+(1-EXP(-LN(2)/25))/(LN(2)/25)*'Calculateur (1)'!HC155*'Calculateur (1)'!HE155*VLOOKUP('Données projet (1)'!$B$18,'Paramètres (1)'!$A$1:$I$88,3,0)*0.475*44/12</f>
        <v>#REF!</v>
      </c>
      <c r="HI155" s="142" t="str">
        <f>EXP(-LN(2)/2)*HI154+(1-EXP(-LN(2)/2))/(LN(2)/2)*HC155*HF155*VLOOKUP('Données projet (1)'!$B$18,'Paramètres (1)'!$A$1:$I$88,3,0)*0.475*44/12</f>
        <v>#REF!</v>
      </c>
      <c r="HJ155" s="143" t="str">
        <f t="shared" si="105"/>
        <v>#REF!</v>
      </c>
    </row>
    <row r="156" ht="14.25" customHeight="1">
      <c r="A156" s="125">
        <f t="shared" si="106"/>
        <v>153</v>
      </c>
      <c r="B156" s="126" t="str">
        <f t="shared" si="1"/>
        <v>#REF!</v>
      </c>
      <c r="C156" s="140" t="str">
        <f>'Calculateur (1)'!C155+'Scénario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6" s="127">
        <f t="shared" si="107"/>
        <v>0</v>
      </c>
      <c r="E156" s="127" t="str">
        <f t="shared" si="2"/>
        <v>#REF!</v>
      </c>
      <c r="F156" s="127" t="str">
        <f t="shared" si="3"/>
        <v>#REF!</v>
      </c>
      <c r="G156" s="127" t="str">
        <f t="shared" si="4"/>
        <v>#REF!</v>
      </c>
      <c r="H156" s="128" t="str">
        <f t="shared" si="5"/>
        <v>#REF!</v>
      </c>
      <c r="I156" s="129" t="str">
        <f t="shared" si="6"/>
        <v>#REF!</v>
      </c>
      <c r="J156" s="130">
        <f t="shared" si="7"/>
        <v>10</v>
      </c>
      <c r="K156" s="131" t="str">
        <f t="shared" si="108"/>
        <v>#REF!</v>
      </c>
      <c r="L156" s="131" t="str">
        <f t="shared" si="8"/>
        <v>#REF!</v>
      </c>
      <c r="M156" s="131" t="str">
        <f t="array" ref="M156">INDEX(L:L,MIN(IF(ISNUMBER(L156:L352),ROW(L156:L352),"")))</f>
        <v/>
      </c>
      <c r="N156" s="130" t="str">
        <f t="shared" si="109"/>
        <v>#REF!</v>
      </c>
      <c r="O156" s="130" t="str">
        <f>N156*VLOOKUP('Données projet (1)'!$B$9,'Paramètres (1)'!$A$1:$I$88,3,0)*VLOOKUP('Données projet (1)'!$B$9,'Paramètres (1)'!$A$1:$I$88,5,0)</f>
        <v>#REF!</v>
      </c>
      <c r="P156" s="130" t="str">
        <f t="shared" si="110"/>
        <v>#REF!</v>
      </c>
      <c r="Q156" s="141" t="str">
        <f t="shared" si="9"/>
        <v>#REF!</v>
      </c>
      <c r="R156" s="133" t="str">
        <f t="shared" si="10"/>
        <v>#REF!</v>
      </c>
      <c r="S156" s="133" t="str">
        <f t="shared" si="11"/>
        <v>#REF!</v>
      </c>
      <c r="T156" s="133" t="str">
        <f t="shared" si="111"/>
        <v>#REF!</v>
      </c>
      <c r="U156" s="134" t="str">
        <f t="shared" si="12"/>
        <v>#REF!</v>
      </c>
      <c r="V156" s="134" t="str">
        <f t="shared" si="13"/>
        <v>#REF!</v>
      </c>
      <c r="W156" s="135" t="str">
        <f>IF(ISNA(VLOOKUP(A156,'Données projet (1)'!$A$35:$I$55,5,0)),0%,VLOOKUP(A156,'Données projet (1)'!$A$35:$I$55,5,0)*VLOOKUP('Données projet (1)'!$B$9,'Paramètres (1)'!$A$1:$I$88,7,0))</f>
        <v>#REF!</v>
      </c>
      <c r="X156" s="135" t="str">
        <f>IF(ISNA(VLOOKUP(A156,'Données projet (1)'!$A$35:$I$55,6,0)),0%,VLOOKUP(A156,'Données projet (1)'!$A$35:$I$55,6,0)*VLOOKUP('Données projet (1)'!$B$9,'Paramètres (1)'!$A$1:$I$88,7,0))</f>
        <v>#REF!</v>
      </c>
      <c r="Y156" s="135" t="str">
        <f t="shared" si="14"/>
        <v>#REF!</v>
      </c>
      <c r="Z156" s="142" t="str">
        <f>EXP(-LN(2)/35)*Z155+(1-EXP(-LN(2)/35))/(LN(2)/35)*V156*W156*VLOOKUP('Données projet (1)'!$B$9,'Paramètres (1)'!$A$1:$I$88,3,0)*0.475*44/12</f>
        <v>#REF!</v>
      </c>
      <c r="AA156" s="142" t="str">
        <f>EXP(-LN(2)/25)*AA155+(1-EXP(-LN(2)/25))/(LN(2)/25)*'Calculateur (1)'!V156*'Calculateur (1)'!X156*VLOOKUP('Données projet (1)'!$B$9,'Paramètres (1)'!$A$1:$I$88,3,0)*0.475*44/12</f>
        <v>#REF!</v>
      </c>
      <c r="AB156" s="142" t="str">
        <f>EXP(-LN(2)/2)*AB155+(1-EXP(-LN(2)/2))/(LN(2)/2)*V156*Y156*VLOOKUP('Données projet (1)'!$B$9,'Paramètres (1)'!$A$1:$I$88,3,0)*0.475*44/12</f>
        <v>#REF!</v>
      </c>
      <c r="AC156" s="143" t="str">
        <f t="shared" si="15"/>
        <v>#REF!</v>
      </c>
      <c r="AD156" s="130" t="str">
        <f t="shared" si="16"/>
        <v>#REF!</v>
      </c>
      <c r="AE156" s="130">
        <f t="shared" si="17"/>
        <v>10</v>
      </c>
      <c r="AF156" s="131" t="str">
        <f t="shared" si="112"/>
        <v>#REF!</v>
      </c>
      <c r="AG156" s="131" t="str">
        <f t="shared" si="18"/>
        <v>#REF!</v>
      </c>
      <c r="AH156" s="131" t="str">
        <f t="array" ref="AH156">INDEX(AG:AG,MIN(IF(ISNUMBER(AG156:AG352),ROW(AG156:AG352),"")))</f>
        <v/>
      </c>
      <c r="AI156" s="130" t="str">
        <f t="shared" si="113"/>
        <v>#REF!</v>
      </c>
      <c r="AJ156" s="130" t="str">
        <f>AI156*VLOOKUP('Données projet (1)'!$B$10,'Paramètres (1)'!$A$1:$I$88,3,0)*VLOOKUP('Données projet (1)'!$B$10,'Paramètres (1)'!$A$1:$I$88,5,0)</f>
        <v>#REF!</v>
      </c>
      <c r="AK156" s="130" t="str">
        <f t="shared" si="114"/>
        <v>#REF!</v>
      </c>
      <c r="AL156" s="141" t="str">
        <f t="shared" si="19"/>
        <v>#REF!</v>
      </c>
      <c r="AM156" s="133" t="str">
        <f t="shared" si="20"/>
        <v>#REF!</v>
      </c>
      <c r="AN156" s="133" t="str">
        <f t="shared" si="21"/>
        <v>#REF!</v>
      </c>
      <c r="AO156" s="133" t="str">
        <f t="shared" si="115"/>
        <v>#REF!</v>
      </c>
      <c r="AP156" s="134" t="str">
        <f t="shared" si="22"/>
        <v>#REF!</v>
      </c>
      <c r="AQ156" s="134" t="str">
        <f t="shared" si="23"/>
        <v>#REF!</v>
      </c>
      <c r="AR156" s="135" t="str">
        <f>IF(ISNA(VLOOKUP(A156,'Données projet (1)'!$A$61:$I$81,5,0)),0%,VLOOKUP(A156,'Données projet (1)'!$A$61:$I$81,5,0)*VLOOKUP('Données projet (1)'!$B$10,'Paramètres (1)'!$A$1:$I$88,7,0))</f>
        <v>#REF!</v>
      </c>
      <c r="AS156" s="135" t="str">
        <f>IF(ISNA(VLOOKUP(A156,'Données projet (1)'!$A$61:$I$81,6,0)),0%,VLOOKUP(A156,'Données projet (1)'!$A$61:$I$81,6,0)*VLOOKUP('Données projet (1)'!$B$10,'Paramètres (1)'!$A$1:$I$88,7,0))</f>
        <v>#REF!</v>
      </c>
      <c r="AT156" s="135" t="str">
        <f t="shared" si="24"/>
        <v>#REF!</v>
      </c>
      <c r="AU156" s="142" t="str">
        <f>EXP(-LN(2)/35)*AU155+(1-EXP(-LN(2)/35))/(LN(2)/35)*AQ156*AR156*VLOOKUP('Données projet (1)'!$B$10,'Paramètres (1)'!$A$1:$I$88,3,0)*0.475*44/12</f>
        <v>#REF!</v>
      </c>
      <c r="AV156" s="142" t="str">
        <f>EXP(-LN(2)/25)*AV155+(1-EXP(-LN(2)/25))/(LN(2)/25)*'Calculateur (1)'!AQ156*'Calculateur (1)'!AS156*VLOOKUP('Données projet (1)'!$B$10,'Paramètres (1)'!$A$1:$I$88,3,0)*0.475*44/12</f>
        <v>#REF!</v>
      </c>
      <c r="AW156" s="142" t="str">
        <f>EXP(-LN(2)/2)*AW155+(1-EXP(-LN(2)/2))/(LN(2)/2)*AQ156*AT156*VLOOKUP('Données projet (1)'!$B$10,'Paramètres (1)'!$A$1:$I$88,3,0)*0.475*44/12</f>
        <v>#REF!</v>
      </c>
      <c r="AX156" s="142" t="str">
        <f t="shared" si="25"/>
        <v>#REF!</v>
      </c>
      <c r="AY156" s="137" t="str">
        <f t="shared" si="26"/>
        <v>#REF!</v>
      </c>
      <c r="AZ156" s="131">
        <f t="shared" si="27"/>
        <v>10</v>
      </c>
      <c r="BA156" s="131" t="str">
        <f t="shared" si="116"/>
        <v>#REF!</v>
      </c>
      <c r="BB156" s="131" t="str">
        <f t="shared" si="28"/>
        <v>#REF!</v>
      </c>
      <c r="BC156" s="131" t="str">
        <f t="array" ref="BC156">INDEX(BB:BB,MIN(IF(ISNUMBER(BB156:BB352),ROW(BB156:BB352),"")))</f>
        <v/>
      </c>
      <c r="BD156" s="131" t="str">
        <f t="shared" si="117"/>
        <v>#REF!</v>
      </c>
      <c r="BE156" s="130" t="str">
        <f>BD156*VLOOKUP('Données projet (1)'!$B$11,'Paramètres (1)'!$A$1:$I$88,3,0)*VLOOKUP('Données projet (1)'!$B$11,'Paramètres (1)'!$A$1:$I$88,5,0)</f>
        <v>#REF!</v>
      </c>
      <c r="BF156" s="130" t="str">
        <f t="shared" si="118"/>
        <v>#REF!</v>
      </c>
      <c r="BG156" s="141" t="str">
        <f t="shared" si="29"/>
        <v>#REF!</v>
      </c>
      <c r="BH156" s="133" t="str">
        <f t="shared" si="30"/>
        <v>#REF!</v>
      </c>
      <c r="BI156" s="133" t="str">
        <f t="shared" si="31"/>
        <v>#REF!</v>
      </c>
      <c r="BJ156" s="133" t="str">
        <f t="shared" si="119"/>
        <v>#REF!</v>
      </c>
      <c r="BK156" s="134" t="str">
        <f t="shared" si="32"/>
        <v>#REF!</v>
      </c>
      <c r="BL156" s="134" t="str">
        <f t="shared" si="33"/>
        <v>#REF!</v>
      </c>
      <c r="BM156" s="135" t="str">
        <f>IF(ISNA(VLOOKUP(A156,'Données projet (1)'!$A$87:$I$107,5,0)),0%,VLOOKUP(A156,'Données projet (1)'!$A$87:$I$107,5,0)*VLOOKUP('Données projet (1)'!$B$11,'Paramètres (1)'!$A$1:$I$88,7,0))</f>
        <v>#REF!</v>
      </c>
      <c r="BN156" s="135" t="str">
        <f>IF(ISNA(VLOOKUP(A156,'Données projet (1)'!$A$87:$I$107,6,0)),0%,VLOOKUP(A156,'Données projet (1)'!$A$87:$I$107,6,0)*VLOOKUP('Données projet (1)'!$B$11,'Paramètres (1)'!$A$1:$I$88,7,0))</f>
        <v>#REF!</v>
      </c>
      <c r="BO156" s="135" t="str">
        <f t="shared" si="34"/>
        <v>#REF!</v>
      </c>
      <c r="BP156" s="142" t="str">
        <f>EXP(-LN(2)/35)*BP155+(1-EXP(-LN(2)/35))/(LN(2)/35)*BL156*BM156*VLOOKUP('Données projet (1)'!$B$11,'Paramètres (1)'!$A$1:$I$88,3,0)*0.475*44/12</f>
        <v>#REF!</v>
      </c>
      <c r="BQ156" s="142" t="str">
        <f>EXP(-LN(2)/25)*BQ155+(1-EXP(-LN(2)/25))/(LN(2)/25)*'Calculateur (1)'!BL156*'Calculateur (1)'!BN156*VLOOKUP('Données projet (1)'!$B$11,'Paramètres (1)'!$A$1:$I$88,3,0)*0.475*44/12</f>
        <v>#REF!</v>
      </c>
      <c r="BR156" s="142" t="str">
        <f>EXP(-LN(2)/2)*BR155+(1-EXP(-LN(2)/2))/(LN(2)/2)*BL156*BO156*VLOOKUP('Données projet (1)'!$B$11,'Paramètres (1)'!$A$1:$I$88,3,0)*0.475*44/12</f>
        <v>#REF!</v>
      </c>
      <c r="BS156" s="143" t="str">
        <f t="shared" si="35"/>
        <v>#REF!</v>
      </c>
      <c r="BT156" s="139" t="str">
        <f t="shared" si="36"/>
        <v>#REF!</v>
      </c>
      <c r="BU156" s="131">
        <f t="shared" si="37"/>
        <v>10</v>
      </c>
      <c r="BV156" s="131" t="str">
        <f t="shared" si="120"/>
        <v>#REF!</v>
      </c>
      <c r="BW156" s="131" t="str">
        <f t="shared" si="38"/>
        <v>#REF!</v>
      </c>
      <c r="BX156" s="131" t="str">
        <f t="array" ref="BX156">INDEX(BW:BW,MIN(IF(ISNUMBER(BW156:BW352),ROW(BW156:BW352),"")))</f>
        <v/>
      </c>
      <c r="BY156" s="131" t="str">
        <f t="shared" si="121"/>
        <v>#REF!</v>
      </c>
      <c r="BZ156" s="130" t="str">
        <f>BY156*VLOOKUP('Données projet (1)'!$B$12,'Paramètres (1)'!$A$1:$I$88,3,0)*VLOOKUP('Données projet (1)'!$B$12,'Paramètres (1)'!$A$1:$I$88,5,0)</f>
        <v>#REF!</v>
      </c>
      <c r="CA156" s="130" t="str">
        <f t="shared" si="122"/>
        <v>#REF!</v>
      </c>
      <c r="CB156" s="141" t="str">
        <f t="shared" si="39"/>
        <v>#REF!</v>
      </c>
      <c r="CC156" s="133" t="str">
        <f t="shared" si="40"/>
        <v>#REF!</v>
      </c>
      <c r="CD156" s="133" t="str">
        <f t="shared" si="41"/>
        <v>#REF!</v>
      </c>
      <c r="CE156" s="133" t="str">
        <f t="shared" si="123"/>
        <v>#REF!</v>
      </c>
      <c r="CF156" s="134" t="str">
        <f t="shared" si="42"/>
        <v>#REF!</v>
      </c>
      <c r="CG156" s="134" t="str">
        <f t="shared" si="43"/>
        <v>#REF!</v>
      </c>
      <c r="CH156" s="135" t="str">
        <f>IF(ISNA(VLOOKUP(A156,'Données projet (1)'!$A$113:$I$133,5,0)),0%,VLOOKUP(A156,'Données projet (1)'!$A$113:$I$133,5,0)*VLOOKUP('Données projet (1)'!$B$12,'Paramètres (1)'!$A$1:$I$88,7,0))</f>
        <v>#REF!</v>
      </c>
      <c r="CI156" s="135" t="str">
        <f>IF(ISNA(VLOOKUP(A156,'Données projet (1)'!$A$113:$I$133,6,0)),0%,VLOOKUP(A156,'Données projet (1)'!$A$113:$I$133,6,0)*VLOOKUP('Données projet (1)'!$B$12,'Paramètres (1)'!$A$1:$I$88,7,0))</f>
        <v>#REF!</v>
      </c>
      <c r="CJ156" s="135" t="str">
        <f t="shared" si="44"/>
        <v>#REF!</v>
      </c>
      <c r="CK156" s="142" t="str">
        <f>EXP(-LN(2)/35)*CK155+(1-EXP(-LN(2)/35))/(LN(2)/35)*CG156*CH156*VLOOKUP('Données projet (1)'!$B$12,'Paramètres (1)'!$A$1:$I$88,3,0)*0.475*44/12</f>
        <v>#REF!</v>
      </c>
      <c r="CL156" s="142" t="str">
        <f>EXP(-LN(2)/25)*CL155+(1-EXP(-LN(2)/25))/(LN(2)/25)*'Calculateur (1)'!CG156*'Calculateur (1)'!CI156*VLOOKUP('Données projet (1)'!$B$12,'Paramètres (1)'!$A$1:$I$88,3,0)*0.475*44/12</f>
        <v>#REF!</v>
      </c>
      <c r="CM156" s="142" t="str">
        <f>EXP(-LN(2)/2)*CM155+(1-EXP(-LN(2)/2))/(LN(2)/2)*CG156*CJ156*VLOOKUP('Données projet (1)'!$B$12,'Paramètres (1)'!$A$1:$I$88,3,0)*0.475*44/12</f>
        <v>#REF!</v>
      </c>
      <c r="CN156" s="143" t="str">
        <f t="shared" si="45"/>
        <v>#REF!</v>
      </c>
      <c r="CO156" s="139" t="str">
        <f t="shared" si="46"/>
        <v>#REF!</v>
      </c>
      <c r="CP156" s="131">
        <f t="shared" si="47"/>
        <v>10</v>
      </c>
      <c r="CQ156" s="131" t="str">
        <f t="shared" si="124"/>
        <v>#REF!</v>
      </c>
      <c r="CR156" s="131" t="str">
        <f t="shared" si="48"/>
        <v>#REF!</v>
      </c>
      <c r="CS156" s="131" t="str">
        <f t="array" ref="CS156">INDEX(CR:CR,MIN(IF(ISNUMBER(CR156:CR352),ROW(CR156:CR352),"")))</f>
        <v/>
      </c>
      <c r="CT156" s="131" t="str">
        <f t="shared" si="125"/>
        <v>#REF!</v>
      </c>
      <c r="CU156" s="138" t="str">
        <f>CT156*VLOOKUP('Données projet (1)'!$B$13,'Paramètres (1)'!$A$1:$I$88,3,0)*VLOOKUP('Données projet (1)'!$B$13,'Paramètres (1)'!$A$1:$I$88,5,0)</f>
        <v>#REF!</v>
      </c>
      <c r="CV156" s="130" t="str">
        <f t="shared" si="126"/>
        <v>#REF!</v>
      </c>
      <c r="CW156" s="141" t="str">
        <f t="shared" si="49"/>
        <v>#REF!</v>
      </c>
      <c r="CX156" s="133" t="str">
        <f t="shared" si="50"/>
        <v>#REF!</v>
      </c>
      <c r="CY156" s="133" t="str">
        <f t="shared" si="51"/>
        <v>#REF!</v>
      </c>
      <c r="CZ156" s="133" t="str">
        <f t="shared" si="127"/>
        <v>#REF!</v>
      </c>
      <c r="DA156" s="134" t="str">
        <f t="shared" si="52"/>
        <v>#REF!</v>
      </c>
      <c r="DB156" s="134" t="str">
        <f t="shared" si="53"/>
        <v>#REF!</v>
      </c>
      <c r="DC156" s="135" t="str">
        <f>IF(ISNA(VLOOKUP(A156,'Données projet (1)'!$A$139:$I$159,5,0)),0%,VLOOKUP(A156,'Données projet (1)'!$A$139:$I$159,5,0)*VLOOKUP('Données projet (1)'!$B$13,'Paramètres (1)'!$A$1:$I$88,7,0))</f>
        <v>#REF!</v>
      </c>
      <c r="DD156" s="135" t="str">
        <f>IF(ISNA(VLOOKUP(A156,'Données projet (1)'!$A$139:$I$159,6,0)),0%,VLOOKUP(A156,'Données projet (1)'!$A$139:$I$159,6,0)*VLOOKUP('Données projet (1)'!$B$13,'Paramètres (1)'!$A$1:$I$88,7,0))</f>
        <v>#REF!</v>
      </c>
      <c r="DE156" s="135" t="str">
        <f t="shared" si="54"/>
        <v>#REF!</v>
      </c>
      <c r="DF156" s="142" t="str">
        <f>EXP(-LN(2)/35)*DF155+(1-EXP(-LN(2)/35))/(LN(2)/35)*DB156*DC156*VLOOKUP('Données projet (1)'!$B$13,'Paramètres (1)'!$A$1:$I$88,3,0)*0.475*44/12</f>
        <v>#REF!</v>
      </c>
      <c r="DG156" s="142" t="str">
        <f>EXP(-LN(2)/25)*DG155+(1-EXP(-LN(2)/25))/(LN(2)/25)*'Calculateur (1)'!DB156*'Calculateur (1)'!DD156*VLOOKUP('Données projet (1)'!$B$13,'Paramètres (1)'!$A$1:$I$88,3,0)*0.475*44/12</f>
        <v>#REF!</v>
      </c>
      <c r="DH156" s="142" t="str">
        <f>EXP(-LN(2)/2)*DH155+(1-EXP(-LN(2)/2))/(LN(2)/2)*DB156*DE156*VLOOKUP('Données projet (1)'!$B$13,'Paramètres (1)'!$A$1:$I$88,3,0)*0.475*44/12</f>
        <v>#REF!</v>
      </c>
      <c r="DI156" s="143" t="str">
        <f t="shared" si="55"/>
        <v>#REF!</v>
      </c>
      <c r="DJ156" s="139" t="str">
        <f t="shared" si="56"/>
        <v>#REF!</v>
      </c>
      <c r="DK156" s="131">
        <f t="shared" si="57"/>
        <v>10</v>
      </c>
      <c r="DL156" s="131" t="str">
        <f t="shared" si="128"/>
        <v>#REF!</v>
      </c>
      <c r="DM156" s="131" t="str">
        <f t="shared" si="58"/>
        <v>#REF!</v>
      </c>
      <c r="DN156" s="131" t="str">
        <f t="array" ref="DN156">INDEX(DM:DM,MIN(IF(ISNUMBER(DM156:DM352),ROW(DM156:DM352),"")))</f>
        <v/>
      </c>
      <c r="DO156" s="131" t="str">
        <f t="shared" si="129"/>
        <v>#REF!</v>
      </c>
      <c r="DP156" s="138" t="str">
        <f>DO156*VLOOKUP('Données projet (1)'!$B$14,'Paramètres (1)'!$A$1:$I$88,3,0)*VLOOKUP('Données projet (1)'!$B$14,'Paramètres (1)'!$A$1:$I$88,5,0)</f>
        <v>#REF!</v>
      </c>
      <c r="DQ156" s="130" t="str">
        <f t="shared" si="130"/>
        <v>#REF!</v>
      </c>
      <c r="DR156" s="141" t="str">
        <f t="shared" si="59"/>
        <v>#REF!</v>
      </c>
      <c r="DS156" s="133" t="str">
        <f t="shared" si="60"/>
        <v>#REF!</v>
      </c>
      <c r="DT156" s="133" t="str">
        <f t="shared" si="61"/>
        <v>#REF!</v>
      </c>
      <c r="DU156" s="133" t="str">
        <f t="shared" si="131"/>
        <v>#REF!</v>
      </c>
      <c r="DV156" s="134" t="str">
        <f t="shared" si="62"/>
        <v>#REF!</v>
      </c>
      <c r="DW156" s="134" t="str">
        <f t="shared" si="63"/>
        <v>#REF!</v>
      </c>
      <c r="DX156" s="135" t="str">
        <f>IF(ISNA(VLOOKUP(A156,'Données projet (1)'!$A$165:$I$185,5,0)),0%,VLOOKUP(A156,'Données projet (1)'!$A$165:$I$185,5,0)*VLOOKUP('Données projet (1)'!$B$14,'Paramètres (1)'!$A$1:$I$88,7,0))</f>
        <v>#REF!</v>
      </c>
      <c r="DY156" s="135" t="str">
        <f>IF(ISNA(VLOOKUP(A156,'Données projet (1)'!$A$165:$I$185,6,0)),0%,VLOOKUP(A156,'Données projet (1)'!$A$165:$I$185,6,0)*VLOOKUP('Données projet (1)'!$B$14,'Paramètres (1)'!$A$1:$I$88,7,0))</f>
        <v>#REF!</v>
      </c>
      <c r="DZ156" s="135" t="str">
        <f t="shared" si="64"/>
        <v>#REF!</v>
      </c>
      <c r="EA156" s="142" t="str">
        <f>EXP(-LN(2)/35)*EA155+(1-EXP(-LN(2)/35))/(LN(2)/35)*DW156*DX156*VLOOKUP('Données projet (1)'!$B$14,'Paramètres (1)'!$A$1:$I$88,3,0)*0.475*44/12</f>
        <v>#REF!</v>
      </c>
      <c r="EB156" s="142" t="str">
        <f>EXP(-LN(2)/25)*EB155+(1-EXP(-LN(2)/25))/(LN(2)/25)*'Calculateur (1)'!DW156*'Calculateur (1)'!DY156*VLOOKUP('Données projet (1)'!$B$14,'Paramètres (1)'!$A$1:$I$88,3,0)*0.475*44/12</f>
        <v>#REF!</v>
      </c>
      <c r="EC156" s="142" t="str">
        <f>EXP(-LN(2)/2)*EC155+(1-EXP(-LN(2)/2))/(LN(2)/2)*DW156*DZ156*VLOOKUP('Données projet (1)'!$B$14,'Paramètres (1)'!$A$1:$I$88,3,0)*0.475*44/12</f>
        <v>#REF!</v>
      </c>
      <c r="ED156" s="143" t="str">
        <f t="shared" si="65"/>
        <v>#REF!</v>
      </c>
      <c r="EE156" s="139" t="str">
        <f t="shared" si="66"/>
        <v>#REF!</v>
      </c>
      <c r="EF156" s="131">
        <f t="shared" si="67"/>
        <v>10</v>
      </c>
      <c r="EG156" s="131" t="str">
        <f t="shared" si="132"/>
        <v>#REF!</v>
      </c>
      <c r="EH156" s="131" t="str">
        <f t="shared" si="68"/>
        <v>#REF!</v>
      </c>
      <c r="EI156" s="131" t="str">
        <f t="array" ref="EI156">INDEX(EH:EH,MIN(IF(ISNUMBER(EH156:EH352),ROW(EH156:EH352),"")))</f>
        <v/>
      </c>
      <c r="EJ156" s="131" t="str">
        <f t="shared" si="133"/>
        <v>#REF!</v>
      </c>
      <c r="EK156" s="138" t="str">
        <f>EJ156*VLOOKUP('Données projet (1)'!$B$15,'Paramètres (1)'!$A$1:$I$88,3,0)*VLOOKUP('Données projet (1)'!$B$15,'Paramètres (1)'!$A$1:$I$88,5,0)</f>
        <v>#REF!</v>
      </c>
      <c r="EL156" s="130" t="str">
        <f t="shared" si="134"/>
        <v>#REF!</v>
      </c>
      <c r="EM156" s="141" t="str">
        <f t="shared" si="69"/>
        <v>#REF!</v>
      </c>
      <c r="EN156" s="133" t="str">
        <f t="shared" si="70"/>
        <v>#REF!</v>
      </c>
      <c r="EO156" s="133" t="str">
        <f t="shared" si="71"/>
        <v>#REF!</v>
      </c>
      <c r="EP156" s="133" t="str">
        <f t="shared" si="135"/>
        <v>#REF!</v>
      </c>
      <c r="EQ156" s="134" t="str">
        <f t="shared" si="72"/>
        <v>#REF!</v>
      </c>
      <c r="ER156" s="134" t="str">
        <f t="shared" si="73"/>
        <v>#REF!</v>
      </c>
      <c r="ES156" s="135" t="str">
        <f>IF(ISNA(VLOOKUP(A156,'Données projet (1)'!$A$191:$I$211,5,0)),0%,VLOOKUP(A156,'Données projet (1)'!$A$191:$I$211,5,0)*VLOOKUP('Données projet (1)'!$B$15,'Paramètres (1)'!$A$1:$I$88,7,0))</f>
        <v>#REF!</v>
      </c>
      <c r="ET156" s="135" t="str">
        <f>IF(ISNA(VLOOKUP(A156,'Données projet (1)'!$A$191:$I$211,6,0)),0%,VLOOKUP(A156,'Données projet (1)'!$A$191:$I$211,6,0)*VLOOKUP('Données projet (1)'!$B$15,'Paramètres (1)'!$A$1:$I$88,7,0))</f>
        <v>#REF!</v>
      </c>
      <c r="EU156" s="135" t="str">
        <f t="shared" si="74"/>
        <v>#REF!</v>
      </c>
      <c r="EV156" s="142" t="str">
        <f>EXP(-LN(2)/35)*EV155+(1-EXP(-LN(2)/35))/(LN(2)/35)*ER156*ES156*VLOOKUP('Données projet (1)'!$B$15,'Paramètres (1)'!$A$1:$I$88,3,0)*0.475*44/12</f>
        <v>#REF!</v>
      </c>
      <c r="EW156" s="142" t="str">
        <f>EXP(-LN(2)/25)*EW155+(1-EXP(-LN(2)/25))/(LN(2)/25)*'Calculateur (1)'!ER156*'Calculateur (1)'!ET156*VLOOKUP('Données projet (1)'!$B$15,'Paramètres (1)'!$A$1:$I$88,3,0)*0.475*44/12</f>
        <v>#REF!</v>
      </c>
      <c r="EX156" s="142" t="str">
        <f>EXP(-LN(2)/2)*EX155+(1-EXP(-LN(2)/2))/(LN(2)/2)*ER156*EU156*VLOOKUP('Données projet (1)'!$B$15,'Paramètres (1)'!$A$1:$I$88,3,0)*0.475*44/12</f>
        <v>#REF!</v>
      </c>
      <c r="EY156" s="143" t="str">
        <f t="shared" si="75"/>
        <v>#REF!</v>
      </c>
      <c r="EZ156" s="139" t="str">
        <f t="shared" si="76"/>
        <v>#REF!</v>
      </c>
      <c r="FA156" s="131">
        <f t="shared" si="77"/>
        <v>10</v>
      </c>
      <c r="FB156" s="131" t="str">
        <f t="shared" si="136"/>
        <v>#REF!</v>
      </c>
      <c r="FC156" s="131" t="str">
        <f t="shared" si="78"/>
        <v>#REF!</v>
      </c>
      <c r="FD156" s="131" t="str">
        <f t="array" ref="FD156">INDEX(FC:FC,MIN(IF(ISNUMBER(FC156:FC352),ROW(FC156:FC352),"")))</f>
        <v/>
      </c>
      <c r="FE156" s="131" t="str">
        <f t="shared" si="137"/>
        <v>#REF!</v>
      </c>
      <c r="FF156" s="138" t="str">
        <f>FE156*VLOOKUP('Données projet (1)'!$B$16,'Paramètres (1)'!$A$1:$I$88,3,0)*VLOOKUP('Données projet (1)'!$B$16,'Paramètres (1)'!$A$1:$I$88,5,0)</f>
        <v>#REF!</v>
      </c>
      <c r="FG156" s="130" t="str">
        <f t="shared" si="138"/>
        <v>#REF!</v>
      </c>
      <c r="FH156" s="141" t="str">
        <f t="shared" si="79"/>
        <v>#REF!</v>
      </c>
      <c r="FI156" s="133" t="str">
        <f t="shared" si="80"/>
        <v>#REF!</v>
      </c>
      <c r="FJ156" s="133" t="str">
        <f t="shared" si="81"/>
        <v>#REF!</v>
      </c>
      <c r="FK156" s="133" t="str">
        <f t="shared" si="139"/>
        <v>#REF!</v>
      </c>
      <c r="FL156" s="134" t="str">
        <f t="shared" si="82"/>
        <v>#REF!</v>
      </c>
      <c r="FM156" s="134" t="str">
        <f t="shared" si="83"/>
        <v>#REF!</v>
      </c>
      <c r="FN156" s="135" t="str">
        <f>IF(ISNA(VLOOKUP(A156,'Données projet (1)'!$A$217:$I$237,5,0)),0%,VLOOKUP(A156,'Données projet (1)'!$A$217:$I$237,5,0)*VLOOKUP('Données projet (1)'!$B$16,'Paramètres (1)'!$A$1:$I$88,7,0))</f>
        <v>#REF!</v>
      </c>
      <c r="FO156" s="135" t="str">
        <f>IF(ISNA(VLOOKUP(A156,'Données projet (1)'!$A$217:$I$237,6,0)),0%,VLOOKUP(A156,'Données projet (1)'!$A$217:$I$237,6,0)*VLOOKUP('Données projet (1)'!$B$16,'Paramètres (1)'!$A$1:$I$88,7,0))</f>
        <v>#REF!</v>
      </c>
      <c r="FP156" s="135" t="str">
        <f t="shared" si="84"/>
        <v>#REF!</v>
      </c>
      <c r="FQ156" s="142" t="str">
        <f>EXP(-LN(2)/35)*FQ155+(1-EXP(-LN(2)/35))/(LN(2)/35)*FM156*FN156*VLOOKUP('Données projet (1)'!$B$16,'Paramètres (1)'!$A$1:$I$88,3,0)*0.475*44/12</f>
        <v>#REF!</v>
      </c>
      <c r="FR156" s="142" t="str">
        <f>EXP(-LN(2)/25)*FR155+(1-EXP(-LN(2)/25))/(LN(2)/25)*'Calculateur (1)'!FM156*'Calculateur (1)'!FO156*VLOOKUP('Données projet (1)'!$B$16,'Paramètres (1)'!$A$1:$I$88,3,0)*0.475*44/12</f>
        <v>#REF!</v>
      </c>
      <c r="FS156" s="142" t="str">
        <f>EXP(-LN(2)/2)*FS155+(1-EXP(-LN(2)/2))/(LN(2)/2)*FM156*FP156*VLOOKUP('Données projet (1)'!$B$16,'Paramètres (1)'!$A$1:$I$88,3,0)*0.475*44/12</f>
        <v>#REF!</v>
      </c>
      <c r="FT156" s="143" t="str">
        <f t="shared" si="85"/>
        <v>#REF!</v>
      </c>
      <c r="FU156" s="139" t="str">
        <f t="shared" si="86"/>
        <v>#REF!</v>
      </c>
      <c r="FV156" s="131">
        <f t="shared" si="87"/>
        <v>10</v>
      </c>
      <c r="FW156" s="131" t="str">
        <f t="shared" si="140"/>
        <v>#REF!</v>
      </c>
      <c r="FX156" s="131" t="str">
        <f t="shared" si="88"/>
        <v>#REF!</v>
      </c>
      <c r="FY156" s="131" t="str">
        <f t="array" ref="FY156">INDEX(FX:FX,MIN(IF(ISNUMBER(FX156:FX352),ROW(FX156:FX352),"")))</f>
        <v/>
      </c>
      <c r="FZ156" s="131" t="str">
        <f t="shared" si="141"/>
        <v>#REF!</v>
      </c>
      <c r="GA156" s="138" t="str">
        <f>FZ156*VLOOKUP('Données projet (1)'!$B$17,'Paramètres (1)'!$A$1:$I$88,3,0)*VLOOKUP('Données projet (1)'!$B$17,'Paramètres (1)'!$A$1:$I$88,5,0)</f>
        <v>#REF!</v>
      </c>
      <c r="GB156" s="130" t="str">
        <f t="shared" si="142"/>
        <v>#REF!</v>
      </c>
      <c r="GC156" s="141" t="str">
        <f t="shared" si="89"/>
        <v>#REF!</v>
      </c>
      <c r="GD156" s="133" t="str">
        <f t="shared" si="90"/>
        <v>#REF!</v>
      </c>
      <c r="GE156" s="133" t="str">
        <f t="shared" si="91"/>
        <v>#REF!</v>
      </c>
      <c r="GF156" s="133" t="str">
        <f t="shared" si="143"/>
        <v>#REF!</v>
      </c>
      <c r="GG156" s="134" t="str">
        <f t="shared" si="92"/>
        <v>#REF!</v>
      </c>
      <c r="GH156" s="134" t="str">
        <f t="shared" si="93"/>
        <v>#REF!</v>
      </c>
      <c r="GI156" s="135" t="str">
        <f>IF(ISNA(VLOOKUP(A156,'Données projet (1)'!$A$243:$I$263,5,0)),0%,VLOOKUP(A156,'Données projet (1)'!$A$243:$I$263,5,0)*VLOOKUP('Données projet (1)'!$B$17,'Paramètres (1)'!$A$1:$I$88,7,0))</f>
        <v>#REF!</v>
      </c>
      <c r="GJ156" s="135" t="str">
        <f>IF(ISNA(VLOOKUP(A156,'Données projet (1)'!$A$243:$I$263,6,0)),0%,VLOOKUP(A156,'Données projet (1)'!$A$243:$I$263,6,0)*VLOOKUP('Données projet (1)'!$B$17,'Paramètres (1)'!$A$1:$I$88,7,0))</f>
        <v>#REF!</v>
      </c>
      <c r="GK156" s="135" t="str">
        <f t="shared" si="94"/>
        <v>#REF!</v>
      </c>
      <c r="GL156" s="142" t="str">
        <f>EXP(-LN(2)/35)*GL155+(1-EXP(-LN(2)/35))/(LN(2)/35)*GH156*GI156*VLOOKUP('Données projet (1)'!$B$17,'Paramètres (1)'!$A$1:$I$88,3,0)*0.475*44/12</f>
        <v>#REF!</v>
      </c>
      <c r="GM156" s="142" t="str">
        <f>EXP(-LN(2)/25)*GM155+(1-EXP(-LN(2)/25))/(LN(2)/25)*'Calculateur (1)'!GH156*'Calculateur (1)'!GJ156*VLOOKUP('Données projet (1)'!$B$17,'Paramètres (1)'!$A$1:$I$88,3,0)*0.475*44/12</f>
        <v>#REF!</v>
      </c>
      <c r="GN156" s="142" t="str">
        <f>EXP(-LN(2)/2)*GN155+(1-EXP(-LN(2)/2))/(LN(2)/2)*GH156*GK156*VLOOKUP('Données projet (1)'!$B$17,'Paramètres (1)'!$A$1:$I$88,3,0)*0.475*44/12</f>
        <v>#REF!</v>
      </c>
      <c r="GO156" s="142" t="str">
        <f t="shared" si="95"/>
        <v>#REF!</v>
      </c>
      <c r="GP156" s="139" t="str">
        <f t="shared" si="96"/>
        <v>#REF!</v>
      </c>
      <c r="GQ156" s="131">
        <f t="shared" si="97"/>
        <v>10</v>
      </c>
      <c r="GR156" s="131" t="str">
        <f t="shared" si="144"/>
        <v>#REF!</v>
      </c>
      <c r="GS156" s="131" t="str">
        <f t="shared" si="98"/>
        <v>#REF!</v>
      </c>
      <c r="GT156" s="131" t="str">
        <f t="array" ref="GT156">INDEX(GS:GS,MIN(IF(ISNUMBER(GS156:GS352),ROW(GS156:GS352),"")))</f>
        <v/>
      </c>
      <c r="GU156" s="131" t="str">
        <f t="shared" si="145"/>
        <v>#REF!</v>
      </c>
      <c r="GV156" s="138" t="str">
        <f>GU156*VLOOKUP('Données projet (1)'!$B$18,'Paramètres (1)'!$A$1:$I$88,3,0)*VLOOKUP('Données projet (1)'!$B$18,'Paramètres (1)'!$A$1:$I$88,5,0)</f>
        <v>#REF!</v>
      </c>
      <c r="GW156" s="130" t="str">
        <f t="shared" si="146"/>
        <v>#REF!</v>
      </c>
      <c r="GX156" s="141" t="str">
        <f t="shared" si="99"/>
        <v>#REF!</v>
      </c>
      <c r="GY156" s="133" t="str">
        <f t="shared" si="100"/>
        <v>#REF!</v>
      </c>
      <c r="GZ156" s="133" t="str">
        <f t="shared" si="101"/>
        <v>#REF!</v>
      </c>
      <c r="HA156" s="133" t="str">
        <f t="shared" si="147"/>
        <v>#REF!</v>
      </c>
      <c r="HB156" s="134" t="str">
        <f t="shared" si="102"/>
        <v>#REF!</v>
      </c>
      <c r="HC156" s="134" t="str">
        <f t="shared" si="103"/>
        <v>#REF!</v>
      </c>
      <c r="HD156" s="135" t="str">
        <f>IF(ISNA(VLOOKUP(A156,'Données projet (1)'!$A$269:$I$289,5,0)),0%,VLOOKUP(A156,'Données projet (1)'!$A$269:$I$289,5,0)*VLOOKUP('Données projet (1)'!$B$18,'Paramètres (1)'!$A$1:$I$88,7,0))</f>
        <v>#REF!</v>
      </c>
      <c r="HE156" s="135" t="str">
        <f>IF(ISNA(VLOOKUP(A156,'Données projet (1)'!$A$269:$I$289,6,0)),0%,VLOOKUP(A156,'Données projet (1)'!$A$269:$I$289,6,0)*VLOOKUP('Données projet (1)'!$B$18,'Paramètres (1)'!$A$1:$I$88,7,0))</f>
        <v>#REF!</v>
      </c>
      <c r="HF156" s="135" t="str">
        <f t="shared" si="104"/>
        <v>#REF!</v>
      </c>
      <c r="HG156" s="142" t="str">
        <f>EXP(-LN(2)/35)*HG155+(1-EXP(-LN(2)/35))/(LN(2)/35)*HC156*HD156*VLOOKUP('Données projet (1)'!$B$18,'Paramètres (1)'!$A$1:$I$88,3,0)*0.475*44/12</f>
        <v>#REF!</v>
      </c>
      <c r="HH156" s="142" t="str">
        <f>EXP(-LN(2)/25)*HH155+(1-EXP(-LN(2)/25))/(LN(2)/25)*'Calculateur (1)'!HC156*'Calculateur (1)'!HE156*VLOOKUP('Données projet (1)'!$B$18,'Paramètres (1)'!$A$1:$I$88,3,0)*0.475*44/12</f>
        <v>#REF!</v>
      </c>
      <c r="HI156" s="142" t="str">
        <f>EXP(-LN(2)/2)*HI155+(1-EXP(-LN(2)/2))/(LN(2)/2)*HC156*HF156*VLOOKUP('Données projet (1)'!$B$18,'Paramètres (1)'!$A$1:$I$88,3,0)*0.475*44/12</f>
        <v>#REF!</v>
      </c>
      <c r="HJ156" s="143" t="str">
        <f t="shared" si="105"/>
        <v>#REF!</v>
      </c>
    </row>
    <row r="157" ht="14.25" customHeight="1">
      <c r="A157" s="125">
        <f t="shared" si="106"/>
        <v>154</v>
      </c>
      <c r="B157" s="126" t="str">
        <f t="shared" si="1"/>
        <v>#REF!</v>
      </c>
      <c r="C157" s="140" t="str">
        <f>'Calculateur (1)'!C156+'Scénario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7" s="127">
        <f t="shared" si="107"/>
        <v>0</v>
      </c>
      <c r="E157" s="127" t="str">
        <f t="shared" si="2"/>
        <v>#REF!</v>
      </c>
      <c r="F157" s="127" t="str">
        <f t="shared" si="3"/>
        <v>#REF!</v>
      </c>
      <c r="G157" s="127" t="str">
        <f t="shared" si="4"/>
        <v>#REF!</v>
      </c>
      <c r="H157" s="128" t="str">
        <f t="shared" si="5"/>
        <v>#REF!</v>
      </c>
      <c r="I157" s="129" t="str">
        <f t="shared" si="6"/>
        <v>#REF!</v>
      </c>
      <c r="J157" s="130">
        <f t="shared" si="7"/>
        <v>10</v>
      </c>
      <c r="K157" s="131" t="str">
        <f t="shared" si="108"/>
        <v>#REF!</v>
      </c>
      <c r="L157" s="131" t="str">
        <f t="shared" si="8"/>
        <v>#REF!</v>
      </c>
      <c r="M157" s="131" t="str">
        <f t="array" ref="M157">INDEX(L:L,MIN(IF(ISNUMBER(L157:L353),ROW(L157:L353),"")))</f>
        <v/>
      </c>
      <c r="N157" s="130" t="str">
        <f t="shared" si="109"/>
        <v>#REF!</v>
      </c>
      <c r="O157" s="130" t="str">
        <f>N157*VLOOKUP('Données projet (1)'!$B$9,'Paramètres (1)'!$A$1:$I$88,3,0)*VLOOKUP('Données projet (1)'!$B$9,'Paramètres (1)'!$A$1:$I$88,5,0)</f>
        <v>#REF!</v>
      </c>
      <c r="P157" s="130" t="str">
        <f t="shared" si="110"/>
        <v>#REF!</v>
      </c>
      <c r="Q157" s="141" t="str">
        <f t="shared" si="9"/>
        <v>#REF!</v>
      </c>
      <c r="R157" s="133" t="str">
        <f t="shared" si="10"/>
        <v>#REF!</v>
      </c>
      <c r="S157" s="133" t="str">
        <f t="shared" si="11"/>
        <v>#REF!</v>
      </c>
      <c r="T157" s="133" t="str">
        <f t="shared" si="111"/>
        <v>#REF!</v>
      </c>
      <c r="U157" s="134" t="str">
        <f t="shared" si="12"/>
        <v>#REF!</v>
      </c>
      <c r="V157" s="134" t="str">
        <f t="shared" si="13"/>
        <v>#REF!</v>
      </c>
      <c r="W157" s="135" t="str">
        <f>IF(ISNA(VLOOKUP(A157,'Données projet (1)'!$A$35:$I$55,5,0)),0%,VLOOKUP(A157,'Données projet (1)'!$A$35:$I$55,5,0)*VLOOKUP('Données projet (1)'!$B$9,'Paramètres (1)'!$A$1:$I$88,7,0))</f>
        <v>#REF!</v>
      </c>
      <c r="X157" s="135" t="str">
        <f>IF(ISNA(VLOOKUP(A157,'Données projet (1)'!$A$35:$I$55,6,0)),0%,VLOOKUP(A157,'Données projet (1)'!$A$35:$I$55,6,0)*VLOOKUP('Données projet (1)'!$B$9,'Paramètres (1)'!$A$1:$I$88,7,0))</f>
        <v>#REF!</v>
      </c>
      <c r="Y157" s="135" t="str">
        <f t="shared" si="14"/>
        <v>#REF!</v>
      </c>
      <c r="Z157" s="142" t="str">
        <f>EXP(-LN(2)/35)*Z156+(1-EXP(-LN(2)/35))/(LN(2)/35)*V157*W157*VLOOKUP('Données projet (1)'!$B$9,'Paramètres (1)'!$A$1:$I$88,3,0)*0.475*44/12</f>
        <v>#REF!</v>
      </c>
      <c r="AA157" s="142" t="str">
        <f>EXP(-LN(2)/25)*AA156+(1-EXP(-LN(2)/25))/(LN(2)/25)*'Calculateur (1)'!V157*'Calculateur (1)'!X157*VLOOKUP('Données projet (1)'!$B$9,'Paramètres (1)'!$A$1:$I$88,3,0)*0.475*44/12</f>
        <v>#REF!</v>
      </c>
      <c r="AB157" s="142" t="str">
        <f>EXP(-LN(2)/2)*AB156+(1-EXP(-LN(2)/2))/(LN(2)/2)*V157*Y157*VLOOKUP('Données projet (1)'!$B$9,'Paramètres (1)'!$A$1:$I$88,3,0)*0.475*44/12</f>
        <v>#REF!</v>
      </c>
      <c r="AC157" s="143" t="str">
        <f t="shared" si="15"/>
        <v>#REF!</v>
      </c>
      <c r="AD157" s="130" t="str">
        <f t="shared" si="16"/>
        <v>#REF!</v>
      </c>
      <c r="AE157" s="130">
        <f t="shared" si="17"/>
        <v>10</v>
      </c>
      <c r="AF157" s="131" t="str">
        <f t="shared" si="112"/>
        <v>#REF!</v>
      </c>
      <c r="AG157" s="131" t="str">
        <f t="shared" si="18"/>
        <v>#REF!</v>
      </c>
      <c r="AH157" s="131" t="str">
        <f t="array" ref="AH157">INDEX(AG:AG,MIN(IF(ISNUMBER(AG157:AG353),ROW(AG157:AG353),"")))</f>
        <v/>
      </c>
      <c r="AI157" s="130" t="str">
        <f t="shared" si="113"/>
        <v>#REF!</v>
      </c>
      <c r="AJ157" s="130" t="str">
        <f>AI157*VLOOKUP('Données projet (1)'!$B$10,'Paramètres (1)'!$A$1:$I$88,3,0)*VLOOKUP('Données projet (1)'!$B$10,'Paramètres (1)'!$A$1:$I$88,5,0)</f>
        <v>#REF!</v>
      </c>
      <c r="AK157" s="130" t="str">
        <f t="shared" si="114"/>
        <v>#REF!</v>
      </c>
      <c r="AL157" s="141" t="str">
        <f t="shared" si="19"/>
        <v>#REF!</v>
      </c>
      <c r="AM157" s="133" t="str">
        <f t="shared" si="20"/>
        <v>#REF!</v>
      </c>
      <c r="AN157" s="133" t="str">
        <f t="shared" si="21"/>
        <v>#REF!</v>
      </c>
      <c r="AO157" s="133" t="str">
        <f t="shared" si="115"/>
        <v>#REF!</v>
      </c>
      <c r="AP157" s="134" t="str">
        <f t="shared" si="22"/>
        <v>#REF!</v>
      </c>
      <c r="AQ157" s="134" t="str">
        <f t="shared" si="23"/>
        <v>#REF!</v>
      </c>
      <c r="AR157" s="135" t="str">
        <f>IF(ISNA(VLOOKUP(A157,'Données projet (1)'!$A$61:$I$81,5,0)),0%,VLOOKUP(A157,'Données projet (1)'!$A$61:$I$81,5,0)*VLOOKUP('Données projet (1)'!$B$10,'Paramètres (1)'!$A$1:$I$88,7,0))</f>
        <v>#REF!</v>
      </c>
      <c r="AS157" s="135" t="str">
        <f>IF(ISNA(VLOOKUP(A157,'Données projet (1)'!$A$61:$I$81,6,0)),0%,VLOOKUP(A157,'Données projet (1)'!$A$61:$I$81,6,0)*VLOOKUP('Données projet (1)'!$B$10,'Paramètres (1)'!$A$1:$I$88,7,0))</f>
        <v>#REF!</v>
      </c>
      <c r="AT157" s="135" t="str">
        <f t="shared" si="24"/>
        <v>#REF!</v>
      </c>
      <c r="AU157" s="142" t="str">
        <f>EXP(-LN(2)/35)*AU156+(1-EXP(-LN(2)/35))/(LN(2)/35)*AQ157*AR157*VLOOKUP('Données projet (1)'!$B$10,'Paramètres (1)'!$A$1:$I$88,3,0)*0.475*44/12</f>
        <v>#REF!</v>
      </c>
      <c r="AV157" s="142" t="str">
        <f>EXP(-LN(2)/25)*AV156+(1-EXP(-LN(2)/25))/(LN(2)/25)*'Calculateur (1)'!AQ157*'Calculateur (1)'!AS157*VLOOKUP('Données projet (1)'!$B$10,'Paramètres (1)'!$A$1:$I$88,3,0)*0.475*44/12</f>
        <v>#REF!</v>
      </c>
      <c r="AW157" s="142" t="str">
        <f>EXP(-LN(2)/2)*AW156+(1-EXP(-LN(2)/2))/(LN(2)/2)*AQ157*AT157*VLOOKUP('Données projet (1)'!$B$10,'Paramètres (1)'!$A$1:$I$88,3,0)*0.475*44/12</f>
        <v>#REF!</v>
      </c>
      <c r="AX157" s="142" t="str">
        <f t="shared" si="25"/>
        <v>#REF!</v>
      </c>
      <c r="AY157" s="137" t="str">
        <f t="shared" si="26"/>
        <v>#REF!</v>
      </c>
      <c r="AZ157" s="131">
        <f t="shared" si="27"/>
        <v>10</v>
      </c>
      <c r="BA157" s="131" t="str">
        <f t="shared" si="116"/>
        <v>#REF!</v>
      </c>
      <c r="BB157" s="131" t="str">
        <f t="shared" si="28"/>
        <v>#REF!</v>
      </c>
      <c r="BC157" s="131" t="str">
        <f t="array" ref="BC157">INDEX(BB:BB,MIN(IF(ISNUMBER(BB157:BB353),ROW(BB157:BB353),"")))</f>
        <v/>
      </c>
      <c r="BD157" s="131" t="str">
        <f t="shared" si="117"/>
        <v>#REF!</v>
      </c>
      <c r="BE157" s="130" t="str">
        <f>BD157*VLOOKUP('Données projet (1)'!$B$11,'Paramètres (1)'!$A$1:$I$88,3,0)*VLOOKUP('Données projet (1)'!$B$11,'Paramètres (1)'!$A$1:$I$88,5,0)</f>
        <v>#REF!</v>
      </c>
      <c r="BF157" s="130" t="str">
        <f t="shared" si="118"/>
        <v>#REF!</v>
      </c>
      <c r="BG157" s="141" t="str">
        <f t="shared" si="29"/>
        <v>#REF!</v>
      </c>
      <c r="BH157" s="133" t="str">
        <f t="shared" si="30"/>
        <v>#REF!</v>
      </c>
      <c r="BI157" s="133" t="str">
        <f t="shared" si="31"/>
        <v>#REF!</v>
      </c>
      <c r="BJ157" s="133" t="str">
        <f t="shared" si="119"/>
        <v>#REF!</v>
      </c>
      <c r="BK157" s="134" t="str">
        <f t="shared" si="32"/>
        <v>#REF!</v>
      </c>
      <c r="BL157" s="134" t="str">
        <f t="shared" si="33"/>
        <v>#REF!</v>
      </c>
      <c r="BM157" s="135" t="str">
        <f>IF(ISNA(VLOOKUP(A157,'Données projet (1)'!$A$87:$I$107,5,0)),0%,VLOOKUP(A157,'Données projet (1)'!$A$87:$I$107,5,0)*VLOOKUP('Données projet (1)'!$B$11,'Paramètres (1)'!$A$1:$I$88,7,0))</f>
        <v>#REF!</v>
      </c>
      <c r="BN157" s="135" t="str">
        <f>IF(ISNA(VLOOKUP(A157,'Données projet (1)'!$A$87:$I$107,6,0)),0%,VLOOKUP(A157,'Données projet (1)'!$A$87:$I$107,6,0)*VLOOKUP('Données projet (1)'!$B$11,'Paramètres (1)'!$A$1:$I$88,7,0))</f>
        <v>#REF!</v>
      </c>
      <c r="BO157" s="135" t="str">
        <f t="shared" si="34"/>
        <v>#REF!</v>
      </c>
      <c r="BP157" s="142" t="str">
        <f>EXP(-LN(2)/35)*BP156+(1-EXP(-LN(2)/35))/(LN(2)/35)*BL157*BM157*VLOOKUP('Données projet (1)'!$B$11,'Paramètres (1)'!$A$1:$I$88,3,0)*0.475*44/12</f>
        <v>#REF!</v>
      </c>
      <c r="BQ157" s="142" t="str">
        <f>EXP(-LN(2)/25)*BQ156+(1-EXP(-LN(2)/25))/(LN(2)/25)*'Calculateur (1)'!BL157*'Calculateur (1)'!BN157*VLOOKUP('Données projet (1)'!$B$11,'Paramètres (1)'!$A$1:$I$88,3,0)*0.475*44/12</f>
        <v>#REF!</v>
      </c>
      <c r="BR157" s="142" t="str">
        <f>EXP(-LN(2)/2)*BR156+(1-EXP(-LN(2)/2))/(LN(2)/2)*BL157*BO157*VLOOKUP('Données projet (1)'!$B$11,'Paramètres (1)'!$A$1:$I$88,3,0)*0.475*44/12</f>
        <v>#REF!</v>
      </c>
      <c r="BS157" s="143" t="str">
        <f t="shared" si="35"/>
        <v>#REF!</v>
      </c>
      <c r="BT157" s="139" t="str">
        <f t="shared" si="36"/>
        <v>#REF!</v>
      </c>
      <c r="BU157" s="131">
        <f t="shared" si="37"/>
        <v>10</v>
      </c>
      <c r="BV157" s="131" t="str">
        <f t="shared" si="120"/>
        <v>#REF!</v>
      </c>
      <c r="BW157" s="131" t="str">
        <f t="shared" si="38"/>
        <v>#REF!</v>
      </c>
      <c r="BX157" s="131" t="str">
        <f t="array" ref="BX157">INDEX(BW:BW,MIN(IF(ISNUMBER(BW157:BW353),ROW(BW157:BW353),"")))</f>
        <v/>
      </c>
      <c r="BY157" s="131" t="str">
        <f t="shared" si="121"/>
        <v>#REF!</v>
      </c>
      <c r="BZ157" s="130" t="str">
        <f>BY157*VLOOKUP('Données projet (1)'!$B$12,'Paramètres (1)'!$A$1:$I$88,3,0)*VLOOKUP('Données projet (1)'!$B$12,'Paramètres (1)'!$A$1:$I$88,5,0)</f>
        <v>#REF!</v>
      </c>
      <c r="CA157" s="130" t="str">
        <f t="shared" si="122"/>
        <v>#REF!</v>
      </c>
      <c r="CB157" s="141" t="str">
        <f t="shared" si="39"/>
        <v>#REF!</v>
      </c>
      <c r="CC157" s="133" t="str">
        <f t="shared" si="40"/>
        <v>#REF!</v>
      </c>
      <c r="CD157" s="133" t="str">
        <f t="shared" si="41"/>
        <v>#REF!</v>
      </c>
      <c r="CE157" s="133" t="str">
        <f t="shared" si="123"/>
        <v>#REF!</v>
      </c>
      <c r="CF157" s="134" t="str">
        <f t="shared" si="42"/>
        <v>#REF!</v>
      </c>
      <c r="CG157" s="134" t="str">
        <f t="shared" si="43"/>
        <v>#REF!</v>
      </c>
      <c r="CH157" s="135" t="str">
        <f>IF(ISNA(VLOOKUP(A157,'Données projet (1)'!$A$113:$I$133,5,0)),0%,VLOOKUP(A157,'Données projet (1)'!$A$113:$I$133,5,0)*VLOOKUP('Données projet (1)'!$B$12,'Paramètres (1)'!$A$1:$I$88,7,0))</f>
        <v>#REF!</v>
      </c>
      <c r="CI157" s="135" t="str">
        <f>IF(ISNA(VLOOKUP(A157,'Données projet (1)'!$A$113:$I$133,6,0)),0%,VLOOKUP(A157,'Données projet (1)'!$A$113:$I$133,6,0)*VLOOKUP('Données projet (1)'!$B$12,'Paramètres (1)'!$A$1:$I$88,7,0))</f>
        <v>#REF!</v>
      </c>
      <c r="CJ157" s="135" t="str">
        <f t="shared" si="44"/>
        <v>#REF!</v>
      </c>
      <c r="CK157" s="142" t="str">
        <f>EXP(-LN(2)/35)*CK156+(1-EXP(-LN(2)/35))/(LN(2)/35)*CG157*CH157*VLOOKUP('Données projet (1)'!$B$12,'Paramètres (1)'!$A$1:$I$88,3,0)*0.475*44/12</f>
        <v>#REF!</v>
      </c>
      <c r="CL157" s="142" t="str">
        <f>EXP(-LN(2)/25)*CL156+(1-EXP(-LN(2)/25))/(LN(2)/25)*'Calculateur (1)'!CG157*'Calculateur (1)'!CI157*VLOOKUP('Données projet (1)'!$B$12,'Paramètres (1)'!$A$1:$I$88,3,0)*0.475*44/12</f>
        <v>#REF!</v>
      </c>
      <c r="CM157" s="142" t="str">
        <f>EXP(-LN(2)/2)*CM156+(1-EXP(-LN(2)/2))/(LN(2)/2)*CG157*CJ157*VLOOKUP('Données projet (1)'!$B$12,'Paramètres (1)'!$A$1:$I$88,3,0)*0.475*44/12</f>
        <v>#REF!</v>
      </c>
      <c r="CN157" s="143" t="str">
        <f t="shared" si="45"/>
        <v>#REF!</v>
      </c>
      <c r="CO157" s="139" t="str">
        <f t="shared" si="46"/>
        <v>#REF!</v>
      </c>
      <c r="CP157" s="131">
        <f t="shared" si="47"/>
        <v>10</v>
      </c>
      <c r="CQ157" s="131" t="str">
        <f t="shared" si="124"/>
        <v>#REF!</v>
      </c>
      <c r="CR157" s="131" t="str">
        <f t="shared" si="48"/>
        <v>#REF!</v>
      </c>
      <c r="CS157" s="131" t="str">
        <f t="array" ref="CS157">INDEX(CR:CR,MIN(IF(ISNUMBER(CR157:CR353),ROW(CR157:CR353),"")))</f>
        <v/>
      </c>
      <c r="CT157" s="131" t="str">
        <f t="shared" si="125"/>
        <v>#REF!</v>
      </c>
      <c r="CU157" s="138" t="str">
        <f>CT157*VLOOKUP('Données projet (1)'!$B$13,'Paramètres (1)'!$A$1:$I$88,3,0)*VLOOKUP('Données projet (1)'!$B$13,'Paramètres (1)'!$A$1:$I$88,5,0)</f>
        <v>#REF!</v>
      </c>
      <c r="CV157" s="130" t="str">
        <f t="shared" si="126"/>
        <v>#REF!</v>
      </c>
      <c r="CW157" s="141" t="str">
        <f t="shared" si="49"/>
        <v>#REF!</v>
      </c>
      <c r="CX157" s="133" t="str">
        <f t="shared" si="50"/>
        <v>#REF!</v>
      </c>
      <c r="CY157" s="133" t="str">
        <f t="shared" si="51"/>
        <v>#REF!</v>
      </c>
      <c r="CZ157" s="133" t="str">
        <f t="shared" si="127"/>
        <v>#REF!</v>
      </c>
      <c r="DA157" s="134" t="str">
        <f t="shared" si="52"/>
        <v>#REF!</v>
      </c>
      <c r="DB157" s="134" t="str">
        <f t="shared" si="53"/>
        <v>#REF!</v>
      </c>
      <c r="DC157" s="135" t="str">
        <f>IF(ISNA(VLOOKUP(A157,'Données projet (1)'!$A$139:$I$159,5,0)),0%,VLOOKUP(A157,'Données projet (1)'!$A$139:$I$159,5,0)*VLOOKUP('Données projet (1)'!$B$13,'Paramètres (1)'!$A$1:$I$88,7,0))</f>
        <v>#REF!</v>
      </c>
      <c r="DD157" s="135" t="str">
        <f>IF(ISNA(VLOOKUP(A157,'Données projet (1)'!$A$139:$I$159,6,0)),0%,VLOOKUP(A157,'Données projet (1)'!$A$139:$I$159,6,0)*VLOOKUP('Données projet (1)'!$B$13,'Paramètres (1)'!$A$1:$I$88,7,0))</f>
        <v>#REF!</v>
      </c>
      <c r="DE157" s="135" t="str">
        <f t="shared" si="54"/>
        <v>#REF!</v>
      </c>
      <c r="DF157" s="142" t="str">
        <f>EXP(-LN(2)/35)*DF156+(1-EXP(-LN(2)/35))/(LN(2)/35)*DB157*DC157*VLOOKUP('Données projet (1)'!$B$13,'Paramètres (1)'!$A$1:$I$88,3,0)*0.475*44/12</f>
        <v>#REF!</v>
      </c>
      <c r="DG157" s="142" t="str">
        <f>EXP(-LN(2)/25)*DG156+(1-EXP(-LN(2)/25))/(LN(2)/25)*'Calculateur (1)'!DB157*'Calculateur (1)'!DD157*VLOOKUP('Données projet (1)'!$B$13,'Paramètres (1)'!$A$1:$I$88,3,0)*0.475*44/12</f>
        <v>#REF!</v>
      </c>
      <c r="DH157" s="142" t="str">
        <f>EXP(-LN(2)/2)*DH156+(1-EXP(-LN(2)/2))/(LN(2)/2)*DB157*DE157*VLOOKUP('Données projet (1)'!$B$13,'Paramètres (1)'!$A$1:$I$88,3,0)*0.475*44/12</f>
        <v>#REF!</v>
      </c>
      <c r="DI157" s="143" t="str">
        <f t="shared" si="55"/>
        <v>#REF!</v>
      </c>
      <c r="DJ157" s="139" t="str">
        <f t="shared" si="56"/>
        <v>#REF!</v>
      </c>
      <c r="DK157" s="131">
        <f t="shared" si="57"/>
        <v>10</v>
      </c>
      <c r="DL157" s="131" t="str">
        <f t="shared" si="128"/>
        <v>#REF!</v>
      </c>
      <c r="DM157" s="131" t="str">
        <f t="shared" si="58"/>
        <v>#REF!</v>
      </c>
      <c r="DN157" s="131" t="str">
        <f t="array" ref="DN157">INDEX(DM:DM,MIN(IF(ISNUMBER(DM157:DM353),ROW(DM157:DM353),"")))</f>
        <v/>
      </c>
      <c r="DO157" s="131" t="str">
        <f t="shared" si="129"/>
        <v>#REF!</v>
      </c>
      <c r="DP157" s="138" t="str">
        <f>DO157*VLOOKUP('Données projet (1)'!$B$14,'Paramètres (1)'!$A$1:$I$88,3,0)*VLOOKUP('Données projet (1)'!$B$14,'Paramètres (1)'!$A$1:$I$88,5,0)</f>
        <v>#REF!</v>
      </c>
      <c r="DQ157" s="130" t="str">
        <f t="shared" si="130"/>
        <v>#REF!</v>
      </c>
      <c r="DR157" s="141" t="str">
        <f t="shared" si="59"/>
        <v>#REF!</v>
      </c>
      <c r="DS157" s="133" t="str">
        <f t="shared" si="60"/>
        <v>#REF!</v>
      </c>
      <c r="DT157" s="133" t="str">
        <f t="shared" si="61"/>
        <v>#REF!</v>
      </c>
      <c r="DU157" s="133" t="str">
        <f t="shared" si="131"/>
        <v>#REF!</v>
      </c>
      <c r="DV157" s="134" t="str">
        <f t="shared" si="62"/>
        <v>#REF!</v>
      </c>
      <c r="DW157" s="134" t="str">
        <f t="shared" si="63"/>
        <v>#REF!</v>
      </c>
      <c r="DX157" s="135" t="str">
        <f>IF(ISNA(VLOOKUP(A157,'Données projet (1)'!$A$165:$I$185,5,0)),0%,VLOOKUP(A157,'Données projet (1)'!$A$165:$I$185,5,0)*VLOOKUP('Données projet (1)'!$B$14,'Paramètres (1)'!$A$1:$I$88,7,0))</f>
        <v>#REF!</v>
      </c>
      <c r="DY157" s="135" t="str">
        <f>IF(ISNA(VLOOKUP(A157,'Données projet (1)'!$A$165:$I$185,6,0)),0%,VLOOKUP(A157,'Données projet (1)'!$A$165:$I$185,6,0)*VLOOKUP('Données projet (1)'!$B$14,'Paramètres (1)'!$A$1:$I$88,7,0))</f>
        <v>#REF!</v>
      </c>
      <c r="DZ157" s="135" t="str">
        <f t="shared" si="64"/>
        <v>#REF!</v>
      </c>
      <c r="EA157" s="142" t="str">
        <f>EXP(-LN(2)/35)*EA156+(1-EXP(-LN(2)/35))/(LN(2)/35)*DW157*DX157*VLOOKUP('Données projet (1)'!$B$14,'Paramètres (1)'!$A$1:$I$88,3,0)*0.475*44/12</f>
        <v>#REF!</v>
      </c>
      <c r="EB157" s="142" t="str">
        <f>EXP(-LN(2)/25)*EB156+(1-EXP(-LN(2)/25))/(LN(2)/25)*'Calculateur (1)'!DW157*'Calculateur (1)'!DY157*VLOOKUP('Données projet (1)'!$B$14,'Paramètres (1)'!$A$1:$I$88,3,0)*0.475*44/12</f>
        <v>#REF!</v>
      </c>
      <c r="EC157" s="142" t="str">
        <f>EXP(-LN(2)/2)*EC156+(1-EXP(-LN(2)/2))/(LN(2)/2)*DW157*DZ157*VLOOKUP('Données projet (1)'!$B$14,'Paramètres (1)'!$A$1:$I$88,3,0)*0.475*44/12</f>
        <v>#REF!</v>
      </c>
      <c r="ED157" s="143" t="str">
        <f t="shared" si="65"/>
        <v>#REF!</v>
      </c>
      <c r="EE157" s="139" t="str">
        <f t="shared" si="66"/>
        <v>#REF!</v>
      </c>
      <c r="EF157" s="131">
        <f t="shared" si="67"/>
        <v>10</v>
      </c>
      <c r="EG157" s="131" t="str">
        <f t="shared" si="132"/>
        <v>#REF!</v>
      </c>
      <c r="EH157" s="131" t="str">
        <f t="shared" si="68"/>
        <v>#REF!</v>
      </c>
      <c r="EI157" s="131" t="str">
        <f t="array" ref="EI157">INDEX(EH:EH,MIN(IF(ISNUMBER(EH157:EH353),ROW(EH157:EH353),"")))</f>
        <v/>
      </c>
      <c r="EJ157" s="131" t="str">
        <f t="shared" si="133"/>
        <v>#REF!</v>
      </c>
      <c r="EK157" s="138" t="str">
        <f>EJ157*VLOOKUP('Données projet (1)'!$B$15,'Paramètres (1)'!$A$1:$I$88,3,0)*VLOOKUP('Données projet (1)'!$B$15,'Paramètres (1)'!$A$1:$I$88,5,0)</f>
        <v>#REF!</v>
      </c>
      <c r="EL157" s="130" t="str">
        <f t="shared" si="134"/>
        <v>#REF!</v>
      </c>
      <c r="EM157" s="141" t="str">
        <f t="shared" si="69"/>
        <v>#REF!</v>
      </c>
      <c r="EN157" s="133" t="str">
        <f t="shared" si="70"/>
        <v>#REF!</v>
      </c>
      <c r="EO157" s="133" t="str">
        <f t="shared" si="71"/>
        <v>#REF!</v>
      </c>
      <c r="EP157" s="133" t="str">
        <f t="shared" si="135"/>
        <v>#REF!</v>
      </c>
      <c r="EQ157" s="134" t="str">
        <f t="shared" si="72"/>
        <v>#REF!</v>
      </c>
      <c r="ER157" s="134" t="str">
        <f t="shared" si="73"/>
        <v>#REF!</v>
      </c>
      <c r="ES157" s="135" t="str">
        <f>IF(ISNA(VLOOKUP(A157,'Données projet (1)'!$A$191:$I$211,5,0)),0%,VLOOKUP(A157,'Données projet (1)'!$A$191:$I$211,5,0)*VLOOKUP('Données projet (1)'!$B$15,'Paramètres (1)'!$A$1:$I$88,7,0))</f>
        <v>#REF!</v>
      </c>
      <c r="ET157" s="135" t="str">
        <f>IF(ISNA(VLOOKUP(A157,'Données projet (1)'!$A$191:$I$211,6,0)),0%,VLOOKUP(A157,'Données projet (1)'!$A$191:$I$211,6,0)*VLOOKUP('Données projet (1)'!$B$15,'Paramètres (1)'!$A$1:$I$88,7,0))</f>
        <v>#REF!</v>
      </c>
      <c r="EU157" s="135" t="str">
        <f t="shared" si="74"/>
        <v>#REF!</v>
      </c>
      <c r="EV157" s="142" t="str">
        <f>EXP(-LN(2)/35)*EV156+(1-EXP(-LN(2)/35))/(LN(2)/35)*ER157*ES157*VLOOKUP('Données projet (1)'!$B$15,'Paramètres (1)'!$A$1:$I$88,3,0)*0.475*44/12</f>
        <v>#REF!</v>
      </c>
      <c r="EW157" s="142" t="str">
        <f>EXP(-LN(2)/25)*EW156+(1-EXP(-LN(2)/25))/(LN(2)/25)*'Calculateur (1)'!ER157*'Calculateur (1)'!ET157*VLOOKUP('Données projet (1)'!$B$15,'Paramètres (1)'!$A$1:$I$88,3,0)*0.475*44/12</f>
        <v>#REF!</v>
      </c>
      <c r="EX157" s="142" t="str">
        <f>EXP(-LN(2)/2)*EX156+(1-EXP(-LN(2)/2))/(LN(2)/2)*ER157*EU157*VLOOKUP('Données projet (1)'!$B$15,'Paramètres (1)'!$A$1:$I$88,3,0)*0.475*44/12</f>
        <v>#REF!</v>
      </c>
      <c r="EY157" s="143" t="str">
        <f t="shared" si="75"/>
        <v>#REF!</v>
      </c>
      <c r="EZ157" s="139" t="str">
        <f t="shared" si="76"/>
        <v>#REF!</v>
      </c>
      <c r="FA157" s="131">
        <f t="shared" si="77"/>
        <v>10</v>
      </c>
      <c r="FB157" s="131" t="str">
        <f t="shared" si="136"/>
        <v>#REF!</v>
      </c>
      <c r="FC157" s="131" t="str">
        <f t="shared" si="78"/>
        <v>#REF!</v>
      </c>
      <c r="FD157" s="131" t="str">
        <f t="array" ref="FD157">INDEX(FC:FC,MIN(IF(ISNUMBER(FC157:FC353),ROW(FC157:FC353),"")))</f>
        <v/>
      </c>
      <c r="FE157" s="131" t="str">
        <f t="shared" si="137"/>
        <v>#REF!</v>
      </c>
      <c r="FF157" s="138" t="str">
        <f>FE157*VLOOKUP('Données projet (1)'!$B$16,'Paramètres (1)'!$A$1:$I$88,3,0)*VLOOKUP('Données projet (1)'!$B$16,'Paramètres (1)'!$A$1:$I$88,5,0)</f>
        <v>#REF!</v>
      </c>
      <c r="FG157" s="130" t="str">
        <f t="shared" si="138"/>
        <v>#REF!</v>
      </c>
      <c r="FH157" s="141" t="str">
        <f t="shared" si="79"/>
        <v>#REF!</v>
      </c>
      <c r="FI157" s="133" t="str">
        <f t="shared" si="80"/>
        <v>#REF!</v>
      </c>
      <c r="FJ157" s="133" t="str">
        <f t="shared" si="81"/>
        <v>#REF!</v>
      </c>
      <c r="FK157" s="133" t="str">
        <f t="shared" si="139"/>
        <v>#REF!</v>
      </c>
      <c r="FL157" s="134" t="str">
        <f t="shared" si="82"/>
        <v>#REF!</v>
      </c>
      <c r="FM157" s="134" t="str">
        <f t="shared" si="83"/>
        <v>#REF!</v>
      </c>
      <c r="FN157" s="135" t="str">
        <f>IF(ISNA(VLOOKUP(A157,'Données projet (1)'!$A$217:$I$237,5,0)),0%,VLOOKUP(A157,'Données projet (1)'!$A$217:$I$237,5,0)*VLOOKUP('Données projet (1)'!$B$16,'Paramètres (1)'!$A$1:$I$88,7,0))</f>
        <v>#REF!</v>
      </c>
      <c r="FO157" s="135" t="str">
        <f>IF(ISNA(VLOOKUP(A157,'Données projet (1)'!$A$217:$I$237,6,0)),0%,VLOOKUP(A157,'Données projet (1)'!$A$217:$I$237,6,0)*VLOOKUP('Données projet (1)'!$B$16,'Paramètres (1)'!$A$1:$I$88,7,0))</f>
        <v>#REF!</v>
      </c>
      <c r="FP157" s="135" t="str">
        <f t="shared" si="84"/>
        <v>#REF!</v>
      </c>
      <c r="FQ157" s="142" t="str">
        <f>EXP(-LN(2)/35)*FQ156+(1-EXP(-LN(2)/35))/(LN(2)/35)*FM157*FN157*VLOOKUP('Données projet (1)'!$B$16,'Paramètres (1)'!$A$1:$I$88,3,0)*0.475*44/12</f>
        <v>#REF!</v>
      </c>
      <c r="FR157" s="142" t="str">
        <f>EXP(-LN(2)/25)*FR156+(1-EXP(-LN(2)/25))/(LN(2)/25)*'Calculateur (1)'!FM157*'Calculateur (1)'!FO157*VLOOKUP('Données projet (1)'!$B$16,'Paramètres (1)'!$A$1:$I$88,3,0)*0.475*44/12</f>
        <v>#REF!</v>
      </c>
      <c r="FS157" s="142" t="str">
        <f>EXP(-LN(2)/2)*FS156+(1-EXP(-LN(2)/2))/(LN(2)/2)*FM157*FP157*VLOOKUP('Données projet (1)'!$B$16,'Paramètres (1)'!$A$1:$I$88,3,0)*0.475*44/12</f>
        <v>#REF!</v>
      </c>
      <c r="FT157" s="143" t="str">
        <f t="shared" si="85"/>
        <v>#REF!</v>
      </c>
      <c r="FU157" s="139" t="str">
        <f t="shared" si="86"/>
        <v>#REF!</v>
      </c>
      <c r="FV157" s="131">
        <f t="shared" si="87"/>
        <v>10</v>
      </c>
      <c r="FW157" s="131" t="str">
        <f t="shared" si="140"/>
        <v>#REF!</v>
      </c>
      <c r="FX157" s="131" t="str">
        <f t="shared" si="88"/>
        <v>#REF!</v>
      </c>
      <c r="FY157" s="131" t="str">
        <f t="array" ref="FY157">INDEX(FX:FX,MIN(IF(ISNUMBER(FX157:FX353),ROW(FX157:FX353),"")))</f>
        <v/>
      </c>
      <c r="FZ157" s="131" t="str">
        <f t="shared" si="141"/>
        <v>#REF!</v>
      </c>
      <c r="GA157" s="138" t="str">
        <f>FZ157*VLOOKUP('Données projet (1)'!$B$17,'Paramètres (1)'!$A$1:$I$88,3,0)*VLOOKUP('Données projet (1)'!$B$17,'Paramètres (1)'!$A$1:$I$88,5,0)</f>
        <v>#REF!</v>
      </c>
      <c r="GB157" s="130" t="str">
        <f t="shared" si="142"/>
        <v>#REF!</v>
      </c>
      <c r="GC157" s="141" t="str">
        <f t="shared" si="89"/>
        <v>#REF!</v>
      </c>
      <c r="GD157" s="133" t="str">
        <f t="shared" si="90"/>
        <v>#REF!</v>
      </c>
      <c r="GE157" s="133" t="str">
        <f t="shared" si="91"/>
        <v>#REF!</v>
      </c>
      <c r="GF157" s="133" t="str">
        <f t="shared" si="143"/>
        <v>#REF!</v>
      </c>
      <c r="GG157" s="134" t="str">
        <f t="shared" si="92"/>
        <v>#REF!</v>
      </c>
      <c r="GH157" s="134" t="str">
        <f t="shared" si="93"/>
        <v>#REF!</v>
      </c>
      <c r="GI157" s="135" t="str">
        <f>IF(ISNA(VLOOKUP(A157,'Données projet (1)'!$A$243:$I$263,5,0)),0%,VLOOKUP(A157,'Données projet (1)'!$A$243:$I$263,5,0)*VLOOKUP('Données projet (1)'!$B$17,'Paramètres (1)'!$A$1:$I$88,7,0))</f>
        <v>#REF!</v>
      </c>
      <c r="GJ157" s="135" t="str">
        <f>IF(ISNA(VLOOKUP(A157,'Données projet (1)'!$A$243:$I$263,6,0)),0%,VLOOKUP(A157,'Données projet (1)'!$A$243:$I$263,6,0)*VLOOKUP('Données projet (1)'!$B$17,'Paramètres (1)'!$A$1:$I$88,7,0))</f>
        <v>#REF!</v>
      </c>
      <c r="GK157" s="135" t="str">
        <f t="shared" si="94"/>
        <v>#REF!</v>
      </c>
      <c r="GL157" s="142" t="str">
        <f>EXP(-LN(2)/35)*GL156+(1-EXP(-LN(2)/35))/(LN(2)/35)*GH157*GI157*VLOOKUP('Données projet (1)'!$B$17,'Paramètres (1)'!$A$1:$I$88,3,0)*0.475*44/12</f>
        <v>#REF!</v>
      </c>
      <c r="GM157" s="142" t="str">
        <f>EXP(-LN(2)/25)*GM156+(1-EXP(-LN(2)/25))/(LN(2)/25)*'Calculateur (1)'!GH157*'Calculateur (1)'!GJ157*VLOOKUP('Données projet (1)'!$B$17,'Paramètres (1)'!$A$1:$I$88,3,0)*0.475*44/12</f>
        <v>#REF!</v>
      </c>
      <c r="GN157" s="142" t="str">
        <f>EXP(-LN(2)/2)*GN156+(1-EXP(-LN(2)/2))/(LN(2)/2)*GH157*GK157*VLOOKUP('Données projet (1)'!$B$17,'Paramètres (1)'!$A$1:$I$88,3,0)*0.475*44/12</f>
        <v>#REF!</v>
      </c>
      <c r="GO157" s="142" t="str">
        <f t="shared" si="95"/>
        <v>#REF!</v>
      </c>
      <c r="GP157" s="139" t="str">
        <f t="shared" si="96"/>
        <v>#REF!</v>
      </c>
      <c r="GQ157" s="131">
        <f t="shared" si="97"/>
        <v>10</v>
      </c>
      <c r="GR157" s="131" t="str">
        <f t="shared" si="144"/>
        <v>#REF!</v>
      </c>
      <c r="GS157" s="131" t="str">
        <f t="shared" si="98"/>
        <v>#REF!</v>
      </c>
      <c r="GT157" s="131" t="str">
        <f t="array" ref="GT157">INDEX(GS:GS,MIN(IF(ISNUMBER(GS157:GS353),ROW(GS157:GS353),"")))</f>
        <v/>
      </c>
      <c r="GU157" s="131" t="str">
        <f t="shared" si="145"/>
        <v>#REF!</v>
      </c>
      <c r="GV157" s="138" t="str">
        <f>GU157*VLOOKUP('Données projet (1)'!$B$18,'Paramètres (1)'!$A$1:$I$88,3,0)*VLOOKUP('Données projet (1)'!$B$18,'Paramètres (1)'!$A$1:$I$88,5,0)</f>
        <v>#REF!</v>
      </c>
      <c r="GW157" s="130" t="str">
        <f t="shared" si="146"/>
        <v>#REF!</v>
      </c>
      <c r="GX157" s="141" t="str">
        <f t="shared" si="99"/>
        <v>#REF!</v>
      </c>
      <c r="GY157" s="133" t="str">
        <f t="shared" si="100"/>
        <v>#REF!</v>
      </c>
      <c r="GZ157" s="133" t="str">
        <f t="shared" si="101"/>
        <v>#REF!</v>
      </c>
      <c r="HA157" s="133" t="str">
        <f t="shared" si="147"/>
        <v>#REF!</v>
      </c>
      <c r="HB157" s="134" t="str">
        <f t="shared" si="102"/>
        <v>#REF!</v>
      </c>
      <c r="HC157" s="134" t="str">
        <f t="shared" si="103"/>
        <v>#REF!</v>
      </c>
      <c r="HD157" s="135" t="str">
        <f>IF(ISNA(VLOOKUP(A157,'Données projet (1)'!$A$269:$I$289,5,0)),0%,VLOOKUP(A157,'Données projet (1)'!$A$269:$I$289,5,0)*VLOOKUP('Données projet (1)'!$B$18,'Paramètres (1)'!$A$1:$I$88,7,0))</f>
        <v>#REF!</v>
      </c>
      <c r="HE157" s="135" t="str">
        <f>IF(ISNA(VLOOKUP(A157,'Données projet (1)'!$A$269:$I$289,6,0)),0%,VLOOKUP(A157,'Données projet (1)'!$A$269:$I$289,6,0)*VLOOKUP('Données projet (1)'!$B$18,'Paramètres (1)'!$A$1:$I$88,7,0))</f>
        <v>#REF!</v>
      </c>
      <c r="HF157" s="135" t="str">
        <f t="shared" si="104"/>
        <v>#REF!</v>
      </c>
      <c r="HG157" s="142" t="str">
        <f>EXP(-LN(2)/35)*HG156+(1-EXP(-LN(2)/35))/(LN(2)/35)*HC157*HD157*VLOOKUP('Données projet (1)'!$B$18,'Paramètres (1)'!$A$1:$I$88,3,0)*0.475*44/12</f>
        <v>#REF!</v>
      </c>
      <c r="HH157" s="142" t="str">
        <f>EXP(-LN(2)/25)*HH156+(1-EXP(-LN(2)/25))/(LN(2)/25)*'Calculateur (1)'!HC157*'Calculateur (1)'!HE157*VLOOKUP('Données projet (1)'!$B$18,'Paramètres (1)'!$A$1:$I$88,3,0)*0.475*44/12</f>
        <v>#REF!</v>
      </c>
      <c r="HI157" s="142" t="str">
        <f>EXP(-LN(2)/2)*HI156+(1-EXP(-LN(2)/2))/(LN(2)/2)*HC157*HF157*VLOOKUP('Données projet (1)'!$B$18,'Paramètres (1)'!$A$1:$I$88,3,0)*0.475*44/12</f>
        <v>#REF!</v>
      </c>
      <c r="HJ157" s="143" t="str">
        <f t="shared" si="105"/>
        <v>#REF!</v>
      </c>
    </row>
    <row r="158" ht="14.25" customHeight="1">
      <c r="A158" s="125">
        <f t="shared" si="106"/>
        <v>155</v>
      </c>
      <c r="B158" s="126" t="str">
        <f t="shared" si="1"/>
        <v>#REF!</v>
      </c>
      <c r="C158" s="140" t="str">
        <f>'Calculateur (1)'!C157+'Scénario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8" s="127">
        <f t="shared" si="107"/>
        <v>0</v>
      </c>
      <c r="E158" s="127" t="str">
        <f t="shared" si="2"/>
        <v>#REF!</v>
      </c>
      <c r="F158" s="127" t="str">
        <f t="shared" si="3"/>
        <v>#REF!</v>
      </c>
      <c r="G158" s="127" t="str">
        <f t="shared" si="4"/>
        <v>#REF!</v>
      </c>
      <c r="H158" s="128" t="str">
        <f t="shared" si="5"/>
        <v>#REF!</v>
      </c>
      <c r="I158" s="129" t="str">
        <f t="shared" si="6"/>
        <v>#REF!</v>
      </c>
      <c r="J158" s="130">
        <f t="shared" si="7"/>
        <v>10</v>
      </c>
      <c r="K158" s="131" t="str">
        <f t="shared" si="108"/>
        <v>#REF!</v>
      </c>
      <c r="L158" s="131" t="str">
        <f t="shared" si="8"/>
        <v>#REF!</v>
      </c>
      <c r="M158" s="131" t="str">
        <f t="array" ref="M158">INDEX(L:L,MIN(IF(ISNUMBER(L158:L354),ROW(L158:L354),"")))</f>
        <v/>
      </c>
      <c r="N158" s="130" t="str">
        <f t="shared" si="109"/>
        <v>#REF!</v>
      </c>
      <c r="O158" s="130" t="str">
        <f>N158*VLOOKUP('Données projet (1)'!$B$9,'Paramètres (1)'!$A$1:$I$88,3,0)*VLOOKUP('Données projet (1)'!$B$9,'Paramètres (1)'!$A$1:$I$88,5,0)</f>
        <v>#REF!</v>
      </c>
      <c r="P158" s="130" t="str">
        <f t="shared" si="110"/>
        <v>#REF!</v>
      </c>
      <c r="Q158" s="141" t="str">
        <f t="shared" si="9"/>
        <v>#REF!</v>
      </c>
      <c r="R158" s="133" t="str">
        <f t="shared" si="10"/>
        <v>#REF!</v>
      </c>
      <c r="S158" s="133" t="str">
        <f t="shared" si="11"/>
        <v>#REF!</v>
      </c>
      <c r="T158" s="133" t="str">
        <f t="shared" si="111"/>
        <v>#REF!</v>
      </c>
      <c r="U158" s="134" t="str">
        <f t="shared" si="12"/>
        <v>#REF!</v>
      </c>
      <c r="V158" s="134" t="str">
        <f t="shared" si="13"/>
        <v>#REF!</v>
      </c>
      <c r="W158" s="135" t="str">
        <f>IF(ISNA(VLOOKUP(A158,'Données projet (1)'!$A$35:$I$55,5,0)),0%,VLOOKUP(A158,'Données projet (1)'!$A$35:$I$55,5,0)*VLOOKUP('Données projet (1)'!$B$9,'Paramètres (1)'!$A$1:$I$88,7,0))</f>
        <v>#REF!</v>
      </c>
      <c r="X158" s="135" t="str">
        <f>IF(ISNA(VLOOKUP(A158,'Données projet (1)'!$A$35:$I$55,6,0)),0%,VLOOKUP(A158,'Données projet (1)'!$A$35:$I$55,6,0)*VLOOKUP('Données projet (1)'!$B$9,'Paramètres (1)'!$A$1:$I$88,7,0))</f>
        <v>#REF!</v>
      </c>
      <c r="Y158" s="135" t="str">
        <f t="shared" si="14"/>
        <v>#REF!</v>
      </c>
      <c r="Z158" s="142" t="str">
        <f>EXP(-LN(2)/35)*Z157+(1-EXP(-LN(2)/35))/(LN(2)/35)*V158*W158*VLOOKUP('Données projet (1)'!$B$9,'Paramètres (1)'!$A$1:$I$88,3,0)*0.475*44/12</f>
        <v>#REF!</v>
      </c>
      <c r="AA158" s="142" t="str">
        <f>EXP(-LN(2)/25)*AA157+(1-EXP(-LN(2)/25))/(LN(2)/25)*'Calculateur (1)'!V158*'Calculateur (1)'!X158*VLOOKUP('Données projet (1)'!$B$9,'Paramètres (1)'!$A$1:$I$88,3,0)*0.475*44/12</f>
        <v>#REF!</v>
      </c>
      <c r="AB158" s="142" t="str">
        <f>EXP(-LN(2)/2)*AB157+(1-EXP(-LN(2)/2))/(LN(2)/2)*V158*Y158*VLOOKUP('Données projet (1)'!$B$9,'Paramètres (1)'!$A$1:$I$88,3,0)*0.475*44/12</f>
        <v>#REF!</v>
      </c>
      <c r="AC158" s="143" t="str">
        <f t="shared" si="15"/>
        <v>#REF!</v>
      </c>
      <c r="AD158" s="130" t="str">
        <f t="shared" si="16"/>
        <v>#REF!</v>
      </c>
      <c r="AE158" s="130">
        <f t="shared" si="17"/>
        <v>10</v>
      </c>
      <c r="AF158" s="131" t="str">
        <f t="shared" si="112"/>
        <v>#REF!</v>
      </c>
      <c r="AG158" s="131" t="str">
        <f t="shared" si="18"/>
        <v>#REF!</v>
      </c>
      <c r="AH158" s="131" t="str">
        <f t="array" ref="AH158">INDEX(AG:AG,MIN(IF(ISNUMBER(AG158:AG354),ROW(AG158:AG354),"")))</f>
        <v/>
      </c>
      <c r="AI158" s="130" t="str">
        <f t="shared" si="113"/>
        <v>#REF!</v>
      </c>
      <c r="AJ158" s="130" t="str">
        <f>AI158*VLOOKUP('Données projet (1)'!$B$10,'Paramètres (1)'!$A$1:$I$88,3,0)*VLOOKUP('Données projet (1)'!$B$10,'Paramètres (1)'!$A$1:$I$88,5,0)</f>
        <v>#REF!</v>
      </c>
      <c r="AK158" s="130" t="str">
        <f t="shared" si="114"/>
        <v>#REF!</v>
      </c>
      <c r="AL158" s="141" t="str">
        <f t="shared" si="19"/>
        <v>#REF!</v>
      </c>
      <c r="AM158" s="133" t="str">
        <f t="shared" si="20"/>
        <v>#REF!</v>
      </c>
      <c r="AN158" s="133" t="str">
        <f t="shared" si="21"/>
        <v>#REF!</v>
      </c>
      <c r="AO158" s="133" t="str">
        <f t="shared" si="115"/>
        <v>#REF!</v>
      </c>
      <c r="AP158" s="134" t="str">
        <f t="shared" si="22"/>
        <v>#REF!</v>
      </c>
      <c r="AQ158" s="134" t="str">
        <f t="shared" si="23"/>
        <v>#REF!</v>
      </c>
      <c r="AR158" s="135" t="str">
        <f>IF(ISNA(VLOOKUP(A158,'Données projet (1)'!$A$61:$I$81,5,0)),0%,VLOOKUP(A158,'Données projet (1)'!$A$61:$I$81,5,0)*VLOOKUP('Données projet (1)'!$B$10,'Paramètres (1)'!$A$1:$I$88,7,0))</f>
        <v>#REF!</v>
      </c>
      <c r="AS158" s="135" t="str">
        <f>IF(ISNA(VLOOKUP(A158,'Données projet (1)'!$A$61:$I$81,6,0)),0%,VLOOKUP(A158,'Données projet (1)'!$A$61:$I$81,6,0)*VLOOKUP('Données projet (1)'!$B$10,'Paramètres (1)'!$A$1:$I$88,7,0))</f>
        <v>#REF!</v>
      </c>
      <c r="AT158" s="135" t="str">
        <f t="shared" si="24"/>
        <v>#REF!</v>
      </c>
      <c r="AU158" s="142" t="str">
        <f>EXP(-LN(2)/35)*AU157+(1-EXP(-LN(2)/35))/(LN(2)/35)*AQ158*AR158*VLOOKUP('Données projet (1)'!$B$10,'Paramètres (1)'!$A$1:$I$88,3,0)*0.475*44/12</f>
        <v>#REF!</v>
      </c>
      <c r="AV158" s="142" t="str">
        <f>EXP(-LN(2)/25)*AV157+(1-EXP(-LN(2)/25))/(LN(2)/25)*'Calculateur (1)'!AQ158*'Calculateur (1)'!AS158*VLOOKUP('Données projet (1)'!$B$10,'Paramètres (1)'!$A$1:$I$88,3,0)*0.475*44/12</f>
        <v>#REF!</v>
      </c>
      <c r="AW158" s="142" t="str">
        <f>EXP(-LN(2)/2)*AW157+(1-EXP(-LN(2)/2))/(LN(2)/2)*AQ158*AT158*VLOOKUP('Données projet (1)'!$B$10,'Paramètres (1)'!$A$1:$I$88,3,0)*0.475*44/12</f>
        <v>#REF!</v>
      </c>
      <c r="AX158" s="142" t="str">
        <f t="shared" si="25"/>
        <v>#REF!</v>
      </c>
      <c r="AY158" s="137" t="str">
        <f t="shared" si="26"/>
        <v>#REF!</v>
      </c>
      <c r="AZ158" s="131">
        <f t="shared" si="27"/>
        <v>10</v>
      </c>
      <c r="BA158" s="131" t="str">
        <f t="shared" si="116"/>
        <v>#REF!</v>
      </c>
      <c r="BB158" s="131" t="str">
        <f t="shared" si="28"/>
        <v>#REF!</v>
      </c>
      <c r="BC158" s="131" t="str">
        <f t="array" ref="BC158">INDEX(BB:BB,MIN(IF(ISNUMBER(BB158:BB354),ROW(BB158:BB354),"")))</f>
        <v/>
      </c>
      <c r="BD158" s="131" t="str">
        <f t="shared" si="117"/>
        <v>#REF!</v>
      </c>
      <c r="BE158" s="130" t="str">
        <f>BD158*VLOOKUP('Données projet (1)'!$B$11,'Paramètres (1)'!$A$1:$I$88,3,0)*VLOOKUP('Données projet (1)'!$B$11,'Paramètres (1)'!$A$1:$I$88,5,0)</f>
        <v>#REF!</v>
      </c>
      <c r="BF158" s="130" t="str">
        <f t="shared" si="118"/>
        <v>#REF!</v>
      </c>
      <c r="BG158" s="141" t="str">
        <f t="shared" si="29"/>
        <v>#REF!</v>
      </c>
      <c r="BH158" s="133" t="str">
        <f t="shared" si="30"/>
        <v>#REF!</v>
      </c>
      <c r="BI158" s="133" t="str">
        <f t="shared" si="31"/>
        <v>#REF!</v>
      </c>
      <c r="BJ158" s="133" t="str">
        <f t="shared" si="119"/>
        <v>#REF!</v>
      </c>
      <c r="BK158" s="134" t="str">
        <f t="shared" si="32"/>
        <v>#REF!</v>
      </c>
      <c r="BL158" s="134" t="str">
        <f t="shared" si="33"/>
        <v>#REF!</v>
      </c>
      <c r="BM158" s="135" t="str">
        <f>IF(ISNA(VLOOKUP(A158,'Données projet (1)'!$A$87:$I$107,5,0)),0%,VLOOKUP(A158,'Données projet (1)'!$A$87:$I$107,5,0)*VLOOKUP('Données projet (1)'!$B$11,'Paramètres (1)'!$A$1:$I$88,7,0))</f>
        <v>#REF!</v>
      </c>
      <c r="BN158" s="135" t="str">
        <f>IF(ISNA(VLOOKUP(A158,'Données projet (1)'!$A$87:$I$107,6,0)),0%,VLOOKUP(A158,'Données projet (1)'!$A$87:$I$107,6,0)*VLOOKUP('Données projet (1)'!$B$11,'Paramètres (1)'!$A$1:$I$88,7,0))</f>
        <v>#REF!</v>
      </c>
      <c r="BO158" s="135" t="str">
        <f t="shared" si="34"/>
        <v>#REF!</v>
      </c>
      <c r="BP158" s="142" t="str">
        <f>EXP(-LN(2)/35)*BP157+(1-EXP(-LN(2)/35))/(LN(2)/35)*BL158*BM158*VLOOKUP('Données projet (1)'!$B$11,'Paramètres (1)'!$A$1:$I$88,3,0)*0.475*44/12</f>
        <v>#REF!</v>
      </c>
      <c r="BQ158" s="142" t="str">
        <f>EXP(-LN(2)/25)*BQ157+(1-EXP(-LN(2)/25))/(LN(2)/25)*'Calculateur (1)'!BL158*'Calculateur (1)'!BN158*VLOOKUP('Données projet (1)'!$B$11,'Paramètres (1)'!$A$1:$I$88,3,0)*0.475*44/12</f>
        <v>#REF!</v>
      </c>
      <c r="BR158" s="142" t="str">
        <f>EXP(-LN(2)/2)*BR157+(1-EXP(-LN(2)/2))/(LN(2)/2)*BL158*BO158*VLOOKUP('Données projet (1)'!$B$11,'Paramètres (1)'!$A$1:$I$88,3,0)*0.475*44/12</f>
        <v>#REF!</v>
      </c>
      <c r="BS158" s="143" t="str">
        <f t="shared" si="35"/>
        <v>#REF!</v>
      </c>
      <c r="BT158" s="139" t="str">
        <f t="shared" si="36"/>
        <v>#REF!</v>
      </c>
      <c r="BU158" s="131">
        <f t="shared" si="37"/>
        <v>10</v>
      </c>
      <c r="BV158" s="131" t="str">
        <f t="shared" si="120"/>
        <v>#REF!</v>
      </c>
      <c r="BW158" s="131" t="str">
        <f t="shared" si="38"/>
        <v>#REF!</v>
      </c>
      <c r="BX158" s="131" t="str">
        <f t="array" ref="BX158">INDEX(BW:BW,MIN(IF(ISNUMBER(BW158:BW354),ROW(BW158:BW354),"")))</f>
        <v/>
      </c>
      <c r="BY158" s="131" t="str">
        <f t="shared" si="121"/>
        <v>#REF!</v>
      </c>
      <c r="BZ158" s="130" t="str">
        <f>BY158*VLOOKUP('Données projet (1)'!$B$12,'Paramètres (1)'!$A$1:$I$88,3,0)*VLOOKUP('Données projet (1)'!$B$12,'Paramètres (1)'!$A$1:$I$88,5,0)</f>
        <v>#REF!</v>
      </c>
      <c r="CA158" s="130" t="str">
        <f t="shared" si="122"/>
        <v>#REF!</v>
      </c>
      <c r="CB158" s="141" t="str">
        <f t="shared" si="39"/>
        <v>#REF!</v>
      </c>
      <c r="CC158" s="133" t="str">
        <f t="shared" si="40"/>
        <v>#REF!</v>
      </c>
      <c r="CD158" s="133" t="str">
        <f t="shared" si="41"/>
        <v>#REF!</v>
      </c>
      <c r="CE158" s="133" t="str">
        <f t="shared" si="123"/>
        <v>#REF!</v>
      </c>
      <c r="CF158" s="134" t="str">
        <f t="shared" si="42"/>
        <v>#REF!</v>
      </c>
      <c r="CG158" s="134" t="str">
        <f t="shared" si="43"/>
        <v>#REF!</v>
      </c>
      <c r="CH158" s="135" t="str">
        <f>IF(ISNA(VLOOKUP(A158,'Données projet (1)'!$A$113:$I$133,5,0)),0%,VLOOKUP(A158,'Données projet (1)'!$A$113:$I$133,5,0)*VLOOKUP('Données projet (1)'!$B$12,'Paramètres (1)'!$A$1:$I$88,7,0))</f>
        <v>#REF!</v>
      </c>
      <c r="CI158" s="135" t="str">
        <f>IF(ISNA(VLOOKUP(A158,'Données projet (1)'!$A$113:$I$133,6,0)),0%,VLOOKUP(A158,'Données projet (1)'!$A$113:$I$133,6,0)*VLOOKUP('Données projet (1)'!$B$12,'Paramètres (1)'!$A$1:$I$88,7,0))</f>
        <v>#REF!</v>
      </c>
      <c r="CJ158" s="135" t="str">
        <f t="shared" si="44"/>
        <v>#REF!</v>
      </c>
      <c r="CK158" s="142" t="str">
        <f>EXP(-LN(2)/35)*CK157+(1-EXP(-LN(2)/35))/(LN(2)/35)*CG158*CH158*VLOOKUP('Données projet (1)'!$B$12,'Paramètres (1)'!$A$1:$I$88,3,0)*0.475*44/12</f>
        <v>#REF!</v>
      </c>
      <c r="CL158" s="142" t="str">
        <f>EXP(-LN(2)/25)*CL157+(1-EXP(-LN(2)/25))/(LN(2)/25)*'Calculateur (1)'!CG158*'Calculateur (1)'!CI158*VLOOKUP('Données projet (1)'!$B$12,'Paramètres (1)'!$A$1:$I$88,3,0)*0.475*44/12</f>
        <v>#REF!</v>
      </c>
      <c r="CM158" s="142" t="str">
        <f>EXP(-LN(2)/2)*CM157+(1-EXP(-LN(2)/2))/(LN(2)/2)*CG158*CJ158*VLOOKUP('Données projet (1)'!$B$12,'Paramètres (1)'!$A$1:$I$88,3,0)*0.475*44/12</f>
        <v>#REF!</v>
      </c>
      <c r="CN158" s="143" t="str">
        <f t="shared" si="45"/>
        <v>#REF!</v>
      </c>
      <c r="CO158" s="139" t="str">
        <f t="shared" si="46"/>
        <v>#REF!</v>
      </c>
      <c r="CP158" s="131">
        <f t="shared" si="47"/>
        <v>10</v>
      </c>
      <c r="CQ158" s="131" t="str">
        <f t="shared" si="124"/>
        <v>#REF!</v>
      </c>
      <c r="CR158" s="131" t="str">
        <f t="shared" si="48"/>
        <v>#REF!</v>
      </c>
      <c r="CS158" s="131" t="str">
        <f t="array" ref="CS158">INDEX(CR:CR,MIN(IF(ISNUMBER(CR158:CR354),ROW(CR158:CR354),"")))</f>
        <v/>
      </c>
      <c r="CT158" s="131" t="str">
        <f t="shared" si="125"/>
        <v>#REF!</v>
      </c>
      <c r="CU158" s="138" t="str">
        <f>CT158*VLOOKUP('Données projet (1)'!$B$13,'Paramètres (1)'!$A$1:$I$88,3,0)*VLOOKUP('Données projet (1)'!$B$13,'Paramètres (1)'!$A$1:$I$88,5,0)</f>
        <v>#REF!</v>
      </c>
      <c r="CV158" s="130" t="str">
        <f t="shared" si="126"/>
        <v>#REF!</v>
      </c>
      <c r="CW158" s="141" t="str">
        <f t="shared" si="49"/>
        <v>#REF!</v>
      </c>
      <c r="CX158" s="133" t="str">
        <f t="shared" si="50"/>
        <v>#REF!</v>
      </c>
      <c r="CY158" s="133" t="str">
        <f t="shared" si="51"/>
        <v>#REF!</v>
      </c>
      <c r="CZ158" s="133" t="str">
        <f t="shared" si="127"/>
        <v>#REF!</v>
      </c>
      <c r="DA158" s="134" t="str">
        <f t="shared" si="52"/>
        <v>#REF!</v>
      </c>
      <c r="DB158" s="134" t="str">
        <f t="shared" si="53"/>
        <v>#REF!</v>
      </c>
      <c r="DC158" s="135" t="str">
        <f>IF(ISNA(VLOOKUP(A158,'Données projet (1)'!$A$139:$I$159,5,0)),0%,VLOOKUP(A158,'Données projet (1)'!$A$139:$I$159,5,0)*VLOOKUP('Données projet (1)'!$B$13,'Paramètres (1)'!$A$1:$I$88,7,0))</f>
        <v>#REF!</v>
      </c>
      <c r="DD158" s="135" t="str">
        <f>IF(ISNA(VLOOKUP(A158,'Données projet (1)'!$A$139:$I$159,6,0)),0%,VLOOKUP(A158,'Données projet (1)'!$A$139:$I$159,6,0)*VLOOKUP('Données projet (1)'!$B$13,'Paramètres (1)'!$A$1:$I$88,7,0))</f>
        <v>#REF!</v>
      </c>
      <c r="DE158" s="135" t="str">
        <f t="shared" si="54"/>
        <v>#REF!</v>
      </c>
      <c r="DF158" s="142" t="str">
        <f>EXP(-LN(2)/35)*DF157+(1-EXP(-LN(2)/35))/(LN(2)/35)*DB158*DC158*VLOOKUP('Données projet (1)'!$B$13,'Paramètres (1)'!$A$1:$I$88,3,0)*0.475*44/12</f>
        <v>#REF!</v>
      </c>
      <c r="DG158" s="142" t="str">
        <f>EXP(-LN(2)/25)*DG157+(1-EXP(-LN(2)/25))/(LN(2)/25)*'Calculateur (1)'!DB158*'Calculateur (1)'!DD158*VLOOKUP('Données projet (1)'!$B$13,'Paramètres (1)'!$A$1:$I$88,3,0)*0.475*44/12</f>
        <v>#REF!</v>
      </c>
      <c r="DH158" s="142" t="str">
        <f>EXP(-LN(2)/2)*DH157+(1-EXP(-LN(2)/2))/(LN(2)/2)*DB158*DE158*VLOOKUP('Données projet (1)'!$B$13,'Paramètres (1)'!$A$1:$I$88,3,0)*0.475*44/12</f>
        <v>#REF!</v>
      </c>
      <c r="DI158" s="143" t="str">
        <f t="shared" si="55"/>
        <v>#REF!</v>
      </c>
      <c r="DJ158" s="139" t="str">
        <f t="shared" si="56"/>
        <v>#REF!</v>
      </c>
      <c r="DK158" s="131">
        <f t="shared" si="57"/>
        <v>10</v>
      </c>
      <c r="DL158" s="131" t="str">
        <f t="shared" si="128"/>
        <v>#REF!</v>
      </c>
      <c r="DM158" s="131" t="str">
        <f t="shared" si="58"/>
        <v>#REF!</v>
      </c>
      <c r="DN158" s="131" t="str">
        <f t="array" ref="DN158">INDEX(DM:DM,MIN(IF(ISNUMBER(DM158:DM354),ROW(DM158:DM354),"")))</f>
        <v/>
      </c>
      <c r="DO158" s="131" t="str">
        <f t="shared" si="129"/>
        <v>#REF!</v>
      </c>
      <c r="DP158" s="138" t="str">
        <f>DO158*VLOOKUP('Données projet (1)'!$B$14,'Paramètres (1)'!$A$1:$I$88,3,0)*VLOOKUP('Données projet (1)'!$B$14,'Paramètres (1)'!$A$1:$I$88,5,0)</f>
        <v>#REF!</v>
      </c>
      <c r="DQ158" s="130" t="str">
        <f t="shared" si="130"/>
        <v>#REF!</v>
      </c>
      <c r="DR158" s="141" t="str">
        <f t="shared" si="59"/>
        <v>#REF!</v>
      </c>
      <c r="DS158" s="133" t="str">
        <f t="shared" si="60"/>
        <v>#REF!</v>
      </c>
      <c r="DT158" s="133" t="str">
        <f t="shared" si="61"/>
        <v>#REF!</v>
      </c>
      <c r="DU158" s="133" t="str">
        <f t="shared" si="131"/>
        <v>#REF!</v>
      </c>
      <c r="DV158" s="134" t="str">
        <f t="shared" si="62"/>
        <v>#REF!</v>
      </c>
      <c r="DW158" s="134" t="str">
        <f t="shared" si="63"/>
        <v>#REF!</v>
      </c>
      <c r="DX158" s="135" t="str">
        <f>IF(ISNA(VLOOKUP(A158,'Données projet (1)'!$A$165:$I$185,5,0)),0%,VLOOKUP(A158,'Données projet (1)'!$A$165:$I$185,5,0)*VLOOKUP('Données projet (1)'!$B$14,'Paramètres (1)'!$A$1:$I$88,7,0))</f>
        <v>#REF!</v>
      </c>
      <c r="DY158" s="135" t="str">
        <f>IF(ISNA(VLOOKUP(A158,'Données projet (1)'!$A$165:$I$185,6,0)),0%,VLOOKUP(A158,'Données projet (1)'!$A$165:$I$185,6,0)*VLOOKUP('Données projet (1)'!$B$14,'Paramètres (1)'!$A$1:$I$88,7,0))</f>
        <v>#REF!</v>
      </c>
      <c r="DZ158" s="135" t="str">
        <f t="shared" si="64"/>
        <v>#REF!</v>
      </c>
      <c r="EA158" s="142" t="str">
        <f>EXP(-LN(2)/35)*EA157+(1-EXP(-LN(2)/35))/(LN(2)/35)*DW158*DX158*VLOOKUP('Données projet (1)'!$B$14,'Paramètres (1)'!$A$1:$I$88,3,0)*0.475*44/12</f>
        <v>#REF!</v>
      </c>
      <c r="EB158" s="142" t="str">
        <f>EXP(-LN(2)/25)*EB157+(1-EXP(-LN(2)/25))/(LN(2)/25)*'Calculateur (1)'!DW158*'Calculateur (1)'!DY158*VLOOKUP('Données projet (1)'!$B$14,'Paramètres (1)'!$A$1:$I$88,3,0)*0.475*44/12</f>
        <v>#REF!</v>
      </c>
      <c r="EC158" s="142" t="str">
        <f>EXP(-LN(2)/2)*EC157+(1-EXP(-LN(2)/2))/(LN(2)/2)*DW158*DZ158*VLOOKUP('Données projet (1)'!$B$14,'Paramètres (1)'!$A$1:$I$88,3,0)*0.475*44/12</f>
        <v>#REF!</v>
      </c>
      <c r="ED158" s="143" t="str">
        <f t="shared" si="65"/>
        <v>#REF!</v>
      </c>
      <c r="EE158" s="139" t="str">
        <f t="shared" si="66"/>
        <v>#REF!</v>
      </c>
      <c r="EF158" s="131">
        <f t="shared" si="67"/>
        <v>10</v>
      </c>
      <c r="EG158" s="131" t="str">
        <f t="shared" si="132"/>
        <v>#REF!</v>
      </c>
      <c r="EH158" s="131" t="str">
        <f t="shared" si="68"/>
        <v>#REF!</v>
      </c>
      <c r="EI158" s="131" t="str">
        <f t="array" ref="EI158">INDEX(EH:EH,MIN(IF(ISNUMBER(EH158:EH354),ROW(EH158:EH354),"")))</f>
        <v/>
      </c>
      <c r="EJ158" s="131" t="str">
        <f t="shared" si="133"/>
        <v>#REF!</v>
      </c>
      <c r="EK158" s="138" t="str">
        <f>EJ158*VLOOKUP('Données projet (1)'!$B$15,'Paramètres (1)'!$A$1:$I$88,3,0)*VLOOKUP('Données projet (1)'!$B$15,'Paramètres (1)'!$A$1:$I$88,5,0)</f>
        <v>#REF!</v>
      </c>
      <c r="EL158" s="130" t="str">
        <f t="shared" si="134"/>
        <v>#REF!</v>
      </c>
      <c r="EM158" s="141" t="str">
        <f t="shared" si="69"/>
        <v>#REF!</v>
      </c>
      <c r="EN158" s="133" t="str">
        <f t="shared" si="70"/>
        <v>#REF!</v>
      </c>
      <c r="EO158" s="133" t="str">
        <f t="shared" si="71"/>
        <v>#REF!</v>
      </c>
      <c r="EP158" s="133" t="str">
        <f t="shared" si="135"/>
        <v>#REF!</v>
      </c>
      <c r="EQ158" s="134" t="str">
        <f t="shared" si="72"/>
        <v>#REF!</v>
      </c>
      <c r="ER158" s="134" t="str">
        <f t="shared" si="73"/>
        <v>#REF!</v>
      </c>
      <c r="ES158" s="135" t="str">
        <f>IF(ISNA(VLOOKUP(A158,'Données projet (1)'!$A$191:$I$211,5,0)),0%,VLOOKUP(A158,'Données projet (1)'!$A$191:$I$211,5,0)*VLOOKUP('Données projet (1)'!$B$15,'Paramètres (1)'!$A$1:$I$88,7,0))</f>
        <v>#REF!</v>
      </c>
      <c r="ET158" s="135" t="str">
        <f>IF(ISNA(VLOOKUP(A158,'Données projet (1)'!$A$191:$I$211,6,0)),0%,VLOOKUP(A158,'Données projet (1)'!$A$191:$I$211,6,0)*VLOOKUP('Données projet (1)'!$B$15,'Paramètres (1)'!$A$1:$I$88,7,0))</f>
        <v>#REF!</v>
      </c>
      <c r="EU158" s="135" t="str">
        <f t="shared" si="74"/>
        <v>#REF!</v>
      </c>
      <c r="EV158" s="142" t="str">
        <f>EXP(-LN(2)/35)*EV157+(1-EXP(-LN(2)/35))/(LN(2)/35)*ER158*ES158*VLOOKUP('Données projet (1)'!$B$15,'Paramètres (1)'!$A$1:$I$88,3,0)*0.475*44/12</f>
        <v>#REF!</v>
      </c>
      <c r="EW158" s="142" t="str">
        <f>EXP(-LN(2)/25)*EW157+(1-EXP(-LN(2)/25))/(LN(2)/25)*'Calculateur (1)'!ER158*'Calculateur (1)'!ET158*VLOOKUP('Données projet (1)'!$B$15,'Paramètres (1)'!$A$1:$I$88,3,0)*0.475*44/12</f>
        <v>#REF!</v>
      </c>
      <c r="EX158" s="142" t="str">
        <f>EXP(-LN(2)/2)*EX157+(1-EXP(-LN(2)/2))/(LN(2)/2)*ER158*EU158*VLOOKUP('Données projet (1)'!$B$15,'Paramètres (1)'!$A$1:$I$88,3,0)*0.475*44/12</f>
        <v>#REF!</v>
      </c>
      <c r="EY158" s="143" t="str">
        <f t="shared" si="75"/>
        <v>#REF!</v>
      </c>
      <c r="EZ158" s="139" t="str">
        <f t="shared" si="76"/>
        <v>#REF!</v>
      </c>
      <c r="FA158" s="131">
        <f t="shared" si="77"/>
        <v>10</v>
      </c>
      <c r="FB158" s="131" t="str">
        <f t="shared" si="136"/>
        <v>#REF!</v>
      </c>
      <c r="FC158" s="131" t="str">
        <f t="shared" si="78"/>
        <v>#REF!</v>
      </c>
      <c r="FD158" s="131" t="str">
        <f t="array" ref="FD158">INDEX(FC:FC,MIN(IF(ISNUMBER(FC158:FC354),ROW(FC158:FC354),"")))</f>
        <v/>
      </c>
      <c r="FE158" s="131" t="str">
        <f t="shared" si="137"/>
        <v>#REF!</v>
      </c>
      <c r="FF158" s="138" t="str">
        <f>FE158*VLOOKUP('Données projet (1)'!$B$16,'Paramètres (1)'!$A$1:$I$88,3,0)*VLOOKUP('Données projet (1)'!$B$16,'Paramètres (1)'!$A$1:$I$88,5,0)</f>
        <v>#REF!</v>
      </c>
      <c r="FG158" s="130" t="str">
        <f t="shared" si="138"/>
        <v>#REF!</v>
      </c>
      <c r="FH158" s="141" t="str">
        <f t="shared" si="79"/>
        <v>#REF!</v>
      </c>
      <c r="FI158" s="133" t="str">
        <f t="shared" si="80"/>
        <v>#REF!</v>
      </c>
      <c r="FJ158" s="133" t="str">
        <f t="shared" si="81"/>
        <v>#REF!</v>
      </c>
      <c r="FK158" s="133" t="str">
        <f t="shared" si="139"/>
        <v>#REF!</v>
      </c>
      <c r="FL158" s="134" t="str">
        <f t="shared" si="82"/>
        <v>#REF!</v>
      </c>
      <c r="FM158" s="134" t="str">
        <f t="shared" si="83"/>
        <v>#REF!</v>
      </c>
      <c r="FN158" s="135" t="str">
        <f>IF(ISNA(VLOOKUP(A158,'Données projet (1)'!$A$217:$I$237,5,0)),0%,VLOOKUP(A158,'Données projet (1)'!$A$217:$I$237,5,0)*VLOOKUP('Données projet (1)'!$B$16,'Paramètres (1)'!$A$1:$I$88,7,0))</f>
        <v>#REF!</v>
      </c>
      <c r="FO158" s="135" t="str">
        <f>IF(ISNA(VLOOKUP(A158,'Données projet (1)'!$A$217:$I$237,6,0)),0%,VLOOKUP(A158,'Données projet (1)'!$A$217:$I$237,6,0)*VLOOKUP('Données projet (1)'!$B$16,'Paramètres (1)'!$A$1:$I$88,7,0))</f>
        <v>#REF!</v>
      </c>
      <c r="FP158" s="135" t="str">
        <f t="shared" si="84"/>
        <v>#REF!</v>
      </c>
      <c r="FQ158" s="142" t="str">
        <f>EXP(-LN(2)/35)*FQ157+(1-EXP(-LN(2)/35))/(LN(2)/35)*FM158*FN158*VLOOKUP('Données projet (1)'!$B$16,'Paramètres (1)'!$A$1:$I$88,3,0)*0.475*44/12</f>
        <v>#REF!</v>
      </c>
      <c r="FR158" s="142" t="str">
        <f>EXP(-LN(2)/25)*FR157+(1-EXP(-LN(2)/25))/(LN(2)/25)*'Calculateur (1)'!FM158*'Calculateur (1)'!FO158*VLOOKUP('Données projet (1)'!$B$16,'Paramètres (1)'!$A$1:$I$88,3,0)*0.475*44/12</f>
        <v>#REF!</v>
      </c>
      <c r="FS158" s="142" t="str">
        <f>EXP(-LN(2)/2)*FS157+(1-EXP(-LN(2)/2))/(LN(2)/2)*FM158*FP158*VLOOKUP('Données projet (1)'!$B$16,'Paramètres (1)'!$A$1:$I$88,3,0)*0.475*44/12</f>
        <v>#REF!</v>
      </c>
      <c r="FT158" s="143" t="str">
        <f t="shared" si="85"/>
        <v>#REF!</v>
      </c>
      <c r="FU158" s="139" t="str">
        <f t="shared" si="86"/>
        <v>#REF!</v>
      </c>
      <c r="FV158" s="131">
        <f t="shared" si="87"/>
        <v>10</v>
      </c>
      <c r="FW158" s="131" t="str">
        <f t="shared" si="140"/>
        <v>#REF!</v>
      </c>
      <c r="FX158" s="131" t="str">
        <f t="shared" si="88"/>
        <v>#REF!</v>
      </c>
      <c r="FY158" s="131" t="str">
        <f t="array" ref="FY158">INDEX(FX:FX,MIN(IF(ISNUMBER(FX158:FX354),ROW(FX158:FX354),"")))</f>
        <v/>
      </c>
      <c r="FZ158" s="131" t="str">
        <f t="shared" si="141"/>
        <v>#REF!</v>
      </c>
      <c r="GA158" s="138" t="str">
        <f>FZ158*VLOOKUP('Données projet (1)'!$B$17,'Paramètres (1)'!$A$1:$I$88,3,0)*VLOOKUP('Données projet (1)'!$B$17,'Paramètres (1)'!$A$1:$I$88,5,0)</f>
        <v>#REF!</v>
      </c>
      <c r="GB158" s="130" t="str">
        <f t="shared" si="142"/>
        <v>#REF!</v>
      </c>
      <c r="GC158" s="141" t="str">
        <f t="shared" si="89"/>
        <v>#REF!</v>
      </c>
      <c r="GD158" s="133" t="str">
        <f t="shared" si="90"/>
        <v>#REF!</v>
      </c>
      <c r="GE158" s="133" t="str">
        <f t="shared" si="91"/>
        <v>#REF!</v>
      </c>
      <c r="GF158" s="133" t="str">
        <f t="shared" si="143"/>
        <v>#REF!</v>
      </c>
      <c r="GG158" s="134" t="str">
        <f t="shared" si="92"/>
        <v>#REF!</v>
      </c>
      <c r="GH158" s="134" t="str">
        <f t="shared" si="93"/>
        <v>#REF!</v>
      </c>
      <c r="GI158" s="135" t="str">
        <f>IF(ISNA(VLOOKUP(A158,'Données projet (1)'!$A$243:$I$263,5,0)),0%,VLOOKUP(A158,'Données projet (1)'!$A$243:$I$263,5,0)*VLOOKUP('Données projet (1)'!$B$17,'Paramètres (1)'!$A$1:$I$88,7,0))</f>
        <v>#REF!</v>
      </c>
      <c r="GJ158" s="135" t="str">
        <f>IF(ISNA(VLOOKUP(A158,'Données projet (1)'!$A$243:$I$263,6,0)),0%,VLOOKUP(A158,'Données projet (1)'!$A$243:$I$263,6,0)*VLOOKUP('Données projet (1)'!$B$17,'Paramètres (1)'!$A$1:$I$88,7,0))</f>
        <v>#REF!</v>
      </c>
      <c r="GK158" s="135" t="str">
        <f t="shared" si="94"/>
        <v>#REF!</v>
      </c>
      <c r="GL158" s="142" t="str">
        <f>EXP(-LN(2)/35)*GL157+(1-EXP(-LN(2)/35))/(LN(2)/35)*GH158*GI158*VLOOKUP('Données projet (1)'!$B$17,'Paramètres (1)'!$A$1:$I$88,3,0)*0.475*44/12</f>
        <v>#REF!</v>
      </c>
      <c r="GM158" s="142" t="str">
        <f>EXP(-LN(2)/25)*GM157+(1-EXP(-LN(2)/25))/(LN(2)/25)*'Calculateur (1)'!GH158*'Calculateur (1)'!GJ158*VLOOKUP('Données projet (1)'!$B$17,'Paramètres (1)'!$A$1:$I$88,3,0)*0.475*44/12</f>
        <v>#REF!</v>
      </c>
      <c r="GN158" s="142" t="str">
        <f>EXP(-LN(2)/2)*GN157+(1-EXP(-LN(2)/2))/(LN(2)/2)*GH158*GK158*VLOOKUP('Données projet (1)'!$B$17,'Paramètres (1)'!$A$1:$I$88,3,0)*0.475*44/12</f>
        <v>#REF!</v>
      </c>
      <c r="GO158" s="142" t="str">
        <f t="shared" si="95"/>
        <v>#REF!</v>
      </c>
      <c r="GP158" s="139" t="str">
        <f t="shared" si="96"/>
        <v>#REF!</v>
      </c>
      <c r="GQ158" s="131">
        <f t="shared" si="97"/>
        <v>10</v>
      </c>
      <c r="GR158" s="131" t="str">
        <f t="shared" si="144"/>
        <v>#REF!</v>
      </c>
      <c r="GS158" s="131" t="str">
        <f t="shared" si="98"/>
        <v>#REF!</v>
      </c>
      <c r="GT158" s="131" t="str">
        <f t="array" ref="GT158">INDEX(GS:GS,MIN(IF(ISNUMBER(GS158:GS354),ROW(GS158:GS354),"")))</f>
        <v/>
      </c>
      <c r="GU158" s="131" t="str">
        <f t="shared" si="145"/>
        <v>#REF!</v>
      </c>
      <c r="GV158" s="138" t="str">
        <f>GU158*VLOOKUP('Données projet (1)'!$B$18,'Paramètres (1)'!$A$1:$I$88,3,0)*VLOOKUP('Données projet (1)'!$B$18,'Paramètres (1)'!$A$1:$I$88,5,0)</f>
        <v>#REF!</v>
      </c>
      <c r="GW158" s="130" t="str">
        <f t="shared" si="146"/>
        <v>#REF!</v>
      </c>
      <c r="GX158" s="141" t="str">
        <f t="shared" si="99"/>
        <v>#REF!</v>
      </c>
      <c r="GY158" s="133" t="str">
        <f t="shared" si="100"/>
        <v>#REF!</v>
      </c>
      <c r="GZ158" s="133" t="str">
        <f t="shared" si="101"/>
        <v>#REF!</v>
      </c>
      <c r="HA158" s="133" t="str">
        <f t="shared" si="147"/>
        <v>#REF!</v>
      </c>
      <c r="HB158" s="134" t="str">
        <f t="shared" si="102"/>
        <v>#REF!</v>
      </c>
      <c r="HC158" s="134" t="str">
        <f t="shared" si="103"/>
        <v>#REF!</v>
      </c>
      <c r="HD158" s="135" t="str">
        <f>IF(ISNA(VLOOKUP(A158,'Données projet (1)'!$A$269:$I$289,5,0)),0%,VLOOKUP(A158,'Données projet (1)'!$A$269:$I$289,5,0)*VLOOKUP('Données projet (1)'!$B$18,'Paramètres (1)'!$A$1:$I$88,7,0))</f>
        <v>#REF!</v>
      </c>
      <c r="HE158" s="135" t="str">
        <f>IF(ISNA(VLOOKUP(A158,'Données projet (1)'!$A$269:$I$289,6,0)),0%,VLOOKUP(A158,'Données projet (1)'!$A$269:$I$289,6,0)*VLOOKUP('Données projet (1)'!$B$18,'Paramètres (1)'!$A$1:$I$88,7,0))</f>
        <v>#REF!</v>
      </c>
      <c r="HF158" s="135" t="str">
        <f t="shared" si="104"/>
        <v>#REF!</v>
      </c>
      <c r="HG158" s="142" t="str">
        <f>EXP(-LN(2)/35)*HG157+(1-EXP(-LN(2)/35))/(LN(2)/35)*HC158*HD158*VLOOKUP('Données projet (1)'!$B$18,'Paramètres (1)'!$A$1:$I$88,3,0)*0.475*44/12</f>
        <v>#REF!</v>
      </c>
      <c r="HH158" s="142" t="str">
        <f>EXP(-LN(2)/25)*HH157+(1-EXP(-LN(2)/25))/(LN(2)/25)*'Calculateur (1)'!HC158*'Calculateur (1)'!HE158*VLOOKUP('Données projet (1)'!$B$18,'Paramètres (1)'!$A$1:$I$88,3,0)*0.475*44/12</f>
        <v>#REF!</v>
      </c>
      <c r="HI158" s="142" t="str">
        <f>EXP(-LN(2)/2)*HI157+(1-EXP(-LN(2)/2))/(LN(2)/2)*HC158*HF158*VLOOKUP('Données projet (1)'!$B$18,'Paramètres (1)'!$A$1:$I$88,3,0)*0.475*44/12</f>
        <v>#REF!</v>
      </c>
      <c r="HJ158" s="143" t="str">
        <f t="shared" si="105"/>
        <v>#REF!</v>
      </c>
    </row>
    <row r="159" ht="14.25" customHeight="1">
      <c r="A159" s="125">
        <f t="shared" si="106"/>
        <v>156</v>
      </c>
      <c r="B159" s="126" t="str">
        <f t="shared" si="1"/>
        <v>#REF!</v>
      </c>
      <c r="C159" s="140" t="str">
        <f>'Calculateur (1)'!C158+'Scénario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9" s="127">
        <f t="shared" si="107"/>
        <v>0</v>
      </c>
      <c r="E159" s="127" t="str">
        <f t="shared" si="2"/>
        <v>#REF!</v>
      </c>
      <c r="F159" s="127" t="str">
        <f t="shared" si="3"/>
        <v>#REF!</v>
      </c>
      <c r="G159" s="127" t="str">
        <f t="shared" si="4"/>
        <v>#REF!</v>
      </c>
      <c r="H159" s="128" t="str">
        <f t="shared" si="5"/>
        <v>#REF!</v>
      </c>
      <c r="I159" s="129" t="str">
        <f t="shared" si="6"/>
        <v>#REF!</v>
      </c>
      <c r="J159" s="130">
        <f t="shared" si="7"/>
        <v>10</v>
      </c>
      <c r="K159" s="131" t="str">
        <f t="shared" si="108"/>
        <v>#REF!</v>
      </c>
      <c r="L159" s="131" t="str">
        <f t="shared" si="8"/>
        <v>#REF!</v>
      </c>
      <c r="M159" s="131" t="str">
        <f t="array" ref="M159">INDEX(L:L,MIN(IF(ISNUMBER(L159:L355),ROW(L159:L355),"")))</f>
        <v/>
      </c>
      <c r="N159" s="130" t="str">
        <f t="shared" si="109"/>
        <v>#REF!</v>
      </c>
      <c r="O159" s="130" t="str">
        <f>N159*VLOOKUP('Données projet (1)'!$B$9,'Paramètres (1)'!$A$1:$I$88,3,0)*VLOOKUP('Données projet (1)'!$B$9,'Paramètres (1)'!$A$1:$I$88,5,0)</f>
        <v>#REF!</v>
      </c>
      <c r="P159" s="130" t="str">
        <f t="shared" si="110"/>
        <v>#REF!</v>
      </c>
      <c r="Q159" s="141" t="str">
        <f t="shared" si="9"/>
        <v>#REF!</v>
      </c>
      <c r="R159" s="133" t="str">
        <f t="shared" si="10"/>
        <v>#REF!</v>
      </c>
      <c r="S159" s="133" t="str">
        <f t="shared" si="11"/>
        <v>#REF!</v>
      </c>
      <c r="T159" s="133" t="str">
        <f t="shared" si="111"/>
        <v>#REF!</v>
      </c>
      <c r="U159" s="134" t="str">
        <f t="shared" si="12"/>
        <v>#REF!</v>
      </c>
      <c r="V159" s="134" t="str">
        <f t="shared" si="13"/>
        <v>#REF!</v>
      </c>
      <c r="W159" s="135" t="str">
        <f>IF(ISNA(VLOOKUP(A159,'Données projet (1)'!$A$35:$I$55,5,0)),0%,VLOOKUP(A159,'Données projet (1)'!$A$35:$I$55,5,0)*VLOOKUP('Données projet (1)'!$B$9,'Paramètres (1)'!$A$1:$I$88,7,0))</f>
        <v>#REF!</v>
      </c>
      <c r="X159" s="135" t="str">
        <f>IF(ISNA(VLOOKUP(A159,'Données projet (1)'!$A$35:$I$55,6,0)),0%,VLOOKUP(A159,'Données projet (1)'!$A$35:$I$55,6,0)*VLOOKUP('Données projet (1)'!$B$9,'Paramètres (1)'!$A$1:$I$88,7,0))</f>
        <v>#REF!</v>
      </c>
      <c r="Y159" s="135" t="str">
        <f t="shared" si="14"/>
        <v>#REF!</v>
      </c>
      <c r="Z159" s="142" t="str">
        <f>EXP(-LN(2)/35)*Z158+(1-EXP(-LN(2)/35))/(LN(2)/35)*V159*W159*VLOOKUP('Données projet (1)'!$B$9,'Paramètres (1)'!$A$1:$I$88,3,0)*0.475*44/12</f>
        <v>#REF!</v>
      </c>
      <c r="AA159" s="142" t="str">
        <f>EXP(-LN(2)/25)*AA158+(1-EXP(-LN(2)/25))/(LN(2)/25)*'Calculateur (1)'!V159*'Calculateur (1)'!X159*VLOOKUP('Données projet (1)'!$B$9,'Paramètres (1)'!$A$1:$I$88,3,0)*0.475*44/12</f>
        <v>#REF!</v>
      </c>
      <c r="AB159" s="142" t="str">
        <f>EXP(-LN(2)/2)*AB158+(1-EXP(-LN(2)/2))/(LN(2)/2)*V159*Y159*VLOOKUP('Données projet (1)'!$B$9,'Paramètres (1)'!$A$1:$I$88,3,0)*0.475*44/12</f>
        <v>#REF!</v>
      </c>
      <c r="AC159" s="143" t="str">
        <f t="shared" si="15"/>
        <v>#REF!</v>
      </c>
      <c r="AD159" s="130" t="str">
        <f t="shared" si="16"/>
        <v>#REF!</v>
      </c>
      <c r="AE159" s="130">
        <f t="shared" si="17"/>
        <v>10</v>
      </c>
      <c r="AF159" s="131" t="str">
        <f t="shared" si="112"/>
        <v>#REF!</v>
      </c>
      <c r="AG159" s="131" t="str">
        <f t="shared" si="18"/>
        <v>#REF!</v>
      </c>
      <c r="AH159" s="131" t="str">
        <f t="array" ref="AH159">INDEX(AG:AG,MIN(IF(ISNUMBER(AG159:AG355),ROW(AG159:AG355),"")))</f>
        <v/>
      </c>
      <c r="AI159" s="130" t="str">
        <f t="shared" si="113"/>
        <v>#REF!</v>
      </c>
      <c r="AJ159" s="130" t="str">
        <f>AI159*VLOOKUP('Données projet (1)'!$B$10,'Paramètres (1)'!$A$1:$I$88,3,0)*VLOOKUP('Données projet (1)'!$B$10,'Paramètres (1)'!$A$1:$I$88,5,0)</f>
        <v>#REF!</v>
      </c>
      <c r="AK159" s="130" t="str">
        <f t="shared" si="114"/>
        <v>#REF!</v>
      </c>
      <c r="AL159" s="141" t="str">
        <f t="shared" si="19"/>
        <v>#REF!</v>
      </c>
      <c r="AM159" s="133" t="str">
        <f t="shared" si="20"/>
        <v>#REF!</v>
      </c>
      <c r="AN159" s="133" t="str">
        <f t="shared" si="21"/>
        <v>#REF!</v>
      </c>
      <c r="AO159" s="133" t="str">
        <f t="shared" si="115"/>
        <v>#REF!</v>
      </c>
      <c r="AP159" s="134" t="str">
        <f t="shared" si="22"/>
        <v>#REF!</v>
      </c>
      <c r="AQ159" s="134" t="str">
        <f t="shared" si="23"/>
        <v>#REF!</v>
      </c>
      <c r="AR159" s="135" t="str">
        <f>IF(ISNA(VLOOKUP(A159,'Données projet (1)'!$A$61:$I$81,5,0)),0%,VLOOKUP(A159,'Données projet (1)'!$A$61:$I$81,5,0)*VLOOKUP('Données projet (1)'!$B$10,'Paramètres (1)'!$A$1:$I$88,7,0))</f>
        <v>#REF!</v>
      </c>
      <c r="AS159" s="135" t="str">
        <f>IF(ISNA(VLOOKUP(A159,'Données projet (1)'!$A$61:$I$81,6,0)),0%,VLOOKUP(A159,'Données projet (1)'!$A$61:$I$81,6,0)*VLOOKUP('Données projet (1)'!$B$10,'Paramètres (1)'!$A$1:$I$88,7,0))</f>
        <v>#REF!</v>
      </c>
      <c r="AT159" s="135" t="str">
        <f t="shared" si="24"/>
        <v>#REF!</v>
      </c>
      <c r="AU159" s="142" t="str">
        <f>EXP(-LN(2)/35)*AU158+(1-EXP(-LN(2)/35))/(LN(2)/35)*AQ159*AR159*VLOOKUP('Données projet (1)'!$B$10,'Paramètres (1)'!$A$1:$I$88,3,0)*0.475*44/12</f>
        <v>#REF!</v>
      </c>
      <c r="AV159" s="142" t="str">
        <f>EXP(-LN(2)/25)*AV158+(1-EXP(-LN(2)/25))/(LN(2)/25)*'Calculateur (1)'!AQ159*'Calculateur (1)'!AS159*VLOOKUP('Données projet (1)'!$B$10,'Paramètres (1)'!$A$1:$I$88,3,0)*0.475*44/12</f>
        <v>#REF!</v>
      </c>
      <c r="AW159" s="142" t="str">
        <f>EXP(-LN(2)/2)*AW158+(1-EXP(-LN(2)/2))/(LN(2)/2)*AQ159*AT159*VLOOKUP('Données projet (1)'!$B$10,'Paramètres (1)'!$A$1:$I$88,3,0)*0.475*44/12</f>
        <v>#REF!</v>
      </c>
      <c r="AX159" s="142" t="str">
        <f t="shared" si="25"/>
        <v>#REF!</v>
      </c>
      <c r="AY159" s="137" t="str">
        <f t="shared" si="26"/>
        <v>#REF!</v>
      </c>
      <c r="AZ159" s="131">
        <f t="shared" si="27"/>
        <v>10</v>
      </c>
      <c r="BA159" s="131" t="str">
        <f t="shared" si="116"/>
        <v>#REF!</v>
      </c>
      <c r="BB159" s="131" t="str">
        <f t="shared" si="28"/>
        <v>#REF!</v>
      </c>
      <c r="BC159" s="131" t="str">
        <f t="array" ref="BC159">INDEX(BB:BB,MIN(IF(ISNUMBER(BB159:BB355),ROW(BB159:BB355),"")))</f>
        <v/>
      </c>
      <c r="BD159" s="131" t="str">
        <f t="shared" si="117"/>
        <v>#REF!</v>
      </c>
      <c r="BE159" s="130" t="str">
        <f>BD159*VLOOKUP('Données projet (1)'!$B$11,'Paramètres (1)'!$A$1:$I$88,3,0)*VLOOKUP('Données projet (1)'!$B$11,'Paramètres (1)'!$A$1:$I$88,5,0)</f>
        <v>#REF!</v>
      </c>
      <c r="BF159" s="130" t="str">
        <f t="shared" si="118"/>
        <v>#REF!</v>
      </c>
      <c r="BG159" s="141" t="str">
        <f t="shared" si="29"/>
        <v>#REF!</v>
      </c>
      <c r="BH159" s="133" t="str">
        <f t="shared" si="30"/>
        <v>#REF!</v>
      </c>
      <c r="BI159" s="133" t="str">
        <f t="shared" si="31"/>
        <v>#REF!</v>
      </c>
      <c r="BJ159" s="133" t="str">
        <f t="shared" si="119"/>
        <v>#REF!</v>
      </c>
      <c r="BK159" s="134" t="str">
        <f t="shared" si="32"/>
        <v>#REF!</v>
      </c>
      <c r="BL159" s="134" t="str">
        <f t="shared" si="33"/>
        <v>#REF!</v>
      </c>
      <c r="BM159" s="135" t="str">
        <f>IF(ISNA(VLOOKUP(A159,'Données projet (1)'!$A$87:$I$107,5,0)),0%,VLOOKUP(A159,'Données projet (1)'!$A$87:$I$107,5,0)*VLOOKUP('Données projet (1)'!$B$11,'Paramètres (1)'!$A$1:$I$88,7,0))</f>
        <v>#REF!</v>
      </c>
      <c r="BN159" s="135" t="str">
        <f>IF(ISNA(VLOOKUP(A159,'Données projet (1)'!$A$87:$I$107,6,0)),0%,VLOOKUP(A159,'Données projet (1)'!$A$87:$I$107,6,0)*VLOOKUP('Données projet (1)'!$B$11,'Paramètres (1)'!$A$1:$I$88,7,0))</f>
        <v>#REF!</v>
      </c>
      <c r="BO159" s="135" t="str">
        <f t="shared" si="34"/>
        <v>#REF!</v>
      </c>
      <c r="BP159" s="142" t="str">
        <f>EXP(-LN(2)/35)*BP158+(1-EXP(-LN(2)/35))/(LN(2)/35)*BL159*BM159*VLOOKUP('Données projet (1)'!$B$11,'Paramètres (1)'!$A$1:$I$88,3,0)*0.475*44/12</f>
        <v>#REF!</v>
      </c>
      <c r="BQ159" s="142" t="str">
        <f>EXP(-LN(2)/25)*BQ158+(1-EXP(-LN(2)/25))/(LN(2)/25)*'Calculateur (1)'!BL159*'Calculateur (1)'!BN159*VLOOKUP('Données projet (1)'!$B$11,'Paramètres (1)'!$A$1:$I$88,3,0)*0.475*44/12</f>
        <v>#REF!</v>
      </c>
      <c r="BR159" s="142" t="str">
        <f>EXP(-LN(2)/2)*BR158+(1-EXP(-LN(2)/2))/(LN(2)/2)*BL159*BO159*VLOOKUP('Données projet (1)'!$B$11,'Paramètres (1)'!$A$1:$I$88,3,0)*0.475*44/12</f>
        <v>#REF!</v>
      </c>
      <c r="BS159" s="143" t="str">
        <f t="shared" si="35"/>
        <v>#REF!</v>
      </c>
      <c r="BT159" s="139" t="str">
        <f t="shared" si="36"/>
        <v>#REF!</v>
      </c>
      <c r="BU159" s="131">
        <f t="shared" si="37"/>
        <v>10</v>
      </c>
      <c r="BV159" s="131" t="str">
        <f t="shared" si="120"/>
        <v>#REF!</v>
      </c>
      <c r="BW159" s="131" t="str">
        <f t="shared" si="38"/>
        <v>#REF!</v>
      </c>
      <c r="BX159" s="131" t="str">
        <f t="array" ref="BX159">INDEX(BW:BW,MIN(IF(ISNUMBER(BW159:BW355),ROW(BW159:BW355),"")))</f>
        <v/>
      </c>
      <c r="BY159" s="131" t="str">
        <f t="shared" si="121"/>
        <v>#REF!</v>
      </c>
      <c r="BZ159" s="130" t="str">
        <f>BY159*VLOOKUP('Données projet (1)'!$B$12,'Paramètres (1)'!$A$1:$I$88,3,0)*VLOOKUP('Données projet (1)'!$B$12,'Paramètres (1)'!$A$1:$I$88,5,0)</f>
        <v>#REF!</v>
      </c>
      <c r="CA159" s="130" t="str">
        <f t="shared" si="122"/>
        <v>#REF!</v>
      </c>
      <c r="CB159" s="141" t="str">
        <f t="shared" si="39"/>
        <v>#REF!</v>
      </c>
      <c r="CC159" s="133" t="str">
        <f t="shared" si="40"/>
        <v>#REF!</v>
      </c>
      <c r="CD159" s="133" t="str">
        <f t="shared" si="41"/>
        <v>#REF!</v>
      </c>
      <c r="CE159" s="133" t="str">
        <f t="shared" si="123"/>
        <v>#REF!</v>
      </c>
      <c r="CF159" s="134" t="str">
        <f t="shared" si="42"/>
        <v>#REF!</v>
      </c>
      <c r="CG159" s="134" t="str">
        <f t="shared" si="43"/>
        <v>#REF!</v>
      </c>
      <c r="CH159" s="135" t="str">
        <f>IF(ISNA(VLOOKUP(A159,'Données projet (1)'!$A$113:$I$133,5,0)),0%,VLOOKUP(A159,'Données projet (1)'!$A$113:$I$133,5,0)*VLOOKUP('Données projet (1)'!$B$12,'Paramètres (1)'!$A$1:$I$88,7,0))</f>
        <v>#REF!</v>
      </c>
      <c r="CI159" s="135" t="str">
        <f>IF(ISNA(VLOOKUP(A159,'Données projet (1)'!$A$113:$I$133,6,0)),0%,VLOOKUP(A159,'Données projet (1)'!$A$113:$I$133,6,0)*VLOOKUP('Données projet (1)'!$B$12,'Paramètres (1)'!$A$1:$I$88,7,0))</f>
        <v>#REF!</v>
      </c>
      <c r="CJ159" s="135" t="str">
        <f t="shared" si="44"/>
        <v>#REF!</v>
      </c>
      <c r="CK159" s="142" t="str">
        <f>EXP(-LN(2)/35)*CK158+(1-EXP(-LN(2)/35))/(LN(2)/35)*CG159*CH159*VLOOKUP('Données projet (1)'!$B$12,'Paramètres (1)'!$A$1:$I$88,3,0)*0.475*44/12</f>
        <v>#REF!</v>
      </c>
      <c r="CL159" s="142" t="str">
        <f>EXP(-LN(2)/25)*CL158+(1-EXP(-LN(2)/25))/(LN(2)/25)*'Calculateur (1)'!CG159*'Calculateur (1)'!CI159*VLOOKUP('Données projet (1)'!$B$12,'Paramètres (1)'!$A$1:$I$88,3,0)*0.475*44/12</f>
        <v>#REF!</v>
      </c>
      <c r="CM159" s="142" t="str">
        <f>EXP(-LN(2)/2)*CM158+(1-EXP(-LN(2)/2))/(LN(2)/2)*CG159*CJ159*VLOOKUP('Données projet (1)'!$B$12,'Paramètres (1)'!$A$1:$I$88,3,0)*0.475*44/12</f>
        <v>#REF!</v>
      </c>
      <c r="CN159" s="143" t="str">
        <f t="shared" si="45"/>
        <v>#REF!</v>
      </c>
      <c r="CO159" s="139" t="str">
        <f t="shared" si="46"/>
        <v>#REF!</v>
      </c>
      <c r="CP159" s="131">
        <f t="shared" si="47"/>
        <v>10</v>
      </c>
      <c r="CQ159" s="131" t="str">
        <f t="shared" si="124"/>
        <v>#REF!</v>
      </c>
      <c r="CR159" s="131" t="str">
        <f t="shared" si="48"/>
        <v>#REF!</v>
      </c>
      <c r="CS159" s="131" t="str">
        <f t="array" ref="CS159">INDEX(CR:CR,MIN(IF(ISNUMBER(CR159:CR355),ROW(CR159:CR355),"")))</f>
        <v/>
      </c>
      <c r="CT159" s="131" t="str">
        <f t="shared" si="125"/>
        <v>#REF!</v>
      </c>
      <c r="CU159" s="138" t="str">
        <f>CT159*VLOOKUP('Données projet (1)'!$B$13,'Paramètres (1)'!$A$1:$I$88,3,0)*VLOOKUP('Données projet (1)'!$B$13,'Paramètres (1)'!$A$1:$I$88,5,0)</f>
        <v>#REF!</v>
      </c>
      <c r="CV159" s="130" t="str">
        <f t="shared" si="126"/>
        <v>#REF!</v>
      </c>
      <c r="CW159" s="141" t="str">
        <f t="shared" si="49"/>
        <v>#REF!</v>
      </c>
      <c r="CX159" s="133" t="str">
        <f t="shared" si="50"/>
        <v>#REF!</v>
      </c>
      <c r="CY159" s="133" t="str">
        <f t="shared" si="51"/>
        <v>#REF!</v>
      </c>
      <c r="CZ159" s="133" t="str">
        <f t="shared" si="127"/>
        <v>#REF!</v>
      </c>
      <c r="DA159" s="134" t="str">
        <f t="shared" si="52"/>
        <v>#REF!</v>
      </c>
      <c r="DB159" s="134" t="str">
        <f t="shared" si="53"/>
        <v>#REF!</v>
      </c>
      <c r="DC159" s="135" t="str">
        <f>IF(ISNA(VLOOKUP(A159,'Données projet (1)'!$A$139:$I$159,5,0)),0%,VLOOKUP(A159,'Données projet (1)'!$A$139:$I$159,5,0)*VLOOKUP('Données projet (1)'!$B$13,'Paramètres (1)'!$A$1:$I$88,7,0))</f>
        <v>#REF!</v>
      </c>
      <c r="DD159" s="135" t="str">
        <f>IF(ISNA(VLOOKUP(A159,'Données projet (1)'!$A$139:$I$159,6,0)),0%,VLOOKUP(A159,'Données projet (1)'!$A$139:$I$159,6,0)*VLOOKUP('Données projet (1)'!$B$13,'Paramètres (1)'!$A$1:$I$88,7,0))</f>
        <v>#REF!</v>
      </c>
      <c r="DE159" s="135" t="str">
        <f t="shared" si="54"/>
        <v>#REF!</v>
      </c>
      <c r="DF159" s="142" t="str">
        <f>EXP(-LN(2)/35)*DF158+(1-EXP(-LN(2)/35))/(LN(2)/35)*DB159*DC159*VLOOKUP('Données projet (1)'!$B$13,'Paramètres (1)'!$A$1:$I$88,3,0)*0.475*44/12</f>
        <v>#REF!</v>
      </c>
      <c r="DG159" s="142" t="str">
        <f>EXP(-LN(2)/25)*DG158+(1-EXP(-LN(2)/25))/(LN(2)/25)*'Calculateur (1)'!DB159*'Calculateur (1)'!DD159*VLOOKUP('Données projet (1)'!$B$13,'Paramètres (1)'!$A$1:$I$88,3,0)*0.475*44/12</f>
        <v>#REF!</v>
      </c>
      <c r="DH159" s="142" t="str">
        <f>EXP(-LN(2)/2)*DH158+(1-EXP(-LN(2)/2))/(LN(2)/2)*DB159*DE159*VLOOKUP('Données projet (1)'!$B$13,'Paramètres (1)'!$A$1:$I$88,3,0)*0.475*44/12</f>
        <v>#REF!</v>
      </c>
      <c r="DI159" s="143" t="str">
        <f t="shared" si="55"/>
        <v>#REF!</v>
      </c>
      <c r="DJ159" s="139" t="str">
        <f t="shared" si="56"/>
        <v>#REF!</v>
      </c>
      <c r="DK159" s="131">
        <f t="shared" si="57"/>
        <v>10</v>
      </c>
      <c r="DL159" s="131" t="str">
        <f t="shared" si="128"/>
        <v>#REF!</v>
      </c>
      <c r="DM159" s="131" t="str">
        <f t="shared" si="58"/>
        <v>#REF!</v>
      </c>
      <c r="DN159" s="131" t="str">
        <f t="array" ref="DN159">INDEX(DM:DM,MIN(IF(ISNUMBER(DM159:DM355),ROW(DM159:DM355),"")))</f>
        <v/>
      </c>
      <c r="DO159" s="131" t="str">
        <f t="shared" si="129"/>
        <v>#REF!</v>
      </c>
      <c r="DP159" s="138" t="str">
        <f>DO159*VLOOKUP('Données projet (1)'!$B$14,'Paramètres (1)'!$A$1:$I$88,3,0)*VLOOKUP('Données projet (1)'!$B$14,'Paramètres (1)'!$A$1:$I$88,5,0)</f>
        <v>#REF!</v>
      </c>
      <c r="DQ159" s="130" t="str">
        <f t="shared" si="130"/>
        <v>#REF!</v>
      </c>
      <c r="DR159" s="141" t="str">
        <f t="shared" si="59"/>
        <v>#REF!</v>
      </c>
      <c r="DS159" s="133" t="str">
        <f t="shared" si="60"/>
        <v>#REF!</v>
      </c>
      <c r="DT159" s="133" t="str">
        <f t="shared" si="61"/>
        <v>#REF!</v>
      </c>
      <c r="DU159" s="133" t="str">
        <f t="shared" si="131"/>
        <v>#REF!</v>
      </c>
      <c r="DV159" s="134" t="str">
        <f t="shared" si="62"/>
        <v>#REF!</v>
      </c>
      <c r="DW159" s="134" t="str">
        <f t="shared" si="63"/>
        <v>#REF!</v>
      </c>
      <c r="DX159" s="135" t="str">
        <f>IF(ISNA(VLOOKUP(A159,'Données projet (1)'!$A$165:$I$185,5,0)),0%,VLOOKUP(A159,'Données projet (1)'!$A$165:$I$185,5,0)*VLOOKUP('Données projet (1)'!$B$14,'Paramètres (1)'!$A$1:$I$88,7,0))</f>
        <v>#REF!</v>
      </c>
      <c r="DY159" s="135" t="str">
        <f>IF(ISNA(VLOOKUP(A159,'Données projet (1)'!$A$165:$I$185,6,0)),0%,VLOOKUP(A159,'Données projet (1)'!$A$165:$I$185,6,0)*VLOOKUP('Données projet (1)'!$B$14,'Paramètres (1)'!$A$1:$I$88,7,0))</f>
        <v>#REF!</v>
      </c>
      <c r="DZ159" s="135" t="str">
        <f t="shared" si="64"/>
        <v>#REF!</v>
      </c>
      <c r="EA159" s="142" t="str">
        <f>EXP(-LN(2)/35)*EA158+(1-EXP(-LN(2)/35))/(LN(2)/35)*DW159*DX159*VLOOKUP('Données projet (1)'!$B$14,'Paramètres (1)'!$A$1:$I$88,3,0)*0.475*44/12</f>
        <v>#REF!</v>
      </c>
      <c r="EB159" s="142" t="str">
        <f>EXP(-LN(2)/25)*EB158+(1-EXP(-LN(2)/25))/(LN(2)/25)*'Calculateur (1)'!DW159*'Calculateur (1)'!DY159*VLOOKUP('Données projet (1)'!$B$14,'Paramètres (1)'!$A$1:$I$88,3,0)*0.475*44/12</f>
        <v>#REF!</v>
      </c>
      <c r="EC159" s="142" t="str">
        <f>EXP(-LN(2)/2)*EC158+(1-EXP(-LN(2)/2))/(LN(2)/2)*DW159*DZ159*VLOOKUP('Données projet (1)'!$B$14,'Paramètres (1)'!$A$1:$I$88,3,0)*0.475*44/12</f>
        <v>#REF!</v>
      </c>
      <c r="ED159" s="143" t="str">
        <f t="shared" si="65"/>
        <v>#REF!</v>
      </c>
      <c r="EE159" s="139" t="str">
        <f t="shared" si="66"/>
        <v>#REF!</v>
      </c>
      <c r="EF159" s="131">
        <f t="shared" si="67"/>
        <v>10</v>
      </c>
      <c r="EG159" s="131" t="str">
        <f t="shared" si="132"/>
        <v>#REF!</v>
      </c>
      <c r="EH159" s="131" t="str">
        <f t="shared" si="68"/>
        <v>#REF!</v>
      </c>
      <c r="EI159" s="131" t="str">
        <f t="array" ref="EI159">INDEX(EH:EH,MIN(IF(ISNUMBER(EH159:EH355),ROW(EH159:EH355),"")))</f>
        <v/>
      </c>
      <c r="EJ159" s="131" t="str">
        <f t="shared" si="133"/>
        <v>#REF!</v>
      </c>
      <c r="EK159" s="138" t="str">
        <f>EJ159*VLOOKUP('Données projet (1)'!$B$15,'Paramètres (1)'!$A$1:$I$88,3,0)*VLOOKUP('Données projet (1)'!$B$15,'Paramètres (1)'!$A$1:$I$88,5,0)</f>
        <v>#REF!</v>
      </c>
      <c r="EL159" s="130" t="str">
        <f t="shared" si="134"/>
        <v>#REF!</v>
      </c>
      <c r="EM159" s="141" t="str">
        <f t="shared" si="69"/>
        <v>#REF!</v>
      </c>
      <c r="EN159" s="133" t="str">
        <f t="shared" si="70"/>
        <v>#REF!</v>
      </c>
      <c r="EO159" s="133" t="str">
        <f t="shared" si="71"/>
        <v>#REF!</v>
      </c>
      <c r="EP159" s="133" t="str">
        <f t="shared" si="135"/>
        <v>#REF!</v>
      </c>
      <c r="EQ159" s="134" t="str">
        <f t="shared" si="72"/>
        <v>#REF!</v>
      </c>
      <c r="ER159" s="134" t="str">
        <f t="shared" si="73"/>
        <v>#REF!</v>
      </c>
      <c r="ES159" s="135" t="str">
        <f>IF(ISNA(VLOOKUP(A159,'Données projet (1)'!$A$191:$I$211,5,0)),0%,VLOOKUP(A159,'Données projet (1)'!$A$191:$I$211,5,0)*VLOOKUP('Données projet (1)'!$B$15,'Paramètres (1)'!$A$1:$I$88,7,0))</f>
        <v>#REF!</v>
      </c>
      <c r="ET159" s="135" t="str">
        <f>IF(ISNA(VLOOKUP(A159,'Données projet (1)'!$A$191:$I$211,6,0)),0%,VLOOKUP(A159,'Données projet (1)'!$A$191:$I$211,6,0)*VLOOKUP('Données projet (1)'!$B$15,'Paramètres (1)'!$A$1:$I$88,7,0))</f>
        <v>#REF!</v>
      </c>
      <c r="EU159" s="135" t="str">
        <f t="shared" si="74"/>
        <v>#REF!</v>
      </c>
      <c r="EV159" s="142" t="str">
        <f>EXP(-LN(2)/35)*EV158+(1-EXP(-LN(2)/35))/(LN(2)/35)*ER159*ES159*VLOOKUP('Données projet (1)'!$B$15,'Paramètres (1)'!$A$1:$I$88,3,0)*0.475*44/12</f>
        <v>#REF!</v>
      </c>
      <c r="EW159" s="142" t="str">
        <f>EXP(-LN(2)/25)*EW158+(1-EXP(-LN(2)/25))/(LN(2)/25)*'Calculateur (1)'!ER159*'Calculateur (1)'!ET159*VLOOKUP('Données projet (1)'!$B$15,'Paramètres (1)'!$A$1:$I$88,3,0)*0.475*44/12</f>
        <v>#REF!</v>
      </c>
      <c r="EX159" s="142" t="str">
        <f>EXP(-LN(2)/2)*EX158+(1-EXP(-LN(2)/2))/(LN(2)/2)*ER159*EU159*VLOOKUP('Données projet (1)'!$B$15,'Paramètres (1)'!$A$1:$I$88,3,0)*0.475*44/12</f>
        <v>#REF!</v>
      </c>
      <c r="EY159" s="143" t="str">
        <f t="shared" si="75"/>
        <v>#REF!</v>
      </c>
      <c r="EZ159" s="139" t="str">
        <f t="shared" si="76"/>
        <v>#REF!</v>
      </c>
      <c r="FA159" s="131">
        <f t="shared" si="77"/>
        <v>10</v>
      </c>
      <c r="FB159" s="131" t="str">
        <f t="shared" si="136"/>
        <v>#REF!</v>
      </c>
      <c r="FC159" s="131" t="str">
        <f t="shared" si="78"/>
        <v>#REF!</v>
      </c>
      <c r="FD159" s="131" t="str">
        <f t="array" ref="FD159">INDEX(FC:FC,MIN(IF(ISNUMBER(FC159:FC355),ROW(FC159:FC355),"")))</f>
        <v/>
      </c>
      <c r="FE159" s="131" t="str">
        <f t="shared" si="137"/>
        <v>#REF!</v>
      </c>
      <c r="FF159" s="138" t="str">
        <f>FE159*VLOOKUP('Données projet (1)'!$B$16,'Paramètres (1)'!$A$1:$I$88,3,0)*VLOOKUP('Données projet (1)'!$B$16,'Paramètres (1)'!$A$1:$I$88,5,0)</f>
        <v>#REF!</v>
      </c>
      <c r="FG159" s="130" t="str">
        <f t="shared" si="138"/>
        <v>#REF!</v>
      </c>
      <c r="FH159" s="141" t="str">
        <f t="shared" si="79"/>
        <v>#REF!</v>
      </c>
      <c r="FI159" s="133" t="str">
        <f t="shared" si="80"/>
        <v>#REF!</v>
      </c>
      <c r="FJ159" s="133" t="str">
        <f t="shared" si="81"/>
        <v>#REF!</v>
      </c>
      <c r="FK159" s="133" t="str">
        <f t="shared" si="139"/>
        <v>#REF!</v>
      </c>
      <c r="FL159" s="134" t="str">
        <f t="shared" si="82"/>
        <v>#REF!</v>
      </c>
      <c r="FM159" s="134" t="str">
        <f t="shared" si="83"/>
        <v>#REF!</v>
      </c>
      <c r="FN159" s="135" t="str">
        <f>IF(ISNA(VLOOKUP(A159,'Données projet (1)'!$A$217:$I$237,5,0)),0%,VLOOKUP(A159,'Données projet (1)'!$A$217:$I$237,5,0)*VLOOKUP('Données projet (1)'!$B$16,'Paramètres (1)'!$A$1:$I$88,7,0))</f>
        <v>#REF!</v>
      </c>
      <c r="FO159" s="135" t="str">
        <f>IF(ISNA(VLOOKUP(A159,'Données projet (1)'!$A$217:$I$237,6,0)),0%,VLOOKUP(A159,'Données projet (1)'!$A$217:$I$237,6,0)*VLOOKUP('Données projet (1)'!$B$16,'Paramètres (1)'!$A$1:$I$88,7,0))</f>
        <v>#REF!</v>
      </c>
      <c r="FP159" s="135" t="str">
        <f t="shared" si="84"/>
        <v>#REF!</v>
      </c>
      <c r="FQ159" s="142" t="str">
        <f>EXP(-LN(2)/35)*FQ158+(1-EXP(-LN(2)/35))/(LN(2)/35)*FM159*FN159*VLOOKUP('Données projet (1)'!$B$16,'Paramètres (1)'!$A$1:$I$88,3,0)*0.475*44/12</f>
        <v>#REF!</v>
      </c>
      <c r="FR159" s="142" t="str">
        <f>EXP(-LN(2)/25)*FR158+(1-EXP(-LN(2)/25))/(LN(2)/25)*'Calculateur (1)'!FM159*'Calculateur (1)'!FO159*VLOOKUP('Données projet (1)'!$B$16,'Paramètres (1)'!$A$1:$I$88,3,0)*0.475*44/12</f>
        <v>#REF!</v>
      </c>
      <c r="FS159" s="142" t="str">
        <f>EXP(-LN(2)/2)*FS158+(1-EXP(-LN(2)/2))/(LN(2)/2)*FM159*FP159*VLOOKUP('Données projet (1)'!$B$16,'Paramètres (1)'!$A$1:$I$88,3,0)*0.475*44/12</f>
        <v>#REF!</v>
      </c>
      <c r="FT159" s="143" t="str">
        <f t="shared" si="85"/>
        <v>#REF!</v>
      </c>
      <c r="FU159" s="139" t="str">
        <f t="shared" si="86"/>
        <v>#REF!</v>
      </c>
      <c r="FV159" s="131">
        <f t="shared" si="87"/>
        <v>10</v>
      </c>
      <c r="FW159" s="131" t="str">
        <f t="shared" si="140"/>
        <v>#REF!</v>
      </c>
      <c r="FX159" s="131" t="str">
        <f t="shared" si="88"/>
        <v>#REF!</v>
      </c>
      <c r="FY159" s="131" t="str">
        <f t="array" ref="FY159">INDEX(FX:FX,MIN(IF(ISNUMBER(FX159:FX355),ROW(FX159:FX355),"")))</f>
        <v/>
      </c>
      <c r="FZ159" s="131" t="str">
        <f t="shared" si="141"/>
        <v>#REF!</v>
      </c>
      <c r="GA159" s="138" t="str">
        <f>FZ159*VLOOKUP('Données projet (1)'!$B$17,'Paramètres (1)'!$A$1:$I$88,3,0)*VLOOKUP('Données projet (1)'!$B$17,'Paramètres (1)'!$A$1:$I$88,5,0)</f>
        <v>#REF!</v>
      </c>
      <c r="GB159" s="130" t="str">
        <f t="shared" si="142"/>
        <v>#REF!</v>
      </c>
      <c r="GC159" s="141" t="str">
        <f t="shared" si="89"/>
        <v>#REF!</v>
      </c>
      <c r="GD159" s="133" t="str">
        <f t="shared" si="90"/>
        <v>#REF!</v>
      </c>
      <c r="GE159" s="133" t="str">
        <f t="shared" si="91"/>
        <v>#REF!</v>
      </c>
      <c r="GF159" s="133" t="str">
        <f t="shared" si="143"/>
        <v>#REF!</v>
      </c>
      <c r="GG159" s="134" t="str">
        <f t="shared" si="92"/>
        <v>#REF!</v>
      </c>
      <c r="GH159" s="134" t="str">
        <f t="shared" si="93"/>
        <v>#REF!</v>
      </c>
      <c r="GI159" s="135" t="str">
        <f>IF(ISNA(VLOOKUP(A159,'Données projet (1)'!$A$243:$I$263,5,0)),0%,VLOOKUP(A159,'Données projet (1)'!$A$243:$I$263,5,0)*VLOOKUP('Données projet (1)'!$B$17,'Paramètres (1)'!$A$1:$I$88,7,0))</f>
        <v>#REF!</v>
      </c>
      <c r="GJ159" s="135" t="str">
        <f>IF(ISNA(VLOOKUP(A159,'Données projet (1)'!$A$243:$I$263,6,0)),0%,VLOOKUP(A159,'Données projet (1)'!$A$243:$I$263,6,0)*VLOOKUP('Données projet (1)'!$B$17,'Paramètres (1)'!$A$1:$I$88,7,0))</f>
        <v>#REF!</v>
      </c>
      <c r="GK159" s="135" t="str">
        <f t="shared" si="94"/>
        <v>#REF!</v>
      </c>
      <c r="GL159" s="142" t="str">
        <f>EXP(-LN(2)/35)*GL158+(1-EXP(-LN(2)/35))/(LN(2)/35)*GH159*GI159*VLOOKUP('Données projet (1)'!$B$17,'Paramètres (1)'!$A$1:$I$88,3,0)*0.475*44/12</f>
        <v>#REF!</v>
      </c>
      <c r="GM159" s="142" t="str">
        <f>EXP(-LN(2)/25)*GM158+(1-EXP(-LN(2)/25))/(LN(2)/25)*'Calculateur (1)'!GH159*'Calculateur (1)'!GJ159*VLOOKUP('Données projet (1)'!$B$17,'Paramètres (1)'!$A$1:$I$88,3,0)*0.475*44/12</f>
        <v>#REF!</v>
      </c>
      <c r="GN159" s="142" t="str">
        <f>EXP(-LN(2)/2)*GN158+(1-EXP(-LN(2)/2))/(LN(2)/2)*GH159*GK159*VLOOKUP('Données projet (1)'!$B$17,'Paramètres (1)'!$A$1:$I$88,3,0)*0.475*44/12</f>
        <v>#REF!</v>
      </c>
      <c r="GO159" s="142" t="str">
        <f t="shared" si="95"/>
        <v>#REF!</v>
      </c>
      <c r="GP159" s="139" t="str">
        <f t="shared" si="96"/>
        <v>#REF!</v>
      </c>
      <c r="GQ159" s="131">
        <f t="shared" si="97"/>
        <v>10</v>
      </c>
      <c r="GR159" s="131" t="str">
        <f t="shared" si="144"/>
        <v>#REF!</v>
      </c>
      <c r="GS159" s="131" t="str">
        <f t="shared" si="98"/>
        <v>#REF!</v>
      </c>
      <c r="GT159" s="131" t="str">
        <f t="array" ref="GT159">INDEX(GS:GS,MIN(IF(ISNUMBER(GS159:GS355),ROW(GS159:GS355),"")))</f>
        <v/>
      </c>
      <c r="GU159" s="131" t="str">
        <f t="shared" si="145"/>
        <v>#REF!</v>
      </c>
      <c r="GV159" s="138" t="str">
        <f>GU159*VLOOKUP('Données projet (1)'!$B$18,'Paramètres (1)'!$A$1:$I$88,3,0)*VLOOKUP('Données projet (1)'!$B$18,'Paramètres (1)'!$A$1:$I$88,5,0)</f>
        <v>#REF!</v>
      </c>
      <c r="GW159" s="130" t="str">
        <f t="shared" si="146"/>
        <v>#REF!</v>
      </c>
      <c r="GX159" s="141" t="str">
        <f t="shared" si="99"/>
        <v>#REF!</v>
      </c>
      <c r="GY159" s="133" t="str">
        <f t="shared" si="100"/>
        <v>#REF!</v>
      </c>
      <c r="GZ159" s="133" t="str">
        <f t="shared" si="101"/>
        <v>#REF!</v>
      </c>
      <c r="HA159" s="133" t="str">
        <f t="shared" si="147"/>
        <v>#REF!</v>
      </c>
      <c r="HB159" s="134" t="str">
        <f t="shared" si="102"/>
        <v>#REF!</v>
      </c>
      <c r="HC159" s="134" t="str">
        <f t="shared" si="103"/>
        <v>#REF!</v>
      </c>
      <c r="HD159" s="135" t="str">
        <f>IF(ISNA(VLOOKUP(A159,'Données projet (1)'!$A$269:$I$289,5,0)),0%,VLOOKUP(A159,'Données projet (1)'!$A$269:$I$289,5,0)*VLOOKUP('Données projet (1)'!$B$18,'Paramètres (1)'!$A$1:$I$88,7,0))</f>
        <v>#REF!</v>
      </c>
      <c r="HE159" s="135" t="str">
        <f>IF(ISNA(VLOOKUP(A159,'Données projet (1)'!$A$269:$I$289,6,0)),0%,VLOOKUP(A159,'Données projet (1)'!$A$269:$I$289,6,0)*VLOOKUP('Données projet (1)'!$B$18,'Paramètres (1)'!$A$1:$I$88,7,0))</f>
        <v>#REF!</v>
      </c>
      <c r="HF159" s="135" t="str">
        <f t="shared" si="104"/>
        <v>#REF!</v>
      </c>
      <c r="HG159" s="142" t="str">
        <f>EXP(-LN(2)/35)*HG158+(1-EXP(-LN(2)/35))/(LN(2)/35)*HC159*HD159*VLOOKUP('Données projet (1)'!$B$18,'Paramètres (1)'!$A$1:$I$88,3,0)*0.475*44/12</f>
        <v>#REF!</v>
      </c>
      <c r="HH159" s="142" t="str">
        <f>EXP(-LN(2)/25)*HH158+(1-EXP(-LN(2)/25))/(LN(2)/25)*'Calculateur (1)'!HC159*'Calculateur (1)'!HE159*VLOOKUP('Données projet (1)'!$B$18,'Paramètres (1)'!$A$1:$I$88,3,0)*0.475*44/12</f>
        <v>#REF!</v>
      </c>
      <c r="HI159" s="142" t="str">
        <f>EXP(-LN(2)/2)*HI158+(1-EXP(-LN(2)/2))/(LN(2)/2)*HC159*HF159*VLOOKUP('Données projet (1)'!$B$18,'Paramètres (1)'!$A$1:$I$88,3,0)*0.475*44/12</f>
        <v>#REF!</v>
      </c>
      <c r="HJ159" s="143" t="str">
        <f t="shared" si="105"/>
        <v>#REF!</v>
      </c>
    </row>
    <row r="160" ht="14.25" customHeight="1">
      <c r="A160" s="125">
        <f t="shared" si="106"/>
        <v>157</v>
      </c>
      <c r="B160" s="126" t="str">
        <f t="shared" si="1"/>
        <v>#REF!</v>
      </c>
      <c r="C160" s="140" t="str">
        <f>'Calculateur (1)'!C159+'Scénario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0" s="127">
        <f t="shared" si="107"/>
        <v>0</v>
      </c>
      <c r="E160" s="127" t="str">
        <f t="shared" si="2"/>
        <v>#REF!</v>
      </c>
      <c r="F160" s="127" t="str">
        <f t="shared" si="3"/>
        <v>#REF!</v>
      </c>
      <c r="G160" s="127" t="str">
        <f t="shared" si="4"/>
        <v>#REF!</v>
      </c>
      <c r="H160" s="128" t="str">
        <f t="shared" si="5"/>
        <v>#REF!</v>
      </c>
      <c r="I160" s="129" t="str">
        <f t="shared" si="6"/>
        <v>#REF!</v>
      </c>
      <c r="J160" s="130">
        <f t="shared" si="7"/>
        <v>10</v>
      </c>
      <c r="K160" s="131" t="str">
        <f t="shared" si="108"/>
        <v>#REF!</v>
      </c>
      <c r="L160" s="131" t="str">
        <f t="shared" si="8"/>
        <v>#REF!</v>
      </c>
      <c r="M160" s="131" t="str">
        <f t="array" ref="M160">INDEX(L:L,MIN(IF(ISNUMBER(L160:L356),ROW(L160:L356),"")))</f>
        <v/>
      </c>
      <c r="N160" s="130" t="str">
        <f t="shared" si="109"/>
        <v>#REF!</v>
      </c>
      <c r="O160" s="130" t="str">
        <f>N160*VLOOKUP('Données projet (1)'!$B$9,'Paramètres (1)'!$A$1:$I$88,3,0)*VLOOKUP('Données projet (1)'!$B$9,'Paramètres (1)'!$A$1:$I$88,5,0)</f>
        <v>#REF!</v>
      </c>
      <c r="P160" s="130" t="str">
        <f t="shared" si="110"/>
        <v>#REF!</v>
      </c>
      <c r="Q160" s="141" t="str">
        <f t="shared" si="9"/>
        <v>#REF!</v>
      </c>
      <c r="R160" s="133" t="str">
        <f t="shared" si="10"/>
        <v>#REF!</v>
      </c>
      <c r="S160" s="133" t="str">
        <f t="shared" si="11"/>
        <v>#REF!</v>
      </c>
      <c r="T160" s="133" t="str">
        <f t="shared" si="111"/>
        <v>#REF!</v>
      </c>
      <c r="U160" s="134" t="str">
        <f t="shared" si="12"/>
        <v>#REF!</v>
      </c>
      <c r="V160" s="134" t="str">
        <f t="shared" si="13"/>
        <v>#REF!</v>
      </c>
      <c r="W160" s="135" t="str">
        <f>IF(ISNA(VLOOKUP(A160,'Données projet (1)'!$A$35:$I$55,5,0)),0%,VLOOKUP(A160,'Données projet (1)'!$A$35:$I$55,5,0)*VLOOKUP('Données projet (1)'!$B$9,'Paramètres (1)'!$A$1:$I$88,7,0))</f>
        <v>#REF!</v>
      </c>
      <c r="X160" s="135" t="str">
        <f>IF(ISNA(VLOOKUP(A160,'Données projet (1)'!$A$35:$I$55,6,0)),0%,VLOOKUP(A160,'Données projet (1)'!$A$35:$I$55,6,0)*VLOOKUP('Données projet (1)'!$B$9,'Paramètres (1)'!$A$1:$I$88,7,0))</f>
        <v>#REF!</v>
      </c>
      <c r="Y160" s="135" t="str">
        <f t="shared" si="14"/>
        <v>#REF!</v>
      </c>
      <c r="Z160" s="142" t="str">
        <f>EXP(-LN(2)/35)*Z159+(1-EXP(-LN(2)/35))/(LN(2)/35)*V160*W160*VLOOKUP('Données projet (1)'!$B$9,'Paramètres (1)'!$A$1:$I$88,3,0)*0.475*44/12</f>
        <v>#REF!</v>
      </c>
      <c r="AA160" s="142" t="str">
        <f>EXP(-LN(2)/25)*AA159+(1-EXP(-LN(2)/25))/(LN(2)/25)*'Calculateur (1)'!V160*'Calculateur (1)'!X160*VLOOKUP('Données projet (1)'!$B$9,'Paramètres (1)'!$A$1:$I$88,3,0)*0.475*44/12</f>
        <v>#REF!</v>
      </c>
      <c r="AB160" s="142" t="str">
        <f>EXP(-LN(2)/2)*AB159+(1-EXP(-LN(2)/2))/(LN(2)/2)*V160*Y160*VLOOKUP('Données projet (1)'!$B$9,'Paramètres (1)'!$A$1:$I$88,3,0)*0.475*44/12</f>
        <v>#REF!</v>
      </c>
      <c r="AC160" s="143" t="str">
        <f t="shared" si="15"/>
        <v>#REF!</v>
      </c>
      <c r="AD160" s="130" t="str">
        <f t="shared" si="16"/>
        <v>#REF!</v>
      </c>
      <c r="AE160" s="130">
        <f t="shared" si="17"/>
        <v>10</v>
      </c>
      <c r="AF160" s="131" t="str">
        <f t="shared" si="112"/>
        <v>#REF!</v>
      </c>
      <c r="AG160" s="131" t="str">
        <f t="shared" si="18"/>
        <v>#REF!</v>
      </c>
      <c r="AH160" s="131" t="str">
        <f t="array" ref="AH160">INDEX(AG:AG,MIN(IF(ISNUMBER(AG160:AG356),ROW(AG160:AG356),"")))</f>
        <v/>
      </c>
      <c r="AI160" s="130" t="str">
        <f t="shared" si="113"/>
        <v>#REF!</v>
      </c>
      <c r="AJ160" s="130" t="str">
        <f>AI160*VLOOKUP('Données projet (1)'!$B$10,'Paramètres (1)'!$A$1:$I$88,3,0)*VLOOKUP('Données projet (1)'!$B$10,'Paramètres (1)'!$A$1:$I$88,5,0)</f>
        <v>#REF!</v>
      </c>
      <c r="AK160" s="130" t="str">
        <f t="shared" si="114"/>
        <v>#REF!</v>
      </c>
      <c r="AL160" s="141" t="str">
        <f t="shared" si="19"/>
        <v>#REF!</v>
      </c>
      <c r="AM160" s="133" t="str">
        <f t="shared" si="20"/>
        <v>#REF!</v>
      </c>
      <c r="AN160" s="133" t="str">
        <f t="shared" si="21"/>
        <v>#REF!</v>
      </c>
      <c r="AO160" s="133" t="str">
        <f t="shared" si="115"/>
        <v>#REF!</v>
      </c>
      <c r="AP160" s="134" t="str">
        <f t="shared" si="22"/>
        <v>#REF!</v>
      </c>
      <c r="AQ160" s="134" t="str">
        <f t="shared" si="23"/>
        <v>#REF!</v>
      </c>
      <c r="AR160" s="135" t="str">
        <f>IF(ISNA(VLOOKUP(A160,'Données projet (1)'!$A$61:$I$81,5,0)),0%,VLOOKUP(A160,'Données projet (1)'!$A$61:$I$81,5,0)*VLOOKUP('Données projet (1)'!$B$10,'Paramètres (1)'!$A$1:$I$88,7,0))</f>
        <v>#REF!</v>
      </c>
      <c r="AS160" s="135" t="str">
        <f>IF(ISNA(VLOOKUP(A160,'Données projet (1)'!$A$61:$I$81,6,0)),0%,VLOOKUP(A160,'Données projet (1)'!$A$61:$I$81,6,0)*VLOOKUP('Données projet (1)'!$B$10,'Paramètres (1)'!$A$1:$I$88,7,0))</f>
        <v>#REF!</v>
      </c>
      <c r="AT160" s="135" t="str">
        <f t="shared" si="24"/>
        <v>#REF!</v>
      </c>
      <c r="AU160" s="142" t="str">
        <f>EXP(-LN(2)/35)*AU159+(1-EXP(-LN(2)/35))/(LN(2)/35)*AQ160*AR160*VLOOKUP('Données projet (1)'!$B$10,'Paramètres (1)'!$A$1:$I$88,3,0)*0.475*44/12</f>
        <v>#REF!</v>
      </c>
      <c r="AV160" s="142" t="str">
        <f>EXP(-LN(2)/25)*AV159+(1-EXP(-LN(2)/25))/(LN(2)/25)*'Calculateur (1)'!AQ160*'Calculateur (1)'!AS160*VLOOKUP('Données projet (1)'!$B$10,'Paramètres (1)'!$A$1:$I$88,3,0)*0.475*44/12</f>
        <v>#REF!</v>
      </c>
      <c r="AW160" s="142" t="str">
        <f>EXP(-LN(2)/2)*AW159+(1-EXP(-LN(2)/2))/(LN(2)/2)*AQ160*AT160*VLOOKUP('Données projet (1)'!$B$10,'Paramètres (1)'!$A$1:$I$88,3,0)*0.475*44/12</f>
        <v>#REF!</v>
      </c>
      <c r="AX160" s="142" t="str">
        <f t="shared" si="25"/>
        <v>#REF!</v>
      </c>
      <c r="AY160" s="137" t="str">
        <f t="shared" si="26"/>
        <v>#REF!</v>
      </c>
      <c r="AZ160" s="131">
        <f t="shared" si="27"/>
        <v>10</v>
      </c>
      <c r="BA160" s="131" t="str">
        <f t="shared" si="116"/>
        <v>#REF!</v>
      </c>
      <c r="BB160" s="131" t="str">
        <f t="shared" si="28"/>
        <v>#REF!</v>
      </c>
      <c r="BC160" s="131" t="str">
        <f t="array" ref="BC160">INDEX(BB:BB,MIN(IF(ISNUMBER(BB160:BB356),ROW(BB160:BB356),"")))</f>
        <v/>
      </c>
      <c r="BD160" s="131" t="str">
        <f t="shared" si="117"/>
        <v>#REF!</v>
      </c>
      <c r="BE160" s="130" t="str">
        <f>BD160*VLOOKUP('Données projet (1)'!$B$11,'Paramètres (1)'!$A$1:$I$88,3,0)*VLOOKUP('Données projet (1)'!$B$11,'Paramètres (1)'!$A$1:$I$88,5,0)</f>
        <v>#REF!</v>
      </c>
      <c r="BF160" s="130" t="str">
        <f t="shared" si="118"/>
        <v>#REF!</v>
      </c>
      <c r="BG160" s="141" t="str">
        <f t="shared" si="29"/>
        <v>#REF!</v>
      </c>
      <c r="BH160" s="133" t="str">
        <f t="shared" si="30"/>
        <v>#REF!</v>
      </c>
      <c r="BI160" s="133" t="str">
        <f t="shared" si="31"/>
        <v>#REF!</v>
      </c>
      <c r="BJ160" s="133" t="str">
        <f t="shared" si="119"/>
        <v>#REF!</v>
      </c>
      <c r="BK160" s="134" t="str">
        <f t="shared" si="32"/>
        <v>#REF!</v>
      </c>
      <c r="BL160" s="134" t="str">
        <f t="shared" si="33"/>
        <v>#REF!</v>
      </c>
      <c r="BM160" s="135" t="str">
        <f>IF(ISNA(VLOOKUP(A160,'Données projet (1)'!$A$87:$I$107,5,0)),0%,VLOOKUP(A160,'Données projet (1)'!$A$87:$I$107,5,0)*VLOOKUP('Données projet (1)'!$B$11,'Paramètres (1)'!$A$1:$I$88,7,0))</f>
        <v>#REF!</v>
      </c>
      <c r="BN160" s="135" t="str">
        <f>IF(ISNA(VLOOKUP(A160,'Données projet (1)'!$A$87:$I$107,6,0)),0%,VLOOKUP(A160,'Données projet (1)'!$A$87:$I$107,6,0)*VLOOKUP('Données projet (1)'!$B$11,'Paramètres (1)'!$A$1:$I$88,7,0))</f>
        <v>#REF!</v>
      </c>
      <c r="BO160" s="135" t="str">
        <f t="shared" si="34"/>
        <v>#REF!</v>
      </c>
      <c r="BP160" s="142" t="str">
        <f>EXP(-LN(2)/35)*BP159+(1-EXP(-LN(2)/35))/(LN(2)/35)*BL160*BM160*VLOOKUP('Données projet (1)'!$B$11,'Paramètres (1)'!$A$1:$I$88,3,0)*0.475*44/12</f>
        <v>#REF!</v>
      </c>
      <c r="BQ160" s="142" t="str">
        <f>EXP(-LN(2)/25)*BQ159+(1-EXP(-LN(2)/25))/(LN(2)/25)*'Calculateur (1)'!BL160*'Calculateur (1)'!BN160*VLOOKUP('Données projet (1)'!$B$11,'Paramètres (1)'!$A$1:$I$88,3,0)*0.475*44/12</f>
        <v>#REF!</v>
      </c>
      <c r="BR160" s="142" t="str">
        <f>EXP(-LN(2)/2)*BR159+(1-EXP(-LN(2)/2))/(LN(2)/2)*BL160*BO160*VLOOKUP('Données projet (1)'!$B$11,'Paramètres (1)'!$A$1:$I$88,3,0)*0.475*44/12</f>
        <v>#REF!</v>
      </c>
      <c r="BS160" s="143" t="str">
        <f t="shared" si="35"/>
        <v>#REF!</v>
      </c>
      <c r="BT160" s="139" t="str">
        <f t="shared" si="36"/>
        <v>#REF!</v>
      </c>
      <c r="BU160" s="131">
        <f t="shared" si="37"/>
        <v>10</v>
      </c>
      <c r="BV160" s="131" t="str">
        <f t="shared" si="120"/>
        <v>#REF!</v>
      </c>
      <c r="BW160" s="131" t="str">
        <f t="shared" si="38"/>
        <v>#REF!</v>
      </c>
      <c r="BX160" s="131" t="str">
        <f t="array" ref="BX160">INDEX(BW:BW,MIN(IF(ISNUMBER(BW160:BW356),ROW(BW160:BW356),"")))</f>
        <v/>
      </c>
      <c r="BY160" s="131" t="str">
        <f t="shared" si="121"/>
        <v>#REF!</v>
      </c>
      <c r="BZ160" s="130" t="str">
        <f>BY160*VLOOKUP('Données projet (1)'!$B$12,'Paramètres (1)'!$A$1:$I$88,3,0)*VLOOKUP('Données projet (1)'!$B$12,'Paramètres (1)'!$A$1:$I$88,5,0)</f>
        <v>#REF!</v>
      </c>
      <c r="CA160" s="130" t="str">
        <f t="shared" si="122"/>
        <v>#REF!</v>
      </c>
      <c r="CB160" s="141" t="str">
        <f t="shared" si="39"/>
        <v>#REF!</v>
      </c>
      <c r="CC160" s="133" t="str">
        <f t="shared" si="40"/>
        <v>#REF!</v>
      </c>
      <c r="CD160" s="133" t="str">
        <f t="shared" si="41"/>
        <v>#REF!</v>
      </c>
      <c r="CE160" s="133" t="str">
        <f t="shared" si="123"/>
        <v>#REF!</v>
      </c>
      <c r="CF160" s="134" t="str">
        <f t="shared" si="42"/>
        <v>#REF!</v>
      </c>
      <c r="CG160" s="134" t="str">
        <f t="shared" si="43"/>
        <v>#REF!</v>
      </c>
      <c r="CH160" s="135" t="str">
        <f>IF(ISNA(VLOOKUP(A160,'Données projet (1)'!$A$113:$I$133,5,0)),0%,VLOOKUP(A160,'Données projet (1)'!$A$113:$I$133,5,0)*VLOOKUP('Données projet (1)'!$B$12,'Paramètres (1)'!$A$1:$I$88,7,0))</f>
        <v>#REF!</v>
      </c>
      <c r="CI160" s="135" t="str">
        <f>IF(ISNA(VLOOKUP(A160,'Données projet (1)'!$A$113:$I$133,6,0)),0%,VLOOKUP(A160,'Données projet (1)'!$A$113:$I$133,6,0)*VLOOKUP('Données projet (1)'!$B$12,'Paramètres (1)'!$A$1:$I$88,7,0))</f>
        <v>#REF!</v>
      </c>
      <c r="CJ160" s="135" t="str">
        <f t="shared" si="44"/>
        <v>#REF!</v>
      </c>
      <c r="CK160" s="142" t="str">
        <f>EXP(-LN(2)/35)*CK159+(1-EXP(-LN(2)/35))/(LN(2)/35)*CG160*CH160*VLOOKUP('Données projet (1)'!$B$12,'Paramètres (1)'!$A$1:$I$88,3,0)*0.475*44/12</f>
        <v>#REF!</v>
      </c>
      <c r="CL160" s="142" t="str">
        <f>EXP(-LN(2)/25)*CL159+(1-EXP(-LN(2)/25))/(LN(2)/25)*'Calculateur (1)'!CG160*'Calculateur (1)'!CI160*VLOOKUP('Données projet (1)'!$B$12,'Paramètres (1)'!$A$1:$I$88,3,0)*0.475*44/12</f>
        <v>#REF!</v>
      </c>
      <c r="CM160" s="142" t="str">
        <f>EXP(-LN(2)/2)*CM159+(1-EXP(-LN(2)/2))/(LN(2)/2)*CG160*CJ160*VLOOKUP('Données projet (1)'!$B$12,'Paramètres (1)'!$A$1:$I$88,3,0)*0.475*44/12</f>
        <v>#REF!</v>
      </c>
      <c r="CN160" s="143" t="str">
        <f t="shared" si="45"/>
        <v>#REF!</v>
      </c>
      <c r="CO160" s="139" t="str">
        <f t="shared" si="46"/>
        <v>#REF!</v>
      </c>
      <c r="CP160" s="131">
        <f t="shared" si="47"/>
        <v>10</v>
      </c>
      <c r="CQ160" s="131" t="str">
        <f t="shared" si="124"/>
        <v>#REF!</v>
      </c>
      <c r="CR160" s="131" t="str">
        <f t="shared" si="48"/>
        <v>#REF!</v>
      </c>
      <c r="CS160" s="131" t="str">
        <f t="array" ref="CS160">INDEX(CR:CR,MIN(IF(ISNUMBER(CR160:CR356),ROW(CR160:CR356),"")))</f>
        <v/>
      </c>
      <c r="CT160" s="131" t="str">
        <f t="shared" si="125"/>
        <v>#REF!</v>
      </c>
      <c r="CU160" s="138" t="str">
        <f>CT160*VLOOKUP('Données projet (1)'!$B$13,'Paramètres (1)'!$A$1:$I$88,3,0)*VLOOKUP('Données projet (1)'!$B$13,'Paramètres (1)'!$A$1:$I$88,5,0)</f>
        <v>#REF!</v>
      </c>
      <c r="CV160" s="130" t="str">
        <f t="shared" si="126"/>
        <v>#REF!</v>
      </c>
      <c r="CW160" s="141" t="str">
        <f t="shared" si="49"/>
        <v>#REF!</v>
      </c>
      <c r="CX160" s="133" t="str">
        <f t="shared" si="50"/>
        <v>#REF!</v>
      </c>
      <c r="CY160" s="133" t="str">
        <f t="shared" si="51"/>
        <v>#REF!</v>
      </c>
      <c r="CZ160" s="133" t="str">
        <f t="shared" si="127"/>
        <v>#REF!</v>
      </c>
      <c r="DA160" s="134" t="str">
        <f t="shared" si="52"/>
        <v>#REF!</v>
      </c>
      <c r="DB160" s="134" t="str">
        <f t="shared" si="53"/>
        <v>#REF!</v>
      </c>
      <c r="DC160" s="135" t="str">
        <f>IF(ISNA(VLOOKUP(A160,'Données projet (1)'!$A$139:$I$159,5,0)),0%,VLOOKUP(A160,'Données projet (1)'!$A$139:$I$159,5,0)*VLOOKUP('Données projet (1)'!$B$13,'Paramètres (1)'!$A$1:$I$88,7,0))</f>
        <v>#REF!</v>
      </c>
      <c r="DD160" s="135" t="str">
        <f>IF(ISNA(VLOOKUP(A160,'Données projet (1)'!$A$139:$I$159,6,0)),0%,VLOOKUP(A160,'Données projet (1)'!$A$139:$I$159,6,0)*VLOOKUP('Données projet (1)'!$B$13,'Paramètres (1)'!$A$1:$I$88,7,0))</f>
        <v>#REF!</v>
      </c>
      <c r="DE160" s="135" t="str">
        <f t="shared" si="54"/>
        <v>#REF!</v>
      </c>
      <c r="DF160" s="142" t="str">
        <f>EXP(-LN(2)/35)*DF159+(1-EXP(-LN(2)/35))/(LN(2)/35)*DB160*DC160*VLOOKUP('Données projet (1)'!$B$13,'Paramètres (1)'!$A$1:$I$88,3,0)*0.475*44/12</f>
        <v>#REF!</v>
      </c>
      <c r="DG160" s="142" t="str">
        <f>EXP(-LN(2)/25)*DG159+(1-EXP(-LN(2)/25))/(LN(2)/25)*'Calculateur (1)'!DB160*'Calculateur (1)'!DD160*VLOOKUP('Données projet (1)'!$B$13,'Paramètres (1)'!$A$1:$I$88,3,0)*0.475*44/12</f>
        <v>#REF!</v>
      </c>
      <c r="DH160" s="142" t="str">
        <f>EXP(-LN(2)/2)*DH159+(1-EXP(-LN(2)/2))/(LN(2)/2)*DB160*DE160*VLOOKUP('Données projet (1)'!$B$13,'Paramètres (1)'!$A$1:$I$88,3,0)*0.475*44/12</f>
        <v>#REF!</v>
      </c>
      <c r="DI160" s="143" t="str">
        <f t="shared" si="55"/>
        <v>#REF!</v>
      </c>
      <c r="DJ160" s="139" t="str">
        <f t="shared" si="56"/>
        <v>#REF!</v>
      </c>
      <c r="DK160" s="131">
        <f t="shared" si="57"/>
        <v>10</v>
      </c>
      <c r="DL160" s="131" t="str">
        <f t="shared" si="128"/>
        <v>#REF!</v>
      </c>
      <c r="DM160" s="131" t="str">
        <f t="shared" si="58"/>
        <v>#REF!</v>
      </c>
      <c r="DN160" s="131" t="str">
        <f t="array" ref="DN160">INDEX(DM:DM,MIN(IF(ISNUMBER(DM160:DM356),ROW(DM160:DM356),"")))</f>
        <v/>
      </c>
      <c r="DO160" s="131" t="str">
        <f t="shared" si="129"/>
        <v>#REF!</v>
      </c>
      <c r="DP160" s="138" t="str">
        <f>DO160*VLOOKUP('Données projet (1)'!$B$14,'Paramètres (1)'!$A$1:$I$88,3,0)*VLOOKUP('Données projet (1)'!$B$14,'Paramètres (1)'!$A$1:$I$88,5,0)</f>
        <v>#REF!</v>
      </c>
      <c r="DQ160" s="130" t="str">
        <f t="shared" si="130"/>
        <v>#REF!</v>
      </c>
      <c r="DR160" s="141" t="str">
        <f t="shared" si="59"/>
        <v>#REF!</v>
      </c>
      <c r="DS160" s="133" t="str">
        <f t="shared" si="60"/>
        <v>#REF!</v>
      </c>
      <c r="DT160" s="133" t="str">
        <f t="shared" si="61"/>
        <v>#REF!</v>
      </c>
      <c r="DU160" s="133" t="str">
        <f t="shared" si="131"/>
        <v>#REF!</v>
      </c>
      <c r="DV160" s="134" t="str">
        <f t="shared" si="62"/>
        <v>#REF!</v>
      </c>
      <c r="DW160" s="134" t="str">
        <f t="shared" si="63"/>
        <v>#REF!</v>
      </c>
      <c r="DX160" s="135" t="str">
        <f>IF(ISNA(VLOOKUP(A160,'Données projet (1)'!$A$165:$I$185,5,0)),0%,VLOOKUP(A160,'Données projet (1)'!$A$165:$I$185,5,0)*VLOOKUP('Données projet (1)'!$B$14,'Paramètres (1)'!$A$1:$I$88,7,0))</f>
        <v>#REF!</v>
      </c>
      <c r="DY160" s="135" t="str">
        <f>IF(ISNA(VLOOKUP(A160,'Données projet (1)'!$A$165:$I$185,6,0)),0%,VLOOKUP(A160,'Données projet (1)'!$A$165:$I$185,6,0)*VLOOKUP('Données projet (1)'!$B$14,'Paramètres (1)'!$A$1:$I$88,7,0))</f>
        <v>#REF!</v>
      </c>
      <c r="DZ160" s="135" t="str">
        <f t="shared" si="64"/>
        <v>#REF!</v>
      </c>
      <c r="EA160" s="142" t="str">
        <f>EXP(-LN(2)/35)*EA159+(1-EXP(-LN(2)/35))/(LN(2)/35)*DW160*DX160*VLOOKUP('Données projet (1)'!$B$14,'Paramètres (1)'!$A$1:$I$88,3,0)*0.475*44/12</f>
        <v>#REF!</v>
      </c>
      <c r="EB160" s="142" t="str">
        <f>EXP(-LN(2)/25)*EB159+(1-EXP(-LN(2)/25))/(LN(2)/25)*'Calculateur (1)'!DW160*'Calculateur (1)'!DY160*VLOOKUP('Données projet (1)'!$B$14,'Paramètres (1)'!$A$1:$I$88,3,0)*0.475*44/12</f>
        <v>#REF!</v>
      </c>
      <c r="EC160" s="142" t="str">
        <f>EXP(-LN(2)/2)*EC159+(1-EXP(-LN(2)/2))/(LN(2)/2)*DW160*DZ160*VLOOKUP('Données projet (1)'!$B$14,'Paramètres (1)'!$A$1:$I$88,3,0)*0.475*44/12</f>
        <v>#REF!</v>
      </c>
      <c r="ED160" s="143" t="str">
        <f t="shared" si="65"/>
        <v>#REF!</v>
      </c>
      <c r="EE160" s="139" t="str">
        <f t="shared" si="66"/>
        <v>#REF!</v>
      </c>
      <c r="EF160" s="131">
        <f t="shared" si="67"/>
        <v>10</v>
      </c>
      <c r="EG160" s="131" t="str">
        <f t="shared" si="132"/>
        <v>#REF!</v>
      </c>
      <c r="EH160" s="131" t="str">
        <f t="shared" si="68"/>
        <v>#REF!</v>
      </c>
      <c r="EI160" s="131" t="str">
        <f t="array" ref="EI160">INDEX(EH:EH,MIN(IF(ISNUMBER(EH160:EH356),ROW(EH160:EH356),"")))</f>
        <v/>
      </c>
      <c r="EJ160" s="131" t="str">
        <f t="shared" si="133"/>
        <v>#REF!</v>
      </c>
      <c r="EK160" s="138" t="str">
        <f>EJ160*VLOOKUP('Données projet (1)'!$B$15,'Paramètres (1)'!$A$1:$I$88,3,0)*VLOOKUP('Données projet (1)'!$B$15,'Paramètres (1)'!$A$1:$I$88,5,0)</f>
        <v>#REF!</v>
      </c>
      <c r="EL160" s="130" t="str">
        <f t="shared" si="134"/>
        <v>#REF!</v>
      </c>
      <c r="EM160" s="141" t="str">
        <f t="shared" si="69"/>
        <v>#REF!</v>
      </c>
      <c r="EN160" s="133" t="str">
        <f t="shared" si="70"/>
        <v>#REF!</v>
      </c>
      <c r="EO160" s="133" t="str">
        <f t="shared" si="71"/>
        <v>#REF!</v>
      </c>
      <c r="EP160" s="133" t="str">
        <f t="shared" si="135"/>
        <v>#REF!</v>
      </c>
      <c r="EQ160" s="134" t="str">
        <f t="shared" si="72"/>
        <v>#REF!</v>
      </c>
      <c r="ER160" s="134" t="str">
        <f t="shared" si="73"/>
        <v>#REF!</v>
      </c>
      <c r="ES160" s="135" t="str">
        <f>IF(ISNA(VLOOKUP(A160,'Données projet (1)'!$A$191:$I$211,5,0)),0%,VLOOKUP(A160,'Données projet (1)'!$A$191:$I$211,5,0)*VLOOKUP('Données projet (1)'!$B$15,'Paramètres (1)'!$A$1:$I$88,7,0))</f>
        <v>#REF!</v>
      </c>
      <c r="ET160" s="135" t="str">
        <f>IF(ISNA(VLOOKUP(A160,'Données projet (1)'!$A$191:$I$211,6,0)),0%,VLOOKUP(A160,'Données projet (1)'!$A$191:$I$211,6,0)*VLOOKUP('Données projet (1)'!$B$15,'Paramètres (1)'!$A$1:$I$88,7,0))</f>
        <v>#REF!</v>
      </c>
      <c r="EU160" s="135" t="str">
        <f t="shared" si="74"/>
        <v>#REF!</v>
      </c>
      <c r="EV160" s="142" t="str">
        <f>EXP(-LN(2)/35)*EV159+(1-EXP(-LN(2)/35))/(LN(2)/35)*ER160*ES160*VLOOKUP('Données projet (1)'!$B$15,'Paramètres (1)'!$A$1:$I$88,3,0)*0.475*44/12</f>
        <v>#REF!</v>
      </c>
      <c r="EW160" s="142" t="str">
        <f>EXP(-LN(2)/25)*EW159+(1-EXP(-LN(2)/25))/(LN(2)/25)*'Calculateur (1)'!ER160*'Calculateur (1)'!ET160*VLOOKUP('Données projet (1)'!$B$15,'Paramètres (1)'!$A$1:$I$88,3,0)*0.475*44/12</f>
        <v>#REF!</v>
      </c>
      <c r="EX160" s="142" t="str">
        <f>EXP(-LN(2)/2)*EX159+(1-EXP(-LN(2)/2))/(LN(2)/2)*ER160*EU160*VLOOKUP('Données projet (1)'!$B$15,'Paramètres (1)'!$A$1:$I$88,3,0)*0.475*44/12</f>
        <v>#REF!</v>
      </c>
      <c r="EY160" s="143" t="str">
        <f t="shared" si="75"/>
        <v>#REF!</v>
      </c>
      <c r="EZ160" s="139" t="str">
        <f t="shared" si="76"/>
        <v>#REF!</v>
      </c>
      <c r="FA160" s="131">
        <f t="shared" si="77"/>
        <v>10</v>
      </c>
      <c r="FB160" s="131" t="str">
        <f t="shared" si="136"/>
        <v>#REF!</v>
      </c>
      <c r="FC160" s="131" t="str">
        <f t="shared" si="78"/>
        <v>#REF!</v>
      </c>
      <c r="FD160" s="131" t="str">
        <f t="array" ref="FD160">INDEX(FC:FC,MIN(IF(ISNUMBER(FC160:FC356),ROW(FC160:FC356),"")))</f>
        <v/>
      </c>
      <c r="FE160" s="131" t="str">
        <f t="shared" si="137"/>
        <v>#REF!</v>
      </c>
      <c r="FF160" s="138" t="str">
        <f>FE160*VLOOKUP('Données projet (1)'!$B$16,'Paramètres (1)'!$A$1:$I$88,3,0)*VLOOKUP('Données projet (1)'!$B$16,'Paramètres (1)'!$A$1:$I$88,5,0)</f>
        <v>#REF!</v>
      </c>
      <c r="FG160" s="130" t="str">
        <f t="shared" si="138"/>
        <v>#REF!</v>
      </c>
      <c r="FH160" s="141" t="str">
        <f t="shared" si="79"/>
        <v>#REF!</v>
      </c>
      <c r="FI160" s="133" t="str">
        <f t="shared" si="80"/>
        <v>#REF!</v>
      </c>
      <c r="FJ160" s="133" t="str">
        <f t="shared" si="81"/>
        <v>#REF!</v>
      </c>
      <c r="FK160" s="133" t="str">
        <f t="shared" si="139"/>
        <v>#REF!</v>
      </c>
      <c r="FL160" s="134" t="str">
        <f t="shared" si="82"/>
        <v>#REF!</v>
      </c>
      <c r="FM160" s="134" t="str">
        <f t="shared" si="83"/>
        <v>#REF!</v>
      </c>
      <c r="FN160" s="135" t="str">
        <f>IF(ISNA(VLOOKUP(A160,'Données projet (1)'!$A$217:$I$237,5,0)),0%,VLOOKUP(A160,'Données projet (1)'!$A$217:$I$237,5,0)*VLOOKUP('Données projet (1)'!$B$16,'Paramètres (1)'!$A$1:$I$88,7,0))</f>
        <v>#REF!</v>
      </c>
      <c r="FO160" s="135" t="str">
        <f>IF(ISNA(VLOOKUP(A160,'Données projet (1)'!$A$217:$I$237,6,0)),0%,VLOOKUP(A160,'Données projet (1)'!$A$217:$I$237,6,0)*VLOOKUP('Données projet (1)'!$B$16,'Paramètres (1)'!$A$1:$I$88,7,0))</f>
        <v>#REF!</v>
      </c>
      <c r="FP160" s="135" t="str">
        <f t="shared" si="84"/>
        <v>#REF!</v>
      </c>
      <c r="FQ160" s="142" t="str">
        <f>EXP(-LN(2)/35)*FQ159+(1-EXP(-LN(2)/35))/(LN(2)/35)*FM160*FN160*VLOOKUP('Données projet (1)'!$B$16,'Paramètres (1)'!$A$1:$I$88,3,0)*0.475*44/12</f>
        <v>#REF!</v>
      </c>
      <c r="FR160" s="142" t="str">
        <f>EXP(-LN(2)/25)*FR159+(1-EXP(-LN(2)/25))/(LN(2)/25)*'Calculateur (1)'!FM160*'Calculateur (1)'!FO160*VLOOKUP('Données projet (1)'!$B$16,'Paramètres (1)'!$A$1:$I$88,3,0)*0.475*44/12</f>
        <v>#REF!</v>
      </c>
      <c r="FS160" s="142" t="str">
        <f>EXP(-LN(2)/2)*FS159+(1-EXP(-LN(2)/2))/(LN(2)/2)*FM160*FP160*VLOOKUP('Données projet (1)'!$B$16,'Paramètres (1)'!$A$1:$I$88,3,0)*0.475*44/12</f>
        <v>#REF!</v>
      </c>
      <c r="FT160" s="143" t="str">
        <f t="shared" si="85"/>
        <v>#REF!</v>
      </c>
      <c r="FU160" s="139" t="str">
        <f t="shared" si="86"/>
        <v>#REF!</v>
      </c>
      <c r="FV160" s="131">
        <f t="shared" si="87"/>
        <v>10</v>
      </c>
      <c r="FW160" s="131" t="str">
        <f t="shared" si="140"/>
        <v>#REF!</v>
      </c>
      <c r="FX160" s="131" t="str">
        <f t="shared" si="88"/>
        <v>#REF!</v>
      </c>
      <c r="FY160" s="131" t="str">
        <f t="array" ref="FY160">INDEX(FX:FX,MIN(IF(ISNUMBER(FX160:FX356),ROW(FX160:FX356),"")))</f>
        <v/>
      </c>
      <c r="FZ160" s="131" t="str">
        <f t="shared" si="141"/>
        <v>#REF!</v>
      </c>
      <c r="GA160" s="138" t="str">
        <f>FZ160*VLOOKUP('Données projet (1)'!$B$17,'Paramètres (1)'!$A$1:$I$88,3,0)*VLOOKUP('Données projet (1)'!$B$17,'Paramètres (1)'!$A$1:$I$88,5,0)</f>
        <v>#REF!</v>
      </c>
      <c r="GB160" s="130" t="str">
        <f t="shared" si="142"/>
        <v>#REF!</v>
      </c>
      <c r="GC160" s="141" t="str">
        <f t="shared" si="89"/>
        <v>#REF!</v>
      </c>
      <c r="GD160" s="133" t="str">
        <f t="shared" si="90"/>
        <v>#REF!</v>
      </c>
      <c r="GE160" s="133" t="str">
        <f t="shared" si="91"/>
        <v>#REF!</v>
      </c>
      <c r="GF160" s="133" t="str">
        <f t="shared" si="143"/>
        <v>#REF!</v>
      </c>
      <c r="GG160" s="134" t="str">
        <f t="shared" si="92"/>
        <v>#REF!</v>
      </c>
      <c r="GH160" s="134" t="str">
        <f t="shared" si="93"/>
        <v>#REF!</v>
      </c>
      <c r="GI160" s="135" t="str">
        <f>IF(ISNA(VLOOKUP(A160,'Données projet (1)'!$A$243:$I$263,5,0)),0%,VLOOKUP(A160,'Données projet (1)'!$A$243:$I$263,5,0)*VLOOKUP('Données projet (1)'!$B$17,'Paramètres (1)'!$A$1:$I$88,7,0))</f>
        <v>#REF!</v>
      </c>
      <c r="GJ160" s="135" t="str">
        <f>IF(ISNA(VLOOKUP(A160,'Données projet (1)'!$A$243:$I$263,6,0)),0%,VLOOKUP(A160,'Données projet (1)'!$A$243:$I$263,6,0)*VLOOKUP('Données projet (1)'!$B$17,'Paramètres (1)'!$A$1:$I$88,7,0))</f>
        <v>#REF!</v>
      </c>
      <c r="GK160" s="135" t="str">
        <f t="shared" si="94"/>
        <v>#REF!</v>
      </c>
      <c r="GL160" s="142" t="str">
        <f>EXP(-LN(2)/35)*GL159+(1-EXP(-LN(2)/35))/(LN(2)/35)*GH160*GI160*VLOOKUP('Données projet (1)'!$B$17,'Paramètres (1)'!$A$1:$I$88,3,0)*0.475*44/12</f>
        <v>#REF!</v>
      </c>
      <c r="GM160" s="142" t="str">
        <f>EXP(-LN(2)/25)*GM159+(1-EXP(-LN(2)/25))/(LN(2)/25)*'Calculateur (1)'!GH160*'Calculateur (1)'!GJ160*VLOOKUP('Données projet (1)'!$B$17,'Paramètres (1)'!$A$1:$I$88,3,0)*0.475*44/12</f>
        <v>#REF!</v>
      </c>
      <c r="GN160" s="142" t="str">
        <f>EXP(-LN(2)/2)*GN159+(1-EXP(-LN(2)/2))/(LN(2)/2)*GH160*GK160*VLOOKUP('Données projet (1)'!$B$17,'Paramètres (1)'!$A$1:$I$88,3,0)*0.475*44/12</f>
        <v>#REF!</v>
      </c>
      <c r="GO160" s="142" t="str">
        <f t="shared" si="95"/>
        <v>#REF!</v>
      </c>
      <c r="GP160" s="139" t="str">
        <f t="shared" si="96"/>
        <v>#REF!</v>
      </c>
      <c r="GQ160" s="131">
        <f t="shared" si="97"/>
        <v>10</v>
      </c>
      <c r="GR160" s="131" t="str">
        <f t="shared" si="144"/>
        <v>#REF!</v>
      </c>
      <c r="GS160" s="131" t="str">
        <f t="shared" si="98"/>
        <v>#REF!</v>
      </c>
      <c r="GT160" s="131" t="str">
        <f t="array" ref="GT160">INDEX(GS:GS,MIN(IF(ISNUMBER(GS160:GS356),ROW(GS160:GS356),"")))</f>
        <v/>
      </c>
      <c r="GU160" s="131" t="str">
        <f t="shared" si="145"/>
        <v>#REF!</v>
      </c>
      <c r="GV160" s="138" t="str">
        <f>GU160*VLOOKUP('Données projet (1)'!$B$18,'Paramètres (1)'!$A$1:$I$88,3,0)*VLOOKUP('Données projet (1)'!$B$18,'Paramètres (1)'!$A$1:$I$88,5,0)</f>
        <v>#REF!</v>
      </c>
      <c r="GW160" s="130" t="str">
        <f t="shared" si="146"/>
        <v>#REF!</v>
      </c>
      <c r="GX160" s="141" t="str">
        <f t="shared" si="99"/>
        <v>#REF!</v>
      </c>
      <c r="GY160" s="133" t="str">
        <f t="shared" si="100"/>
        <v>#REF!</v>
      </c>
      <c r="GZ160" s="133" t="str">
        <f t="shared" si="101"/>
        <v>#REF!</v>
      </c>
      <c r="HA160" s="133" t="str">
        <f t="shared" si="147"/>
        <v>#REF!</v>
      </c>
      <c r="HB160" s="134" t="str">
        <f t="shared" si="102"/>
        <v>#REF!</v>
      </c>
      <c r="HC160" s="134" t="str">
        <f t="shared" si="103"/>
        <v>#REF!</v>
      </c>
      <c r="HD160" s="135" t="str">
        <f>IF(ISNA(VLOOKUP(A160,'Données projet (1)'!$A$269:$I$289,5,0)),0%,VLOOKUP(A160,'Données projet (1)'!$A$269:$I$289,5,0)*VLOOKUP('Données projet (1)'!$B$18,'Paramètres (1)'!$A$1:$I$88,7,0))</f>
        <v>#REF!</v>
      </c>
      <c r="HE160" s="135" t="str">
        <f>IF(ISNA(VLOOKUP(A160,'Données projet (1)'!$A$269:$I$289,6,0)),0%,VLOOKUP(A160,'Données projet (1)'!$A$269:$I$289,6,0)*VLOOKUP('Données projet (1)'!$B$18,'Paramètres (1)'!$A$1:$I$88,7,0))</f>
        <v>#REF!</v>
      </c>
      <c r="HF160" s="135" t="str">
        <f t="shared" si="104"/>
        <v>#REF!</v>
      </c>
      <c r="HG160" s="142" t="str">
        <f>EXP(-LN(2)/35)*HG159+(1-EXP(-LN(2)/35))/(LN(2)/35)*HC160*HD160*VLOOKUP('Données projet (1)'!$B$18,'Paramètres (1)'!$A$1:$I$88,3,0)*0.475*44/12</f>
        <v>#REF!</v>
      </c>
      <c r="HH160" s="142" t="str">
        <f>EXP(-LN(2)/25)*HH159+(1-EXP(-LN(2)/25))/(LN(2)/25)*'Calculateur (1)'!HC160*'Calculateur (1)'!HE160*VLOOKUP('Données projet (1)'!$B$18,'Paramètres (1)'!$A$1:$I$88,3,0)*0.475*44/12</f>
        <v>#REF!</v>
      </c>
      <c r="HI160" s="142" t="str">
        <f>EXP(-LN(2)/2)*HI159+(1-EXP(-LN(2)/2))/(LN(2)/2)*HC160*HF160*VLOOKUP('Données projet (1)'!$B$18,'Paramètres (1)'!$A$1:$I$88,3,0)*0.475*44/12</f>
        <v>#REF!</v>
      </c>
      <c r="HJ160" s="143" t="str">
        <f t="shared" si="105"/>
        <v>#REF!</v>
      </c>
    </row>
    <row r="161" ht="14.25" customHeight="1">
      <c r="A161" s="125">
        <f t="shared" si="106"/>
        <v>158</v>
      </c>
      <c r="B161" s="126" t="str">
        <f t="shared" si="1"/>
        <v>#REF!</v>
      </c>
      <c r="C161" s="140" t="str">
        <f>'Calculateur (1)'!C160+'Scénario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1" s="127">
        <f t="shared" si="107"/>
        <v>0</v>
      </c>
      <c r="E161" s="127" t="str">
        <f t="shared" si="2"/>
        <v>#REF!</v>
      </c>
      <c r="F161" s="127" t="str">
        <f t="shared" si="3"/>
        <v>#REF!</v>
      </c>
      <c r="G161" s="127" t="str">
        <f t="shared" si="4"/>
        <v>#REF!</v>
      </c>
      <c r="H161" s="128" t="str">
        <f t="shared" si="5"/>
        <v>#REF!</v>
      </c>
      <c r="I161" s="129" t="str">
        <f t="shared" si="6"/>
        <v>#REF!</v>
      </c>
      <c r="J161" s="130">
        <f t="shared" si="7"/>
        <v>10</v>
      </c>
      <c r="K161" s="131" t="str">
        <f t="shared" si="108"/>
        <v>#REF!</v>
      </c>
      <c r="L161" s="131" t="str">
        <f t="shared" si="8"/>
        <v>#REF!</v>
      </c>
      <c r="M161" s="131" t="str">
        <f t="array" ref="M161">INDEX(L:L,MIN(IF(ISNUMBER(L161:L357),ROW(L161:L357),"")))</f>
        <v/>
      </c>
      <c r="N161" s="130" t="str">
        <f t="shared" si="109"/>
        <v>#REF!</v>
      </c>
      <c r="O161" s="130" t="str">
        <f>N161*VLOOKUP('Données projet (1)'!$B$9,'Paramètres (1)'!$A$1:$I$88,3,0)*VLOOKUP('Données projet (1)'!$B$9,'Paramètres (1)'!$A$1:$I$88,5,0)</f>
        <v>#REF!</v>
      </c>
      <c r="P161" s="130" t="str">
        <f t="shared" si="110"/>
        <v>#REF!</v>
      </c>
      <c r="Q161" s="141" t="str">
        <f t="shared" si="9"/>
        <v>#REF!</v>
      </c>
      <c r="R161" s="133" t="str">
        <f t="shared" si="10"/>
        <v>#REF!</v>
      </c>
      <c r="S161" s="133" t="str">
        <f t="shared" si="11"/>
        <v>#REF!</v>
      </c>
      <c r="T161" s="133" t="str">
        <f t="shared" si="111"/>
        <v>#REF!</v>
      </c>
      <c r="U161" s="134" t="str">
        <f t="shared" si="12"/>
        <v>#REF!</v>
      </c>
      <c r="V161" s="134" t="str">
        <f t="shared" si="13"/>
        <v>#REF!</v>
      </c>
      <c r="W161" s="135" t="str">
        <f>IF(ISNA(VLOOKUP(A161,'Données projet (1)'!$A$35:$I$55,5,0)),0%,VLOOKUP(A161,'Données projet (1)'!$A$35:$I$55,5,0)*VLOOKUP('Données projet (1)'!$B$9,'Paramètres (1)'!$A$1:$I$88,7,0))</f>
        <v>#REF!</v>
      </c>
      <c r="X161" s="135" t="str">
        <f>IF(ISNA(VLOOKUP(A161,'Données projet (1)'!$A$35:$I$55,6,0)),0%,VLOOKUP(A161,'Données projet (1)'!$A$35:$I$55,6,0)*VLOOKUP('Données projet (1)'!$B$9,'Paramètres (1)'!$A$1:$I$88,7,0))</f>
        <v>#REF!</v>
      </c>
      <c r="Y161" s="135" t="str">
        <f t="shared" si="14"/>
        <v>#REF!</v>
      </c>
      <c r="Z161" s="142" t="str">
        <f>EXP(-LN(2)/35)*Z160+(1-EXP(-LN(2)/35))/(LN(2)/35)*V161*W161*VLOOKUP('Données projet (1)'!$B$9,'Paramètres (1)'!$A$1:$I$88,3,0)*0.475*44/12</f>
        <v>#REF!</v>
      </c>
      <c r="AA161" s="142" t="str">
        <f>EXP(-LN(2)/25)*AA160+(1-EXP(-LN(2)/25))/(LN(2)/25)*'Calculateur (1)'!V161*'Calculateur (1)'!X161*VLOOKUP('Données projet (1)'!$B$9,'Paramètres (1)'!$A$1:$I$88,3,0)*0.475*44/12</f>
        <v>#REF!</v>
      </c>
      <c r="AB161" s="142" t="str">
        <f>EXP(-LN(2)/2)*AB160+(1-EXP(-LN(2)/2))/(LN(2)/2)*V161*Y161*VLOOKUP('Données projet (1)'!$B$9,'Paramètres (1)'!$A$1:$I$88,3,0)*0.475*44/12</f>
        <v>#REF!</v>
      </c>
      <c r="AC161" s="143" t="str">
        <f t="shared" si="15"/>
        <v>#REF!</v>
      </c>
      <c r="AD161" s="130" t="str">
        <f t="shared" si="16"/>
        <v>#REF!</v>
      </c>
      <c r="AE161" s="130">
        <f t="shared" si="17"/>
        <v>10</v>
      </c>
      <c r="AF161" s="131" t="str">
        <f t="shared" si="112"/>
        <v>#REF!</v>
      </c>
      <c r="AG161" s="131" t="str">
        <f t="shared" si="18"/>
        <v>#REF!</v>
      </c>
      <c r="AH161" s="131" t="str">
        <f t="array" ref="AH161">INDEX(AG:AG,MIN(IF(ISNUMBER(AG161:AG357),ROW(AG161:AG357),"")))</f>
        <v/>
      </c>
      <c r="AI161" s="130" t="str">
        <f t="shared" si="113"/>
        <v>#REF!</v>
      </c>
      <c r="AJ161" s="130" t="str">
        <f>AI161*VLOOKUP('Données projet (1)'!$B$10,'Paramètres (1)'!$A$1:$I$88,3,0)*VLOOKUP('Données projet (1)'!$B$10,'Paramètres (1)'!$A$1:$I$88,5,0)</f>
        <v>#REF!</v>
      </c>
      <c r="AK161" s="130" t="str">
        <f t="shared" si="114"/>
        <v>#REF!</v>
      </c>
      <c r="AL161" s="141" t="str">
        <f t="shared" si="19"/>
        <v>#REF!</v>
      </c>
      <c r="AM161" s="133" t="str">
        <f t="shared" si="20"/>
        <v>#REF!</v>
      </c>
      <c r="AN161" s="133" t="str">
        <f t="shared" si="21"/>
        <v>#REF!</v>
      </c>
      <c r="AO161" s="133" t="str">
        <f t="shared" si="115"/>
        <v>#REF!</v>
      </c>
      <c r="AP161" s="134" t="str">
        <f t="shared" si="22"/>
        <v>#REF!</v>
      </c>
      <c r="AQ161" s="134" t="str">
        <f t="shared" si="23"/>
        <v>#REF!</v>
      </c>
      <c r="AR161" s="135" t="str">
        <f>IF(ISNA(VLOOKUP(A161,'Données projet (1)'!$A$61:$I$81,5,0)),0%,VLOOKUP(A161,'Données projet (1)'!$A$61:$I$81,5,0)*VLOOKUP('Données projet (1)'!$B$10,'Paramètres (1)'!$A$1:$I$88,7,0))</f>
        <v>#REF!</v>
      </c>
      <c r="AS161" s="135" t="str">
        <f>IF(ISNA(VLOOKUP(A161,'Données projet (1)'!$A$61:$I$81,6,0)),0%,VLOOKUP(A161,'Données projet (1)'!$A$61:$I$81,6,0)*VLOOKUP('Données projet (1)'!$B$10,'Paramètres (1)'!$A$1:$I$88,7,0))</f>
        <v>#REF!</v>
      </c>
      <c r="AT161" s="135" t="str">
        <f t="shared" si="24"/>
        <v>#REF!</v>
      </c>
      <c r="AU161" s="142" t="str">
        <f>EXP(-LN(2)/35)*AU160+(1-EXP(-LN(2)/35))/(LN(2)/35)*AQ161*AR161*VLOOKUP('Données projet (1)'!$B$10,'Paramètres (1)'!$A$1:$I$88,3,0)*0.475*44/12</f>
        <v>#REF!</v>
      </c>
      <c r="AV161" s="142" t="str">
        <f>EXP(-LN(2)/25)*AV160+(1-EXP(-LN(2)/25))/(LN(2)/25)*'Calculateur (1)'!AQ161*'Calculateur (1)'!AS161*VLOOKUP('Données projet (1)'!$B$10,'Paramètres (1)'!$A$1:$I$88,3,0)*0.475*44/12</f>
        <v>#REF!</v>
      </c>
      <c r="AW161" s="142" t="str">
        <f>EXP(-LN(2)/2)*AW160+(1-EXP(-LN(2)/2))/(LN(2)/2)*AQ161*AT161*VLOOKUP('Données projet (1)'!$B$10,'Paramètres (1)'!$A$1:$I$88,3,0)*0.475*44/12</f>
        <v>#REF!</v>
      </c>
      <c r="AX161" s="142" t="str">
        <f t="shared" si="25"/>
        <v>#REF!</v>
      </c>
      <c r="AY161" s="137" t="str">
        <f t="shared" si="26"/>
        <v>#REF!</v>
      </c>
      <c r="AZ161" s="131">
        <f t="shared" si="27"/>
        <v>10</v>
      </c>
      <c r="BA161" s="131" t="str">
        <f t="shared" si="116"/>
        <v>#REF!</v>
      </c>
      <c r="BB161" s="131" t="str">
        <f t="shared" si="28"/>
        <v>#REF!</v>
      </c>
      <c r="BC161" s="131" t="str">
        <f t="array" ref="BC161">INDEX(BB:BB,MIN(IF(ISNUMBER(BB161:BB357),ROW(BB161:BB357),"")))</f>
        <v/>
      </c>
      <c r="BD161" s="131" t="str">
        <f t="shared" si="117"/>
        <v>#REF!</v>
      </c>
      <c r="BE161" s="130" t="str">
        <f>BD161*VLOOKUP('Données projet (1)'!$B$11,'Paramètres (1)'!$A$1:$I$88,3,0)*VLOOKUP('Données projet (1)'!$B$11,'Paramètres (1)'!$A$1:$I$88,5,0)</f>
        <v>#REF!</v>
      </c>
      <c r="BF161" s="130" t="str">
        <f t="shared" si="118"/>
        <v>#REF!</v>
      </c>
      <c r="BG161" s="141" t="str">
        <f t="shared" si="29"/>
        <v>#REF!</v>
      </c>
      <c r="BH161" s="133" t="str">
        <f t="shared" si="30"/>
        <v>#REF!</v>
      </c>
      <c r="BI161" s="133" t="str">
        <f t="shared" si="31"/>
        <v>#REF!</v>
      </c>
      <c r="BJ161" s="133" t="str">
        <f t="shared" si="119"/>
        <v>#REF!</v>
      </c>
      <c r="BK161" s="134" t="str">
        <f t="shared" si="32"/>
        <v>#REF!</v>
      </c>
      <c r="BL161" s="134" t="str">
        <f t="shared" si="33"/>
        <v>#REF!</v>
      </c>
      <c r="BM161" s="135" t="str">
        <f>IF(ISNA(VLOOKUP(A161,'Données projet (1)'!$A$87:$I$107,5,0)),0%,VLOOKUP(A161,'Données projet (1)'!$A$87:$I$107,5,0)*VLOOKUP('Données projet (1)'!$B$11,'Paramètres (1)'!$A$1:$I$88,7,0))</f>
        <v>#REF!</v>
      </c>
      <c r="BN161" s="135" t="str">
        <f>IF(ISNA(VLOOKUP(A161,'Données projet (1)'!$A$87:$I$107,6,0)),0%,VLOOKUP(A161,'Données projet (1)'!$A$87:$I$107,6,0)*VLOOKUP('Données projet (1)'!$B$11,'Paramètres (1)'!$A$1:$I$88,7,0))</f>
        <v>#REF!</v>
      </c>
      <c r="BO161" s="135" t="str">
        <f t="shared" si="34"/>
        <v>#REF!</v>
      </c>
      <c r="BP161" s="142" t="str">
        <f>EXP(-LN(2)/35)*BP160+(1-EXP(-LN(2)/35))/(LN(2)/35)*BL161*BM161*VLOOKUP('Données projet (1)'!$B$11,'Paramètres (1)'!$A$1:$I$88,3,0)*0.475*44/12</f>
        <v>#REF!</v>
      </c>
      <c r="BQ161" s="142" t="str">
        <f>EXP(-LN(2)/25)*BQ160+(1-EXP(-LN(2)/25))/(LN(2)/25)*'Calculateur (1)'!BL161*'Calculateur (1)'!BN161*VLOOKUP('Données projet (1)'!$B$11,'Paramètres (1)'!$A$1:$I$88,3,0)*0.475*44/12</f>
        <v>#REF!</v>
      </c>
      <c r="BR161" s="142" t="str">
        <f>EXP(-LN(2)/2)*BR160+(1-EXP(-LN(2)/2))/(LN(2)/2)*BL161*BO161*VLOOKUP('Données projet (1)'!$B$11,'Paramètres (1)'!$A$1:$I$88,3,0)*0.475*44/12</f>
        <v>#REF!</v>
      </c>
      <c r="BS161" s="143" t="str">
        <f t="shared" si="35"/>
        <v>#REF!</v>
      </c>
      <c r="BT161" s="139" t="str">
        <f t="shared" si="36"/>
        <v>#REF!</v>
      </c>
      <c r="BU161" s="131">
        <f t="shared" si="37"/>
        <v>10</v>
      </c>
      <c r="BV161" s="131" t="str">
        <f t="shared" si="120"/>
        <v>#REF!</v>
      </c>
      <c r="BW161" s="131" t="str">
        <f t="shared" si="38"/>
        <v>#REF!</v>
      </c>
      <c r="BX161" s="131" t="str">
        <f t="array" ref="BX161">INDEX(BW:BW,MIN(IF(ISNUMBER(BW161:BW357),ROW(BW161:BW357),"")))</f>
        <v/>
      </c>
      <c r="BY161" s="131" t="str">
        <f t="shared" si="121"/>
        <v>#REF!</v>
      </c>
      <c r="BZ161" s="130" t="str">
        <f>BY161*VLOOKUP('Données projet (1)'!$B$12,'Paramètres (1)'!$A$1:$I$88,3,0)*VLOOKUP('Données projet (1)'!$B$12,'Paramètres (1)'!$A$1:$I$88,5,0)</f>
        <v>#REF!</v>
      </c>
      <c r="CA161" s="130" t="str">
        <f t="shared" si="122"/>
        <v>#REF!</v>
      </c>
      <c r="CB161" s="141" t="str">
        <f t="shared" si="39"/>
        <v>#REF!</v>
      </c>
      <c r="CC161" s="133" t="str">
        <f t="shared" si="40"/>
        <v>#REF!</v>
      </c>
      <c r="CD161" s="133" t="str">
        <f t="shared" si="41"/>
        <v>#REF!</v>
      </c>
      <c r="CE161" s="133" t="str">
        <f t="shared" si="123"/>
        <v>#REF!</v>
      </c>
      <c r="CF161" s="134" t="str">
        <f t="shared" si="42"/>
        <v>#REF!</v>
      </c>
      <c r="CG161" s="134" t="str">
        <f t="shared" si="43"/>
        <v>#REF!</v>
      </c>
      <c r="CH161" s="135" t="str">
        <f>IF(ISNA(VLOOKUP(A161,'Données projet (1)'!$A$113:$I$133,5,0)),0%,VLOOKUP(A161,'Données projet (1)'!$A$113:$I$133,5,0)*VLOOKUP('Données projet (1)'!$B$12,'Paramètres (1)'!$A$1:$I$88,7,0))</f>
        <v>#REF!</v>
      </c>
      <c r="CI161" s="135" t="str">
        <f>IF(ISNA(VLOOKUP(A161,'Données projet (1)'!$A$113:$I$133,6,0)),0%,VLOOKUP(A161,'Données projet (1)'!$A$113:$I$133,6,0)*VLOOKUP('Données projet (1)'!$B$12,'Paramètres (1)'!$A$1:$I$88,7,0))</f>
        <v>#REF!</v>
      </c>
      <c r="CJ161" s="135" t="str">
        <f t="shared" si="44"/>
        <v>#REF!</v>
      </c>
      <c r="CK161" s="142" t="str">
        <f>EXP(-LN(2)/35)*CK160+(1-EXP(-LN(2)/35))/(LN(2)/35)*CG161*CH161*VLOOKUP('Données projet (1)'!$B$12,'Paramètres (1)'!$A$1:$I$88,3,0)*0.475*44/12</f>
        <v>#REF!</v>
      </c>
      <c r="CL161" s="142" t="str">
        <f>EXP(-LN(2)/25)*CL160+(1-EXP(-LN(2)/25))/(LN(2)/25)*'Calculateur (1)'!CG161*'Calculateur (1)'!CI161*VLOOKUP('Données projet (1)'!$B$12,'Paramètres (1)'!$A$1:$I$88,3,0)*0.475*44/12</f>
        <v>#REF!</v>
      </c>
      <c r="CM161" s="142" t="str">
        <f>EXP(-LN(2)/2)*CM160+(1-EXP(-LN(2)/2))/(LN(2)/2)*CG161*CJ161*VLOOKUP('Données projet (1)'!$B$12,'Paramètres (1)'!$A$1:$I$88,3,0)*0.475*44/12</f>
        <v>#REF!</v>
      </c>
      <c r="CN161" s="143" t="str">
        <f t="shared" si="45"/>
        <v>#REF!</v>
      </c>
      <c r="CO161" s="139" t="str">
        <f t="shared" si="46"/>
        <v>#REF!</v>
      </c>
      <c r="CP161" s="131">
        <f t="shared" si="47"/>
        <v>10</v>
      </c>
      <c r="CQ161" s="131" t="str">
        <f t="shared" si="124"/>
        <v>#REF!</v>
      </c>
      <c r="CR161" s="131" t="str">
        <f t="shared" si="48"/>
        <v>#REF!</v>
      </c>
      <c r="CS161" s="131" t="str">
        <f t="array" ref="CS161">INDEX(CR:CR,MIN(IF(ISNUMBER(CR161:CR357),ROW(CR161:CR357),"")))</f>
        <v/>
      </c>
      <c r="CT161" s="131" t="str">
        <f t="shared" si="125"/>
        <v>#REF!</v>
      </c>
      <c r="CU161" s="138" t="str">
        <f>CT161*VLOOKUP('Données projet (1)'!$B$13,'Paramètres (1)'!$A$1:$I$88,3,0)*VLOOKUP('Données projet (1)'!$B$13,'Paramètres (1)'!$A$1:$I$88,5,0)</f>
        <v>#REF!</v>
      </c>
      <c r="CV161" s="130" t="str">
        <f t="shared" si="126"/>
        <v>#REF!</v>
      </c>
      <c r="CW161" s="141" t="str">
        <f t="shared" si="49"/>
        <v>#REF!</v>
      </c>
      <c r="CX161" s="133" t="str">
        <f t="shared" si="50"/>
        <v>#REF!</v>
      </c>
      <c r="CY161" s="133" t="str">
        <f t="shared" si="51"/>
        <v>#REF!</v>
      </c>
      <c r="CZ161" s="133" t="str">
        <f t="shared" si="127"/>
        <v>#REF!</v>
      </c>
      <c r="DA161" s="134" t="str">
        <f t="shared" si="52"/>
        <v>#REF!</v>
      </c>
      <c r="DB161" s="134" t="str">
        <f t="shared" si="53"/>
        <v>#REF!</v>
      </c>
      <c r="DC161" s="135" t="str">
        <f>IF(ISNA(VLOOKUP(A161,'Données projet (1)'!$A$139:$I$159,5,0)),0%,VLOOKUP(A161,'Données projet (1)'!$A$139:$I$159,5,0)*VLOOKUP('Données projet (1)'!$B$13,'Paramètres (1)'!$A$1:$I$88,7,0))</f>
        <v>#REF!</v>
      </c>
      <c r="DD161" s="135" t="str">
        <f>IF(ISNA(VLOOKUP(A161,'Données projet (1)'!$A$139:$I$159,6,0)),0%,VLOOKUP(A161,'Données projet (1)'!$A$139:$I$159,6,0)*VLOOKUP('Données projet (1)'!$B$13,'Paramètres (1)'!$A$1:$I$88,7,0))</f>
        <v>#REF!</v>
      </c>
      <c r="DE161" s="135" t="str">
        <f t="shared" si="54"/>
        <v>#REF!</v>
      </c>
      <c r="DF161" s="142" t="str">
        <f>EXP(-LN(2)/35)*DF160+(1-EXP(-LN(2)/35))/(LN(2)/35)*DB161*DC161*VLOOKUP('Données projet (1)'!$B$13,'Paramètres (1)'!$A$1:$I$88,3,0)*0.475*44/12</f>
        <v>#REF!</v>
      </c>
      <c r="DG161" s="142" t="str">
        <f>EXP(-LN(2)/25)*DG160+(1-EXP(-LN(2)/25))/(LN(2)/25)*'Calculateur (1)'!DB161*'Calculateur (1)'!DD161*VLOOKUP('Données projet (1)'!$B$13,'Paramètres (1)'!$A$1:$I$88,3,0)*0.475*44/12</f>
        <v>#REF!</v>
      </c>
      <c r="DH161" s="142" t="str">
        <f>EXP(-LN(2)/2)*DH160+(1-EXP(-LN(2)/2))/(LN(2)/2)*DB161*DE161*VLOOKUP('Données projet (1)'!$B$13,'Paramètres (1)'!$A$1:$I$88,3,0)*0.475*44/12</f>
        <v>#REF!</v>
      </c>
      <c r="DI161" s="143" t="str">
        <f t="shared" si="55"/>
        <v>#REF!</v>
      </c>
      <c r="DJ161" s="139" t="str">
        <f t="shared" si="56"/>
        <v>#REF!</v>
      </c>
      <c r="DK161" s="131">
        <f t="shared" si="57"/>
        <v>10</v>
      </c>
      <c r="DL161" s="131" t="str">
        <f t="shared" si="128"/>
        <v>#REF!</v>
      </c>
      <c r="DM161" s="131" t="str">
        <f t="shared" si="58"/>
        <v>#REF!</v>
      </c>
      <c r="DN161" s="131" t="str">
        <f t="array" ref="DN161">INDEX(DM:DM,MIN(IF(ISNUMBER(DM161:DM357),ROW(DM161:DM357),"")))</f>
        <v/>
      </c>
      <c r="DO161" s="131" t="str">
        <f t="shared" si="129"/>
        <v>#REF!</v>
      </c>
      <c r="DP161" s="138" t="str">
        <f>DO161*VLOOKUP('Données projet (1)'!$B$14,'Paramètres (1)'!$A$1:$I$88,3,0)*VLOOKUP('Données projet (1)'!$B$14,'Paramètres (1)'!$A$1:$I$88,5,0)</f>
        <v>#REF!</v>
      </c>
      <c r="DQ161" s="130" t="str">
        <f t="shared" si="130"/>
        <v>#REF!</v>
      </c>
      <c r="DR161" s="141" t="str">
        <f t="shared" si="59"/>
        <v>#REF!</v>
      </c>
      <c r="DS161" s="133" t="str">
        <f t="shared" si="60"/>
        <v>#REF!</v>
      </c>
      <c r="DT161" s="133" t="str">
        <f t="shared" si="61"/>
        <v>#REF!</v>
      </c>
      <c r="DU161" s="133" t="str">
        <f t="shared" si="131"/>
        <v>#REF!</v>
      </c>
      <c r="DV161" s="134" t="str">
        <f t="shared" si="62"/>
        <v>#REF!</v>
      </c>
      <c r="DW161" s="134" t="str">
        <f t="shared" si="63"/>
        <v>#REF!</v>
      </c>
      <c r="DX161" s="135" t="str">
        <f>IF(ISNA(VLOOKUP(A161,'Données projet (1)'!$A$165:$I$185,5,0)),0%,VLOOKUP(A161,'Données projet (1)'!$A$165:$I$185,5,0)*VLOOKUP('Données projet (1)'!$B$14,'Paramètres (1)'!$A$1:$I$88,7,0))</f>
        <v>#REF!</v>
      </c>
      <c r="DY161" s="135" t="str">
        <f>IF(ISNA(VLOOKUP(A161,'Données projet (1)'!$A$165:$I$185,6,0)),0%,VLOOKUP(A161,'Données projet (1)'!$A$165:$I$185,6,0)*VLOOKUP('Données projet (1)'!$B$14,'Paramètres (1)'!$A$1:$I$88,7,0))</f>
        <v>#REF!</v>
      </c>
      <c r="DZ161" s="135" t="str">
        <f t="shared" si="64"/>
        <v>#REF!</v>
      </c>
      <c r="EA161" s="142" t="str">
        <f>EXP(-LN(2)/35)*EA160+(1-EXP(-LN(2)/35))/(LN(2)/35)*DW161*DX161*VLOOKUP('Données projet (1)'!$B$14,'Paramètres (1)'!$A$1:$I$88,3,0)*0.475*44/12</f>
        <v>#REF!</v>
      </c>
      <c r="EB161" s="142" t="str">
        <f>EXP(-LN(2)/25)*EB160+(1-EXP(-LN(2)/25))/(LN(2)/25)*'Calculateur (1)'!DW161*'Calculateur (1)'!DY161*VLOOKUP('Données projet (1)'!$B$14,'Paramètres (1)'!$A$1:$I$88,3,0)*0.475*44/12</f>
        <v>#REF!</v>
      </c>
      <c r="EC161" s="142" t="str">
        <f>EXP(-LN(2)/2)*EC160+(1-EXP(-LN(2)/2))/(LN(2)/2)*DW161*DZ161*VLOOKUP('Données projet (1)'!$B$14,'Paramètres (1)'!$A$1:$I$88,3,0)*0.475*44/12</f>
        <v>#REF!</v>
      </c>
      <c r="ED161" s="143" t="str">
        <f t="shared" si="65"/>
        <v>#REF!</v>
      </c>
      <c r="EE161" s="139" t="str">
        <f t="shared" si="66"/>
        <v>#REF!</v>
      </c>
      <c r="EF161" s="131">
        <f t="shared" si="67"/>
        <v>10</v>
      </c>
      <c r="EG161" s="131" t="str">
        <f t="shared" si="132"/>
        <v>#REF!</v>
      </c>
      <c r="EH161" s="131" t="str">
        <f t="shared" si="68"/>
        <v>#REF!</v>
      </c>
      <c r="EI161" s="131" t="str">
        <f t="array" ref="EI161">INDEX(EH:EH,MIN(IF(ISNUMBER(EH161:EH357),ROW(EH161:EH357),"")))</f>
        <v/>
      </c>
      <c r="EJ161" s="131" t="str">
        <f t="shared" si="133"/>
        <v>#REF!</v>
      </c>
      <c r="EK161" s="138" t="str">
        <f>EJ161*VLOOKUP('Données projet (1)'!$B$15,'Paramètres (1)'!$A$1:$I$88,3,0)*VLOOKUP('Données projet (1)'!$B$15,'Paramètres (1)'!$A$1:$I$88,5,0)</f>
        <v>#REF!</v>
      </c>
      <c r="EL161" s="130" t="str">
        <f t="shared" si="134"/>
        <v>#REF!</v>
      </c>
      <c r="EM161" s="141" t="str">
        <f t="shared" si="69"/>
        <v>#REF!</v>
      </c>
      <c r="EN161" s="133" t="str">
        <f t="shared" si="70"/>
        <v>#REF!</v>
      </c>
      <c r="EO161" s="133" t="str">
        <f t="shared" si="71"/>
        <v>#REF!</v>
      </c>
      <c r="EP161" s="133" t="str">
        <f t="shared" si="135"/>
        <v>#REF!</v>
      </c>
      <c r="EQ161" s="134" t="str">
        <f t="shared" si="72"/>
        <v>#REF!</v>
      </c>
      <c r="ER161" s="134" t="str">
        <f t="shared" si="73"/>
        <v>#REF!</v>
      </c>
      <c r="ES161" s="135" t="str">
        <f>IF(ISNA(VLOOKUP(A161,'Données projet (1)'!$A$191:$I$211,5,0)),0%,VLOOKUP(A161,'Données projet (1)'!$A$191:$I$211,5,0)*VLOOKUP('Données projet (1)'!$B$15,'Paramètres (1)'!$A$1:$I$88,7,0))</f>
        <v>#REF!</v>
      </c>
      <c r="ET161" s="135" t="str">
        <f>IF(ISNA(VLOOKUP(A161,'Données projet (1)'!$A$191:$I$211,6,0)),0%,VLOOKUP(A161,'Données projet (1)'!$A$191:$I$211,6,0)*VLOOKUP('Données projet (1)'!$B$15,'Paramètres (1)'!$A$1:$I$88,7,0))</f>
        <v>#REF!</v>
      </c>
      <c r="EU161" s="135" t="str">
        <f t="shared" si="74"/>
        <v>#REF!</v>
      </c>
      <c r="EV161" s="142" t="str">
        <f>EXP(-LN(2)/35)*EV160+(1-EXP(-LN(2)/35))/(LN(2)/35)*ER161*ES161*VLOOKUP('Données projet (1)'!$B$15,'Paramètres (1)'!$A$1:$I$88,3,0)*0.475*44/12</f>
        <v>#REF!</v>
      </c>
      <c r="EW161" s="142" t="str">
        <f>EXP(-LN(2)/25)*EW160+(1-EXP(-LN(2)/25))/(LN(2)/25)*'Calculateur (1)'!ER161*'Calculateur (1)'!ET161*VLOOKUP('Données projet (1)'!$B$15,'Paramètres (1)'!$A$1:$I$88,3,0)*0.475*44/12</f>
        <v>#REF!</v>
      </c>
      <c r="EX161" s="142" t="str">
        <f>EXP(-LN(2)/2)*EX160+(1-EXP(-LN(2)/2))/(LN(2)/2)*ER161*EU161*VLOOKUP('Données projet (1)'!$B$15,'Paramètres (1)'!$A$1:$I$88,3,0)*0.475*44/12</f>
        <v>#REF!</v>
      </c>
      <c r="EY161" s="143" t="str">
        <f t="shared" si="75"/>
        <v>#REF!</v>
      </c>
      <c r="EZ161" s="139" t="str">
        <f t="shared" si="76"/>
        <v>#REF!</v>
      </c>
      <c r="FA161" s="131">
        <f t="shared" si="77"/>
        <v>10</v>
      </c>
      <c r="FB161" s="131" t="str">
        <f t="shared" si="136"/>
        <v>#REF!</v>
      </c>
      <c r="FC161" s="131" t="str">
        <f t="shared" si="78"/>
        <v>#REF!</v>
      </c>
      <c r="FD161" s="131" t="str">
        <f t="array" ref="FD161">INDEX(FC:FC,MIN(IF(ISNUMBER(FC161:FC357),ROW(FC161:FC357),"")))</f>
        <v/>
      </c>
      <c r="FE161" s="131" t="str">
        <f t="shared" si="137"/>
        <v>#REF!</v>
      </c>
      <c r="FF161" s="138" t="str">
        <f>FE161*VLOOKUP('Données projet (1)'!$B$16,'Paramètres (1)'!$A$1:$I$88,3,0)*VLOOKUP('Données projet (1)'!$B$16,'Paramètres (1)'!$A$1:$I$88,5,0)</f>
        <v>#REF!</v>
      </c>
      <c r="FG161" s="130" t="str">
        <f t="shared" si="138"/>
        <v>#REF!</v>
      </c>
      <c r="FH161" s="141" t="str">
        <f t="shared" si="79"/>
        <v>#REF!</v>
      </c>
      <c r="FI161" s="133" t="str">
        <f t="shared" si="80"/>
        <v>#REF!</v>
      </c>
      <c r="FJ161" s="133" t="str">
        <f t="shared" si="81"/>
        <v>#REF!</v>
      </c>
      <c r="FK161" s="133" t="str">
        <f t="shared" si="139"/>
        <v>#REF!</v>
      </c>
      <c r="FL161" s="134" t="str">
        <f t="shared" si="82"/>
        <v>#REF!</v>
      </c>
      <c r="FM161" s="134" t="str">
        <f t="shared" si="83"/>
        <v>#REF!</v>
      </c>
      <c r="FN161" s="135" t="str">
        <f>IF(ISNA(VLOOKUP(A161,'Données projet (1)'!$A$217:$I$237,5,0)),0%,VLOOKUP(A161,'Données projet (1)'!$A$217:$I$237,5,0)*VLOOKUP('Données projet (1)'!$B$16,'Paramètres (1)'!$A$1:$I$88,7,0))</f>
        <v>#REF!</v>
      </c>
      <c r="FO161" s="135" t="str">
        <f>IF(ISNA(VLOOKUP(A161,'Données projet (1)'!$A$217:$I$237,6,0)),0%,VLOOKUP(A161,'Données projet (1)'!$A$217:$I$237,6,0)*VLOOKUP('Données projet (1)'!$B$16,'Paramètres (1)'!$A$1:$I$88,7,0))</f>
        <v>#REF!</v>
      </c>
      <c r="FP161" s="135" t="str">
        <f t="shared" si="84"/>
        <v>#REF!</v>
      </c>
      <c r="FQ161" s="142" t="str">
        <f>EXP(-LN(2)/35)*FQ160+(1-EXP(-LN(2)/35))/(LN(2)/35)*FM161*FN161*VLOOKUP('Données projet (1)'!$B$16,'Paramètres (1)'!$A$1:$I$88,3,0)*0.475*44/12</f>
        <v>#REF!</v>
      </c>
      <c r="FR161" s="142" t="str">
        <f>EXP(-LN(2)/25)*FR160+(1-EXP(-LN(2)/25))/(LN(2)/25)*'Calculateur (1)'!FM161*'Calculateur (1)'!FO161*VLOOKUP('Données projet (1)'!$B$16,'Paramètres (1)'!$A$1:$I$88,3,0)*0.475*44/12</f>
        <v>#REF!</v>
      </c>
      <c r="FS161" s="142" t="str">
        <f>EXP(-LN(2)/2)*FS160+(1-EXP(-LN(2)/2))/(LN(2)/2)*FM161*FP161*VLOOKUP('Données projet (1)'!$B$16,'Paramètres (1)'!$A$1:$I$88,3,0)*0.475*44/12</f>
        <v>#REF!</v>
      </c>
      <c r="FT161" s="143" t="str">
        <f t="shared" si="85"/>
        <v>#REF!</v>
      </c>
      <c r="FU161" s="139" t="str">
        <f t="shared" si="86"/>
        <v>#REF!</v>
      </c>
      <c r="FV161" s="131">
        <f t="shared" si="87"/>
        <v>10</v>
      </c>
      <c r="FW161" s="131" t="str">
        <f t="shared" si="140"/>
        <v>#REF!</v>
      </c>
      <c r="FX161" s="131" t="str">
        <f t="shared" si="88"/>
        <v>#REF!</v>
      </c>
      <c r="FY161" s="131" t="str">
        <f t="array" ref="FY161">INDEX(FX:FX,MIN(IF(ISNUMBER(FX161:FX357),ROW(FX161:FX357),"")))</f>
        <v/>
      </c>
      <c r="FZ161" s="131" t="str">
        <f t="shared" si="141"/>
        <v>#REF!</v>
      </c>
      <c r="GA161" s="138" t="str">
        <f>FZ161*VLOOKUP('Données projet (1)'!$B$17,'Paramètres (1)'!$A$1:$I$88,3,0)*VLOOKUP('Données projet (1)'!$B$17,'Paramètres (1)'!$A$1:$I$88,5,0)</f>
        <v>#REF!</v>
      </c>
      <c r="GB161" s="130" t="str">
        <f t="shared" si="142"/>
        <v>#REF!</v>
      </c>
      <c r="GC161" s="141" t="str">
        <f t="shared" si="89"/>
        <v>#REF!</v>
      </c>
      <c r="GD161" s="133" t="str">
        <f t="shared" si="90"/>
        <v>#REF!</v>
      </c>
      <c r="GE161" s="133" t="str">
        <f t="shared" si="91"/>
        <v>#REF!</v>
      </c>
      <c r="GF161" s="133" t="str">
        <f t="shared" si="143"/>
        <v>#REF!</v>
      </c>
      <c r="GG161" s="134" t="str">
        <f t="shared" si="92"/>
        <v>#REF!</v>
      </c>
      <c r="GH161" s="134" t="str">
        <f t="shared" si="93"/>
        <v>#REF!</v>
      </c>
      <c r="GI161" s="135" t="str">
        <f>IF(ISNA(VLOOKUP(A161,'Données projet (1)'!$A$243:$I$263,5,0)),0%,VLOOKUP(A161,'Données projet (1)'!$A$243:$I$263,5,0)*VLOOKUP('Données projet (1)'!$B$17,'Paramètres (1)'!$A$1:$I$88,7,0))</f>
        <v>#REF!</v>
      </c>
      <c r="GJ161" s="135" t="str">
        <f>IF(ISNA(VLOOKUP(A161,'Données projet (1)'!$A$243:$I$263,6,0)),0%,VLOOKUP(A161,'Données projet (1)'!$A$243:$I$263,6,0)*VLOOKUP('Données projet (1)'!$B$17,'Paramètres (1)'!$A$1:$I$88,7,0))</f>
        <v>#REF!</v>
      </c>
      <c r="GK161" s="135" t="str">
        <f t="shared" si="94"/>
        <v>#REF!</v>
      </c>
      <c r="GL161" s="142" t="str">
        <f>EXP(-LN(2)/35)*GL160+(1-EXP(-LN(2)/35))/(LN(2)/35)*GH161*GI161*VLOOKUP('Données projet (1)'!$B$17,'Paramètres (1)'!$A$1:$I$88,3,0)*0.475*44/12</f>
        <v>#REF!</v>
      </c>
      <c r="GM161" s="142" t="str">
        <f>EXP(-LN(2)/25)*GM160+(1-EXP(-LN(2)/25))/(LN(2)/25)*'Calculateur (1)'!GH161*'Calculateur (1)'!GJ161*VLOOKUP('Données projet (1)'!$B$17,'Paramètres (1)'!$A$1:$I$88,3,0)*0.475*44/12</f>
        <v>#REF!</v>
      </c>
      <c r="GN161" s="142" t="str">
        <f>EXP(-LN(2)/2)*GN160+(1-EXP(-LN(2)/2))/(LN(2)/2)*GH161*GK161*VLOOKUP('Données projet (1)'!$B$17,'Paramètres (1)'!$A$1:$I$88,3,0)*0.475*44/12</f>
        <v>#REF!</v>
      </c>
      <c r="GO161" s="142" t="str">
        <f t="shared" si="95"/>
        <v>#REF!</v>
      </c>
      <c r="GP161" s="139" t="str">
        <f t="shared" si="96"/>
        <v>#REF!</v>
      </c>
      <c r="GQ161" s="131">
        <f t="shared" si="97"/>
        <v>10</v>
      </c>
      <c r="GR161" s="131" t="str">
        <f t="shared" si="144"/>
        <v>#REF!</v>
      </c>
      <c r="GS161" s="131" t="str">
        <f t="shared" si="98"/>
        <v>#REF!</v>
      </c>
      <c r="GT161" s="131" t="str">
        <f t="array" ref="GT161">INDEX(GS:GS,MIN(IF(ISNUMBER(GS161:GS357),ROW(GS161:GS357),"")))</f>
        <v/>
      </c>
      <c r="GU161" s="131" t="str">
        <f t="shared" si="145"/>
        <v>#REF!</v>
      </c>
      <c r="GV161" s="138" t="str">
        <f>GU161*VLOOKUP('Données projet (1)'!$B$18,'Paramètres (1)'!$A$1:$I$88,3,0)*VLOOKUP('Données projet (1)'!$B$18,'Paramètres (1)'!$A$1:$I$88,5,0)</f>
        <v>#REF!</v>
      </c>
      <c r="GW161" s="130" t="str">
        <f t="shared" si="146"/>
        <v>#REF!</v>
      </c>
      <c r="GX161" s="141" t="str">
        <f t="shared" si="99"/>
        <v>#REF!</v>
      </c>
      <c r="GY161" s="133" t="str">
        <f t="shared" si="100"/>
        <v>#REF!</v>
      </c>
      <c r="GZ161" s="133" t="str">
        <f t="shared" si="101"/>
        <v>#REF!</v>
      </c>
      <c r="HA161" s="133" t="str">
        <f t="shared" si="147"/>
        <v>#REF!</v>
      </c>
      <c r="HB161" s="134" t="str">
        <f t="shared" si="102"/>
        <v>#REF!</v>
      </c>
      <c r="HC161" s="134" t="str">
        <f t="shared" si="103"/>
        <v>#REF!</v>
      </c>
      <c r="HD161" s="135" t="str">
        <f>IF(ISNA(VLOOKUP(A161,'Données projet (1)'!$A$269:$I$289,5,0)),0%,VLOOKUP(A161,'Données projet (1)'!$A$269:$I$289,5,0)*VLOOKUP('Données projet (1)'!$B$18,'Paramètres (1)'!$A$1:$I$88,7,0))</f>
        <v>#REF!</v>
      </c>
      <c r="HE161" s="135" t="str">
        <f>IF(ISNA(VLOOKUP(A161,'Données projet (1)'!$A$269:$I$289,6,0)),0%,VLOOKUP(A161,'Données projet (1)'!$A$269:$I$289,6,0)*VLOOKUP('Données projet (1)'!$B$18,'Paramètres (1)'!$A$1:$I$88,7,0))</f>
        <v>#REF!</v>
      </c>
      <c r="HF161" s="135" t="str">
        <f t="shared" si="104"/>
        <v>#REF!</v>
      </c>
      <c r="HG161" s="142" t="str">
        <f>EXP(-LN(2)/35)*HG160+(1-EXP(-LN(2)/35))/(LN(2)/35)*HC161*HD161*VLOOKUP('Données projet (1)'!$B$18,'Paramètres (1)'!$A$1:$I$88,3,0)*0.475*44/12</f>
        <v>#REF!</v>
      </c>
      <c r="HH161" s="142" t="str">
        <f>EXP(-LN(2)/25)*HH160+(1-EXP(-LN(2)/25))/(LN(2)/25)*'Calculateur (1)'!HC161*'Calculateur (1)'!HE161*VLOOKUP('Données projet (1)'!$B$18,'Paramètres (1)'!$A$1:$I$88,3,0)*0.475*44/12</f>
        <v>#REF!</v>
      </c>
      <c r="HI161" s="142" t="str">
        <f>EXP(-LN(2)/2)*HI160+(1-EXP(-LN(2)/2))/(LN(2)/2)*HC161*HF161*VLOOKUP('Données projet (1)'!$B$18,'Paramètres (1)'!$A$1:$I$88,3,0)*0.475*44/12</f>
        <v>#REF!</v>
      </c>
      <c r="HJ161" s="143" t="str">
        <f t="shared" si="105"/>
        <v>#REF!</v>
      </c>
    </row>
    <row r="162" ht="14.25" customHeight="1">
      <c r="A162" s="125">
        <f t="shared" si="106"/>
        <v>159</v>
      </c>
      <c r="B162" s="126" t="str">
        <f t="shared" si="1"/>
        <v>#REF!</v>
      </c>
      <c r="C162" s="140" t="str">
        <f>'Calculateur (1)'!C161+'Scénario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2" s="127">
        <f t="shared" si="107"/>
        <v>0</v>
      </c>
      <c r="E162" s="127" t="str">
        <f t="shared" si="2"/>
        <v>#REF!</v>
      </c>
      <c r="F162" s="127" t="str">
        <f t="shared" si="3"/>
        <v>#REF!</v>
      </c>
      <c r="G162" s="127" t="str">
        <f t="shared" si="4"/>
        <v>#REF!</v>
      </c>
      <c r="H162" s="128" t="str">
        <f t="shared" si="5"/>
        <v>#REF!</v>
      </c>
      <c r="I162" s="129" t="str">
        <f t="shared" si="6"/>
        <v>#REF!</v>
      </c>
      <c r="J162" s="130">
        <f t="shared" si="7"/>
        <v>10</v>
      </c>
      <c r="K162" s="131" t="str">
        <f t="shared" si="108"/>
        <v>#REF!</v>
      </c>
      <c r="L162" s="131" t="str">
        <f t="shared" si="8"/>
        <v>#REF!</v>
      </c>
      <c r="M162" s="131" t="str">
        <f t="array" ref="M162">INDEX(L:L,MIN(IF(ISNUMBER(L162:L358),ROW(L162:L358),"")))</f>
        <v/>
      </c>
      <c r="N162" s="130" t="str">
        <f t="shared" si="109"/>
        <v>#REF!</v>
      </c>
      <c r="O162" s="130" t="str">
        <f>N162*VLOOKUP('Données projet (1)'!$B$9,'Paramètres (1)'!$A$1:$I$88,3,0)*VLOOKUP('Données projet (1)'!$B$9,'Paramètres (1)'!$A$1:$I$88,5,0)</f>
        <v>#REF!</v>
      </c>
      <c r="P162" s="130" t="str">
        <f t="shared" si="110"/>
        <v>#REF!</v>
      </c>
      <c r="Q162" s="141" t="str">
        <f t="shared" si="9"/>
        <v>#REF!</v>
      </c>
      <c r="R162" s="133" t="str">
        <f t="shared" si="10"/>
        <v>#REF!</v>
      </c>
      <c r="S162" s="133" t="str">
        <f t="shared" si="11"/>
        <v>#REF!</v>
      </c>
      <c r="T162" s="133" t="str">
        <f t="shared" si="111"/>
        <v>#REF!</v>
      </c>
      <c r="U162" s="134" t="str">
        <f t="shared" si="12"/>
        <v>#REF!</v>
      </c>
      <c r="V162" s="134" t="str">
        <f t="shared" si="13"/>
        <v>#REF!</v>
      </c>
      <c r="W162" s="135" t="str">
        <f>IF(ISNA(VLOOKUP(A162,'Données projet (1)'!$A$35:$I$55,5,0)),0%,VLOOKUP(A162,'Données projet (1)'!$A$35:$I$55,5,0)*VLOOKUP('Données projet (1)'!$B$9,'Paramètres (1)'!$A$1:$I$88,7,0))</f>
        <v>#REF!</v>
      </c>
      <c r="X162" s="135" t="str">
        <f>IF(ISNA(VLOOKUP(A162,'Données projet (1)'!$A$35:$I$55,6,0)),0%,VLOOKUP(A162,'Données projet (1)'!$A$35:$I$55,6,0)*VLOOKUP('Données projet (1)'!$B$9,'Paramètres (1)'!$A$1:$I$88,7,0))</f>
        <v>#REF!</v>
      </c>
      <c r="Y162" s="135" t="str">
        <f t="shared" si="14"/>
        <v>#REF!</v>
      </c>
      <c r="Z162" s="142" t="str">
        <f>EXP(-LN(2)/35)*Z161+(1-EXP(-LN(2)/35))/(LN(2)/35)*V162*W162*VLOOKUP('Données projet (1)'!$B$9,'Paramètres (1)'!$A$1:$I$88,3,0)*0.475*44/12</f>
        <v>#REF!</v>
      </c>
      <c r="AA162" s="142" t="str">
        <f>EXP(-LN(2)/25)*AA161+(1-EXP(-LN(2)/25))/(LN(2)/25)*'Calculateur (1)'!V162*'Calculateur (1)'!X162*VLOOKUP('Données projet (1)'!$B$9,'Paramètres (1)'!$A$1:$I$88,3,0)*0.475*44/12</f>
        <v>#REF!</v>
      </c>
      <c r="AB162" s="142" t="str">
        <f>EXP(-LN(2)/2)*AB161+(1-EXP(-LN(2)/2))/(LN(2)/2)*V162*Y162*VLOOKUP('Données projet (1)'!$B$9,'Paramètres (1)'!$A$1:$I$88,3,0)*0.475*44/12</f>
        <v>#REF!</v>
      </c>
      <c r="AC162" s="143" t="str">
        <f t="shared" si="15"/>
        <v>#REF!</v>
      </c>
      <c r="AD162" s="130" t="str">
        <f t="shared" si="16"/>
        <v>#REF!</v>
      </c>
      <c r="AE162" s="130">
        <f t="shared" si="17"/>
        <v>10</v>
      </c>
      <c r="AF162" s="131" t="str">
        <f t="shared" si="112"/>
        <v>#REF!</v>
      </c>
      <c r="AG162" s="131" t="str">
        <f t="shared" si="18"/>
        <v>#REF!</v>
      </c>
      <c r="AH162" s="131" t="str">
        <f t="array" ref="AH162">INDEX(AG:AG,MIN(IF(ISNUMBER(AG162:AG358),ROW(AG162:AG358),"")))</f>
        <v/>
      </c>
      <c r="AI162" s="130" t="str">
        <f t="shared" si="113"/>
        <v>#REF!</v>
      </c>
      <c r="AJ162" s="130" t="str">
        <f>AI162*VLOOKUP('Données projet (1)'!$B$10,'Paramètres (1)'!$A$1:$I$88,3,0)*VLOOKUP('Données projet (1)'!$B$10,'Paramètres (1)'!$A$1:$I$88,5,0)</f>
        <v>#REF!</v>
      </c>
      <c r="AK162" s="130" t="str">
        <f t="shared" si="114"/>
        <v>#REF!</v>
      </c>
      <c r="AL162" s="141" t="str">
        <f t="shared" si="19"/>
        <v>#REF!</v>
      </c>
      <c r="AM162" s="133" t="str">
        <f t="shared" si="20"/>
        <v>#REF!</v>
      </c>
      <c r="AN162" s="133" t="str">
        <f t="shared" si="21"/>
        <v>#REF!</v>
      </c>
      <c r="AO162" s="133" t="str">
        <f t="shared" si="115"/>
        <v>#REF!</v>
      </c>
      <c r="AP162" s="134" t="str">
        <f t="shared" si="22"/>
        <v>#REF!</v>
      </c>
      <c r="AQ162" s="134" t="str">
        <f t="shared" si="23"/>
        <v>#REF!</v>
      </c>
      <c r="AR162" s="135" t="str">
        <f>IF(ISNA(VLOOKUP(A162,'Données projet (1)'!$A$61:$I$81,5,0)),0%,VLOOKUP(A162,'Données projet (1)'!$A$61:$I$81,5,0)*VLOOKUP('Données projet (1)'!$B$10,'Paramètres (1)'!$A$1:$I$88,7,0))</f>
        <v>#REF!</v>
      </c>
      <c r="AS162" s="135" t="str">
        <f>IF(ISNA(VLOOKUP(A162,'Données projet (1)'!$A$61:$I$81,6,0)),0%,VLOOKUP(A162,'Données projet (1)'!$A$61:$I$81,6,0)*VLOOKUP('Données projet (1)'!$B$10,'Paramètres (1)'!$A$1:$I$88,7,0))</f>
        <v>#REF!</v>
      </c>
      <c r="AT162" s="135" t="str">
        <f t="shared" si="24"/>
        <v>#REF!</v>
      </c>
      <c r="AU162" s="142" t="str">
        <f>EXP(-LN(2)/35)*AU161+(1-EXP(-LN(2)/35))/(LN(2)/35)*AQ162*AR162*VLOOKUP('Données projet (1)'!$B$10,'Paramètres (1)'!$A$1:$I$88,3,0)*0.475*44/12</f>
        <v>#REF!</v>
      </c>
      <c r="AV162" s="142" t="str">
        <f>EXP(-LN(2)/25)*AV161+(1-EXP(-LN(2)/25))/(LN(2)/25)*'Calculateur (1)'!AQ162*'Calculateur (1)'!AS162*VLOOKUP('Données projet (1)'!$B$10,'Paramètres (1)'!$A$1:$I$88,3,0)*0.475*44/12</f>
        <v>#REF!</v>
      </c>
      <c r="AW162" s="142" t="str">
        <f>EXP(-LN(2)/2)*AW161+(1-EXP(-LN(2)/2))/(LN(2)/2)*AQ162*AT162*VLOOKUP('Données projet (1)'!$B$10,'Paramètres (1)'!$A$1:$I$88,3,0)*0.475*44/12</f>
        <v>#REF!</v>
      </c>
      <c r="AX162" s="142" t="str">
        <f t="shared" si="25"/>
        <v>#REF!</v>
      </c>
      <c r="AY162" s="137" t="str">
        <f t="shared" si="26"/>
        <v>#REF!</v>
      </c>
      <c r="AZ162" s="131">
        <f t="shared" si="27"/>
        <v>10</v>
      </c>
      <c r="BA162" s="131" t="str">
        <f t="shared" si="116"/>
        <v>#REF!</v>
      </c>
      <c r="BB162" s="131" t="str">
        <f t="shared" si="28"/>
        <v>#REF!</v>
      </c>
      <c r="BC162" s="131" t="str">
        <f t="array" ref="BC162">INDEX(BB:BB,MIN(IF(ISNUMBER(BB162:BB358),ROW(BB162:BB358),"")))</f>
        <v/>
      </c>
      <c r="BD162" s="131" t="str">
        <f t="shared" si="117"/>
        <v>#REF!</v>
      </c>
      <c r="BE162" s="130" t="str">
        <f>BD162*VLOOKUP('Données projet (1)'!$B$11,'Paramètres (1)'!$A$1:$I$88,3,0)*VLOOKUP('Données projet (1)'!$B$11,'Paramètres (1)'!$A$1:$I$88,5,0)</f>
        <v>#REF!</v>
      </c>
      <c r="BF162" s="130" t="str">
        <f t="shared" si="118"/>
        <v>#REF!</v>
      </c>
      <c r="BG162" s="141" t="str">
        <f t="shared" si="29"/>
        <v>#REF!</v>
      </c>
      <c r="BH162" s="133" t="str">
        <f t="shared" si="30"/>
        <v>#REF!</v>
      </c>
      <c r="BI162" s="133" t="str">
        <f t="shared" si="31"/>
        <v>#REF!</v>
      </c>
      <c r="BJ162" s="133" t="str">
        <f t="shared" si="119"/>
        <v>#REF!</v>
      </c>
      <c r="BK162" s="134" t="str">
        <f t="shared" si="32"/>
        <v>#REF!</v>
      </c>
      <c r="BL162" s="134" t="str">
        <f t="shared" si="33"/>
        <v>#REF!</v>
      </c>
      <c r="BM162" s="135" t="str">
        <f>IF(ISNA(VLOOKUP(A162,'Données projet (1)'!$A$87:$I$107,5,0)),0%,VLOOKUP(A162,'Données projet (1)'!$A$87:$I$107,5,0)*VLOOKUP('Données projet (1)'!$B$11,'Paramètres (1)'!$A$1:$I$88,7,0))</f>
        <v>#REF!</v>
      </c>
      <c r="BN162" s="135" t="str">
        <f>IF(ISNA(VLOOKUP(A162,'Données projet (1)'!$A$87:$I$107,6,0)),0%,VLOOKUP(A162,'Données projet (1)'!$A$87:$I$107,6,0)*VLOOKUP('Données projet (1)'!$B$11,'Paramètres (1)'!$A$1:$I$88,7,0))</f>
        <v>#REF!</v>
      </c>
      <c r="BO162" s="135" t="str">
        <f t="shared" si="34"/>
        <v>#REF!</v>
      </c>
      <c r="BP162" s="142" t="str">
        <f>EXP(-LN(2)/35)*BP161+(1-EXP(-LN(2)/35))/(LN(2)/35)*BL162*BM162*VLOOKUP('Données projet (1)'!$B$11,'Paramètres (1)'!$A$1:$I$88,3,0)*0.475*44/12</f>
        <v>#REF!</v>
      </c>
      <c r="BQ162" s="142" t="str">
        <f>EXP(-LN(2)/25)*BQ161+(1-EXP(-LN(2)/25))/(LN(2)/25)*'Calculateur (1)'!BL162*'Calculateur (1)'!BN162*VLOOKUP('Données projet (1)'!$B$11,'Paramètres (1)'!$A$1:$I$88,3,0)*0.475*44/12</f>
        <v>#REF!</v>
      </c>
      <c r="BR162" s="142" t="str">
        <f>EXP(-LN(2)/2)*BR161+(1-EXP(-LN(2)/2))/(LN(2)/2)*BL162*BO162*VLOOKUP('Données projet (1)'!$B$11,'Paramètres (1)'!$A$1:$I$88,3,0)*0.475*44/12</f>
        <v>#REF!</v>
      </c>
      <c r="BS162" s="143" t="str">
        <f t="shared" si="35"/>
        <v>#REF!</v>
      </c>
      <c r="BT162" s="139" t="str">
        <f t="shared" si="36"/>
        <v>#REF!</v>
      </c>
      <c r="BU162" s="131">
        <f t="shared" si="37"/>
        <v>10</v>
      </c>
      <c r="BV162" s="131" t="str">
        <f t="shared" si="120"/>
        <v>#REF!</v>
      </c>
      <c r="BW162" s="131" t="str">
        <f t="shared" si="38"/>
        <v>#REF!</v>
      </c>
      <c r="BX162" s="131" t="str">
        <f t="array" ref="BX162">INDEX(BW:BW,MIN(IF(ISNUMBER(BW162:BW358),ROW(BW162:BW358),"")))</f>
        <v/>
      </c>
      <c r="BY162" s="131" t="str">
        <f t="shared" si="121"/>
        <v>#REF!</v>
      </c>
      <c r="BZ162" s="130" t="str">
        <f>BY162*VLOOKUP('Données projet (1)'!$B$12,'Paramètres (1)'!$A$1:$I$88,3,0)*VLOOKUP('Données projet (1)'!$B$12,'Paramètres (1)'!$A$1:$I$88,5,0)</f>
        <v>#REF!</v>
      </c>
      <c r="CA162" s="130" t="str">
        <f t="shared" si="122"/>
        <v>#REF!</v>
      </c>
      <c r="CB162" s="141" t="str">
        <f t="shared" si="39"/>
        <v>#REF!</v>
      </c>
      <c r="CC162" s="133" t="str">
        <f t="shared" si="40"/>
        <v>#REF!</v>
      </c>
      <c r="CD162" s="133" t="str">
        <f t="shared" si="41"/>
        <v>#REF!</v>
      </c>
      <c r="CE162" s="133" t="str">
        <f t="shared" si="123"/>
        <v>#REF!</v>
      </c>
      <c r="CF162" s="134" t="str">
        <f t="shared" si="42"/>
        <v>#REF!</v>
      </c>
      <c r="CG162" s="134" t="str">
        <f t="shared" si="43"/>
        <v>#REF!</v>
      </c>
      <c r="CH162" s="135" t="str">
        <f>IF(ISNA(VLOOKUP(A162,'Données projet (1)'!$A$113:$I$133,5,0)),0%,VLOOKUP(A162,'Données projet (1)'!$A$113:$I$133,5,0)*VLOOKUP('Données projet (1)'!$B$12,'Paramètres (1)'!$A$1:$I$88,7,0))</f>
        <v>#REF!</v>
      </c>
      <c r="CI162" s="135" t="str">
        <f>IF(ISNA(VLOOKUP(A162,'Données projet (1)'!$A$113:$I$133,6,0)),0%,VLOOKUP(A162,'Données projet (1)'!$A$113:$I$133,6,0)*VLOOKUP('Données projet (1)'!$B$12,'Paramètres (1)'!$A$1:$I$88,7,0))</f>
        <v>#REF!</v>
      </c>
      <c r="CJ162" s="135" t="str">
        <f t="shared" si="44"/>
        <v>#REF!</v>
      </c>
      <c r="CK162" s="142" t="str">
        <f>EXP(-LN(2)/35)*CK161+(1-EXP(-LN(2)/35))/(LN(2)/35)*CG162*CH162*VLOOKUP('Données projet (1)'!$B$12,'Paramètres (1)'!$A$1:$I$88,3,0)*0.475*44/12</f>
        <v>#REF!</v>
      </c>
      <c r="CL162" s="142" t="str">
        <f>EXP(-LN(2)/25)*CL161+(1-EXP(-LN(2)/25))/(LN(2)/25)*'Calculateur (1)'!CG162*'Calculateur (1)'!CI162*VLOOKUP('Données projet (1)'!$B$12,'Paramètres (1)'!$A$1:$I$88,3,0)*0.475*44/12</f>
        <v>#REF!</v>
      </c>
      <c r="CM162" s="142" t="str">
        <f>EXP(-LN(2)/2)*CM161+(1-EXP(-LN(2)/2))/(LN(2)/2)*CG162*CJ162*VLOOKUP('Données projet (1)'!$B$12,'Paramètres (1)'!$A$1:$I$88,3,0)*0.475*44/12</f>
        <v>#REF!</v>
      </c>
      <c r="CN162" s="143" t="str">
        <f t="shared" si="45"/>
        <v>#REF!</v>
      </c>
      <c r="CO162" s="139" t="str">
        <f t="shared" si="46"/>
        <v>#REF!</v>
      </c>
      <c r="CP162" s="131">
        <f t="shared" si="47"/>
        <v>10</v>
      </c>
      <c r="CQ162" s="131" t="str">
        <f t="shared" si="124"/>
        <v>#REF!</v>
      </c>
      <c r="CR162" s="131" t="str">
        <f t="shared" si="48"/>
        <v>#REF!</v>
      </c>
      <c r="CS162" s="131" t="str">
        <f t="array" ref="CS162">INDEX(CR:CR,MIN(IF(ISNUMBER(CR162:CR358),ROW(CR162:CR358),"")))</f>
        <v/>
      </c>
      <c r="CT162" s="131" t="str">
        <f t="shared" si="125"/>
        <v>#REF!</v>
      </c>
      <c r="CU162" s="138" t="str">
        <f>CT162*VLOOKUP('Données projet (1)'!$B$13,'Paramètres (1)'!$A$1:$I$88,3,0)*VLOOKUP('Données projet (1)'!$B$13,'Paramètres (1)'!$A$1:$I$88,5,0)</f>
        <v>#REF!</v>
      </c>
      <c r="CV162" s="130" t="str">
        <f t="shared" si="126"/>
        <v>#REF!</v>
      </c>
      <c r="CW162" s="141" t="str">
        <f t="shared" si="49"/>
        <v>#REF!</v>
      </c>
      <c r="CX162" s="133" t="str">
        <f t="shared" si="50"/>
        <v>#REF!</v>
      </c>
      <c r="CY162" s="133" t="str">
        <f t="shared" si="51"/>
        <v>#REF!</v>
      </c>
      <c r="CZ162" s="133" t="str">
        <f t="shared" si="127"/>
        <v>#REF!</v>
      </c>
      <c r="DA162" s="134" t="str">
        <f t="shared" si="52"/>
        <v>#REF!</v>
      </c>
      <c r="DB162" s="134" t="str">
        <f t="shared" si="53"/>
        <v>#REF!</v>
      </c>
      <c r="DC162" s="135" t="str">
        <f>IF(ISNA(VLOOKUP(A162,'Données projet (1)'!$A$139:$I$159,5,0)),0%,VLOOKUP(A162,'Données projet (1)'!$A$139:$I$159,5,0)*VLOOKUP('Données projet (1)'!$B$13,'Paramètres (1)'!$A$1:$I$88,7,0))</f>
        <v>#REF!</v>
      </c>
      <c r="DD162" s="135" t="str">
        <f>IF(ISNA(VLOOKUP(A162,'Données projet (1)'!$A$139:$I$159,6,0)),0%,VLOOKUP(A162,'Données projet (1)'!$A$139:$I$159,6,0)*VLOOKUP('Données projet (1)'!$B$13,'Paramètres (1)'!$A$1:$I$88,7,0))</f>
        <v>#REF!</v>
      </c>
      <c r="DE162" s="135" t="str">
        <f t="shared" si="54"/>
        <v>#REF!</v>
      </c>
      <c r="DF162" s="142" t="str">
        <f>EXP(-LN(2)/35)*DF161+(1-EXP(-LN(2)/35))/(LN(2)/35)*DB162*DC162*VLOOKUP('Données projet (1)'!$B$13,'Paramètres (1)'!$A$1:$I$88,3,0)*0.475*44/12</f>
        <v>#REF!</v>
      </c>
      <c r="DG162" s="142" t="str">
        <f>EXP(-LN(2)/25)*DG161+(1-EXP(-LN(2)/25))/(LN(2)/25)*'Calculateur (1)'!DB162*'Calculateur (1)'!DD162*VLOOKUP('Données projet (1)'!$B$13,'Paramètres (1)'!$A$1:$I$88,3,0)*0.475*44/12</f>
        <v>#REF!</v>
      </c>
      <c r="DH162" s="142" t="str">
        <f>EXP(-LN(2)/2)*DH161+(1-EXP(-LN(2)/2))/(LN(2)/2)*DB162*DE162*VLOOKUP('Données projet (1)'!$B$13,'Paramètres (1)'!$A$1:$I$88,3,0)*0.475*44/12</f>
        <v>#REF!</v>
      </c>
      <c r="DI162" s="143" t="str">
        <f t="shared" si="55"/>
        <v>#REF!</v>
      </c>
      <c r="DJ162" s="139" t="str">
        <f t="shared" si="56"/>
        <v>#REF!</v>
      </c>
      <c r="DK162" s="131">
        <f t="shared" si="57"/>
        <v>10</v>
      </c>
      <c r="DL162" s="131" t="str">
        <f t="shared" si="128"/>
        <v>#REF!</v>
      </c>
      <c r="DM162" s="131" t="str">
        <f t="shared" si="58"/>
        <v>#REF!</v>
      </c>
      <c r="DN162" s="131" t="str">
        <f t="array" ref="DN162">INDEX(DM:DM,MIN(IF(ISNUMBER(DM162:DM358),ROW(DM162:DM358),"")))</f>
        <v/>
      </c>
      <c r="DO162" s="131" t="str">
        <f t="shared" si="129"/>
        <v>#REF!</v>
      </c>
      <c r="DP162" s="138" t="str">
        <f>DO162*VLOOKUP('Données projet (1)'!$B$14,'Paramètres (1)'!$A$1:$I$88,3,0)*VLOOKUP('Données projet (1)'!$B$14,'Paramètres (1)'!$A$1:$I$88,5,0)</f>
        <v>#REF!</v>
      </c>
      <c r="DQ162" s="130" t="str">
        <f t="shared" si="130"/>
        <v>#REF!</v>
      </c>
      <c r="DR162" s="141" t="str">
        <f t="shared" si="59"/>
        <v>#REF!</v>
      </c>
      <c r="DS162" s="133" t="str">
        <f t="shared" si="60"/>
        <v>#REF!</v>
      </c>
      <c r="DT162" s="133" t="str">
        <f t="shared" si="61"/>
        <v>#REF!</v>
      </c>
      <c r="DU162" s="133" t="str">
        <f t="shared" si="131"/>
        <v>#REF!</v>
      </c>
      <c r="DV162" s="134" t="str">
        <f t="shared" si="62"/>
        <v>#REF!</v>
      </c>
      <c r="DW162" s="134" t="str">
        <f t="shared" si="63"/>
        <v>#REF!</v>
      </c>
      <c r="DX162" s="135" t="str">
        <f>IF(ISNA(VLOOKUP(A162,'Données projet (1)'!$A$165:$I$185,5,0)),0%,VLOOKUP(A162,'Données projet (1)'!$A$165:$I$185,5,0)*VLOOKUP('Données projet (1)'!$B$14,'Paramètres (1)'!$A$1:$I$88,7,0))</f>
        <v>#REF!</v>
      </c>
      <c r="DY162" s="135" t="str">
        <f>IF(ISNA(VLOOKUP(A162,'Données projet (1)'!$A$165:$I$185,6,0)),0%,VLOOKUP(A162,'Données projet (1)'!$A$165:$I$185,6,0)*VLOOKUP('Données projet (1)'!$B$14,'Paramètres (1)'!$A$1:$I$88,7,0))</f>
        <v>#REF!</v>
      </c>
      <c r="DZ162" s="135" t="str">
        <f t="shared" si="64"/>
        <v>#REF!</v>
      </c>
      <c r="EA162" s="142" t="str">
        <f>EXP(-LN(2)/35)*EA161+(1-EXP(-LN(2)/35))/(LN(2)/35)*DW162*DX162*VLOOKUP('Données projet (1)'!$B$14,'Paramètres (1)'!$A$1:$I$88,3,0)*0.475*44/12</f>
        <v>#REF!</v>
      </c>
      <c r="EB162" s="142" t="str">
        <f>EXP(-LN(2)/25)*EB161+(1-EXP(-LN(2)/25))/(LN(2)/25)*'Calculateur (1)'!DW162*'Calculateur (1)'!DY162*VLOOKUP('Données projet (1)'!$B$14,'Paramètres (1)'!$A$1:$I$88,3,0)*0.475*44/12</f>
        <v>#REF!</v>
      </c>
      <c r="EC162" s="142" t="str">
        <f>EXP(-LN(2)/2)*EC161+(1-EXP(-LN(2)/2))/(LN(2)/2)*DW162*DZ162*VLOOKUP('Données projet (1)'!$B$14,'Paramètres (1)'!$A$1:$I$88,3,0)*0.475*44/12</f>
        <v>#REF!</v>
      </c>
      <c r="ED162" s="143" t="str">
        <f t="shared" si="65"/>
        <v>#REF!</v>
      </c>
      <c r="EE162" s="139" t="str">
        <f t="shared" si="66"/>
        <v>#REF!</v>
      </c>
      <c r="EF162" s="131">
        <f t="shared" si="67"/>
        <v>10</v>
      </c>
      <c r="EG162" s="131" t="str">
        <f t="shared" si="132"/>
        <v>#REF!</v>
      </c>
      <c r="EH162" s="131" t="str">
        <f t="shared" si="68"/>
        <v>#REF!</v>
      </c>
      <c r="EI162" s="131" t="str">
        <f t="array" ref="EI162">INDEX(EH:EH,MIN(IF(ISNUMBER(EH162:EH358),ROW(EH162:EH358),"")))</f>
        <v/>
      </c>
      <c r="EJ162" s="131" t="str">
        <f t="shared" si="133"/>
        <v>#REF!</v>
      </c>
      <c r="EK162" s="138" t="str">
        <f>EJ162*VLOOKUP('Données projet (1)'!$B$15,'Paramètres (1)'!$A$1:$I$88,3,0)*VLOOKUP('Données projet (1)'!$B$15,'Paramètres (1)'!$A$1:$I$88,5,0)</f>
        <v>#REF!</v>
      </c>
      <c r="EL162" s="130" t="str">
        <f t="shared" si="134"/>
        <v>#REF!</v>
      </c>
      <c r="EM162" s="141" t="str">
        <f t="shared" si="69"/>
        <v>#REF!</v>
      </c>
      <c r="EN162" s="133" t="str">
        <f t="shared" si="70"/>
        <v>#REF!</v>
      </c>
      <c r="EO162" s="133" t="str">
        <f t="shared" si="71"/>
        <v>#REF!</v>
      </c>
      <c r="EP162" s="133" t="str">
        <f t="shared" si="135"/>
        <v>#REF!</v>
      </c>
      <c r="EQ162" s="134" t="str">
        <f t="shared" si="72"/>
        <v>#REF!</v>
      </c>
      <c r="ER162" s="134" t="str">
        <f t="shared" si="73"/>
        <v>#REF!</v>
      </c>
      <c r="ES162" s="135" t="str">
        <f>IF(ISNA(VLOOKUP(A162,'Données projet (1)'!$A$191:$I$211,5,0)),0%,VLOOKUP(A162,'Données projet (1)'!$A$191:$I$211,5,0)*VLOOKUP('Données projet (1)'!$B$15,'Paramètres (1)'!$A$1:$I$88,7,0))</f>
        <v>#REF!</v>
      </c>
      <c r="ET162" s="135" t="str">
        <f>IF(ISNA(VLOOKUP(A162,'Données projet (1)'!$A$191:$I$211,6,0)),0%,VLOOKUP(A162,'Données projet (1)'!$A$191:$I$211,6,0)*VLOOKUP('Données projet (1)'!$B$15,'Paramètres (1)'!$A$1:$I$88,7,0))</f>
        <v>#REF!</v>
      </c>
      <c r="EU162" s="135" t="str">
        <f t="shared" si="74"/>
        <v>#REF!</v>
      </c>
      <c r="EV162" s="142" t="str">
        <f>EXP(-LN(2)/35)*EV161+(1-EXP(-LN(2)/35))/(LN(2)/35)*ER162*ES162*VLOOKUP('Données projet (1)'!$B$15,'Paramètres (1)'!$A$1:$I$88,3,0)*0.475*44/12</f>
        <v>#REF!</v>
      </c>
      <c r="EW162" s="142" t="str">
        <f>EXP(-LN(2)/25)*EW161+(1-EXP(-LN(2)/25))/(LN(2)/25)*'Calculateur (1)'!ER162*'Calculateur (1)'!ET162*VLOOKUP('Données projet (1)'!$B$15,'Paramètres (1)'!$A$1:$I$88,3,0)*0.475*44/12</f>
        <v>#REF!</v>
      </c>
      <c r="EX162" s="142" t="str">
        <f>EXP(-LN(2)/2)*EX161+(1-EXP(-LN(2)/2))/(LN(2)/2)*ER162*EU162*VLOOKUP('Données projet (1)'!$B$15,'Paramètres (1)'!$A$1:$I$88,3,0)*0.475*44/12</f>
        <v>#REF!</v>
      </c>
      <c r="EY162" s="143" t="str">
        <f t="shared" si="75"/>
        <v>#REF!</v>
      </c>
      <c r="EZ162" s="139" t="str">
        <f t="shared" si="76"/>
        <v>#REF!</v>
      </c>
      <c r="FA162" s="131">
        <f t="shared" si="77"/>
        <v>10</v>
      </c>
      <c r="FB162" s="131" t="str">
        <f t="shared" si="136"/>
        <v>#REF!</v>
      </c>
      <c r="FC162" s="131" t="str">
        <f t="shared" si="78"/>
        <v>#REF!</v>
      </c>
      <c r="FD162" s="131" t="str">
        <f t="array" ref="FD162">INDEX(FC:FC,MIN(IF(ISNUMBER(FC162:FC358),ROW(FC162:FC358),"")))</f>
        <v/>
      </c>
      <c r="FE162" s="131" t="str">
        <f t="shared" si="137"/>
        <v>#REF!</v>
      </c>
      <c r="FF162" s="138" t="str">
        <f>FE162*VLOOKUP('Données projet (1)'!$B$16,'Paramètres (1)'!$A$1:$I$88,3,0)*VLOOKUP('Données projet (1)'!$B$16,'Paramètres (1)'!$A$1:$I$88,5,0)</f>
        <v>#REF!</v>
      </c>
      <c r="FG162" s="130" t="str">
        <f t="shared" si="138"/>
        <v>#REF!</v>
      </c>
      <c r="FH162" s="141" t="str">
        <f t="shared" si="79"/>
        <v>#REF!</v>
      </c>
      <c r="FI162" s="133" t="str">
        <f t="shared" si="80"/>
        <v>#REF!</v>
      </c>
      <c r="FJ162" s="133" t="str">
        <f t="shared" si="81"/>
        <v>#REF!</v>
      </c>
      <c r="FK162" s="133" t="str">
        <f t="shared" si="139"/>
        <v>#REF!</v>
      </c>
      <c r="FL162" s="134" t="str">
        <f t="shared" si="82"/>
        <v>#REF!</v>
      </c>
      <c r="FM162" s="134" t="str">
        <f t="shared" si="83"/>
        <v>#REF!</v>
      </c>
      <c r="FN162" s="135" t="str">
        <f>IF(ISNA(VLOOKUP(A162,'Données projet (1)'!$A$217:$I$237,5,0)),0%,VLOOKUP(A162,'Données projet (1)'!$A$217:$I$237,5,0)*VLOOKUP('Données projet (1)'!$B$16,'Paramètres (1)'!$A$1:$I$88,7,0))</f>
        <v>#REF!</v>
      </c>
      <c r="FO162" s="135" t="str">
        <f>IF(ISNA(VLOOKUP(A162,'Données projet (1)'!$A$217:$I$237,6,0)),0%,VLOOKUP(A162,'Données projet (1)'!$A$217:$I$237,6,0)*VLOOKUP('Données projet (1)'!$B$16,'Paramètres (1)'!$A$1:$I$88,7,0))</f>
        <v>#REF!</v>
      </c>
      <c r="FP162" s="135" t="str">
        <f t="shared" si="84"/>
        <v>#REF!</v>
      </c>
      <c r="FQ162" s="142" t="str">
        <f>EXP(-LN(2)/35)*FQ161+(1-EXP(-LN(2)/35))/(LN(2)/35)*FM162*FN162*VLOOKUP('Données projet (1)'!$B$16,'Paramètres (1)'!$A$1:$I$88,3,0)*0.475*44/12</f>
        <v>#REF!</v>
      </c>
      <c r="FR162" s="142" t="str">
        <f>EXP(-LN(2)/25)*FR161+(1-EXP(-LN(2)/25))/(LN(2)/25)*'Calculateur (1)'!FM162*'Calculateur (1)'!FO162*VLOOKUP('Données projet (1)'!$B$16,'Paramètres (1)'!$A$1:$I$88,3,0)*0.475*44/12</f>
        <v>#REF!</v>
      </c>
      <c r="FS162" s="142" t="str">
        <f>EXP(-LN(2)/2)*FS161+(1-EXP(-LN(2)/2))/(LN(2)/2)*FM162*FP162*VLOOKUP('Données projet (1)'!$B$16,'Paramètres (1)'!$A$1:$I$88,3,0)*0.475*44/12</f>
        <v>#REF!</v>
      </c>
      <c r="FT162" s="143" t="str">
        <f t="shared" si="85"/>
        <v>#REF!</v>
      </c>
      <c r="FU162" s="139" t="str">
        <f t="shared" si="86"/>
        <v>#REF!</v>
      </c>
      <c r="FV162" s="131">
        <f t="shared" si="87"/>
        <v>10</v>
      </c>
      <c r="FW162" s="131" t="str">
        <f t="shared" si="140"/>
        <v>#REF!</v>
      </c>
      <c r="FX162" s="131" t="str">
        <f t="shared" si="88"/>
        <v>#REF!</v>
      </c>
      <c r="FY162" s="131" t="str">
        <f t="array" ref="FY162">INDEX(FX:FX,MIN(IF(ISNUMBER(FX162:FX358),ROW(FX162:FX358),"")))</f>
        <v/>
      </c>
      <c r="FZ162" s="131" t="str">
        <f t="shared" si="141"/>
        <v>#REF!</v>
      </c>
      <c r="GA162" s="138" t="str">
        <f>FZ162*VLOOKUP('Données projet (1)'!$B$17,'Paramètres (1)'!$A$1:$I$88,3,0)*VLOOKUP('Données projet (1)'!$B$17,'Paramètres (1)'!$A$1:$I$88,5,0)</f>
        <v>#REF!</v>
      </c>
      <c r="GB162" s="130" t="str">
        <f t="shared" si="142"/>
        <v>#REF!</v>
      </c>
      <c r="GC162" s="141" t="str">
        <f t="shared" si="89"/>
        <v>#REF!</v>
      </c>
      <c r="GD162" s="133" t="str">
        <f t="shared" si="90"/>
        <v>#REF!</v>
      </c>
      <c r="GE162" s="133" t="str">
        <f t="shared" si="91"/>
        <v>#REF!</v>
      </c>
      <c r="GF162" s="133" t="str">
        <f t="shared" si="143"/>
        <v>#REF!</v>
      </c>
      <c r="GG162" s="134" t="str">
        <f t="shared" si="92"/>
        <v>#REF!</v>
      </c>
      <c r="GH162" s="134" t="str">
        <f t="shared" si="93"/>
        <v>#REF!</v>
      </c>
      <c r="GI162" s="135" t="str">
        <f>IF(ISNA(VLOOKUP(A162,'Données projet (1)'!$A$243:$I$263,5,0)),0%,VLOOKUP(A162,'Données projet (1)'!$A$243:$I$263,5,0)*VLOOKUP('Données projet (1)'!$B$17,'Paramètres (1)'!$A$1:$I$88,7,0))</f>
        <v>#REF!</v>
      </c>
      <c r="GJ162" s="135" t="str">
        <f>IF(ISNA(VLOOKUP(A162,'Données projet (1)'!$A$243:$I$263,6,0)),0%,VLOOKUP(A162,'Données projet (1)'!$A$243:$I$263,6,0)*VLOOKUP('Données projet (1)'!$B$17,'Paramètres (1)'!$A$1:$I$88,7,0))</f>
        <v>#REF!</v>
      </c>
      <c r="GK162" s="135" t="str">
        <f t="shared" si="94"/>
        <v>#REF!</v>
      </c>
      <c r="GL162" s="142" t="str">
        <f>EXP(-LN(2)/35)*GL161+(1-EXP(-LN(2)/35))/(LN(2)/35)*GH162*GI162*VLOOKUP('Données projet (1)'!$B$17,'Paramètres (1)'!$A$1:$I$88,3,0)*0.475*44/12</f>
        <v>#REF!</v>
      </c>
      <c r="GM162" s="142" t="str">
        <f>EXP(-LN(2)/25)*GM161+(1-EXP(-LN(2)/25))/(LN(2)/25)*'Calculateur (1)'!GH162*'Calculateur (1)'!GJ162*VLOOKUP('Données projet (1)'!$B$17,'Paramètres (1)'!$A$1:$I$88,3,0)*0.475*44/12</f>
        <v>#REF!</v>
      </c>
      <c r="GN162" s="142" t="str">
        <f>EXP(-LN(2)/2)*GN161+(1-EXP(-LN(2)/2))/(LN(2)/2)*GH162*GK162*VLOOKUP('Données projet (1)'!$B$17,'Paramètres (1)'!$A$1:$I$88,3,0)*0.475*44/12</f>
        <v>#REF!</v>
      </c>
      <c r="GO162" s="142" t="str">
        <f t="shared" si="95"/>
        <v>#REF!</v>
      </c>
      <c r="GP162" s="139" t="str">
        <f t="shared" si="96"/>
        <v>#REF!</v>
      </c>
      <c r="GQ162" s="131">
        <f t="shared" si="97"/>
        <v>10</v>
      </c>
      <c r="GR162" s="131" t="str">
        <f t="shared" si="144"/>
        <v>#REF!</v>
      </c>
      <c r="GS162" s="131" t="str">
        <f t="shared" si="98"/>
        <v>#REF!</v>
      </c>
      <c r="GT162" s="131" t="str">
        <f t="array" ref="GT162">INDEX(GS:GS,MIN(IF(ISNUMBER(GS162:GS358),ROW(GS162:GS358),"")))</f>
        <v/>
      </c>
      <c r="GU162" s="131" t="str">
        <f t="shared" si="145"/>
        <v>#REF!</v>
      </c>
      <c r="GV162" s="138" t="str">
        <f>GU162*VLOOKUP('Données projet (1)'!$B$18,'Paramètres (1)'!$A$1:$I$88,3,0)*VLOOKUP('Données projet (1)'!$B$18,'Paramètres (1)'!$A$1:$I$88,5,0)</f>
        <v>#REF!</v>
      </c>
      <c r="GW162" s="130" t="str">
        <f t="shared" si="146"/>
        <v>#REF!</v>
      </c>
      <c r="GX162" s="141" t="str">
        <f t="shared" si="99"/>
        <v>#REF!</v>
      </c>
      <c r="GY162" s="133" t="str">
        <f t="shared" si="100"/>
        <v>#REF!</v>
      </c>
      <c r="GZ162" s="133" t="str">
        <f t="shared" si="101"/>
        <v>#REF!</v>
      </c>
      <c r="HA162" s="133" t="str">
        <f t="shared" si="147"/>
        <v>#REF!</v>
      </c>
      <c r="HB162" s="134" t="str">
        <f t="shared" si="102"/>
        <v>#REF!</v>
      </c>
      <c r="HC162" s="134" t="str">
        <f t="shared" si="103"/>
        <v>#REF!</v>
      </c>
      <c r="HD162" s="135" t="str">
        <f>IF(ISNA(VLOOKUP(A162,'Données projet (1)'!$A$269:$I$289,5,0)),0%,VLOOKUP(A162,'Données projet (1)'!$A$269:$I$289,5,0)*VLOOKUP('Données projet (1)'!$B$18,'Paramètres (1)'!$A$1:$I$88,7,0))</f>
        <v>#REF!</v>
      </c>
      <c r="HE162" s="135" t="str">
        <f>IF(ISNA(VLOOKUP(A162,'Données projet (1)'!$A$269:$I$289,6,0)),0%,VLOOKUP(A162,'Données projet (1)'!$A$269:$I$289,6,0)*VLOOKUP('Données projet (1)'!$B$18,'Paramètres (1)'!$A$1:$I$88,7,0))</f>
        <v>#REF!</v>
      </c>
      <c r="HF162" s="135" t="str">
        <f t="shared" si="104"/>
        <v>#REF!</v>
      </c>
      <c r="HG162" s="142" t="str">
        <f>EXP(-LN(2)/35)*HG161+(1-EXP(-LN(2)/35))/(LN(2)/35)*HC162*HD162*VLOOKUP('Données projet (1)'!$B$18,'Paramètres (1)'!$A$1:$I$88,3,0)*0.475*44/12</f>
        <v>#REF!</v>
      </c>
      <c r="HH162" s="142" t="str">
        <f>EXP(-LN(2)/25)*HH161+(1-EXP(-LN(2)/25))/(LN(2)/25)*'Calculateur (1)'!HC162*'Calculateur (1)'!HE162*VLOOKUP('Données projet (1)'!$B$18,'Paramètres (1)'!$A$1:$I$88,3,0)*0.475*44/12</f>
        <v>#REF!</v>
      </c>
      <c r="HI162" s="142" t="str">
        <f>EXP(-LN(2)/2)*HI161+(1-EXP(-LN(2)/2))/(LN(2)/2)*HC162*HF162*VLOOKUP('Données projet (1)'!$B$18,'Paramètres (1)'!$A$1:$I$88,3,0)*0.475*44/12</f>
        <v>#REF!</v>
      </c>
      <c r="HJ162" s="143" t="str">
        <f t="shared" si="105"/>
        <v>#REF!</v>
      </c>
    </row>
    <row r="163" ht="14.25" customHeight="1">
      <c r="A163" s="125">
        <f t="shared" si="106"/>
        <v>160</v>
      </c>
      <c r="B163" s="126" t="str">
        <f t="shared" si="1"/>
        <v>#REF!</v>
      </c>
      <c r="C163" s="140" t="str">
        <f>'Calculateur (1)'!C162+'Scénario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3" s="127">
        <f t="shared" si="107"/>
        <v>0</v>
      </c>
      <c r="E163" s="127" t="str">
        <f t="shared" si="2"/>
        <v>#REF!</v>
      </c>
      <c r="F163" s="127" t="str">
        <f t="shared" si="3"/>
        <v>#REF!</v>
      </c>
      <c r="G163" s="127" t="str">
        <f t="shared" si="4"/>
        <v>#REF!</v>
      </c>
      <c r="H163" s="128" t="str">
        <f t="shared" si="5"/>
        <v>#REF!</v>
      </c>
      <c r="I163" s="129" t="str">
        <f t="shared" si="6"/>
        <v>#REF!</v>
      </c>
      <c r="J163" s="130">
        <f t="shared" si="7"/>
        <v>10</v>
      </c>
      <c r="K163" s="131" t="str">
        <f t="shared" si="108"/>
        <v>#REF!</v>
      </c>
      <c r="L163" s="131" t="str">
        <f t="shared" si="8"/>
        <v>#REF!</v>
      </c>
      <c r="M163" s="131" t="str">
        <f t="array" ref="M163">INDEX(L:L,MIN(IF(ISNUMBER(L163:L359),ROW(L163:L359),"")))</f>
        <v/>
      </c>
      <c r="N163" s="130" t="str">
        <f t="shared" si="109"/>
        <v>#REF!</v>
      </c>
      <c r="O163" s="130" t="str">
        <f>N163*VLOOKUP('Données projet (1)'!$B$9,'Paramètres (1)'!$A$1:$I$88,3,0)*VLOOKUP('Données projet (1)'!$B$9,'Paramètres (1)'!$A$1:$I$88,5,0)</f>
        <v>#REF!</v>
      </c>
      <c r="P163" s="130" t="str">
        <f t="shared" si="110"/>
        <v>#REF!</v>
      </c>
      <c r="Q163" s="141" t="str">
        <f t="shared" si="9"/>
        <v>#REF!</v>
      </c>
      <c r="R163" s="133" t="str">
        <f t="shared" si="10"/>
        <v>#REF!</v>
      </c>
      <c r="S163" s="133" t="str">
        <f t="shared" si="11"/>
        <v>#REF!</v>
      </c>
      <c r="T163" s="133" t="str">
        <f t="shared" si="111"/>
        <v>#REF!</v>
      </c>
      <c r="U163" s="134" t="str">
        <f t="shared" si="12"/>
        <v>#REF!</v>
      </c>
      <c r="V163" s="134" t="str">
        <f t="shared" si="13"/>
        <v>#REF!</v>
      </c>
      <c r="W163" s="135" t="str">
        <f>IF(ISNA(VLOOKUP(A163,'Données projet (1)'!$A$35:$I$55,5,0)),0%,VLOOKUP(A163,'Données projet (1)'!$A$35:$I$55,5,0)*VLOOKUP('Données projet (1)'!$B$9,'Paramètres (1)'!$A$1:$I$88,7,0))</f>
        <v>#REF!</v>
      </c>
      <c r="X163" s="135" t="str">
        <f>IF(ISNA(VLOOKUP(A163,'Données projet (1)'!$A$35:$I$55,6,0)),0%,VLOOKUP(A163,'Données projet (1)'!$A$35:$I$55,6,0)*VLOOKUP('Données projet (1)'!$B$9,'Paramètres (1)'!$A$1:$I$88,7,0))</f>
        <v>#REF!</v>
      </c>
      <c r="Y163" s="135" t="str">
        <f t="shared" si="14"/>
        <v>#REF!</v>
      </c>
      <c r="Z163" s="142" t="str">
        <f>EXP(-LN(2)/35)*Z162+(1-EXP(-LN(2)/35))/(LN(2)/35)*V163*W163*VLOOKUP('Données projet (1)'!$B$9,'Paramètres (1)'!$A$1:$I$88,3,0)*0.475*44/12</f>
        <v>#REF!</v>
      </c>
      <c r="AA163" s="142" t="str">
        <f>EXP(-LN(2)/25)*AA162+(1-EXP(-LN(2)/25))/(LN(2)/25)*'Calculateur (1)'!V163*'Calculateur (1)'!X163*VLOOKUP('Données projet (1)'!$B$9,'Paramètres (1)'!$A$1:$I$88,3,0)*0.475*44/12</f>
        <v>#REF!</v>
      </c>
      <c r="AB163" s="142" t="str">
        <f>EXP(-LN(2)/2)*AB162+(1-EXP(-LN(2)/2))/(LN(2)/2)*V163*Y163*VLOOKUP('Données projet (1)'!$B$9,'Paramètres (1)'!$A$1:$I$88,3,0)*0.475*44/12</f>
        <v>#REF!</v>
      </c>
      <c r="AC163" s="143" t="str">
        <f t="shared" si="15"/>
        <v>#REF!</v>
      </c>
      <c r="AD163" s="130" t="str">
        <f t="shared" si="16"/>
        <v>#REF!</v>
      </c>
      <c r="AE163" s="130">
        <f t="shared" si="17"/>
        <v>10</v>
      </c>
      <c r="AF163" s="131" t="str">
        <f t="shared" si="112"/>
        <v>#REF!</v>
      </c>
      <c r="AG163" s="131" t="str">
        <f t="shared" si="18"/>
        <v>#REF!</v>
      </c>
      <c r="AH163" s="131" t="str">
        <f t="array" ref="AH163">INDEX(AG:AG,MIN(IF(ISNUMBER(AG163:AG359),ROW(AG163:AG359),"")))</f>
        <v/>
      </c>
      <c r="AI163" s="130" t="str">
        <f t="shared" si="113"/>
        <v>#REF!</v>
      </c>
      <c r="AJ163" s="130" t="str">
        <f>AI163*VLOOKUP('Données projet (1)'!$B$10,'Paramètres (1)'!$A$1:$I$88,3,0)*VLOOKUP('Données projet (1)'!$B$10,'Paramètres (1)'!$A$1:$I$88,5,0)</f>
        <v>#REF!</v>
      </c>
      <c r="AK163" s="130" t="str">
        <f t="shared" si="114"/>
        <v>#REF!</v>
      </c>
      <c r="AL163" s="141" t="str">
        <f t="shared" si="19"/>
        <v>#REF!</v>
      </c>
      <c r="AM163" s="133" t="str">
        <f t="shared" si="20"/>
        <v>#REF!</v>
      </c>
      <c r="AN163" s="133" t="str">
        <f t="shared" si="21"/>
        <v>#REF!</v>
      </c>
      <c r="AO163" s="133" t="str">
        <f t="shared" si="115"/>
        <v>#REF!</v>
      </c>
      <c r="AP163" s="134" t="str">
        <f t="shared" si="22"/>
        <v>#REF!</v>
      </c>
      <c r="AQ163" s="134" t="str">
        <f t="shared" si="23"/>
        <v>#REF!</v>
      </c>
      <c r="AR163" s="135" t="str">
        <f>IF(ISNA(VLOOKUP(A163,'Données projet (1)'!$A$61:$I$81,5,0)),0%,VLOOKUP(A163,'Données projet (1)'!$A$61:$I$81,5,0)*VLOOKUP('Données projet (1)'!$B$10,'Paramètres (1)'!$A$1:$I$88,7,0))</f>
        <v>#REF!</v>
      </c>
      <c r="AS163" s="135" t="str">
        <f>IF(ISNA(VLOOKUP(A163,'Données projet (1)'!$A$61:$I$81,6,0)),0%,VLOOKUP(A163,'Données projet (1)'!$A$61:$I$81,6,0)*VLOOKUP('Données projet (1)'!$B$10,'Paramètres (1)'!$A$1:$I$88,7,0))</f>
        <v>#REF!</v>
      </c>
      <c r="AT163" s="135" t="str">
        <f t="shared" si="24"/>
        <v>#REF!</v>
      </c>
      <c r="AU163" s="142" t="str">
        <f>EXP(-LN(2)/35)*AU162+(1-EXP(-LN(2)/35))/(LN(2)/35)*AQ163*AR163*VLOOKUP('Données projet (1)'!$B$10,'Paramètres (1)'!$A$1:$I$88,3,0)*0.475*44/12</f>
        <v>#REF!</v>
      </c>
      <c r="AV163" s="142" t="str">
        <f>EXP(-LN(2)/25)*AV162+(1-EXP(-LN(2)/25))/(LN(2)/25)*'Calculateur (1)'!AQ163*'Calculateur (1)'!AS163*VLOOKUP('Données projet (1)'!$B$10,'Paramètres (1)'!$A$1:$I$88,3,0)*0.475*44/12</f>
        <v>#REF!</v>
      </c>
      <c r="AW163" s="142" t="str">
        <f>EXP(-LN(2)/2)*AW162+(1-EXP(-LN(2)/2))/(LN(2)/2)*AQ163*AT163*VLOOKUP('Données projet (1)'!$B$10,'Paramètres (1)'!$A$1:$I$88,3,0)*0.475*44/12</f>
        <v>#REF!</v>
      </c>
      <c r="AX163" s="142" t="str">
        <f t="shared" si="25"/>
        <v>#REF!</v>
      </c>
      <c r="AY163" s="137" t="str">
        <f t="shared" si="26"/>
        <v>#REF!</v>
      </c>
      <c r="AZ163" s="131">
        <f t="shared" si="27"/>
        <v>10</v>
      </c>
      <c r="BA163" s="131" t="str">
        <f t="shared" si="116"/>
        <v>#REF!</v>
      </c>
      <c r="BB163" s="131" t="str">
        <f t="shared" si="28"/>
        <v>#REF!</v>
      </c>
      <c r="BC163" s="131" t="str">
        <f t="array" ref="BC163">INDEX(BB:BB,MIN(IF(ISNUMBER(BB163:BB359),ROW(BB163:BB359),"")))</f>
        <v/>
      </c>
      <c r="BD163" s="131" t="str">
        <f t="shared" si="117"/>
        <v>#REF!</v>
      </c>
      <c r="BE163" s="130" t="str">
        <f>BD163*VLOOKUP('Données projet (1)'!$B$11,'Paramètres (1)'!$A$1:$I$88,3,0)*VLOOKUP('Données projet (1)'!$B$11,'Paramètres (1)'!$A$1:$I$88,5,0)</f>
        <v>#REF!</v>
      </c>
      <c r="BF163" s="130" t="str">
        <f t="shared" si="118"/>
        <v>#REF!</v>
      </c>
      <c r="BG163" s="141" t="str">
        <f t="shared" si="29"/>
        <v>#REF!</v>
      </c>
      <c r="BH163" s="133" t="str">
        <f t="shared" si="30"/>
        <v>#REF!</v>
      </c>
      <c r="BI163" s="133" t="str">
        <f t="shared" si="31"/>
        <v>#REF!</v>
      </c>
      <c r="BJ163" s="133" t="str">
        <f t="shared" si="119"/>
        <v>#REF!</v>
      </c>
      <c r="BK163" s="134" t="str">
        <f t="shared" si="32"/>
        <v>#REF!</v>
      </c>
      <c r="BL163" s="134" t="str">
        <f t="shared" si="33"/>
        <v>#REF!</v>
      </c>
      <c r="BM163" s="135" t="str">
        <f>IF(ISNA(VLOOKUP(A163,'Données projet (1)'!$A$87:$I$107,5,0)),0%,VLOOKUP(A163,'Données projet (1)'!$A$87:$I$107,5,0)*VLOOKUP('Données projet (1)'!$B$11,'Paramètres (1)'!$A$1:$I$88,7,0))</f>
        <v>#REF!</v>
      </c>
      <c r="BN163" s="135" t="str">
        <f>IF(ISNA(VLOOKUP(A163,'Données projet (1)'!$A$87:$I$107,6,0)),0%,VLOOKUP(A163,'Données projet (1)'!$A$87:$I$107,6,0)*VLOOKUP('Données projet (1)'!$B$11,'Paramètres (1)'!$A$1:$I$88,7,0))</f>
        <v>#REF!</v>
      </c>
      <c r="BO163" s="135" t="str">
        <f t="shared" si="34"/>
        <v>#REF!</v>
      </c>
      <c r="BP163" s="142" t="str">
        <f>EXP(-LN(2)/35)*BP162+(1-EXP(-LN(2)/35))/(LN(2)/35)*BL163*BM163*VLOOKUP('Données projet (1)'!$B$11,'Paramètres (1)'!$A$1:$I$88,3,0)*0.475*44/12</f>
        <v>#REF!</v>
      </c>
      <c r="BQ163" s="142" t="str">
        <f>EXP(-LN(2)/25)*BQ162+(1-EXP(-LN(2)/25))/(LN(2)/25)*'Calculateur (1)'!BL163*'Calculateur (1)'!BN163*VLOOKUP('Données projet (1)'!$B$11,'Paramètres (1)'!$A$1:$I$88,3,0)*0.475*44/12</f>
        <v>#REF!</v>
      </c>
      <c r="BR163" s="142" t="str">
        <f>EXP(-LN(2)/2)*BR162+(1-EXP(-LN(2)/2))/(LN(2)/2)*BL163*BO163*VLOOKUP('Données projet (1)'!$B$11,'Paramètres (1)'!$A$1:$I$88,3,0)*0.475*44/12</f>
        <v>#REF!</v>
      </c>
      <c r="BS163" s="143" t="str">
        <f t="shared" si="35"/>
        <v>#REF!</v>
      </c>
      <c r="BT163" s="139" t="str">
        <f t="shared" si="36"/>
        <v>#REF!</v>
      </c>
      <c r="BU163" s="131">
        <f t="shared" si="37"/>
        <v>10</v>
      </c>
      <c r="BV163" s="131" t="str">
        <f t="shared" si="120"/>
        <v>#REF!</v>
      </c>
      <c r="BW163" s="131" t="str">
        <f t="shared" si="38"/>
        <v>#REF!</v>
      </c>
      <c r="BX163" s="131" t="str">
        <f t="array" ref="BX163">INDEX(BW:BW,MIN(IF(ISNUMBER(BW163:BW359),ROW(BW163:BW359),"")))</f>
        <v/>
      </c>
      <c r="BY163" s="131" t="str">
        <f t="shared" si="121"/>
        <v>#REF!</v>
      </c>
      <c r="BZ163" s="130" t="str">
        <f>BY163*VLOOKUP('Données projet (1)'!$B$12,'Paramètres (1)'!$A$1:$I$88,3,0)*VLOOKUP('Données projet (1)'!$B$12,'Paramètres (1)'!$A$1:$I$88,5,0)</f>
        <v>#REF!</v>
      </c>
      <c r="CA163" s="130" t="str">
        <f t="shared" si="122"/>
        <v>#REF!</v>
      </c>
      <c r="CB163" s="141" t="str">
        <f t="shared" si="39"/>
        <v>#REF!</v>
      </c>
      <c r="CC163" s="133" t="str">
        <f t="shared" si="40"/>
        <v>#REF!</v>
      </c>
      <c r="CD163" s="133" t="str">
        <f t="shared" si="41"/>
        <v>#REF!</v>
      </c>
      <c r="CE163" s="133" t="str">
        <f t="shared" si="123"/>
        <v>#REF!</v>
      </c>
      <c r="CF163" s="134" t="str">
        <f t="shared" si="42"/>
        <v>#REF!</v>
      </c>
      <c r="CG163" s="134" t="str">
        <f t="shared" si="43"/>
        <v>#REF!</v>
      </c>
      <c r="CH163" s="135" t="str">
        <f>IF(ISNA(VLOOKUP(A163,'Données projet (1)'!$A$113:$I$133,5,0)),0%,VLOOKUP(A163,'Données projet (1)'!$A$113:$I$133,5,0)*VLOOKUP('Données projet (1)'!$B$12,'Paramètres (1)'!$A$1:$I$88,7,0))</f>
        <v>#REF!</v>
      </c>
      <c r="CI163" s="135" t="str">
        <f>IF(ISNA(VLOOKUP(A163,'Données projet (1)'!$A$113:$I$133,6,0)),0%,VLOOKUP(A163,'Données projet (1)'!$A$113:$I$133,6,0)*VLOOKUP('Données projet (1)'!$B$12,'Paramètres (1)'!$A$1:$I$88,7,0))</f>
        <v>#REF!</v>
      </c>
      <c r="CJ163" s="135" t="str">
        <f t="shared" si="44"/>
        <v>#REF!</v>
      </c>
      <c r="CK163" s="142" t="str">
        <f>EXP(-LN(2)/35)*CK162+(1-EXP(-LN(2)/35))/(LN(2)/35)*CG163*CH163*VLOOKUP('Données projet (1)'!$B$12,'Paramètres (1)'!$A$1:$I$88,3,0)*0.475*44/12</f>
        <v>#REF!</v>
      </c>
      <c r="CL163" s="142" t="str">
        <f>EXP(-LN(2)/25)*CL162+(1-EXP(-LN(2)/25))/(LN(2)/25)*'Calculateur (1)'!CG163*'Calculateur (1)'!CI163*VLOOKUP('Données projet (1)'!$B$12,'Paramètres (1)'!$A$1:$I$88,3,0)*0.475*44/12</f>
        <v>#REF!</v>
      </c>
      <c r="CM163" s="142" t="str">
        <f>EXP(-LN(2)/2)*CM162+(1-EXP(-LN(2)/2))/(LN(2)/2)*CG163*CJ163*VLOOKUP('Données projet (1)'!$B$12,'Paramètres (1)'!$A$1:$I$88,3,0)*0.475*44/12</f>
        <v>#REF!</v>
      </c>
      <c r="CN163" s="143" t="str">
        <f t="shared" si="45"/>
        <v>#REF!</v>
      </c>
      <c r="CO163" s="139" t="str">
        <f t="shared" si="46"/>
        <v>#REF!</v>
      </c>
      <c r="CP163" s="131">
        <f t="shared" si="47"/>
        <v>10</v>
      </c>
      <c r="CQ163" s="131" t="str">
        <f t="shared" si="124"/>
        <v>#REF!</v>
      </c>
      <c r="CR163" s="131" t="str">
        <f t="shared" si="48"/>
        <v>#REF!</v>
      </c>
      <c r="CS163" s="131" t="str">
        <f t="array" ref="CS163">INDEX(CR:CR,MIN(IF(ISNUMBER(CR163:CR359),ROW(CR163:CR359),"")))</f>
        <v/>
      </c>
      <c r="CT163" s="131" t="str">
        <f t="shared" si="125"/>
        <v>#REF!</v>
      </c>
      <c r="CU163" s="138" t="str">
        <f>CT163*VLOOKUP('Données projet (1)'!$B$13,'Paramètres (1)'!$A$1:$I$88,3,0)*VLOOKUP('Données projet (1)'!$B$13,'Paramètres (1)'!$A$1:$I$88,5,0)</f>
        <v>#REF!</v>
      </c>
      <c r="CV163" s="130" t="str">
        <f t="shared" si="126"/>
        <v>#REF!</v>
      </c>
      <c r="CW163" s="141" t="str">
        <f t="shared" si="49"/>
        <v>#REF!</v>
      </c>
      <c r="CX163" s="133" t="str">
        <f t="shared" si="50"/>
        <v>#REF!</v>
      </c>
      <c r="CY163" s="133" t="str">
        <f t="shared" si="51"/>
        <v>#REF!</v>
      </c>
      <c r="CZ163" s="133" t="str">
        <f t="shared" si="127"/>
        <v>#REF!</v>
      </c>
      <c r="DA163" s="134" t="str">
        <f t="shared" si="52"/>
        <v>#REF!</v>
      </c>
      <c r="DB163" s="134" t="str">
        <f t="shared" si="53"/>
        <v>#REF!</v>
      </c>
      <c r="DC163" s="135" t="str">
        <f>IF(ISNA(VLOOKUP(A163,'Données projet (1)'!$A$139:$I$159,5,0)),0%,VLOOKUP(A163,'Données projet (1)'!$A$139:$I$159,5,0)*VLOOKUP('Données projet (1)'!$B$13,'Paramètres (1)'!$A$1:$I$88,7,0))</f>
        <v>#REF!</v>
      </c>
      <c r="DD163" s="135" t="str">
        <f>IF(ISNA(VLOOKUP(A163,'Données projet (1)'!$A$139:$I$159,6,0)),0%,VLOOKUP(A163,'Données projet (1)'!$A$139:$I$159,6,0)*VLOOKUP('Données projet (1)'!$B$13,'Paramètres (1)'!$A$1:$I$88,7,0))</f>
        <v>#REF!</v>
      </c>
      <c r="DE163" s="135" t="str">
        <f t="shared" si="54"/>
        <v>#REF!</v>
      </c>
      <c r="DF163" s="142" t="str">
        <f>EXP(-LN(2)/35)*DF162+(1-EXP(-LN(2)/35))/(LN(2)/35)*DB163*DC163*VLOOKUP('Données projet (1)'!$B$13,'Paramètres (1)'!$A$1:$I$88,3,0)*0.475*44/12</f>
        <v>#REF!</v>
      </c>
      <c r="DG163" s="142" t="str">
        <f>EXP(-LN(2)/25)*DG162+(1-EXP(-LN(2)/25))/(LN(2)/25)*'Calculateur (1)'!DB163*'Calculateur (1)'!DD163*VLOOKUP('Données projet (1)'!$B$13,'Paramètres (1)'!$A$1:$I$88,3,0)*0.475*44/12</f>
        <v>#REF!</v>
      </c>
      <c r="DH163" s="142" t="str">
        <f>EXP(-LN(2)/2)*DH162+(1-EXP(-LN(2)/2))/(LN(2)/2)*DB163*DE163*VLOOKUP('Données projet (1)'!$B$13,'Paramètres (1)'!$A$1:$I$88,3,0)*0.475*44/12</f>
        <v>#REF!</v>
      </c>
      <c r="DI163" s="143" t="str">
        <f t="shared" si="55"/>
        <v>#REF!</v>
      </c>
      <c r="DJ163" s="139" t="str">
        <f t="shared" si="56"/>
        <v>#REF!</v>
      </c>
      <c r="DK163" s="131">
        <f t="shared" si="57"/>
        <v>10</v>
      </c>
      <c r="DL163" s="131" t="str">
        <f t="shared" si="128"/>
        <v>#REF!</v>
      </c>
      <c r="DM163" s="131" t="str">
        <f t="shared" si="58"/>
        <v>#REF!</v>
      </c>
      <c r="DN163" s="131" t="str">
        <f t="array" ref="DN163">INDEX(DM:DM,MIN(IF(ISNUMBER(DM163:DM359),ROW(DM163:DM359),"")))</f>
        <v/>
      </c>
      <c r="DO163" s="131" t="str">
        <f t="shared" si="129"/>
        <v>#REF!</v>
      </c>
      <c r="DP163" s="138" t="str">
        <f>DO163*VLOOKUP('Données projet (1)'!$B$14,'Paramètres (1)'!$A$1:$I$88,3,0)*VLOOKUP('Données projet (1)'!$B$14,'Paramètres (1)'!$A$1:$I$88,5,0)</f>
        <v>#REF!</v>
      </c>
      <c r="DQ163" s="130" t="str">
        <f t="shared" si="130"/>
        <v>#REF!</v>
      </c>
      <c r="DR163" s="141" t="str">
        <f t="shared" si="59"/>
        <v>#REF!</v>
      </c>
      <c r="DS163" s="133" t="str">
        <f t="shared" si="60"/>
        <v>#REF!</v>
      </c>
      <c r="DT163" s="133" t="str">
        <f t="shared" si="61"/>
        <v>#REF!</v>
      </c>
      <c r="DU163" s="133" t="str">
        <f t="shared" si="131"/>
        <v>#REF!</v>
      </c>
      <c r="DV163" s="134" t="str">
        <f t="shared" si="62"/>
        <v>#REF!</v>
      </c>
      <c r="DW163" s="134" t="str">
        <f t="shared" si="63"/>
        <v>#REF!</v>
      </c>
      <c r="DX163" s="135" t="str">
        <f>IF(ISNA(VLOOKUP(A163,'Données projet (1)'!$A$165:$I$185,5,0)),0%,VLOOKUP(A163,'Données projet (1)'!$A$165:$I$185,5,0)*VLOOKUP('Données projet (1)'!$B$14,'Paramètres (1)'!$A$1:$I$88,7,0))</f>
        <v>#REF!</v>
      </c>
      <c r="DY163" s="135" t="str">
        <f>IF(ISNA(VLOOKUP(A163,'Données projet (1)'!$A$165:$I$185,6,0)),0%,VLOOKUP(A163,'Données projet (1)'!$A$165:$I$185,6,0)*VLOOKUP('Données projet (1)'!$B$14,'Paramètres (1)'!$A$1:$I$88,7,0))</f>
        <v>#REF!</v>
      </c>
      <c r="DZ163" s="135" t="str">
        <f t="shared" si="64"/>
        <v>#REF!</v>
      </c>
      <c r="EA163" s="142" t="str">
        <f>EXP(-LN(2)/35)*EA162+(1-EXP(-LN(2)/35))/(LN(2)/35)*DW163*DX163*VLOOKUP('Données projet (1)'!$B$14,'Paramètres (1)'!$A$1:$I$88,3,0)*0.475*44/12</f>
        <v>#REF!</v>
      </c>
      <c r="EB163" s="142" t="str">
        <f>EXP(-LN(2)/25)*EB162+(1-EXP(-LN(2)/25))/(LN(2)/25)*'Calculateur (1)'!DW163*'Calculateur (1)'!DY163*VLOOKUP('Données projet (1)'!$B$14,'Paramètres (1)'!$A$1:$I$88,3,0)*0.475*44/12</f>
        <v>#REF!</v>
      </c>
      <c r="EC163" s="142" t="str">
        <f>EXP(-LN(2)/2)*EC162+(1-EXP(-LN(2)/2))/(LN(2)/2)*DW163*DZ163*VLOOKUP('Données projet (1)'!$B$14,'Paramètres (1)'!$A$1:$I$88,3,0)*0.475*44/12</f>
        <v>#REF!</v>
      </c>
      <c r="ED163" s="143" t="str">
        <f t="shared" si="65"/>
        <v>#REF!</v>
      </c>
      <c r="EE163" s="139" t="str">
        <f t="shared" si="66"/>
        <v>#REF!</v>
      </c>
      <c r="EF163" s="131">
        <f t="shared" si="67"/>
        <v>10</v>
      </c>
      <c r="EG163" s="131" t="str">
        <f t="shared" si="132"/>
        <v>#REF!</v>
      </c>
      <c r="EH163" s="131" t="str">
        <f t="shared" si="68"/>
        <v>#REF!</v>
      </c>
      <c r="EI163" s="131" t="str">
        <f t="array" ref="EI163">INDEX(EH:EH,MIN(IF(ISNUMBER(EH163:EH359),ROW(EH163:EH359),"")))</f>
        <v/>
      </c>
      <c r="EJ163" s="131" t="str">
        <f t="shared" si="133"/>
        <v>#REF!</v>
      </c>
      <c r="EK163" s="138" t="str">
        <f>EJ163*VLOOKUP('Données projet (1)'!$B$15,'Paramètres (1)'!$A$1:$I$88,3,0)*VLOOKUP('Données projet (1)'!$B$15,'Paramètres (1)'!$A$1:$I$88,5,0)</f>
        <v>#REF!</v>
      </c>
      <c r="EL163" s="130" t="str">
        <f t="shared" si="134"/>
        <v>#REF!</v>
      </c>
      <c r="EM163" s="141" t="str">
        <f t="shared" si="69"/>
        <v>#REF!</v>
      </c>
      <c r="EN163" s="133" t="str">
        <f t="shared" si="70"/>
        <v>#REF!</v>
      </c>
      <c r="EO163" s="133" t="str">
        <f t="shared" si="71"/>
        <v>#REF!</v>
      </c>
      <c r="EP163" s="133" t="str">
        <f t="shared" si="135"/>
        <v>#REF!</v>
      </c>
      <c r="EQ163" s="134" t="str">
        <f t="shared" si="72"/>
        <v>#REF!</v>
      </c>
      <c r="ER163" s="134" t="str">
        <f t="shared" si="73"/>
        <v>#REF!</v>
      </c>
      <c r="ES163" s="135" t="str">
        <f>IF(ISNA(VLOOKUP(A163,'Données projet (1)'!$A$191:$I$211,5,0)),0%,VLOOKUP(A163,'Données projet (1)'!$A$191:$I$211,5,0)*VLOOKUP('Données projet (1)'!$B$15,'Paramètres (1)'!$A$1:$I$88,7,0))</f>
        <v>#REF!</v>
      </c>
      <c r="ET163" s="135" t="str">
        <f>IF(ISNA(VLOOKUP(A163,'Données projet (1)'!$A$191:$I$211,6,0)),0%,VLOOKUP(A163,'Données projet (1)'!$A$191:$I$211,6,0)*VLOOKUP('Données projet (1)'!$B$15,'Paramètres (1)'!$A$1:$I$88,7,0))</f>
        <v>#REF!</v>
      </c>
      <c r="EU163" s="135" t="str">
        <f t="shared" si="74"/>
        <v>#REF!</v>
      </c>
      <c r="EV163" s="142" t="str">
        <f>EXP(-LN(2)/35)*EV162+(1-EXP(-LN(2)/35))/(LN(2)/35)*ER163*ES163*VLOOKUP('Données projet (1)'!$B$15,'Paramètres (1)'!$A$1:$I$88,3,0)*0.475*44/12</f>
        <v>#REF!</v>
      </c>
      <c r="EW163" s="142" t="str">
        <f>EXP(-LN(2)/25)*EW162+(1-EXP(-LN(2)/25))/(LN(2)/25)*'Calculateur (1)'!ER163*'Calculateur (1)'!ET163*VLOOKUP('Données projet (1)'!$B$15,'Paramètres (1)'!$A$1:$I$88,3,0)*0.475*44/12</f>
        <v>#REF!</v>
      </c>
      <c r="EX163" s="142" t="str">
        <f>EXP(-LN(2)/2)*EX162+(1-EXP(-LN(2)/2))/(LN(2)/2)*ER163*EU163*VLOOKUP('Données projet (1)'!$B$15,'Paramètres (1)'!$A$1:$I$88,3,0)*0.475*44/12</f>
        <v>#REF!</v>
      </c>
      <c r="EY163" s="143" t="str">
        <f t="shared" si="75"/>
        <v>#REF!</v>
      </c>
      <c r="EZ163" s="139" t="str">
        <f t="shared" si="76"/>
        <v>#REF!</v>
      </c>
      <c r="FA163" s="131">
        <f t="shared" si="77"/>
        <v>10</v>
      </c>
      <c r="FB163" s="131" t="str">
        <f t="shared" si="136"/>
        <v>#REF!</v>
      </c>
      <c r="FC163" s="131" t="str">
        <f t="shared" si="78"/>
        <v>#REF!</v>
      </c>
      <c r="FD163" s="131" t="str">
        <f t="array" ref="FD163">INDEX(FC:FC,MIN(IF(ISNUMBER(FC163:FC359),ROW(FC163:FC359),"")))</f>
        <v/>
      </c>
      <c r="FE163" s="131" t="str">
        <f t="shared" si="137"/>
        <v>#REF!</v>
      </c>
      <c r="FF163" s="138" t="str">
        <f>FE163*VLOOKUP('Données projet (1)'!$B$16,'Paramètres (1)'!$A$1:$I$88,3,0)*VLOOKUP('Données projet (1)'!$B$16,'Paramètres (1)'!$A$1:$I$88,5,0)</f>
        <v>#REF!</v>
      </c>
      <c r="FG163" s="130" t="str">
        <f t="shared" si="138"/>
        <v>#REF!</v>
      </c>
      <c r="FH163" s="141" t="str">
        <f t="shared" si="79"/>
        <v>#REF!</v>
      </c>
      <c r="FI163" s="133" t="str">
        <f t="shared" si="80"/>
        <v>#REF!</v>
      </c>
      <c r="FJ163" s="133" t="str">
        <f t="shared" si="81"/>
        <v>#REF!</v>
      </c>
      <c r="FK163" s="133" t="str">
        <f t="shared" si="139"/>
        <v>#REF!</v>
      </c>
      <c r="FL163" s="134" t="str">
        <f t="shared" si="82"/>
        <v>#REF!</v>
      </c>
      <c r="FM163" s="134" t="str">
        <f t="shared" si="83"/>
        <v>#REF!</v>
      </c>
      <c r="FN163" s="135" t="str">
        <f>IF(ISNA(VLOOKUP(A163,'Données projet (1)'!$A$217:$I$237,5,0)),0%,VLOOKUP(A163,'Données projet (1)'!$A$217:$I$237,5,0)*VLOOKUP('Données projet (1)'!$B$16,'Paramètres (1)'!$A$1:$I$88,7,0))</f>
        <v>#REF!</v>
      </c>
      <c r="FO163" s="135" t="str">
        <f>IF(ISNA(VLOOKUP(A163,'Données projet (1)'!$A$217:$I$237,6,0)),0%,VLOOKUP(A163,'Données projet (1)'!$A$217:$I$237,6,0)*VLOOKUP('Données projet (1)'!$B$16,'Paramètres (1)'!$A$1:$I$88,7,0))</f>
        <v>#REF!</v>
      </c>
      <c r="FP163" s="135" t="str">
        <f t="shared" si="84"/>
        <v>#REF!</v>
      </c>
      <c r="FQ163" s="142" t="str">
        <f>EXP(-LN(2)/35)*FQ162+(1-EXP(-LN(2)/35))/(LN(2)/35)*FM163*FN163*VLOOKUP('Données projet (1)'!$B$16,'Paramètres (1)'!$A$1:$I$88,3,0)*0.475*44/12</f>
        <v>#REF!</v>
      </c>
      <c r="FR163" s="142" t="str">
        <f>EXP(-LN(2)/25)*FR162+(1-EXP(-LN(2)/25))/(LN(2)/25)*'Calculateur (1)'!FM163*'Calculateur (1)'!FO163*VLOOKUP('Données projet (1)'!$B$16,'Paramètres (1)'!$A$1:$I$88,3,0)*0.475*44/12</f>
        <v>#REF!</v>
      </c>
      <c r="FS163" s="142" t="str">
        <f>EXP(-LN(2)/2)*FS162+(1-EXP(-LN(2)/2))/(LN(2)/2)*FM163*FP163*VLOOKUP('Données projet (1)'!$B$16,'Paramètres (1)'!$A$1:$I$88,3,0)*0.475*44/12</f>
        <v>#REF!</v>
      </c>
      <c r="FT163" s="143" t="str">
        <f t="shared" si="85"/>
        <v>#REF!</v>
      </c>
      <c r="FU163" s="139" t="str">
        <f t="shared" si="86"/>
        <v>#REF!</v>
      </c>
      <c r="FV163" s="131">
        <f t="shared" si="87"/>
        <v>10</v>
      </c>
      <c r="FW163" s="131" t="str">
        <f t="shared" si="140"/>
        <v>#REF!</v>
      </c>
      <c r="FX163" s="131" t="str">
        <f t="shared" si="88"/>
        <v>#REF!</v>
      </c>
      <c r="FY163" s="131" t="str">
        <f t="array" ref="FY163">INDEX(FX:FX,MIN(IF(ISNUMBER(FX163:FX359),ROW(FX163:FX359),"")))</f>
        <v/>
      </c>
      <c r="FZ163" s="131" t="str">
        <f t="shared" si="141"/>
        <v>#REF!</v>
      </c>
      <c r="GA163" s="138" t="str">
        <f>FZ163*VLOOKUP('Données projet (1)'!$B$17,'Paramètres (1)'!$A$1:$I$88,3,0)*VLOOKUP('Données projet (1)'!$B$17,'Paramètres (1)'!$A$1:$I$88,5,0)</f>
        <v>#REF!</v>
      </c>
      <c r="GB163" s="130" t="str">
        <f t="shared" si="142"/>
        <v>#REF!</v>
      </c>
      <c r="GC163" s="141" t="str">
        <f t="shared" si="89"/>
        <v>#REF!</v>
      </c>
      <c r="GD163" s="133" t="str">
        <f t="shared" si="90"/>
        <v>#REF!</v>
      </c>
      <c r="GE163" s="133" t="str">
        <f t="shared" si="91"/>
        <v>#REF!</v>
      </c>
      <c r="GF163" s="133" t="str">
        <f t="shared" si="143"/>
        <v>#REF!</v>
      </c>
      <c r="GG163" s="134" t="str">
        <f t="shared" si="92"/>
        <v>#REF!</v>
      </c>
      <c r="GH163" s="134" t="str">
        <f t="shared" si="93"/>
        <v>#REF!</v>
      </c>
      <c r="GI163" s="135" t="str">
        <f>IF(ISNA(VLOOKUP(A163,'Données projet (1)'!$A$243:$I$263,5,0)),0%,VLOOKUP(A163,'Données projet (1)'!$A$243:$I$263,5,0)*VLOOKUP('Données projet (1)'!$B$17,'Paramètres (1)'!$A$1:$I$88,7,0))</f>
        <v>#REF!</v>
      </c>
      <c r="GJ163" s="135" t="str">
        <f>IF(ISNA(VLOOKUP(A163,'Données projet (1)'!$A$243:$I$263,6,0)),0%,VLOOKUP(A163,'Données projet (1)'!$A$243:$I$263,6,0)*VLOOKUP('Données projet (1)'!$B$17,'Paramètres (1)'!$A$1:$I$88,7,0))</f>
        <v>#REF!</v>
      </c>
      <c r="GK163" s="135" t="str">
        <f t="shared" si="94"/>
        <v>#REF!</v>
      </c>
      <c r="GL163" s="142" t="str">
        <f>EXP(-LN(2)/35)*GL162+(1-EXP(-LN(2)/35))/(LN(2)/35)*GH163*GI163*VLOOKUP('Données projet (1)'!$B$17,'Paramètres (1)'!$A$1:$I$88,3,0)*0.475*44/12</f>
        <v>#REF!</v>
      </c>
      <c r="GM163" s="142" t="str">
        <f>EXP(-LN(2)/25)*GM162+(1-EXP(-LN(2)/25))/(LN(2)/25)*'Calculateur (1)'!GH163*'Calculateur (1)'!GJ163*VLOOKUP('Données projet (1)'!$B$17,'Paramètres (1)'!$A$1:$I$88,3,0)*0.475*44/12</f>
        <v>#REF!</v>
      </c>
      <c r="GN163" s="142" t="str">
        <f>EXP(-LN(2)/2)*GN162+(1-EXP(-LN(2)/2))/(LN(2)/2)*GH163*GK163*VLOOKUP('Données projet (1)'!$B$17,'Paramètres (1)'!$A$1:$I$88,3,0)*0.475*44/12</f>
        <v>#REF!</v>
      </c>
      <c r="GO163" s="142" t="str">
        <f t="shared" si="95"/>
        <v>#REF!</v>
      </c>
      <c r="GP163" s="139" t="str">
        <f t="shared" si="96"/>
        <v>#REF!</v>
      </c>
      <c r="GQ163" s="131">
        <f t="shared" si="97"/>
        <v>10</v>
      </c>
      <c r="GR163" s="131" t="str">
        <f t="shared" si="144"/>
        <v>#REF!</v>
      </c>
      <c r="GS163" s="131" t="str">
        <f t="shared" si="98"/>
        <v>#REF!</v>
      </c>
      <c r="GT163" s="131" t="str">
        <f t="array" ref="GT163">INDEX(GS:GS,MIN(IF(ISNUMBER(GS163:GS359),ROW(GS163:GS359),"")))</f>
        <v/>
      </c>
      <c r="GU163" s="131" t="str">
        <f t="shared" si="145"/>
        <v>#REF!</v>
      </c>
      <c r="GV163" s="138" t="str">
        <f>GU163*VLOOKUP('Données projet (1)'!$B$18,'Paramètres (1)'!$A$1:$I$88,3,0)*VLOOKUP('Données projet (1)'!$B$18,'Paramètres (1)'!$A$1:$I$88,5,0)</f>
        <v>#REF!</v>
      </c>
      <c r="GW163" s="130" t="str">
        <f t="shared" si="146"/>
        <v>#REF!</v>
      </c>
      <c r="GX163" s="141" t="str">
        <f t="shared" si="99"/>
        <v>#REF!</v>
      </c>
      <c r="GY163" s="133" t="str">
        <f t="shared" si="100"/>
        <v>#REF!</v>
      </c>
      <c r="GZ163" s="133" t="str">
        <f t="shared" si="101"/>
        <v>#REF!</v>
      </c>
      <c r="HA163" s="133" t="str">
        <f t="shared" si="147"/>
        <v>#REF!</v>
      </c>
      <c r="HB163" s="134" t="str">
        <f t="shared" si="102"/>
        <v>#REF!</v>
      </c>
      <c r="HC163" s="134" t="str">
        <f t="shared" si="103"/>
        <v>#REF!</v>
      </c>
      <c r="HD163" s="135" t="str">
        <f>IF(ISNA(VLOOKUP(A163,'Données projet (1)'!$A$269:$I$289,5,0)),0%,VLOOKUP(A163,'Données projet (1)'!$A$269:$I$289,5,0)*VLOOKUP('Données projet (1)'!$B$18,'Paramètres (1)'!$A$1:$I$88,7,0))</f>
        <v>#REF!</v>
      </c>
      <c r="HE163" s="135" t="str">
        <f>IF(ISNA(VLOOKUP(A163,'Données projet (1)'!$A$269:$I$289,6,0)),0%,VLOOKUP(A163,'Données projet (1)'!$A$269:$I$289,6,0)*VLOOKUP('Données projet (1)'!$B$18,'Paramètres (1)'!$A$1:$I$88,7,0))</f>
        <v>#REF!</v>
      </c>
      <c r="HF163" s="135" t="str">
        <f t="shared" si="104"/>
        <v>#REF!</v>
      </c>
      <c r="HG163" s="142" t="str">
        <f>EXP(-LN(2)/35)*HG162+(1-EXP(-LN(2)/35))/(LN(2)/35)*HC163*HD163*VLOOKUP('Données projet (1)'!$B$18,'Paramètres (1)'!$A$1:$I$88,3,0)*0.475*44/12</f>
        <v>#REF!</v>
      </c>
      <c r="HH163" s="142" t="str">
        <f>EXP(-LN(2)/25)*HH162+(1-EXP(-LN(2)/25))/(LN(2)/25)*'Calculateur (1)'!HC163*'Calculateur (1)'!HE163*VLOOKUP('Données projet (1)'!$B$18,'Paramètres (1)'!$A$1:$I$88,3,0)*0.475*44/12</f>
        <v>#REF!</v>
      </c>
      <c r="HI163" s="142" t="str">
        <f>EXP(-LN(2)/2)*HI162+(1-EXP(-LN(2)/2))/(LN(2)/2)*HC163*HF163*VLOOKUP('Données projet (1)'!$B$18,'Paramètres (1)'!$A$1:$I$88,3,0)*0.475*44/12</f>
        <v>#REF!</v>
      </c>
      <c r="HJ163" s="143" t="str">
        <f t="shared" si="105"/>
        <v>#REF!</v>
      </c>
    </row>
    <row r="164" ht="14.25" customHeight="1">
      <c r="A164" s="125">
        <f t="shared" si="106"/>
        <v>161</v>
      </c>
      <c r="B164" s="126" t="str">
        <f t="shared" si="1"/>
        <v>#REF!</v>
      </c>
      <c r="C164" s="140" t="str">
        <f>'Calculateur (1)'!C163+'Scénario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4" s="127">
        <f t="shared" si="107"/>
        <v>0</v>
      </c>
      <c r="E164" s="127" t="str">
        <f t="shared" si="2"/>
        <v>#REF!</v>
      </c>
      <c r="F164" s="127" t="str">
        <f t="shared" si="3"/>
        <v>#REF!</v>
      </c>
      <c r="G164" s="127" t="str">
        <f t="shared" si="4"/>
        <v>#REF!</v>
      </c>
      <c r="H164" s="128" t="str">
        <f t="shared" si="5"/>
        <v>#REF!</v>
      </c>
      <c r="I164" s="129" t="str">
        <f t="shared" si="6"/>
        <v>#REF!</v>
      </c>
      <c r="J164" s="130">
        <f t="shared" si="7"/>
        <v>10</v>
      </c>
      <c r="K164" s="131" t="str">
        <f t="shared" si="108"/>
        <v>#REF!</v>
      </c>
      <c r="L164" s="131" t="str">
        <f t="shared" si="8"/>
        <v>#REF!</v>
      </c>
      <c r="M164" s="131" t="str">
        <f t="array" ref="M164">INDEX(L:L,MIN(IF(ISNUMBER(L164:L360),ROW(L164:L360),"")))</f>
        <v/>
      </c>
      <c r="N164" s="130" t="str">
        <f t="shared" si="109"/>
        <v>#REF!</v>
      </c>
      <c r="O164" s="130" t="str">
        <f>N164*VLOOKUP('Données projet (1)'!$B$9,'Paramètres (1)'!$A$1:$I$88,3,0)*VLOOKUP('Données projet (1)'!$B$9,'Paramètres (1)'!$A$1:$I$88,5,0)</f>
        <v>#REF!</v>
      </c>
      <c r="P164" s="130" t="str">
        <f t="shared" si="110"/>
        <v>#REF!</v>
      </c>
      <c r="Q164" s="141" t="str">
        <f t="shared" si="9"/>
        <v>#REF!</v>
      </c>
      <c r="R164" s="133" t="str">
        <f t="shared" si="10"/>
        <v>#REF!</v>
      </c>
      <c r="S164" s="133" t="str">
        <f t="shared" si="11"/>
        <v>#REF!</v>
      </c>
      <c r="T164" s="133" t="str">
        <f t="shared" si="111"/>
        <v>#REF!</v>
      </c>
      <c r="U164" s="134" t="str">
        <f t="shared" si="12"/>
        <v>#REF!</v>
      </c>
      <c r="V164" s="134" t="str">
        <f t="shared" si="13"/>
        <v>#REF!</v>
      </c>
      <c r="W164" s="135" t="str">
        <f>IF(ISNA(VLOOKUP(A164,'Données projet (1)'!$A$35:$I$55,5,0)),0%,VLOOKUP(A164,'Données projet (1)'!$A$35:$I$55,5,0)*VLOOKUP('Données projet (1)'!$B$9,'Paramètres (1)'!$A$1:$I$88,7,0))</f>
        <v>#REF!</v>
      </c>
      <c r="X164" s="135" t="str">
        <f>IF(ISNA(VLOOKUP(A164,'Données projet (1)'!$A$35:$I$55,6,0)),0%,VLOOKUP(A164,'Données projet (1)'!$A$35:$I$55,6,0)*VLOOKUP('Données projet (1)'!$B$9,'Paramètres (1)'!$A$1:$I$88,7,0))</f>
        <v>#REF!</v>
      </c>
      <c r="Y164" s="135" t="str">
        <f t="shared" si="14"/>
        <v>#REF!</v>
      </c>
      <c r="Z164" s="142" t="str">
        <f>EXP(-LN(2)/35)*Z163+(1-EXP(-LN(2)/35))/(LN(2)/35)*V164*W164*VLOOKUP('Données projet (1)'!$B$9,'Paramètres (1)'!$A$1:$I$88,3,0)*0.475*44/12</f>
        <v>#REF!</v>
      </c>
      <c r="AA164" s="142" t="str">
        <f>EXP(-LN(2)/25)*AA163+(1-EXP(-LN(2)/25))/(LN(2)/25)*'Calculateur (1)'!V164*'Calculateur (1)'!X164*VLOOKUP('Données projet (1)'!$B$9,'Paramètres (1)'!$A$1:$I$88,3,0)*0.475*44/12</f>
        <v>#REF!</v>
      </c>
      <c r="AB164" s="142" t="str">
        <f>EXP(-LN(2)/2)*AB163+(1-EXP(-LN(2)/2))/(LN(2)/2)*V164*Y164*VLOOKUP('Données projet (1)'!$B$9,'Paramètres (1)'!$A$1:$I$88,3,0)*0.475*44/12</f>
        <v>#REF!</v>
      </c>
      <c r="AC164" s="143" t="str">
        <f t="shared" si="15"/>
        <v>#REF!</v>
      </c>
      <c r="AD164" s="130" t="str">
        <f t="shared" si="16"/>
        <v>#REF!</v>
      </c>
      <c r="AE164" s="130">
        <f t="shared" si="17"/>
        <v>10</v>
      </c>
      <c r="AF164" s="131" t="str">
        <f t="shared" si="112"/>
        <v>#REF!</v>
      </c>
      <c r="AG164" s="131" t="str">
        <f t="shared" si="18"/>
        <v>#REF!</v>
      </c>
      <c r="AH164" s="131" t="str">
        <f t="array" ref="AH164">INDEX(AG:AG,MIN(IF(ISNUMBER(AG164:AG360),ROW(AG164:AG360),"")))</f>
        <v/>
      </c>
      <c r="AI164" s="130" t="str">
        <f t="shared" si="113"/>
        <v>#REF!</v>
      </c>
      <c r="AJ164" s="130" t="str">
        <f>AI164*VLOOKUP('Données projet (1)'!$B$10,'Paramètres (1)'!$A$1:$I$88,3,0)*VLOOKUP('Données projet (1)'!$B$10,'Paramètres (1)'!$A$1:$I$88,5,0)</f>
        <v>#REF!</v>
      </c>
      <c r="AK164" s="130" t="str">
        <f t="shared" si="114"/>
        <v>#REF!</v>
      </c>
      <c r="AL164" s="141" t="str">
        <f t="shared" si="19"/>
        <v>#REF!</v>
      </c>
      <c r="AM164" s="133" t="str">
        <f t="shared" si="20"/>
        <v>#REF!</v>
      </c>
      <c r="AN164" s="133" t="str">
        <f t="shared" si="21"/>
        <v>#REF!</v>
      </c>
      <c r="AO164" s="133" t="str">
        <f t="shared" si="115"/>
        <v>#REF!</v>
      </c>
      <c r="AP164" s="134" t="str">
        <f t="shared" si="22"/>
        <v>#REF!</v>
      </c>
      <c r="AQ164" s="134" t="str">
        <f t="shared" si="23"/>
        <v>#REF!</v>
      </c>
      <c r="AR164" s="135" t="str">
        <f>IF(ISNA(VLOOKUP(A164,'Données projet (1)'!$A$61:$I$81,5,0)),0%,VLOOKUP(A164,'Données projet (1)'!$A$61:$I$81,5,0)*VLOOKUP('Données projet (1)'!$B$10,'Paramètres (1)'!$A$1:$I$88,7,0))</f>
        <v>#REF!</v>
      </c>
      <c r="AS164" s="135" t="str">
        <f>IF(ISNA(VLOOKUP(A164,'Données projet (1)'!$A$61:$I$81,6,0)),0%,VLOOKUP(A164,'Données projet (1)'!$A$61:$I$81,6,0)*VLOOKUP('Données projet (1)'!$B$10,'Paramètres (1)'!$A$1:$I$88,7,0))</f>
        <v>#REF!</v>
      </c>
      <c r="AT164" s="135" t="str">
        <f t="shared" si="24"/>
        <v>#REF!</v>
      </c>
      <c r="AU164" s="142" t="str">
        <f>EXP(-LN(2)/35)*AU163+(1-EXP(-LN(2)/35))/(LN(2)/35)*AQ164*AR164*VLOOKUP('Données projet (1)'!$B$10,'Paramètres (1)'!$A$1:$I$88,3,0)*0.475*44/12</f>
        <v>#REF!</v>
      </c>
      <c r="AV164" s="142" t="str">
        <f>EXP(-LN(2)/25)*AV163+(1-EXP(-LN(2)/25))/(LN(2)/25)*'Calculateur (1)'!AQ164*'Calculateur (1)'!AS164*VLOOKUP('Données projet (1)'!$B$10,'Paramètres (1)'!$A$1:$I$88,3,0)*0.475*44/12</f>
        <v>#REF!</v>
      </c>
      <c r="AW164" s="142" t="str">
        <f>EXP(-LN(2)/2)*AW163+(1-EXP(-LN(2)/2))/(LN(2)/2)*AQ164*AT164*VLOOKUP('Données projet (1)'!$B$10,'Paramètres (1)'!$A$1:$I$88,3,0)*0.475*44/12</f>
        <v>#REF!</v>
      </c>
      <c r="AX164" s="142" t="str">
        <f t="shared" si="25"/>
        <v>#REF!</v>
      </c>
      <c r="AY164" s="137" t="str">
        <f t="shared" si="26"/>
        <v>#REF!</v>
      </c>
      <c r="AZ164" s="131">
        <f t="shared" si="27"/>
        <v>10</v>
      </c>
      <c r="BA164" s="131" t="str">
        <f t="shared" si="116"/>
        <v>#REF!</v>
      </c>
      <c r="BB164" s="131" t="str">
        <f t="shared" si="28"/>
        <v>#REF!</v>
      </c>
      <c r="BC164" s="131" t="str">
        <f t="array" ref="BC164">INDEX(BB:BB,MIN(IF(ISNUMBER(BB164:BB360),ROW(BB164:BB360),"")))</f>
        <v/>
      </c>
      <c r="BD164" s="131" t="str">
        <f t="shared" si="117"/>
        <v>#REF!</v>
      </c>
      <c r="BE164" s="130" t="str">
        <f>BD164*VLOOKUP('Données projet (1)'!$B$11,'Paramètres (1)'!$A$1:$I$88,3,0)*VLOOKUP('Données projet (1)'!$B$11,'Paramètres (1)'!$A$1:$I$88,5,0)</f>
        <v>#REF!</v>
      </c>
      <c r="BF164" s="130" t="str">
        <f t="shared" si="118"/>
        <v>#REF!</v>
      </c>
      <c r="BG164" s="141" t="str">
        <f t="shared" si="29"/>
        <v>#REF!</v>
      </c>
      <c r="BH164" s="133" t="str">
        <f t="shared" si="30"/>
        <v>#REF!</v>
      </c>
      <c r="BI164" s="133" t="str">
        <f t="shared" si="31"/>
        <v>#REF!</v>
      </c>
      <c r="BJ164" s="133" t="str">
        <f t="shared" si="119"/>
        <v>#REF!</v>
      </c>
      <c r="BK164" s="134" t="str">
        <f t="shared" si="32"/>
        <v>#REF!</v>
      </c>
      <c r="BL164" s="134" t="str">
        <f t="shared" si="33"/>
        <v>#REF!</v>
      </c>
      <c r="BM164" s="135" t="str">
        <f>IF(ISNA(VLOOKUP(A164,'Données projet (1)'!$A$87:$I$107,5,0)),0%,VLOOKUP(A164,'Données projet (1)'!$A$87:$I$107,5,0)*VLOOKUP('Données projet (1)'!$B$11,'Paramètres (1)'!$A$1:$I$88,7,0))</f>
        <v>#REF!</v>
      </c>
      <c r="BN164" s="135" t="str">
        <f>IF(ISNA(VLOOKUP(A164,'Données projet (1)'!$A$87:$I$107,6,0)),0%,VLOOKUP(A164,'Données projet (1)'!$A$87:$I$107,6,0)*VLOOKUP('Données projet (1)'!$B$11,'Paramètres (1)'!$A$1:$I$88,7,0))</f>
        <v>#REF!</v>
      </c>
      <c r="BO164" s="135" t="str">
        <f t="shared" si="34"/>
        <v>#REF!</v>
      </c>
      <c r="BP164" s="142" t="str">
        <f>EXP(-LN(2)/35)*BP163+(1-EXP(-LN(2)/35))/(LN(2)/35)*BL164*BM164*VLOOKUP('Données projet (1)'!$B$11,'Paramètres (1)'!$A$1:$I$88,3,0)*0.475*44/12</f>
        <v>#REF!</v>
      </c>
      <c r="BQ164" s="142" t="str">
        <f>EXP(-LN(2)/25)*BQ163+(1-EXP(-LN(2)/25))/(LN(2)/25)*'Calculateur (1)'!BL164*'Calculateur (1)'!BN164*VLOOKUP('Données projet (1)'!$B$11,'Paramètres (1)'!$A$1:$I$88,3,0)*0.475*44/12</f>
        <v>#REF!</v>
      </c>
      <c r="BR164" s="142" t="str">
        <f>EXP(-LN(2)/2)*BR163+(1-EXP(-LN(2)/2))/(LN(2)/2)*BL164*BO164*VLOOKUP('Données projet (1)'!$B$11,'Paramètres (1)'!$A$1:$I$88,3,0)*0.475*44/12</f>
        <v>#REF!</v>
      </c>
      <c r="BS164" s="143" t="str">
        <f t="shared" si="35"/>
        <v>#REF!</v>
      </c>
      <c r="BT164" s="139" t="str">
        <f t="shared" si="36"/>
        <v>#REF!</v>
      </c>
      <c r="BU164" s="131">
        <f t="shared" si="37"/>
        <v>10</v>
      </c>
      <c r="BV164" s="131" t="str">
        <f t="shared" si="120"/>
        <v>#REF!</v>
      </c>
      <c r="BW164" s="131" t="str">
        <f t="shared" si="38"/>
        <v>#REF!</v>
      </c>
      <c r="BX164" s="131" t="str">
        <f t="array" ref="BX164">INDEX(BW:BW,MIN(IF(ISNUMBER(BW164:BW360),ROW(BW164:BW360),"")))</f>
        <v/>
      </c>
      <c r="BY164" s="131" t="str">
        <f t="shared" si="121"/>
        <v>#REF!</v>
      </c>
      <c r="BZ164" s="130" t="str">
        <f>BY164*VLOOKUP('Données projet (1)'!$B$12,'Paramètres (1)'!$A$1:$I$88,3,0)*VLOOKUP('Données projet (1)'!$B$12,'Paramètres (1)'!$A$1:$I$88,5,0)</f>
        <v>#REF!</v>
      </c>
      <c r="CA164" s="130" t="str">
        <f t="shared" si="122"/>
        <v>#REF!</v>
      </c>
      <c r="CB164" s="141" t="str">
        <f t="shared" si="39"/>
        <v>#REF!</v>
      </c>
      <c r="CC164" s="133" t="str">
        <f t="shared" si="40"/>
        <v>#REF!</v>
      </c>
      <c r="CD164" s="133" t="str">
        <f t="shared" si="41"/>
        <v>#REF!</v>
      </c>
      <c r="CE164" s="133" t="str">
        <f t="shared" si="123"/>
        <v>#REF!</v>
      </c>
      <c r="CF164" s="134" t="str">
        <f t="shared" si="42"/>
        <v>#REF!</v>
      </c>
      <c r="CG164" s="134" t="str">
        <f t="shared" si="43"/>
        <v>#REF!</v>
      </c>
      <c r="CH164" s="135" t="str">
        <f>IF(ISNA(VLOOKUP(A164,'Données projet (1)'!$A$113:$I$133,5,0)),0%,VLOOKUP(A164,'Données projet (1)'!$A$113:$I$133,5,0)*VLOOKUP('Données projet (1)'!$B$12,'Paramètres (1)'!$A$1:$I$88,7,0))</f>
        <v>#REF!</v>
      </c>
      <c r="CI164" s="135" t="str">
        <f>IF(ISNA(VLOOKUP(A164,'Données projet (1)'!$A$113:$I$133,6,0)),0%,VLOOKUP(A164,'Données projet (1)'!$A$113:$I$133,6,0)*VLOOKUP('Données projet (1)'!$B$12,'Paramètres (1)'!$A$1:$I$88,7,0))</f>
        <v>#REF!</v>
      </c>
      <c r="CJ164" s="135" t="str">
        <f t="shared" si="44"/>
        <v>#REF!</v>
      </c>
      <c r="CK164" s="142" t="str">
        <f>EXP(-LN(2)/35)*CK163+(1-EXP(-LN(2)/35))/(LN(2)/35)*CG164*CH164*VLOOKUP('Données projet (1)'!$B$12,'Paramètres (1)'!$A$1:$I$88,3,0)*0.475*44/12</f>
        <v>#REF!</v>
      </c>
      <c r="CL164" s="142" t="str">
        <f>EXP(-LN(2)/25)*CL163+(1-EXP(-LN(2)/25))/(LN(2)/25)*'Calculateur (1)'!CG164*'Calculateur (1)'!CI164*VLOOKUP('Données projet (1)'!$B$12,'Paramètres (1)'!$A$1:$I$88,3,0)*0.475*44/12</f>
        <v>#REF!</v>
      </c>
      <c r="CM164" s="142" t="str">
        <f>EXP(-LN(2)/2)*CM163+(1-EXP(-LN(2)/2))/(LN(2)/2)*CG164*CJ164*VLOOKUP('Données projet (1)'!$B$12,'Paramètres (1)'!$A$1:$I$88,3,0)*0.475*44/12</f>
        <v>#REF!</v>
      </c>
      <c r="CN164" s="143" t="str">
        <f t="shared" si="45"/>
        <v>#REF!</v>
      </c>
      <c r="CO164" s="139" t="str">
        <f t="shared" si="46"/>
        <v>#REF!</v>
      </c>
      <c r="CP164" s="131">
        <f t="shared" si="47"/>
        <v>10</v>
      </c>
      <c r="CQ164" s="131" t="str">
        <f t="shared" si="124"/>
        <v>#REF!</v>
      </c>
      <c r="CR164" s="131" t="str">
        <f t="shared" si="48"/>
        <v>#REF!</v>
      </c>
      <c r="CS164" s="131" t="str">
        <f t="array" ref="CS164">INDEX(CR:CR,MIN(IF(ISNUMBER(CR164:CR360),ROW(CR164:CR360),"")))</f>
        <v/>
      </c>
      <c r="CT164" s="131" t="str">
        <f t="shared" si="125"/>
        <v>#REF!</v>
      </c>
      <c r="CU164" s="138" t="str">
        <f>CT164*VLOOKUP('Données projet (1)'!$B$13,'Paramètres (1)'!$A$1:$I$88,3,0)*VLOOKUP('Données projet (1)'!$B$13,'Paramètres (1)'!$A$1:$I$88,5,0)</f>
        <v>#REF!</v>
      </c>
      <c r="CV164" s="130" t="str">
        <f t="shared" si="126"/>
        <v>#REF!</v>
      </c>
      <c r="CW164" s="141" t="str">
        <f t="shared" si="49"/>
        <v>#REF!</v>
      </c>
      <c r="CX164" s="133" t="str">
        <f t="shared" si="50"/>
        <v>#REF!</v>
      </c>
      <c r="CY164" s="133" t="str">
        <f t="shared" si="51"/>
        <v>#REF!</v>
      </c>
      <c r="CZ164" s="133" t="str">
        <f t="shared" si="127"/>
        <v>#REF!</v>
      </c>
      <c r="DA164" s="134" t="str">
        <f t="shared" si="52"/>
        <v>#REF!</v>
      </c>
      <c r="DB164" s="134" t="str">
        <f t="shared" si="53"/>
        <v>#REF!</v>
      </c>
      <c r="DC164" s="135" t="str">
        <f>IF(ISNA(VLOOKUP(A164,'Données projet (1)'!$A$139:$I$159,5,0)),0%,VLOOKUP(A164,'Données projet (1)'!$A$139:$I$159,5,0)*VLOOKUP('Données projet (1)'!$B$13,'Paramètres (1)'!$A$1:$I$88,7,0))</f>
        <v>#REF!</v>
      </c>
      <c r="DD164" s="135" t="str">
        <f>IF(ISNA(VLOOKUP(A164,'Données projet (1)'!$A$139:$I$159,6,0)),0%,VLOOKUP(A164,'Données projet (1)'!$A$139:$I$159,6,0)*VLOOKUP('Données projet (1)'!$B$13,'Paramètres (1)'!$A$1:$I$88,7,0))</f>
        <v>#REF!</v>
      </c>
      <c r="DE164" s="135" t="str">
        <f t="shared" si="54"/>
        <v>#REF!</v>
      </c>
      <c r="DF164" s="142" t="str">
        <f>EXP(-LN(2)/35)*DF163+(1-EXP(-LN(2)/35))/(LN(2)/35)*DB164*DC164*VLOOKUP('Données projet (1)'!$B$13,'Paramètres (1)'!$A$1:$I$88,3,0)*0.475*44/12</f>
        <v>#REF!</v>
      </c>
      <c r="DG164" s="142" t="str">
        <f>EXP(-LN(2)/25)*DG163+(1-EXP(-LN(2)/25))/(LN(2)/25)*'Calculateur (1)'!DB164*'Calculateur (1)'!DD164*VLOOKUP('Données projet (1)'!$B$13,'Paramètres (1)'!$A$1:$I$88,3,0)*0.475*44/12</f>
        <v>#REF!</v>
      </c>
      <c r="DH164" s="142" t="str">
        <f>EXP(-LN(2)/2)*DH163+(1-EXP(-LN(2)/2))/(LN(2)/2)*DB164*DE164*VLOOKUP('Données projet (1)'!$B$13,'Paramètres (1)'!$A$1:$I$88,3,0)*0.475*44/12</f>
        <v>#REF!</v>
      </c>
      <c r="DI164" s="143" t="str">
        <f t="shared" si="55"/>
        <v>#REF!</v>
      </c>
      <c r="DJ164" s="139" t="str">
        <f t="shared" si="56"/>
        <v>#REF!</v>
      </c>
      <c r="DK164" s="131">
        <f t="shared" si="57"/>
        <v>10</v>
      </c>
      <c r="DL164" s="131" t="str">
        <f t="shared" si="128"/>
        <v>#REF!</v>
      </c>
      <c r="DM164" s="131" t="str">
        <f t="shared" si="58"/>
        <v>#REF!</v>
      </c>
      <c r="DN164" s="131" t="str">
        <f t="array" ref="DN164">INDEX(DM:DM,MIN(IF(ISNUMBER(DM164:DM360),ROW(DM164:DM360),"")))</f>
        <v/>
      </c>
      <c r="DO164" s="131" t="str">
        <f t="shared" si="129"/>
        <v>#REF!</v>
      </c>
      <c r="DP164" s="138" t="str">
        <f>DO164*VLOOKUP('Données projet (1)'!$B$14,'Paramètres (1)'!$A$1:$I$88,3,0)*VLOOKUP('Données projet (1)'!$B$14,'Paramètres (1)'!$A$1:$I$88,5,0)</f>
        <v>#REF!</v>
      </c>
      <c r="DQ164" s="130" t="str">
        <f t="shared" si="130"/>
        <v>#REF!</v>
      </c>
      <c r="DR164" s="141" t="str">
        <f t="shared" si="59"/>
        <v>#REF!</v>
      </c>
      <c r="DS164" s="133" t="str">
        <f t="shared" si="60"/>
        <v>#REF!</v>
      </c>
      <c r="DT164" s="133" t="str">
        <f t="shared" si="61"/>
        <v>#REF!</v>
      </c>
      <c r="DU164" s="133" t="str">
        <f t="shared" si="131"/>
        <v>#REF!</v>
      </c>
      <c r="DV164" s="134" t="str">
        <f t="shared" si="62"/>
        <v>#REF!</v>
      </c>
      <c r="DW164" s="134" t="str">
        <f t="shared" si="63"/>
        <v>#REF!</v>
      </c>
      <c r="DX164" s="135" t="str">
        <f>IF(ISNA(VLOOKUP(A164,'Données projet (1)'!$A$165:$I$185,5,0)),0%,VLOOKUP(A164,'Données projet (1)'!$A$165:$I$185,5,0)*VLOOKUP('Données projet (1)'!$B$14,'Paramètres (1)'!$A$1:$I$88,7,0))</f>
        <v>#REF!</v>
      </c>
      <c r="DY164" s="135" t="str">
        <f>IF(ISNA(VLOOKUP(A164,'Données projet (1)'!$A$165:$I$185,6,0)),0%,VLOOKUP(A164,'Données projet (1)'!$A$165:$I$185,6,0)*VLOOKUP('Données projet (1)'!$B$14,'Paramètres (1)'!$A$1:$I$88,7,0))</f>
        <v>#REF!</v>
      </c>
      <c r="DZ164" s="135" t="str">
        <f t="shared" si="64"/>
        <v>#REF!</v>
      </c>
      <c r="EA164" s="142" t="str">
        <f>EXP(-LN(2)/35)*EA163+(1-EXP(-LN(2)/35))/(LN(2)/35)*DW164*DX164*VLOOKUP('Données projet (1)'!$B$14,'Paramètres (1)'!$A$1:$I$88,3,0)*0.475*44/12</f>
        <v>#REF!</v>
      </c>
      <c r="EB164" s="142" t="str">
        <f>EXP(-LN(2)/25)*EB163+(1-EXP(-LN(2)/25))/(LN(2)/25)*'Calculateur (1)'!DW164*'Calculateur (1)'!DY164*VLOOKUP('Données projet (1)'!$B$14,'Paramètres (1)'!$A$1:$I$88,3,0)*0.475*44/12</f>
        <v>#REF!</v>
      </c>
      <c r="EC164" s="142" t="str">
        <f>EXP(-LN(2)/2)*EC163+(1-EXP(-LN(2)/2))/(LN(2)/2)*DW164*DZ164*VLOOKUP('Données projet (1)'!$B$14,'Paramètres (1)'!$A$1:$I$88,3,0)*0.475*44/12</f>
        <v>#REF!</v>
      </c>
      <c r="ED164" s="143" t="str">
        <f t="shared" si="65"/>
        <v>#REF!</v>
      </c>
      <c r="EE164" s="139" t="str">
        <f t="shared" si="66"/>
        <v>#REF!</v>
      </c>
      <c r="EF164" s="131">
        <f t="shared" si="67"/>
        <v>10</v>
      </c>
      <c r="EG164" s="131" t="str">
        <f t="shared" si="132"/>
        <v>#REF!</v>
      </c>
      <c r="EH164" s="131" t="str">
        <f t="shared" si="68"/>
        <v>#REF!</v>
      </c>
      <c r="EI164" s="131" t="str">
        <f t="array" ref="EI164">INDEX(EH:EH,MIN(IF(ISNUMBER(EH164:EH360),ROW(EH164:EH360),"")))</f>
        <v/>
      </c>
      <c r="EJ164" s="131" t="str">
        <f t="shared" si="133"/>
        <v>#REF!</v>
      </c>
      <c r="EK164" s="138" t="str">
        <f>EJ164*VLOOKUP('Données projet (1)'!$B$15,'Paramètres (1)'!$A$1:$I$88,3,0)*VLOOKUP('Données projet (1)'!$B$15,'Paramètres (1)'!$A$1:$I$88,5,0)</f>
        <v>#REF!</v>
      </c>
      <c r="EL164" s="130" t="str">
        <f t="shared" si="134"/>
        <v>#REF!</v>
      </c>
      <c r="EM164" s="141" t="str">
        <f t="shared" si="69"/>
        <v>#REF!</v>
      </c>
      <c r="EN164" s="133" t="str">
        <f t="shared" si="70"/>
        <v>#REF!</v>
      </c>
      <c r="EO164" s="133" t="str">
        <f t="shared" si="71"/>
        <v>#REF!</v>
      </c>
      <c r="EP164" s="133" t="str">
        <f t="shared" si="135"/>
        <v>#REF!</v>
      </c>
      <c r="EQ164" s="134" t="str">
        <f t="shared" si="72"/>
        <v>#REF!</v>
      </c>
      <c r="ER164" s="134" t="str">
        <f t="shared" si="73"/>
        <v>#REF!</v>
      </c>
      <c r="ES164" s="135" t="str">
        <f>IF(ISNA(VLOOKUP(A164,'Données projet (1)'!$A$191:$I$211,5,0)),0%,VLOOKUP(A164,'Données projet (1)'!$A$191:$I$211,5,0)*VLOOKUP('Données projet (1)'!$B$15,'Paramètres (1)'!$A$1:$I$88,7,0))</f>
        <v>#REF!</v>
      </c>
      <c r="ET164" s="135" t="str">
        <f>IF(ISNA(VLOOKUP(A164,'Données projet (1)'!$A$191:$I$211,6,0)),0%,VLOOKUP(A164,'Données projet (1)'!$A$191:$I$211,6,0)*VLOOKUP('Données projet (1)'!$B$15,'Paramètres (1)'!$A$1:$I$88,7,0))</f>
        <v>#REF!</v>
      </c>
      <c r="EU164" s="135" t="str">
        <f t="shared" si="74"/>
        <v>#REF!</v>
      </c>
      <c r="EV164" s="142" t="str">
        <f>EXP(-LN(2)/35)*EV163+(1-EXP(-LN(2)/35))/(LN(2)/35)*ER164*ES164*VLOOKUP('Données projet (1)'!$B$15,'Paramètres (1)'!$A$1:$I$88,3,0)*0.475*44/12</f>
        <v>#REF!</v>
      </c>
      <c r="EW164" s="142" t="str">
        <f>EXP(-LN(2)/25)*EW163+(1-EXP(-LN(2)/25))/(LN(2)/25)*'Calculateur (1)'!ER164*'Calculateur (1)'!ET164*VLOOKUP('Données projet (1)'!$B$15,'Paramètres (1)'!$A$1:$I$88,3,0)*0.475*44/12</f>
        <v>#REF!</v>
      </c>
      <c r="EX164" s="142" t="str">
        <f>EXP(-LN(2)/2)*EX163+(1-EXP(-LN(2)/2))/(LN(2)/2)*ER164*EU164*VLOOKUP('Données projet (1)'!$B$15,'Paramètres (1)'!$A$1:$I$88,3,0)*0.475*44/12</f>
        <v>#REF!</v>
      </c>
      <c r="EY164" s="143" t="str">
        <f t="shared" si="75"/>
        <v>#REF!</v>
      </c>
      <c r="EZ164" s="139" t="str">
        <f t="shared" si="76"/>
        <v>#REF!</v>
      </c>
      <c r="FA164" s="131">
        <f t="shared" si="77"/>
        <v>10</v>
      </c>
      <c r="FB164" s="131" t="str">
        <f t="shared" si="136"/>
        <v>#REF!</v>
      </c>
      <c r="FC164" s="131" t="str">
        <f t="shared" si="78"/>
        <v>#REF!</v>
      </c>
      <c r="FD164" s="131" t="str">
        <f t="array" ref="FD164">INDEX(FC:FC,MIN(IF(ISNUMBER(FC164:FC360),ROW(FC164:FC360),"")))</f>
        <v/>
      </c>
      <c r="FE164" s="131" t="str">
        <f t="shared" si="137"/>
        <v>#REF!</v>
      </c>
      <c r="FF164" s="138" t="str">
        <f>FE164*VLOOKUP('Données projet (1)'!$B$16,'Paramètres (1)'!$A$1:$I$88,3,0)*VLOOKUP('Données projet (1)'!$B$16,'Paramètres (1)'!$A$1:$I$88,5,0)</f>
        <v>#REF!</v>
      </c>
      <c r="FG164" s="130" t="str">
        <f t="shared" si="138"/>
        <v>#REF!</v>
      </c>
      <c r="FH164" s="141" t="str">
        <f t="shared" si="79"/>
        <v>#REF!</v>
      </c>
      <c r="FI164" s="133" t="str">
        <f t="shared" si="80"/>
        <v>#REF!</v>
      </c>
      <c r="FJ164" s="133" t="str">
        <f t="shared" si="81"/>
        <v>#REF!</v>
      </c>
      <c r="FK164" s="133" t="str">
        <f t="shared" si="139"/>
        <v>#REF!</v>
      </c>
      <c r="FL164" s="134" t="str">
        <f t="shared" si="82"/>
        <v>#REF!</v>
      </c>
      <c r="FM164" s="134" t="str">
        <f t="shared" si="83"/>
        <v>#REF!</v>
      </c>
      <c r="FN164" s="135" t="str">
        <f>IF(ISNA(VLOOKUP(A164,'Données projet (1)'!$A$217:$I$237,5,0)),0%,VLOOKUP(A164,'Données projet (1)'!$A$217:$I$237,5,0)*VLOOKUP('Données projet (1)'!$B$16,'Paramètres (1)'!$A$1:$I$88,7,0))</f>
        <v>#REF!</v>
      </c>
      <c r="FO164" s="135" t="str">
        <f>IF(ISNA(VLOOKUP(A164,'Données projet (1)'!$A$217:$I$237,6,0)),0%,VLOOKUP(A164,'Données projet (1)'!$A$217:$I$237,6,0)*VLOOKUP('Données projet (1)'!$B$16,'Paramètres (1)'!$A$1:$I$88,7,0))</f>
        <v>#REF!</v>
      </c>
      <c r="FP164" s="135" t="str">
        <f t="shared" si="84"/>
        <v>#REF!</v>
      </c>
      <c r="FQ164" s="142" t="str">
        <f>EXP(-LN(2)/35)*FQ163+(1-EXP(-LN(2)/35))/(LN(2)/35)*FM164*FN164*VLOOKUP('Données projet (1)'!$B$16,'Paramètres (1)'!$A$1:$I$88,3,0)*0.475*44/12</f>
        <v>#REF!</v>
      </c>
      <c r="FR164" s="142" t="str">
        <f>EXP(-LN(2)/25)*FR163+(1-EXP(-LN(2)/25))/(LN(2)/25)*'Calculateur (1)'!FM164*'Calculateur (1)'!FO164*VLOOKUP('Données projet (1)'!$B$16,'Paramètres (1)'!$A$1:$I$88,3,0)*0.475*44/12</f>
        <v>#REF!</v>
      </c>
      <c r="FS164" s="142" t="str">
        <f>EXP(-LN(2)/2)*FS163+(1-EXP(-LN(2)/2))/(LN(2)/2)*FM164*FP164*VLOOKUP('Données projet (1)'!$B$16,'Paramètres (1)'!$A$1:$I$88,3,0)*0.475*44/12</f>
        <v>#REF!</v>
      </c>
      <c r="FT164" s="143" t="str">
        <f t="shared" si="85"/>
        <v>#REF!</v>
      </c>
      <c r="FU164" s="139" t="str">
        <f t="shared" si="86"/>
        <v>#REF!</v>
      </c>
      <c r="FV164" s="131">
        <f t="shared" si="87"/>
        <v>10</v>
      </c>
      <c r="FW164" s="131" t="str">
        <f t="shared" si="140"/>
        <v>#REF!</v>
      </c>
      <c r="FX164" s="131" t="str">
        <f t="shared" si="88"/>
        <v>#REF!</v>
      </c>
      <c r="FY164" s="131" t="str">
        <f t="array" ref="FY164">INDEX(FX:FX,MIN(IF(ISNUMBER(FX164:FX360),ROW(FX164:FX360),"")))</f>
        <v/>
      </c>
      <c r="FZ164" s="131" t="str">
        <f t="shared" si="141"/>
        <v>#REF!</v>
      </c>
      <c r="GA164" s="138" t="str">
        <f>FZ164*VLOOKUP('Données projet (1)'!$B$17,'Paramètres (1)'!$A$1:$I$88,3,0)*VLOOKUP('Données projet (1)'!$B$17,'Paramètres (1)'!$A$1:$I$88,5,0)</f>
        <v>#REF!</v>
      </c>
      <c r="GB164" s="130" t="str">
        <f t="shared" si="142"/>
        <v>#REF!</v>
      </c>
      <c r="GC164" s="141" t="str">
        <f t="shared" si="89"/>
        <v>#REF!</v>
      </c>
      <c r="GD164" s="133" t="str">
        <f t="shared" si="90"/>
        <v>#REF!</v>
      </c>
      <c r="GE164" s="133" t="str">
        <f t="shared" si="91"/>
        <v>#REF!</v>
      </c>
      <c r="GF164" s="133" t="str">
        <f t="shared" si="143"/>
        <v>#REF!</v>
      </c>
      <c r="GG164" s="134" t="str">
        <f t="shared" si="92"/>
        <v>#REF!</v>
      </c>
      <c r="GH164" s="134" t="str">
        <f t="shared" si="93"/>
        <v>#REF!</v>
      </c>
      <c r="GI164" s="135" t="str">
        <f>IF(ISNA(VLOOKUP(A164,'Données projet (1)'!$A$243:$I$263,5,0)),0%,VLOOKUP(A164,'Données projet (1)'!$A$243:$I$263,5,0)*VLOOKUP('Données projet (1)'!$B$17,'Paramètres (1)'!$A$1:$I$88,7,0))</f>
        <v>#REF!</v>
      </c>
      <c r="GJ164" s="135" t="str">
        <f>IF(ISNA(VLOOKUP(A164,'Données projet (1)'!$A$243:$I$263,6,0)),0%,VLOOKUP(A164,'Données projet (1)'!$A$243:$I$263,6,0)*VLOOKUP('Données projet (1)'!$B$17,'Paramètres (1)'!$A$1:$I$88,7,0))</f>
        <v>#REF!</v>
      </c>
      <c r="GK164" s="135" t="str">
        <f t="shared" si="94"/>
        <v>#REF!</v>
      </c>
      <c r="GL164" s="142" t="str">
        <f>EXP(-LN(2)/35)*GL163+(1-EXP(-LN(2)/35))/(LN(2)/35)*GH164*GI164*VLOOKUP('Données projet (1)'!$B$17,'Paramètres (1)'!$A$1:$I$88,3,0)*0.475*44/12</f>
        <v>#REF!</v>
      </c>
      <c r="GM164" s="142" t="str">
        <f>EXP(-LN(2)/25)*GM163+(1-EXP(-LN(2)/25))/(LN(2)/25)*'Calculateur (1)'!GH164*'Calculateur (1)'!GJ164*VLOOKUP('Données projet (1)'!$B$17,'Paramètres (1)'!$A$1:$I$88,3,0)*0.475*44/12</f>
        <v>#REF!</v>
      </c>
      <c r="GN164" s="142" t="str">
        <f>EXP(-LN(2)/2)*GN163+(1-EXP(-LN(2)/2))/(LN(2)/2)*GH164*GK164*VLOOKUP('Données projet (1)'!$B$17,'Paramètres (1)'!$A$1:$I$88,3,0)*0.475*44/12</f>
        <v>#REF!</v>
      </c>
      <c r="GO164" s="142" t="str">
        <f t="shared" si="95"/>
        <v>#REF!</v>
      </c>
      <c r="GP164" s="139" t="str">
        <f t="shared" si="96"/>
        <v>#REF!</v>
      </c>
      <c r="GQ164" s="131">
        <f t="shared" si="97"/>
        <v>10</v>
      </c>
      <c r="GR164" s="131" t="str">
        <f t="shared" si="144"/>
        <v>#REF!</v>
      </c>
      <c r="GS164" s="131" t="str">
        <f t="shared" si="98"/>
        <v>#REF!</v>
      </c>
      <c r="GT164" s="131" t="str">
        <f t="array" ref="GT164">INDEX(GS:GS,MIN(IF(ISNUMBER(GS164:GS360),ROW(GS164:GS360),"")))</f>
        <v/>
      </c>
      <c r="GU164" s="131" t="str">
        <f t="shared" si="145"/>
        <v>#REF!</v>
      </c>
      <c r="GV164" s="138" t="str">
        <f>GU164*VLOOKUP('Données projet (1)'!$B$18,'Paramètres (1)'!$A$1:$I$88,3,0)*VLOOKUP('Données projet (1)'!$B$18,'Paramètres (1)'!$A$1:$I$88,5,0)</f>
        <v>#REF!</v>
      </c>
      <c r="GW164" s="130" t="str">
        <f t="shared" si="146"/>
        <v>#REF!</v>
      </c>
      <c r="GX164" s="141" t="str">
        <f t="shared" si="99"/>
        <v>#REF!</v>
      </c>
      <c r="GY164" s="133" t="str">
        <f t="shared" si="100"/>
        <v>#REF!</v>
      </c>
      <c r="GZ164" s="133" t="str">
        <f t="shared" si="101"/>
        <v>#REF!</v>
      </c>
      <c r="HA164" s="133" t="str">
        <f t="shared" si="147"/>
        <v>#REF!</v>
      </c>
      <c r="HB164" s="134" t="str">
        <f t="shared" si="102"/>
        <v>#REF!</v>
      </c>
      <c r="HC164" s="134" t="str">
        <f t="shared" si="103"/>
        <v>#REF!</v>
      </c>
      <c r="HD164" s="135" t="str">
        <f>IF(ISNA(VLOOKUP(A164,'Données projet (1)'!$A$269:$I$289,5,0)),0%,VLOOKUP(A164,'Données projet (1)'!$A$269:$I$289,5,0)*VLOOKUP('Données projet (1)'!$B$18,'Paramètres (1)'!$A$1:$I$88,7,0))</f>
        <v>#REF!</v>
      </c>
      <c r="HE164" s="135" t="str">
        <f>IF(ISNA(VLOOKUP(A164,'Données projet (1)'!$A$269:$I$289,6,0)),0%,VLOOKUP(A164,'Données projet (1)'!$A$269:$I$289,6,0)*VLOOKUP('Données projet (1)'!$B$18,'Paramètres (1)'!$A$1:$I$88,7,0))</f>
        <v>#REF!</v>
      </c>
      <c r="HF164" s="135" t="str">
        <f t="shared" si="104"/>
        <v>#REF!</v>
      </c>
      <c r="HG164" s="142" t="str">
        <f>EXP(-LN(2)/35)*HG163+(1-EXP(-LN(2)/35))/(LN(2)/35)*HC164*HD164*VLOOKUP('Données projet (1)'!$B$18,'Paramètres (1)'!$A$1:$I$88,3,0)*0.475*44/12</f>
        <v>#REF!</v>
      </c>
      <c r="HH164" s="142" t="str">
        <f>EXP(-LN(2)/25)*HH163+(1-EXP(-LN(2)/25))/(LN(2)/25)*'Calculateur (1)'!HC164*'Calculateur (1)'!HE164*VLOOKUP('Données projet (1)'!$B$18,'Paramètres (1)'!$A$1:$I$88,3,0)*0.475*44/12</f>
        <v>#REF!</v>
      </c>
      <c r="HI164" s="142" t="str">
        <f>EXP(-LN(2)/2)*HI163+(1-EXP(-LN(2)/2))/(LN(2)/2)*HC164*HF164*VLOOKUP('Données projet (1)'!$B$18,'Paramètres (1)'!$A$1:$I$88,3,0)*0.475*44/12</f>
        <v>#REF!</v>
      </c>
      <c r="HJ164" s="143" t="str">
        <f t="shared" si="105"/>
        <v>#REF!</v>
      </c>
    </row>
    <row r="165" ht="14.25" customHeight="1">
      <c r="A165" s="125">
        <f t="shared" si="106"/>
        <v>162</v>
      </c>
      <c r="B165" s="126" t="str">
        <f t="shared" si="1"/>
        <v>#REF!</v>
      </c>
      <c r="C165" s="140" t="str">
        <f>'Calculateur (1)'!C164+'Scénario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5" s="127">
        <f t="shared" si="107"/>
        <v>0</v>
      </c>
      <c r="E165" s="127" t="str">
        <f t="shared" si="2"/>
        <v>#REF!</v>
      </c>
      <c r="F165" s="127" t="str">
        <f t="shared" si="3"/>
        <v>#REF!</v>
      </c>
      <c r="G165" s="127" t="str">
        <f t="shared" si="4"/>
        <v>#REF!</v>
      </c>
      <c r="H165" s="128" t="str">
        <f t="shared" si="5"/>
        <v>#REF!</v>
      </c>
      <c r="I165" s="129" t="str">
        <f t="shared" si="6"/>
        <v>#REF!</v>
      </c>
      <c r="J165" s="130">
        <f t="shared" si="7"/>
        <v>10</v>
      </c>
      <c r="K165" s="131" t="str">
        <f t="shared" si="108"/>
        <v>#REF!</v>
      </c>
      <c r="L165" s="131" t="str">
        <f t="shared" si="8"/>
        <v>#REF!</v>
      </c>
      <c r="M165" s="131" t="str">
        <f t="array" ref="M165">INDEX(L:L,MIN(IF(ISNUMBER(L165:L361),ROW(L165:L361),"")))</f>
        <v/>
      </c>
      <c r="N165" s="130" t="str">
        <f t="shared" si="109"/>
        <v>#REF!</v>
      </c>
      <c r="O165" s="130" t="str">
        <f>N165*VLOOKUP('Données projet (1)'!$B$9,'Paramètres (1)'!$A$1:$I$88,3,0)*VLOOKUP('Données projet (1)'!$B$9,'Paramètres (1)'!$A$1:$I$88,5,0)</f>
        <v>#REF!</v>
      </c>
      <c r="P165" s="130" t="str">
        <f t="shared" si="110"/>
        <v>#REF!</v>
      </c>
      <c r="Q165" s="141" t="str">
        <f t="shared" si="9"/>
        <v>#REF!</v>
      </c>
      <c r="R165" s="133" t="str">
        <f t="shared" si="10"/>
        <v>#REF!</v>
      </c>
      <c r="S165" s="133" t="str">
        <f t="shared" si="11"/>
        <v>#REF!</v>
      </c>
      <c r="T165" s="133" t="str">
        <f t="shared" si="111"/>
        <v>#REF!</v>
      </c>
      <c r="U165" s="134" t="str">
        <f t="shared" si="12"/>
        <v>#REF!</v>
      </c>
      <c r="V165" s="134" t="str">
        <f t="shared" si="13"/>
        <v>#REF!</v>
      </c>
      <c r="W165" s="135" t="str">
        <f>IF(ISNA(VLOOKUP(A165,'Données projet (1)'!$A$35:$I$55,5,0)),0%,VLOOKUP(A165,'Données projet (1)'!$A$35:$I$55,5,0)*VLOOKUP('Données projet (1)'!$B$9,'Paramètres (1)'!$A$1:$I$88,7,0))</f>
        <v>#REF!</v>
      </c>
      <c r="X165" s="135" t="str">
        <f>IF(ISNA(VLOOKUP(A165,'Données projet (1)'!$A$35:$I$55,6,0)),0%,VLOOKUP(A165,'Données projet (1)'!$A$35:$I$55,6,0)*VLOOKUP('Données projet (1)'!$B$9,'Paramètres (1)'!$A$1:$I$88,7,0))</f>
        <v>#REF!</v>
      </c>
      <c r="Y165" s="135" t="str">
        <f t="shared" si="14"/>
        <v>#REF!</v>
      </c>
      <c r="Z165" s="142" t="str">
        <f>EXP(-LN(2)/35)*Z164+(1-EXP(-LN(2)/35))/(LN(2)/35)*V165*W165*VLOOKUP('Données projet (1)'!$B$9,'Paramètres (1)'!$A$1:$I$88,3,0)*0.475*44/12</f>
        <v>#REF!</v>
      </c>
      <c r="AA165" s="142" t="str">
        <f>EXP(-LN(2)/25)*AA164+(1-EXP(-LN(2)/25))/(LN(2)/25)*'Calculateur (1)'!V165*'Calculateur (1)'!X165*VLOOKUP('Données projet (1)'!$B$9,'Paramètres (1)'!$A$1:$I$88,3,0)*0.475*44/12</f>
        <v>#REF!</v>
      </c>
      <c r="AB165" s="142" t="str">
        <f>EXP(-LN(2)/2)*AB164+(1-EXP(-LN(2)/2))/(LN(2)/2)*V165*Y165*VLOOKUP('Données projet (1)'!$B$9,'Paramètres (1)'!$A$1:$I$88,3,0)*0.475*44/12</f>
        <v>#REF!</v>
      </c>
      <c r="AC165" s="143" t="str">
        <f t="shared" si="15"/>
        <v>#REF!</v>
      </c>
      <c r="AD165" s="130" t="str">
        <f t="shared" si="16"/>
        <v>#REF!</v>
      </c>
      <c r="AE165" s="130">
        <f t="shared" si="17"/>
        <v>10</v>
      </c>
      <c r="AF165" s="131" t="str">
        <f t="shared" si="112"/>
        <v>#REF!</v>
      </c>
      <c r="AG165" s="131" t="str">
        <f t="shared" si="18"/>
        <v>#REF!</v>
      </c>
      <c r="AH165" s="131" t="str">
        <f t="array" ref="AH165">INDEX(AG:AG,MIN(IF(ISNUMBER(AG165:AG361),ROW(AG165:AG361),"")))</f>
        <v/>
      </c>
      <c r="AI165" s="130" t="str">
        <f t="shared" si="113"/>
        <v>#REF!</v>
      </c>
      <c r="AJ165" s="130" t="str">
        <f>AI165*VLOOKUP('Données projet (1)'!$B$10,'Paramètres (1)'!$A$1:$I$88,3,0)*VLOOKUP('Données projet (1)'!$B$10,'Paramètres (1)'!$A$1:$I$88,5,0)</f>
        <v>#REF!</v>
      </c>
      <c r="AK165" s="130" t="str">
        <f t="shared" si="114"/>
        <v>#REF!</v>
      </c>
      <c r="AL165" s="141" t="str">
        <f t="shared" si="19"/>
        <v>#REF!</v>
      </c>
      <c r="AM165" s="133" t="str">
        <f t="shared" si="20"/>
        <v>#REF!</v>
      </c>
      <c r="AN165" s="133" t="str">
        <f t="shared" si="21"/>
        <v>#REF!</v>
      </c>
      <c r="AO165" s="133" t="str">
        <f t="shared" si="115"/>
        <v>#REF!</v>
      </c>
      <c r="AP165" s="134" t="str">
        <f t="shared" si="22"/>
        <v>#REF!</v>
      </c>
      <c r="AQ165" s="134" t="str">
        <f t="shared" si="23"/>
        <v>#REF!</v>
      </c>
      <c r="AR165" s="135" t="str">
        <f>IF(ISNA(VLOOKUP(A165,'Données projet (1)'!$A$61:$I$81,5,0)),0%,VLOOKUP(A165,'Données projet (1)'!$A$61:$I$81,5,0)*VLOOKUP('Données projet (1)'!$B$10,'Paramètres (1)'!$A$1:$I$88,7,0))</f>
        <v>#REF!</v>
      </c>
      <c r="AS165" s="135" t="str">
        <f>IF(ISNA(VLOOKUP(A165,'Données projet (1)'!$A$61:$I$81,6,0)),0%,VLOOKUP(A165,'Données projet (1)'!$A$61:$I$81,6,0)*VLOOKUP('Données projet (1)'!$B$10,'Paramètres (1)'!$A$1:$I$88,7,0))</f>
        <v>#REF!</v>
      </c>
      <c r="AT165" s="135" t="str">
        <f t="shared" si="24"/>
        <v>#REF!</v>
      </c>
      <c r="AU165" s="142" t="str">
        <f>EXP(-LN(2)/35)*AU164+(1-EXP(-LN(2)/35))/(LN(2)/35)*AQ165*AR165*VLOOKUP('Données projet (1)'!$B$10,'Paramètres (1)'!$A$1:$I$88,3,0)*0.475*44/12</f>
        <v>#REF!</v>
      </c>
      <c r="AV165" s="142" t="str">
        <f>EXP(-LN(2)/25)*AV164+(1-EXP(-LN(2)/25))/(LN(2)/25)*'Calculateur (1)'!AQ165*'Calculateur (1)'!AS165*VLOOKUP('Données projet (1)'!$B$10,'Paramètres (1)'!$A$1:$I$88,3,0)*0.475*44/12</f>
        <v>#REF!</v>
      </c>
      <c r="AW165" s="142" t="str">
        <f>EXP(-LN(2)/2)*AW164+(1-EXP(-LN(2)/2))/(LN(2)/2)*AQ165*AT165*VLOOKUP('Données projet (1)'!$B$10,'Paramètres (1)'!$A$1:$I$88,3,0)*0.475*44/12</f>
        <v>#REF!</v>
      </c>
      <c r="AX165" s="142" t="str">
        <f t="shared" si="25"/>
        <v>#REF!</v>
      </c>
      <c r="AY165" s="137" t="str">
        <f t="shared" si="26"/>
        <v>#REF!</v>
      </c>
      <c r="AZ165" s="131">
        <f t="shared" si="27"/>
        <v>10</v>
      </c>
      <c r="BA165" s="131" t="str">
        <f t="shared" si="116"/>
        <v>#REF!</v>
      </c>
      <c r="BB165" s="131" t="str">
        <f t="shared" si="28"/>
        <v>#REF!</v>
      </c>
      <c r="BC165" s="131" t="str">
        <f t="array" ref="BC165">INDEX(BB:BB,MIN(IF(ISNUMBER(BB165:BB361),ROW(BB165:BB361),"")))</f>
        <v/>
      </c>
      <c r="BD165" s="131" t="str">
        <f t="shared" si="117"/>
        <v>#REF!</v>
      </c>
      <c r="BE165" s="130" t="str">
        <f>BD165*VLOOKUP('Données projet (1)'!$B$11,'Paramètres (1)'!$A$1:$I$88,3,0)*VLOOKUP('Données projet (1)'!$B$11,'Paramètres (1)'!$A$1:$I$88,5,0)</f>
        <v>#REF!</v>
      </c>
      <c r="BF165" s="130" t="str">
        <f t="shared" si="118"/>
        <v>#REF!</v>
      </c>
      <c r="BG165" s="141" t="str">
        <f t="shared" si="29"/>
        <v>#REF!</v>
      </c>
      <c r="BH165" s="133" t="str">
        <f t="shared" si="30"/>
        <v>#REF!</v>
      </c>
      <c r="BI165" s="133" t="str">
        <f t="shared" si="31"/>
        <v>#REF!</v>
      </c>
      <c r="BJ165" s="133" t="str">
        <f t="shared" si="119"/>
        <v>#REF!</v>
      </c>
      <c r="BK165" s="134" t="str">
        <f t="shared" si="32"/>
        <v>#REF!</v>
      </c>
      <c r="BL165" s="134" t="str">
        <f t="shared" si="33"/>
        <v>#REF!</v>
      </c>
      <c r="BM165" s="135" t="str">
        <f>IF(ISNA(VLOOKUP(A165,'Données projet (1)'!$A$87:$I$107,5,0)),0%,VLOOKUP(A165,'Données projet (1)'!$A$87:$I$107,5,0)*VLOOKUP('Données projet (1)'!$B$11,'Paramètres (1)'!$A$1:$I$88,7,0))</f>
        <v>#REF!</v>
      </c>
      <c r="BN165" s="135" t="str">
        <f>IF(ISNA(VLOOKUP(A165,'Données projet (1)'!$A$87:$I$107,6,0)),0%,VLOOKUP(A165,'Données projet (1)'!$A$87:$I$107,6,0)*VLOOKUP('Données projet (1)'!$B$11,'Paramètres (1)'!$A$1:$I$88,7,0))</f>
        <v>#REF!</v>
      </c>
      <c r="BO165" s="135" t="str">
        <f t="shared" si="34"/>
        <v>#REF!</v>
      </c>
      <c r="BP165" s="142" t="str">
        <f>EXP(-LN(2)/35)*BP164+(1-EXP(-LN(2)/35))/(LN(2)/35)*BL165*BM165*VLOOKUP('Données projet (1)'!$B$11,'Paramètres (1)'!$A$1:$I$88,3,0)*0.475*44/12</f>
        <v>#REF!</v>
      </c>
      <c r="BQ165" s="142" t="str">
        <f>EXP(-LN(2)/25)*BQ164+(1-EXP(-LN(2)/25))/(LN(2)/25)*'Calculateur (1)'!BL165*'Calculateur (1)'!BN165*VLOOKUP('Données projet (1)'!$B$11,'Paramètres (1)'!$A$1:$I$88,3,0)*0.475*44/12</f>
        <v>#REF!</v>
      </c>
      <c r="BR165" s="142" t="str">
        <f>EXP(-LN(2)/2)*BR164+(1-EXP(-LN(2)/2))/(LN(2)/2)*BL165*BO165*VLOOKUP('Données projet (1)'!$B$11,'Paramètres (1)'!$A$1:$I$88,3,0)*0.475*44/12</f>
        <v>#REF!</v>
      </c>
      <c r="BS165" s="143" t="str">
        <f t="shared" si="35"/>
        <v>#REF!</v>
      </c>
      <c r="BT165" s="139" t="str">
        <f t="shared" si="36"/>
        <v>#REF!</v>
      </c>
      <c r="BU165" s="131">
        <f t="shared" si="37"/>
        <v>10</v>
      </c>
      <c r="BV165" s="131" t="str">
        <f t="shared" si="120"/>
        <v>#REF!</v>
      </c>
      <c r="BW165" s="131" t="str">
        <f t="shared" si="38"/>
        <v>#REF!</v>
      </c>
      <c r="BX165" s="131" t="str">
        <f t="array" ref="BX165">INDEX(BW:BW,MIN(IF(ISNUMBER(BW165:BW361),ROW(BW165:BW361),"")))</f>
        <v/>
      </c>
      <c r="BY165" s="131" t="str">
        <f t="shared" si="121"/>
        <v>#REF!</v>
      </c>
      <c r="BZ165" s="130" t="str">
        <f>BY165*VLOOKUP('Données projet (1)'!$B$12,'Paramètres (1)'!$A$1:$I$88,3,0)*VLOOKUP('Données projet (1)'!$B$12,'Paramètres (1)'!$A$1:$I$88,5,0)</f>
        <v>#REF!</v>
      </c>
      <c r="CA165" s="130" t="str">
        <f t="shared" si="122"/>
        <v>#REF!</v>
      </c>
      <c r="CB165" s="141" t="str">
        <f t="shared" si="39"/>
        <v>#REF!</v>
      </c>
      <c r="CC165" s="133" t="str">
        <f t="shared" si="40"/>
        <v>#REF!</v>
      </c>
      <c r="CD165" s="133" t="str">
        <f t="shared" si="41"/>
        <v>#REF!</v>
      </c>
      <c r="CE165" s="133" t="str">
        <f t="shared" si="123"/>
        <v>#REF!</v>
      </c>
      <c r="CF165" s="134" t="str">
        <f t="shared" si="42"/>
        <v>#REF!</v>
      </c>
      <c r="CG165" s="134" t="str">
        <f t="shared" si="43"/>
        <v>#REF!</v>
      </c>
      <c r="CH165" s="135" t="str">
        <f>IF(ISNA(VLOOKUP(A165,'Données projet (1)'!$A$113:$I$133,5,0)),0%,VLOOKUP(A165,'Données projet (1)'!$A$113:$I$133,5,0)*VLOOKUP('Données projet (1)'!$B$12,'Paramètres (1)'!$A$1:$I$88,7,0))</f>
        <v>#REF!</v>
      </c>
      <c r="CI165" s="135" t="str">
        <f>IF(ISNA(VLOOKUP(A165,'Données projet (1)'!$A$113:$I$133,6,0)),0%,VLOOKUP(A165,'Données projet (1)'!$A$113:$I$133,6,0)*VLOOKUP('Données projet (1)'!$B$12,'Paramètres (1)'!$A$1:$I$88,7,0))</f>
        <v>#REF!</v>
      </c>
      <c r="CJ165" s="135" t="str">
        <f t="shared" si="44"/>
        <v>#REF!</v>
      </c>
      <c r="CK165" s="142" t="str">
        <f>EXP(-LN(2)/35)*CK164+(1-EXP(-LN(2)/35))/(LN(2)/35)*CG165*CH165*VLOOKUP('Données projet (1)'!$B$12,'Paramètres (1)'!$A$1:$I$88,3,0)*0.475*44/12</f>
        <v>#REF!</v>
      </c>
      <c r="CL165" s="142" t="str">
        <f>EXP(-LN(2)/25)*CL164+(1-EXP(-LN(2)/25))/(LN(2)/25)*'Calculateur (1)'!CG165*'Calculateur (1)'!CI165*VLOOKUP('Données projet (1)'!$B$12,'Paramètres (1)'!$A$1:$I$88,3,0)*0.475*44/12</f>
        <v>#REF!</v>
      </c>
      <c r="CM165" s="142" t="str">
        <f>EXP(-LN(2)/2)*CM164+(1-EXP(-LN(2)/2))/(LN(2)/2)*CG165*CJ165*VLOOKUP('Données projet (1)'!$B$12,'Paramètres (1)'!$A$1:$I$88,3,0)*0.475*44/12</f>
        <v>#REF!</v>
      </c>
      <c r="CN165" s="143" t="str">
        <f t="shared" si="45"/>
        <v>#REF!</v>
      </c>
      <c r="CO165" s="139" t="str">
        <f t="shared" si="46"/>
        <v>#REF!</v>
      </c>
      <c r="CP165" s="131">
        <f t="shared" si="47"/>
        <v>10</v>
      </c>
      <c r="CQ165" s="131" t="str">
        <f t="shared" si="124"/>
        <v>#REF!</v>
      </c>
      <c r="CR165" s="131" t="str">
        <f t="shared" si="48"/>
        <v>#REF!</v>
      </c>
      <c r="CS165" s="131" t="str">
        <f t="array" ref="CS165">INDEX(CR:CR,MIN(IF(ISNUMBER(CR165:CR361),ROW(CR165:CR361),"")))</f>
        <v/>
      </c>
      <c r="CT165" s="131" t="str">
        <f t="shared" si="125"/>
        <v>#REF!</v>
      </c>
      <c r="CU165" s="138" t="str">
        <f>CT165*VLOOKUP('Données projet (1)'!$B$13,'Paramètres (1)'!$A$1:$I$88,3,0)*VLOOKUP('Données projet (1)'!$B$13,'Paramètres (1)'!$A$1:$I$88,5,0)</f>
        <v>#REF!</v>
      </c>
      <c r="CV165" s="130" t="str">
        <f t="shared" si="126"/>
        <v>#REF!</v>
      </c>
      <c r="CW165" s="141" t="str">
        <f t="shared" si="49"/>
        <v>#REF!</v>
      </c>
      <c r="CX165" s="133" t="str">
        <f t="shared" si="50"/>
        <v>#REF!</v>
      </c>
      <c r="CY165" s="133" t="str">
        <f t="shared" si="51"/>
        <v>#REF!</v>
      </c>
      <c r="CZ165" s="133" t="str">
        <f t="shared" si="127"/>
        <v>#REF!</v>
      </c>
      <c r="DA165" s="134" t="str">
        <f t="shared" si="52"/>
        <v>#REF!</v>
      </c>
      <c r="DB165" s="134" t="str">
        <f t="shared" si="53"/>
        <v>#REF!</v>
      </c>
      <c r="DC165" s="135" t="str">
        <f>IF(ISNA(VLOOKUP(A165,'Données projet (1)'!$A$139:$I$159,5,0)),0%,VLOOKUP(A165,'Données projet (1)'!$A$139:$I$159,5,0)*VLOOKUP('Données projet (1)'!$B$13,'Paramètres (1)'!$A$1:$I$88,7,0))</f>
        <v>#REF!</v>
      </c>
      <c r="DD165" s="135" t="str">
        <f>IF(ISNA(VLOOKUP(A165,'Données projet (1)'!$A$139:$I$159,6,0)),0%,VLOOKUP(A165,'Données projet (1)'!$A$139:$I$159,6,0)*VLOOKUP('Données projet (1)'!$B$13,'Paramètres (1)'!$A$1:$I$88,7,0))</f>
        <v>#REF!</v>
      </c>
      <c r="DE165" s="135" t="str">
        <f t="shared" si="54"/>
        <v>#REF!</v>
      </c>
      <c r="DF165" s="142" t="str">
        <f>EXP(-LN(2)/35)*DF164+(1-EXP(-LN(2)/35))/(LN(2)/35)*DB165*DC165*VLOOKUP('Données projet (1)'!$B$13,'Paramètres (1)'!$A$1:$I$88,3,0)*0.475*44/12</f>
        <v>#REF!</v>
      </c>
      <c r="DG165" s="142" t="str">
        <f>EXP(-LN(2)/25)*DG164+(1-EXP(-LN(2)/25))/(LN(2)/25)*'Calculateur (1)'!DB165*'Calculateur (1)'!DD165*VLOOKUP('Données projet (1)'!$B$13,'Paramètres (1)'!$A$1:$I$88,3,0)*0.475*44/12</f>
        <v>#REF!</v>
      </c>
      <c r="DH165" s="142" t="str">
        <f>EXP(-LN(2)/2)*DH164+(1-EXP(-LN(2)/2))/(LN(2)/2)*DB165*DE165*VLOOKUP('Données projet (1)'!$B$13,'Paramètres (1)'!$A$1:$I$88,3,0)*0.475*44/12</f>
        <v>#REF!</v>
      </c>
      <c r="DI165" s="143" t="str">
        <f t="shared" si="55"/>
        <v>#REF!</v>
      </c>
      <c r="DJ165" s="139" t="str">
        <f t="shared" si="56"/>
        <v>#REF!</v>
      </c>
      <c r="DK165" s="131">
        <f t="shared" si="57"/>
        <v>10</v>
      </c>
      <c r="DL165" s="131" t="str">
        <f t="shared" si="128"/>
        <v>#REF!</v>
      </c>
      <c r="DM165" s="131" t="str">
        <f t="shared" si="58"/>
        <v>#REF!</v>
      </c>
      <c r="DN165" s="131" t="str">
        <f t="array" ref="DN165">INDEX(DM:DM,MIN(IF(ISNUMBER(DM165:DM361),ROW(DM165:DM361),"")))</f>
        <v/>
      </c>
      <c r="DO165" s="131" t="str">
        <f t="shared" si="129"/>
        <v>#REF!</v>
      </c>
      <c r="DP165" s="138" t="str">
        <f>DO165*VLOOKUP('Données projet (1)'!$B$14,'Paramètres (1)'!$A$1:$I$88,3,0)*VLOOKUP('Données projet (1)'!$B$14,'Paramètres (1)'!$A$1:$I$88,5,0)</f>
        <v>#REF!</v>
      </c>
      <c r="DQ165" s="130" t="str">
        <f t="shared" si="130"/>
        <v>#REF!</v>
      </c>
      <c r="DR165" s="141" t="str">
        <f t="shared" si="59"/>
        <v>#REF!</v>
      </c>
      <c r="DS165" s="133" t="str">
        <f t="shared" si="60"/>
        <v>#REF!</v>
      </c>
      <c r="DT165" s="133" t="str">
        <f t="shared" si="61"/>
        <v>#REF!</v>
      </c>
      <c r="DU165" s="133" t="str">
        <f t="shared" si="131"/>
        <v>#REF!</v>
      </c>
      <c r="DV165" s="134" t="str">
        <f t="shared" si="62"/>
        <v>#REF!</v>
      </c>
      <c r="DW165" s="134" t="str">
        <f t="shared" si="63"/>
        <v>#REF!</v>
      </c>
      <c r="DX165" s="135" t="str">
        <f>IF(ISNA(VLOOKUP(A165,'Données projet (1)'!$A$165:$I$185,5,0)),0%,VLOOKUP(A165,'Données projet (1)'!$A$165:$I$185,5,0)*VLOOKUP('Données projet (1)'!$B$14,'Paramètres (1)'!$A$1:$I$88,7,0))</f>
        <v>#REF!</v>
      </c>
      <c r="DY165" s="135" t="str">
        <f>IF(ISNA(VLOOKUP(A165,'Données projet (1)'!$A$165:$I$185,6,0)),0%,VLOOKUP(A165,'Données projet (1)'!$A$165:$I$185,6,0)*VLOOKUP('Données projet (1)'!$B$14,'Paramètres (1)'!$A$1:$I$88,7,0))</f>
        <v>#REF!</v>
      </c>
      <c r="DZ165" s="135" t="str">
        <f t="shared" si="64"/>
        <v>#REF!</v>
      </c>
      <c r="EA165" s="142" t="str">
        <f>EXP(-LN(2)/35)*EA164+(1-EXP(-LN(2)/35))/(LN(2)/35)*DW165*DX165*VLOOKUP('Données projet (1)'!$B$14,'Paramètres (1)'!$A$1:$I$88,3,0)*0.475*44/12</f>
        <v>#REF!</v>
      </c>
      <c r="EB165" s="142" t="str">
        <f>EXP(-LN(2)/25)*EB164+(1-EXP(-LN(2)/25))/(LN(2)/25)*'Calculateur (1)'!DW165*'Calculateur (1)'!DY165*VLOOKUP('Données projet (1)'!$B$14,'Paramètres (1)'!$A$1:$I$88,3,0)*0.475*44/12</f>
        <v>#REF!</v>
      </c>
      <c r="EC165" s="142" t="str">
        <f>EXP(-LN(2)/2)*EC164+(1-EXP(-LN(2)/2))/(LN(2)/2)*DW165*DZ165*VLOOKUP('Données projet (1)'!$B$14,'Paramètres (1)'!$A$1:$I$88,3,0)*0.475*44/12</f>
        <v>#REF!</v>
      </c>
      <c r="ED165" s="143" t="str">
        <f t="shared" si="65"/>
        <v>#REF!</v>
      </c>
      <c r="EE165" s="139" t="str">
        <f t="shared" si="66"/>
        <v>#REF!</v>
      </c>
      <c r="EF165" s="131">
        <f t="shared" si="67"/>
        <v>10</v>
      </c>
      <c r="EG165" s="131" t="str">
        <f t="shared" si="132"/>
        <v>#REF!</v>
      </c>
      <c r="EH165" s="131" t="str">
        <f t="shared" si="68"/>
        <v>#REF!</v>
      </c>
      <c r="EI165" s="131" t="str">
        <f t="array" ref="EI165">INDEX(EH:EH,MIN(IF(ISNUMBER(EH165:EH361),ROW(EH165:EH361),"")))</f>
        <v/>
      </c>
      <c r="EJ165" s="131" t="str">
        <f t="shared" si="133"/>
        <v>#REF!</v>
      </c>
      <c r="EK165" s="138" t="str">
        <f>EJ165*VLOOKUP('Données projet (1)'!$B$15,'Paramètres (1)'!$A$1:$I$88,3,0)*VLOOKUP('Données projet (1)'!$B$15,'Paramètres (1)'!$A$1:$I$88,5,0)</f>
        <v>#REF!</v>
      </c>
      <c r="EL165" s="130" t="str">
        <f t="shared" si="134"/>
        <v>#REF!</v>
      </c>
      <c r="EM165" s="141" t="str">
        <f t="shared" si="69"/>
        <v>#REF!</v>
      </c>
      <c r="EN165" s="133" t="str">
        <f t="shared" si="70"/>
        <v>#REF!</v>
      </c>
      <c r="EO165" s="133" t="str">
        <f t="shared" si="71"/>
        <v>#REF!</v>
      </c>
      <c r="EP165" s="133" t="str">
        <f t="shared" si="135"/>
        <v>#REF!</v>
      </c>
      <c r="EQ165" s="134" t="str">
        <f t="shared" si="72"/>
        <v>#REF!</v>
      </c>
      <c r="ER165" s="134" t="str">
        <f t="shared" si="73"/>
        <v>#REF!</v>
      </c>
      <c r="ES165" s="135" t="str">
        <f>IF(ISNA(VLOOKUP(A165,'Données projet (1)'!$A$191:$I$211,5,0)),0%,VLOOKUP(A165,'Données projet (1)'!$A$191:$I$211,5,0)*VLOOKUP('Données projet (1)'!$B$15,'Paramètres (1)'!$A$1:$I$88,7,0))</f>
        <v>#REF!</v>
      </c>
      <c r="ET165" s="135" t="str">
        <f>IF(ISNA(VLOOKUP(A165,'Données projet (1)'!$A$191:$I$211,6,0)),0%,VLOOKUP(A165,'Données projet (1)'!$A$191:$I$211,6,0)*VLOOKUP('Données projet (1)'!$B$15,'Paramètres (1)'!$A$1:$I$88,7,0))</f>
        <v>#REF!</v>
      </c>
      <c r="EU165" s="135" t="str">
        <f t="shared" si="74"/>
        <v>#REF!</v>
      </c>
      <c r="EV165" s="142" t="str">
        <f>EXP(-LN(2)/35)*EV164+(1-EXP(-LN(2)/35))/(LN(2)/35)*ER165*ES165*VLOOKUP('Données projet (1)'!$B$15,'Paramètres (1)'!$A$1:$I$88,3,0)*0.475*44/12</f>
        <v>#REF!</v>
      </c>
      <c r="EW165" s="142" t="str">
        <f>EXP(-LN(2)/25)*EW164+(1-EXP(-LN(2)/25))/(LN(2)/25)*'Calculateur (1)'!ER165*'Calculateur (1)'!ET165*VLOOKUP('Données projet (1)'!$B$15,'Paramètres (1)'!$A$1:$I$88,3,0)*0.475*44/12</f>
        <v>#REF!</v>
      </c>
      <c r="EX165" s="142" t="str">
        <f>EXP(-LN(2)/2)*EX164+(1-EXP(-LN(2)/2))/(LN(2)/2)*ER165*EU165*VLOOKUP('Données projet (1)'!$B$15,'Paramètres (1)'!$A$1:$I$88,3,0)*0.475*44/12</f>
        <v>#REF!</v>
      </c>
      <c r="EY165" s="143" t="str">
        <f t="shared" si="75"/>
        <v>#REF!</v>
      </c>
      <c r="EZ165" s="139" t="str">
        <f t="shared" si="76"/>
        <v>#REF!</v>
      </c>
      <c r="FA165" s="131">
        <f t="shared" si="77"/>
        <v>10</v>
      </c>
      <c r="FB165" s="131" t="str">
        <f t="shared" si="136"/>
        <v>#REF!</v>
      </c>
      <c r="FC165" s="131" t="str">
        <f t="shared" si="78"/>
        <v>#REF!</v>
      </c>
      <c r="FD165" s="131" t="str">
        <f t="array" ref="FD165">INDEX(FC:FC,MIN(IF(ISNUMBER(FC165:FC361),ROW(FC165:FC361),"")))</f>
        <v/>
      </c>
      <c r="FE165" s="131" t="str">
        <f t="shared" si="137"/>
        <v>#REF!</v>
      </c>
      <c r="FF165" s="138" t="str">
        <f>FE165*VLOOKUP('Données projet (1)'!$B$16,'Paramètres (1)'!$A$1:$I$88,3,0)*VLOOKUP('Données projet (1)'!$B$16,'Paramètres (1)'!$A$1:$I$88,5,0)</f>
        <v>#REF!</v>
      </c>
      <c r="FG165" s="130" t="str">
        <f t="shared" si="138"/>
        <v>#REF!</v>
      </c>
      <c r="FH165" s="141" t="str">
        <f t="shared" si="79"/>
        <v>#REF!</v>
      </c>
      <c r="FI165" s="133" t="str">
        <f t="shared" si="80"/>
        <v>#REF!</v>
      </c>
      <c r="FJ165" s="133" t="str">
        <f t="shared" si="81"/>
        <v>#REF!</v>
      </c>
      <c r="FK165" s="133" t="str">
        <f t="shared" si="139"/>
        <v>#REF!</v>
      </c>
      <c r="FL165" s="134" t="str">
        <f t="shared" si="82"/>
        <v>#REF!</v>
      </c>
      <c r="FM165" s="134" t="str">
        <f t="shared" si="83"/>
        <v>#REF!</v>
      </c>
      <c r="FN165" s="135" t="str">
        <f>IF(ISNA(VLOOKUP(A165,'Données projet (1)'!$A$217:$I$237,5,0)),0%,VLOOKUP(A165,'Données projet (1)'!$A$217:$I$237,5,0)*VLOOKUP('Données projet (1)'!$B$16,'Paramètres (1)'!$A$1:$I$88,7,0))</f>
        <v>#REF!</v>
      </c>
      <c r="FO165" s="135" t="str">
        <f>IF(ISNA(VLOOKUP(A165,'Données projet (1)'!$A$217:$I$237,6,0)),0%,VLOOKUP(A165,'Données projet (1)'!$A$217:$I$237,6,0)*VLOOKUP('Données projet (1)'!$B$16,'Paramètres (1)'!$A$1:$I$88,7,0))</f>
        <v>#REF!</v>
      </c>
      <c r="FP165" s="135" t="str">
        <f t="shared" si="84"/>
        <v>#REF!</v>
      </c>
      <c r="FQ165" s="142" t="str">
        <f>EXP(-LN(2)/35)*FQ164+(1-EXP(-LN(2)/35))/(LN(2)/35)*FM165*FN165*VLOOKUP('Données projet (1)'!$B$16,'Paramètres (1)'!$A$1:$I$88,3,0)*0.475*44/12</f>
        <v>#REF!</v>
      </c>
      <c r="FR165" s="142" t="str">
        <f>EXP(-LN(2)/25)*FR164+(1-EXP(-LN(2)/25))/(LN(2)/25)*'Calculateur (1)'!FM165*'Calculateur (1)'!FO165*VLOOKUP('Données projet (1)'!$B$16,'Paramètres (1)'!$A$1:$I$88,3,0)*0.475*44/12</f>
        <v>#REF!</v>
      </c>
      <c r="FS165" s="142" t="str">
        <f>EXP(-LN(2)/2)*FS164+(1-EXP(-LN(2)/2))/(LN(2)/2)*FM165*FP165*VLOOKUP('Données projet (1)'!$B$16,'Paramètres (1)'!$A$1:$I$88,3,0)*0.475*44/12</f>
        <v>#REF!</v>
      </c>
      <c r="FT165" s="143" t="str">
        <f t="shared" si="85"/>
        <v>#REF!</v>
      </c>
      <c r="FU165" s="139" t="str">
        <f t="shared" si="86"/>
        <v>#REF!</v>
      </c>
      <c r="FV165" s="131">
        <f t="shared" si="87"/>
        <v>10</v>
      </c>
      <c r="FW165" s="131" t="str">
        <f t="shared" si="140"/>
        <v>#REF!</v>
      </c>
      <c r="FX165" s="131" t="str">
        <f t="shared" si="88"/>
        <v>#REF!</v>
      </c>
      <c r="FY165" s="131" t="str">
        <f t="array" ref="FY165">INDEX(FX:FX,MIN(IF(ISNUMBER(FX165:FX361),ROW(FX165:FX361),"")))</f>
        <v/>
      </c>
      <c r="FZ165" s="131" t="str">
        <f t="shared" si="141"/>
        <v>#REF!</v>
      </c>
      <c r="GA165" s="138" t="str">
        <f>FZ165*VLOOKUP('Données projet (1)'!$B$17,'Paramètres (1)'!$A$1:$I$88,3,0)*VLOOKUP('Données projet (1)'!$B$17,'Paramètres (1)'!$A$1:$I$88,5,0)</f>
        <v>#REF!</v>
      </c>
      <c r="GB165" s="130" t="str">
        <f t="shared" si="142"/>
        <v>#REF!</v>
      </c>
      <c r="GC165" s="141" t="str">
        <f t="shared" si="89"/>
        <v>#REF!</v>
      </c>
      <c r="GD165" s="133" t="str">
        <f t="shared" si="90"/>
        <v>#REF!</v>
      </c>
      <c r="GE165" s="133" t="str">
        <f t="shared" si="91"/>
        <v>#REF!</v>
      </c>
      <c r="GF165" s="133" t="str">
        <f t="shared" si="143"/>
        <v>#REF!</v>
      </c>
      <c r="GG165" s="134" t="str">
        <f t="shared" si="92"/>
        <v>#REF!</v>
      </c>
      <c r="GH165" s="134" t="str">
        <f t="shared" si="93"/>
        <v>#REF!</v>
      </c>
      <c r="GI165" s="135" t="str">
        <f>IF(ISNA(VLOOKUP(A165,'Données projet (1)'!$A$243:$I$263,5,0)),0%,VLOOKUP(A165,'Données projet (1)'!$A$243:$I$263,5,0)*VLOOKUP('Données projet (1)'!$B$17,'Paramètres (1)'!$A$1:$I$88,7,0))</f>
        <v>#REF!</v>
      </c>
      <c r="GJ165" s="135" t="str">
        <f>IF(ISNA(VLOOKUP(A165,'Données projet (1)'!$A$243:$I$263,6,0)),0%,VLOOKUP(A165,'Données projet (1)'!$A$243:$I$263,6,0)*VLOOKUP('Données projet (1)'!$B$17,'Paramètres (1)'!$A$1:$I$88,7,0))</f>
        <v>#REF!</v>
      </c>
      <c r="GK165" s="135" t="str">
        <f t="shared" si="94"/>
        <v>#REF!</v>
      </c>
      <c r="GL165" s="142" t="str">
        <f>EXP(-LN(2)/35)*GL164+(1-EXP(-LN(2)/35))/(LN(2)/35)*GH165*GI165*VLOOKUP('Données projet (1)'!$B$17,'Paramètres (1)'!$A$1:$I$88,3,0)*0.475*44/12</f>
        <v>#REF!</v>
      </c>
      <c r="GM165" s="142" t="str">
        <f>EXP(-LN(2)/25)*GM164+(1-EXP(-LN(2)/25))/(LN(2)/25)*'Calculateur (1)'!GH165*'Calculateur (1)'!GJ165*VLOOKUP('Données projet (1)'!$B$17,'Paramètres (1)'!$A$1:$I$88,3,0)*0.475*44/12</f>
        <v>#REF!</v>
      </c>
      <c r="GN165" s="142" t="str">
        <f>EXP(-LN(2)/2)*GN164+(1-EXP(-LN(2)/2))/(LN(2)/2)*GH165*GK165*VLOOKUP('Données projet (1)'!$B$17,'Paramètres (1)'!$A$1:$I$88,3,0)*0.475*44/12</f>
        <v>#REF!</v>
      </c>
      <c r="GO165" s="142" t="str">
        <f t="shared" si="95"/>
        <v>#REF!</v>
      </c>
      <c r="GP165" s="139" t="str">
        <f t="shared" si="96"/>
        <v>#REF!</v>
      </c>
      <c r="GQ165" s="131">
        <f t="shared" si="97"/>
        <v>10</v>
      </c>
      <c r="GR165" s="131" t="str">
        <f t="shared" si="144"/>
        <v>#REF!</v>
      </c>
      <c r="GS165" s="131" t="str">
        <f t="shared" si="98"/>
        <v>#REF!</v>
      </c>
      <c r="GT165" s="131" t="str">
        <f t="array" ref="GT165">INDEX(GS:GS,MIN(IF(ISNUMBER(GS165:GS361),ROW(GS165:GS361),"")))</f>
        <v/>
      </c>
      <c r="GU165" s="131" t="str">
        <f t="shared" si="145"/>
        <v>#REF!</v>
      </c>
      <c r="GV165" s="138" t="str">
        <f>GU165*VLOOKUP('Données projet (1)'!$B$18,'Paramètres (1)'!$A$1:$I$88,3,0)*VLOOKUP('Données projet (1)'!$B$18,'Paramètres (1)'!$A$1:$I$88,5,0)</f>
        <v>#REF!</v>
      </c>
      <c r="GW165" s="130" t="str">
        <f t="shared" si="146"/>
        <v>#REF!</v>
      </c>
      <c r="GX165" s="141" t="str">
        <f t="shared" si="99"/>
        <v>#REF!</v>
      </c>
      <c r="GY165" s="133" t="str">
        <f t="shared" si="100"/>
        <v>#REF!</v>
      </c>
      <c r="GZ165" s="133" t="str">
        <f t="shared" si="101"/>
        <v>#REF!</v>
      </c>
      <c r="HA165" s="133" t="str">
        <f t="shared" si="147"/>
        <v>#REF!</v>
      </c>
      <c r="HB165" s="134" t="str">
        <f t="shared" si="102"/>
        <v>#REF!</v>
      </c>
      <c r="HC165" s="134" t="str">
        <f t="shared" si="103"/>
        <v>#REF!</v>
      </c>
      <c r="HD165" s="135" t="str">
        <f>IF(ISNA(VLOOKUP(A165,'Données projet (1)'!$A$269:$I$289,5,0)),0%,VLOOKUP(A165,'Données projet (1)'!$A$269:$I$289,5,0)*VLOOKUP('Données projet (1)'!$B$18,'Paramètres (1)'!$A$1:$I$88,7,0))</f>
        <v>#REF!</v>
      </c>
      <c r="HE165" s="135" t="str">
        <f>IF(ISNA(VLOOKUP(A165,'Données projet (1)'!$A$269:$I$289,6,0)),0%,VLOOKUP(A165,'Données projet (1)'!$A$269:$I$289,6,0)*VLOOKUP('Données projet (1)'!$B$18,'Paramètres (1)'!$A$1:$I$88,7,0))</f>
        <v>#REF!</v>
      </c>
      <c r="HF165" s="135" t="str">
        <f t="shared" si="104"/>
        <v>#REF!</v>
      </c>
      <c r="HG165" s="142" t="str">
        <f>EXP(-LN(2)/35)*HG164+(1-EXP(-LN(2)/35))/(LN(2)/35)*HC165*HD165*VLOOKUP('Données projet (1)'!$B$18,'Paramètres (1)'!$A$1:$I$88,3,0)*0.475*44/12</f>
        <v>#REF!</v>
      </c>
      <c r="HH165" s="142" t="str">
        <f>EXP(-LN(2)/25)*HH164+(1-EXP(-LN(2)/25))/(LN(2)/25)*'Calculateur (1)'!HC165*'Calculateur (1)'!HE165*VLOOKUP('Données projet (1)'!$B$18,'Paramètres (1)'!$A$1:$I$88,3,0)*0.475*44/12</f>
        <v>#REF!</v>
      </c>
      <c r="HI165" s="142" t="str">
        <f>EXP(-LN(2)/2)*HI164+(1-EXP(-LN(2)/2))/(LN(2)/2)*HC165*HF165*VLOOKUP('Données projet (1)'!$B$18,'Paramètres (1)'!$A$1:$I$88,3,0)*0.475*44/12</f>
        <v>#REF!</v>
      </c>
      <c r="HJ165" s="143" t="str">
        <f t="shared" si="105"/>
        <v>#REF!</v>
      </c>
    </row>
    <row r="166" ht="14.25" customHeight="1">
      <c r="A166" s="125">
        <f t="shared" si="106"/>
        <v>163</v>
      </c>
      <c r="B166" s="126" t="str">
        <f t="shared" si="1"/>
        <v>#REF!</v>
      </c>
      <c r="C166" s="140" t="str">
        <f>'Calculateur (1)'!C165+'Scénario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6" s="127">
        <f t="shared" si="107"/>
        <v>0</v>
      </c>
      <c r="E166" s="127" t="str">
        <f t="shared" si="2"/>
        <v>#REF!</v>
      </c>
      <c r="F166" s="127" t="str">
        <f t="shared" si="3"/>
        <v>#REF!</v>
      </c>
      <c r="G166" s="127" t="str">
        <f t="shared" si="4"/>
        <v>#REF!</v>
      </c>
      <c r="H166" s="128" t="str">
        <f t="shared" si="5"/>
        <v>#REF!</v>
      </c>
      <c r="I166" s="129" t="str">
        <f t="shared" si="6"/>
        <v>#REF!</v>
      </c>
      <c r="J166" s="130">
        <f t="shared" si="7"/>
        <v>10</v>
      </c>
      <c r="K166" s="131" t="str">
        <f t="shared" si="108"/>
        <v>#REF!</v>
      </c>
      <c r="L166" s="131" t="str">
        <f t="shared" si="8"/>
        <v>#REF!</v>
      </c>
      <c r="M166" s="131" t="str">
        <f t="array" ref="M166">INDEX(L:L,MIN(IF(ISNUMBER(L166:L362),ROW(L166:L362),"")))</f>
        <v/>
      </c>
      <c r="N166" s="130" t="str">
        <f t="shared" si="109"/>
        <v>#REF!</v>
      </c>
      <c r="O166" s="130" t="str">
        <f>N166*VLOOKUP('Données projet (1)'!$B$9,'Paramètres (1)'!$A$1:$I$88,3,0)*VLOOKUP('Données projet (1)'!$B$9,'Paramètres (1)'!$A$1:$I$88,5,0)</f>
        <v>#REF!</v>
      </c>
      <c r="P166" s="130" t="str">
        <f t="shared" si="110"/>
        <v>#REF!</v>
      </c>
      <c r="Q166" s="141" t="str">
        <f t="shared" si="9"/>
        <v>#REF!</v>
      </c>
      <c r="R166" s="133" t="str">
        <f t="shared" si="10"/>
        <v>#REF!</v>
      </c>
      <c r="S166" s="133" t="str">
        <f t="shared" si="11"/>
        <v>#REF!</v>
      </c>
      <c r="T166" s="133" t="str">
        <f t="shared" si="111"/>
        <v>#REF!</v>
      </c>
      <c r="U166" s="134" t="str">
        <f t="shared" si="12"/>
        <v>#REF!</v>
      </c>
      <c r="V166" s="134" t="str">
        <f t="shared" si="13"/>
        <v>#REF!</v>
      </c>
      <c r="W166" s="135" t="str">
        <f>IF(ISNA(VLOOKUP(A166,'Données projet (1)'!$A$35:$I$55,5,0)),0%,VLOOKUP(A166,'Données projet (1)'!$A$35:$I$55,5,0)*VLOOKUP('Données projet (1)'!$B$9,'Paramètres (1)'!$A$1:$I$88,7,0))</f>
        <v>#REF!</v>
      </c>
      <c r="X166" s="135" t="str">
        <f>IF(ISNA(VLOOKUP(A166,'Données projet (1)'!$A$35:$I$55,6,0)),0%,VLOOKUP(A166,'Données projet (1)'!$A$35:$I$55,6,0)*VLOOKUP('Données projet (1)'!$B$9,'Paramètres (1)'!$A$1:$I$88,7,0))</f>
        <v>#REF!</v>
      </c>
      <c r="Y166" s="135" t="str">
        <f t="shared" si="14"/>
        <v>#REF!</v>
      </c>
      <c r="Z166" s="142" t="str">
        <f>EXP(-LN(2)/35)*Z165+(1-EXP(-LN(2)/35))/(LN(2)/35)*V166*W166*VLOOKUP('Données projet (1)'!$B$9,'Paramètres (1)'!$A$1:$I$88,3,0)*0.475*44/12</f>
        <v>#REF!</v>
      </c>
      <c r="AA166" s="142" t="str">
        <f>EXP(-LN(2)/25)*AA165+(1-EXP(-LN(2)/25))/(LN(2)/25)*'Calculateur (1)'!V166*'Calculateur (1)'!X166*VLOOKUP('Données projet (1)'!$B$9,'Paramètres (1)'!$A$1:$I$88,3,0)*0.475*44/12</f>
        <v>#REF!</v>
      </c>
      <c r="AB166" s="142" t="str">
        <f>EXP(-LN(2)/2)*AB165+(1-EXP(-LN(2)/2))/(LN(2)/2)*V166*Y166*VLOOKUP('Données projet (1)'!$B$9,'Paramètres (1)'!$A$1:$I$88,3,0)*0.475*44/12</f>
        <v>#REF!</v>
      </c>
      <c r="AC166" s="143" t="str">
        <f t="shared" si="15"/>
        <v>#REF!</v>
      </c>
      <c r="AD166" s="130" t="str">
        <f t="shared" si="16"/>
        <v>#REF!</v>
      </c>
      <c r="AE166" s="130">
        <f t="shared" si="17"/>
        <v>10</v>
      </c>
      <c r="AF166" s="131" t="str">
        <f t="shared" si="112"/>
        <v>#REF!</v>
      </c>
      <c r="AG166" s="131" t="str">
        <f t="shared" si="18"/>
        <v>#REF!</v>
      </c>
      <c r="AH166" s="131" t="str">
        <f t="array" ref="AH166">INDEX(AG:AG,MIN(IF(ISNUMBER(AG166:AG362),ROW(AG166:AG362),"")))</f>
        <v/>
      </c>
      <c r="AI166" s="130" t="str">
        <f t="shared" si="113"/>
        <v>#REF!</v>
      </c>
      <c r="AJ166" s="130" t="str">
        <f>AI166*VLOOKUP('Données projet (1)'!$B$10,'Paramètres (1)'!$A$1:$I$88,3,0)*VLOOKUP('Données projet (1)'!$B$10,'Paramètres (1)'!$A$1:$I$88,5,0)</f>
        <v>#REF!</v>
      </c>
      <c r="AK166" s="130" t="str">
        <f t="shared" si="114"/>
        <v>#REF!</v>
      </c>
      <c r="AL166" s="141" t="str">
        <f t="shared" si="19"/>
        <v>#REF!</v>
      </c>
      <c r="AM166" s="133" t="str">
        <f t="shared" si="20"/>
        <v>#REF!</v>
      </c>
      <c r="AN166" s="133" t="str">
        <f t="shared" si="21"/>
        <v>#REF!</v>
      </c>
      <c r="AO166" s="133" t="str">
        <f t="shared" si="115"/>
        <v>#REF!</v>
      </c>
      <c r="AP166" s="134" t="str">
        <f t="shared" si="22"/>
        <v>#REF!</v>
      </c>
      <c r="AQ166" s="134" t="str">
        <f t="shared" si="23"/>
        <v>#REF!</v>
      </c>
      <c r="AR166" s="135" t="str">
        <f>IF(ISNA(VLOOKUP(A166,'Données projet (1)'!$A$61:$I$81,5,0)),0%,VLOOKUP(A166,'Données projet (1)'!$A$61:$I$81,5,0)*VLOOKUP('Données projet (1)'!$B$10,'Paramètres (1)'!$A$1:$I$88,7,0))</f>
        <v>#REF!</v>
      </c>
      <c r="AS166" s="135" t="str">
        <f>IF(ISNA(VLOOKUP(A166,'Données projet (1)'!$A$61:$I$81,6,0)),0%,VLOOKUP(A166,'Données projet (1)'!$A$61:$I$81,6,0)*VLOOKUP('Données projet (1)'!$B$10,'Paramètres (1)'!$A$1:$I$88,7,0))</f>
        <v>#REF!</v>
      </c>
      <c r="AT166" s="135" t="str">
        <f t="shared" si="24"/>
        <v>#REF!</v>
      </c>
      <c r="AU166" s="142" t="str">
        <f>EXP(-LN(2)/35)*AU165+(1-EXP(-LN(2)/35))/(LN(2)/35)*AQ166*AR166*VLOOKUP('Données projet (1)'!$B$10,'Paramètres (1)'!$A$1:$I$88,3,0)*0.475*44/12</f>
        <v>#REF!</v>
      </c>
      <c r="AV166" s="142" t="str">
        <f>EXP(-LN(2)/25)*AV165+(1-EXP(-LN(2)/25))/(LN(2)/25)*'Calculateur (1)'!AQ166*'Calculateur (1)'!AS166*VLOOKUP('Données projet (1)'!$B$10,'Paramètres (1)'!$A$1:$I$88,3,0)*0.475*44/12</f>
        <v>#REF!</v>
      </c>
      <c r="AW166" s="142" t="str">
        <f>EXP(-LN(2)/2)*AW165+(1-EXP(-LN(2)/2))/(LN(2)/2)*AQ166*AT166*VLOOKUP('Données projet (1)'!$B$10,'Paramètres (1)'!$A$1:$I$88,3,0)*0.475*44/12</f>
        <v>#REF!</v>
      </c>
      <c r="AX166" s="142" t="str">
        <f t="shared" si="25"/>
        <v>#REF!</v>
      </c>
      <c r="AY166" s="137" t="str">
        <f t="shared" si="26"/>
        <v>#REF!</v>
      </c>
      <c r="AZ166" s="131">
        <f t="shared" si="27"/>
        <v>10</v>
      </c>
      <c r="BA166" s="131" t="str">
        <f t="shared" si="116"/>
        <v>#REF!</v>
      </c>
      <c r="BB166" s="131" t="str">
        <f t="shared" si="28"/>
        <v>#REF!</v>
      </c>
      <c r="BC166" s="131" t="str">
        <f t="array" ref="BC166">INDEX(BB:BB,MIN(IF(ISNUMBER(BB166:BB362),ROW(BB166:BB362),"")))</f>
        <v/>
      </c>
      <c r="BD166" s="131" t="str">
        <f t="shared" si="117"/>
        <v>#REF!</v>
      </c>
      <c r="BE166" s="130" t="str">
        <f>BD166*VLOOKUP('Données projet (1)'!$B$11,'Paramètres (1)'!$A$1:$I$88,3,0)*VLOOKUP('Données projet (1)'!$B$11,'Paramètres (1)'!$A$1:$I$88,5,0)</f>
        <v>#REF!</v>
      </c>
      <c r="BF166" s="130" t="str">
        <f t="shared" si="118"/>
        <v>#REF!</v>
      </c>
      <c r="BG166" s="141" t="str">
        <f t="shared" si="29"/>
        <v>#REF!</v>
      </c>
      <c r="BH166" s="133" t="str">
        <f t="shared" si="30"/>
        <v>#REF!</v>
      </c>
      <c r="BI166" s="133" t="str">
        <f t="shared" si="31"/>
        <v>#REF!</v>
      </c>
      <c r="BJ166" s="133" t="str">
        <f t="shared" si="119"/>
        <v>#REF!</v>
      </c>
      <c r="BK166" s="134" t="str">
        <f t="shared" si="32"/>
        <v>#REF!</v>
      </c>
      <c r="BL166" s="134" t="str">
        <f t="shared" si="33"/>
        <v>#REF!</v>
      </c>
      <c r="BM166" s="135" t="str">
        <f>IF(ISNA(VLOOKUP(A166,'Données projet (1)'!$A$87:$I$107,5,0)),0%,VLOOKUP(A166,'Données projet (1)'!$A$87:$I$107,5,0)*VLOOKUP('Données projet (1)'!$B$11,'Paramètres (1)'!$A$1:$I$88,7,0))</f>
        <v>#REF!</v>
      </c>
      <c r="BN166" s="135" t="str">
        <f>IF(ISNA(VLOOKUP(A166,'Données projet (1)'!$A$87:$I$107,6,0)),0%,VLOOKUP(A166,'Données projet (1)'!$A$87:$I$107,6,0)*VLOOKUP('Données projet (1)'!$B$11,'Paramètres (1)'!$A$1:$I$88,7,0))</f>
        <v>#REF!</v>
      </c>
      <c r="BO166" s="135" t="str">
        <f t="shared" si="34"/>
        <v>#REF!</v>
      </c>
      <c r="BP166" s="142" t="str">
        <f>EXP(-LN(2)/35)*BP165+(1-EXP(-LN(2)/35))/(LN(2)/35)*BL166*BM166*VLOOKUP('Données projet (1)'!$B$11,'Paramètres (1)'!$A$1:$I$88,3,0)*0.475*44/12</f>
        <v>#REF!</v>
      </c>
      <c r="BQ166" s="142" t="str">
        <f>EXP(-LN(2)/25)*BQ165+(1-EXP(-LN(2)/25))/(LN(2)/25)*'Calculateur (1)'!BL166*'Calculateur (1)'!BN166*VLOOKUP('Données projet (1)'!$B$11,'Paramètres (1)'!$A$1:$I$88,3,0)*0.475*44/12</f>
        <v>#REF!</v>
      </c>
      <c r="BR166" s="142" t="str">
        <f>EXP(-LN(2)/2)*BR165+(1-EXP(-LN(2)/2))/(LN(2)/2)*BL166*BO166*VLOOKUP('Données projet (1)'!$B$11,'Paramètres (1)'!$A$1:$I$88,3,0)*0.475*44/12</f>
        <v>#REF!</v>
      </c>
      <c r="BS166" s="143" t="str">
        <f t="shared" si="35"/>
        <v>#REF!</v>
      </c>
      <c r="BT166" s="139" t="str">
        <f t="shared" si="36"/>
        <v>#REF!</v>
      </c>
      <c r="BU166" s="131">
        <f t="shared" si="37"/>
        <v>10</v>
      </c>
      <c r="BV166" s="131" t="str">
        <f t="shared" si="120"/>
        <v>#REF!</v>
      </c>
      <c r="BW166" s="131" t="str">
        <f t="shared" si="38"/>
        <v>#REF!</v>
      </c>
      <c r="BX166" s="131" t="str">
        <f t="array" ref="BX166">INDEX(BW:BW,MIN(IF(ISNUMBER(BW166:BW362),ROW(BW166:BW362),"")))</f>
        <v/>
      </c>
      <c r="BY166" s="131" t="str">
        <f t="shared" si="121"/>
        <v>#REF!</v>
      </c>
      <c r="BZ166" s="130" t="str">
        <f>BY166*VLOOKUP('Données projet (1)'!$B$12,'Paramètres (1)'!$A$1:$I$88,3,0)*VLOOKUP('Données projet (1)'!$B$12,'Paramètres (1)'!$A$1:$I$88,5,0)</f>
        <v>#REF!</v>
      </c>
      <c r="CA166" s="130" t="str">
        <f t="shared" si="122"/>
        <v>#REF!</v>
      </c>
      <c r="CB166" s="141" t="str">
        <f t="shared" si="39"/>
        <v>#REF!</v>
      </c>
      <c r="CC166" s="133" t="str">
        <f t="shared" si="40"/>
        <v>#REF!</v>
      </c>
      <c r="CD166" s="133" t="str">
        <f t="shared" si="41"/>
        <v>#REF!</v>
      </c>
      <c r="CE166" s="133" t="str">
        <f t="shared" si="123"/>
        <v>#REF!</v>
      </c>
      <c r="CF166" s="134" t="str">
        <f t="shared" si="42"/>
        <v>#REF!</v>
      </c>
      <c r="CG166" s="134" t="str">
        <f t="shared" si="43"/>
        <v>#REF!</v>
      </c>
      <c r="CH166" s="135" t="str">
        <f>IF(ISNA(VLOOKUP(A166,'Données projet (1)'!$A$113:$I$133,5,0)),0%,VLOOKUP(A166,'Données projet (1)'!$A$113:$I$133,5,0)*VLOOKUP('Données projet (1)'!$B$12,'Paramètres (1)'!$A$1:$I$88,7,0))</f>
        <v>#REF!</v>
      </c>
      <c r="CI166" s="135" t="str">
        <f>IF(ISNA(VLOOKUP(A166,'Données projet (1)'!$A$113:$I$133,6,0)),0%,VLOOKUP(A166,'Données projet (1)'!$A$113:$I$133,6,0)*VLOOKUP('Données projet (1)'!$B$12,'Paramètres (1)'!$A$1:$I$88,7,0))</f>
        <v>#REF!</v>
      </c>
      <c r="CJ166" s="135" t="str">
        <f t="shared" si="44"/>
        <v>#REF!</v>
      </c>
      <c r="CK166" s="142" t="str">
        <f>EXP(-LN(2)/35)*CK165+(1-EXP(-LN(2)/35))/(LN(2)/35)*CG166*CH166*VLOOKUP('Données projet (1)'!$B$12,'Paramètres (1)'!$A$1:$I$88,3,0)*0.475*44/12</f>
        <v>#REF!</v>
      </c>
      <c r="CL166" s="142" t="str">
        <f>EXP(-LN(2)/25)*CL165+(1-EXP(-LN(2)/25))/(LN(2)/25)*'Calculateur (1)'!CG166*'Calculateur (1)'!CI166*VLOOKUP('Données projet (1)'!$B$12,'Paramètres (1)'!$A$1:$I$88,3,0)*0.475*44/12</f>
        <v>#REF!</v>
      </c>
      <c r="CM166" s="142" t="str">
        <f>EXP(-LN(2)/2)*CM165+(1-EXP(-LN(2)/2))/(LN(2)/2)*CG166*CJ166*VLOOKUP('Données projet (1)'!$B$12,'Paramètres (1)'!$A$1:$I$88,3,0)*0.475*44/12</f>
        <v>#REF!</v>
      </c>
      <c r="CN166" s="143" t="str">
        <f t="shared" si="45"/>
        <v>#REF!</v>
      </c>
      <c r="CO166" s="139" t="str">
        <f t="shared" si="46"/>
        <v>#REF!</v>
      </c>
      <c r="CP166" s="131">
        <f t="shared" si="47"/>
        <v>10</v>
      </c>
      <c r="CQ166" s="131" t="str">
        <f t="shared" si="124"/>
        <v>#REF!</v>
      </c>
      <c r="CR166" s="131" t="str">
        <f t="shared" si="48"/>
        <v>#REF!</v>
      </c>
      <c r="CS166" s="131" t="str">
        <f t="array" ref="CS166">INDEX(CR:CR,MIN(IF(ISNUMBER(CR166:CR362),ROW(CR166:CR362),"")))</f>
        <v/>
      </c>
      <c r="CT166" s="131" t="str">
        <f t="shared" si="125"/>
        <v>#REF!</v>
      </c>
      <c r="CU166" s="138" t="str">
        <f>CT166*VLOOKUP('Données projet (1)'!$B$13,'Paramètres (1)'!$A$1:$I$88,3,0)*VLOOKUP('Données projet (1)'!$B$13,'Paramètres (1)'!$A$1:$I$88,5,0)</f>
        <v>#REF!</v>
      </c>
      <c r="CV166" s="130" t="str">
        <f t="shared" si="126"/>
        <v>#REF!</v>
      </c>
      <c r="CW166" s="141" t="str">
        <f t="shared" si="49"/>
        <v>#REF!</v>
      </c>
      <c r="CX166" s="133" t="str">
        <f t="shared" si="50"/>
        <v>#REF!</v>
      </c>
      <c r="CY166" s="133" t="str">
        <f t="shared" si="51"/>
        <v>#REF!</v>
      </c>
      <c r="CZ166" s="133" t="str">
        <f t="shared" si="127"/>
        <v>#REF!</v>
      </c>
      <c r="DA166" s="134" t="str">
        <f t="shared" si="52"/>
        <v>#REF!</v>
      </c>
      <c r="DB166" s="134" t="str">
        <f t="shared" si="53"/>
        <v>#REF!</v>
      </c>
      <c r="DC166" s="135" t="str">
        <f>IF(ISNA(VLOOKUP(A166,'Données projet (1)'!$A$139:$I$159,5,0)),0%,VLOOKUP(A166,'Données projet (1)'!$A$139:$I$159,5,0)*VLOOKUP('Données projet (1)'!$B$13,'Paramètres (1)'!$A$1:$I$88,7,0))</f>
        <v>#REF!</v>
      </c>
      <c r="DD166" s="135" t="str">
        <f>IF(ISNA(VLOOKUP(A166,'Données projet (1)'!$A$139:$I$159,6,0)),0%,VLOOKUP(A166,'Données projet (1)'!$A$139:$I$159,6,0)*VLOOKUP('Données projet (1)'!$B$13,'Paramètres (1)'!$A$1:$I$88,7,0))</f>
        <v>#REF!</v>
      </c>
      <c r="DE166" s="135" t="str">
        <f t="shared" si="54"/>
        <v>#REF!</v>
      </c>
      <c r="DF166" s="142" t="str">
        <f>EXP(-LN(2)/35)*DF165+(1-EXP(-LN(2)/35))/(LN(2)/35)*DB166*DC166*VLOOKUP('Données projet (1)'!$B$13,'Paramètres (1)'!$A$1:$I$88,3,0)*0.475*44/12</f>
        <v>#REF!</v>
      </c>
      <c r="DG166" s="142" t="str">
        <f>EXP(-LN(2)/25)*DG165+(1-EXP(-LN(2)/25))/(LN(2)/25)*'Calculateur (1)'!DB166*'Calculateur (1)'!DD166*VLOOKUP('Données projet (1)'!$B$13,'Paramètres (1)'!$A$1:$I$88,3,0)*0.475*44/12</f>
        <v>#REF!</v>
      </c>
      <c r="DH166" s="142" t="str">
        <f>EXP(-LN(2)/2)*DH165+(1-EXP(-LN(2)/2))/(LN(2)/2)*DB166*DE166*VLOOKUP('Données projet (1)'!$B$13,'Paramètres (1)'!$A$1:$I$88,3,0)*0.475*44/12</f>
        <v>#REF!</v>
      </c>
      <c r="DI166" s="143" t="str">
        <f t="shared" si="55"/>
        <v>#REF!</v>
      </c>
      <c r="DJ166" s="139" t="str">
        <f t="shared" si="56"/>
        <v>#REF!</v>
      </c>
      <c r="DK166" s="131">
        <f t="shared" si="57"/>
        <v>10</v>
      </c>
      <c r="DL166" s="131" t="str">
        <f t="shared" si="128"/>
        <v>#REF!</v>
      </c>
      <c r="DM166" s="131" t="str">
        <f t="shared" si="58"/>
        <v>#REF!</v>
      </c>
      <c r="DN166" s="131" t="str">
        <f t="array" ref="DN166">INDEX(DM:DM,MIN(IF(ISNUMBER(DM166:DM362),ROW(DM166:DM362),"")))</f>
        <v/>
      </c>
      <c r="DO166" s="131" t="str">
        <f t="shared" si="129"/>
        <v>#REF!</v>
      </c>
      <c r="DP166" s="138" t="str">
        <f>DO166*VLOOKUP('Données projet (1)'!$B$14,'Paramètres (1)'!$A$1:$I$88,3,0)*VLOOKUP('Données projet (1)'!$B$14,'Paramètres (1)'!$A$1:$I$88,5,0)</f>
        <v>#REF!</v>
      </c>
      <c r="DQ166" s="130" t="str">
        <f t="shared" si="130"/>
        <v>#REF!</v>
      </c>
      <c r="DR166" s="141" t="str">
        <f t="shared" si="59"/>
        <v>#REF!</v>
      </c>
      <c r="DS166" s="133" t="str">
        <f t="shared" si="60"/>
        <v>#REF!</v>
      </c>
      <c r="DT166" s="133" t="str">
        <f t="shared" si="61"/>
        <v>#REF!</v>
      </c>
      <c r="DU166" s="133" t="str">
        <f t="shared" si="131"/>
        <v>#REF!</v>
      </c>
      <c r="DV166" s="134" t="str">
        <f t="shared" si="62"/>
        <v>#REF!</v>
      </c>
      <c r="DW166" s="134" t="str">
        <f t="shared" si="63"/>
        <v>#REF!</v>
      </c>
      <c r="DX166" s="135" t="str">
        <f>IF(ISNA(VLOOKUP(A166,'Données projet (1)'!$A$165:$I$185,5,0)),0%,VLOOKUP(A166,'Données projet (1)'!$A$165:$I$185,5,0)*VLOOKUP('Données projet (1)'!$B$14,'Paramètres (1)'!$A$1:$I$88,7,0))</f>
        <v>#REF!</v>
      </c>
      <c r="DY166" s="135" t="str">
        <f>IF(ISNA(VLOOKUP(A166,'Données projet (1)'!$A$165:$I$185,6,0)),0%,VLOOKUP(A166,'Données projet (1)'!$A$165:$I$185,6,0)*VLOOKUP('Données projet (1)'!$B$14,'Paramètres (1)'!$A$1:$I$88,7,0))</f>
        <v>#REF!</v>
      </c>
      <c r="DZ166" s="135" t="str">
        <f t="shared" si="64"/>
        <v>#REF!</v>
      </c>
      <c r="EA166" s="142" t="str">
        <f>EXP(-LN(2)/35)*EA165+(1-EXP(-LN(2)/35))/(LN(2)/35)*DW166*DX166*VLOOKUP('Données projet (1)'!$B$14,'Paramètres (1)'!$A$1:$I$88,3,0)*0.475*44/12</f>
        <v>#REF!</v>
      </c>
      <c r="EB166" s="142" t="str">
        <f>EXP(-LN(2)/25)*EB165+(1-EXP(-LN(2)/25))/(LN(2)/25)*'Calculateur (1)'!DW166*'Calculateur (1)'!DY166*VLOOKUP('Données projet (1)'!$B$14,'Paramètres (1)'!$A$1:$I$88,3,0)*0.475*44/12</f>
        <v>#REF!</v>
      </c>
      <c r="EC166" s="142" t="str">
        <f>EXP(-LN(2)/2)*EC165+(1-EXP(-LN(2)/2))/(LN(2)/2)*DW166*DZ166*VLOOKUP('Données projet (1)'!$B$14,'Paramètres (1)'!$A$1:$I$88,3,0)*0.475*44/12</f>
        <v>#REF!</v>
      </c>
      <c r="ED166" s="143" t="str">
        <f t="shared" si="65"/>
        <v>#REF!</v>
      </c>
      <c r="EE166" s="139" t="str">
        <f t="shared" si="66"/>
        <v>#REF!</v>
      </c>
      <c r="EF166" s="131">
        <f t="shared" si="67"/>
        <v>10</v>
      </c>
      <c r="EG166" s="131" t="str">
        <f t="shared" si="132"/>
        <v>#REF!</v>
      </c>
      <c r="EH166" s="131" t="str">
        <f t="shared" si="68"/>
        <v>#REF!</v>
      </c>
      <c r="EI166" s="131" t="str">
        <f t="array" ref="EI166">INDEX(EH:EH,MIN(IF(ISNUMBER(EH166:EH362),ROW(EH166:EH362),"")))</f>
        <v/>
      </c>
      <c r="EJ166" s="131" t="str">
        <f t="shared" si="133"/>
        <v>#REF!</v>
      </c>
      <c r="EK166" s="138" t="str">
        <f>EJ166*VLOOKUP('Données projet (1)'!$B$15,'Paramètres (1)'!$A$1:$I$88,3,0)*VLOOKUP('Données projet (1)'!$B$15,'Paramètres (1)'!$A$1:$I$88,5,0)</f>
        <v>#REF!</v>
      </c>
      <c r="EL166" s="130" t="str">
        <f t="shared" si="134"/>
        <v>#REF!</v>
      </c>
      <c r="EM166" s="141" t="str">
        <f t="shared" si="69"/>
        <v>#REF!</v>
      </c>
      <c r="EN166" s="133" t="str">
        <f t="shared" si="70"/>
        <v>#REF!</v>
      </c>
      <c r="EO166" s="133" t="str">
        <f t="shared" si="71"/>
        <v>#REF!</v>
      </c>
      <c r="EP166" s="133" t="str">
        <f t="shared" si="135"/>
        <v>#REF!</v>
      </c>
      <c r="EQ166" s="134" t="str">
        <f t="shared" si="72"/>
        <v>#REF!</v>
      </c>
      <c r="ER166" s="134" t="str">
        <f t="shared" si="73"/>
        <v>#REF!</v>
      </c>
      <c r="ES166" s="135" t="str">
        <f>IF(ISNA(VLOOKUP(A166,'Données projet (1)'!$A$191:$I$211,5,0)),0%,VLOOKUP(A166,'Données projet (1)'!$A$191:$I$211,5,0)*VLOOKUP('Données projet (1)'!$B$15,'Paramètres (1)'!$A$1:$I$88,7,0))</f>
        <v>#REF!</v>
      </c>
      <c r="ET166" s="135" t="str">
        <f>IF(ISNA(VLOOKUP(A166,'Données projet (1)'!$A$191:$I$211,6,0)),0%,VLOOKUP(A166,'Données projet (1)'!$A$191:$I$211,6,0)*VLOOKUP('Données projet (1)'!$B$15,'Paramètres (1)'!$A$1:$I$88,7,0))</f>
        <v>#REF!</v>
      </c>
      <c r="EU166" s="135" t="str">
        <f t="shared" si="74"/>
        <v>#REF!</v>
      </c>
      <c r="EV166" s="142" t="str">
        <f>EXP(-LN(2)/35)*EV165+(1-EXP(-LN(2)/35))/(LN(2)/35)*ER166*ES166*VLOOKUP('Données projet (1)'!$B$15,'Paramètres (1)'!$A$1:$I$88,3,0)*0.475*44/12</f>
        <v>#REF!</v>
      </c>
      <c r="EW166" s="142" t="str">
        <f>EXP(-LN(2)/25)*EW165+(1-EXP(-LN(2)/25))/(LN(2)/25)*'Calculateur (1)'!ER166*'Calculateur (1)'!ET166*VLOOKUP('Données projet (1)'!$B$15,'Paramètres (1)'!$A$1:$I$88,3,0)*0.475*44/12</f>
        <v>#REF!</v>
      </c>
      <c r="EX166" s="142" t="str">
        <f>EXP(-LN(2)/2)*EX165+(1-EXP(-LN(2)/2))/(LN(2)/2)*ER166*EU166*VLOOKUP('Données projet (1)'!$B$15,'Paramètres (1)'!$A$1:$I$88,3,0)*0.475*44/12</f>
        <v>#REF!</v>
      </c>
      <c r="EY166" s="143" t="str">
        <f t="shared" si="75"/>
        <v>#REF!</v>
      </c>
      <c r="EZ166" s="139" t="str">
        <f t="shared" si="76"/>
        <v>#REF!</v>
      </c>
      <c r="FA166" s="131">
        <f t="shared" si="77"/>
        <v>10</v>
      </c>
      <c r="FB166" s="131" t="str">
        <f t="shared" si="136"/>
        <v>#REF!</v>
      </c>
      <c r="FC166" s="131" t="str">
        <f t="shared" si="78"/>
        <v>#REF!</v>
      </c>
      <c r="FD166" s="131" t="str">
        <f t="array" ref="FD166">INDEX(FC:FC,MIN(IF(ISNUMBER(FC166:FC362),ROW(FC166:FC362),"")))</f>
        <v/>
      </c>
      <c r="FE166" s="131" t="str">
        <f t="shared" si="137"/>
        <v>#REF!</v>
      </c>
      <c r="FF166" s="138" t="str">
        <f>FE166*VLOOKUP('Données projet (1)'!$B$16,'Paramètres (1)'!$A$1:$I$88,3,0)*VLOOKUP('Données projet (1)'!$B$16,'Paramètres (1)'!$A$1:$I$88,5,0)</f>
        <v>#REF!</v>
      </c>
      <c r="FG166" s="130" t="str">
        <f t="shared" si="138"/>
        <v>#REF!</v>
      </c>
      <c r="FH166" s="141" t="str">
        <f t="shared" si="79"/>
        <v>#REF!</v>
      </c>
      <c r="FI166" s="133" t="str">
        <f t="shared" si="80"/>
        <v>#REF!</v>
      </c>
      <c r="FJ166" s="133" t="str">
        <f t="shared" si="81"/>
        <v>#REF!</v>
      </c>
      <c r="FK166" s="133" t="str">
        <f t="shared" si="139"/>
        <v>#REF!</v>
      </c>
      <c r="FL166" s="134" t="str">
        <f t="shared" si="82"/>
        <v>#REF!</v>
      </c>
      <c r="FM166" s="134" t="str">
        <f t="shared" si="83"/>
        <v>#REF!</v>
      </c>
      <c r="FN166" s="135" t="str">
        <f>IF(ISNA(VLOOKUP(A166,'Données projet (1)'!$A$217:$I$237,5,0)),0%,VLOOKUP(A166,'Données projet (1)'!$A$217:$I$237,5,0)*VLOOKUP('Données projet (1)'!$B$16,'Paramètres (1)'!$A$1:$I$88,7,0))</f>
        <v>#REF!</v>
      </c>
      <c r="FO166" s="135" t="str">
        <f>IF(ISNA(VLOOKUP(A166,'Données projet (1)'!$A$217:$I$237,6,0)),0%,VLOOKUP(A166,'Données projet (1)'!$A$217:$I$237,6,0)*VLOOKUP('Données projet (1)'!$B$16,'Paramètres (1)'!$A$1:$I$88,7,0))</f>
        <v>#REF!</v>
      </c>
      <c r="FP166" s="135" t="str">
        <f t="shared" si="84"/>
        <v>#REF!</v>
      </c>
      <c r="FQ166" s="142" t="str">
        <f>EXP(-LN(2)/35)*FQ165+(1-EXP(-LN(2)/35))/(LN(2)/35)*FM166*FN166*VLOOKUP('Données projet (1)'!$B$16,'Paramètres (1)'!$A$1:$I$88,3,0)*0.475*44/12</f>
        <v>#REF!</v>
      </c>
      <c r="FR166" s="142" t="str">
        <f>EXP(-LN(2)/25)*FR165+(1-EXP(-LN(2)/25))/(LN(2)/25)*'Calculateur (1)'!FM166*'Calculateur (1)'!FO166*VLOOKUP('Données projet (1)'!$B$16,'Paramètres (1)'!$A$1:$I$88,3,0)*0.475*44/12</f>
        <v>#REF!</v>
      </c>
      <c r="FS166" s="142" t="str">
        <f>EXP(-LN(2)/2)*FS165+(1-EXP(-LN(2)/2))/(LN(2)/2)*FM166*FP166*VLOOKUP('Données projet (1)'!$B$16,'Paramètres (1)'!$A$1:$I$88,3,0)*0.475*44/12</f>
        <v>#REF!</v>
      </c>
      <c r="FT166" s="143" t="str">
        <f t="shared" si="85"/>
        <v>#REF!</v>
      </c>
      <c r="FU166" s="139" t="str">
        <f t="shared" si="86"/>
        <v>#REF!</v>
      </c>
      <c r="FV166" s="131">
        <f t="shared" si="87"/>
        <v>10</v>
      </c>
      <c r="FW166" s="131" t="str">
        <f t="shared" si="140"/>
        <v>#REF!</v>
      </c>
      <c r="FX166" s="131" t="str">
        <f t="shared" si="88"/>
        <v>#REF!</v>
      </c>
      <c r="FY166" s="131" t="str">
        <f t="array" ref="FY166">INDEX(FX:FX,MIN(IF(ISNUMBER(FX166:FX362),ROW(FX166:FX362),"")))</f>
        <v/>
      </c>
      <c r="FZ166" s="131" t="str">
        <f t="shared" si="141"/>
        <v>#REF!</v>
      </c>
      <c r="GA166" s="138" t="str">
        <f>FZ166*VLOOKUP('Données projet (1)'!$B$17,'Paramètres (1)'!$A$1:$I$88,3,0)*VLOOKUP('Données projet (1)'!$B$17,'Paramètres (1)'!$A$1:$I$88,5,0)</f>
        <v>#REF!</v>
      </c>
      <c r="GB166" s="130" t="str">
        <f t="shared" si="142"/>
        <v>#REF!</v>
      </c>
      <c r="GC166" s="141" t="str">
        <f t="shared" si="89"/>
        <v>#REF!</v>
      </c>
      <c r="GD166" s="133" t="str">
        <f t="shared" si="90"/>
        <v>#REF!</v>
      </c>
      <c r="GE166" s="133" t="str">
        <f t="shared" si="91"/>
        <v>#REF!</v>
      </c>
      <c r="GF166" s="133" t="str">
        <f t="shared" si="143"/>
        <v>#REF!</v>
      </c>
      <c r="GG166" s="134" t="str">
        <f t="shared" si="92"/>
        <v>#REF!</v>
      </c>
      <c r="GH166" s="134" t="str">
        <f t="shared" si="93"/>
        <v>#REF!</v>
      </c>
      <c r="GI166" s="135" t="str">
        <f>IF(ISNA(VLOOKUP(A166,'Données projet (1)'!$A$243:$I$263,5,0)),0%,VLOOKUP(A166,'Données projet (1)'!$A$243:$I$263,5,0)*VLOOKUP('Données projet (1)'!$B$17,'Paramètres (1)'!$A$1:$I$88,7,0))</f>
        <v>#REF!</v>
      </c>
      <c r="GJ166" s="135" t="str">
        <f>IF(ISNA(VLOOKUP(A166,'Données projet (1)'!$A$243:$I$263,6,0)),0%,VLOOKUP(A166,'Données projet (1)'!$A$243:$I$263,6,0)*VLOOKUP('Données projet (1)'!$B$17,'Paramètres (1)'!$A$1:$I$88,7,0))</f>
        <v>#REF!</v>
      </c>
      <c r="GK166" s="135" t="str">
        <f t="shared" si="94"/>
        <v>#REF!</v>
      </c>
      <c r="GL166" s="142" t="str">
        <f>EXP(-LN(2)/35)*GL165+(1-EXP(-LN(2)/35))/(LN(2)/35)*GH166*GI166*VLOOKUP('Données projet (1)'!$B$17,'Paramètres (1)'!$A$1:$I$88,3,0)*0.475*44/12</f>
        <v>#REF!</v>
      </c>
      <c r="GM166" s="142" t="str">
        <f>EXP(-LN(2)/25)*GM165+(1-EXP(-LN(2)/25))/(LN(2)/25)*'Calculateur (1)'!GH166*'Calculateur (1)'!GJ166*VLOOKUP('Données projet (1)'!$B$17,'Paramètres (1)'!$A$1:$I$88,3,0)*0.475*44/12</f>
        <v>#REF!</v>
      </c>
      <c r="GN166" s="142" t="str">
        <f>EXP(-LN(2)/2)*GN165+(1-EXP(-LN(2)/2))/(LN(2)/2)*GH166*GK166*VLOOKUP('Données projet (1)'!$B$17,'Paramètres (1)'!$A$1:$I$88,3,0)*0.475*44/12</f>
        <v>#REF!</v>
      </c>
      <c r="GO166" s="142" t="str">
        <f t="shared" si="95"/>
        <v>#REF!</v>
      </c>
      <c r="GP166" s="139" t="str">
        <f t="shared" si="96"/>
        <v>#REF!</v>
      </c>
      <c r="GQ166" s="131">
        <f t="shared" si="97"/>
        <v>10</v>
      </c>
      <c r="GR166" s="131" t="str">
        <f t="shared" si="144"/>
        <v>#REF!</v>
      </c>
      <c r="GS166" s="131" t="str">
        <f t="shared" si="98"/>
        <v>#REF!</v>
      </c>
      <c r="GT166" s="131" t="str">
        <f t="array" ref="GT166">INDEX(GS:GS,MIN(IF(ISNUMBER(GS166:GS362),ROW(GS166:GS362),"")))</f>
        <v/>
      </c>
      <c r="GU166" s="131" t="str">
        <f t="shared" si="145"/>
        <v>#REF!</v>
      </c>
      <c r="GV166" s="138" t="str">
        <f>GU166*VLOOKUP('Données projet (1)'!$B$18,'Paramètres (1)'!$A$1:$I$88,3,0)*VLOOKUP('Données projet (1)'!$B$18,'Paramètres (1)'!$A$1:$I$88,5,0)</f>
        <v>#REF!</v>
      </c>
      <c r="GW166" s="130" t="str">
        <f t="shared" si="146"/>
        <v>#REF!</v>
      </c>
      <c r="GX166" s="141" t="str">
        <f t="shared" si="99"/>
        <v>#REF!</v>
      </c>
      <c r="GY166" s="133" t="str">
        <f t="shared" si="100"/>
        <v>#REF!</v>
      </c>
      <c r="GZ166" s="133" t="str">
        <f t="shared" si="101"/>
        <v>#REF!</v>
      </c>
      <c r="HA166" s="133" t="str">
        <f t="shared" si="147"/>
        <v>#REF!</v>
      </c>
      <c r="HB166" s="134" t="str">
        <f t="shared" si="102"/>
        <v>#REF!</v>
      </c>
      <c r="HC166" s="134" t="str">
        <f t="shared" si="103"/>
        <v>#REF!</v>
      </c>
      <c r="HD166" s="135" t="str">
        <f>IF(ISNA(VLOOKUP(A166,'Données projet (1)'!$A$269:$I$289,5,0)),0%,VLOOKUP(A166,'Données projet (1)'!$A$269:$I$289,5,0)*VLOOKUP('Données projet (1)'!$B$18,'Paramètres (1)'!$A$1:$I$88,7,0))</f>
        <v>#REF!</v>
      </c>
      <c r="HE166" s="135" t="str">
        <f>IF(ISNA(VLOOKUP(A166,'Données projet (1)'!$A$269:$I$289,6,0)),0%,VLOOKUP(A166,'Données projet (1)'!$A$269:$I$289,6,0)*VLOOKUP('Données projet (1)'!$B$18,'Paramètres (1)'!$A$1:$I$88,7,0))</f>
        <v>#REF!</v>
      </c>
      <c r="HF166" s="135" t="str">
        <f t="shared" si="104"/>
        <v>#REF!</v>
      </c>
      <c r="HG166" s="142" t="str">
        <f>EXP(-LN(2)/35)*HG165+(1-EXP(-LN(2)/35))/(LN(2)/35)*HC166*HD166*VLOOKUP('Données projet (1)'!$B$18,'Paramètres (1)'!$A$1:$I$88,3,0)*0.475*44/12</f>
        <v>#REF!</v>
      </c>
      <c r="HH166" s="142" t="str">
        <f>EXP(-LN(2)/25)*HH165+(1-EXP(-LN(2)/25))/(LN(2)/25)*'Calculateur (1)'!HC166*'Calculateur (1)'!HE166*VLOOKUP('Données projet (1)'!$B$18,'Paramètres (1)'!$A$1:$I$88,3,0)*0.475*44/12</f>
        <v>#REF!</v>
      </c>
      <c r="HI166" s="142" t="str">
        <f>EXP(-LN(2)/2)*HI165+(1-EXP(-LN(2)/2))/(LN(2)/2)*HC166*HF166*VLOOKUP('Données projet (1)'!$B$18,'Paramètres (1)'!$A$1:$I$88,3,0)*0.475*44/12</f>
        <v>#REF!</v>
      </c>
      <c r="HJ166" s="143" t="str">
        <f t="shared" si="105"/>
        <v>#REF!</v>
      </c>
    </row>
    <row r="167" ht="14.25" customHeight="1">
      <c r="A167" s="125">
        <f t="shared" si="106"/>
        <v>164</v>
      </c>
      <c r="B167" s="126" t="str">
        <f t="shared" si="1"/>
        <v>#REF!</v>
      </c>
      <c r="C167" s="140" t="str">
        <f>'Calculateur (1)'!C166+'Scénario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7" s="127">
        <f t="shared" si="107"/>
        <v>0</v>
      </c>
      <c r="E167" s="127" t="str">
        <f t="shared" si="2"/>
        <v>#REF!</v>
      </c>
      <c r="F167" s="127" t="str">
        <f t="shared" si="3"/>
        <v>#REF!</v>
      </c>
      <c r="G167" s="127" t="str">
        <f t="shared" si="4"/>
        <v>#REF!</v>
      </c>
      <c r="H167" s="128" t="str">
        <f t="shared" si="5"/>
        <v>#REF!</v>
      </c>
      <c r="I167" s="129" t="str">
        <f t="shared" si="6"/>
        <v>#REF!</v>
      </c>
      <c r="J167" s="130">
        <f t="shared" si="7"/>
        <v>10</v>
      </c>
      <c r="K167" s="131" t="str">
        <f t="shared" si="108"/>
        <v>#REF!</v>
      </c>
      <c r="L167" s="131" t="str">
        <f t="shared" si="8"/>
        <v>#REF!</v>
      </c>
      <c r="M167" s="131" t="str">
        <f t="array" ref="M167">INDEX(L:L,MIN(IF(ISNUMBER(L167:L363),ROW(L167:L363),"")))</f>
        <v/>
      </c>
      <c r="N167" s="130" t="str">
        <f t="shared" si="109"/>
        <v>#REF!</v>
      </c>
      <c r="O167" s="130" t="str">
        <f>N167*VLOOKUP('Données projet (1)'!$B$9,'Paramètres (1)'!$A$1:$I$88,3,0)*VLOOKUP('Données projet (1)'!$B$9,'Paramètres (1)'!$A$1:$I$88,5,0)</f>
        <v>#REF!</v>
      </c>
      <c r="P167" s="130" t="str">
        <f t="shared" si="110"/>
        <v>#REF!</v>
      </c>
      <c r="Q167" s="141" t="str">
        <f t="shared" si="9"/>
        <v>#REF!</v>
      </c>
      <c r="R167" s="133" t="str">
        <f t="shared" si="10"/>
        <v>#REF!</v>
      </c>
      <c r="S167" s="133" t="str">
        <f t="shared" si="11"/>
        <v>#REF!</v>
      </c>
      <c r="T167" s="133" t="str">
        <f t="shared" si="111"/>
        <v>#REF!</v>
      </c>
      <c r="U167" s="134" t="str">
        <f t="shared" si="12"/>
        <v>#REF!</v>
      </c>
      <c r="V167" s="134" t="str">
        <f t="shared" si="13"/>
        <v>#REF!</v>
      </c>
      <c r="W167" s="135" t="str">
        <f>IF(ISNA(VLOOKUP(A167,'Données projet (1)'!$A$35:$I$55,5,0)),0%,VLOOKUP(A167,'Données projet (1)'!$A$35:$I$55,5,0)*VLOOKUP('Données projet (1)'!$B$9,'Paramètres (1)'!$A$1:$I$88,7,0))</f>
        <v>#REF!</v>
      </c>
      <c r="X167" s="135" t="str">
        <f>IF(ISNA(VLOOKUP(A167,'Données projet (1)'!$A$35:$I$55,6,0)),0%,VLOOKUP(A167,'Données projet (1)'!$A$35:$I$55,6,0)*VLOOKUP('Données projet (1)'!$B$9,'Paramètres (1)'!$A$1:$I$88,7,0))</f>
        <v>#REF!</v>
      </c>
      <c r="Y167" s="135" t="str">
        <f t="shared" si="14"/>
        <v>#REF!</v>
      </c>
      <c r="Z167" s="142" t="str">
        <f>EXP(-LN(2)/35)*Z166+(1-EXP(-LN(2)/35))/(LN(2)/35)*V167*W167*VLOOKUP('Données projet (1)'!$B$9,'Paramètres (1)'!$A$1:$I$88,3,0)*0.475*44/12</f>
        <v>#REF!</v>
      </c>
      <c r="AA167" s="142" t="str">
        <f>EXP(-LN(2)/25)*AA166+(1-EXP(-LN(2)/25))/(LN(2)/25)*'Calculateur (1)'!V167*'Calculateur (1)'!X167*VLOOKUP('Données projet (1)'!$B$9,'Paramètres (1)'!$A$1:$I$88,3,0)*0.475*44/12</f>
        <v>#REF!</v>
      </c>
      <c r="AB167" s="142" t="str">
        <f>EXP(-LN(2)/2)*AB166+(1-EXP(-LN(2)/2))/(LN(2)/2)*V167*Y167*VLOOKUP('Données projet (1)'!$B$9,'Paramètres (1)'!$A$1:$I$88,3,0)*0.475*44/12</f>
        <v>#REF!</v>
      </c>
      <c r="AC167" s="143" t="str">
        <f t="shared" si="15"/>
        <v>#REF!</v>
      </c>
      <c r="AD167" s="130" t="str">
        <f t="shared" si="16"/>
        <v>#REF!</v>
      </c>
      <c r="AE167" s="130">
        <f t="shared" si="17"/>
        <v>10</v>
      </c>
      <c r="AF167" s="131" t="str">
        <f t="shared" si="112"/>
        <v>#REF!</v>
      </c>
      <c r="AG167" s="131" t="str">
        <f t="shared" si="18"/>
        <v>#REF!</v>
      </c>
      <c r="AH167" s="131" t="str">
        <f t="array" ref="AH167">INDEX(AG:AG,MIN(IF(ISNUMBER(AG167:AG363),ROW(AG167:AG363),"")))</f>
        <v/>
      </c>
      <c r="AI167" s="130" t="str">
        <f t="shared" si="113"/>
        <v>#REF!</v>
      </c>
      <c r="AJ167" s="130" t="str">
        <f>AI167*VLOOKUP('Données projet (1)'!$B$10,'Paramètres (1)'!$A$1:$I$88,3,0)*VLOOKUP('Données projet (1)'!$B$10,'Paramètres (1)'!$A$1:$I$88,5,0)</f>
        <v>#REF!</v>
      </c>
      <c r="AK167" s="130" t="str">
        <f t="shared" si="114"/>
        <v>#REF!</v>
      </c>
      <c r="AL167" s="141" t="str">
        <f t="shared" si="19"/>
        <v>#REF!</v>
      </c>
      <c r="AM167" s="133" t="str">
        <f t="shared" si="20"/>
        <v>#REF!</v>
      </c>
      <c r="AN167" s="133" t="str">
        <f t="shared" si="21"/>
        <v>#REF!</v>
      </c>
      <c r="AO167" s="133" t="str">
        <f t="shared" si="115"/>
        <v>#REF!</v>
      </c>
      <c r="AP167" s="134" t="str">
        <f t="shared" si="22"/>
        <v>#REF!</v>
      </c>
      <c r="AQ167" s="134" t="str">
        <f t="shared" si="23"/>
        <v>#REF!</v>
      </c>
      <c r="AR167" s="135" t="str">
        <f>IF(ISNA(VLOOKUP(A167,'Données projet (1)'!$A$61:$I$81,5,0)),0%,VLOOKUP(A167,'Données projet (1)'!$A$61:$I$81,5,0)*VLOOKUP('Données projet (1)'!$B$10,'Paramètres (1)'!$A$1:$I$88,7,0))</f>
        <v>#REF!</v>
      </c>
      <c r="AS167" s="135" t="str">
        <f>IF(ISNA(VLOOKUP(A167,'Données projet (1)'!$A$61:$I$81,6,0)),0%,VLOOKUP(A167,'Données projet (1)'!$A$61:$I$81,6,0)*VLOOKUP('Données projet (1)'!$B$10,'Paramètres (1)'!$A$1:$I$88,7,0))</f>
        <v>#REF!</v>
      </c>
      <c r="AT167" s="135" t="str">
        <f t="shared" si="24"/>
        <v>#REF!</v>
      </c>
      <c r="AU167" s="142" t="str">
        <f>EXP(-LN(2)/35)*AU166+(1-EXP(-LN(2)/35))/(LN(2)/35)*AQ167*AR167*VLOOKUP('Données projet (1)'!$B$10,'Paramètres (1)'!$A$1:$I$88,3,0)*0.475*44/12</f>
        <v>#REF!</v>
      </c>
      <c r="AV167" s="142" t="str">
        <f>EXP(-LN(2)/25)*AV166+(1-EXP(-LN(2)/25))/(LN(2)/25)*'Calculateur (1)'!AQ167*'Calculateur (1)'!AS167*VLOOKUP('Données projet (1)'!$B$10,'Paramètres (1)'!$A$1:$I$88,3,0)*0.475*44/12</f>
        <v>#REF!</v>
      </c>
      <c r="AW167" s="142" t="str">
        <f>EXP(-LN(2)/2)*AW166+(1-EXP(-LN(2)/2))/(LN(2)/2)*AQ167*AT167*VLOOKUP('Données projet (1)'!$B$10,'Paramètres (1)'!$A$1:$I$88,3,0)*0.475*44/12</f>
        <v>#REF!</v>
      </c>
      <c r="AX167" s="142" t="str">
        <f t="shared" si="25"/>
        <v>#REF!</v>
      </c>
      <c r="AY167" s="137" t="str">
        <f t="shared" si="26"/>
        <v>#REF!</v>
      </c>
      <c r="AZ167" s="131">
        <f t="shared" si="27"/>
        <v>10</v>
      </c>
      <c r="BA167" s="131" t="str">
        <f t="shared" si="116"/>
        <v>#REF!</v>
      </c>
      <c r="BB167" s="131" t="str">
        <f t="shared" si="28"/>
        <v>#REF!</v>
      </c>
      <c r="BC167" s="131" t="str">
        <f t="array" ref="BC167">INDEX(BB:BB,MIN(IF(ISNUMBER(BB167:BB363),ROW(BB167:BB363),"")))</f>
        <v/>
      </c>
      <c r="BD167" s="131" t="str">
        <f t="shared" si="117"/>
        <v>#REF!</v>
      </c>
      <c r="BE167" s="130" t="str">
        <f>BD167*VLOOKUP('Données projet (1)'!$B$11,'Paramètres (1)'!$A$1:$I$88,3,0)*VLOOKUP('Données projet (1)'!$B$11,'Paramètres (1)'!$A$1:$I$88,5,0)</f>
        <v>#REF!</v>
      </c>
      <c r="BF167" s="130" t="str">
        <f t="shared" si="118"/>
        <v>#REF!</v>
      </c>
      <c r="BG167" s="141" t="str">
        <f t="shared" si="29"/>
        <v>#REF!</v>
      </c>
      <c r="BH167" s="133" t="str">
        <f t="shared" si="30"/>
        <v>#REF!</v>
      </c>
      <c r="BI167" s="133" t="str">
        <f t="shared" si="31"/>
        <v>#REF!</v>
      </c>
      <c r="BJ167" s="133" t="str">
        <f t="shared" si="119"/>
        <v>#REF!</v>
      </c>
      <c r="BK167" s="134" t="str">
        <f t="shared" si="32"/>
        <v>#REF!</v>
      </c>
      <c r="BL167" s="134" t="str">
        <f t="shared" si="33"/>
        <v>#REF!</v>
      </c>
      <c r="BM167" s="135" t="str">
        <f>IF(ISNA(VLOOKUP(A167,'Données projet (1)'!$A$87:$I$107,5,0)),0%,VLOOKUP(A167,'Données projet (1)'!$A$87:$I$107,5,0)*VLOOKUP('Données projet (1)'!$B$11,'Paramètres (1)'!$A$1:$I$88,7,0))</f>
        <v>#REF!</v>
      </c>
      <c r="BN167" s="135" t="str">
        <f>IF(ISNA(VLOOKUP(A167,'Données projet (1)'!$A$87:$I$107,6,0)),0%,VLOOKUP(A167,'Données projet (1)'!$A$87:$I$107,6,0)*VLOOKUP('Données projet (1)'!$B$11,'Paramètres (1)'!$A$1:$I$88,7,0))</f>
        <v>#REF!</v>
      </c>
      <c r="BO167" s="135" t="str">
        <f t="shared" si="34"/>
        <v>#REF!</v>
      </c>
      <c r="BP167" s="142" t="str">
        <f>EXP(-LN(2)/35)*BP166+(1-EXP(-LN(2)/35))/(LN(2)/35)*BL167*BM167*VLOOKUP('Données projet (1)'!$B$11,'Paramètres (1)'!$A$1:$I$88,3,0)*0.475*44/12</f>
        <v>#REF!</v>
      </c>
      <c r="BQ167" s="142" t="str">
        <f>EXP(-LN(2)/25)*BQ166+(1-EXP(-LN(2)/25))/(LN(2)/25)*'Calculateur (1)'!BL167*'Calculateur (1)'!BN167*VLOOKUP('Données projet (1)'!$B$11,'Paramètres (1)'!$A$1:$I$88,3,0)*0.475*44/12</f>
        <v>#REF!</v>
      </c>
      <c r="BR167" s="142" t="str">
        <f>EXP(-LN(2)/2)*BR166+(1-EXP(-LN(2)/2))/(LN(2)/2)*BL167*BO167*VLOOKUP('Données projet (1)'!$B$11,'Paramètres (1)'!$A$1:$I$88,3,0)*0.475*44/12</f>
        <v>#REF!</v>
      </c>
      <c r="BS167" s="143" t="str">
        <f t="shared" si="35"/>
        <v>#REF!</v>
      </c>
      <c r="BT167" s="139" t="str">
        <f t="shared" si="36"/>
        <v>#REF!</v>
      </c>
      <c r="BU167" s="131">
        <f t="shared" si="37"/>
        <v>10</v>
      </c>
      <c r="BV167" s="131" t="str">
        <f t="shared" si="120"/>
        <v>#REF!</v>
      </c>
      <c r="BW167" s="131" t="str">
        <f t="shared" si="38"/>
        <v>#REF!</v>
      </c>
      <c r="BX167" s="131" t="str">
        <f t="array" ref="BX167">INDEX(BW:BW,MIN(IF(ISNUMBER(BW167:BW363),ROW(BW167:BW363),"")))</f>
        <v/>
      </c>
      <c r="BY167" s="131" t="str">
        <f t="shared" si="121"/>
        <v>#REF!</v>
      </c>
      <c r="BZ167" s="130" t="str">
        <f>BY167*VLOOKUP('Données projet (1)'!$B$12,'Paramètres (1)'!$A$1:$I$88,3,0)*VLOOKUP('Données projet (1)'!$B$12,'Paramètres (1)'!$A$1:$I$88,5,0)</f>
        <v>#REF!</v>
      </c>
      <c r="CA167" s="130" t="str">
        <f t="shared" si="122"/>
        <v>#REF!</v>
      </c>
      <c r="CB167" s="141" t="str">
        <f t="shared" si="39"/>
        <v>#REF!</v>
      </c>
      <c r="CC167" s="133" t="str">
        <f t="shared" si="40"/>
        <v>#REF!</v>
      </c>
      <c r="CD167" s="133" t="str">
        <f t="shared" si="41"/>
        <v>#REF!</v>
      </c>
      <c r="CE167" s="133" t="str">
        <f t="shared" si="123"/>
        <v>#REF!</v>
      </c>
      <c r="CF167" s="134" t="str">
        <f t="shared" si="42"/>
        <v>#REF!</v>
      </c>
      <c r="CG167" s="134" t="str">
        <f t="shared" si="43"/>
        <v>#REF!</v>
      </c>
      <c r="CH167" s="135" t="str">
        <f>IF(ISNA(VLOOKUP(A167,'Données projet (1)'!$A$113:$I$133,5,0)),0%,VLOOKUP(A167,'Données projet (1)'!$A$113:$I$133,5,0)*VLOOKUP('Données projet (1)'!$B$12,'Paramètres (1)'!$A$1:$I$88,7,0))</f>
        <v>#REF!</v>
      </c>
      <c r="CI167" s="135" t="str">
        <f>IF(ISNA(VLOOKUP(A167,'Données projet (1)'!$A$113:$I$133,6,0)),0%,VLOOKUP(A167,'Données projet (1)'!$A$113:$I$133,6,0)*VLOOKUP('Données projet (1)'!$B$12,'Paramètres (1)'!$A$1:$I$88,7,0))</f>
        <v>#REF!</v>
      </c>
      <c r="CJ167" s="135" t="str">
        <f t="shared" si="44"/>
        <v>#REF!</v>
      </c>
      <c r="CK167" s="142" t="str">
        <f>EXP(-LN(2)/35)*CK166+(1-EXP(-LN(2)/35))/(LN(2)/35)*CG167*CH167*VLOOKUP('Données projet (1)'!$B$12,'Paramètres (1)'!$A$1:$I$88,3,0)*0.475*44/12</f>
        <v>#REF!</v>
      </c>
      <c r="CL167" s="142" t="str">
        <f>EXP(-LN(2)/25)*CL166+(1-EXP(-LN(2)/25))/(LN(2)/25)*'Calculateur (1)'!CG167*'Calculateur (1)'!CI167*VLOOKUP('Données projet (1)'!$B$12,'Paramètres (1)'!$A$1:$I$88,3,0)*0.475*44/12</f>
        <v>#REF!</v>
      </c>
      <c r="CM167" s="142" t="str">
        <f>EXP(-LN(2)/2)*CM166+(1-EXP(-LN(2)/2))/(LN(2)/2)*CG167*CJ167*VLOOKUP('Données projet (1)'!$B$12,'Paramètres (1)'!$A$1:$I$88,3,0)*0.475*44/12</f>
        <v>#REF!</v>
      </c>
      <c r="CN167" s="143" t="str">
        <f t="shared" si="45"/>
        <v>#REF!</v>
      </c>
      <c r="CO167" s="139" t="str">
        <f t="shared" si="46"/>
        <v>#REF!</v>
      </c>
      <c r="CP167" s="131">
        <f t="shared" si="47"/>
        <v>10</v>
      </c>
      <c r="CQ167" s="131" t="str">
        <f t="shared" si="124"/>
        <v>#REF!</v>
      </c>
      <c r="CR167" s="131" t="str">
        <f t="shared" si="48"/>
        <v>#REF!</v>
      </c>
      <c r="CS167" s="131" t="str">
        <f t="array" ref="CS167">INDEX(CR:CR,MIN(IF(ISNUMBER(CR167:CR363),ROW(CR167:CR363),"")))</f>
        <v/>
      </c>
      <c r="CT167" s="131" t="str">
        <f t="shared" si="125"/>
        <v>#REF!</v>
      </c>
      <c r="CU167" s="138" t="str">
        <f>CT167*VLOOKUP('Données projet (1)'!$B$13,'Paramètres (1)'!$A$1:$I$88,3,0)*VLOOKUP('Données projet (1)'!$B$13,'Paramètres (1)'!$A$1:$I$88,5,0)</f>
        <v>#REF!</v>
      </c>
      <c r="CV167" s="130" t="str">
        <f t="shared" si="126"/>
        <v>#REF!</v>
      </c>
      <c r="CW167" s="141" t="str">
        <f t="shared" si="49"/>
        <v>#REF!</v>
      </c>
      <c r="CX167" s="133" t="str">
        <f t="shared" si="50"/>
        <v>#REF!</v>
      </c>
      <c r="CY167" s="133" t="str">
        <f t="shared" si="51"/>
        <v>#REF!</v>
      </c>
      <c r="CZ167" s="133" t="str">
        <f t="shared" si="127"/>
        <v>#REF!</v>
      </c>
      <c r="DA167" s="134" t="str">
        <f t="shared" si="52"/>
        <v>#REF!</v>
      </c>
      <c r="DB167" s="134" t="str">
        <f t="shared" si="53"/>
        <v>#REF!</v>
      </c>
      <c r="DC167" s="135" t="str">
        <f>IF(ISNA(VLOOKUP(A167,'Données projet (1)'!$A$139:$I$159,5,0)),0%,VLOOKUP(A167,'Données projet (1)'!$A$139:$I$159,5,0)*VLOOKUP('Données projet (1)'!$B$13,'Paramètres (1)'!$A$1:$I$88,7,0))</f>
        <v>#REF!</v>
      </c>
      <c r="DD167" s="135" t="str">
        <f>IF(ISNA(VLOOKUP(A167,'Données projet (1)'!$A$139:$I$159,6,0)),0%,VLOOKUP(A167,'Données projet (1)'!$A$139:$I$159,6,0)*VLOOKUP('Données projet (1)'!$B$13,'Paramètres (1)'!$A$1:$I$88,7,0))</f>
        <v>#REF!</v>
      </c>
      <c r="DE167" s="135" t="str">
        <f t="shared" si="54"/>
        <v>#REF!</v>
      </c>
      <c r="DF167" s="142" t="str">
        <f>EXP(-LN(2)/35)*DF166+(1-EXP(-LN(2)/35))/(LN(2)/35)*DB167*DC167*VLOOKUP('Données projet (1)'!$B$13,'Paramètres (1)'!$A$1:$I$88,3,0)*0.475*44/12</f>
        <v>#REF!</v>
      </c>
      <c r="DG167" s="142" t="str">
        <f>EXP(-LN(2)/25)*DG166+(1-EXP(-LN(2)/25))/(LN(2)/25)*'Calculateur (1)'!DB167*'Calculateur (1)'!DD167*VLOOKUP('Données projet (1)'!$B$13,'Paramètres (1)'!$A$1:$I$88,3,0)*0.475*44/12</f>
        <v>#REF!</v>
      </c>
      <c r="DH167" s="142" t="str">
        <f>EXP(-LN(2)/2)*DH166+(1-EXP(-LN(2)/2))/(LN(2)/2)*DB167*DE167*VLOOKUP('Données projet (1)'!$B$13,'Paramètres (1)'!$A$1:$I$88,3,0)*0.475*44/12</f>
        <v>#REF!</v>
      </c>
      <c r="DI167" s="143" t="str">
        <f t="shared" si="55"/>
        <v>#REF!</v>
      </c>
      <c r="DJ167" s="139" t="str">
        <f t="shared" si="56"/>
        <v>#REF!</v>
      </c>
      <c r="DK167" s="131">
        <f t="shared" si="57"/>
        <v>10</v>
      </c>
      <c r="DL167" s="131" t="str">
        <f t="shared" si="128"/>
        <v>#REF!</v>
      </c>
      <c r="DM167" s="131" t="str">
        <f t="shared" si="58"/>
        <v>#REF!</v>
      </c>
      <c r="DN167" s="131" t="str">
        <f t="array" ref="DN167">INDEX(DM:DM,MIN(IF(ISNUMBER(DM167:DM363),ROW(DM167:DM363),"")))</f>
        <v/>
      </c>
      <c r="DO167" s="131" t="str">
        <f t="shared" si="129"/>
        <v>#REF!</v>
      </c>
      <c r="DP167" s="138" t="str">
        <f>DO167*VLOOKUP('Données projet (1)'!$B$14,'Paramètres (1)'!$A$1:$I$88,3,0)*VLOOKUP('Données projet (1)'!$B$14,'Paramètres (1)'!$A$1:$I$88,5,0)</f>
        <v>#REF!</v>
      </c>
      <c r="DQ167" s="130" t="str">
        <f t="shared" si="130"/>
        <v>#REF!</v>
      </c>
      <c r="DR167" s="141" t="str">
        <f t="shared" si="59"/>
        <v>#REF!</v>
      </c>
      <c r="DS167" s="133" t="str">
        <f t="shared" si="60"/>
        <v>#REF!</v>
      </c>
      <c r="DT167" s="133" t="str">
        <f t="shared" si="61"/>
        <v>#REF!</v>
      </c>
      <c r="DU167" s="133" t="str">
        <f t="shared" si="131"/>
        <v>#REF!</v>
      </c>
      <c r="DV167" s="134" t="str">
        <f t="shared" si="62"/>
        <v>#REF!</v>
      </c>
      <c r="DW167" s="134" t="str">
        <f t="shared" si="63"/>
        <v>#REF!</v>
      </c>
      <c r="DX167" s="135" t="str">
        <f>IF(ISNA(VLOOKUP(A167,'Données projet (1)'!$A$165:$I$185,5,0)),0%,VLOOKUP(A167,'Données projet (1)'!$A$165:$I$185,5,0)*VLOOKUP('Données projet (1)'!$B$14,'Paramètres (1)'!$A$1:$I$88,7,0))</f>
        <v>#REF!</v>
      </c>
      <c r="DY167" s="135" t="str">
        <f>IF(ISNA(VLOOKUP(A167,'Données projet (1)'!$A$165:$I$185,6,0)),0%,VLOOKUP(A167,'Données projet (1)'!$A$165:$I$185,6,0)*VLOOKUP('Données projet (1)'!$B$14,'Paramètres (1)'!$A$1:$I$88,7,0))</f>
        <v>#REF!</v>
      </c>
      <c r="DZ167" s="135" t="str">
        <f t="shared" si="64"/>
        <v>#REF!</v>
      </c>
      <c r="EA167" s="142" t="str">
        <f>EXP(-LN(2)/35)*EA166+(1-EXP(-LN(2)/35))/(LN(2)/35)*DW167*DX167*VLOOKUP('Données projet (1)'!$B$14,'Paramètres (1)'!$A$1:$I$88,3,0)*0.475*44/12</f>
        <v>#REF!</v>
      </c>
      <c r="EB167" s="142" t="str">
        <f>EXP(-LN(2)/25)*EB166+(1-EXP(-LN(2)/25))/(LN(2)/25)*'Calculateur (1)'!DW167*'Calculateur (1)'!DY167*VLOOKUP('Données projet (1)'!$B$14,'Paramètres (1)'!$A$1:$I$88,3,0)*0.475*44/12</f>
        <v>#REF!</v>
      </c>
      <c r="EC167" s="142" t="str">
        <f>EXP(-LN(2)/2)*EC166+(1-EXP(-LN(2)/2))/(LN(2)/2)*DW167*DZ167*VLOOKUP('Données projet (1)'!$B$14,'Paramètres (1)'!$A$1:$I$88,3,0)*0.475*44/12</f>
        <v>#REF!</v>
      </c>
      <c r="ED167" s="143" t="str">
        <f t="shared" si="65"/>
        <v>#REF!</v>
      </c>
      <c r="EE167" s="139" t="str">
        <f t="shared" si="66"/>
        <v>#REF!</v>
      </c>
      <c r="EF167" s="131">
        <f t="shared" si="67"/>
        <v>10</v>
      </c>
      <c r="EG167" s="131" t="str">
        <f t="shared" si="132"/>
        <v>#REF!</v>
      </c>
      <c r="EH167" s="131" t="str">
        <f t="shared" si="68"/>
        <v>#REF!</v>
      </c>
      <c r="EI167" s="131" t="str">
        <f t="array" ref="EI167">INDEX(EH:EH,MIN(IF(ISNUMBER(EH167:EH363),ROW(EH167:EH363),"")))</f>
        <v/>
      </c>
      <c r="EJ167" s="131" t="str">
        <f t="shared" si="133"/>
        <v>#REF!</v>
      </c>
      <c r="EK167" s="138" t="str">
        <f>EJ167*VLOOKUP('Données projet (1)'!$B$15,'Paramètres (1)'!$A$1:$I$88,3,0)*VLOOKUP('Données projet (1)'!$B$15,'Paramètres (1)'!$A$1:$I$88,5,0)</f>
        <v>#REF!</v>
      </c>
      <c r="EL167" s="130" t="str">
        <f t="shared" si="134"/>
        <v>#REF!</v>
      </c>
      <c r="EM167" s="141" t="str">
        <f t="shared" si="69"/>
        <v>#REF!</v>
      </c>
      <c r="EN167" s="133" t="str">
        <f t="shared" si="70"/>
        <v>#REF!</v>
      </c>
      <c r="EO167" s="133" t="str">
        <f t="shared" si="71"/>
        <v>#REF!</v>
      </c>
      <c r="EP167" s="133" t="str">
        <f t="shared" si="135"/>
        <v>#REF!</v>
      </c>
      <c r="EQ167" s="134" t="str">
        <f t="shared" si="72"/>
        <v>#REF!</v>
      </c>
      <c r="ER167" s="134" t="str">
        <f t="shared" si="73"/>
        <v>#REF!</v>
      </c>
      <c r="ES167" s="135" t="str">
        <f>IF(ISNA(VLOOKUP(A167,'Données projet (1)'!$A$191:$I$211,5,0)),0%,VLOOKUP(A167,'Données projet (1)'!$A$191:$I$211,5,0)*VLOOKUP('Données projet (1)'!$B$15,'Paramètres (1)'!$A$1:$I$88,7,0))</f>
        <v>#REF!</v>
      </c>
      <c r="ET167" s="135" t="str">
        <f>IF(ISNA(VLOOKUP(A167,'Données projet (1)'!$A$191:$I$211,6,0)),0%,VLOOKUP(A167,'Données projet (1)'!$A$191:$I$211,6,0)*VLOOKUP('Données projet (1)'!$B$15,'Paramètres (1)'!$A$1:$I$88,7,0))</f>
        <v>#REF!</v>
      </c>
      <c r="EU167" s="135" t="str">
        <f t="shared" si="74"/>
        <v>#REF!</v>
      </c>
      <c r="EV167" s="142" t="str">
        <f>EXP(-LN(2)/35)*EV166+(1-EXP(-LN(2)/35))/(LN(2)/35)*ER167*ES167*VLOOKUP('Données projet (1)'!$B$15,'Paramètres (1)'!$A$1:$I$88,3,0)*0.475*44/12</f>
        <v>#REF!</v>
      </c>
      <c r="EW167" s="142" t="str">
        <f>EXP(-LN(2)/25)*EW166+(1-EXP(-LN(2)/25))/(LN(2)/25)*'Calculateur (1)'!ER167*'Calculateur (1)'!ET167*VLOOKUP('Données projet (1)'!$B$15,'Paramètres (1)'!$A$1:$I$88,3,0)*0.475*44/12</f>
        <v>#REF!</v>
      </c>
      <c r="EX167" s="142" t="str">
        <f>EXP(-LN(2)/2)*EX166+(1-EXP(-LN(2)/2))/(LN(2)/2)*ER167*EU167*VLOOKUP('Données projet (1)'!$B$15,'Paramètres (1)'!$A$1:$I$88,3,0)*0.475*44/12</f>
        <v>#REF!</v>
      </c>
      <c r="EY167" s="143" t="str">
        <f t="shared" si="75"/>
        <v>#REF!</v>
      </c>
      <c r="EZ167" s="139" t="str">
        <f t="shared" si="76"/>
        <v>#REF!</v>
      </c>
      <c r="FA167" s="131">
        <f t="shared" si="77"/>
        <v>10</v>
      </c>
      <c r="FB167" s="131" t="str">
        <f t="shared" si="136"/>
        <v>#REF!</v>
      </c>
      <c r="FC167" s="131" t="str">
        <f t="shared" si="78"/>
        <v>#REF!</v>
      </c>
      <c r="FD167" s="131" t="str">
        <f t="array" ref="FD167">INDEX(FC:FC,MIN(IF(ISNUMBER(FC167:FC363),ROW(FC167:FC363),"")))</f>
        <v/>
      </c>
      <c r="FE167" s="131" t="str">
        <f t="shared" si="137"/>
        <v>#REF!</v>
      </c>
      <c r="FF167" s="138" t="str">
        <f>FE167*VLOOKUP('Données projet (1)'!$B$16,'Paramètres (1)'!$A$1:$I$88,3,0)*VLOOKUP('Données projet (1)'!$B$16,'Paramètres (1)'!$A$1:$I$88,5,0)</f>
        <v>#REF!</v>
      </c>
      <c r="FG167" s="130" t="str">
        <f t="shared" si="138"/>
        <v>#REF!</v>
      </c>
      <c r="FH167" s="141" t="str">
        <f t="shared" si="79"/>
        <v>#REF!</v>
      </c>
      <c r="FI167" s="133" t="str">
        <f t="shared" si="80"/>
        <v>#REF!</v>
      </c>
      <c r="FJ167" s="133" t="str">
        <f t="shared" si="81"/>
        <v>#REF!</v>
      </c>
      <c r="FK167" s="133" t="str">
        <f t="shared" si="139"/>
        <v>#REF!</v>
      </c>
      <c r="FL167" s="134" t="str">
        <f t="shared" si="82"/>
        <v>#REF!</v>
      </c>
      <c r="FM167" s="134" t="str">
        <f t="shared" si="83"/>
        <v>#REF!</v>
      </c>
      <c r="FN167" s="135" t="str">
        <f>IF(ISNA(VLOOKUP(A167,'Données projet (1)'!$A$217:$I$237,5,0)),0%,VLOOKUP(A167,'Données projet (1)'!$A$217:$I$237,5,0)*VLOOKUP('Données projet (1)'!$B$16,'Paramètres (1)'!$A$1:$I$88,7,0))</f>
        <v>#REF!</v>
      </c>
      <c r="FO167" s="135" t="str">
        <f>IF(ISNA(VLOOKUP(A167,'Données projet (1)'!$A$217:$I$237,6,0)),0%,VLOOKUP(A167,'Données projet (1)'!$A$217:$I$237,6,0)*VLOOKUP('Données projet (1)'!$B$16,'Paramètres (1)'!$A$1:$I$88,7,0))</f>
        <v>#REF!</v>
      </c>
      <c r="FP167" s="135" t="str">
        <f t="shared" si="84"/>
        <v>#REF!</v>
      </c>
      <c r="FQ167" s="142" t="str">
        <f>EXP(-LN(2)/35)*FQ166+(1-EXP(-LN(2)/35))/(LN(2)/35)*FM167*FN167*VLOOKUP('Données projet (1)'!$B$16,'Paramètres (1)'!$A$1:$I$88,3,0)*0.475*44/12</f>
        <v>#REF!</v>
      </c>
      <c r="FR167" s="142" t="str">
        <f>EXP(-LN(2)/25)*FR166+(1-EXP(-LN(2)/25))/(LN(2)/25)*'Calculateur (1)'!FM167*'Calculateur (1)'!FO167*VLOOKUP('Données projet (1)'!$B$16,'Paramètres (1)'!$A$1:$I$88,3,0)*0.475*44/12</f>
        <v>#REF!</v>
      </c>
      <c r="FS167" s="142" t="str">
        <f>EXP(-LN(2)/2)*FS166+(1-EXP(-LN(2)/2))/(LN(2)/2)*FM167*FP167*VLOOKUP('Données projet (1)'!$B$16,'Paramètres (1)'!$A$1:$I$88,3,0)*0.475*44/12</f>
        <v>#REF!</v>
      </c>
      <c r="FT167" s="143" t="str">
        <f t="shared" si="85"/>
        <v>#REF!</v>
      </c>
      <c r="FU167" s="139" t="str">
        <f t="shared" si="86"/>
        <v>#REF!</v>
      </c>
      <c r="FV167" s="131">
        <f t="shared" si="87"/>
        <v>10</v>
      </c>
      <c r="FW167" s="131" t="str">
        <f t="shared" si="140"/>
        <v>#REF!</v>
      </c>
      <c r="FX167" s="131" t="str">
        <f t="shared" si="88"/>
        <v>#REF!</v>
      </c>
      <c r="FY167" s="131" t="str">
        <f t="array" ref="FY167">INDEX(FX:FX,MIN(IF(ISNUMBER(FX167:FX363),ROW(FX167:FX363),"")))</f>
        <v/>
      </c>
      <c r="FZ167" s="131" t="str">
        <f t="shared" si="141"/>
        <v>#REF!</v>
      </c>
      <c r="GA167" s="138" t="str">
        <f>FZ167*VLOOKUP('Données projet (1)'!$B$17,'Paramètres (1)'!$A$1:$I$88,3,0)*VLOOKUP('Données projet (1)'!$B$17,'Paramètres (1)'!$A$1:$I$88,5,0)</f>
        <v>#REF!</v>
      </c>
      <c r="GB167" s="130" t="str">
        <f t="shared" si="142"/>
        <v>#REF!</v>
      </c>
      <c r="GC167" s="141" t="str">
        <f t="shared" si="89"/>
        <v>#REF!</v>
      </c>
      <c r="GD167" s="133" t="str">
        <f t="shared" si="90"/>
        <v>#REF!</v>
      </c>
      <c r="GE167" s="133" t="str">
        <f t="shared" si="91"/>
        <v>#REF!</v>
      </c>
      <c r="GF167" s="133" t="str">
        <f t="shared" si="143"/>
        <v>#REF!</v>
      </c>
      <c r="GG167" s="134" t="str">
        <f t="shared" si="92"/>
        <v>#REF!</v>
      </c>
      <c r="GH167" s="134" t="str">
        <f t="shared" si="93"/>
        <v>#REF!</v>
      </c>
      <c r="GI167" s="135" t="str">
        <f>IF(ISNA(VLOOKUP(A167,'Données projet (1)'!$A$243:$I$263,5,0)),0%,VLOOKUP(A167,'Données projet (1)'!$A$243:$I$263,5,0)*VLOOKUP('Données projet (1)'!$B$17,'Paramètres (1)'!$A$1:$I$88,7,0))</f>
        <v>#REF!</v>
      </c>
      <c r="GJ167" s="135" t="str">
        <f>IF(ISNA(VLOOKUP(A167,'Données projet (1)'!$A$243:$I$263,6,0)),0%,VLOOKUP(A167,'Données projet (1)'!$A$243:$I$263,6,0)*VLOOKUP('Données projet (1)'!$B$17,'Paramètres (1)'!$A$1:$I$88,7,0))</f>
        <v>#REF!</v>
      </c>
      <c r="GK167" s="135" t="str">
        <f t="shared" si="94"/>
        <v>#REF!</v>
      </c>
      <c r="GL167" s="142" t="str">
        <f>EXP(-LN(2)/35)*GL166+(1-EXP(-LN(2)/35))/(LN(2)/35)*GH167*GI167*VLOOKUP('Données projet (1)'!$B$17,'Paramètres (1)'!$A$1:$I$88,3,0)*0.475*44/12</f>
        <v>#REF!</v>
      </c>
      <c r="GM167" s="142" t="str">
        <f>EXP(-LN(2)/25)*GM166+(1-EXP(-LN(2)/25))/(LN(2)/25)*'Calculateur (1)'!GH167*'Calculateur (1)'!GJ167*VLOOKUP('Données projet (1)'!$B$17,'Paramètres (1)'!$A$1:$I$88,3,0)*0.475*44/12</f>
        <v>#REF!</v>
      </c>
      <c r="GN167" s="142" t="str">
        <f>EXP(-LN(2)/2)*GN166+(1-EXP(-LN(2)/2))/(LN(2)/2)*GH167*GK167*VLOOKUP('Données projet (1)'!$B$17,'Paramètres (1)'!$A$1:$I$88,3,0)*0.475*44/12</f>
        <v>#REF!</v>
      </c>
      <c r="GO167" s="142" t="str">
        <f t="shared" si="95"/>
        <v>#REF!</v>
      </c>
      <c r="GP167" s="139" t="str">
        <f t="shared" si="96"/>
        <v>#REF!</v>
      </c>
      <c r="GQ167" s="131">
        <f t="shared" si="97"/>
        <v>10</v>
      </c>
      <c r="GR167" s="131" t="str">
        <f t="shared" si="144"/>
        <v>#REF!</v>
      </c>
      <c r="GS167" s="131" t="str">
        <f t="shared" si="98"/>
        <v>#REF!</v>
      </c>
      <c r="GT167" s="131" t="str">
        <f t="array" ref="GT167">INDEX(GS:GS,MIN(IF(ISNUMBER(GS167:GS363),ROW(GS167:GS363),"")))</f>
        <v/>
      </c>
      <c r="GU167" s="131" t="str">
        <f t="shared" si="145"/>
        <v>#REF!</v>
      </c>
      <c r="GV167" s="138" t="str">
        <f>GU167*VLOOKUP('Données projet (1)'!$B$18,'Paramètres (1)'!$A$1:$I$88,3,0)*VLOOKUP('Données projet (1)'!$B$18,'Paramètres (1)'!$A$1:$I$88,5,0)</f>
        <v>#REF!</v>
      </c>
      <c r="GW167" s="130" t="str">
        <f t="shared" si="146"/>
        <v>#REF!</v>
      </c>
      <c r="GX167" s="141" t="str">
        <f t="shared" si="99"/>
        <v>#REF!</v>
      </c>
      <c r="GY167" s="133" t="str">
        <f t="shared" si="100"/>
        <v>#REF!</v>
      </c>
      <c r="GZ167" s="133" t="str">
        <f t="shared" si="101"/>
        <v>#REF!</v>
      </c>
      <c r="HA167" s="133" t="str">
        <f t="shared" si="147"/>
        <v>#REF!</v>
      </c>
      <c r="HB167" s="134" t="str">
        <f t="shared" si="102"/>
        <v>#REF!</v>
      </c>
      <c r="HC167" s="134" t="str">
        <f t="shared" si="103"/>
        <v>#REF!</v>
      </c>
      <c r="HD167" s="135" t="str">
        <f>IF(ISNA(VLOOKUP(A167,'Données projet (1)'!$A$269:$I$289,5,0)),0%,VLOOKUP(A167,'Données projet (1)'!$A$269:$I$289,5,0)*VLOOKUP('Données projet (1)'!$B$18,'Paramètres (1)'!$A$1:$I$88,7,0))</f>
        <v>#REF!</v>
      </c>
      <c r="HE167" s="135" t="str">
        <f>IF(ISNA(VLOOKUP(A167,'Données projet (1)'!$A$269:$I$289,6,0)),0%,VLOOKUP(A167,'Données projet (1)'!$A$269:$I$289,6,0)*VLOOKUP('Données projet (1)'!$B$18,'Paramètres (1)'!$A$1:$I$88,7,0))</f>
        <v>#REF!</v>
      </c>
      <c r="HF167" s="135" t="str">
        <f t="shared" si="104"/>
        <v>#REF!</v>
      </c>
      <c r="HG167" s="142" t="str">
        <f>EXP(-LN(2)/35)*HG166+(1-EXP(-LN(2)/35))/(LN(2)/35)*HC167*HD167*VLOOKUP('Données projet (1)'!$B$18,'Paramètres (1)'!$A$1:$I$88,3,0)*0.475*44/12</f>
        <v>#REF!</v>
      </c>
      <c r="HH167" s="142" t="str">
        <f>EXP(-LN(2)/25)*HH166+(1-EXP(-LN(2)/25))/(LN(2)/25)*'Calculateur (1)'!HC167*'Calculateur (1)'!HE167*VLOOKUP('Données projet (1)'!$B$18,'Paramètres (1)'!$A$1:$I$88,3,0)*0.475*44/12</f>
        <v>#REF!</v>
      </c>
      <c r="HI167" s="142" t="str">
        <f>EXP(-LN(2)/2)*HI166+(1-EXP(-LN(2)/2))/(LN(2)/2)*HC167*HF167*VLOOKUP('Données projet (1)'!$B$18,'Paramètres (1)'!$A$1:$I$88,3,0)*0.475*44/12</f>
        <v>#REF!</v>
      </c>
      <c r="HJ167" s="143" t="str">
        <f t="shared" si="105"/>
        <v>#REF!</v>
      </c>
    </row>
    <row r="168" ht="14.25" customHeight="1">
      <c r="A168" s="125">
        <f t="shared" si="106"/>
        <v>165</v>
      </c>
      <c r="B168" s="126" t="str">
        <f t="shared" si="1"/>
        <v>#REF!</v>
      </c>
      <c r="C168" s="140" t="str">
        <f>'Calculateur (1)'!C167+'Scénario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8" s="127">
        <f t="shared" si="107"/>
        <v>0</v>
      </c>
      <c r="E168" s="127" t="str">
        <f t="shared" si="2"/>
        <v>#REF!</v>
      </c>
      <c r="F168" s="127" t="str">
        <f t="shared" si="3"/>
        <v>#REF!</v>
      </c>
      <c r="G168" s="127" t="str">
        <f t="shared" si="4"/>
        <v>#REF!</v>
      </c>
      <c r="H168" s="128" t="str">
        <f t="shared" si="5"/>
        <v>#REF!</v>
      </c>
      <c r="I168" s="129" t="str">
        <f t="shared" si="6"/>
        <v>#REF!</v>
      </c>
      <c r="J168" s="130">
        <f t="shared" si="7"/>
        <v>10</v>
      </c>
      <c r="K168" s="131" t="str">
        <f t="shared" si="108"/>
        <v>#REF!</v>
      </c>
      <c r="L168" s="131" t="str">
        <f t="shared" si="8"/>
        <v>#REF!</v>
      </c>
      <c r="M168" s="131" t="str">
        <f t="array" ref="M168">INDEX(L:L,MIN(IF(ISNUMBER(L168:L364),ROW(L168:L364),"")))</f>
        <v/>
      </c>
      <c r="N168" s="130" t="str">
        <f t="shared" si="109"/>
        <v>#REF!</v>
      </c>
      <c r="O168" s="130" t="str">
        <f>N168*VLOOKUP('Données projet (1)'!$B$9,'Paramètres (1)'!$A$1:$I$88,3,0)*VLOOKUP('Données projet (1)'!$B$9,'Paramètres (1)'!$A$1:$I$88,5,0)</f>
        <v>#REF!</v>
      </c>
      <c r="P168" s="130" t="str">
        <f t="shared" si="110"/>
        <v>#REF!</v>
      </c>
      <c r="Q168" s="141" t="str">
        <f t="shared" si="9"/>
        <v>#REF!</v>
      </c>
      <c r="R168" s="133" t="str">
        <f t="shared" si="10"/>
        <v>#REF!</v>
      </c>
      <c r="S168" s="133" t="str">
        <f t="shared" si="11"/>
        <v>#REF!</v>
      </c>
      <c r="T168" s="133" t="str">
        <f t="shared" si="111"/>
        <v>#REF!</v>
      </c>
      <c r="U168" s="134" t="str">
        <f t="shared" si="12"/>
        <v>#REF!</v>
      </c>
      <c r="V168" s="134" t="str">
        <f t="shared" si="13"/>
        <v>#REF!</v>
      </c>
      <c r="W168" s="135" t="str">
        <f>IF(ISNA(VLOOKUP(A168,'Données projet (1)'!$A$35:$I$55,5,0)),0%,VLOOKUP(A168,'Données projet (1)'!$A$35:$I$55,5,0)*VLOOKUP('Données projet (1)'!$B$9,'Paramètres (1)'!$A$1:$I$88,7,0))</f>
        <v>#REF!</v>
      </c>
      <c r="X168" s="135" t="str">
        <f>IF(ISNA(VLOOKUP(A168,'Données projet (1)'!$A$35:$I$55,6,0)),0%,VLOOKUP(A168,'Données projet (1)'!$A$35:$I$55,6,0)*VLOOKUP('Données projet (1)'!$B$9,'Paramètres (1)'!$A$1:$I$88,7,0))</f>
        <v>#REF!</v>
      </c>
      <c r="Y168" s="135" t="str">
        <f t="shared" si="14"/>
        <v>#REF!</v>
      </c>
      <c r="Z168" s="142" t="str">
        <f>EXP(-LN(2)/35)*Z167+(1-EXP(-LN(2)/35))/(LN(2)/35)*V168*W168*VLOOKUP('Données projet (1)'!$B$9,'Paramètres (1)'!$A$1:$I$88,3,0)*0.475*44/12</f>
        <v>#REF!</v>
      </c>
      <c r="AA168" s="142" t="str">
        <f>EXP(-LN(2)/25)*AA167+(1-EXP(-LN(2)/25))/(LN(2)/25)*'Calculateur (1)'!V168*'Calculateur (1)'!X168*VLOOKUP('Données projet (1)'!$B$9,'Paramètres (1)'!$A$1:$I$88,3,0)*0.475*44/12</f>
        <v>#REF!</v>
      </c>
      <c r="AB168" s="142" t="str">
        <f>EXP(-LN(2)/2)*AB167+(1-EXP(-LN(2)/2))/(LN(2)/2)*V168*Y168*VLOOKUP('Données projet (1)'!$B$9,'Paramètres (1)'!$A$1:$I$88,3,0)*0.475*44/12</f>
        <v>#REF!</v>
      </c>
      <c r="AC168" s="143" t="str">
        <f t="shared" si="15"/>
        <v>#REF!</v>
      </c>
      <c r="AD168" s="130" t="str">
        <f t="shared" si="16"/>
        <v>#REF!</v>
      </c>
      <c r="AE168" s="130">
        <f t="shared" si="17"/>
        <v>10</v>
      </c>
      <c r="AF168" s="131" t="str">
        <f t="shared" si="112"/>
        <v>#REF!</v>
      </c>
      <c r="AG168" s="131" t="str">
        <f t="shared" si="18"/>
        <v>#REF!</v>
      </c>
      <c r="AH168" s="131" t="str">
        <f t="array" ref="AH168">INDEX(AG:AG,MIN(IF(ISNUMBER(AG168:AG364),ROW(AG168:AG364),"")))</f>
        <v/>
      </c>
      <c r="AI168" s="130" t="str">
        <f t="shared" si="113"/>
        <v>#REF!</v>
      </c>
      <c r="AJ168" s="130" t="str">
        <f>AI168*VLOOKUP('Données projet (1)'!$B$10,'Paramètres (1)'!$A$1:$I$88,3,0)*VLOOKUP('Données projet (1)'!$B$10,'Paramètres (1)'!$A$1:$I$88,5,0)</f>
        <v>#REF!</v>
      </c>
      <c r="AK168" s="130" t="str">
        <f t="shared" si="114"/>
        <v>#REF!</v>
      </c>
      <c r="AL168" s="141" t="str">
        <f t="shared" si="19"/>
        <v>#REF!</v>
      </c>
      <c r="AM168" s="133" t="str">
        <f t="shared" si="20"/>
        <v>#REF!</v>
      </c>
      <c r="AN168" s="133" t="str">
        <f t="shared" si="21"/>
        <v>#REF!</v>
      </c>
      <c r="AO168" s="133" t="str">
        <f t="shared" si="115"/>
        <v>#REF!</v>
      </c>
      <c r="AP168" s="134" t="str">
        <f t="shared" si="22"/>
        <v>#REF!</v>
      </c>
      <c r="AQ168" s="134" t="str">
        <f t="shared" si="23"/>
        <v>#REF!</v>
      </c>
      <c r="AR168" s="135" t="str">
        <f>IF(ISNA(VLOOKUP(A168,'Données projet (1)'!$A$61:$I$81,5,0)),0%,VLOOKUP(A168,'Données projet (1)'!$A$61:$I$81,5,0)*VLOOKUP('Données projet (1)'!$B$10,'Paramètres (1)'!$A$1:$I$88,7,0))</f>
        <v>#REF!</v>
      </c>
      <c r="AS168" s="135" t="str">
        <f>IF(ISNA(VLOOKUP(A168,'Données projet (1)'!$A$61:$I$81,6,0)),0%,VLOOKUP(A168,'Données projet (1)'!$A$61:$I$81,6,0)*VLOOKUP('Données projet (1)'!$B$10,'Paramètres (1)'!$A$1:$I$88,7,0))</f>
        <v>#REF!</v>
      </c>
      <c r="AT168" s="135" t="str">
        <f t="shared" si="24"/>
        <v>#REF!</v>
      </c>
      <c r="AU168" s="142" t="str">
        <f>EXP(-LN(2)/35)*AU167+(1-EXP(-LN(2)/35))/(LN(2)/35)*AQ168*AR168*VLOOKUP('Données projet (1)'!$B$10,'Paramètres (1)'!$A$1:$I$88,3,0)*0.475*44/12</f>
        <v>#REF!</v>
      </c>
      <c r="AV168" s="142" t="str">
        <f>EXP(-LN(2)/25)*AV167+(1-EXP(-LN(2)/25))/(LN(2)/25)*'Calculateur (1)'!AQ168*'Calculateur (1)'!AS168*VLOOKUP('Données projet (1)'!$B$10,'Paramètres (1)'!$A$1:$I$88,3,0)*0.475*44/12</f>
        <v>#REF!</v>
      </c>
      <c r="AW168" s="142" t="str">
        <f>EXP(-LN(2)/2)*AW167+(1-EXP(-LN(2)/2))/(LN(2)/2)*AQ168*AT168*VLOOKUP('Données projet (1)'!$B$10,'Paramètres (1)'!$A$1:$I$88,3,0)*0.475*44/12</f>
        <v>#REF!</v>
      </c>
      <c r="AX168" s="142" t="str">
        <f t="shared" si="25"/>
        <v>#REF!</v>
      </c>
      <c r="AY168" s="137" t="str">
        <f t="shared" si="26"/>
        <v>#REF!</v>
      </c>
      <c r="AZ168" s="131">
        <f t="shared" si="27"/>
        <v>10</v>
      </c>
      <c r="BA168" s="131" t="str">
        <f t="shared" si="116"/>
        <v>#REF!</v>
      </c>
      <c r="BB168" s="131" t="str">
        <f t="shared" si="28"/>
        <v>#REF!</v>
      </c>
      <c r="BC168" s="131" t="str">
        <f t="array" ref="BC168">INDEX(BB:BB,MIN(IF(ISNUMBER(BB168:BB364),ROW(BB168:BB364),"")))</f>
        <v/>
      </c>
      <c r="BD168" s="131" t="str">
        <f t="shared" si="117"/>
        <v>#REF!</v>
      </c>
      <c r="BE168" s="130" t="str">
        <f>BD168*VLOOKUP('Données projet (1)'!$B$11,'Paramètres (1)'!$A$1:$I$88,3,0)*VLOOKUP('Données projet (1)'!$B$11,'Paramètres (1)'!$A$1:$I$88,5,0)</f>
        <v>#REF!</v>
      </c>
      <c r="BF168" s="130" t="str">
        <f t="shared" si="118"/>
        <v>#REF!</v>
      </c>
      <c r="BG168" s="141" t="str">
        <f t="shared" si="29"/>
        <v>#REF!</v>
      </c>
      <c r="BH168" s="133" t="str">
        <f t="shared" si="30"/>
        <v>#REF!</v>
      </c>
      <c r="BI168" s="133" t="str">
        <f t="shared" si="31"/>
        <v>#REF!</v>
      </c>
      <c r="BJ168" s="133" t="str">
        <f t="shared" si="119"/>
        <v>#REF!</v>
      </c>
      <c r="BK168" s="134" t="str">
        <f t="shared" si="32"/>
        <v>#REF!</v>
      </c>
      <c r="BL168" s="134" t="str">
        <f t="shared" si="33"/>
        <v>#REF!</v>
      </c>
      <c r="BM168" s="135" t="str">
        <f>IF(ISNA(VLOOKUP(A168,'Données projet (1)'!$A$87:$I$107,5,0)),0%,VLOOKUP(A168,'Données projet (1)'!$A$87:$I$107,5,0)*VLOOKUP('Données projet (1)'!$B$11,'Paramètres (1)'!$A$1:$I$88,7,0))</f>
        <v>#REF!</v>
      </c>
      <c r="BN168" s="135" t="str">
        <f>IF(ISNA(VLOOKUP(A168,'Données projet (1)'!$A$87:$I$107,6,0)),0%,VLOOKUP(A168,'Données projet (1)'!$A$87:$I$107,6,0)*VLOOKUP('Données projet (1)'!$B$11,'Paramètres (1)'!$A$1:$I$88,7,0))</f>
        <v>#REF!</v>
      </c>
      <c r="BO168" s="135" t="str">
        <f t="shared" si="34"/>
        <v>#REF!</v>
      </c>
      <c r="BP168" s="142" t="str">
        <f>EXP(-LN(2)/35)*BP167+(1-EXP(-LN(2)/35))/(LN(2)/35)*BL168*BM168*VLOOKUP('Données projet (1)'!$B$11,'Paramètres (1)'!$A$1:$I$88,3,0)*0.475*44/12</f>
        <v>#REF!</v>
      </c>
      <c r="BQ168" s="142" t="str">
        <f>EXP(-LN(2)/25)*BQ167+(1-EXP(-LN(2)/25))/(LN(2)/25)*'Calculateur (1)'!BL168*'Calculateur (1)'!BN168*VLOOKUP('Données projet (1)'!$B$11,'Paramètres (1)'!$A$1:$I$88,3,0)*0.475*44/12</f>
        <v>#REF!</v>
      </c>
      <c r="BR168" s="142" t="str">
        <f>EXP(-LN(2)/2)*BR167+(1-EXP(-LN(2)/2))/(LN(2)/2)*BL168*BO168*VLOOKUP('Données projet (1)'!$B$11,'Paramètres (1)'!$A$1:$I$88,3,0)*0.475*44/12</f>
        <v>#REF!</v>
      </c>
      <c r="BS168" s="143" t="str">
        <f t="shared" si="35"/>
        <v>#REF!</v>
      </c>
      <c r="BT168" s="139" t="str">
        <f t="shared" si="36"/>
        <v>#REF!</v>
      </c>
      <c r="BU168" s="131">
        <f t="shared" si="37"/>
        <v>10</v>
      </c>
      <c r="BV168" s="131" t="str">
        <f t="shared" si="120"/>
        <v>#REF!</v>
      </c>
      <c r="BW168" s="131" t="str">
        <f t="shared" si="38"/>
        <v>#REF!</v>
      </c>
      <c r="BX168" s="131" t="str">
        <f t="array" ref="BX168">INDEX(BW:BW,MIN(IF(ISNUMBER(BW168:BW364),ROW(BW168:BW364),"")))</f>
        <v/>
      </c>
      <c r="BY168" s="131" t="str">
        <f t="shared" si="121"/>
        <v>#REF!</v>
      </c>
      <c r="BZ168" s="130" t="str">
        <f>BY168*VLOOKUP('Données projet (1)'!$B$12,'Paramètres (1)'!$A$1:$I$88,3,0)*VLOOKUP('Données projet (1)'!$B$12,'Paramètres (1)'!$A$1:$I$88,5,0)</f>
        <v>#REF!</v>
      </c>
      <c r="CA168" s="130" t="str">
        <f t="shared" si="122"/>
        <v>#REF!</v>
      </c>
      <c r="CB168" s="141" t="str">
        <f t="shared" si="39"/>
        <v>#REF!</v>
      </c>
      <c r="CC168" s="133" t="str">
        <f t="shared" si="40"/>
        <v>#REF!</v>
      </c>
      <c r="CD168" s="133" t="str">
        <f t="shared" si="41"/>
        <v>#REF!</v>
      </c>
      <c r="CE168" s="133" t="str">
        <f t="shared" si="123"/>
        <v>#REF!</v>
      </c>
      <c r="CF168" s="134" t="str">
        <f t="shared" si="42"/>
        <v>#REF!</v>
      </c>
      <c r="CG168" s="134" t="str">
        <f t="shared" si="43"/>
        <v>#REF!</v>
      </c>
      <c r="CH168" s="135" t="str">
        <f>IF(ISNA(VLOOKUP(A168,'Données projet (1)'!$A$113:$I$133,5,0)),0%,VLOOKUP(A168,'Données projet (1)'!$A$113:$I$133,5,0)*VLOOKUP('Données projet (1)'!$B$12,'Paramètres (1)'!$A$1:$I$88,7,0))</f>
        <v>#REF!</v>
      </c>
      <c r="CI168" s="135" t="str">
        <f>IF(ISNA(VLOOKUP(A168,'Données projet (1)'!$A$113:$I$133,6,0)),0%,VLOOKUP(A168,'Données projet (1)'!$A$113:$I$133,6,0)*VLOOKUP('Données projet (1)'!$B$12,'Paramètres (1)'!$A$1:$I$88,7,0))</f>
        <v>#REF!</v>
      </c>
      <c r="CJ168" s="135" t="str">
        <f t="shared" si="44"/>
        <v>#REF!</v>
      </c>
      <c r="CK168" s="142" t="str">
        <f>EXP(-LN(2)/35)*CK167+(1-EXP(-LN(2)/35))/(LN(2)/35)*CG168*CH168*VLOOKUP('Données projet (1)'!$B$12,'Paramètres (1)'!$A$1:$I$88,3,0)*0.475*44/12</f>
        <v>#REF!</v>
      </c>
      <c r="CL168" s="142" t="str">
        <f>EXP(-LN(2)/25)*CL167+(1-EXP(-LN(2)/25))/(LN(2)/25)*'Calculateur (1)'!CG168*'Calculateur (1)'!CI168*VLOOKUP('Données projet (1)'!$B$12,'Paramètres (1)'!$A$1:$I$88,3,0)*0.475*44/12</f>
        <v>#REF!</v>
      </c>
      <c r="CM168" s="142" t="str">
        <f>EXP(-LN(2)/2)*CM167+(1-EXP(-LN(2)/2))/(LN(2)/2)*CG168*CJ168*VLOOKUP('Données projet (1)'!$B$12,'Paramètres (1)'!$A$1:$I$88,3,0)*0.475*44/12</f>
        <v>#REF!</v>
      </c>
      <c r="CN168" s="143" t="str">
        <f t="shared" si="45"/>
        <v>#REF!</v>
      </c>
      <c r="CO168" s="139" t="str">
        <f t="shared" si="46"/>
        <v>#REF!</v>
      </c>
      <c r="CP168" s="131">
        <f t="shared" si="47"/>
        <v>10</v>
      </c>
      <c r="CQ168" s="131" t="str">
        <f t="shared" si="124"/>
        <v>#REF!</v>
      </c>
      <c r="CR168" s="131" t="str">
        <f t="shared" si="48"/>
        <v>#REF!</v>
      </c>
      <c r="CS168" s="131" t="str">
        <f t="array" ref="CS168">INDEX(CR:CR,MIN(IF(ISNUMBER(CR168:CR364),ROW(CR168:CR364),"")))</f>
        <v/>
      </c>
      <c r="CT168" s="131" t="str">
        <f t="shared" si="125"/>
        <v>#REF!</v>
      </c>
      <c r="CU168" s="138" t="str">
        <f>CT168*VLOOKUP('Données projet (1)'!$B$13,'Paramètres (1)'!$A$1:$I$88,3,0)*VLOOKUP('Données projet (1)'!$B$13,'Paramètres (1)'!$A$1:$I$88,5,0)</f>
        <v>#REF!</v>
      </c>
      <c r="CV168" s="130" t="str">
        <f t="shared" si="126"/>
        <v>#REF!</v>
      </c>
      <c r="CW168" s="141" t="str">
        <f t="shared" si="49"/>
        <v>#REF!</v>
      </c>
      <c r="CX168" s="133" t="str">
        <f t="shared" si="50"/>
        <v>#REF!</v>
      </c>
      <c r="CY168" s="133" t="str">
        <f t="shared" si="51"/>
        <v>#REF!</v>
      </c>
      <c r="CZ168" s="133" t="str">
        <f t="shared" si="127"/>
        <v>#REF!</v>
      </c>
      <c r="DA168" s="134" t="str">
        <f t="shared" si="52"/>
        <v>#REF!</v>
      </c>
      <c r="DB168" s="134" t="str">
        <f t="shared" si="53"/>
        <v>#REF!</v>
      </c>
      <c r="DC168" s="135" t="str">
        <f>IF(ISNA(VLOOKUP(A168,'Données projet (1)'!$A$139:$I$159,5,0)),0%,VLOOKUP(A168,'Données projet (1)'!$A$139:$I$159,5,0)*VLOOKUP('Données projet (1)'!$B$13,'Paramètres (1)'!$A$1:$I$88,7,0))</f>
        <v>#REF!</v>
      </c>
      <c r="DD168" s="135" t="str">
        <f>IF(ISNA(VLOOKUP(A168,'Données projet (1)'!$A$139:$I$159,6,0)),0%,VLOOKUP(A168,'Données projet (1)'!$A$139:$I$159,6,0)*VLOOKUP('Données projet (1)'!$B$13,'Paramètres (1)'!$A$1:$I$88,7,0))</f>
        <v>#REF!</v>
      </c>
      <c r="DE168" s="135" t="str">
        <f t="shared" si="54"/>
        <v>#REF!</v>
      </c>
      <c r="DF168" s="142" t="str">
        <f>EXP(-LN(2)/35)*DF167+(1-EXP(-LN(2)/35))/(LN(2)/35)*DB168*DC168*VLOOKUP('Données projet (1)'!$B$13,'Paramètres (1)'!$A$1:$I$88,3,0)*0.475*44/12</f>
        <v>#REF!</v>
      </c>
      <c r="DG168" s="142" t="str">
        <f>EXP(-LN(2)/25)*DG167+(1-EXP(-LN(2)/25))/(LN(2)/25)*'Calculateur (1)'!DB168*'Calculateur (1)'!DD168*VLOOKUP('Données projet (1)'!$B$13,'Paramètres (1)'!$A$1:$I$88,3,0)*0.475*44/12</f>
        <v>#REF!</v>
      </c>
      <c r="DH168" s="142" t="str">
        <f>EXP(-LN(2)/2)*DH167+(1-EXP(-LN(2)/2))/(LN(2)/2)*DB168*DE168*VLOOKUP('Données projet (1)'!$B$13,'Paramètres (1)'!$A$1:$I$88,3,0)*0.475*44/12</f>
        <v>#REF!</v>
      </c>
      <c r="DI168" s="143" t="str">
        <f t="shared" si="55"/>
        <v>#REF!</v>
      </c>
      <c r="DJ168" s="139" t="str">
        <f t="shared" si="56"/>
        <v>#REF!</v>
      </c>
      <c r="DK168" s="131">
        <f t="shared" si="57"/>
        <v>10</v>
      </c>
      <c r="DL168" s="131" t="str">
        <f t="shared" si="128"/>
        <v>#REF!</v>
      </c>
      <c r="DM168" s="131" t="str">
        <f t="shared" si="58"/>
        <v>#REF!</v>
      </c>
      <c r="DN168" s="131" t="str">
        <f t="array" ref="DN168">INDEX(DM:DM,MIN(IF(ISNUMBER(DM168:DM364),ROW(DM168:DM364),"")))</f>
        <v/>
      </c>
      <c r="DO168" s="131" t="str">
        <f t="shared" si="129"/>
        <v>#REF!</v>
      </c>
      <c r="DP168" s="138" t="str">
        <f>DO168*VLOOKUP('Données projet (1)'!$B$14,'Paramètres (1)'!$A$1:$I$88,3,0)*VLOOKUP('Données projet (1)'!$B$14,'Paramètres (1)'!$A$1:$I$88,5,0)</f>
        <v>#REF!</v>
      </c>
      <c r="DQ168" s="130" t="str">
        <f t="shared" si="130"/>
        <v>#REF!</v>
      </c>
      <c r="DR168" s="141" t="str">
        <f t="shared" si="59"/>
        <v>#REF!</v>
      </c>
      <c r="DS168" s="133" t="str">
        <f t="shared" si="60"/>
        <v>#REF!</v>
      </c>
      <c r="DT168" s="133" t="str">
        <f t="shared" si="61"/>
        <v>#REF!</v>
      </c>
      <c r="DU168" s="133" t="str">
        <f t="shared" si="131"/>
        <v>#REF!</v>
      </c>
      <c r="DV168" s="134" t="str">
        <f t="shared" si="62"/>
        <v>#REF!</v>
      </c>
      <c r="DW168" s="134" t="str">
        <f t="shared" si="63"/>
        <v>#REF!</v>
      </c>
      <c r="DX168" s="135" t="str">
        <f>IF(ISNA(VLOOKUP(A168,'Données projet (1)'!$A$165:$I$185,5,0)),0%,VLOOKUP(A168,'Données projet (1)'!$A$165:$I$185,5,0)*VLOOKUP('Données projet (1)'!$B$14,'Paramètres (1)'!$A$1:$I$88,7,0))</f>
        <v>#REF!</v>
      </c>
      <c r="DY168" s="135" t="str">
        <f>IF(ISNA(VLOOKUP(A168,'Données projet (1)'!$A$165:$I$185,6,0)),0%,VLOOKUP(A168,'Données projet (1)'!$A$165:$I$185,6,0)*VLOOKUP('Données projet (1)'!$B$14,'Paramètres (1)'!$A$1:$I$88,7,0))</f>
        <v>#REF!</v>
      </c>
      <c r="DZ168" s="135" t="str">
        <f t="shared" si="64"/>
        <v>#REF!</v>
      </c>
      <c r="EA168" s="142" t="str">
        <f>EXP(-LN(2)/35)*EA167+(1-EXP(-LN(2)/35))/(LN(2)/35)*DW168*DX168*VLOOKUP('Données projet (1)'!$B$14,'Paramètres (1)'!$A$1:$I$88,3,0)*0.475*44/12</f>
        <v>#REF!</v>
      </c>
      <c r="EB168" s="142" t="str">
        <f>EXP(-LN(2)/25)*EB167+(1-EXP(-LN(2)/25))/(LN(2)/25)*'Calculateur (1)'!DW168*'Calculateur (1)'!DY168*VLOOKUP('Données projet (1)'!$B$14,'Paramètres (1)'!$A$1:$I$88,3,0)*0.475*44/12</f>
        <v>#REF!</v>
      </c>
      <c r="EC168" s="142" t="str">
        <f>EXP(-LN(2)/2)*EC167+(1-EXP(-LN(2)/2))/(LN(2)/2)*DW168*DZ168*VLOOKUP('Données projet (1)'!$B$14,'Paramètres (1)'!$A$1:$I$88,3,0)*0.475*44/12</f>
        <v>#REF!</v>
      </c>
      <c r="ED168" s="143" t="str">
        <f t="shared" si="65"/>
        <v>#REF!</v>
      </c>
      <c r="EE168" s="139" t="str">
        <f t="shared" si="66"/>
        <v>#REF!</v>
      </c>
      <c r="EF168" s="131">
        <f t="shared" si="67"/>
        <v>10</v>
      </c>
      <c r="EG168" s="131" t="str">
        <f t="shared" si="132"/>
        <v>#REF!</v>
      </c>
      <c r="EH168" s="131" t="str">
        <f t="shared" si="68"/>
        <v>#REF!</v>
      </c>
      <c r="EI168" s="131" t="str">
        <f t="array" ref="EI168">INDEX(EH:EH,MIN(IF(ISNUMBER(EH168:EH364),ROW(EH168:EH364),"")))</f>
        <v/>
      </c>
      <c r="EJ168" s="131" t="str">
        <f t="shared" si="133"/>
        <v>#REF!</v>
      </c>
      <c r="EK168" s="138" t="str">
        <f>EJ168*VLOOKUP('Données projet (1)'!$B$15,'Paramètres (1)'!$A$1:$I$88,3,0)*VLOOKUP('Données projet (1)'!$B$15,'Paramètres (1)'!$A$1:$I$88,5,0)</f>
        <v>#REF!</v>
      </c>
      <c r="EL168" s="130" t="str">
        <f t="shared" si="134"/>
        <v>#REF!</v>
      </c>
      <c r="EM168" s="141" t="str">
        <f t="shared" si="69"/>
        <v>#REF!</v>
      </c>
      <c r="EN168" s="133" t="str">
        <f t="shared" si="70"/>
        <v>#REF!</v>
      </c>
      <c r="EO168" s="133" t="str">
        <f t="shared" si="71"/>
        <v>#REF!</v>
      </c>
      <c r="EP168" s="133" t="str">
        <f t="shared" si="135"/>
        <v>#REF!</v>
      </c>
      <c r="EQ168" s="134" t="str">
        <f t="shared" si="72"/>
        <v>#REF!</v>
      </c>
      <c r="ER168" s="134" t="str">
        <f t="shared" si="73"/>
        <v>#REF!</v>
      </c>
      <c r="ES168" s="135" t="str">
        <f>IF(ISNA(VLOOKUP(A168,'Données projet (1)'!$A$191:$I$211,5,0)),0%,VLOOKUP(A168,'Données projet (1)'!$A$191:$I$211,5,0)*VLOOKUP('Données projet (1)'!$B$15,'Paramètres (1)'!$A$1:$I$88,7,0))</f>
        <v>#REF!</v>
      </c>
      <c r="ET168" s="135" t="str">
        <f>IF(ISNA(VLOOKUP(A168,'Données projet (1)'!$A$191:$I$211,6,0)),0%,VLOOKUP(A168,'Données projet (1)'!$A$191:$I$211,6,0)*VLOOKUP('Données projet (1)'!$B$15,'Paramètres (1)'!$A$1:$I$88,7,0))</f>
        <v>#REF!</v>
      </c>
      <c r="EU168" s="135" t="str">
        <f t="shared" si="74"/>
        <v>#REF!</v>
      </c>
      <c r="EV168" s="142" t="str">
        <f>EXP(-LN(2)/35)*EV167+(1-EXP(-LN(2)/35))/(LN(2)/35)*ER168*ES168*VLOOKUP('Données projet (1)'!$B$15,'Paramètres (1)'!$A$1:$I$88,3,0)*0.475*44/12</f>
        <v>#REF!</v>
      </c>
      <c r="EW168" s="142" t="str">
        <f>EXP(-LN(2)/25)*EW167+(1-EXP(-LN(2)/25))/(LN(2)/25)*'Calculateur (1)'!ER168*'Calculateur (1)'!ET168*VLOOKUP('Données projet (1)'!$B$15,'Paramètres (1)'!$A$1:$I$88,3,0)*0.475*44/12</f>
        <v>#REF!</v>
      </c>
      <c r="EX168" s="142" t="str">
        <f>EXP(-LN(2)/2)*EX167+(1-EXP(-LN(2)/2))/(LN(2)/2)*ER168*EU168*VLOOKUP('Données projet (1)'!$B$15,'Paramètres (1)'!$A$1:$I$88,3,0)*0.475*44/12</f>
        <v>#REF!</v>
      </c>
      <c r="EY168" s="143" t="str">
        <f t="shared" si="75"/>
        <v>#REF!</v>
      </c>
      <c r="EZ168" s="139" t="str">
        <f t="shared" si="76"/>
        <v>#REF!</v>
      </c>
      <c r="FA168" s="131">
        <f t="shared" si="77"/>
        <v>10</v>
      </c>
      <c r="FB168" s="131" t="str">
        <f t="shared" si="136"/>
        <v>#REF!</v>
      </c>
      <c r="FC168" s="131" t="str">
        <f t="shared" si="78"/>
        <v>#REF!</v>
      </c>
      <c r="FD168" s="131" t="str">
        <f t="array" ref="FD168">INDEX(FC:FC,MIN(IF(ISNUMBER(FC168:FC364),ROW(FC168:FC364),"")))</f>
        <v/>
      </c>
      <c r="FE168" s="131" t="str">
        <f t="shared" si="137"/>
        <v>#REF!</v>
      </c>
      <c r="FF168" s="138" t="str">
        <f>FE168*VLOOKUP('Données projet (1)'!$B$16,'Paramètres (1)'!$A$1:$I$88,3,0)*VLOOKUP('Données projet (1)'!$B$16,'Paramètres (1)'!$A$1:$I$88,5,0)</f>
        <v>#REF!</v>
      </c>
      <c r="FG168" s="130" t="str">
        <f t="shared" si="138"/>
        <v>#REF!</v>
      </c>
      <c r="FH168" s="141" t="str">
        <f t="shared" si="79"/>
        <v>#REF!</v>
      </c>
      <c r="FI168" s="133" t="str">
        <f t="shared" si="80"/>
        <v>#REF!</v>
      </c>
      <c r="FJ168" s="133" t="str">
        <f t="shared" si="81"/>
        <v>#REF!</v>
      </c>
      <c r="FK168" s="133" t="str">
        <f t="shared" si="139"/>
        <v>#REF!</v>
      </c>
      <c r="FL168" s="134" t="str">
        <f t="shared" si="82"/>
        <v>#REF!</v>
      </c>
      <c r="FM168" s="134" t="str">
        <f t="shared" si="83"/>
        <v>#REF!</v>
      </c>
      <c r="FN168" s="135" t="str">
        <f>IF(ISNA(VLOOKUP(A168,'Données projet (1)'!$A$217:$I$237,5,0)),0%,VLOOKUP(A168,'Données projet (1)'!$A$217:$I$237,5,0)*VLOOKUP('Données projet (1)'!$B$16,'Paramètres (1)'!$A$1:$I$88,7,0))</f>
        <v>#REF!</v>
      </c>
      <c r="FO168" s="135" t="str">
        <f>IF(ISNA(VLOOKUP(A168,'Données projet (1)'!$A$217:$I$237,6,0)),0%,VLOOKUP(A168,'Données projet (1)'!$A$217:$I$237,6,0)*VLOOKUP('Données projet (1)'!$B$16,'Paramètres (1)'!$A$1:$I$88,7,0))</f>
        <v>#REF!</v>
      </c>
      <c r="FP168" s="135" t="str">
        <f t="shared" si="84"/>
        <v>#REF!</v>
      </c>
      <c r="FQ168" s="142" t="str">
        <f>EXP(-LN(2)/35)*FQ167+(1-EXP(-LN(2)/35))/(LN(2)/35)*FM168*FN168*VLOOKUP('Données projet (1)'!$B$16,'Paramètres (1)'!$A$1:$I$88,3,0)*0.475*44/12</f>
        <v>#REF!</v>
      </c>
      <c r="FR168" s="142" t="str">
        <f>EXP(-LN(2)/25)*FR167+(1-EXP(-LN(2)/25))/(LN(2)/25)*'Calculateur (1)'!FM168*'Calculateur (1)'!FO168*VLOOKUP('Données projet (1)'!$B$16,'Paramètres (1)'!$A$1:$I$88,3,0)*0.475*44/12</f>
        <v>#REF!</v>
      </c>
      <c r="FS168" s="142" t="str">
        <f>EXP(-LN(2)/2)*FS167+(1-EXP(-LN(2)/2))/(LN(2)/2)*FM168*FP168*VLOOKUP('Données projet (1)'!$B$16,'Paramètres (1)'!$A$1:$I$88,3,0)*0.475*44/12</f>
        <v>#REF!</v>
      </c>
      <c r="FT168" s="143" t="str">
        <f t="shared" si="85"/>
        <v>#REF!</v>
      </c>
      <c r="FU168" s="139" t="str">
        <f t="shared" si="86"/>
        <v>#REF!</v>
      </c>
      <c r="FV168" s="131">
        <f t="shared" si="87"/>
        <v>10</v>
      </c>
      <c r="FW168" s="131" t="str">
        <f t="shared" si="140"/>
        <v>#REF!</v>
      </c>
      <c r="FX168" s="131" t="str">
        <f t="shared" si="88"/>
        <v>#REF!</v>
      </c>
      <c r="FY168" s="131" t="str">
        <f t="array" ref="FY168">INDEX(FX:FX,MIN(IF(ISNUMBER(FX168:FX364),ROW(FX168:FX364),"")))</f>
        <v/>
      </c>
      <c r="FZ168" s="131" t="str">
        <f t="shared" si="141"/>
        <v>#REF!</v>
      </c>
      <c r="GA168" s="138" t="str">
        <f>FZ168*VLOOKUP('Données projet (1)'!$B$17,'Paramètres (1)'!$A$1:$I$88,3,0)*VLOOKUP('Données projet (1)'!$B$17,'Paramètres (1)'!$A$1:$I$88,5,0)</f>
        <v>#REF!</v>
      </c>
      <c r="GB168" s="130" t="str">
        <f t="shared" si="142"/>
        <v>#REF!</v>
      </c>
      <c r="GC168" s="141" t="str">
        <f t="shared" si="89"/>
        <v>#REF!</v>
      </c>
      <c r="GD168" s="133" t="str">
        <f t="shared" si="90"/>
        <v>#REF!</v>
      </c>
      <c r="GE168" s="133" t="str">
        <f t="shared" si="91"/>
        <v>#REF!</v>
      </c>
      <c r="GF168" s="133" t="str">
        <f t="shared" si="143"/>
        <v>#REF!</v>
      </c>
      <c r="GG168" s="134" t="str">
        <f t="shared" si="92"/>
        <v>#REF!</v>
      </c>
      <c r="GH168" s="134" t="str">
        <f t="shared" si="93"/>
        <v>#REF!</v>
      </c>
      <c r="GI168" s="135" t="str">
        <f>IF(ISNA(VLOOKUP(A168,'Données projet (1)'!$A$243:$I$263,5,0)),0%,VLOOKUP(A168,'Données projet (1)'!$A$243:$I$263,5,0)*VLOOKUP('Données projet (1)'!$B$17,'Paramètres (1)'!$A$1:$I$88,7,0))</f>
        <v>#REF!</v>
      </c>
      <c r="GJ168" s="135" t="str">
        <f>IF(ISNA(VLOOKUP(A168,'Données projet (1)'!$A$243:$I$263,6,0)),0%,VLOOKUP(A168,'Données projet (1)'!$A$243:$I$263,6,0)*VLOOKUP('Données projet (1)'!$B$17,'Paramètres (1)'!$A$1:$I$88,7,0))</f>
        <v>#REF!</v>
      </c>
      <c r="GK168" s="135" t="str">
        <f t="shared" si="94"/>
        <v>#REF!</v>
      </c>
      <c r="GL168" s="142" t="str">
        <f>EXP(-LN(2)/35)*GL167+(1-EXP(-LN(2)/35))/(LN(2)/35)*GH168*GI168*VLOOKUP('Données projet (1)'!$B$17,'Paramètres (1)'!$A$1:$I$88,3,0)*0.475*44/12</f>
        <v>#REF!</v>
      </c>
      <c r="GM168" s="142" t="str">
        <f>EXP(-LN(2)/25)*GM167+(1-EXP(-LN(2)/25))/(LN(2)/25)*'Calculateur (1)'!GH168*'Calculateur (1)'!GJ168*VLOOKUP('Données projet (1)'!$B$17,'Paramètres (1)'!$A$1:$I$88,3,0)*0.475*44/12</f>
        <v>#REF!</v>
      </c>
      <c r="GN168" s="142" t="str">
        <f>EXP(-LN(2)/2)*GN167+(1-EXP(-LN(2)/2))/(LN(2)/2)*GH168*GK168*VLOOKUP('Données projet (1)'!$B$17,'Paramètres (1)'!$A$1:$I$88,3,0)*0.475*44/12</f>
        <v>#REF!</v>
      </c>
      <c r="GO168" s="142" t="str">
        <f t="shared" si="95"/>
        <v>#REF!</v>
      </c>
      <c r="GP168" s="139" t="str">
        <f t="shared" si="96"/>
        <v>#REF!</v>
      </c>
      <c r="GQ168" s="131">
        <f t="shared" si="97"/>
        <v>10</v>
      </c>
      <c r="GR168" s="131" t="str">
        <f t="shared" si="144"/>
        <v>#REF!</v>
      </c>
      <c r="GS168" s="131" t="str">
        <f t="shared" si="98"/>
        <v>#REF!</v>
      </c>
      <c r="GT168" s="131" t="str">
        <f t="array" ref="GT168">INDEX(GS:GS,MIN(IF(ISNUMBER(GS168:GS364),ROW(GS168:GS364),"")))</f>
        <v/>
      </c>
      <c r="GU168" s="131" t="str">
        <f t="shared" si="145"/>
        <v>#REF!</v>
      </c>
      <c r="GV168" s="138" t="str">
        <f>GU168*VLOOKUP('Données projet (1)'!$B$18,'Paramètres (1)'!$A$1:$I$88,3,0)*VLOOKUP('Données projet (1)'!$B$18,'Paramètres (1)'!$A$1:$I$88,5,0)</f>
        <v>#REF!</v>
      </c>
      <c r="GW168" s="130" t="str">
        <f t="shared" si="146"/>
        <v>#REF!</v>
      </c>
      <c r="GX168" s="141" t="str">
        <f t="shared" si="99"/>
        <v>#REF!</v>
      </c>
      <c r="GY168" s="133" t="str">
        <f t="shared" si="100"/>
        <v>#REF!</v>
      </c>
      <c r="GZ168" s="133" t="str">
        <f t="shared" si="101"/>
        <v>#REF!</v>
      </c>
      <c r="HA168" s="133" t="str">
        <f t="shared" si="147"/>
        <v>#REF!</v>
      </c>
      <c r="HB168" s="134" t="str">
        <f t="shared" si="102"/>
        <v>#REF!</v>
      </c>
      <c r="HC168" s="134" t="str">
        <f t="shared" si="103"/>
        <v>#REF!</v>
      </c>
      <c r="HD168" s="135" t="str">
        <f>IF(ISNA(VLOOKUP(A168,'Données projet (1)'!$A$269:$I$289,5,0)),0%,VLOOKUP(A168,'Données projet (1)'!$A$269:$I$289,5,0)*VLOOKUP('Données projet (1)'!$B$18,'Paramètres (1)'!$A$1:$I$88,7,0))</f>
        <v>#REF!</v>
      </c>
      <c r="HE168" s="135" t="str">
        <f>IF(ISNA(VLOOKUP(A168,'Données projet (1)'!$A$269:$I$289,6,0)),0%,VLOOKUP(A168,'Données projet (1)'!$A$269:$I$289,6,0)*VLOOKUP('Données projet (1)'!$B$18,'Paramètres (1)'!$A$1:$I$88,7,0))</f>
        <v>#REF!</v>
      </c>
      <c r="HF168" s="135" t="str">
        <f t="shared" si="104"/>
        <v>#REF!</v>
      </c>
      <c r="HG168" s="142" t="str">
        <f>EXP(-LN(2)/35)*HG167+(1-EXP(-LN(2)/35))/(LN(2)/35)*HC168*HD168*VLOOKUP('Données projet (1)'!$B$18,'Paramètres (1)'!$A$1:$I$88,3,0)*0.475*44/12</f>
        <v>#REF!</v>
      </c>
      <c r="HH168" s="142" t="str">
        <f>EXP(-LN(2)/25)*HH167+(1-EXP(-LN(2)/25))/(LN(2)/25)*'Calculateur (1)'!HC168*'Calculateur (1)'!HE168*VLOOKUP('Données projet (1)'!$B$18,'Paramètres (1)'!$A$1:$I$88,3,0)*0.475*44/12</f>
        <v>#REF!</v>
      </c>
      <c r="HI168" s="142" t="str">
        <f>EXP(-LN(2)/2)*HI167+(1-EXP(-LN(2)/2))/(LN(2)/2)*HC168*HF168*VLOOKUP('Données projet (1)'!$B$18,'Paramètres (1)'!$A$1:$I$88,3,0)*0.475*44/12</f>
        <v>#REF!</v>
      </c>
      <c r="HJ168" s="143" t="str">
        <f t="shared" si="105"/>
        <v>#REF!</v>
      </c>
    </row>
    <row r="169" ht="14.25" customHeight="1">
      <c r="A169" s="125">
        <f t="shared" si="106"/>
        <v>166</v>
      </c>
      <c r="B169" s="126" t="str">
        <f t="shared" si="1"/>
        <v>#REF!</v>
      </c>
      <c r="C169" s="140" t="str">
        <f>'Calculateur (1)'!C168+'Scénario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9" s="127">
        <f t="shared" si="107"/>
        <v>0</v>
      </c>
      <c r="E169" s="127" t="str">
        <f t="shared" si="2"/>
        <v>#REF!</v>
      </c>
      <c r="F169" s="127" t="str">
        <f t="shared" si="3"/>
        <v>#REF!</v>
      </c>
      <c r="G169" s="127" t="str">
        <f t="shared" si="4"/>
        <v>#REF!</v>
      </c>
      <c r="H169" s="128" t="str">
        <f t="shared" si="5"/>
        <v>#REF!</v>
      </c>
      <c r="I169" s="129" t="str">
        <f t="shared" si="6"/>
        <v>#REF!</v>
      </c>
      <c r="J169" s="130">
        <f t="shared" si="7"/>
        <v>10</v>
      </c>
      <c r="K169" s="131" t="str">
        <f t="shared" si="108"/>
        <v>#REF!</v>
      </c>
      <c r="L169" s="131" t="str">
        <f t="shared" si="8"/>
        <v>#REF!</v>
      </c>
      <c r="M169" s="131" t="str">
        <f t="array" ref="M169">INDEX(L:L,MIN(IF(ISNUMBER(L169:L365),ROW(L169:L365),"")))</f>
        <v/>
      </c>
      <c r="N169" s="130" t="str">
        <f t="shared" si="109"/>
        <v>#REF!</v>
      </c>
      <c r="O169" s="130" t="str">
        <f>N169*VLOOKUP('Données projet (1)'!$B$9,'Paramètres (1)'!$A$1:$I$88,3,0)*VLOOKUP('Données projet (1)'!$B$9,'Paramètres (1)'!$A$1:$I$88,5,0)</f>
        <v>#REF!</v>
      </c>
      <c r="P169" s="130" t="str">
        <f t="shared" si="110"/>
        <v>#REF!</v>
      </c>
      <c r="Q169" s="141" t="str">
        <f t="shared" si="9"/>
        <v>#REF!</v>
      </c>
      <c r="R169" s="133" t="str">
        <f t="shared" si="10"/>
        <v>#REF!</v>
      </c>
      <c r="S169" s="133" t="str">
        <f t="shared" si="11"/>
        <v>#REF!</v>
      </c>
      <c r="T169" s="133" t="str">
        <f t="shared" si="111"/>
        <v>#REF!</v>
      </c>
      <c r="U169" s="134" t="str">
        <f t="shared" si="12"/>
        <v>#REF!</v>
      </c>
      <c r="V169" s="134" t="str">
        <f t="shared" si="13"/>
        <v>#REF!</v>
      </c>
      <c r="W169" s="135" t="str">
        <f>IF(ISNA(VLOOKUP(A169,'Données projet (1)'!$A$35:$I$55,5,0)),0%,VLOOKUP(A169,'Données projet (1)'!$A$35:$I$55,5,0)*VLOOKUP('Données projet (1)'!$B$9,'Paramètres (1)'!$A$1:$I$88,7,0))</f>
        <v>#REF!</v>
      </c>
      <c r="X169" s="135" t="str">
        <f>IF(ISNA(VLOOKUP(A169,'Données projet (1)'!$A$35:$I$55,6,0)),0%,VLOOKUP(A169,'Données projet (1)'!$A$35:$I$55,6,0)*VLOOKUP('Données projet (1)'!$B$9,'Paramètres (1)'!$A$1:$I$88,7,0))</f>
        <v>#REF!</v>
      </c>
      <c r="Y169" s="135" t="str">
        <f t="shared" si="14"/>
        <v>#REF!</v>
      </c>
      <c r="Z169" s="142" t="str">
        <f>EXP(-LN(2)/35)*Z168+(1-EXP(-LN(2)/35))/(LN(2)/35)*V169*W169*VLOOKUP('Données projet (1)'!$B$9,'Paramètres (1)'!$A$1:$I$88,3,0)*0.475*44/12</f>
        <v>#REF!</v>
      </c>
      <c r="AA169" s="142" t="str">
        <f>EXP(-LN(2)/25)*AA168+(1-EXP(-LN(2)/25))/(LN(2)/25)*'Calculateur (1)'!V169*'Calculateur (1)'!X169*VLOOKUP('Données projet (1)'!$B$9,'Paramètres (1)'!$A$1:$I$88,3,0)*0.475*44/12</f>
        <v>#REF!</v>
      </c>
      <c r="AB169" s="142" t="str">
        <f>EXP(-LN(2)/2)*AB168+(1-EXP(-LN(2)/2))/(LN(2)/2)*V169*Y169*VLOOKUP('Données projet (1)'!$B$9,'Paramètres (1)'!$A$1:$I$88,3,0)*0.475*44/12</f>
        <v>#REF!</v>
      </c>
      <c r="AC169" s="143" t="str">
        <f t="shared" si="15"/>
        <v>#REF!</v>
      </c>
      <c r="AD169" s="130" t="str">
        <f t="shared" si="16"/>
        <v>#REF!</v>
      </c>
      <c r="AE169" s="130">
        <f t="shared" si="17"/>
        <v>10</v>
      </c>
      <c r="AF169" s="131" t="str">
        <f t="shared" si="112"/>
        <v>#REF!</v>
      </c>
      <c r="AG169" s="131" t="str">
        <f t="shared" si="18"/>
        <v>#REF!</v>
      </c>
      <c r="AH169" s="131" t="str">
        <f t="array" ref="AH169">INDEX(AG:AG,MIN(IF(ISNUMBER(AG169:AG365),ROW(AG169:AG365),"")))</f>
        <v/>
      </c>
      <c r="AI169" s="130" t="str">
        <f t="shared" si="113"/>
        <v>#REF!</v>
      </c>
      <c r="AJ169" s="130" t="str">
        <f>AI169*VLOOKUP('Données projet (1)'!$B$10,'Paramètres (1)'!$A$1:$I$88,3,0)*VLOOKUP('Données projet (1)'!$B$10,'Paramètres (1)'!$A$1:$I$88,5,0)</f>
        <v>#REF!</v>
      </c>
      <c r="AK169" s="130" t="str">
        <f t="shared" si="114"/>
        <v>#REF!</v>
      </c>
      <c r="AL169" s="141" t="str">
        <f t="shared" si="19"/>
        <v>#REF!</v>
      </c>
      <c r="AM169" s="133" t="str">
        <f t="shared" si="20"/>
        <v>#REF!</v>
      </c>
      <c r="AN169" s="133" t="str">
        <f t="shared" si="21"/>
        <v>#REF!</v>
      </c>
      <c r="AO169" s="133" t="str">
        <f t="shared" si="115"/>
        <v>#REF!</v>
      </c>
      <c r="AP169" s="134" t="str">
        <f t="shared" si="22"/>
        <v>#REF!</v>
      </c>
      <c r="AQ169" s="134" t="str">
        <f t="shared" si="23"/>
        <v>#REF!</v>
      </c>
      <c r="AR169" s="135" t="str">
        <f>IF(ISNA(VLOOKUP(A169,'Données projet (1)'!$A$61:$I$81,5,0)),0%,VLOOKUP(A169,'Données projet (1)'!$A$61:$I$81,5,0)*VLOOKUP('Données projet (1)'!$B$10,'Paramètres (1)'!$A$1:$I$88,7,0))</f>
        <v>#REF!</v>
      </c>
      <c r="AS169" s="135" t="str">
        <f>IF(ISNA(VLOOKUP(A169,'Données projet (1)'!$A$61:$I$81,6,0)),0%,VLOOKUP(A169,'Données projet (1)'!$A$61:$I$81,6,0)*VLOOKUP('Données projet (1)'!$B$10,'Paramètres (1)'!$A$1:$I$88,7,0))</f>
        <v>#REF!</v>
      </c>
      <c r="AT169" s="135" t="str">
        <f t="shared" si="24"/>
        <v>#REF!</v>
      </c>
      <c r="AU169" s="142" t="str">
        <f>EXP(-LN(2)/35)*AU168+(1-EXP(-LN(2)/35))/(LN(2)/35)*AQ169*AR169*VLOOKUP('Données projet (1)'!$B$10,'Paramètres (1)'!$A$1:$I$88,3,0)*0.475*44/12</f>
        <v>#REF!</v>
      </c>
      <c r="AV169" s="142" t="str">
        <f>EXP(-LN(2)/25)*AV168+(1-EXP(-LN(2)/25))/(LN(2)/25)*'Calculateur (1)'!AQ169*'Calculateur (1)'!AS169*VLOOKUP('Données projet (1)'!$B$10,'Paramètres (1)'!$A$1:$I$88,3,0)*0.475*44/12</f>
        <v>#REF!</v>
      </c>
      <c r="AW169" s="142" t="str">
        <f>EXP(-LN(2)/2)*AW168+(1-EXP(-LN(2)/2))/(LN(2)/2)*AQ169*AT169*VLOOKUP('Données projet (1)'!$B$10,'Paramètres (1)'!$A$1:$I$88,3,0)*0.475*44/12</f>
        <v>#REF!</v>
      </c>
      <c r="AX169" s="142" t="str">
        <f t="shared" si="25"/>
        <v>#REF!</v>
      </c>
      <c r="AY169" s="137" t="str">
        <f t="shared" si="26"/>
        <v>#REF!</v>
      </c>
      <c r="AZ169" s="131">
        <f t="shared" si="27"/>
        <v>10</v>
      </c>
      <c r="BA169" s="131" t="str">
        <f t="shared" si="116"/>
        <v>#REF!</v>
      </c>
      <c r="BB169" s="131" t="str">
        <f t="shared" si="28"/>
        <v>#REF!</v>
      </c>
      <c r="BC169" s="131" t="str">
        <f t="array" ref="BC169">INDEX(BB:BB,MIN(IF(ISNUMBER(BB169:BB365),ROW(BB169:BB365),"")))</f>
        <v/>
      </c>
      <c r="BD169" s="131" t="str">
        <f t="shared" si="117"/>
        <v>#REF!</v>
      </c>
      <c r="BE169" s="130" t="str">
        <f>BD169*VLOOKUP('Données projet (1)'!$B$11,'Paramètres (1)'!$A$1:$I$88,3,0)*VLOOKUP('Données projet (1)'!$B$11,'Paramètres (1)'!$A$1:$I$88,5,0)</f>
        <v>#REF!</v>
      </c>
      <c r="BF169" s="130" t="str">
        <f t="shared" si="118"/>
        <v>#REF!</v>
      </c>
      <c r="BG169" s="141" t="str">
        <f t="shared" si="29"/>
        <v>#REF!</v>
      </c>
      <c r="BH169" s="133" t="str">
        <f t="shared" si="30"/>
        <v>#REF!</v>
      </c>
      <c r="BI169" s="133" t="str">
        <f t="shared" si="31"/>
        <v>#REF!</v>
      </c>
      <c r="BJ169" s="133" t="str">
        <f t="shared" si="119"/>
        <v>#REF!</v>
      </c>
      <c r="BK169" s="134" t="str">
        <f t="shared" si="32"/>
        <v>#REF!</v>
      </c>
      <c r="BL169" s="134" t="str">
        <f t="shared" si="33"/>
        <v>#REF!</v>
      </c>
      <c r="BM169" s="135" t="str">
        <f>IF(ISNA(VLOOKUP(A169,'Données projet (1)'!$A$87:$I$107,5,0)),0%,VLOOKUP(A169,'Données projet (1)'!$A$87:$I$107,5,0)*VLOOKUP('Données projet (1)'!$B$11,'Paramètres (1)'!$A$1:$I$88,7,0))</f>
        <v>#REF!</v>
      </c>
      <c r="BN169" s="135" t="str">
        <f>IF(ISNA(VLOOKUP(A169,'Données projet (1)'!$A$87:$I$107,6,0)),0%,VLOOKUP(A169,'Données projet (1)'!$A$87:$I$107,6,0)*VLOOKUP('Données projet (1)'!$B$11,'Paramètres (1)'!$A$1:$I$88,7,0))</f>
        <v>#REF!</v>
      </c>
      <c r="BO169" s="135" t="str">
        <f t="shared" si="34"/>
        <v>#REF!</v>
      </c>
      <c r="BP169" s="142" t="str">
        <f>EXP(-LN(2)/35)*BP168+(1-EXP(-LN(2)/35))/(LN(2)/35)*BL169*BM169*VLOOKUP('Données projet (1)'!$B$11,'Paramètres (1)'!$A$1:$I$88,3,0)*0.475*44/12</f>
        <v>#REF!</v>
      </c>
      <c r="BQ169" s="142" t="str">
        <f>EXP(-LN(2)/25)*BQ168+(1-EXP(-LN(2)/25))/(LN(2)/25)*'Calculateur (1)'!BL169*'Calculateur (1)'!BN169*VLOOKUP('Données projet (1)'!$B$11,'Paramètres (1)'!$A$1:$I$88,3,0)*0.475*44/12</f>
        <v>#REF!</v>
      </c>
      <c r="BR169" s="142" t="str">
        <f>EXP(-LN(2)/2)*BR168+(1-EXP(-LN(2)/2))/(LN(2)/2)*BL169*BO169*VLOOKUP('Données projet (1)'!$B$11,'Paramètres (1)'!$A$1:$I$88,3,0)*0.475*44/12</f>
        <v>#REF!</v>
      </c>
      <c r="BS169" s="143" t="str">
        <f t="shared" si="35"/>
        <v>#REF!</v>
      </c>
      <c r="BT169" s="139" t="str">
        <f t="shared" si="36"/>
        <v>#REF!</v>
      </c>
      <c r="BU169" s="131">
        <f t="shared" si="37"/>
        <v>10</v>
      </c>
      <c r="BV169" s="131" t="str">
        <f t="shared" si="120"/>
        <v>#REF!</v>
      </c>
      <c r="BW169" s="131" t="str">
        <f t="shared" si="38"/>
        <v>#REF!</v>
      </c>
      <c r="BX169" s="131" t="str">
        <f t="array" ref="BX169">INDEX(BW:BW,MIN(IF(ISNUMBER(BW169:BW365),ROW(BW169:BW365),"")))</f>
        <v/>
      </c>
      <c r="BY169" s="131" t="str">
        <f t="shared" si="121"/>
        <v>#REF!</v>
      </c>
      <c r="BZ169" s="130" t="str">
        <f>BY169*VLOOKUP('Données projet (1)'!$B$12,'Paramètres (1)'!$A$1:$I$88,3,0)*VLOOKUP('Données projet (1)'!$B$12,'Paramètres (1)'!$A$1:$I$88,5,0)</f>
        <v>#REF!</v>
      </c>
      <c r="CA169" s="130" t="str">
        <f t="shared" si="122"/>
        <v>#REF!</v>
      </c>
      <c r="CB169" s="141" t="str">
        <f t="shared" si="39"/>
        <v>#REF!</v>
      </c>
      <c r="CC169" s="133" t="str">
        <f t="shared" si="40"/>
        <v>#REF!</v>
      </c>
      <c r="CD169" s="133" t="str">
        <f t="shared" si="41"/>
        <v>#REF!</v>
      </c>
      <c r="CE169" s="133" t="str">
        <f t="shared" si="123"/>
        <v>#REF!</v>
      </c>
      <c r="CF169" s="134" t="str">
        <f t="shared" si="42"/>
        <v>#REF!</v>
      </c>
      <c r="CG169" s="134" t="str">
        <f t="shared" si="43"/>
        <v>#REF!</v>
      </c>
      <c r="CH169" s="135" t="str">
        <f>IF(ISNA(VLOOKUP(A169,'Données projet (1)'!$A$113:$I$133,5,0)),0%,VLOOKUP(A169,'Données projet (1)'!$A$113:$I$133,5,0)*VLOOKUP('Données projet (1)'!$B$12,'Paramètres (1)'!$A$1:$I$88,7,0))</f>
        <v>#REF!</v>
      </c>
      <c r="CI169" s="135" t="str">
        <f>IF(ISNA(VLOOKUP(A169,'Données projet (1)'!$A$113:$I$133,6,0)),0%,VLOOKUP(A169,'Données projet (1)'!$A$113:$I$133,6,0)*VLOOKUP('Données projet (1)'!$B$12,'Paramètres (1)'!$A$1:$I$88,7,0))</f>
        <v>#REF!</v>
      </c>
      <c r="CJ169" s="135" t="str">
        <f t="shared" si="44"/>
        <v>#REF!</v>
      </c>
      <c r="CK169" s="142" t="str">
        <f>EXP(-LN(2)/35)*CK168+(1-EXP(-LN(2)/35))/(LN(2)/35)*CG169*CH169*VLOOKUP('Données projet (1)'!$B$12,'Paramètres (1)'!$A$1:$I$88,3,0)*0.475*44/12</f>
        <v>#REF!</v>
      </c>
      <c r="CL169" s="142" t="str">
        <f>EXP(-LN(2)/25)*CL168+(1-EXP(-LN(2)/25))/(LN(2)/25)*'Calculateur (1)'!CG169*'Calculateur (1)'!CI169*VLOOKUP('Données projet (1)'!$B$12,'Paramètres (1)'!$A$1:$I$88,3,0)*0.475*44/12</f>
        <v>#REF!</v>
      </c>
      <c r="CM169" s="142" t="str">
        <f>EXP(-LN(2)/2)*CM168+(1-EXP(-LN(2)/2))/(LN(2)/2)*CG169*CJ169*VLOOKUP('Données projet (1)'!$B$12,'Paramètres (1)'!$A$1:$I$88,3,0)*0.475*44/12</f>
        <v>#REF!</v>
      </c>
      <c r="CN169" s="143" t="str">
        <f t="shared" si="45"/>
        <v>#REF!</v>
      </c>
      <c r="CO169" s="139" t="str">
        <f t="shared" si="46"/>
        <v>#REF!</v>
      </c>
      <c r="CP169" s="131">
        <f t="shared" si="47"/>
        <v>10</v>
      </c>
      <c r="CQ169" s="131" t="str">
        <f t="shared" si="124"/>
        <v>#REF!</v>
      </c>
      <c r="CR169" s="131" t="str">
        <f t="shared" si="48"/>
        <v>#REF!</v>
      </c>
      <c r="CS169" s="131" t="str">
        <f t="array" ref="CS169">INDEX(CR:CR,MIN(IF(ISNUMBER(CR169:CR365),ROW(CR169:CR365),"")))</f>
        <v/>
      </c>
      <c r="CT169" s="131" t="str">
        <f t="shared" si="125"/>
        <v>#REF!</v>
      </c>
      <c r="CU169" s="138" t="str">
        <f>CT169*VLOOKUP('Données projet (1)'!$B$13,'Paramètres (1)'!$A$1:$I$88,3,0)*VLOOKUP('Données projet (1)'!$B$13,'Paramètres (1)'!$A$1:$I$88,5,0)</f>
        <v>#REF!</v>
      </c>
      <c r="CV169" s="130" t="str">
        <f t="shared" si="126"/>
        <v>#REF!</v>
      </c>
      <c r="CW169" s="141" t="str">
        <f t="shared" si="49"/>
        <v>#REF!</v>
      </c>
      <c r="CX169" s="133" t="str">
        <f t="shared" si="50"/>
        <v>#REF!</v>
      </c>
      <c r="CY169" s="133" t="str">
        <f t="shared" si="51"/>
        <v>#REF!</v>
      </c>
      <c r="CZ169" s="133" t="str">
        <f t="shared" si="127"/>
        <v>#REF!</v>
      </c>
      <c r="DA169" s="134" t="str">
        <f t="shared" si="52"/>
        <v>#REF!</v>
      </c>
      <c r="DB169" s="134" t="str">
        <f t="shared" si="53"/>
        <v>#REF!</v>
      </c>
      <c r="DC169" s="135" t="str">
        <f>IF(ISNA(VLOOKUP(A169,'Données projet (1)'!$A$139:$I$159,5,0)),0%,VLOOKUP(A169,'Données projet (1)'!$A$139:$I$159,5,0)*VLOOKUP('Données projet (1)'!$B$13,'Paramètres (1)'!$A$1:$I$88,7,0))</f>
        <v>#REF!</v>
      </c>
      <c r="DD169" s="135" t="str">
        <f>IF(ISNA(VLOOKUP(A169,'Données projet (1)'!$A$139:$I$159,6,0)),0%,VLOOKUP(A169,'Données projet (1)'!$A$139:$I$159,6,0)*VLOOKUP('Données projet (1)'!$B$13,'Paramètres (1)'!$A$1:$I$88,7,0))</f>
        <v>#REF!</v>
      </c>
      <c r="DE169" s="135" t="str">
        <f t="shared" si="54"/>
        <v>#REF!</v>
      </c>
      <c r="DF169" s="142" t="str">
        <f>EXP(-LN(2)/35)*DF168+(1-EXP(-LN(2)/35))/(LN(2)/35)*DB169*DC169*VLOOKUP('Données projet (1)'!$B$13,'Paramètres (1)'!$A$1:$I$88,3,0)*0.475*44/12</f>
        <v>#REF!</v>
      </c>
      <c r="DG169" s="142" t="str">
        <f>EXP(-LN(2)/25)*DG168+(1-EXP(-LN(2)/25))/(LN(2)/25)*'Calculateur (1)'!DB169*'Calculateur (1)'!DD169*VLOOKUP('Données projet (1)'!$B$13,'Paramètres (1)'!$A$1:$I$88,3,0)*0.475*44/12</f>
        <v>#REF!</v>
      </c>
      <c r="DH169" s="142" t="str">
        <f>EXP(-LN(2)/2)*DH168+(1-EXP(-LN(2)/2))/(LN(2)/2)*DB169*DE169*VLOOKUP('Données projet (1)'!$B$13,'Paramètres (1)'!$A$1:$I$88,3,0)*0.475*44/12</f>
        <v>#REF!</v>
      </c>
      <c r="DI169" s="143" t="str">
        <f t="shared" si="55"/>
        <v>#REF!</v>
      </c>
      <c r="DJ169" s="139" t="str">
        <f t="shared" si="56"/>
        <v>#REF!</v>
      </c>
      <c r="DK169" s="131">
        <f t="shared" si="57"/>
        <v>10</v>
      </c>
      <c r="DL169" s="131" t="str">
        <f t="shared" si="128"/>
        <v>#REF!</v>
      </c>
      <c r="DM169" s="131" t="str">
        <f t="shared" si="58"/>
        <v>#REF!</v>
      </c>
      <c r="DN169" s="131" t="str">
        <f t="array" ref="DN169">INDEX(DM:DM,MIN(IF(ISNUMBER(DM169:DM365),ROW(DM169:DM365),"")))</f>
        <v/>
      </c>
      <c r="DO169" s="131" t="str">
        <f t="shared" si="129"/>
        <v>#REF!</v>
      </c>
      <c r="DP169" s="138" t="str">
        <f>DO169*VLOOKUP('Données projet (1)'!$B$14,'Paramètres (1)'!$A$1:$I$88,3,0)*VLOOKUP('Données projet (1)'!$B$14,'Paramètres (1)'!$A$1:$I$88,5,0)</f>
        <v>#REF!</v>
      </c>
      <c r="DQ169" s="130" t="str">
        <f t="shared" si="130"/>
        <v>#REF!</v>
      </c>
      <c r="DR169" s="141" t="str">
        <f t="shared" si="59"/>
        <v>#REF!</v>
      </c>
      <c r="DS169" s="133" t="str">
        <f t="shared" si="60"/>
        <v>#REF!</v>
      </c>
      <c r="DT169" s="133" t="str">
        <f t="shared" si="61"/>
        <v>#REF!</v>
      </c>
      <c r="DU169" s="133" t="str">
        <f t="shared" si="131"/>
        <v>#REF!</v>
      </c>
      <c r="DV169" s="134" t="str">
        <f t="shared" si="62"/>
        <v>#REF!</v>
      </c>
      <c r="DW169" s="134" t="str">
        <f t="shared" si="63"/>
        <v>#REF!</v>
      </c>
      <c r="DX169" s="135" t="str">
        <f>IF(ISNA(VLOOKUP(A169,'Données projet (1)'!$A$165:$I$185,5,0)),0%,VLOOKUP(A169,'Données projet (1)'!$A$165:$I$185,5,0)*VLOOKUP('Données projet (1)'!$B$14,'Paramètres (1)'!$A$1:$I$88,7,0))</f>
        <v>#REF!</v>
      </c>
      <c r="DY169" s="135" t="str">
        <f>IF(ISNA(VLOOKUP(A169,'Données projet (1)'!$A$165:$I$185,6,0)),0%,VLOOKUP(A169,'Données projet (1)'!$A$165:$I$185,6,0)*VLOOKUP('Données projet (1)'!$B$14,'Paramètres (1)'!$A$1:$I$88,7,0))</f>
        <v>#REF!</v>
      </c>
      <c r="DZ169" s="135" t="str">
        <f t="shared" si="64"/>
        <v>#REF!</v>
      </c>
      <c r="EA169" s="142" t="str">
        <f>EXP(-LN(2)/35)*EA168+(1-EXP(-LN(2)/35))/(LN(2)/35)*DW169*DX169*VLOOKUP('Données projet (1)'!$B$14,'Paramètres (1)'!$A$1:$I$88,3,0)*0.475*44/12</f>
        <v>#REF!</v>
      </c>
      <c r="EB169" s="142" t="str">
        <f>EXP(-LN(2)/25)*EB168+(1-EXP(-LN(2)/25))/(LN(2)/25)*'Calculateur (1)'!DW169*'Calculateur (1)'!DY169*VLOOKUP('Données projet (1)'!$B$14,'Paramètres (1)'!$A$1:$I$88,3,0)*0.475*44/12</f>
        <v>#REF!</v>
      </c>
      <c r="EC169" s="142" t="str">
        <f>EXP(-LN(2)/2)*EC168+(1-EXP(-LN(2)/2))/(LN(2)/2)*DW169*DZ169*VLOOKUP('Données projet (1)'!$B$14,'Paramètres (1)'!$A$1:$I$88,3,0)*0.475*44/12</f>
        <v>#REF!</v>
      </c>
      <c r="ED169" s="143" t="str">
        <f t="shared" si="65"/>
        <v>#REF!</v>
      </c>
      <c r="EE169" s="139" t="str">
        <f t="shared" si="66"/>
        <v>#REF!</v>
      </c>
      <c r="EF169" s="131">
        <f t="shared" si="67"/>
        <v>10</v>
      </c>
      <c r="EG169" s="131" t="str">
        <f t="shared" si="132"/>
        <v>#REF!</v>
      </c>
      <c r="EH169" s="131" t="str">
        <f t="shared" si="68"/>
        <v>#REF!</v>
      </c>
      <c r="EI169" s="131" t="str">
        <f t="array" ref="EI169">INDEX(EH:EH,MIN(IF(ISNUMBER(EH169:EH365),ROW(EH169:EH365),"")))</f>
        <v/>
      </c>
      <c r="EJ169" s="131" t="str">
        <f t="shared" si="133"/>
        <v>#REF!</v>
      </c>
      <c r="EK169" s="138" t="str">
        <f>EJ169*VLOOKUP('Données projet (1)'!$B$15,'Paramètres (1)'!$A$1:$I$88,3,0)*VLOOKUP('Données projet (1)'!$B$15,'Paramètres (1)'!$A$1:$I$88,5,0)</f>
        <v>#REF!</v>
      </c>
      <c r="EL169" s="130" t="str">
        <f t="shared" si="134"/>
        <v>#REF!</v>
      </c>
      <c r="EM169" s="141" t="str">
        <f t="shared" si="69"/>
        <v>#REF!</v>
      </c>
      <c r="EN169" s="133" t="str">
        <f t="shared" si="70"/>
        <v>#REF!</v>
      </c>
      <c r="EO169" s="133" t="str">
        <f t="shared" si="71"/>
        <v>#REF!</v>
      </c>
      <c r="EP169" s="133" t="str">
        <f t="shared" si="135"/>
        <v>#REF!</v>
      </c>
      <c r="EQ169" s="134" t="str">
        <f t="shared" si="72"/>
        <v>#REF!</v>
      </c>
      <c r="ER169" s="134" t="str">
        <f t="shared" si="73"/>
        <v>#REF!</v>
      </c>
      <c r="ES169" s="135" t="str">
        <f>IF(ISNA(VLOOKUP(A169,'Données projet (1)'!$A$191:$I$211,5,0)),0%,VLOOKUP(A169,'Données projet (1)'!$A$191:$I$211,5,0)*VLOOKUP('Données projet (1)'!$B$15,'Paramètres (1)'!$A$1:$I$88,7,0))</f>
        <v>#REF!</v>
      </c>
      <c r="ET169" s="135" t="str">
        <f>IF(ISNA(VLOOKUP(A169,'Données projet (1)'!$A$191:$I$211,6,0)),0%,VLOOKUP(A169,'Données projet (1)'!$A$191:$I$211,6,0)*VLOOKUP('Données projet (1)'!$B$15,'Paramètres (1)'!$A$1:$I$88,7,0))</f>
        <v>#REF!</v>
      </c>
      <c r="EU169" s="135" t="str">
        <f t="shared" si="74"/>
        <v>#REF!</v>
      </c>
      <c r="EV169" s="142" t="str">
        <f>EXP(-LN(2)/35)*EV168+(1-EXP(-LN(2)/35))/(LN(2)/35)*ER169*ES169*VLOOKUP('Données projet (1)'!$B$15,'Paramètres (1)'!$A$1:$I$88,3,0)*0.475*44/12</f>
        <v>#REF!</v>
      </c>
      <c r="EW169" s="142" t="str">
        <f>EXP(-LN(2)/25)*EW168+(1-EXP(-LN(2)/25))/(LN(2)/25)*'Calculateur (1)'!ER169*'Calculateur (1)'!ET169*VLOOKUP('Données projet (1)'!$B$15,'Paramètres (1)'!$A$1:$I$88,3,0)*0.475*44/12</f>
        <v>#REF!</v>
      </c>
      <c r="EX169" s="142" t="str">
        <f>EXP(-LN(2)/2)*EX168+(1-EXP(-LN(2)/2))/(LN(2)/2)*ER169*EU169*VLOOKUP('Données projet (1)'!$B$15,'Paramètres (1)'!$A$1:$I$88,3,0)*0.475*44/12</f>
        <v>#REF!</v>
      </c>
      <c r="EY169" s="143" t="str">
        <f t="shared" si="75"/>
        <v>#REF!</v>
      </c>
      <c r="EZ169" s="139" t="str">
        <f t="shared" si="76"/>
        <v>#REF!</v>
      </c>
      <c r="FA169" s="131">
        <f t="shared" si="77"/>
        <v>10</v>
      </c>
      <c r="FB169" s="131" t="str">
        <f t="shared" si="136"/>
        <v>#REF!</v>
      </c>
      <c r="FC169" s="131" t="str">
        <f t="shared" si="78"/>
        <v>#REF!</v>
      </c>
      <c r="FD169" s="131" t="str">
        <f t="array" ref="FD169">INDEX(FC:FC,MIN(IF(ISNUMBER(FC169:FC365),ROW(FC169:FC365),"")))</f>
        <v/>
      </c>
      <c r="FE169" s="131" t="str">
        <f t="shared" si="137"/>
        <v>#REF!</v>
      </c>
      <c r="FF169" s="138" t="str">
        <f>FE169*VLOOKUP('Données projet (1)'!$B$16,'Paramètres (1)'!$A$1:$I$88,3,0)*VLOOKUP('Données projet (1)'!$B$16,'Paramètres (1)'!$A$1:$I$88,5,0)</f>
        <v>#REF!</v>
      </c>
      <c r="FG169" s="130" t="str">
        <f t="shared" si="138"/>
        <v>#REF!</v>
      </c>
      <c r="FH169" s="141" t="str">
        <f t="shared" si="79"/>
        <v>#REF!</v>
      </c>
      <c r="FI169" s="133" t="str">
        <f t="shared" si="80"/>
        <v>#REF!</v>
      </c>
      <c r="FJ169" s="133" t="str">
        <f t="shared" si="81"/>
        <v>#REF!</v>
      </c>
      <c r="FK169" s="133" t="str">
        <f t="shared" si="139"/>
        <v>#REF!</v>
      </c>
      <c r="FL169" s="134" t="str">
        <f t="shared" si="82"/>
        <v>#REF!</v>
      </c>
      <c r="FM169" s="134" t="str">
        <f t="shared" si="83"/>
        <v>#REF!</v>
      </c>
      <c r="FN169" s="135" t="str">
        <f>IF(ISNA(VLOOKUP(A169,'Données projet (1)'!$A$217:$I$237,5,0)),0%,VLOOKUP(A169,'Données projet (1)'!$A$217:$I$237,5,0)*VLOOKUP('Données projet (1)'!$B$16,'Paramètres (1)'!$A$1:$I$88,7,0))</f>
        <v>#REF!</v>
      </c>
      <c r="FO169" s="135" t="str">
        <f>IF(ISNA(VLOOKUP(A169,'Données projet (1)'!$A$217:$I$237,6,0)),0%,VLOOKUP(A169,'Données projet (1)'!$A$217:$I$237,6,0)*VLOOKUP('Données projet (1)'!$B$16,'Paramètres (1)'!$A$1:$I$88,7,0))</f>
        <v>#REF!</v>
      </c>
      <c r="FP169" s="135" t="str">
        <f t="shared" si="84"/>
        <v>#REF!</v>
      </c>
      <c r="FQ169" s="142" t="str">
        <f>EXP(-LN(2)/35)*FQ168+(1-EXP(-LN(2)/35))/(LN(2)/35)*FM169*FN169*VLOOKUP('Données projet (1)'!$B$16,'Paramètres (1)'!$A$1:$I$88,3,0)*0.475*44/12</f>
        <v>#REF!</v>
      </c>
      <c r="FR169" s="142" t="str">
        <f>EXP(-LN(2)/25)*FR168+(1-EXP(-LN(2)/25))/(LN(2)/25)*'Calculateur (1)'!FM169*'Calculateur (1)'!FO169*VLOOKUP('Données projet (1)'!$B$16,'Paramètres (1)'!$A$1:$I$88,3,0)*0.475*44/12</f>
        <v>#REF!</v>
      </c>
      <c r="FS169" s="142" t="str">
        <f>EXP(-LN(2)/2)*FS168+(1-EXP(-LN(2)/2))/(LN(2)/2)*FM169*FP169*VLOOKUP('Données projet (1)'!$B$16,'Paramètres (1)'!$A$1:$I$88,3,0)*0.475*44/12</f>
        <v>#REF!</v>
      </c>
      <c r="FT169" s="143" t="str">
        <f t="shared" si="85"/>
        <v>#REF!</v>
      </c>
      <c r="FU169" s="139" t="str">
        <f t="shared" si="86"/>
        <v>#REF!</v>
      </c>
      <c r="FV169" s="131">
        <f t="shared" si="87"/>
        <v>10</v>
      </c>
      <c r="FW169" s="131" t="str">
        <f t="shared" si="140"/>
        <v>#REF!</v>
      </c>
      <c r="FX169" s="131" t="str">
        <f t="shared" si="88"/>
        <v>#REF!</v>
      </c>
      <c r="FY169" s="131" t="str">
        <f t="array" ref="FY169">INDEX(FX:FX,MIN(IF(ISNUMBER(FX169:FX365),ROW(FX169:FX365),"")))</f>
        <v/>
      </c>
      <c r="FZ169" s="131" t="str">
        <f t="shared" si="141"/>
        <v>#REF!</v>
      </c>
      <c r="GA169" s="138" t="str">
        <f>FZ169*VLOOKUP('Données projet (1)'!$B$17,'Paramètres (1)'!$A$1:$I$88,3,0)*VLOOKUP('Données projet (1)'!$B$17,'Paramètres (1)'!$A$1:$I$88,5,0)</f>
        <v>#REF!</v>
      </c>
      <c r="GB169" s="130" t="str">
        <f t="shared" si="142"/>
        <v>#REF!</v>
      </c>
      <c r="GC169" s="141" t="str">
        <f t="shared" si="89"/>
        <v>#REF!</v>
      </c>
      <c r="GD169" s="133" t="str">
        <f t="shared" si="90"/>
        <v>#REF!</v>
      </c>
      <c r="GE169" s="133" t="str">
        <f t="shared" si="91"/>
        <v>#REF!</v>
      </c>
      <c r="GF169" s="133" t="str">
        <f t="shared" si="143"/>
        <v>#REF!</v>
      </c>
      <c r="GG169" s="134" t="str">
        <f t="shared" si="92"/>
        <v>#REF!</v>
      </c>
      <c r="GH169" s="134" t="str">
        <f t="shared" si="93"/>
        <v>#REF!</v>
      </c>
      <c r="GI169" s="135" t="str">
        <f>IF(ISNA(VLOOKUP(A169,'Données projet (1)'!$A$243:$I$263,5,0)),0%,VLOOKUP(A169,'Données projet (1)'!$A$243:$I$263,5,0)*VLOOKUP('Données projet (1)'!$B$17,'Paramètres (1)'!$A$1:$I$88,7,0))</f>
        <v>#REF!</v>
      </c>
      <c r="GJ169" s="135" t="str">
        <f>IF(ISNA(VLOOKUP(A169,'Données projet (1)'!$A$243:$I$263,6,0)),0%,VLOOKUP(A169,'Données projet (1)'!$A$243:$I$263,6,0)*VLOOKUP('Données projet (1)'!$B$17,'Paramètres (1)'!$A$1:$I$88,7,0))</f>
        <v>#REF!</v>
      </c>
      <c r="GK169" s="135" t="str">
        <f t="shared" si="94"/>
        <v>#REF!</v>
      </c>
      <c r="GL169" s="142" t="str">
        <f>EXP(-LN(2)/35)*GL168+(1-EXP(-LN(2)/35))/(LN(2)/35)*GH169*GI169*VLOOKUP('Données projet (1)'!$B$17,'Paramètres (1)'!$A$1:$I$88,3,0)*0.475*44/12</f>
        <v>#REF!</v>
      </c>
      <c r="GM169" s="142" t="str">
        <f>EXP(-LN(2)/25)*GM168+(1-EXP(-LN(2)/25))/(LN(2)/25)*'Calculateur (1)'!GH169*'Calculateur (1)'!GJ169*VLOOKUP('Données projet (1)'!$B$17,'Paramètres (1)'!$A$1:$I$88,3,0)*0.475*44/12</f>
        <v>#REF!</v>
      </c>
      <c r="GN169" s="142" t="str">
        <f>EXP(-LN(2)/2)*GN168+(1-EXP(-LN(2)/2))/(LN(2)/2)*GH169*GK169*VLOOKUP('Données projet (1)'!$B$17,'Paramètres (1)'!$A$1:$I$88,3,0)*0.475*44/12</f>
        <v>#REF!</v>
      </c>
      <c r="GO169" s="142" t="str">
        <f t="shared" si="95"/>
        <v>#REF!</v>
      </c>
      <c r="GP169" s="139" t="str">
        <f t="shared" si="96"/>
        <v>#REF!</v>
      </c>
      <c r="GQ169" s="131">
        <f t="shared" si="97"/>
        <v>10</v>
      </c>
      <c r="GR169" s="131" t="str">
        <f t="shared" si="144"/>
        <v>#REF!</v>
      </c>
      <c r="GS169" s="131" t="str">
        <f t="shared" si="98"/>
        <v>#REF!</v>
      </c>
      <c r="GT169" s="131" t="str">
        <f t="array" ref="GT169">INDEX(GS:GS,MIN(IF(ISNUMBER(GS169:GS365),ROW(GS169:GS365),"")))</f>
        <v/>
      </c>
      <c r="GU169" s="131" t="str">
        <f t="shared" si="145"/>
        <v>#REF!</v>
      </c>
      <c r="GV169" s="138" t="str">
        <f>GU169*VLOOKUP('Données projet (1)'!$B$18,'Paramètres (1)'!$A$1:$I$88,3,0)*VLOOKUP('Données projet (1)'!$B$18,'Paramètres (1)'!$A$1:$I$88,5,0)</f>
        <v>#REF!</v>
      </c>
      <c r="GW169" s="130" t="str">
        <f t="shared" si="146"/>
        <v>#REF!</v>
      </c>
      <c r="GX169" s="141" t="str">
        <f t="shared" si="99"/>
        <v>#REF!</v>
      </c>
      <c r="GY169" s="133" t="str">
        <f t="shared" si="100"/>
        <v>#REF!</v>
      </c>
      <c r="GZ169" s="133" t="str">
        <f t="shared" si="101"/>
        <v>#REF!</v>
      </c>
      <c r="HA169" s="133" t="str">
        <f t="shared" si="147"/>
        <v>#REF!</v>
      </c>
      <c r="HB169" s="134" t="str">
        <f t="shared" si="102"/>
        <v>#REF!</v>
      </c>
      <c r="HC169" s="134" t="str">
        <f t="shared" si="103"/>
        <v>#REF!</v>
      </c>
      <c r="HD169" s="135" t="str">
        <f>IF(ISNA(VLOOKUP(A169,'Données projet (1)'!$A$269:$I$289,5,0)),0%,VLOOKUP(A169,'Données projet (1)'!$A$269:$I$289,5,0)*VLOOKUP('Données projet (1)'!$B$18,'Paramètres (1)'!$A$1:$I$88,7,0))</f>
        <v>#REF!</v>
      </c>
      <c r="HE169" s="135" t="str">
        <f>IF(ISNA(VLOOKUP(A169,'Données projet (1)'!$A$269:$I$289,6,0)),0%,VLOOKUP(A169,'Données projet (1)'!$A$269:$I$289,6,0)*VLOOKUP('Données projet (1)'!$B$18,'Paramètres (1)'!$A$1:$I$88,7,0))</f>
        <v>#REF!</v>
      </c>
      <c r="HF169" s="135" t="str">
        <f t="shared" si="104"/>
        <v>#REF!</v>
      </c>
      <c r="HG169" s="142" t="str">
        <f>EXP(-LN(2)/35)*HG168+(1-EXP(-LN(2)/35))/(LN(2)/35)*HC169*HD169*VLOOKUP('Données projet (1)'!$B$18,'Paramètres (1)'!$A$1:$I$88,3,0)*0.475*44/12</f>
        <v>#REF!</v>
      </c>
      <c r="HH169" s="142" t="str">
        <f>EXP(-LN(2)/25)*HH168+(1-EXP(-LN(2)/25))/(LN(2)/25)*'Calculateur (1)'!HC169*'Calculateur (1)'!HE169*VLOOKUP('Données projet (1)'!$B$18,'Paramètres (1)'!$A$1:$I$88,3,0)*0.475*44/12</f>
        <v>#REF!</v>
      </c>
      <c r="HI169" s="142" t="str">
        <f>EXP(-LN(2)/2)*HI168+(1-EXP(-LN(2)/2))/(LN(2)/2)*HC169*HF169*VLOOKUP('Données projet (1)'!$B$18,'Paramètres (1)'!$A$1:$I$88,3,0)*0.475*44/12</f>
        <v>#REF!</v>
      </c>
      <c r="HJ169" s="143" t="str">
        <f t="shared" si="105"/>
        <v>#REF!</v>
      </c>
    </row>
    <row r="170" ht="14.25" customHeight="1">
      <c r="A170" s="125">
        <f t="shared" si="106"/>
        <v>167</v>
      </c>
      <c r="B170" s="126" t="str">
        <f t="shared" si="1"/>
        <v>#REF!</v>
      </c>
      <c r="C170" s="140" t="str">
        <f>'Calculateur (1)'!C169+'Scénario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0" s="127">
        <f t="shared" si="107"/>
        <v>0</v>
      </c>
      <c r="E170" s="127" t="str">
        <f t="shared" si="2"/>
        <v>#REF!</v>
      </c>
      <c r="F170" s="127" t="str">
        <f t="shared" si="3"/>
        <v>#REF!</v>
      </c>
      <c r="G170" s="127" t="str">
        <f t="shared" si="4"/>
        <v>#REF!</v>
      </c>
      <c r="H170" s="128" t="str">
        <f t="shared" si="5"/>
        <v>#REF!</v>
      </c>
      <c r="I170" s="129" t="str">
        <f t="shared" si="6"/>
        <v>#REF!</v>
      </c>
      <c r="J170" s="130">
        <f t="shared" si="7"/>
        <v>10</v>
      </c>
      <c r="K170" s="131" t="str">
        <f t="shared" si="108"/>
        <v>#REF!</v>
      </c>
      <c r="L170" s="131" t="str">
        <f t="shared" si="8"/>
        <v>#REF!</v>
      </c>
      <c r="M170" s="131" t="str">
        <f t="array" ref="M170">INDEX(L:L,MIN(IF(ISNUMBER(L170:L366),ROW(L170:L366),"")))</f>
        <v/>
      </c>
      <c r="N170" s="130" t="str">
        <f t="shared" si="109"/>
        <v>#REF!</v>
      </c>
      <c r="O170" s="130" t="str">
        <f>N170*VLOOKUP('Données projet (1)'!$B$9,'Paramètres (1)'!$A$1:$I$88,3,0)*VLOOKUP('Données projet (1)'!$B$9,'Paramètres (1)'!$A$1:$I$88,5,0)</f>
        <v>#REF!</v>
      </c>
      <c r="P170" s="130" t="str">
        <f t="shared" si="110"/>
        <v>#REF!</v>
      </c>
      <c r="Q170" s="141" t="str">
        <f t="shared" si="9"/>
        <v>#REF!</v>
      </c>
      <c r="R170" s="133" t="str">
        <f t="shared" si="10"/>
        <v>#REF!</v>
      </c>
      <c r="S170" s="133" t="str">
        <f t="shared" si="11"/>
        <v>#REF!</v>
      </c>
      <c r="T170" s="133" t="str">
        <f t="shared" si="111"/>
        <v>#REF!</v>
      </c>
      <c r="U170" s="134" t="str">
        <f t="shared" si="12"/>
        <v>#REF!</v>
      </c>
      <c r="V170" s="134" t="str">
        <f t="shared" si="13"/>
        <v>#REF!</v>
      </c>
      <c r="W170" s="135" t="str">
        <f>IF(ISNA(VLOOKUP(A170,'Données projet (1)'!$A$35:$I$55,5,0)),0%,VLOOKUP(A170,'Données projet (1)'!$A$35:$I$55,5,0)*VLOOKUP('Données projet (1)'!$B$9,'Paramètres (1)'!$A$1:$I$88,7,0))</f>
        <v>#REF!</v>
      </c>
      <c r="X170" s="135" t="str">
        <f>IF(ISNA(VLOOKUP(A170,'Données projet (1)'!$A$35:$I$55,6,0)),0%,VLOOKUP(A170,'Données projet (1)'!$A$35:$I$55,6,0)*VLOOKUP('Données projet (1)'!$B$9,'Paramètres (1)'!$A$1:$I$88,7,0))</f>
        <v>#REF!</v>
      </c>
      <c r="Y170" s="135" t="str">
        <f t="shared" si="14"/>
        <v>#REF!</v>
      </c>
      <c r="Z170" s="142" t="str">
        <f>EXP(-LN(2)/35)*Z169+(1-EXP(-LN(2)/35))/(LN(2)/35)*V170*W170*VLOOKUP('Données projet (1)'!$B$9,'Paramètres (1)'!$A$1:$I$88,3,0)*0.475*44/12</f>
        <v>#REF!</v>
      </c>
      <c r="AA170" s="142" t="str">
        <f>EXP(-LN(2)/25)*AA169+(1-EXP(-LN(2)/25))/(LN(2)/25)*'Calculateur (1)'!V170*'Calculateur (1)'!X170*VLOOKUP('Données projet (1)'!$B$9,'Paramètres (1)'!$A$1:$I$88,3,0)*0.475*44/12</f>
        <v>#REF!</v>
      </c>
      <c r="AB170" s="142" t="str">
        <f>EXP(-LN(2)/2)*AB169+(1-EXP(-LN(2)/2))/(LN(2)/2)*V170*Y170*VLOOKUP('Données projet (1)'!$B$9,'Paramètres (1)'!$A$1:$I$88,3,0)*0.475*44/12</f>
        <v>#REF!</v>
      </c>
      <c r="AC170" s="143" t="str">
        <f t="shared" si="15"/>
        <v>#REF!</v>
      </c>
      <c r="AD170" s="130" t="str">
        <f t="shared" si="16"/>
        <v>#REF!</v>
      </c>
      <c r="AE170" s="130">
        <f t="shared" si="17"/>
        <v>10</v>
      </c>
      <c r="AF170" s="131" t="str">
        <f t="shared" si="112"/>
        <v>#REF!</v>
      </c>
      <c r="AG170" s="131" t="str">
        <f t="shared" si="18"/>
        <v>#REF!</v>
      </c>
      <c r="AH170" s="131" t="str">
        <f t="array" ref="AH170">INDEX(AG:AG,MIN(IF(ISNUMBER(AG170:AG366),ROW(AG170:AG366),"")))</f>
        <v/>
      </c>
      <c r="AI170" s="130" t="str">
        <f t="shared" si="113"/>
        <v>#REF!</v>
      </c>
      <c r="AJ170" s="130" t="str">
        <f>AI170*VLOOKUP('Données projet (1)'!$B$10,'Paramètres (1)'!$A$1:$I$88,3,0)*VLOOKUP('Données projet (1)'!$B$10,'Paramètres (1)'!$A$1:$I$88,5,0)</f>
        <v>#REF!</v>
      </c>
      <c r="AK170" s="130" t="str">
        <f t="shared" si="114"/>
        <v>#REF!</v>
      </c>
      <c r="AL170" s="141" t="str">
        <f t="shared" si="19"/>
        <v>#REF!</v>
      </c>
      <c r="AM170" s="133" t="str">
        <f t="shared" si="20"/>
        <v>#REF!</v>
      </c>
      <c r="AN170" s="133" t="str">
        <f t="shared" si="21"/>
        <v>#REF!</v>
      </c>
      <c r="AO170" s="133" t="str">
        <f t="shared" si="115"/>
        <v>#REF!</v>
      </c>
      <c r="AP170" s="134" t="str">
        <f t="shared" si="22"/>
        <v>#REF!</v>
      </c>
      <c r="AQ170" s="134" t="str">
        <f t="shared" si="23"/>
        <v>#REF!</v>
      </c>
      <c r="AR170" s="135" t="str">
        <f>IF(ISNA(VLOOKUP(A170,'Données projet (1)'!$A$61:$I$81,5,0)),0%,VLOOKUP(A170,'Données projet (1)'!$A$61:$I$81,5,0)*VLOOKUP('Données projet (1)'!$B$10,'Paramètres (1)'!$A$1:$I$88,7,0))</f>
        <v>#REF!</v>
      </c>
      <c r="AS170" s="135" t="str">
        <f>IF(ISNA(VLOOKUP(A170,'Données projet (1)'!$A$61:$I$81,6,0)),0%,VLOOKUP(A170,'Données projet (1)'!$A$61:$I$81,6,0)*VLOOKUP('Données projet (1)'!$B$10,'Paramètres (1)'!$A$1:$I$88,7,0))</f>
        <v>#REF!</v>
      </c>
      <c r="AT170" s="135" t="str">
        <f t="shared" si="24"/>
        <v>#REF!</v>
      </c>
      <c r="AU170" s="142" t="str">
        <f>EXP(-LN(2)/35)*AU169+(1-EXP(-LN(2)/35))/(LN(2)/35)*AQ170*AR170*VLOOKUP('Données projet (1)'!$B$10,'Paramètres (1)'!$A$1:$I$88,3,0)*0.475*44/12</f>
        <v>#REF!</v>
      </c>
      <c r="AV170" s="142" t="str">
        <f>EXP(-LN(2)/25)*AV169+(1-EXP(-LN(2)/25))/(LN(2)/25)*'Calculateur (1)'!AQ170*'Calculateur (1)'!AS170*VLOOKUP('Données projet (1)'!$B$10,'Paramètres (1)'!$A$1:$I$88,3,0)*0.475*44/12</f>
        <v>#REF!</v>
      </c>
      <c r="AW170" s="142" t="str">
        <f>EXP(-LN(2)/2)*AW169+(1-EXP(-LN(2)/2))/(LN(2)/2)*AQ170*AT170*VLOOKUP('Données projet (1)'!$B$10,'Paramètres (1)'!$A$1:$I$88,3,0)*0.475*44/12</f>
        <v>#REF!</v>
      </c>
      <c r="AX170" s="142" t="str">
        <f t="shared" si="25"/>
        <v>#REF!</v>
      </c>
      <c r="AY170" s="137" t="str">
        <f t="shared" si="26"/>
        <v>#REF!</v>
      </c>
      <c r="AZ170" s="131">
        <f t="shared" si="27"/>
        <v>10</v>
      </c>
      <c r="BA170" s="131" t="str">
        <f t="shared" si="116"/>
        <v>#REF!</v>
      </c>
      <c r="BB170" s="131" t="str">
        <f t="shared" si="28"/>
        <v>#REF!</v>
      </c>
      <c r="BC170" s="131" t="str">
        <f t="array" ref="BC170">INDEX(BB:BB,MIN(IF(ISNUMBER(BB170:BB366),ROW(BB170:BB366),"")))</f>
        <v/>
      </c>
      <c r="BD170" s="131" t="str">
        <f t="shared" si="117"/>
        <v>#REF!</v>
      </c>
      <c r="BE170" s="130" t="str">
        <f>BD170*VLOOKUP('Données projet (1)'!$B$11,'Paramètres (1)'!$A$1:$I$88,3,0)*VLOOKUP('Données projet (1)'!$B$11,'Paramètres (1)'!$A$1:$I$88,5,0)</f>
        <v>#REF!</v>
      </c>
      <c r="BF170" s="130" t="str">
        <f t="shared" si="118"/>
        <v>#REF!</v>
      </c>
      <c r="BG170" s="141" t="str">
        <f t="shared" si="29"/>
        <v>#REF!</v>
      </c>
      <c r="BH170" s="133" t="str">
        <f t="shared" si="30"/>
        <v>#REF!</v>
      </c>
      <c r="BI170" s="133" t="str">
        <f t="shared" si="31"/>
        <v>#REF!</v>
      </c>
      <c r="BJ170" s="133" t="str">
        <f t="shared" si="119"/>
        <v>#REF!</v>
      </c>
      <c r="BK170" s="134" t="str">
        <f t="shared" si="32"/>
        <v>#REF!</v>
      </c>
      <c r="BL170" s="134" t="str">
        <f t="shared" si="33"/>
        <v>#REF!</v>
      </c>
      <c r="BM170" s="135" t="str">
        <f>IF(ISNA(VLOOKUP(A170,'Données projet (1)'!$A$87:$I$107,5,0)),0%,VLOOKUP(A170,'Données projet (1)'!$A$87:$I$107,5,0)*VLOOKUP('Données projet (1)'!$B$11,'Paramètres (1)'!$A$1:$I$88,7,0))</f>
        <v>#REF!</v>
      </c>
      <c r="BN170" s="135" t="str">
        <f>IF(ISNA(VLOOKUP(A170,'Données projet (1)'!$A$87:$I$107,6,0)),0%,VLOOKUP(A170,'Données projet (1)'!$A$87:$I$107,6,0)*VLOOKUP('Données projet (1)'!$B$11,'Paramètres (1)'!$A$1:$I$88,7,0))</f>
        <v>#REF!</v>
      </c>
      <c r="BO170" s="135" t="str">
        <f t="shared" si="34"/>
        <v>#REF!</v>
      </c>
      <c r="BP170" s="142" t="str">
        <f>EXP(-LN(2)/35)*BP169+(1-EXP(-LN(2)/35))/(LN(2)/35)*BL170*BM170*VLOOKUP('Données projet (1)'!$B$11,'Paramètres (1)'!$A$1:$I$88,3,0)*0.475*44/12</f>
        <v>#REF!</v>
      </c>
      <c r="BQ170" s="142" t="str">
        <f>EXP(-LN(2)/25)*BQ169+(1-EXP(-LN(2)/25))/(LN(2)/25)*'Calculateur (1)'!BL170*'Calculateur (1)'!BN170*VLOOKUP('Données projet (1)'!$B$11,'Paramètres (1)'!$A$1:$I$88,3,0)*0.475*44/12</f>
        <v>#REF!</v>
      </c>
      <c r="BR170" s="142" t="str">
        <f>EXP(-LN(2)/2)*BR169+(1-EXP(-LN(2)/2))/(LN(2)/2)*BL170*BO170*VLOOKUP('Données projet (1)'!$B$11,'Paramètres (1)'!$A$1:$I$88,3,0)*0.475*44/12</f>
        <v>#REF!</v>
      </c>
      <c r="BS170" s="143" t="str">
        <f t="shared" si="35"/>
        <v>#REF!</v>
      </c>
      <c r="BT170" s="139" t="str">
        <f t="shared" si="36"/>
        <v>#REF!</v>
      </c>
      <c r="BU170" s="131">
        <f t="shared" si="37"/>
        <v>10</v>
      </c>
      <c r="BV170" s="131" t="str">
        <f t="shared" si="120"/>
        <v>#REF!</v>
      </c>
      <c r="BW170" s="131" t="str">
        <f t="shared" si="38"/>
        <v>#REF!</v>
      </c>
      <c r="BX170" s="131" t="str">
        <f t="array" ref="BX170">INDEX(BW:BW,MIN(IF(ISNUMBER(BW170:BW366),ROW(BW170:BW366),"")))</f>
        <v/>
      </c>
      <c r="BY170" s="131" t="str">
        <f t="shared" si="121"/>
        <v>#REF!</v>
      </c>
      <c r="BZ170" s="130" t="str">
        <f>BY170*VLOOKUP('Données projet (1)'!$B$12,'Paramètres (1)'!$A$1:$I$88,3,0)*VLOOKUP('Données projet (1)'!$B$12,'Paramètres (1)'!$A$1:$I$88,5,0)</f>
        <v>#REF!</v>
      </c>
      <c r="CA170" s="130" t="str">
        <f t="shared" si="122"/>
        <v>#REF!</v>
      </c>
      <c r="CB170" s="141" t="str">
        <f t="shared" si="39"/>
        <v>#REF!</v>
      </c>
      <c r="CC170" s="133" t="str">
        <f t="shared" si="40"/>
        <v>#REF!</v>
      </c>
      <c r="CD170" s="133" t="str">
        <f t="shared" si="41"/>
        <v>#REF!</v>
      </c>
      <c r="CE170" s="133" t="str">
        <f t="shared" si="123"/>
        <v>#REF!</v>
      </c>
      <c r="CF170" s="134" t="str">
        <f t="shared" si="42"/>
        <v>#REF!</v>
      </c>
      <c r="CG170" s="134" t="str">
        <f t="shared" si="43"/>
        <v>#REF!</v>
      </c>
      <c r="CH170" s="135" t="str">
        <f>IF(ISNA(VLOOKUP(A170,'Données projet (1)'!$A$113:$I$133,5,0)),0%,VLOOKUP(A170,'Données projet (1)'!$A$113:$I$133,5,0)*VLOOKUP('Données projet (1)'!$B$12,'Paramètres (1)'!$A$1:$I$88,7,0))</f>
        <v>#REF!</v>
      </c>
      <c r="CI170" s="135" t="str">
        <f>IF(ISNA(VLOOKUP(A170,'Données projet (1)'!$A$113:$I$133,6,0)),0%,VLOOKUP(A170,'Données projet (1)'!$A$113:$I$133,6,0)*VLOOKUP('Données projet (1)'!$B$12,'Paramètres (1)'!$A$1:$I$88,7,0))</f>
        <v>#REF!</v>
      </c>
      <c r="CJ170" s="135" t="str">
        <f t="shared" si="44"/>
        <v>#REF!</v>
      </c>
      <c r="CK170" s="142" t="str">
        <f>EXP(-LN(2)/35)*CK169+(1-EXP(-LN(2)/35))/(LN(2)/35)*CG170*CH170*VLOOKUP('Données projet (1)'!$B$12,'Paramètres (1)'!$A$1:$I$88,3,0)*0.475*44/12</f>
        <v>#REF!</v>
      </c>
      <c r="CL170" s="142" t="str">
        <f>EXP(-LN(2)/25)*CL169+(1-EXP(-LN(2)/25))/(LN(2)/25)*'Calculateur (1)'!CG170*'Calculateur (1)'!CI170*VLOOKUP('Données projet (1)'!$B$12,'Paramètres (1)'!$A$1:$I$88,3,0)*0.475*44/12</f>
        <v>#REF!</v>
      </c>
      <c r="CM170" s="142" t="str">
        <f>EXP(-LN(2)/2)*CM169+(1-EXP(-LN(2)/2))/(LN(2)/2)*CG170*CJ170*VLOOKUP('Données projet (1)'!$B$12,'Paramètres (1)'!$A$1:$I$88,3,0)*0.475*44/12</f>
        <v>#REF!</v>
      </c>
      <c r="CN170" s="143" t="str">
        <f t="shared" si="45"/>
        <v>#REF!</v>
      </c>
      <c r="CO170" s="139" t="str">
        <f t="shared" si="46"/>
        <v>#REF!</v>
      </c>
      <c r="CP170" s="131">
        <f t="shared" si="47"/>
        <v>10</v>
      </c>
      <c r="CQ170" s="131" t="str">
        <f t="shared" si="124"/>
        <v>#REF!</v>
      </c>
      <c r="CR170" s="131" t="str">
        <f t="shared" si="48"/>
        <v>#REF!</v>
      </c>
      <c r="CS170" s="131" t="str">
        <f t="array" ref="CS170">INDEX(CR:CR,MIN(IF(ISNUMBER(CR170:CR366),ROW(CR170:CR366),"")))</f>
        <v/>
      </c>
      <c r="CT170" s="131" t="str">
        <f t="shared" si="125"/>
        <v>#REF!</v>
      </c>
      <c r="CU170" s="138" t="str">
        <f>CT170*VLOOKUP('Données projet (1)'!$B$13,'Paramètres (1)'!$A$1:$I$88,3,0)*VLOOKUP('Données projet (1)'!$B$13,'Paramètres (1)'!$A$1:$I$88,5,0)</f>
        <v>#REF!</v>
      </c>
      <c r="CV170" s="130" t="str">
        <f t="shared" si="126"/>
        <v>#REF!</v>
      </c>
      <c r="CW170" s="141" t="str">
        <f t="shared" si="49"/>
        <v>#REF!</v>
      </c>
      <c r="CX170" s="133" t="str">
        <f t="shared" si="50"/>
        <v>#REF!</v>
      </c>
      <c r="CY170" s="133" t="str">
        <f t="shared" si="51"/>
        <v>#REF!</v>
      </c>
      <c r="CZ170" s="133" t="str">
        <f t="shared" si="127"/>
        <v>#REF!</v>
      </c>
      <c r="DA170" s="134" t="str">
        <f t="shared" si="52"/>
        <v>#REF!</v>
      </c>
      <c r="DB170" s="134" t="str">
        <f t="shared" si="53"/>
        <v>#REF!</v>
      </c>
      <c r="DC170" s="135" t="str">
        <f>IF(ISNA(VLOOKUP(A170,'Données projet (1)'!$A$139:$I$159,5,0)),0%,VLOOKUP(A170,'Données projet (1)'!$A$139:$I$159,5,0)*VLOOKUP('Données projet (1)'!$B$13,'Paramètres (1)'!$A$1:$I$88,7,0))</f>
        <v>#REF!</v>
      </c>
      <c r="DD170" s="135" t="str">
        <f>IF(ISNA(VLOOKUP(A170,'Données projet (1)'!$A$139:$I$159,6,0)),0%,VLOOKUP(A170,'Données projet (1)'!$A$139:$I$159,6,0)*VLOOKUP('Données projet (1)'!$B$13,'Paramètres (1)'!$A$1:$I$88,7,0))</f>
        <v>#REF!</v>
      </c>
      <c r="DE170" s="135" t="str">
        <f t="shared" si="54"/>
        <v>#REF!</v>
      </c>
      <c r="DF170" s="142" t="str">
        <f>EXP(-LN(2)/35)*DF169+(1-EXP(-LN(2)/35))/(LN(2)/35)*DB170*DC170*VLOOKUP('Données projet (1)'!$B$13,'Paramètres (1)'!$A$1:$I$88,3,0)*0.475*44/12</f>
        <v>#REF!</v>
      </c>
      <c r="DG170" s="142" t="str">
        <f>EXP(-LN(2)/25)*DG169+(1-EXP(-LN(2)/25))/(LN(2)/25)*'Calculateur (1)'!DB170*'Calculateur (1)'!DD170*VLOOKUP('Données projet (1)'!$B$13,'Paramètres (1)'!$A$1:$I$88,3,0)*0.475*44/12</f>
        <v>#REF!</v>
      </c>
      <c r="DH170" s="142" t="str">
        <f>EXP(-LN(2)/2)*DH169+(1-EXP(-LN(2)/2))/(LN(2)/2)*DB170*DE170*VLOOKUP('Données projet (1)'!$B$13,'Paramètres (1)'!$A$1:$I$88,3,0)*0.475*44/12</f>
        <v>#REF!</v>
      </c>
      <c r="DI170" s="143" t="str">
        <f t="shared" si="55"/>
        <v>#REF!</v>
      </c>
      <c r="DJ170" s="139" t="str">
        <f t="shared" si="56"/>
        <v>#REF!</v>
      </c>
      <c r="DK170" s="131">
        <f t="shared" si="57"/>
        <v>10</v>
      </c>
      <c r="DL170" s="131" t="str">
        <f t="shared" si="128"/>
        <v>#REF!</v>
      </c>
      <c r="DM170" s="131" t="str">
        <f t="shared" si="58"/>
        <v>#REF!</v>
      </c>
      <c r="DN170" s="131" t="str">
        <f t="array" ref="DN170">INDEX(DM:DM,MIN(IF(ISNUMBER(DM170:DM366),ROW(DM170:DM366),"")))</f>
        <v/>
      </c>
      <c r="DO170" s="131" t="str">
        <f t="shared" si="129"/>
        <v>#REF!</v>
      </c>
      <c r="DP170" s="138" t="str">
        <f>DO170*VLOOKUP('Données projet (1)'!$B$14,'Paramètres (1)'!$A$1:$I$88,3,0)*VLOOKUP('Données projet (1)'!$B$14,'Paramètres (1)'!$A$1:$I$88,5,0)</f>
        <v>#REF!</v>
      </c>
      <c r="DQ170" s="130" t="str">
        <f t="shared" si="130"/>
        <v>#REF!</v>
      </c>
      <c r="DR170" s="141" t="str">
        <f t="shared" si="59"/>
        <v>#REF!</v>
      </c>
      <c r="DS170" s="133" t="str">
        <f t="shared" si="60"/>
        <v>#REF!</v>
      </c>
      <c r="DT170" s="133" t="str">
        <f t="shared" si="61"/>
        <v>#REF!</v>
      </c>
      <c r="DU170" s="133" t="str">
        <f t="shared" si="131"/>
        <v>#REF!</v>
      </c>
      <c r="DV170" s="134" t="str">
        <f t="shared" si="62"/>
        <v>#REF!</v>
      </c>
      <c r="DW170" s="134" t="str">
        <f t="shared" si="63"/>
        <v>#REF!</v>
      </c>
      <c r="DX170" s="135" t="str">
        <f>IF(ISNA(VLOOKUP(A170,'Données projet (1)'!$A$165:$I$185,5,0)),0%,VLOOKUP(A170,'Données projet (1)'!$A$165:$I$185,5,0)*VLOOKUP('Données projet (1)'!$B$14,'Paramètres (1)'!$A$1:$I$88,7,0))</f>
        <v>#REF!</v>
      </c>
      <c r="DY170" s="135" t="str">
        <f>IF(ISNA(VLOOKUP(A170,'Données projet (1)'!$A$165:$I$185,6,0)),0%,VLOOKUP(A170,'Données projet (1)'!$A$165:$I$185,6,0)*VLOOKUP('Données projet (1)'!$B$14,'Paramètres (1)'!$A$1:$I$88,7,0))</f>
        <v>#REF!</v>
      </c>
      <c r="DZ170" s="135" t="str">
        <f t="shared" si="64"/>
        <v>#REF!</v>
      </c>
      <c r="EA170" s="142" t="str">
        <f>EXP(-LN(2)/35)*EA169+(1-EXP(-LN(2)/35))/(LN(2)/35)*DW170*DX170*VLOOKUP('Données projet (1)'!$B$14,'Paramètres (1)'!$A$1:$I$88,3,0)*0.475*44/12</f>
        <v>#REF!</v>
      </c>
      <c r="EB170" s="142" t="str">
        <f>EXP(-LN(2)/25)*EB169+(1-EXP(-LN(2)/25))/(LN(2)/25)*'Calculateur (1)'!DW170*'Calculateur (1)'!DY170*VLOOKUP('Données projet (1)'!$B$14,'Paramètres (1)'!$A$1:$I$88,3,0)*0.475*44/12</f>
        <v>#REF!</v>
      </c>
      <c r="EC170" s="142" t="str">
        <f>EXP(-LN(2)/2)*EC169+(1-EXP(-LN(2)/2))/(LN(2)/2)*DW170*DZ170*VLOOKUP('Données projet (1)'!$B$14,'Paramètres (1)'!$A$1:$I$88,3,0)*0.475*44/12</f>
        <v>#REF!</v>
      </c>
      <c r="ED170" s="143" t="str">
        <f t="shared" si="65"/>
        <v>#REF!</v>
      </c>
      <c r="EE170" s="139" t="str">
        <f t="shared" si="66"/>
        <v>#REF!</v>
      </c>
      <c r="EF170" s="131">
        <f t="shared" si="67"/>
        <v>10</v>
      </c>
      <c r="EG170" s="131" t="str">
        <f t="shared" si="132"/>
        <v>#REF!</v>
      </c>
      <c r="EH170" s="131" t="str">
        <f t="shared" si="68"/>
        <v>#REF!</v>
      </c>
      <c r="EI170" s="131" t="str">
        <f t="array" ref="EI170">INDEX(EH:EH,MIN(IF(ISNUMBER(EH170:EH366),ROW(EH170:EH366),"")))</f>
        <v/>
      </c>
      <c r="EJ170" s="131" t="str">
        <f t="shared" si="133"/>
        <v>#REF!</v>
      </c>
      <c r="EK170" s="138" t="str">
        <f>EJ170*VLOOKUP('Données projet (1)'!$B$15,'Paramètres (1)'!$A$1:$I$88,3,0)*VLOOKUP('Données projet (1)'!$B$15,'Paramètres (1)'!$A$1:$I$88,5,0)</f>
        <v>#REF!</v>
      </c>
      <c r="EL170" s="130" t="str">
        <f t="shared" si="134"/>
        <v>#REF!</v>
      </c>
      <c r="EM170" s="141" t="str">
        <f t="shared" si="69"/>
        <v>#REF!</v>
      </c>
      <c r="EN170" s="133" t="str">
        <f t="shared" si="70"/>
        <v>#REF!</v>
      </c>
      <c r="EO170" s="133" t="str">
        <f t="shared" si="71"/>
        <v>#REF!</v>
      </c>
      <c r="EP170" s="133" t="str">
        <f t="shared" si="135"/>
        <v>#REF!</v>
      </c>
      <c r="EQ170" s="134" t="str">
        <f t="shared" si="72"/>
        <v>#REF!</v>
      </c>
      <c r="ER170" s="134" t="str">
        <f t="shared" si="73"/>
        <v>#REF!</v>
      </c>
      <c r="ES170" s="135" t="str">
        <f>IF(ISNA(VLOOKUP(A170,'Données projet (1)'!$A$191:$I$211,5,0)),0%,VLOOKUP(A170,'Données projet (1)'!$A$191:$I$211,5,0)*VLOOKUP('Données projet (1)'!$B$15,'Paramètres (1)'!$A$1:$I$88,7,0))</f>
        <v>#REF!</v>
      </c>
      <c r="ET170" s="135" t="str">
        <f>IF(ISNA(VLOOKUP(A170,'Données projet (1)'!$A$191:$I$211,6,0)),0%,VLOOKUP(A170,'Données projet (1)'!$A$191:$I$211,6,0)*VLOOKUP('Données projet (1)'!$B$15,'Paramètres (1)'!$A$1:$I$88,7,0))</f>
        <v>#REF!</v>
      </c>
      <c r="EU170" s="135" t="str">
        <f t="shared" si="74"/>
        <v>#REF!</v>
      </c>
      <c r="EV170" s="142" t="str">
        <f>EXP(-LN(2)/35)*EV169+(1-EXP(-LN(2)/35))/(LN(2)/35)*ER170*ES170*VLOOKUP('Données projet (1)'!$B$15,'Paramètres (1)'!$A$1:$I$88,3,0)*0.475*44/12</f>
        <v>#REF!</v>
      </c>
      <c r="EW170" s="142" t="str">
        <f>EXP(-LN(2)/25)*EW169+(1-EXP(-LN(2)/25))/(LN(2)/25)*'Calculateur (1)'!ER170*'Calculateur (1)'!ET170*VLOOKUP('Données projet (1)'!$B$15,'Paramètres (1)'!$A$1:$I$88,3,0)*0.475*44/12</f>
        <v>#REF!</v>
      </c>
      <c r="EX170" s="142" t="str">
        <f>EXP(-LN(2)/2)*EX169+(1-EXP(-LN(2)/2))/(LN(2)/2)*ER170*EU170*VLOOKUP('Données projet (1)'!$B$15,'Paramètres (1)'!$A$1:$I$88,3,0)*0.475*44/12</f>
        <v>#REF!</v>
      </c>
      <c r="EY170" s="143" t="str">
        <f t="shared" si="75"/>
        <v>#REF!</v>
      </c>
      <c r="EZ170" s="139" t="str">
        <f t="shared" si="76"/>
        <v>#REF!</v>
      </c>
      <c r="FA170" s="131">
        <f t="shared" si="77"/>
        <v>10</v>
      </c>
      <c r="FB170" s="131" t="str">
        <f t="shared" si="136"/>
        <v>#REF!</v>
      </c>
      <c r="FC170" s="131" t="str">
        <f t="shared" si="78"/>
        <v>#REF!</v>
      </c>
      <c r="FD170" s="131" t="str">
        <f t="array" ref="FD170">INDEX(FC:FC,MIN(IF(ISNUMBER(FC170:FC366),ROW(FC170:FC366),"")))</f>
        <v/>
      </c>
      <c r="FE170" s="131" t="str">
        <f t="shared" si="137"/>
        <v>#REF!</v>
      </c>
      <c r="FF170" s="138" t="str">
        <f>FE170*VLOOKUP('Données projet (1)'!$B$16,'Paramètres (1)'!$A$1:$I$88,3,0)*VLOOKUP('Données projet (1)'!$B$16,'Paramètres (1)'!$A$1:$I$88,5,0)</f>
        <v>#REF!</v>
      </c>
      <c r="FG170" s="130" t="str">
        <f t="shared" si="138"/>
        <v>#REF!</v>
      </c>
      <c r="FH170" s="141" t="str">
        <f t="shared" si="79"/>
        <v>#REF!</v>
      </c>
      <c r="FI170" s="133" t="str">
        <f t="shared" si="80"/>
        <v>#REF!</v>
      </c>
      <c r="FJ170" s="133" t="str">
        <f t="shared" si="81"/>
        <v>#REF!</v>
      </c>
      <c r="FK170" s="133" t="str">
        <f t="shared" si="139"/>
        <v>#REF!</v>
      </c>
      <c r="FL170" s="134" t="str">
        <f t="shared" si="82"/>
        <v>#REF!</v>
      </c>
      <c r="FM170" s="134" t="str">
        <f t="shared" si="83"/>
        <v>#REF!</v>
      </c>
      <c r="FN170" s="135" t="str">
        <f>IF(ISNA(VLOOKUP(A170,'Données projet (1)'!$A$217:$I$237,5,0)),0%,VLOOKUP(A170,'Données projet (1)'!$A$217:$I$237,5,0)*VLOOKUP('Données projet (1)'!$B$16,'Paramètres (1)'!$A$1:$I$88,7,0))</f>
        <v>#REF!</v>
      </c>
      <c r="FO170" s="135" t="str">
        <f>IF(ISNA(VLOOKUP(A170,'Données projet (1)'!$A$217:$I$237,6,0)),0%,VLOOKUP(A170,'Données projet (1)'!$A$217:$I$237,6,0)*VLOOKUP('Données projet (1)'!$B$16,'Paramètres (1)'!$A$1:$I$88,7,0))</f>
        <v>#REF!</v>
      </c>
      <c r="FP170" s="135" t="str">
        <f t="shared" si="84"/>
        <v>#REF!</v>
      </c>
      <c r="FQ170" s="142" t="str">
        <f>EXP(-LN(2)/35)*FQ169+(1-EXP(-LN(2)/35))/(LN(2)/35)*FM170*FN170*VLOOKUP('Données projet (1)'!$B$16,'Paramètres (1)'!$A$1:$I$88,3,0)*0.475*44/12</f>
        <v>#REF!</v>
      </c>
      <c r="FR170" s="142" t="str">
        <f>EXP(-LN(2)/25)*FR169+(1-EXP(-LN(2)/25))/(LN(2)/25)*'Calculateur (1)'!FM170*'Calculateur (1)'!FO170*VLOOKUP('Données projet (1)'!$B$16,'Paramètres (1)'!$A$1:$I$88,3,0)*0.475*44/12</f>
        <v>#REF!</v>
      </c>
      <c r="FS170" s="142" t="str">
        <f>EXP(-LN(2)/2)*FS169+(1-EXP(-LN(2)/2))/(LN(2)/2)*FM170*FP170*VLOOKUP('Données projet (1)'!$B$16,'Paramètres (1)'!$A$1:$I$88,3,0)*0.475*44/12</f>
        <v>#REF!</v>
      </c>
      <c r="FT170" s="143" t="str">
        <f t="shared" si="85"/>
        <v>#REF!</v>
      </c>
      <c r="FU170" s="139" t="str">
        <f t="shared" si="86"/>
        <v>#REF!</v>
      </c>
      <c r="FV170" s="131">
        <f t="shared" si="87"/>
        <v>10</v>
      </c>
      <c r="FW170" s="131" t="str">
        <f t="shared" si="140"/>
        <v>#REF!</v>
      </c>
      <c r="FX170" s="131" t="str">
        <f t="shared" si="88"/>
        <v>#REF!</v>
      </c>
      <c r="FY170" s="131" t="str">
        <f t="array" ref="FY170">INDEX(FX:FX,MIN(IF(ISNUMBER(FX170:FX366),ROW(FX170:FX366),"")))</f>
        <v/>
      </c>
      <c r="FZ170" s="131" t="str">
        <f t="shared" si="141"/>
        <v>#REF!</v>
      </c>
      <c r="GA170" s="138" t="str">
        <f>FZ170*VLOOKUP('Données projet (1)'!$B$17,'Paramètres (1)'!$A$1:$I$88,3,0)*VLOOKUP('Données projet (1)'!$B$17,'Paramètres (1)'!$A$1:$I$88,5,0)</f>
        <v>#REF!</v>
      </c>
      <c r="GB170" s="130" t="str">
        <f t="shared" si="142"/>
        <v>#REF!</v>
      </c>
      <c r="GC170" s="141" t="str">
        <f t="shared" si="89"/>
        <v>#REF!</v>
      </c>
      <c r="GD170" s="133" t="str">
        <f t="shared" si="90"/>
        <v>#REF!</v>
      </c>
      <c r="GE170" s="133" t="str">
        <f t="shared" si="91"/>
        <v>#REF!</v>
      </c>
      <c r="GF170" s="133" t="str">
        <f t="shared" si="143"/>
        <v>#REF!</v>
      </c>
      <c r="GG170" s="134" t="str">
        <f t="shared" si="92"/>
        <v>#REF!</v>
      </c>
      <c r="GH170" s="134" t="str">
        <f t="shared" si="93"/>
        <v>#REF!</v>
      </c>
      <c r="GI170" s="135" t="str">
        <f>IF(ISNA(VLOOKUP(A170,'Données projet (1)'!$A$243:$I$263,5,0)),0%,VLOOKUP(A170,'Données projet (1)'!$A$243:$I$263,5,0)*VLOOKUP('Données projet (1)'!$B$17,'Paramètres (1)'!$A$1:$I$88,7,0))</f>
        <v>#REF!</v>
      </c>
      <c r="GJ170" s="135" t="str">
        <f>IF(ISNA(VLOOKUP(A170,'Données projet (1)'!$A$243:$I$263,6,0)),0%,VLOOKUP(A170,'Données projet (1)'!$A$243:$I$263,6,0)*VLOOKUP('Données projet (1)'!$B$17,'Paramètres (1)'!$A$1:$I$88,7,0))</f>
        <v>#REF!</v>
      </c>
      <c r="GK170" s="135" t="str">
        <f t="shared" si="94"/>
        <v>#REF!</v>
      </c>
      <c r="GL170" s="142" t="str">
        <f>EXP(-LN(2)/35)*GL169+(1-EXP(-LN(2)/35))/(LN(2)/35)*GH170*GI170*VLOOKUP('Données projet (1)'!$B$17,'Paramètres (1)'!$A$1:$I$88,3,0)*0.475*44/12</f>
        <v>#REF!</v>
      </c>
      <c r="GM170" s="142" t="str">
        <f>EXP(-LN(2)/25)*GM169+(1-EXP(-LN(2)/25))/(LN(2)/25)*'Calculateur (1)'!GH170*'Calculateur (1)'!GJ170*VLOOKUP('Données projet (1)'!$B$17,'Paramètres (1)'!$A$1:$I$88,3,0)*0.475*44/12</f>
        <v>#REF!</v>
      </c>
      <c r="GN170" s="142" t="str">
        <f>EXP(-LN(2)/2)*GN169+(1-EXP(-LN(2)/2))/(LN(2)/2)*GH170*GK170*VLOOKUP('Données projet (1)'!$B$17,'Paramètres (1)'!$A$1:$I$88,3,0)*0.475*44/12</f>
        <v>#REF!</v>
      </c>
      <c r="GO170" s="142" t="str">
        <f t="shared" si="95"/>
        <v>#REF!</v>
      </c>
      <c r="GP170" s="139" t="str">
        <f t="shared" si="96"/>
        <v>#REF!</v>
      </c>
      <c r="GQ170" s="131">
        <f t="shared" si="97"/>
        <v>10</v>
      </c>
      <c r="GR170" s="131" t="str">
        <f t="shared" si="144"/>
        <v>#REF!</v>
      </c>
      <c r="GS170" s="131" t="str">
        <f t="shared" si="98"/>
        <v>#REF!</v>
      </c>
      <c r="GT170" s="131" t="str">
        <f t="array" ref="GT170">INDEX(GS:GS,MIN(IF(ISNUMBER(GS170:GS366),ROW(GS170:GS366),"")))</f>
        <v/>
      </c>
      <c r="GU170" s="131" t="str">
        <f t="shared" si="145"/>
        <v>#REF!</v>
      </c>
      <c r="GV170" s="138" t="str">
        <f>GU170*VLOOKUP('Données projet (1)'!$B$18,'Paramètres (1)'!$A$1:$I$88,3,0)*VLOOKUP('Données projet (1)'!$B$18,'Paramètres (1)'!$A$1:$I$88,5,0)</f>
        <v>#REF!</v>
      </c>
      <c r="GW170" s="130" t="str">
        <f t="shared" si="146"/>
        <v>#REF!</v>
      </c>
      <c r="GX170" s="141" t="str">
        <f t="shared" si="99"/>
        <v>#REF!</v>
      </c>
      <c r="GY170" s="133" t="str">
        <f t="shared" si="100"/>
        <v>#REF!</v>
      </c>
      <c r="GZ170" s="133" t="str">
        <f t="shared" si="101"/>
        <v>#REF!</v>
      </c>
      <c r="HA170" s="133" t="str">
        <f t="shared" si="147"/>
        <v>#REF!</v>
      </c>
      <c r="HB170" s="134" t="str">
        <f t="shared" si="102"/>
        <v>#REF!</v>
      </c>
      <c r="HC170" s="134" t="str">
        <f t="shared" si="103"/>
        <v>#REF!</v>
      </c>
      <c r="HD170" s="135" t="str">
        <f>IF(ISNA(VLOOKUP(A170,'Données projet (1)'!$A$269:$I$289,5,0)),0%,VLOOKUP(A170,'Données projet (1)'!$A$269:$I$289,5,0)*VLOOKUP('Données projet (1)'!$B$18,'Paramètres (1)'!$A$1:$I$88,7,0))</f>
        <v>#REF!</v>
      </c>
      <c r="HE170" s="135" t="str">
        <f>IF(ISNA(VLOOKUP(A170,'Données projet (1)'!$A$269:$I$289,6,0)),0%,VLOOKUP(A170,'Données projet (1)'!$A$269:$I$289,6,0)*VLOOKUP('Données projet (1)'!$B$18,'Paramètres (1)'!$A$1:$I$88,7,0))</f>
        <v>#REF!</v>
      </c>
      <c r="HF170" s="135" t="str">
        <f t="shared" si="104"/>
        <v>#REF!</v>
      </c>
      <c r="HG170" s="142" t="str">
        <f>EXP(-LN(2)/35)*HG169+(1-EXP(-LN(2)/35))/(LN(2)/35)*HC170*HD170*VLOOKUP('Données projet (1)'!$B$18,'Paramètres (1)'!$A$1:$I$88,3,0)*0.475*44/12</f>
        <v>#REF!</v>
      </c>
      <c r="HH170" s="142" t="str">
        <f>EXP(-LN(2)/25)*HH169+(1-EXP(-LN(2)/25))/(LN(2)/25)*'Calculateur (1)'!HC170*'Calculateur (1)'!HE170*VLOOKUP('Données projet (1)'!$B$18,'Paramètres (1)'!$A$1:$I$88,3,0)*0.475*44/12</f>
        <v>#REF!</v>
      </c>
      <c r="HI170" s="142" t="str">
        <f>EXP(-LN(2)/2)*HI169+(1-EXP(-LN(2)/2))/(LN(2)/2)*HC170*HF170*VLOOKUP('Données projet (1)'!$B$18,'Paramètres (1)'!$A$1:$I$88,3,0)*0.475*44/12</f>
        <v>#REF!</v>
      </c>
      <c r="HJ170" s="143" t="str">
        <f t="shared" si="105"/>
        <v>#REF!</v>
      </c>
    </row>
    <row r="171" ht="14.25" customHeight="1">
      <c r="A171" s="125">
        <f t="shared" si="106"/>
        <v>168</v>
      </c>
      <c r="B171" s="126" t="str">
        <f t="shared" si="1"/>
        <v>#REF!</v>
      </c>
      <c r="C171" s="140" t="str">
        <f>'Calculateur (1)'!C170+'Scénario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1" s="127">
        <f t="shared" si="107"/>
        <v>0</v>
      </c>
      <c r="E171" s="127" t="str">
        <f t="shared" si="2"/>
        <v>#REF!</v>
      </c>
      <c r="F171" s="127" t="str">
        <f t="shared" si="3"/>
        <v>#REF!</v>
      </c>
      <c r="G171" s="127" t="str">
        <f t="shared" si="4"/>
        <v>#REF!</v>
      </c>
      <c r="H171" s="128" t="str">
        <f t="shared" si="5"/>
        <v>#REF!</v>
      </c>
      <c r="I171" s="129" t="str">
        <f t="shared" si="6"/>
        <v>#REF!</v>
      </c>
      <c r="J171" s="130">
        <f t="shared" si="7"/>
        <v>10</v>
      </c>
      <c r="K171" s="131" t="str">
        <f t="shared" si="108"/>
        <v>#REF!</v>
      </c>
      <c r="L171" s="131" t="str">
        <f t="shared" si="8"/>
        <v>#REF!</v>
      </c>
      <c r="M171" s="131" t="str">
        <f t="array" ref="M171">INDEX(L:L,MIN(IF(ISNUMBER(L171:L367),ROW(L171:L367),"")))</f>
        <v/>
      </c>
      <c r="N171" s="130" t="str">
        <f t="shared" si="109"/>
        <v>#REF!</v>
      </c>
      <c r="O171" s="130" t="str">
        <f>N171*VLOOKUP('Données projet (1)'!$B$9,'Paramètres (1)'!$A$1:$I$88,3,0)*VLOOKUP('Données projet (1)'!$B$9,'Paramètres (1)'!$A$1:$I$88,5,0)</f>
        <v>#REF!</v>
      </c>
      <c r="P171" s="130" t="str">
        <f t="shared" si="110"/>
        <v>#REF!</v>
      </c>
      <c r="Q171" s="141" t="str">
        <f t="shared" si="9"/>
        <v>#REF!</v>
      </c>
      <c r="R171" s="133" t="str">
        <f t="shared" si="10"/>
        <v>#REF!</v>
      </c>
      <c r="S171" s="133" t="str">
        <f t="shared" si="11"/>
        <v>#REF!</v>
      </c>
      <c r="T171" s="133" t="str">
        <f t="shared" si="111"/>
        <v>#REF!</v>
      </c>
      <c r="U171" s="134" t="str">
        <f t="shared" si="12"/>
        <v>#REF!</v>
      </c>
      <c r="V171" s="134" t="str">
        <f t="shared" si="13"/>
        <v>#REF!</v>
      </c>
      <c r="W171" s="135" t="str">
        <f>IF(ISNA(VLOOKUP(A171,'Données projet (1)'!$A$35:$I$55,5,0)),0%,VLOOKUP(A171,'Données projet (1)'!$A$35:$I$55,5,0)*VLOOKUP('Données projet (1)'!$B$9,'Paramètres (1)'!$A$1:$I$88,7,0))</f>
        <v>#REF!</v>
      </c>
      <c r="X171" s="135" t="str">
        <f>IF(ISNA(VLOOKUP(A171,'Données projet (1)'!$A$35:$I$55,6,0)),0%,VLOOKUP(A171,'Données projet (1)'!$A$35:$I$55,6,0)*VLOOKUP('Données projet (1)'!$B$9,'Paramètres (1)'!$A$1:$I$88,7,0))</f>
        <v>#REF!</v>
      </c>
      <c r="Y171" s="135" t="str">
        <f t="shared" si="14"/>
        <v>#REF!</v>
      </c>
      <c r="Z171" s="142" t="str">
        <f>EXP(-LN(2)/35)*Z170+(1-EXP(-LN(2)/35))/(LN(2)/35)*V171*W171*VLOOKUP('Données projet (1)'!$B$9,'Paramètres (1)'!$A$1:$I$88,3,0)*0.475*44/12</f>
        <v>#REF!</v>
      </c>
      <c r="AA171" s="142" t="str">
        <f>EXP(-LN(2)/25)*AA170+(1-EXP(-LN(2)/25))/(LN(2)/25)*'Calculateur (1)'!V171*'Calculateur (1)'!X171*VLOOKUP('Données projet (1)'!$B$9,'Paramètres (1)'!$A$1:$I$88,3,0)*0.475*44/12</f>
        <v>#REF!</v>
      </c>
      <c r="AB171" s="142" t="str">
        <f>EXP(-LN(2)/2)*AB170+(1-EXP(-LN(2)/2))/(LN(2)/2)*V171*Y171*VLOOKUP('Données projet (1)'!$B$9,'Paramètres (1)'!$A$1:$I$88,3,0)*0.475*44/12</f>
        <v>#REF!</v>
      </c>
      <c r="AC171" s="143" t="str">
        <f t="shared" si="15"/>
        <v>#REF!</v>
      </c>
      <c r="AD171" s="130" t="str">
        <f t="shared" si="16"/>
        <v>#REF!</v>
      </c>
      <c r="AE171" s="130">
        <f t="shared" si="17"/>
        <v>10</v>
      </c>
      <c r="AF171" s="131" t="str">
        <f t="shared" si="112"/>
        <v>#REF!</v>
      </c>
      <c r="AG171" s="131" t="str">
        <f t="shared" si="18"/>
        <v>#REF!</v>
      </c>
      <c r="AH171" s="131" t="str">
        <f t="array" ref="AH171">INDEX(AG:AG,MIN(IF(ISNUMBER(AG171:AG367),ROW(AG171:AG367),"")))</f>
        <v/>
      </c>
      <c r="AI171" s="130" t="str">
        <f t="shared" si="113"/>
        <v>#REF!</v>
      </c>
      <c r="AJ171" s="130" t="str">
        <f>AI171*VLOOKUP('Données projet (1)'!$B$10,'Paramètres (1)'!$A$1:$I$88,3,0)*VLOOKUP('Données projet (1)'!$B$10,'Paramètres (1)'!$A$1:$I$88,5,0)</f>
        <v>#REF!</v>
      </c>
      <c r="AK171" s="130" t="str">
        <f t="shared" si="114"/>
        <v>#REF!</v>
      </c>
      <c r="AL171" s="141" t="str">
        <f t="shared" si="19"/>
        <v>#REF!</v>
      </c>
      <c r="AM171" s="133" t="str">
        <f t="shared" si="20"/>
        <v>#REF!</v>
      </c>
      <c r="AN171" s="133" t="str">
        <f t="shared" si="21"/>
        <v>#REF!</v>
      </c>
      <c r="AO171" s="133" t="str">
        <f t="shared" si="115"/>
        <v>#REF!</v>
      </c>
      <c r="AP171" s="134" t="str">
        <f t="shared" si="22"/>
        <v>#REF!</v>
      </c>
      <c r="AQ171" s="134" t="str">
        <f t="shared" si="23"/>
        <v>#REF!</v>
      </c>
      <c r="AR171" s="135" t="str">
        <f>IF(ISNA(VLOOKUP(A171,'Données projet (1)'!$A$61:$I$81,5,0)),0%,VLOOKUP(A171,'Données projet (1)'!$A$61:$I$81,5,0)*VLOOKUP('Données projet (1)'!$B$10,'Paramètres (1)'!$A$1:$I$88,7,0))</f>
        <v>#REF!</v>
      </c>
      <c r="AS171" s="135" t="str">
        <f>IF(ISNA(VLOOKUP(A171,'Données projet (1)'!$A$61:$I$81,6,0)),0%,VLOOKUP(A171,'Données projet (1)'!$A$61:$I$81,6,0)*VLOOKUP('Données projet (1)'!$B$10,'Paramètres (1)'!$A$1:$I$88,7,0))</f>
        <v>#REF!</v>
      </c>
      <c r="AT171" s="135" t="str">
        <f t="shared" si="24"/>
        <v>#REF!</v>
      </c>
      <c r="AU171" s="142" t="str">
        <f>EXP(-LN(2)/35)*AU170+(1-EXP(-LN(2)/35))/(LN(2)/35)*AQ171*AR171*VLOOKUP('Données projet (1)'!$B$10,'Paramètres (1)'!$A$1:$I$88,3,0)*0.475*44/12</f>
        <v>#REF!</v>
      </c>
      <c r="AV171" s="142" t="str">
        <f>EXP(-LN(2)/25)*AV170+(1-EXP(-LN(2)/25))/(LN(2)/25)*'Calculateur (1)'!AQ171*'Calculateur (1)'!AS171*VLOOKUP('Données projet (1)'!$B$10,'Paramètres (1)'!$A$1:$I$88,3,0)*0.475*44/12</f>
        <v>#REF!</v>
      </c>
      <c r="AW171" s="142" t="str">
        <f>EXP(-LN(2)/2)*AW170+(1-EXP(-LN(2)/2))/(LN(2)/2)*AQ171*AT171*VLOOKUP('Données projet (1)'!$B$10,'Paramètres (1)'!$A$1:$I$88,3,0)*0.475*44/12</f>
        <v>#REF!</v>
      </c>
      <c r="AX171" s="142" t="str">
        <f t="shared" si="25"/>
        <v>#REF!</v>
      </c>
      <c r="AY171" s="137" t="str">
        <f t="shared" si="26"/>
        <v>#REF!</v>
      </c>
      <c r="AZ171" s="131">
        <f t="shared" si="27"/>
        <v>10</v>
      </c>
      <c r="BA171" s="131" t="str">
        <f t="shared" si="116"/>
        <v>#REF!</v>
      </c>
      <c r="BB171" s="131" t="str">
        <f t="shared" si="28"/>
        <v>#REF!</v>
      </c>
      <c r="BC171" s="131" t="str">
        <f t="array" ref="BC171">INDEX(BB:BB,MIN(IF(ISNUMBER(BB171:BB367),ROW(BB171:BB367),"")))</f>
        <v/>
      </c>
      <c r="BD171" s="131" t="str">
        <f t="shared" si="117"/>
        <v>#REF!</v>
      </c>
      <c r="BE171" s="130" t="str">
        <f>BD171*VLOOKUP('Données projet (1)'!$B$11,'Paramètres (1)'!$A$1:$I$88,3,0)*VLOOKUP('Données projet (1)'!$B$11,'Paramètres (1)'!$A$1:$I$88,5,0)</f>
        <v>#REF!</v>
      </c>
      <c r="BF171" s="130" t="str">
        <f t="shared" si="118"/>
        <v>#REF!</v>
      </c>
      <c r="BG171" s="141" t="str">
        <f t="shared" si="29"/>
        <v>#REF!</v>
      </c>
      <c r="BH171" s="133" t="str">
        <f t="shared" si="30"/>
        <v>#REF!</v>
      </c>
      <c r="BI171" s="133" t="str">
        <f t="shared" si="31"/>
        <v>#REF!</v>
      </c>
      <c r="BJ171" s="133" t="str">
        <f t="shared" si="119"/>
        <v>#REF!</v>
      </c>
      <c r="BK171" s="134" t="str">
        <f t="shared" si="32"/>
        <v>#REF!</v>
      </c>
      <c r="BL171" s="134" t="str">
        <f t="shared" si="33"/>
        <v>#REF!</v>
      </c>
      <c r="BM171" s="135" t="str">
        <f>IF(ISNA(VLOOKUP(A171,'Données projet (1)'!$A$87:$I$107,5,0)),0%,VLOOKUP(A171,'Données projet (1)'!$A$87:$I$107,5,0)*VLOOKUP('Données projet (1)'!$B$11,'Paramètres (1)'!$A$1:$I$88,7,0))</f>
        <v>#REF!</v>
      </c>
      <c r="BN171" s="135" t="str">
        <f>IF(ISNA(VLOOKUP(A171,'Données projet (1)'!$A$87:$I$107,6,0)),0%,VLOOKUP(A171,'Données projet (1)'!$A$87:$I$107,6,0)*VLOOKUP('Données projet (1)'!$B$11,'Paramètres (1)'!$A$1:$I$88,7,0))</f>
        <v>#REF!</v>
      </c>
      <c r="BO171" s="135" t="str">
        <f t="shared" si="34"/>
        <v>#REF!</v>
      </c>
      <c r="BP171" s="142" t="str">
        <f>EXP(-LN(2)/35)*BP170+(1-EXP(-LN(2)/35))/(LN(2)/35)*BL171*BM171*VLOOKUP('Données projet (1)'!$B$11,'Paramètres (1)'!$A$1:$I$88,3,0)*0.475*44/12</f>
        <v>#REF!</v>
      </c>
      <c r="BQ171" s="142" t="str">
        <f>EXP(-LN(2)/25)*BQ170+(1-EXP(-LN(2)/25))/(LN(2)/25)*'Calculateur (1)'!BL171*'Calculateur (1)'!BN171*VLOOKUP('Données projet (1)'!$B$11,'Paramètres (1)'!$A$1:$I$88,3,0)*0.475*44/12</f>
        <v>#REF!</v>
      </c>
      <c r="BR171" s="142" t="str">
        <f>EXP(-LN(2)/2)*BR170+(1-EXP(-LN(2)/2))/(LN(2)/2)*BL171*BO171*VLOOKUP('Données projet (1)'!$B$11,'Paramètres (1)'!$A$1:$I$88,3,0)*0.475*44/12</f>
        <v>#REF!</v>
      </c>
      <c r="BS171" s="143" t="str">
        <f t="shared" si="35"/>
        <v>#REF!</v>
      </c>
      <c r="BT171" s="139" t="str">
        <f t="shared" si="36"/>
        <v>#REF!</v>
      </c>
      <c r="BU171" s="131">
        <f t="shared" si="37"/>
        <v>10</v>
      </c>
      <c r="BV171" s="131" t="str">
        <f t="shared" si="120"/>
        <v>#REF!</v>
      </c>
      <c r="BW171" s="131" t="str">
        <f t="shared" si="38"/>
        <v>#REF!</v>
      </c>
      <c r="BX171" s="131" t="str">
        <f t="array" ref="BX171">INDEX(BW:BW,MIN(IF(ISNUMBER(BW171:BW367),ROW(BW171:BW367),"")))</f>
        <v/>
      </c>
      <c r="BY171" s="131" t="str">
        <f t="shared" si="121"/>
        <v>#REF!</v>
      </c>
      <c r="BZ171" s="130" t="str">
        <f>BY171*VLOOKUP('Données projet (1)'!$B$12,'Paramètres (1)'!$A$1:$I$88,3,0)*VLOOKUP('Données projet (1)'!$B$12,'Paramètres (1)'!$A$1:$I$88,5,0)</f>
        <v>#REF!</v>
      </c>
      <c r="CA171" s="130" t="str">
        <f t="shared" si="122"/>
        <v>#REF!</v>
      </c>
      <c r="CB171" s="141" t="str">
        <f t="shared" si="39"/>
        <v>#REF!</v>
      </c>
      <c r="CC171" s="133" t="str">
        <f t="shared" si="40"/>
        <v>#REF!</v>
      </c>
      <c r="CD171" s="133" t="str">
        <f t="shared" si="41"/>
        <v>#REF!</v>
      </c>
      <c r="CE171" s="133" t="str">
        <f t="shared" si="123"/>
        <v>#REF!</v>
      </c>
      <c r="CF171" s="134" t="str">
        <f t="shared" si="42"/>
        <v>#REF!</v>
      </c>
      <c r="CG171" s="134" t="str">
        <f t="shared" si="43"/>
        <v>#REF!</v>
      </c>
      <c r="CH171" s="135" t="str">
        <f>IF(ISNA(VLOOKUP(A171,'Données projet (1)'!$A$113:$I$133,5,0)),0%,VLOOKUP(A171,'Données projet (1)'!$A$113:$I$133,5,0)*VLOOKUP('Données projet (1)'!$B$12,'Paramètres (1)'!$A$1:$I$88,7,0))</f>
        <v>#REF!</v>
      </c>
      <c r="CI171" s="135" t="str">
        <f>IF(ISNA(VLOOKUP(A171,'Données projet (1)'!$A$113:$I$133,6,0)),0%,VLOOKUP(A171,'Données projet (1)'!$A$113:$I$133,6,0)*VLOOKUP('Données projet (1)'!$B$12,'Paramètres (1)'!$A$1:$I$88,7,0))</f>
        <v>#REF!</v>
      </c>
      <c r="CJ171" s="135" t="str">
        <f t="shared" si="44"/>
        <v>#REF!</v>
      </c>
      <c r="CK171" s="142" t="str">
        <f>EXP(-LN(2)/35)*CK170+(1-EXP(-LN(2)/35))/(LN(2)/35)*CG171*CH171*VLOOKUP('Données projet (1)'!$B$12,'Paramètres (1)'!$A$1:$I$88,3,0)*0.475*44/12</f>
        <v>#REF!</v>
      </c>
      <c r="CL171" s="142" t="str">
        <f>EXP(-LN(2)/25)*CL170+(1-EXP(-LN(2)/25))/(LN(2)/25)*'Calculateur (1)'!CG171*'Calculateur (1)'!CI171*VLOOKUP('Données projet (1)'!$B$12,'Paramètres (1)'!$A$1:$I$88,3,0)*0.475*44/12</f>
        <v>#REF!</v>
      </c>
      <c r="CM171" s="142" t="str">
        <f>EXP(-LN(2)/2)*CM170+(1-EXP(-LN(2)/2))/(LN(2)/2)*CG171*CJ171*VLOOKUP('Données projet (1)'!$B$12,'Paramètres (1)'!$A$1:$I$88,3,0)*0.475*44/12</f>
        <v>#REF!</v>
      </c>
      <c r="CN171" s="143" t="str">
        <f t="shared" si="45"/>
        <v>#REF!</v>
      </c>
      <c r="CO171" s="139" t="str">
        <f t="shared" si="46"/>
        <v>#REF!</v>
      </c>
      <c r="CP171" s="131">
        <f t="shared" si="47"/>
        <v>10</v>
      </c>
      <c r="CQ171" s="131" t="str">
        <f t="shared" si="124"/>
        <v>#REF!</v>
      </c>
      <c r="CR171" s="131" t="str">
        <f t="shared" si="48"/>
        <v>#REF!</v>
      </c>
      <c r="CS171" s="131" t="str">
        <f t="array" ref="CS171">INDEX(CR:CR,MIN(IF(ISNUMBER(CR171:CR367),ROW(CR171:CR367),"")))</f>
        <v/>
      </c>
      <c r="CT171" s="131" t="str">
        <f t="shared" si="125"/>
        <v>#REF!</v>
      </c>
      <c r="CU171" s="138" t="str">
        <f>CT171*VLOOKUP('Données projet (1)'!$B$13,'Paramètres (1)'!$A$1:$I$88,3,0)*VLOOKUP('Données projet (1)'!$B$13,'Paramètres (1)'!$A$1:$I$88,5,0)</f>
        <v>#REF!</v>
      </c>
      <c r="CV171" s="130" t="str">
        <f t="shared" si="126"/>
        <v>#REF!</v>
      </c>
      <c r="CW171" s="141" t="str">
        <f t="shared" si="49"/>
        <v>#REF!</v>
      </c>
      <c r="CX171" s="133" t="str">
        <f t="shared" si="50"/>
        <v>#REF!</v>
      </c>
      <c r="CY171" s="133" t="str">
        <f t="shared" si="51"/>
        <v>#REF!</v>
      </c>
      <c r="CZ171" s="133" t="str">
        <f t="shared" si="127"/>
        <v>#REF!</v>
      </c>
      <c r="DA171" s="134" t="str">
        <f t="shared" si="52"/>
        <v>#REF!</v>
      </c>
      <c r="DB171" s="134" t="str">
        <f t="shared" si="53"/>
        <v>#REF!</v>
      </c>
      <c r="DC171" s="135" t="str">
        <f>IF(ISNA(VLOOKUP(A171,'Données projet (1)'!$A$139:$I$159,5,0)),0%,VLOOKUP(A171,'Données projet (1)'!$A$139:$I$159,5,0)*VLOOKUP('Données projet (1)'!$B$13,'Paramètres (1)'!$A$1:$I$88,7,0))</f>
        <v>#REF!</v>
      </c>
      <c r="DD171" s="135" t="str">
        <f>IF(ISNA(VLOOKUP(A171,'Données projet (1)'!$A$139:$I$159,6,0)),0%,VLOOKUP(A171,'Données projet (1)'!$A$139:$I$159,6,0)*VLOOKUP('Données projet (1)'!$B$13,'Paramètres (1)'!$A$1:$I$88,7,0))</f>
        <v>#REF!</v>
      </c>
      <c r="DE171" s="135" t="str">
        <f t="shared" si="54"/>
        <v>#REF!</v>
      </c>
      <c r="DF171" s="142" t="str">
        <f>EXP(-LN(2)/35)*DF170+(1-EXP(-LN(2)/35))/(LN(2)/35)*DB171*DC171*VLOOKUP('Données projet (1)'!$B$13,'Paramètres (1)'!$A$1:$I$88,3,0)*0.475*44/12</f>
        <v>#REF!</v>
      </c>
      <c r="DG171" s="142" t="str">
        <f>EXP(-LN(2)/25)*DG170+(1-EXP(-LN(2)/25))/(LN(2)/25)*'Calculateur (1)'!DB171*'Calculateur (1)'!DD171*VLOOKUP('Données projet (1)'!$B$13,'Paramètres (1)'!$A$1:$I$88,3,0)*0.475*44/12</f>
        <v>#REF!</v>
      </c>
      <c r="DH171" s="142" t="str">
        <f>EXP(-LN(2)/2)*DH170+(1-EXP(-LN(2)/2))/(LN(2)/2)*DB171*DE171*VLOOKUP('Données projet (1)'!$B$13,'Paramètres (1)'!$A$1:$I$88,3,0)*0.475*44/12</f>
        <v>#REF!</v>
      </c>
      <c r="DI171" s="143" t="str">
        <f t="shared" si="55"/>
        <v>#REF!</v>
      </c>
      <c r="DJ171" s="139" t="str">
        <f t="shared" si="56"/>
        <v>#REF!</v>
      </c>
      <c r="DK171" s="131">
        <f t="shared" si="57"/>
        <v>10</v>
      </c>
      <c r="DL171" s="131" t="str">
        <f t="shared" si="128"/>
        <v>#REF!</v>
      </c>
      <c r="DM171" s="131" t="str">
        <f t="shared" si="58"/>
        <v>#REF!</v>
      </c>
      <c r="DN171" s="131" t="str">
        <f t="array" ref="DN171">INDEX(DM:DM,MIN(IF(ISNUMBER(DM171:DM367),ROW(DM171:DM367),"")))</f>
        <v/>
      </c>
      <c r="DO171" s="131" t="str">
        <f t="shared" si="129"/>
        <v>#REF!</v>
      </c>
      <c r="DP171" s="138" t="str">
        <f>DO171*VLOOKUP('Données projet (1)'!$B$14,'Paramètres (1)'!$A$1:$I$88,3,0)*VLOOKUP('Données projet (1)'!$B$14,'Paramètres (1)'!$A$1:$I$88,5,0)</f>
        <v>#REF!</v>
      </c>
      <c r="DQ171" s="130" t="str">
        <f t="shared" si="130"/>
        <v>#REF!</v>
      </c>
      <c r="DR171" s="141" t="str">
        <f t="shared" si="59"/>
        <v>#REF!</v>
      </c>
      <c r="DS171" s="133" t="str">
        <f t="shared" si="60"/>
        <v>#REF!</v>
      </c>
      <c r="DT171" s="133" t="str">
        <f t="shared" si="61"/>
        <v>#REF!</v>
      </c>
      <c r="DU171" s="133" t="str">
        <f t="shared" si="131"/>
        <v>#REF!</v>
      </c>
      <c r="DV171" s="134" t="str">
        <f t="shared" si="62"/>
        <v>#REF!</v>
      </c>
      <c r="DW171" s="134" t="str">
        <f t="shared" si="63"/>
        <v>#REF!</v>
      </c>
      <c r="DX171" s="135" t="str">
        <f>IF(ISNA(VLOOKUP(A171,'Données projet (1)'!$A$165:$I$185,5,0)),0%,VLOOKUP(A171,'Données projet (1)'!$A$165:$I$185,5,0)*VLOOKUP('Données projet (1)'!$B$14,'Paramètres (1)'!$A$1:$I$88,7,0))</f>
        <v>#REF!</v>
      </c>
      <c r="DY171" s="135" t="str">
        <f>IF(ISNA(VLOOKUP(A171,'Données projet (1)'!$A$165:$I$185,6,0)),0%,VLOOKUP(A171,'Données projet (1)'!$A$165:$I$185,6,0)*VLOOKUP('Données projet (1)'!$B$14,'Paramètres (1)'!$A$1:$I$88,7,0))</f>
        <v>#REF!</v>
      </c>
      <c r="DZ171" s="135" t="str">
        <f t="shared" si="64"/>
        <v>#REF!</v>
      </c>
      <c r="EA171" s="142" t="str">
        <f>EXP(-LN(2)/35)*EA170+(1-EXP(-LN(2)/35))/(LN(2)/35)*DW171*DX171*VLOOKUP('Données projet (1)'!$B$14,'Paramètres (1)'!$A$1:$I$88,3,0)*0.475*44/12</f>
        <v>#REF!</v>
      </c>
      <c r="EB171" s="142" t="str">
        <f>EXP(-LN(2)/25)*EB170+(1-EXP(-LN(2)/25))/(LN(2)/25)*'Calculateur (1)'!DW171*'Calculateur (1)'!DY171*VLOOKUP('Données projet (1)'!$B$14,'Paramètres (1)'!$A$1:$I$88,3,0)*0.475*44/12</f>
        <v>#REF!</v>
      </c>
      <c r="EC171" s="142" t="str">
        <f>EXP(-LN(2)/2)*EC170+(1-EXP(-LN(2)/2))/(LN(2)/2)*DW171*DZ171*VLOOKUP('Données projet (1)'!$B$14,'Paramètres (1)'!$A$1:$I$88,3,0)*0.475*44/12</f>
        <v>#REF!</v>
      </c>
      <c r="ED171" s="143" t="str">
        <f t="shared" si="65"/>
        <v>#REF!</v>
      </c>
      <c r="EE171" s="139" t="str">
        <f t="shared" si="66"/>
        <v>#REF!</v>
      </c>
      <c r="EF171" s="131">
        <f t="shared" si="67"/>
        <v>10</v>
      </c>
      <c r="EG171" s="131" t="str">
        <f t="shared" si="132"/>
        <v>#REF!</v>
      </c>
      <c r="EH171" s="131" t="str">
        <f t="shared" si="68"/>
        <v>#REF!</v>
      </c>
      <c r="EI171" s="131" t="str">
        <f t="array" ref="EI171">INDEX(EH:EH,MIN(IF(ISNUMBER(EH171:EH367),ROW(EH171:EH367),"")))</f>
        <v/>
      </c>
      <c r="EJ171" s="131" t="str">
        <f t="shared" si="133"/>
        <v>#REF!</v>
      </c>
      <c r="EK171" s="138" t="str">
        <f>EJ171*VLOOKUP('Données projet (1)'!$B$15,'Paramètres (1)'!$A$1:$I$88,3,0)*VLOOKUP('Données projet (1)'!$B$15,'Paramètres (1)'!$A$1:$I$88,5,0)</f>
        <v>#REF!</v>
      </c>
      <c r="EL171" s="130" t="str">
        <f t="shared" si="134"/>
        <v>#REF!</v>
      </c>
      <c r="EM171" s="141" t="str">
        <f t="shared" si="69"/>
        <v>#REF!</v>
      </c>
      <c r="EN171" s="133" t="str">
        <f t="shared" si="70"/>
        <v>#REF!</v>
      </c>
      <c r="EO171" s="133" t="str">
        <f t="shared" si="71"/>
        <v>#REF!</v>
      </c>
      <c r="EP171" s="133" t="str">
        <f t="shared" si="135"/>
        <v>#REF!</v>
      </c>
      <c r="EQ171" s="134" t="str">
        <f t="shared" si="72"/>
        <v>#REF!</v>
      </c>
      <c r="ER171" s="134" t="str">
        <f t="shared" si="73"/>
        <v>#REF!</v>
      </c>
      <c r="ES171" s="135" t="str">
        <f>IF(ISNA(VLOOKUP(A171,'Données projet (1)'!$A$191:$I$211,5,0)),0%,VLOOKUP(A171,'Données projet (1)'!$A$191:$I$211,5,0)*VLOOKUP('Données projet (1)'!$B$15,'Paramètres (1)'!$A$1:$I$88,7,0))</f>
        <v>#REF!</v>
      </c>
      <c r="ET171" s="135" t="str">
        <f>IF(ISNA(VLOOKUP(A171,'Données projet (1)'!$A$191:$I$211,6,0)),0%,VLOOKUP(A171,'Données projet (1)'!$A$191:$I$211,6,0)*VLOOKUP('Données projet (1)'!$B$15,'Paramètres (1)'!$A$1:$I$88,7,0))</f>
        <v>#REF!</v>
      </c>
      <c r="EU171" s="135" t="str">
        <f t="shared" si="74"/>
        <v>#REF!</v>
      </c>
      <c r="EV171" s="142" t="str">
        <f>EXP(-LN(2)/35)*EV170+(1-EXP(-LN(2)/35))/(LN(2)/35)*ER171*ES171*VLOOKUP('Données projet (1)'!$B$15,'Paramètres (1)'!$A$1:$I$88,3,0)*0.475*44/12</f>
        <v>#REF!</v>
      </c>
      <c r="EW171" s="142" t="str">
        <f>EXP(-LN(2)/25)*EW170+(1-EXP(-LN(2)/25))/(LN(2)/25)*'Calculateur (1)'!ER171*'Calculateur (1)'!ET171*VLOOKUP('Données projet (1)'!$B$15,'Paramètres (1)'!$A$1:$I$88,3,0)*0.475*44/12</f>
        <v>#REF!</v>
      </c>
      <c r="EX171" s="142" t="str">
        <f>EXP(-LN(2)/2)*EX170+(1-EXP(-LN(2)/2))/(LN(2)/2)*ER171*EU171*VLOOKUP('Données projet (1)'!$B$15,'Paramètres (1)'!$A$1:$I$88,3,0)*0.475*44/12</f>
        <v>#REF!</v>
      </c>
      <c r="EY171" s="143" t="str">
        <f t="shared" si="75"/>
        <v>#REF!</v>
      </c>
      <c r="EZ171" s="139" t="str">
        <f t="shared" si="76"/>
        <v>#REF!</v>
      </c>
      <c r="FA171" s="131">
        <f t="shared" si="77"/>
        <v>10</v>
      </c>
      <c r="FB171" s="131" t="str">
        <f t="shared" si="136"/>
        <v>#REF!</v>
      </c>
      <c r="FC171" s="131" t="str">
        <f t="shared" si="78"/>
        <v>#REF!</v>
      </c>
      <c r="FD171" s="131" t="str">
        <f t="array" ref="FD171">INDEX(FC:FC,MIN(IF(ISNUMBER(FC171:FC367),ROW(FC171:FC367),"")))</f>
        <v/>
      </c>
      <c r="FE171" s="131" t="str">
        <f t="shared" si="137"/>
        <v>#REF!</v>
      </c>
      <c r="FF171" s="138" t="str">
        <f>FE171*VLOOKUP('Données projet (1)'!$B$16,'Paramètres (1)'!$A$1:$I$88,3,0)*VLOOKUP('Données projet (1)'!$B$16,'Paramètres (1)'!$A$1:$I$88,5,0)</f>
        <v>#REF!</v>
      </c>
      <c r="FG171" s="130" t="str">
        <f t="shared" si="138"/>
        <v>#REF!</v>
      </c>
      <c r="FH171" s="141" t="str">
        <f t="shared" si="79"/>
        <v>#REF!</v>
      </c>
      <c r="FI171" s="133" t="str">
        <f t="shared" si="80"/>
        <v>#REF!</v>
      </c>
      <c r="FJ171" s="133" t="str">
        <f t="shared" si="81"/>
        <v>#REF!</v>
      </c>
      <c r="FK171" s="133" t="str">
        <f t="shared" si="139"/>
        <v>#REF!</v>
      </c>
      <c r="FL171" s="134" t="str">
        <f t="shared" si="82"/>
        <v>#REF!</v>
      </c>
      <c r="FM171" s="134" t="str">
        <f t="shared" si="83"/>
        <v>#REF!</v>
      </c>
      <c r="FN171" s="135" t="str">
        <f>IF(ISNA(VLOOKUP(A171,'Données projet (1)'!$A$217:$I$237,5,0)),0%,VLOOKUP(A171,'Données projet (1)'!$A$217:$I$237,5,0)*VLOOKUP('Données projet (1)'!$B$16,'Paramètres (1)'!$A$1:$I$88,7,0))</f>
        <v>#REF!</v>
      </c>
      <c r="FO171" s="135" t="str">
        <f>IF(ISNA(VLOOKUP(A171,'Données projet (1)'!$A$217:$I$237,6,0)),0%,VLOOKUP(A171,'Données projet (1)'!$A$217:$I$237,6,0)*VLOOKUP('Données projet (1)'!$B$16,'Paramètres (1)'!$A$1:$I$88,7,0))</f>
        <v>#REF!</v>
      </c>
      <c r="FP171" s="135" t="str">
        <f t="shared" si="84"/>
        <v>#REF!</v>
      </c>
      <c r="FQ171" s="142" t="str">
        <f>EXP(-LN(2)/35)*FQ170+(1-EXP(-LN(2)/35))/(LN(2)/35)*FM171*FN171*VLOOKUP('Données projet (1)'!$B$16,'Paramètres (1)'!$A$1:$I$88,3,0)*0.475*44/12</f>
        <v>#REF!</v>
      </c>
      <c r="FR171" s="142" t="str">
        <f>EXP(-LN(2)/25)*FR170+(1-EXP(-LN(2)/25))/(LN(2)/25)*'Calculateur (1)'!FM171*'Calculateur (1)'!FO171*VLOOKUP('Données projet (1)'!$B$16,'Paramètres (1)'!$A$1:$I$88,3,0)*0.475*44/12</f>
        <v>#REF!</v>
      </c>
      <c r="FS171" s="142" t="str">
        <f>EXP(-LN(2)/2)*FS170+(1-EXP(-LN(2)/2))/(LN(2)/2)*FM171*FP171*VLOOKUP('Données projet (1)'!$B$16,'Paramètres (1)'!$A$1:$I$88,3,0)*0.475*44/12</f>
        <v>#REF!</v>
      </c>
      <c r="FT171" s="143" t="str">
        <f t="shared" si="85"/>
        <v>#REF!</v>
      </c>
      <c r="FU171" s="139" t="str">
        <f t="shared" si="86"/>
        <v>#REF!</v>
      </c>
      <c r="FV171" s="131">
        <f t="shared" si="87"/>
        <v>10</v>
      </c>
      <c r="FW171" s="131" t="str">
        <f t="shared" si="140"/>
        <v>#REF!</v>
      </c>
      <c r="FX171" s="131" t="str">
        <f t="shared" si="88"/>
        <v>#REF!</v>
      </c>
      <c r="FY171" s="131" t="str">
        <f t="array" ref="FY171">INDEX(FX:FX,MIN(IF(ISNUMBER(FX171:FX367),ROW(FX171:FX367),"")))</f>
        <v/>
      </c>
      <c r="FZ171" s="131" t="str">
        <f t="shared" si="141"/>
        <v>#REF!</v>
      </c>
      <c r="GA171" s="138" t="str">
        <f>FZ171*VLOOKUP('Données projet (1)'!$B$17,'Paramètres (1)'!$A$1:$I$88,3,0)*VLOOKUP('Données projet (1)'!$B$17,'Paramètres (1)'!$A$1:$I$88,5,0)</f>
        <v>#REF!</v>
      </c>
      <c r="GB171" s="130" t="str">
        <f t="shared" si="142"/>
        <v>#REF!</v>
      </c>
      <c r="GC171" s="141" t="str">
        <f t="shared" si="89"/>
        <v>#REF!</v>
      </c>
      <c r="GD171" s="133" t="str">
        <f t="shared" si="90"/>
        <v>#REF!</v>
      </c>
      <c r="GE171" s="133" t="str">
        <f t="shared" si="91"/>
        <v>#REF!</v>
      </c>
      <c r="GF171" s="133" t="str">
        <f t="shared" si="143"/>
        <v>#REF!</v>
      </c>
      <c r="GG171" s="134" t="str">
        <f t="shared" si="92"/>
        <v>#REF!</v>
      </c>
      <c r="GH171" s="134" t="str">
        <f t="shared" si="93"/>
        <v>#REF!</v>
      </c>
      <c r="GI171" s="135" t="str">
        <f>IF(ISNA(VLOOKUP(A171,'Données projet (1)'!$A$243:$I$263,5,0)),0%,VLOOKUP(A171,'Données projet (1)'!$A$243:$I$263,5,0)*VLOOKUP('Données projet (1)'!$B$17,'Paramètres (1)'!$A$1:$I$88,7,0))</f>
        <v>#REF!</v>
      </c>
      <c r="GJ171" s="135" t="str">
        <f>IF(ISNA(VLOOKUP(A171,'Données projet (1)'!$A$243:$I$263,6,0)),0%,VLOOKUP(A171,'Données projet (1)'!$A$243:$I$263,6,0)*VLOOKUP('Données projet (1)'!$B$17,'Paramètres (1)'!$A$1:$I$88,7,0))</f>
        <v>#REF!</v>
      </c>
      <c r="GK171" s="135" t="str">
        <f t="shared" si="94"/>
        <v>#REF!</v>
      </c>
      <c r="GL171" s="142" t="str">
        <f>EXP(-LN(2)/35)*GL170+(1-EXP(-LN(2)/35))/(LN(2)/35)*GH171*GI171*VLOOKUP('Données projet (1)'!$B$17,'Paramètres (1)'!$A$1:$I$88,3,0)*0.475*44/12</f>
        <v>#REF!</v>
      </c>
      <c r="GM171" s="142" t="str">
        <f>EXP(-LN(2)/25)*GM170+(1-EXP(-LN(2)/25))/(LN(2)/25)*'Calculateur (1)'!GH171*'Calculateur (1)'!GJ171*VLOOKUP('Données projet (1)'!$B$17,'Paramètres (1)'!$A$1:$I$88,3,0)*0.475*44/12</f>
        <v>#REF!</v>
      </c>
      <c r="GN171" s="142" t="str">
        <f>EXP(-LN(2)/2)*GN170+(1-EXP(-LN(2)/2))/(LN(2)/2)*GH171*GK171*VLOOKUP('Données projet (1)'!$B$17,'Paramètres (1)'!$A$1:$I$88,3,0)*0.475*44/12</f>
        <v>#REF!</v>
      </c>
      <c r="GO171" s="142" t="str">
        <f t="shared" si="95"/>
        <v>#REF!</v>
      </c>
      <c r="GP171" s="139" t="str">
        <f t="shared" si="96"/>
        <v>#REF!</v>
      </c>
      <c r="GQ171" s="131">
        <f t="shared" si="97"/>
        <v>10</v>
      </c>
      <c r="GR171" s="131" t="str">
        <f t="shared" si="144"/>
        <v>#REF!</v>
      </c>
      <c r="GS171" s="131" t="str">
        <f t="shared" si="98"/>
        <v>#REF!</v>
      </c>
      <c r="GT171" s="131" t="str">
        <f t="array" ref="GT171">INDEX(GS:GS,MIN(IF(ISNUMBER(GS171:GS367),ROW(GS171:GS367),"")))</f>
        <v/>
      </c>
      <c r="GU171" s="131" t="str">
        <f t="shared" si="145"/>
        <v>#REF!</v>
      </c>
      <c r="GV171" s="138" t="str">
        <f>GU171*VLOOKUP('Données projet (1)'!$B$18,'Paramètres (1)'!$A$1:$I$88,3,0)*VLOOKUP('Données projet (1)'!$B$18,'Paramètres (1)'!$A$1:$I$88,5,0)</f>
        <v>#REF!</v>
      </c>
      <c r="GW171" s="130" t="str">
        <f t="shared" si="146"/>
        <v>#REF!</v>
      </c>
      <c r="GX171" s="141" t="str">
        <f t="shared" si="99"/>
        <v>#REF!</v>
      </c>
      <c r="GY171" s="133" t="str">
        <f t="shared" si="100"/>
        <v>#REF!</v>
      </c>
      <c r="GZ171" s="133" t="str">
        <f t="shared" si="101"/>
        <v>#REF!</v>
      </c>
      <c r="HA171" s="133" t="str">
        <f t="shared" si="147"/>
        <v>#REF!</v>
      </c>
      <c r="HB171" s="134" t="str">
        <f t="shared" si="102"/>
        <v>#REF!</v>
      </c>
      <c r="HC171" s="134" t="str">
        <f t="shared" si="103"/>
        <v>#REF!</v>
      </c>
      <c r="HD171" s="135" t="str">
        <f>IF(ISNA(VLOOKUP(A171,'Données projet (1)'!$A$269:$I$289,5,0)),0%,VLOOKUP(A171,'Données projet (1)'!$A$269:$I$289,5,0)*VLOOKUP('Données projet (1)'!$B$18,'Paramètres (1)'!$A$1:$I$88,7,0))</f>
        <v>#REF!</v>
      </c>
      <c r="HE171" s="135" t="str">
        <f>IF(ISNA(VLOOKUP(A171,'Données projet (1)'!$A$269:$I$289,6,0)),0%,VLOOKUP(A171,'Données projet (1)'!$A$269:$I$289,6,0)*VLOOKUP('Données projet (1)'!$B$18,'Paramètres (1)'!$A$1:$I$88,7,0))</f>
        <v>#REF!</v>
      </c>
      <c r="HF171" s="135" t="str">
        <f t="shared" si="104"/>
        <v>#REF!</v>
      </c>
      <c r="HG171" s="142" t="str">
        <f>EXP(-LN(2)/35)*HG170+(1-EXP(-LN(2)/35))/(LN(2)/35)*HC171*HD171*VLOOKUP('Données projet (1)'!$B$18,'Paramètres (1)'!$A$1:$I$88,3,0)*0.475*44/12</f>
        <v>#REF!</v>
      </c>
      <c r="HH171" s="142" t="str">
        <f>EXP(-LN(2)/25)*HH170+(1-EXP(-LN(2)/25))/(LN(2)/25)*'Calculateur (1)'!HC171*'Calculateur (1)'!HE171*VLOOKUP('Données projet (1)'!$B$18,'Paramètres (1)'!$A$1:$I$88,3,0)*0.475*44/12</f>
        <v>#REF!</v>
      </c>
      <c r="HI171" s="142" t="str">
        <f>EXP(-LN(2)/2)*HI170+(1-EXP(-LN(2)/2))/(LN(2)/2)*HC171*HF171*VLOOKUP('Données projet (1)'!$B$18,'Paramètres (1)'!$A$1:$I$88,3,0)*0.475*44/12</f>
        <v>#REF!</v>
      </c>
      <c r="HJ171" s="143" t="str">
        <f t="shared" si="105"/>
        <v>#REF!</v>
      </c>
    </row>
    <row r="172" ht="14.25" customHeight="1">
      <c r="A172" s="125">
        <f t="shared" si="106"/>
        <v>169</v>
      </c>
      <c r="B172" s="126" t="str">
        <f t="shared" si="1"/>
        <v>#REF!</v>
      </c>
      <c r="C172" s="140" t="str">
        <f>'Calculateur (1)'!C171+'Scénario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2" s="127">
        <f t="shared" si="107"/>
        <v>0</v>
      </c>
      <c r="E172" s="127" t="str">
        <f t="shared" si="2"/>
        <v>#REF!</v>
      </c>
      <c r="F172" s="127" t="str">
        <f t="shared" si="3"/>
        <v>#REF!</v>
      </c>
      <c r="G172" s="127" t="str">
        <f t="shared" si="4"/>
        <v>#REF!</v>
      </c>
      <c r="H172" s="128" t="str">
        <f t="shared" si="5"/>
        <v>#REF!</v>
      </c>
      <c r="I172" s="129" t="str">
        <f t="shared" si="6"/>
        <v>#REF!</v>
      </c>
      <c r="J172" s="130">
        <f t="shared" si="7"/>
        <v>10</v>
      </c>
      <c r="K172" s="131" t="str">
        <f t="shared" si="108"/>
        <v>#REF!</v>
      </c>
      <c r="L172" s="131" t="str">
        <f t="shared" si="8"/>
        <v>#REF!</v>
      </c>
      <c r="M172" s="131" t="str">
        <f t="array" ref="M172">INDEX(L:L,MIN(IF(ISNUMBER(L172:L368),ROW(L172:L368),"")))</f>
        <v/>
      </c>
      <c r="N172" s="130" t="str">
        <f t="shared" si="109"/>
        <v>#REF!</v>
      </c>
      <c r="O172" s="130" t="str">
        <f>N172*VLOOKUP('Données projet (1)'!$B$9,'Paramètres (1)'!$A$1:$I$88,3,0)*VLOOKUP('Données projet (1)'!$B$9,'Paramètres (1)'!$A$1:$I$88,5,0)</f>
        <v>#REF!</v>
      </c>
      <c r="P172" s="130" t="str">
        <f t="shared" si="110"/>
        <v>#REF!</v>
      </c>
      <c r="Q172" s="141" t="str">
        <f t="shared" si="9"/>
        <v>#REF!</v>
      </c>
      <c r="R172" s="133" t="str">
        <f t="shared" si="10"/>
        <v>#REF!</v>
      </c>
      <c r="S172" s="133" t="str">
        <f t="shared" si="11"/>
        <v>#REF!</v>
      </c>
      <c r="T172" s="133" t="str">
        <f t="shared" si="111"/>
        <v>#REF!</v>
      </c>
      <c r="U172" s="134" t="str">
        <f t="shared" si="12"/>
        <v>#REF!</v>
      </c>
      <c r="V172" s="134" t="str">
        <f t="shared" si="13"/>
        <v>#REF!</v>
      </c>
      <c r="W172" s="135" t="str">
        <f>IF(ISNA(VLOOKUP(A172,'Données projet (1)'!$A$35:$I$55,5,0)),0%,VLOOKUP(A172,'Données projet (1)'!$A$35:$I$55,5,0)*VLOOKUP('Données projet (1)'!$B$9,'Paramètres (1)'!$A$1:$I$88,7,0))</f>
        <v>#REF!</v>
      </c>
      <c r="X172" s="135" t="str">
        <f>IF(ISNA(VLOOKUP(A172,'Données projet (1)'!$A$35:$I$55,6,0)),0%,VLOOKUP(A172,'Données projet (1)'!$A$35:$I$55,6,0)*VLOOKUP('Données projet (1)'!$B$9,'Paramètres (1)'!$A$1:$I$88,7,0))</f>
        <v>#REF!</v>
      </c>
      <c r="Y172" s="135" t="str">
        <f t="shared" si="14"/>
        <v>#REF!</v>
      </c>
      <c r="Z172" s="142" t="str">
        <f>EXP(-LN(2)/35)*Z171+(1-EXP(-LN(2)/35))/(LN(2)/35)*V172*W172*VLOOKUP('Données projet (1)'!$B$9,'Paramètres (1)'!$A$1:$I$88,3,0)*0.475*44/12</f>
        <v>#REF!</v>
      </c>
      <c r="AA172" s="142" t="str">
        <f>EXP(-LN(2)/25)*AA171+(1-EXP(-LN(2)/25))/(LN(2)/25)*'Calculateur (1)'!V172*'Calculateur (1)'!X172*VLOOKUP('Données projet (1)'!$B$9,'Paramètres (1)'!$A$1:$I$88,3,0)*0.475*44/12</f>
        <v>#REF!</v>
      </c>
      <c r="AB172" s="142" t="str">
        <f>EXP(-LN(2)/2)*AB171+(1-EXP(-LN(2)/2))/(LN(2)/2)*V172*Y172*VLOOKUP('Données projet (1)'!$B$9,'Paramètres (1)'!$A$1:$I$88,3,0)*0.475*44/12</f>
        <v>#REF!</v>
      </c>
      <c r="AC172" s="143" t="str">
        <f t="shared" si="15"/>
        <v>#REF!</v>
      </c>
      <c r="AD172" s="130" t="str">
        <f t="shared" si="16"/>
        <v>#REF!</v>
      </c>
      <c r="AE172" s="130">
        <f t="shared" si="17"/>
        <v>10</v>
      </c>
      <c r="AF172" s="131" t="str">
        <f t="shared" si="112"/>
        <v>#REF!</v>
      </c>
      <c r="AG172" s="131" t="str">
        <f t="shared" si="18"/>
        <v>#REF!</v>
      </c>
      <c r="AH172" s="131" t="str">
        <f t="array" ref="AH172">INDEX(AG:AG,MIN(IF(ISNUMBER(AG172:AG368),ROW(AG172:AG368),"")))</f>
        <v/>
      </c>
      <c r="AI172" s="130" t="str">
        <f t="shared" si="113"/>
        <v>#REF!</v>
      </c>
      <c r="AJ172" s="130" t="str">
        <f>AI172*VLOOKUP('Données projet (1)'!$B$10,'Paramètres (1)'!$A$1:$I$88,3,0)*VLOOKUP('Données projet (1)'!$B$10,'Paramètres (1)'!$A$1:$I$88,5,0)</f>
        <v>#REF!</v>
      </c>
      <c r="AK172" s="130" t="str">
        <f t="shared" si="114"/>
        <v>#REF!</v>
      </c>
      <c r="AL172" s="141" t="str">
        <f t="shared" si="19"/>
        <v>#REF!</v>
      </c>
      <c r="AM172" s="133" t="str">
        <f t="shared" si="20"/>
        <v>#REF!</v>
      </c>
      <c r="AN172" s="133" t="str">
        <f t="shared" si="21"/>
        <v>#REF!</v>
      </c>
      <c r="AO172" s="133" t="str">
        <f t="shared" si="115"/>
        <v>#REF!</v>
      </c>
      <c r="AP172" s="134" t="str">
        <f t="shared" si="22"/>
        <v>#REF!</v>
      </c>
      <c r="AQ172" s="134" t="str">
        <f t="shared" si="23"/>
        <v>#REF!</v>
      </c>
      <c r="AR172" s="135" t="str">
        <f>IF(ISNA(VLOOKUP(A172,'Données projet (1)'!$A$61:$I$81,5,0)),0%,VLOOKUP(A172,'Données projet (1)'!$A$61:$I$81,5,0)*VLOOKUP('Données projet (1)'!$B$10,'Paramètres (1)'!$A$1:$I$88,7,0))</f>
        <v>#REF!</v>
      </c>
      <c r="AS172" s="135" t="str">
        <f>IF(ISNA(VLOOKUP(A172,'Données projet (1)'!$A$61:$I$81,6,0)),0%,VLOOKUP(A172,'Données projet (1)'!$A$61:$I$81,6,0)*VLOOKUP('Données projet (1)'!$B$10,'Paramètres (1)'!$A$1:$I$88,7,0))</f>
        <v>#REF!</v>
      </c>
      <c r="AT172" s="135" t="str">
        <f t="shared" si="24"/>
        <v>#REF!</v>
      </c>
      <c r="AU172" s="142" t="str">
        <f>EXP(-LN(2)/35)*AU171+(1-EXP(-LN(2)/35))/(LN(2)/35)*AQ172*AR172*VLOOKUP('Données projet (1)'!$B$10,'Paramètres (1)'!$A$1:$I$88,3,0)*0.475*44/12</f>
        <v>#REF!</v>
      </c>
      <c r="AV172" s="142" t="str">
        <f>EXP(-LN(2)/25)*AV171+(1-EXP(-LN(2)/25))/(LN(2)/25)*'Calculateur (1)'!AQ172*'Calculateur (1)'!AS172*VLOOKUP('Données projet (1)'!$B$10,'Paramètres (1)'!$A$1:$I$88,3,0)*0.475*44/12</f>
        <v>#REF!</v>
      </c>
      <c r="AW172" s="142" t="str">
        <f>EXP(-LN(2)/2)*AW171+(1-EXP(-LN(2)/2))/(LN(2)/2)*AQ172*AT172*VLOOKUP('Données projet (1)'!$B$10,'Paramètres (1)'!$A$1:$I$88,3,0)*0.475*44/12</f>
        <v>#REF!</v>
      </c>
      <c r="AX172" s="142" t="str">
        <f t="shared" si="25"/>
        <v>#REF!</v>
      </c>
      <c r="AY172" s="137" t="str">
        <f t="shared" si="26"/>
        <v>#REF!</v>
      </c>
      <c r="AZ172" s="131">
        <f t="shared" si="27"/>
        <v>10</v>
      </c>
      <c r="BA172" s="131" t="str">
        <f t="shared" si="116"/>
        <v>#REF!</v>
      </c>
      <c r="BB172" s="131" t="str">
        <f t="shared" si="28"/>
        <v>#REF!</v>
      </c>
      <c r="BC172" s="131" t="str">
        <f t="array" ref="BC172">INDEX(BB:BB,MIN(IF(ISNUMBER(BB172:BB368),ROW(BB172:BB368),"")))</f>
        <v/>
      </c>
      <c r="BD172" s="131" t="str">
        <f t="shared" si="117"/>
        <v>#REF!</v>
      </c>
      <c r="BE172" s="130" t="str">
        <f>BD172*VLOOKUP('Données projet (1)'!$B$11,'Paramètres (1)'!$A$1:$I$88,3,0)*VLOOKUP('Données projet (1)'!$B$11,'Paramètres (1)'!$A$1:$I$88,5,0)</f>
        <v>#REF!</v>
      </c>
      <c r="BF172" s="130" t="str">
        <f t="shared" si="118"/>
        <v>#REF!</v>
      </c>
      <c r="BG172" s="141" t="str">
        <f t="shared" si="29"/>
        <v>#REF!</v>
      </c>
      <c r="BH172" s="133" t="str">
        <f t="shared" si="30"/>
        <v>#REF!</v>
      </c>
      <c r="BI172" s="133" t="str">
        <f t="shared" si="31"/>
        <v>#REF!</v>
      </c>
      <c r="BJ172" s="133" t="str">
        <f t="shared" si="119"/>
        <v>#REF!</v>
      </c>
      <c r="BK172" s="134" t="str">
        <f t="shared" si="32"/>
        <v>#REF!</v>
      </c>
      <c r="BL172" s="134" t="str">
        <f t="shared" si="33"/>
        <v>#REF!</v>
      </c>
      <c r="BM172" s="135" t="str">
        <f>IF(ISNA(VLOOKUP(A172,'Données projet (1)'!$A$87:$I$107,5,0)),0%,VLOOKUP(A172,'Données projet (1)'!$A$87:$I$107,5,0)*VLOOKUP('Données projet (1)'!$B$11,'Paramètres (1)'!$A$1:$I$88,7,0))</f>
        <v>#REF!</v>
      </c>
      <c r="BN172" s="135" t="str">
        <f>IF(ISNA(VLOOKUP(A172,'Données projet (1)'!$A$87:$I$107,6,0)),0%,VLOOKUP(A172,'Données projet (1)'!$A$87:$I$107,6,0)*VLOOKUP('Données projet (1)'!$B$11,'Paramètres (1)'!$A$1:$I$88,7,0))</f>
        <v>#REF!</v>
      </c>
      <c r="BO172" s="135" t="str">
        <f t="shared" si="34"/>
        <v>#REF!</v>
      </c>
      <c r="BP172" s="142" t="str">
        <f>EXP(-LN(2)/35)*BP171+(1-EXP(-LN(2)/35))/(LN(2)/35)*BL172*BM172*VLOOKUP('Données projet (1)'!$B$11,'Paramètres (1)'!$A$1:$I$88,3,0)*0.475*44/12</f>
        <v>#REF!</v>
      </c>
      <c r="BQ172" s="142" t="str">
        <f>EXP(-LN(2)/25)*BQ171+(1-EXP(-LN(2)/25))/(LN(2)/25)*'Calculateur (1)'!BL172*'Calculateur (1)'!BN172*VLOOKUP('Données projet (1)'!$B$11,'Paramètres (1)'!$A$1:$I$88,3,0)*0.475*44/12</f>
        <v>#REF!</v>
      </c>
      <c r="BR172" s="142" t="str">
        <f>EXP(-LN(2)/2)*BR171+(1-EXP(-LN(2)/2))/(LN(2)/2)*BL172*BO172*VLOOKUP('Données projet (1)'!$B$11,'Paramètres (1)'!$A$1:$I$88,3,0)*0.475*44/12</f>
        <v>#REF!</v>
      </c>
      <c r="BS172" s="143" t="str">
        <f t="shared" si="35"/>
        <v>#REF!</v>
      </c>
      <c r="BT172" s="139" t="str">
        <f t="shared" si="36"/>
        <v>#REF!</v>
      </c>
      <c r="BU172" s="131">
        <f t="shared" si="37"/>
        <v>10</v>
      </c>
      <c r="BV172" s="131" t="str">
        <f t="shared" si="120"/>
        <v>#REF!</v>
      </c>
      <c r="BW172" s="131" t="str">
        <f t="shared" si="38"/>
        <v>#REF!</v>
      </c>
      <c r="BX172" s="131" t="str">
        <f t="array" ref="BX172">INDEX(BW:BW,MIN(IF(ISNUMBER(BW172:BW368),ROW(BW172:BW368),"")))</f>
        <v/>
      </c>
      <c r="BY172" s="131" t="str">
        <f t="shared" si="121"/>
        <v>#REF!</v>
      </c>
      <c r="BZ172" s="130" t="str">
        <f>BY172*VLOOKUP('Données projet (1)'!$B$12,'Paramètres (1)'!$A$1:$I$88,3,0)*VLOOKUP('Données projet (1)'!$B$12,'Paramètres (1)'!$A$1:$I$88,5,0)</f>
        <v>#REF!</v>
      </c>
      <c r="CA172" s="130" t="str">
        <f t="shared" si="122"/>
        <v>#REF!</v>
      </c>
      <c r="CB172" s="141" t="str">
        <f t="shared" si="39"/>
        <v>#REF!</v>
      </c>
      <c r="CC172" s="133" t="str">
        <f t="shared" si="40"/>
        <v>#REF!</v>
      </c>
      <c r="CD172" s="133" t="str">
        <f t="shared" si="41"/>
        <v>#REF!</v>
      </c>
      <c r="CE172" s="133" t="str">
        <f t="shared" si="123"/>
        <v>#REF!</v>
      </c>
      <c r="CF172" s="134" t="str">
        <f t="shared" si="42"/>
        <v>#REF!</v>
      </c>
      <c r="CG172" s="134" t="str">
        <f t="shared" si="43"/>
        <v>#REF!</v>
      </c>
      <c r="CH172" s="135" t="str">
        <f>IF(ISNA(VLOOKUP(A172,'Données projet (1)'!$A$113:$I$133,5,0)),0%,VLOOKUP(A172,'Données projet (1)'!$A$113:$I$133,5,0)*VLOOKUP('Données projet (1)'!$B$12,'Paramètres (1)'!$A$1:$I$88,7,0))</f>
        <v>#REF!</v>
      </c>
      <c r="CI172" s="135" t="str">
        <f>IF(ISNA(VLOOKUP(A172,'Données projet (1)'!$A$113:$I$133,6,0)),0%,VLOOKUP(A172,'Données projet (1)'!$A$113:$I$133,6,0)*VLOOKUP('Données projet (1)'!$B$12,'Paramètres (1)'!$A$1:$I$88,7,0))</f>
        <v>#REF!</v>
      </c>
      <c r="CJ172" s="135" t="str">
        <f t="shared" si="44"/>
        <v>#REF!</v>
      </c>
      <c r="CK172" s="142" t="str">
        <f>EXP(-LN(2)/35)*CK171+(1-EXP(-LN(2)/35))/(LN(2)/35)*CG172*CH172*VLOOKUP('Données projet (1)'!$B$12,'Paramètres (1)'!$A$1:$I$88,3,0)*0.475*44/12</f>
        <v>#REF!</v>
      </c>
      <c r="CL172" s="142" t="str">
        <f>EXP(-LN(2)/25)*CL171+(1-EXP(-LN(2)/25))/(LN(2)/25)*'Calculateur (1)'!CG172*'Calculateur (1)'!CI172*VLOOKUP('Données projet (1)'!$B$12,'Paramètres (1)'!$A$1:$I$88,3,0)*0.475*44/12</f>
        <v>#REF!</v>
      </c>
      <c r="CM172" s="142" t="str">
        <f>EXP(-LN(2)/2)*CM171+(1-EXP(-LN(2)/2))/(LN(2)/2)*CG172*CJ172*VLOOKUP('Données projet (1)'!$B$12,'Paramètres (1)'!$A$1:$I$88,3,0)*0.475*44/12</f>
        <v>#REF!</v>
      </c>
      <c r="CN172" s="143" t="str">
        <f t="shared" si="45"/>
        <v>#REF!</v>
      </c>
      <c r="CO172" s="139" t="str">
        <f t="shared" si="46"/>
        <v>#REF!</v>
      </c>
      <c r="CP172" s="131">
        <f t="shared" si="47"/>
        <v>10</v>
      </c>
      <c r="CQ172" s="131" t="str">
        <f t="shared" si="124"/>
        <v>#REF!</v>
      </c>
      <c r="CR172" s="131" t="str">
        <f t="shared" si="48"/>
        <v>#REF!</v>
      </c>
      <c r="CS172" s="131" t="str">
        <f t="array" ref="CS172">INDEX(CR:CR,MIN(IF(ISNUMBER(CR172:CR368),ROW(CR172:CR368),"")))</f>
        <v/>
      </c>
      <c r="CT172" s="131" t="str">
        <f t="shared" si="125"/>
        <v>#REF!</v>
      </c>
      <c r="CU172" s="138" t="str">
        <f>CT172*VLOOKUP('Données projet (1)'!$B$13,'Paramètres (1)'!$A$1:$I$88,3,0)*VLOOKUP('Données projet (1)'!$B$13,'Paramètres (1)'!$A$1:$I$88,5,0)</f>
        <v>#REF!</v>
      </c>
      <c r="CV172" s="130" t="str">
        <f t="shared" si="126"/>
        <v>#REF!</v>
      </c>
      <c r="CW172" s="141" t="str">
        <f t="shared" si="49"/>
        <v>#REF!</v>
      </c>
      <c r="CX172" s="133" t="str">
        <f t="shared" si="50"/>
        <v>#REF!</v>
      </c>
      <c r="CY172" s="133" t="str">
        <f t="shared" si="51"/>
        <v>#REF!</v>
      </c>
      <c r="CZ172" s="133" t="str">
        <f t="shared" si="127"/>
        <v>#REF!</v>
      </c>
      <c r="DA172" s="134" t="str">
        <f t="shared" si="52"/>
        <v>#REF!</v>
      </c>
      <c r="DB172" s="134" t="str">
        <f t="shared" si="53"/>
        <v>#REF!</v>
      </c>
      <c r="DC172" s="135" t="str">
        <f>IF(ISNA(VLOOKUP(A172,'Données projet (1)'!$A$139:$I$159,5,0)),0%,VLOOKUP(A172,'Données projet (1)'!$A$139:$I$159,5,0)*VLOOKUP('Données projet (1)'!$B$13,'Paramètres (1)'!$A$1:$I$88,7,0))</f>
        <v>#REF!</v>
      </c>
      <c r="DD172" s="135" t="str">
        <f>IF(ISNA(VLOOKUP(A172,'Données projet (1)'!$A$139:$I$159,6,0)),0%,VLOOKUP(A172,'Données projet (1)'!$A$139:$I$159,6,0)*VLOOKUP('Données projet (1)'!$B$13,'Paramètres (1)'!$A$1:$I$88,7,0))</f>
        <v>#REF!</v>
      </c>
      <c r="DE172" s="135" t="str">
        <f t="shared" si="54"/>
        <v>#REF!</v>
      </c>
      <c r="DF172" s="142" t="str">
        <f>EXP(-LN(2)/35)*DF171+(1-EXP(-LN(2)/35))/(LN(2)/35)*DB172*DC172*VLOOKUP('Données projet (1)'!$B$13,'Paramètres (1)'!$A$1:$I$88,3,0)*0.475*44/12</f>
        <v>#REF!</v>
      </c>
      <c r="DG172" s="142" t="str">
        <f>EXP(-LN(2)/25)*DG171+(1-EXP(-LN(2)/25))/(LN(2)/25)*'Calculateur (1)'!DB172*'Calculateur (1)'!DD172*VLOOKUP('Données projet (1)'!$B$13,'Paramètres (1)'!$A$1:$I$88,3,0)*0.475*44/12</f>
        <v>#REF!</v>
      </c>
      <c r="DH172" s="142" t="str">
        <f>EXP(-LN(2)/2)*DH171+(1-EXP(-LN(2)/2))/(LN(2)/2)*DB172*DE172*VLOOKUP('Données projet (1)'!$B$13,'Paramètres (1)'!$A$1:$I$88,3,0)*0.475*44/12</f>
        <v>#REF!</v>
      </c>
      <c r="DI172" s="143" t="str">
        <f t="shared" si="55"/>
        <v>#REF!</v>
      </c>
      <c r="DJ172" s="139" t="str">
        <f t="shared" si="56"/>
        <v>#REF!</v>
      </c>
      <c r="DK172" s="131">
        <f t="shared" si="57"/>
        <v>10</v>
      </c>
      <c r="DL172" s="131" t="str">
        <f t="shared" si="128"/>
        <v>#REF!</v>
      </c>
      <c r="DM172" s="131" t="str">
        <f t="shared" si="58"/>
        <v>#REF!</v>
      </c>
      <c r="DN172" s="131" t="str">
        <f t="array" ref="DN172">INDEX(DM:DM,MIN(IF(ISNUMBER(DM172:DM368),ROW(DM172:DM368),"")))</f>
        <v/>
      </c>
      <c r="DO172" s="131" t="str">
        <f t="shared" si="129"/>
        <v>#REF!</v>
      </c>
      <c r="DP172" s="138" t="str">
        <f>DO172*VLOOKUP('Données projet (1)'!$B$14,'Paramètres (1)'!$A$1:$I$88,3,0)*VLOOKUP('Données projet (1)'!$B$14,'Paramètres (1)'!$A$1:$I$88,5,0)</f>
        <v>#REF!</v>
      </c>
      <c r="DQ172" s="130" t="str">
        <f t="shared" si="130"/>
        <v>#REF!</v>
      </c>
      <c r="DR172" s="141" t="str">
        <f t="shared" si="59"/>
        <v>#REF!</v>
      </c>
      <c r="DS172" s="133" t="str">
        <f t="shared" si="60"/>
        <v>#REF!</v>
      </c>
      <c r="DT172" s="133" t="str">
        <f t="shared" si="61"/>
        <v>#REF!</v>
      </c>
      <c r="DU172" s="133" t="str">
        <f t="shared" si="131"/>
        <v>#REF!</v>
      </c>
      <c r="DV172" s="134" t="str">
        <f t="shared" si="62"/>
        <v>#REF!</v>
      </c>
      <c r="DW172" s="134" t="str">
        <f t="shared" si="63"/>
        <v>#REF!</v>
      </c>
      <c r="DX172" s="135" t="str">
        <f>IF(ISNA(VLOOKUP(A172,'Données projet (1)'!$A$165:$I$185,5,0)),0%,VLOOKUP(A172,'Données projet (1)'!$A$165:$I$185,5,0)*VLOOKUP('Données projet (1)'!$B$14,'Paramètres (1)'!$A$1:$I$88,7,0))</f>
        <v>#REF!</v>
      </c>
      <c r="DY172" s="135" t="str">
        <f>IF(ISNA(VLOOKUP(A172,'Données projet (1)'!$A$165:$I$185,6,0)),0%,VLOOKUP(A172,'Données projet (1)'!$A$165:$I$185,6,0)*VLOOKUP('Données projet (1)'!$B$14,'Paramètres (1)'!$A$1:$I$88,7,0))</f>
        <v>#REF!</v>
      </c>
      <c r="DZ172" s="135" t="str">
        <f t="shared" si="64"/>
        <v>#REF!</v>
      </c>
      <c r="EA172" s="142" t="str">
        <f>EXP(-LN(2)/35)*EA171+(1-EXP(-LN(2)/35))/(LN(2)/35)*DW172*DX172*VLOOKUP('Données projet (1)'!$B$14,'Paramètres (1)'!$A$1:$I$88,3,0)*0.475*44/12</f>
        <v>#REF!</v>
      </c>
      <c r="EB172" s="142" t="str">
        <f>EXP(-LN(2)/25)*EB171+(1-EXP(-LN(2)/25))/(LN(2)/25)*'Calculateur (1)'!DW172*'Calculateur (1)'!DY172*VLOOKUP('Données projet (1)'!$B$14,'Paramètres (1)'!$A$1:$I$88,3,0)*0.475*44/12</f>
        <v>#REF!</v>
      </c>
      <c r="EC172" s="142" t="str">
        <f>EXP(-LN(2)/2)*EC171+(1-EXP(-LN(2)/2))/(LN(2)/2)*DW172*DZ172*VLOOKUP('Données projet (1)'!$B$14,'Paramètres (1)'!$A$1:$I$88,3,0)*0.475*44/12</f>
        <v>#REF!</v>
      </c>
      <c r="ED172" s="143" t="str">
        <f t="shared" si="65"/>
        <v>#REF!</v>
      </c>
      <c r="EE172" s="139" t="str">
        <f t="shared" si="66"/>
        <v>#REF!</v>
      </c>
      <c r="EF172" s="131">
        <f t="shared" si="67"/>
        <v>10</v>
      </c>
      <c r="EG172" s="131" t="str">
        <f t="shared" si="132"/>
        <v>#REF!</v>
      </c>
      <c r="EH172" s="131" t="str">
        <f t="shared" si="68"/>
        <v>#REF!</v>
      </c>
      <c r="EI172" s="131" t="str">
        <f t="array" ref="EI172">INDEX(EH:EH,MIN(IF(ISNUMBER(EH172:EH368),ROW(EH172:EH368),"")))</f>
        <v/>
      </c>
      <c r="EJ172" s="131" t="str">
        <f t="shared" si="133"/>
        <v>#REF!</v>
      </c>
      <c r="EK172" s="138" t="str">
        <f>EJ172*VLOOKUP('Données projet (1)'!$B$15,'Paramètres (1)'!$A$1:$I$88,3,0)*VLOOKUP('Données projet (1)'!$B$15,'Paramètres (1)'!$A$1:$I$88,5,0)</f>
        <v>#REF!</v>
      </c>
      <c r="EL172" s="130" t="str">
        <f t="shared" si="134"/>
        <v>#REF!</v>
      </c>
      <c r="EM172" s="141" t="str">
        <f t="shared" si="69"/>
        <v>#REF!</v>
      </c>
      <c r="EN172" s="133" t="str">
        <f t="shared" si="70"/>
        <v>#REF!</v>
      </c>
      <c r="EO172" s="133" t="str">
        <f t="shared" si="71"/>
        <v>#REF!</v>
      </c>
      <c r="EP172" s="133" t="str">
        <f t="shared" si="135"/>
        <v>#REF!</v>
      </c>
      <c r="EQ172" s="134" t="str">
        <f t="shared" si="72"/>
        <v>#REF!</v>
      </c>
      <c r="ER172" s="134" t="str">
        <f t="shared" si="73"/>
        <v>#REF!</v>
      </c>
      <c r="ES172" s="135" t="str">
        <f>IF(ISNA(VLOOKUP(A172,'Données projet (1)'!$A$191:$I$211,5,0)),0%,VLOOKUP(A172,'Données projet (1)'!$A$191:$I$211,5,0)*VLOOKUP('Données projet (1)'!$B$15,'Paramètres (1)'!$A$1:$I$88,7,0))</f>
        <v>#REF!</v>
      </c>
      <c r="ET172" s="135" t="str">
        <f>IF(ISNA(VLOOKUP(A172,'Données projet (1)'!$A$191:$I$211,6,0)),0%,VLOOKUP(A172,'Données projet (1)'!$A$191:$I$211,6,0)*VLOOKUP('Données projet (1)'!$B$15,'Paramètres (1)'!$A$1:$I$88,7,0))</f>
        <v>#REF!</v>
      </c>
      <c r="EU172" s="135" t="str">
        <f t="shared" si="74"/>
        <v>#REF!</v>
      </c>
      <c r="EV172" s="142" t="str">
        <f>EXP(-LN(2)/35)*EV171+(1-EXP(-LN(2)/35))/(LN(2)/35)*ER172*ES172*VLOOKUP('Données projet (1)'!$B$15,'Paramètres (1)'!$A$1:$I$88,3,0)*0.475*44/12</f>
        <v>#REF!</v>
      </c>
      <c r="EW172" s="142" t="str">
        <f>EXP(-LN(2)/25)*EW171+(1-EXP(-LN(2)/25))/(LN(2)/25)*'Calculateur (1)'!ER172*'Calculateur (1)'!ET172*VLOOKUP('Données projet (1)'!$B$15,'Paramètres (1)'!$A$1:$I$88,3,0)*0.475*44/12</f>
        <v>#REF!</v>
      </c>
      <c r="EX172" s="142" t="str">
        <f>EXP(-LN(2)/2)*EX171+(1-EXP(-LN(2)/2))/(LN(2)/2)*ER172*EU172*VLOOKUP('Données projet (1)'!$B$15,'Paramètres (1)'!$A$1:$I$88,3,0)*0.475*44/12</f>
        <v>#REF!</v>
      </c>
      <c r="EY172" s="143" t="str">
        <f t="shared" si="75"/>
        <v>#REF!</v>
      </c>
      <c r="EZ172" s="139" t="str">
        <f t="shared" si="76"/>
        <v>#REF!</v>
      </c>
      <c r="FA172" s="131">
        <f t="shared" si="77"/>
        <v>10</v>
      </c>
      <c r="FB172" s="131" t="str">
        <f t="shared" si="136"/>
        <v>#REF!</v>
      </c>
      <c r="FC172" s="131" t="str">
        <f t="shared" si="78"/>
        <v>#REF!</v>
      </c>
      <c r="FD172" s="131" t="str">
        <f t="array" ref="FD172">INDEX(FC:FC,MIN(IF(ISNUMBER(FC172:FC368),ROW(FC172:FC368),"")))</f>
        <v/>
      </c>
      <c r="FE172" s="131" t="str">
        <f t="shared" si="137"/>
        <v>#REF!</v>
      </c>
      <c r="FF172" s="138" t="str">
        <f>FE172*VLOOKUP('Données projet (1)'!$B$16,'Paramètres (1)'!$A$1:$I$88,3,0)*VLOOKUP('Données projet (1)'!$B$16,'Paramètres (1)'!$A$1:$I$88,5,0)</f>
        <v>#REF!</v>
      </c>
      <c r="FG172" s="130" t="str">
        <f t="shared" si="138"/>
        <v>#REF!</v>
      </c>
      <c r="FH172" s="141" t="str">
        <f t="shared" si="79"/>
        <v>#REF!</v>
      </c>
      <c r="FI172" s="133" t="str">
        <f t="shared" si="80"/>
        <v>#REF!</v>
      </c>
      <c r="FJ172" s="133" t="str">
        <f t="shared" si="81"/>
        <v>#REF!</v>
      </c>
      <c r="FK172" s="133" t="str">
        <f t="shared" si="139"/>
        <v>#REF!</v>
      </c>
      <c r="FL172" s="134" t="str">
        <f t="shared" si="82"/>
        <v>#REF!</v>
      </c>
      <c r="FM172" s="134" t="str">
        <f t="shared" si="83"/>
        <v>#REF!</v>
      </c>
      <c r="FN172" s="135" t="str">
        <f>IF(ISNA(VLOOKUP(A172,'Données projet (1)'!$A$217:$I$237,5,0)),0%,VLOOKUP(A172,'Données projet (1)'!$A$217:$I$237,5,0)*VLOOKUP('Données projet (1)'!$B$16,'Paramètres (1)'!$A$1:$I$88,7,0))</f>
        <v>#REF!</v>
      </c>
      <c r="FO172" s="135" t="str">
        <f>IF(ISNA(VLOOKUP(A172,'Données projet (1)'!$A$217:$I$237,6,0)),0%,VLOOKUP(A172,'Données projet (1)'!$A$217:$I$237,6,0)*VLOOKUP('Données projet (1)'!$B$16,'Paramètres (1)'!$A$1:$I$88,7,0))</f>
        <v>#REF!</v>
      </c>
      <c r="FP172" s="135" t="str">
        <f t="shared" si="84"/>
        <v>#REF!</v>
      </c>
      <c r="FQ172" s="142" t="str">
        <f>EXP(-LN(2)/35)*FQ171+(1-EXP(-LN(2)/35))/(LN(2)/35)*FM172*FN172*VLOOKUP('Données projet (1)'!$B$16,'Paramètres (1)'!$A$1:$I$88,3,0)*0.475*44/12</f>
        <v>#REF!</v>
      </c>
      <c r="FR172" s="142" t="str">
        <f>EXP(-LN(2)/25)*FR171+(1-EXP(-LN(2)/25))/(LN(2)/25)*'Calculateur (1)'!FM172*'Calculateur (1)'!FO172*VLOOKUP('Données projet (1)'!$B$16,'Paramètres (1)'!$A$1:$I$88,3,0)*0.475*44/12</f>
        <v>#REF!</v>
      </c>
      <c r="FS172" s="142" t="str">
        <f>EXP(-LN(2)/2)*FS171+(1-EXP(-LN(2)/2))/(LN(2)/2)*FM172*FP172*VLOOKUP('Données projet (1)'!$B$16,'Paramètres (1)'!$A$1:$I$88,3,0)*0.475*44/12</f>
        <v>#REF!</v>
      </c>
      <c r="FT172" s="143" t="str">
        <f t="shared" si="85"/>
        <v>#REF!</v>
      </c>
      <c r="FU172" s="139" t="str">
        <f t="shared" si="86"/>
        <v>#REF!</v>
      </c>
      <c r="FV172" s="131">
        <f t="shared" si="87"/>
        <v>10</v>
      </c>
      <c r="FW172" s="131" t="str">
        <f t="shared" si="140"/>
        <v>#REF!</v>
      </c>
      <c r="FX172" s="131" t="str">
        <f t="shared" si="88"/>
        <v>#REF!</v>
      </c>
      <c r="FY172" s="131" t="str">
        <f t="array" ref="FY172">INDEX(FX:FX,MIN(IF(ISNUMBER(FX172:FX368),ROW(FX172:FX368),"")))</f>
        <v/>
      </c>
      <c r="FZ172" s="131" t="str">
        <f t="shared" si="141"/>
        <v>#REF!</v>
      </c>
      <c r="GA172" s="138" t="str">
        <f>FZ172*VLOOKUP('Données projet (1)'!$B$17,'Paramètres (1)'!$A$1:$I$88,3,0)*VLOOKUP('Données projet (1)'!$B$17,'Paramètres (1)'!$A$1:$I$88,5,0)</f>
        <v>#REF!</v>
      </c>
      <c r="GB172" s="130" t="str">
        <f t="shared" si="142"/>
        <v>#REF!</v>
      </c>
      <c r="GC172" s="141" t="str">
        <f t="shared" si="89"/>
        <v>#REF!</v>
      </c>
      <c r="GD172" s="133" t="str">
        <f t="shared" si="90"/>
        <v>#REF!</v>
      </c>
      <c r="GE172" s="133" t="str">
        <f t="shared" si="91"/>
        <v>#REF!</v>
      </c>
      <c r="GF172" s="133" t="str">
        <f t="shared" si="143"/>
        <v>#REF!</v>
      </c>
      <c r="GG172" s="134" t="str">
        <f t="shared" si="92"/>
        <v>#REF!</v>
      </c>
      <c r="GH172" s="134" t="str">
        <f t="shared" si="93"/>
        <v>#REF!</v>
      </c>
      <c r="GI172" s="135" t="str">
        <f>IF(ISNA(VLOOKUP(A172,'Données projet (1)'!$A$243:$I$263,5,0)),0%,VLOOKUP(A172,'Données projet (1)'!$A$243:$I$263,5,0)*VLOOKUP('Données projet (1)'!$B$17,'Paramètres (1)'!$A$1:$I$88,7,0))</f>
        <v>#REF!</v>
      </c>
      <c r="GJ172" s="135" t="str">
        <f>IF(ISNA(VLOOKUP(A172,'Données projet (1)'!$A$243:$I$263,6,0)),0%,VLOOKUP(A172,'Données projet (1)'!$A$243:$I$263,6,0)*VLOOKUP('Données projet (1)'!$B$17,'Paramètres (1)'!$A$1:$I$88,7,0))</f>
        <v>#REF!</v>
      </c>
      <c r="GK172" s="135" t="str">
        <f t="shared" si="94"/>
        <v>#REF!</v>
      </c>
      <c r="GL172" s="142" t="str">
        <f>EXP(-LN(2)/35)*GL171+(1-EXP(-LN(2)/35))/(LN(2)/35)*GH172*GI172*VLOOKUP('Données projet (1)'!$B$17,'Paramètres (1)'!$A$1:$I$88,3,0)*0.475*44/12</f>
        <v>#REF!</v>
      </c>
      <c r="GM172" s="142" t="str">
        <f>EXP(-LN(2)/25)*GM171+(1-EXP(-LN(2)/25))/(LN(2)/25)*'Calculateur (1)'!GH172*'Calculateur (1)'!GJ172*VLOOKUP('Données projet (1)'!$B$17,'Paramètres (1)'!$A$1:$I$88,3,0)*0.475*44/12</f>
        <v>#REF!</v>
      </c>
      <c r="GN172" s="142" t="str">
        <f>EXP(-LN(2)/2)*GN171+(1-EXP(-LN(2)/2))/(LN(2)/2)*GH172*GK172*VLOOKUP('Données projet (1)'!$B$17,'Paramètres (1)'!$A$1:$I$88,3,0)*0.475*44/12</f>
        <v>#REF!</v>
      </c>
      <c r="GO172" s="142" t="str">
        <f t="shared" si="95"/>
        <v>#REF!</v>
      </c>
      <c r="GP172" s="139" t="str">
        <f t="shared" si="96"/>
        <v>#REF!</v>
      </c>
      <c r="GQ172" s="131">
        <f t="shared" si="97"/>
        <v>10</v>
      </c>
      <c r="GR172" s="131" t="str">
        <f t="shared" si="144"/>
        <v>#REF!</v>
      </c>
      <c r="GS172" s="131" t="str">
        <f t="shared" si="98"/>
        <v>#REF!</v>
      </c>
      <c r="GT172" s="131" t="str">
        <f t="array" ref="GT172">INDEX(GS:GS,MIN(IF(ISNUMBER(GS172:GS368),ROW(GS172:GS368),"")))</f>
        <v/>
      </c>
      <c r="GU172" s="131" t="str">
        <f t="shared" si="145"/>
        <v>#REF!</v>
      </c>
      <c r="GV172" s="138" t="str">
        <f>GU172*VLOOKUP('Données projet (1)'!$B$18,'Paramètres (1)'!$A$1:$I$88,3,0)*VLOOKUP('Données projet (1)'!$B$18,'Paramètres (1)'!$A$1:$I$88,5,0)</f>
        <v>#REF!</v>
      </c>
      <c r="GW172" s="130" t="str">
        <f t="shared" si="146"/>
        <v>#REF!</v>
      </c>
      <c r="GX172" s="141" t="str">
        <f t="shared" si="99"/>
        <v>#REF!</v>
      </c>
      <c r="GY172" s="133" t="str">
        <f t="shared" si="100"/>
        <v>#REF!</v>
      </c>
      <c r="GZ172" s="133" t="str">
        <f t="shared" si="101"/>
        <v>#REF!</v>
      </c>
      <c r="HA172" s="133" t="str">
        <f t="shared" si="147"/>
        <v>#REF!</v>
      </c>
      <c r="HB172" s="134" t="str">
        <f t="shared" si="102"/>
        <v>#REF!</v>
      </c>
      <c r="HC172" s="134" t="str">
        <f t="shared" si="103"/>
        <v>#REF!</v>
      </c>
      <c r="HD172" s="135" t="str">
        <f>IF(ISNA(VLOOKUP(A172,'Données projet (1)'!$A$269:$I$289,5,0)),0%,VLOOKUP(A172,'Données projet (1)'!$A$269:$I$289,5,0)*VLOOKUP('Données projet (1)'!$B$18,'Paramètres (1)'!$A$1:$I$88,7,0))</f>
        <v>#REF!</v>
      </c>
      <c r="HE172" s="135" t="str">
        <f>IF(ISNA(VLOOKUP(A172,'Données projet (1)'!$A$269:$I$289,6,0)),0%,VLOOKUP(A172,'Données projet (1)'!$A$269:$I$289,6,0)*VLOOKUP('Données projet (1)'!$B$18,'Paramètres (1)'!$A$1:$I$88,7,0))</f>
        <v>#REF!</v>
      </c>
      <c r="HF172" s="135" t="str">
        <f t="shared" si="104"/>
        <v>#REF!</v>
      </c>
      <c r="HG172" s="142" t="str">
        <f>EXP(-LN(2)/35)*HG171+(1-EXP(-LN(2)/35))/(LN(2)/35)*HC172*HD172*VLOOKUP('Données projet (1)'!$B$18,'Paramètres (1)'!$A$1:$I$88,3,0)*0.475*44/12</f>
        <v>#REF!</v>
      </c>
      <c r="HH172" s="142" t="str">
        <f>EXP(-LN(2)/25)*HH171+(1-EXP(-LN(2)/25))/(LN(2)/25)*'Calculateur (1)'!HC172*'Calculateur (1)'!HE172*VLOOKUP('Données projet (1)'!$B$18,'Paramètres (1)'!$A$1:$I$88,3,0)*0.475*44/12</f>
        <v>#REF!</v>
      </c>
      <c r="HI172" s="142" t="str">
        <f>EXP(-LN(2)/2)*HI171+(1-EXP(-LN(2)/2))/(LN(2)/2)*HC172*HF172*VLOOKUP('Données projet (1)'!$B$18,'Paramètres (1)'!$A$1:$I$88,3,0)*0.475*44/12</f>
        <v>#REF!</v>
      </c>
      <c r="HJ172" s="143" t="str">
        <f t="shared" si="105"/>
        <v>#REF!</v>
      </c>
    </row>
    <row r="173" ht="14.25" customHeight="1">
      <c r="A173" s="125">
        <f t="shared" si="106"/>
        <v>170</v>
      </c>
      <c r="B173" s="126" t="str">
        <f t="shared" si="1"/>
        <v>#REF!</v>
      </c>
      <c r="C173" s="140" t="str">
        <f>'Calculateur (1)'!C172+'Scénario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3" s="127">
        <f t="shared" si="107"/>
        <v>0</v>
      </c>
      <c r="E173" s="127" t="str">
        <f t="shared" si="2"/>
        <v>#REF!</v>
      </c>
      <c r="F173" s="127" t="str">
        <f t="shared" si="3"/>
        <v>#REF!</v>
      </c>
      <c r="G173" s="127" t="str">
        <f t="shared" si="4"/>
        <v>#REF!</v>
      </c>
      <c r="H173" s="128" t="str">
        <f t="shared" si="5"/>
        <v>#REF!</v>
      </c>
      <c r="I173" s="129" t="str">
        <f t="shared" si="6"/>
        <v>#REF!</v>
      </c>
      <c r="J173" s="130">
        <f t="shared" si="7"/>
        <v>10</v>
      </c>
      <c r="K173" s="131" t="str">
        <f t="shared" si="108"/>
        <v>#REF!</v>
      </c>
      <c r="L173" s="131" t="str">
        <f t="shared" si="8"/>
        <v>#REF!</v>
      </c>
      <c r="M173" s="131" t="str">
        <f t="array" ref="M173">INDEX(L:L,MIN(IF(ISNUMBER(L173:L369),ROW(L173:L369),"")))</f>
        <v/>
      </c>
      <c r="N173" s="130" t="str">
        <f t="shared" si="109"/>
        <v>#REF!</v>
      </c>
      <c r="O173" s="130" t="str">
        <f>N173*VLOOKUP('Données projet (1)'!$B$9,'Paramètres (1)'!$A$1:$I$88,3,0)*VLOOKUP('Données projet (1)'!$B$9,'Paramètres (1)'!$A$1:$I$88,5,0)</f>
        <v>#REF!</v>
      </c>
      <c r="P173" s="130" t="str">
        <f t="shared" si="110"/>
        <v>#REF!</v>
      </c>
      <c r="Q173" s="141" t="str">
        <f t="shared" si="9"/>
        <v>#REF!</v>
      </c>
      <c r="R173" s="133" t="str">
        <f t="shared" si="10"/>
        <v>#REF!</v>
      </c>
      <c r="S173" s="133" t="str">
        <f t="shared" si="11"/>
        <v>#REF!</v>
      </c>
      <c r="T173" s="133" t="str">
        <f t="shared" si="111"/>
        <v>#REF!</v>
      </c>
      <c r="U173" s="134" t="str">
        <f t="shared" si="12"/>
        <v>#REF!</v>
      </c>
      <c r="V173" s="134" t="str">
        <f t="shared" si="13"/>
        <v>#REF!</v>
      </c>
      <c r="W173" s="135" t="str">
        <f>IF(ISNA(VLOOKUP(A173,'Données projet (1)'!$A$35:$I$55,5,0)),0%,VLOOKUP(A173,'Données projet (1)'!$A$35:$I$55,5,0)*VLOOKUP('Données projet (1)'!$B$9,'Paramètres (1)'!$A$1:$I$88,7,0))</f>
        <v>#REF!</v>
      </c>
      <c r="X173" s="135" t="str">
        <f>IF(ISNA(VLOOKUP(A173,'Données projet (1)'!$A$35:$I$55,6,0)),0%,VLOOKUP(A173,'Données projet (1)'!$A$35:$I$55,6,0)*VLOOKUP('Données projet (1)'!$B$9,'Paramètres (1)'!$A$1:$I$88,7,0))</f>
        <v>#REF!</v>
      </c>
      <c r="Y173" s="135" t="str">
        <f t="shared" si="14"/>
        <v>#REF!</v>
      </c>
      <c r="Z173" s="142" t="str">
        <f>EXP(-LN(2)/35)*Z172+(1-EXP(-LN(2)/35))/(LN(2)/35)*V173*W173*VLOOKUP('Données projet (1)'!$B$9,'Paramètres (1)'!$A$1:$I$88,3,0)*0.475*44/12</f>
        <v>#REF!</v>
      </c>
      <c r="AA173" s="142" t="str">
        <f>EXP(-LN(2)/25)*AA172+(1-EXP(-LN(2)/25))/(LN(2)/25)*'Calculateur (1)'!V173*'Calculateur (1)'!X173*VLOOKUP('Données projet (1)'!$B$9,'Paramètres (1)'!$A$1:$I$88,3,0)*0.475*44/12</f>
        <v>#REF!</v>
      </c>
      <c r="AB173" s="142" t="str">
        <f>EXP(-LN(2)/2)*AB172+(1-EXP(-LN(2)/2))/(LN(2)/2)*V173*Y173*VLOOKUP('Données projet (1)'!$B$9,'Paramètres (1)'!$A$1:$I$88,3,0)*0.475*44/12</f>
        <v>#REF!</v>
      </c>
      <c r="AC173" s="143" t="str">
        <f t="shared" si="15"/>
        <v>#REF!</v>
      </c>
      <c r="AD173" s="130" t="str">
        <f t="shared" si="16"/>
        <v>#REF!</v>
      </c>
      <c r="AE173" s="130">
        <f t="shared" si="17"/>
        <v>10</v>
      </c>
      <c r="AF173" s="131" t="str">
        <f t="shared" si="112"/>
        <v>#REF!</v>
      </c>
      <c r="AG173" s="131" t="str">
        <f t="shared" si="18"/>
        <v>#REF!</v>
      </c>
      <c r="AH173" s="131" t="str">
        <f t="array" ref="AH173">INDEX(AG:AG,MIN(IF(ISNUMBER(AG173:AG369),ROW(AG173:AG369),"")))</f>
        <v/>
      </c>
      <c r="AI173" s="130" t="str">
        <f t="shared" si="113"/>
        <v>#REF!</v>
      </c>
      <c r="AJ173" s="130" t="str">
        <f>AI173*VLOOKUP('Données projet (1)'!$B$10,'Paramètres (1)'!$A$1:$I$88,3,0)*VLOOKUP('Données projet (1)'!$B$10,'Paramètres (1)'!$A$1:$I$88,5,0)</f>
        <v>#REF!</v>
      </c>
      <c r="AK173" s="130" t="str">
        <f t="shared" si="114"/>
        <v>#REF!</v>
      </c>
      <c r="AL173" s="141" t="str">
        <f t="shared" si="19"/>
        <v>#REF!</v>
      </c>
      <c r="AM173" s="133" t="str">
        <f t="shared" si="20"/>
        <v>#REF!</v>
      </c>
      <c r="AN173" s="133" t="str">
        <f t="shared" si="21"/>
        <v>#REF!</v>
      </c>
      <c r="AO173" s="133" t="str">
        <f t="shared" si="115"/>
        <v>#REF!</v>
      </c>
      <c r="AP173" s="134" t="str">
        <f t="shared" si="22"/>
        <v>#REF!</v>
      </c>
      <c r="AQ173" s="134" t="str">
        <f t="shared" si="23"/>
        <v>#REF!</v>
      </c>
      <c r="AR173" s="135" t="str">
        <f>IF(ISNA(VLOOKUP(A173,'Données projet (1)'!$A$61:$I$81,5,0)),0%,VLOOKUP(A173,'Données projet (1)'!$A$61:$I$81,5,0)*VLOOKUP('Données projet (1)'!$B$10,'Paramètres (1)'!$A$1:$I$88,7,0))</f>
        <v>#REF!</v>
      </c>
      <c r="AS173" s="135" t="str">
        <f>IF(ISNA(VLOOKUP(A173,'Données projet (1)'!$A$61:$I$81,6,0)),0%,VLOOKUP(A173,'Données projet (1)'!$A$61:$I$81,6,0)*VLOOKUP('Données projet (1)'!$B$10,'Paramètres (1)'!$A$1:$I$88,7,0))</f>
        <v>#REF!</v>
      </c>
      <c r="AT173" s="135" t="str">
        <f t="shared" si="24"/>
        <v>#REF!</v>
      </c>
      <c r="AU173" s="142" t="str">
        <f>EXP(-LN(2)/35)*AU172+(1-EXP(-LN(2)/35))/(LN(2)/35)*AQ173*AR173*VLOOKUP('Données projet (1)'!$B$10,'Paramètres (1)'!$A$1:$I$88,3,0)*0.475*44/12</f>
        <v>#REF!</v>
      </c>
      <c r="AV173" s="142" t="str">
        <f>EXP(-LN(2)/25)*AV172+(1-EXP(-LN(2)/25))/(LN(2)/25)*'Calculateur (1)'!AQ173*'Calculateur (1)'!AS173*VLOOKUP('Données projet (1)'!$B$10,'Paramètres (1)'!$A$1:$I$88,3,0)*0.475*44/12</f>
        <v>#REF!</v>
      </c>
      <c r="AW173" s="142" t="str">
        <f>EXP(-LN(2)/2)*AW172+(1-EXP(-LN(2)/2))/(LN(2)/2)*AQ173*AT173*VLOOKUP('Données projet (1)'!$B$10,'Paramètres (1)'!$A$1:$I$88,3,0)*0.475*44/12</f>
        <v>#REF!</v>
      </c>
      <c r="AX173" s="142" t="str">
        <f t="shared" si="25"/>
        <v>#REF!</v>
      </c>
      <c r="AY173" s="137" t="str">
        <f t="shared" si="26"/>
        <v>#REF!</v>
      </c>
      <c r="AZ173" s="131">
        <f t="shared" si="27"/>
        <v>10</v>
      </c>
      <c r="BA173" s="131" t="str">
        <f t="shared" si="116"/>
        <v>#REF!</v>
      </c>
      <c r="BB173" s="131" t="str">
        <f t="shared" si="28"/>
        <v>#REF!</v>
      </c>
      <c r="BC173" s="131" t="str">
        <f t="array" ref="BC173">INDEX(BB:BB,MIN(IF(ISNUMBER(BB173:BB369),ROW(BB173:BB369),"")))</f>
        <v/>
      </c>
      <c r="BD173" s="131" t="str">
        <f t="shared" si="117"/>
        <v>#REF!</v>
      </c>
      <c r="BE173" s="130" t="str">
        <f>BD173*VLOOKUP('Données projet (1)'!$B$11,'Paramètres (1)'!$A$1:$I$88,3,0)*VLOOKUP('Données projet (1)'!$B$11,'Paramètres (1)'!$A$1:$I$88,5,0)</f>
        <v>#REF!</v>
      </c>
      <c r="BF173" s="130" t="str">
        <f t="shared" si="118"/>
        <v>#REF!</v>
      </c>
      <c r="BG173" s="141" t="str">
        <f t="shared" si="29"/>
        <v>#REF!</v>
      </c>
      <c r="BH173" s="133" t="str">
        <f t="shared" si="30"/>
        <v>#REF!</v>
      </c>
      <c r="BI173" s="133" t="str">
        <f t="shared" si="31"/>
        <v>#REF!</v>
      </c>
      <c r="BJ173" s="133" t="str">
        <f t="shared" si="119"/>
        <v>#REF!</v>
      </c>
      <c r="BK173" s="134" t="str">
        <f t="shared" si="32"/>
        <v>#REF!</v>
      </c>
      <c r="BL173" s="134" t="str">
        <f t="shared" si="33"/>
        <v>#REF!</v>
      </c>
      <c r="BM173" s="135" t="str">
        <f>IF(ISNA(VLOOKUP(A173,'Données projet (1)'!$A$87:$I$107,5,0)),0%,VLOOKUP(A173,'Données projet (1)'!$A$87:$I$107,5,0)*VLOOKUP('Données projet (1)'!$B$11,'Paramètres (1)'!$A$1:$I$88,7,0))</f>
        <v>#REF!</v>
      </c>
      <c r="BN173" s="135" t="str">
        <f>IF(ISNA(VLOOKUP(A173,'Données projet (1)'!$A$87:$I$107,6,0)),0%,VLOOKUP(A173,'Données projet (1)'!$A$87:$I$107,6,0)*VLOOKUP('Données projet (1)'!$B$11,'Paramètres (1)'!$A$1:$I$88,7,0))</f>
        <v>#REF!</v>
      </c>
      <c r="BO173" s="135" t="str">
        <f t="shared" si="34"/>
        <v>#REF!</v>
      </c>
      <c r="BP173" s="142" t="str">
        <f>EXP(-LN(2)/35)*BP172+(1-EXP(-LN(2)/35))/(LN(2)/35)*BL173*BM173*VLOOKUP('Données projet (1)'!$B$11,'Paramètres (1)'!$A$1:$I$88,3,0)*0.475*44/12</f>
        <v>#REF!</v>
      </c>
      <c r="BQ173" s="142" t="str">
        <f>EXP(-LN(2)/25)*BQ172+(1-EXP(-LN(2)/25))/(LN(2)/25)*'Calculateur (1)'!BL173*'Calculateur (1)'!BN173*VLOOKUP('Données projet (1)'!$B$11,'Paramètres (1)'!$A$1:$I$88,3,0)*0.475*44/12</f>
        <v>#REF!</v>
      </c>
      <c r="BR173" s="142" t="str">
        <f>EXP(-LN(2)/2)*BR172+(1-EXP(-LN(2)/2))/(LN(2)/2)*BL173*BO173*VLOOKUP('Données projet (1)'!$B$11,'Paramètres (1)'!$A$1:$I$88,3,0)*0.475*44/12</f>
        <v>#REF!</v>
      </c>
      <c r="BS173" s="143" t="str">
        <f t="shared" si="35"/>
        <v>#REF!</v>
      </c>
      <c r="BT173" s="139" t="str">
        <f t="shared" si="36"/>
        <v>#REF!</v>
      </c>
      <c r="BU173" s="131">
        <f t="shared" si="37"/>
        <v>10</v>
      </c>
      <c r="BV173" s="131" t="str">
        <f t="shared" si="120"/>
        <v>#REF!</v>
      </c>
      <c r="BW173" s="131" t="str">
        <f t="shared" si="38"/>
        <v>#REF!</v>
      </c>
      <c r="BX173" s="131" t="str">
        <f t="array" ref="BX173">INDEX(BW:BW,MIN(IF(ISNUMBER(BW173:BW369),ROW(BW173:BW369),"")))</f>
        <v/>
      </c>
      <c r="BY173" s="131" t="str">
        <f t="shared" si="121"/>
        <v>#REF!</v>
      </c>
      <c r="BZ173" s="130" t="str">
        <f>BY173*VLOOKUP('Données projet (1)'!$B$12,'Paramètres (1)'!$A$1:$I$88,3,0)*VLOOKUP('Données projet (1)'!$B$12,'Paramètres (1)'!$A$1:$I$88,5,0)</f>
        <v>#REF!</v>
      </c>
      <c r="CA173" s="130" t="str">
        <f t="shared" si="122"/>
        <v>#REF!</v>
      </c>
      <c r="CB173" s="141" t="str">
        <f t="shared" si="39"/>
        <v>#REF!</v>
      </c>
      <c r="CC173" s="133" t="str">
        <f t="shared" si="40"/>
        <v>#REF!</v>
      </c>
      <c r="CD173" s="133" t="str">
        <f t="shared" si="41"/>
        <v>#REF!</v>
      </c>
      <c r="CE173" s="133" t="str">
        <f t="shared" si="123"/>
        <v>#REF!</v>
      </c>
      <c r="CF173" s="134" t="str">
        <f t="shared" si="42"/>
        <v>#REF!</v>
      </c>
      <c r="CG173" s="134" t="str">
        <f t="shared" si="43"/>
        <v>#REF!</v>
      </c>
      <c r="CH173" s="135" t="str">
        <f>IF(ISNA(VLOOKUP(A173,'Données projet (1)'!$A$113:$I$133,5,0)),0%,VLOOKUP(A173,'Données projet (1)'!$A$113:$I$133,5,0)*VLOOKUP('Données projet (1)'!$B$12,'Paramètres (1)'!$A$1:$I$88,7,0))</f>
        <v>#REF!</v>
      </c>
      <c r="CI173" s="135" t="str">
        <f>IF(ISNA(VLOOKUP(A173,'Données projet (1)'!$A$113:$I$133,6,0)),0%,VLOOKUP(A173,'Données projet (1)'!$A$113:$I$133,6,0)*VLOOKUP('Données projet (1)'!$B$12,'Paramètres (1)'!$A$1:$I$88,7,0))</f>
        <v>#REF!</v>
      </c>
      <c r="CJ173" s="135" t="str">
        <f t="shared" si="44"/>
        <v>#REF!</v>
      </c>
      <c r="CK173" s="142" t="str">
        <f>EXP(-LN(2)/35)*CK172+(1-EXP(-LN(2)/35))/(LN(2)/35)*CG173*CH173*VLOOKUP('Données projet (1)'!$B$12,'Paramètres (1)'!$A$1:$I$88,3,0)*0.475*44/12</f>
        <v>#REF!</v>
      </c>
      <c r="CL173" s="142" t="str">
        <f>EXP(-LN(2)/25)*CL172+(1-EXP(-LN(2)/25))/(LN(2)/25)*'Calculateur (1)'!CG173*'Calculateur (1)'!CI173*VLOOKUP('Données projet (1)'!$B$12,'Paramètres (1)'!$A$1:$I$88,3,0)*0.475*44/12</f>
        <v>#REF!</v>
      </c>
      <c r="CM173" s="142" t="str">
        <f>EXP(-LN(2)/2)*CM172+(1-EXP(-LN(2)/2))/(LN(2)/2)*CG173*CJ173*VLOOKUP('Données projet (1)'!$B$12,'Paramètres (1)'!$A$1:$I$88,3,0)*0.475*44/12</f>
        <v>#REF!</v>
      </c>
      <c r="CN173" s="143" t="str">
        <f t="shared" si="45"/>
        <v>#REF!</v>
      </c>
      <c r="CO173" s="139" t="str">
        <f t="shared" si="46"/>
        <v>#REF!</v>
      </c>
      <c r="CP173" s="131">
        <f t="shared" si="47"/>
        <v>10</v>
      </c>
      <c r="CQ173" s="131" t="str">
        <f t="shared" si="124"/>
        <v>#REF!</v>
      </c>
      <c r="CR173" s="131" t="str">
        <f t="shared" si="48"/>
        <v>#REF!</v>
      </c>
      <c r="CS173" s="131" t="str">
        <f t="array" ref="CS173">INDEX(CR:CR,MIN(IF(ISNUMBER(CR173:CR369),ROW(CR173:CR369),"")))</f>
        <v/>
      </c>
      <c r="CT173" s="131" t="str">
        <f t="shared" si="125"/>
        <v>#REF!</v>
      </c>
      <c r="CU173" s="138" t="str">
        <f>CT173*VLOOKUP('Données projet (1)'!$B$13,'Paramètres (1)'!$A$1:$I$88,3,0)*VLOOKUP('Données projet (1)'!$B$13,'Paramètres (1)'!$A$1:$I$88,5,0)</f>
        <v>#REF!</v>
      </c>
      <c r="CV173" s="130" t="str">
        <f t="shared" si="126"/>
        <v>#REF!</v>
      </c>
      <c r="CW173" s="141" t="str">
        <f t="shared" si="49"/>
        <v>#REF!</v>
      </c>
      <c r="CX173" s="133" t="str">
        <f t="shared" si="50"/>
        <v>#REF!</v>
      </c>
      <c r="CY173" s="133" t="str">
        <f t="shared" si="51"/>
        <v>#REF!</v>
      </c>
      <c r="CZ173" s="133" t="str">
        <f t="shared" si="127"/>
        <v>#REF!</v>
      </c>
      <c r="DA173" s="134" t="str">
        <f t="shared" si="52"/>
        <v>#REF!</v>
      </c>
      <c r="DB173" s="134" t="str">
        <f t="shared" si="53"/>
        <v>#REF!</v>
      </c>
      <c r="DC173" s="135" t="str">
        <f>IF(ISNA(VLOOKUP(A173,'Données projet (1)'!$A$139:$I$159,5,0)),0%,VLOOKUP(A173,'Données projet (1)'!$A$139:$I$159,5,0)*VLOOKUP('Données projet (1)'!$B$13,'Paramètres (1)'!$A$1:$I$88,7,0))</f>
        <v>#REF!</v>
      </c>
      <c r="DD173" s="135" t="str">
        <f>IF(ISNA(VLOOKUP(A173,'Données projet (1)'!$A$139:$I$159,6,0)),0%,VLOOKUP(A173,'Données projet (1)'!$A$139:$I$159,6,0)*VLOOKUP('Données projet (1)'!$B$13,'Paramètres (1)'!$A$1:$I$88,7,0))</f>
        <v>#REF!</v>
      </c>
      <c r="DE173" s="135" t="str">
        <f t="shared" si="54"/>
        <v>#REF!</v>
      </c>
      <c r="DF173" s="142" t="str">
        <f>EXP(-LN(2)/35)*DF172+(1-EXP(-LN(2)/35))/(LN(2)/35)*DB173*DC173*VLOOKUP('Données projet (1)'!$B$13,'Paramètres (1)'!$A$1:$I$88,3,0)*0.475*44/12</f>
        <v>#REF!</v>
      </c>
      <c r="DG173" s="142" t="str">
        <f>EXP(-LN(2)/25)*DG172+(1-EXP(-LN(2)/25))/(LN(2)/25)*'Calculateur (1)'!DB173*'Calculateur (1)'!DD173*VLOOKUP('Données projet (1)'!$B$13,'Paramètres (1)'!$A$1:$I$88,3,0)*0.475*44/12</f>
        <v>#REF!</v>
      </c>
      <c r="DH173" s="142" t="str">
        <f>EXP(-LN(2)/2)*DH172+(1-EXP(-LN(2)/2))/(LN(2)/2)*DB173*DE173*VLOOKUP('Données projet (1)'!$B$13,'Paramètres (1)'!$A$1:$I$88,3,0)*0.475*44/12</f>
        <v>#REF!</v>
      </c>
      <c r="DI173" s="143" t="str">
        <f t="shared" si="55"/>
        <v>#REF!</v>
      </c>
      <c r="DJ173" s="139" t="str">
        <f t="shared" si="56"/>
        <v>#REF!</v>
      </c>
      <c r="DK173" s="131">
        <f t="shared" si="57"/>
        <v>10</v>
      </c>
      <c r="DL173" s="131" t="str">
        <f t="shared" si="128"/>
        <v>#REF!</v>
      </c>
      <c r="DM173" s="131" t="str">
        <f t="shared" si="58"/>
        <v>#REF!</v>
      </c>
      <c r="DN173" s="131" t="str">
        <f t="array" ref="DN173">INDEX(DM:DM,MIN(IF(ISNUMBER(DM173:DM369),ROW(DM173:DM369),"")))</f>
        <v/>
      </c>
      <c r="DO173" s="131" t="str">
        <f t="shared" si="129"/>
        <v>#REF!</v>
      </c>
      <c r="DP173" s="138" t="str">
        <f>DO173*VLOOKUP('Données projet (1)'!$B$14,'Paramètres (1)'!$A$1:$I$88,3,0)*VLOOKUP('Données projet (1)'!$B$14,'Paramètres (1)'!$A$1:$I$88,5,0)</f>
        <v>#REF!</v>
      </c>
      <c r="DQ173" s="130" t="str">
        <f t="shared" si="130"/>
        <v>#REF!</v>
      </c>
      <c r="DR173" s="141" t="str">
        <f t="shared" si="59"/>
        <v>#REF!</v>
      </c>
      <c r="DS173" s="133" t="str">
        <f t="shared" si="60"/>
        <v>#REF!</v>
      </c>
      <c r="DT173" s="133" t="str">
        <f t="shared" si="61"/>
        <v>#REF!</v>
      </c>
      <c r="DU173" s="133" t="str">
        <f t="shared" si="131"/>
        <v>#REF!</v>
      </c>
      <c r="DV173" s="134" t="str">
        <f t="shared" si="62"/>
        <v>#REF!</v>
      </c>
      <c r="DW173" s="134" t="str">
        <f t="shared" si="63"/>
        <v>#REF!</v>
      </c>
      <c r="DX173" s="135" t="str">
        <f>IF(ISNA(VLOOKUP(A173,'Données projet (1)'!$A$165:$I$185,5,0)),0%,VLOOKUP(A173,'Données projet (1)'!$A$165:$I$185,5,0)*VLOOKUP('Données projet (1)'!$B$14,'Paramètres (1)'!$A$1:$I$88,7,0))</f>
        <v>#REF!</v>
      </c>
      <c r="DY173" s="135" t="str">
        <f>IF(ISNA(VLOOKUP(A173,'Données projet (1)'!$A$165:$I$185,6,0)),0%,VLOOKUP(A173,'Données projet (1)'!$A$165:$I$185,6,0)*VLOOKUP('Données projet (1)'!$B$14,'Paramètres (1)'!$A$1:$I$88,7,0))</f>
        <v>#REF!</v>
      </c>
      <c r="DZ173" s="135" t="str">
        <f t="shared" si="64"/>
        <v>#REF!</v>
      </c>
      <c r="EA173" s="142" t="str">
        <f>EXP(-LN(2)/35)*EA172+(1-EXP(-LN(2)/35))/(LN(2)/35)*DW173*DX173*VLOOKUP('Données projet (1)'!$B$14,'Paramètres (1)'!$A$1:$I$88,3,0)*0.475*44/12</f>
        <v>#REF!</v>
      </c>
      <c r="EB173" s="142" t="str">
        <f>EXP(-LN(2)/25)*EB172+(1-EXP(-LN(2)/25))/(LN(2)/25)*'Calculateur (1)'!DW173*'Calculateur (1)'!DY173*VLOOKUP('Données projet (1)'!$B$14,'Paramètres (1)'!$A$1:$I$88,3,0)*0.475*44/12</f>
        <v>#REF!</v>
      </c>
      <c r="EC173" s="142" t="str">
        <f>EXP(-LN(2)/2)*EC172+(1-EXP(-LN(2)/2))/(LN(2)/2)*DW173*DZ173*VLOOKUP('Données projet (1)'!$B$14,'Paramètres (1)'!$A$1:$I$88,3,0)*0.475*44/12</f>
        <v>#REF!</v>
      </c>
      <c r="ED173" s="143" t="str">
        <f t="shared" si="65"/>
        <v>#REF!</v>
      </c>
      <c r="EE173" s="139" t="str">
        <f t="shared" si="66"/>
        <v>#REF!</v>
      </c>
      <c r="EF173" s="131">
        <f t="shared" si="67"/>
        <v>10</v>
      </c>
      <c r="EG173" s="131" t="str">
        <f t="shared" si="132"/>
        <v>#REF!</v>
      </c>
      <c r="EH173" s="131" t="str">
        <f t="shared" si="68"/>
        <v>#REF!</v>
      </c>
      <c r="EI173" s="131" t="str">
        <f t="array" ref="EI173">INDEX(EH:EH,MIN(IF(ISNUMBER(EH173:EH369),ROW(EH173:EH369),"")))</f>
        <v/>
      </c>
      <c r="EJ173" s="131" t="str">
        <f t="shared" si="133"/>
        <v>#REF!</v>
      </c>
      <c r="EK173" s="138" t="str">
        <f>EJ173*VLOOKUP('Données projet (1)'!$B$15,'Paramètres (1)'!$A$1:$I$88,3,0)*VLOOKUP('Données projet (1)'!$B$15,'Paramètres (1)'!$A$1:$I$88,5,0)</f>
        <v>#REF!</v>
      </c>
      <c r="EL173" s="130" t="str">
        <f t="shared" si="134"/>
        <v>#REF!</v>
      </c>
      <c r="EM173" s="141" t="str">
        <f t="shared" si="69"/>
        <v>#REF!</v>
      </c>
      <c r="EN173" s="133" t="str">
        <f t="shared" si="70"/>
        <v>#REF!</v>
      </c>
      <c r="EO173" s="133" t="str">
        <f t="shared" si="71"/>
        <v>#REF!</v>
      </c>
      <c r="EP173" s="133" t="str">
        <f t="shared" si="135"/>
        <v>#REF!</v>
      </c>
      <c r="EQ173" s="134" t="str">
        <f t="shared" si="72"/>
        <v>#REF!</v>
      </c>
      <c r="ER173" s="134" t="str">
        <f t="shared" si="73"/>
        <v>#REF!</v>
      </c>
      <c r="ES173" s="135" t="str">
        <f>IF(ISNA(VLOOKUP(A173,'Données projet (1)'!$A$191:$I$211,5,0)),0%,VLOOKUP(A173,'Données projet (1)'!$A$191:$I$211,5,0)*VLOOKUP('Données projet (1)'!$B$15,'Paramètres (1)'!$A$1:$I$88,7,0))</f>
        <v>#REF!</v>
      </c>
      <c r="ET173" s="135" t="str">
        <f>IF(ISNA(VLOOKUP(A173,'Données projet (1)'!$A$191:$I$211,6,0)),0%,VLOOKUP(A173,'Données projet (1)'!$A$191:$I$211,6,0)*VLOOKUP('Données projet (1)'!$B$15,'Paramètres (1)'!$A$1:$I$88,7,0))</f>
        <v>#REF!</v>
      </c>
      <c r="EU173" s="135" t="str">
        <f t="shared" si="74"/>
        <v>#REF!</v>
      </c>
      <c r="EV173" s="142" t="str">
        <f>EXP(-LN(2)/35)*EV172+(1-EXP(-LN(2)/35))/(LN(2)/35)*ER173*ES173*VLOOKUP('Données projet (1)'!$B$15,'Paramètres (1)'!$A$1:$I$88,3,0)*0.475*44/12</f>
        <v>#REF!</v>
      </c>
      <c r="EW173" s="142" t="str">
        <f>EXP(-LN(2)/25)*EW172+(1-EXP(-LN(2)/25))/(LN(2)/25)*'Calculateur (1)'!ER173*'Calculateur (1)'!ET173*VLOOKUP('Données projet (1)'!$B$15,'Paramètres (1)'!$A$1:$I$88,3,0)*0.475*44/12</f>
        <v>#REF!</v>
      </c>
      <c r="EX173" s="142" t="str">
        <f>EXP(-LN(2)/2)*EX172+(1-EXP(-LN(2)/2))/(LN(2)/2)*ER173*EU173*VLOOKUP('Données projet (1)'!$B$15,'Paramètres (1)'!$A$1:$I$88,3,0)*0.475*44/12</f>
        <v>#REF!</v>
      </c>
      <c r="EY173" s="143" t="str">
        <f t="shared" si="75"/>
        <v>#REF!</v>
      </c>
      <c r="EZ173" s="139" t="str">
        <f t="shared" si="76"/>
        <v>#REF!</v>
      </c>
      <c r="FA173" s="131">
        <f t="shared" si="77"/>
        <v>10</v>
      </c>
      <c r="FB173" s="131" t="str">
        <f t="shared" si="136"/>
        <v>#REF!</v>
      </c>
      <c r="FC173" s="131" t="str">
        <f t="shared" si="78"/>
        <v>#REF!</v>
      </c>
      <c r="FD173" s="131" t="str">
        <f t="array" ref="FD173">INDEX(FC:FC,MIN(IF(ISNUMBER(FC173:FC369),ROW(FC173:FC369),"")))</f>
        <v/>
      </c>
      <c r="FE173" s="131" t="str">
        <f t="shared" si="137"/>
        <v>#REF!</v>
      </c>
      <c r="FF173" s="138" t="str">
        <f>FE173*VLOOKUP('Données projet (1)'!$B$16,'Paramètres (1)'!$A$1:$I$88,3,0)*VLOOKUP('Données projet (1)'!$B$16,'Paramètres (1)'!$A$1:$I$88,5,0)</f>
        <v>#REF!</v>
      </c>
      <c r="FG173" s="130" t="str">
        <f t="shared" si="138"/>
        <v>#REF!</v>
      </c>
      <c r="FH173" s="141" t="str">
        <f t="shared" si="79"/>
        <v>#REF!</v>
      </c>
      <c r="FI173" s="133" t="str">
        <f t="shared" si="80"/>
        <v>#REF!</v>
      </c>
      <c r="FJ173" s="133" t="str">
        <f t="shared" si="81"/>
        <v>#REF!</v>
      </c>
      <c r="FK173" s="133" t="str">
        <f t="shared" si="139"/>
        <v>#REF!</v>
      </c>
      <c r="FL173" s="134" t="str">
        <f t="shared" si="82"/>
        <v>#REF!</v>
      </c>
      <c r="FM173" s="134" t="str">
        <f t="shared" si="83"/>
        <v>#REF!</v>
      </c>
      <c r="FN173" s="135" t="str">
        <f>IF(ISNA(VLOOKUP(A173,'Données projet (1)'!$A$217:$I$237,5,0)),0%,VLOOKUP(A173,'Données projet (1)'!$A$217:$I$237,5,0)*VLOOKUP('Données projet (1)'!$B$16,'Paramètres (1)'!$A$1:$I$88,7,0))</f>
        <v>#REF!</v>
      </c>
      <c r="FO173" s="135" t="str">
        <f>IF(ISNA(VLOOKUP(A173,'Données projet (1)'!$A$217:$I$237,6,0)),0%,VLOOKUP(A173,'Données projet (1)'!$A$217:$I$237,6,0)*VLOOKUP('Données projet (1)'!$B$16,'Paramètres (1)'!$A$1:$I$88,7,0))</f>
        <v>#REF!</v>
      </c>
      <c r="FP173" s="135" t="str">
        <f t="shared" si="84"/>
        <v>#REF!</v>
      </c>
      <c r="FQ173" s="142" t="str">
        <f>EXP(-LN(2)/35)*FQ172+(1-EXP(-LN(2)/35))/(LN(2)/35)*FM173*FN173*VLOOKUP('Données projet (1)'!$B$16,'Paramètres (1)'!$A$1:$I$88,3,0)*0.475*44/12</f>
        <v>#REF!</v>
      </c>
      <c r="FR173" s="142" t="str">
        <f>EXP(-LN(2)/25)*FR172+(1-EXP(-LN(2)/25))/(LN(2)/25)*'Calculateur (1)'!FM173*'Calculateur (1)'!FO173*VLOOKUP('Données projet (1)'!$B$16,'Paramètres (1)'!$A$1:$I$88,3,0)*0.475*44/12</f>
        <v>#REF!</v>
      </c>
      <c r="FS173" s="142" t="str">
        <f>EXP(-LN(2)/2)*FS172+(1-EXP(-LN(2)/2))/(LN(2)/2)*FM173*FP173*VLOOKUP('Données projet (1)'!$B$16,'Paramètres (1)'!$A$1:$I$88,3,0)*0.475*44/12</f>
        <v>#REF!</v>
      </c>
      <c r="FT173" s="143" t="str">
        <f t="shared" si="85"/>
        <v>#REF!</v>
      </c>
      <c r="FU173" s="139" t="str">
        <f t="shared" si="86"/>
        <v>#REF!</v>
      </c>
      <c r="FV173" s="131">
        <f t="shared" si="87"/>
        <v>10</v>
      </c>
      <c r="FW173" s="131" t="str">
        <f t="shared" si="140"/>
        <v>#REF!</v>
      </c>
      <c r="FX173" s="131" t="str">
        <f t="shared" si="88"/>
        <v>#REF!</v>
      </c>
      <c r="FY173" s="131" t="str">
        <f t="array" ref="FY173">INDEX(FX:FX,MIN(IF(ISNUMBER(FX173:FX369),ROW(FX173:FX369),"")))</f>
        <v/>
      </c>
      <c r="FZ173" s="131" t="str">
        <f t="shared" si="141"/>
        <v>#REF!</v>
      </c>
      <c r="GA173" s="138" t="str">
        <f>FZ173*VLOOKUP('Données projet (1)'!$B$17,'Paramètres (1)'!$A$1:$I$88,3,0)*VLOOKUP('Données projet (1)'!$B$17,'Paramètres (1)'!$A$1:$I$88,5,0)</f>
        <v>#REF!</v>
      </c>
      <c r="GB173" s="130" t="str">
        <f t="shared" si="142"/>
        <v>#REF!</v>
      </c>
      <c r="GC173" s="141" t="str">
        <f t="shared" si="89"/>
        <v>#REF!</v>
      </c>
      <c r="GD173" s="133" t="str">
        <f t="shared" si="90"/>
        <v>#REF!</v>
      </c>
      <c r="GE173" s="133" t="str">
        <f t="shared" si="91"/>
        <v>#REF!</v>
      </c>
      <c r="GF173" s="133" t="str">
        <f t="shared" si="143"/>
        <v>#REF!</v>
      </c>
      <c r="GG173" s="134" t="str">
        <f t="shared" si="92"/>
        <v>#REF!</v>
      </c>
      <c r="GH173" s="134" t="str">
        <f t="shared" si="93"/>
        <v>#REF!</v>
      </c>
      <c r="GI173" s="135" t="str">
        <f>IF(ISNA(VLOOKUP(A173,'Données projet (1)'!$A$243:$I$263,5,0)),0%,VLOOKUP(A173,'Données projet (1)'!$A$243:$I$263,5,0)*VLOOKUP('Données projet (1)'!$B$17,'Paramètres (1)'!$A$1:$I$88,7,0))</f>
        <v>#REF!</v>
      </c>
      <c r="GJ173" s="135" t="str">
        <f>IF(ISNA(VLOOKUP(A173,'Données projet (1)'!$A$243:$I$263,6,0)),0%,VLOOKUP(A173,'Données projet (1)'!$A$243:$I$263,6,0)*VLOOKUP('Données projet (1)'!$B$17,'Paramètres (1)'!$A$1:$I$88,7,0))</f>
        <v>#REF!</v>
      </c>
      <c r="GK173" s="135" t="str">
        <f t="shared" si="94"/>
        <v>#REF!</v>
      </c>
      <c r="GL173" s="142" t="str">
        <f>EXP(-LN(2)/35)*GL172+(1-EXP(-LN(2)/35))/(LN(2)/35)*GH173*GI173*VLOOKUP('Données projet (1)'!$B$17,'Paramètres (1)'!$A$1:$I$88,3,0)*0.475*44/12</f>
        <v>#REF!</v>
      </c>
      <c r="GM173" s="142" t="str">
        <f>EXP(-LN(2)/25)*GM172+(1-EXP(-LN(2)/25))/(LN(2)/25)*'Calculateur (1)'!GH173*'Calculateur (1)'!GJ173*VLOOKUP('Données projet (1)'!$B$17,'Paramètres (1)'!$A$1:$I$88,3,0)*0.475*44/12</f>
        <v>#REF!</v>
      </c>
      <c r="GN173" s="142" t="str">
        <f>EXP(-LN(2)/2)*GN172+(1-EXP(-LN(2)/2))/(LN(2)/2)*GH173*GK173*VLOOKUP('Données projet (1)'!$B$17,'Paramètres (1)'!$A$1:$I$88,3,0)*0.475*44/12</f>
        <v>#REF!</v>
      </c>
      <c r="GO173" s="142" t="str">
        <f t="shared" si="95"/>
        <v>#REF!</v>
      </c>
      <c r="GP173" s="139" t="str">
        <f t="shared" si="96"/>
        <v>#REF!</v>
      </c>
      <c r="GQ173" s="131">
        <f t="shared" si="97"/>
        <v>10</v>
      </c>
      <c r="GR173" s="131" t="str">
        <f t="shared" si="144"/>
        <v>#REF!</v>
      </c>
      <c r="GS173" s="131" t="str">
        <f t="shared" si="98"/>
        <v>#REF!</v>
      </c>
      <c r="GT173" s="131" t="str">
        <f t="array" ref="GT173">INDEX(GS:GS,MIN(IF(ISNUMBER(GS173:GS369),ROW(GS173:GS369),"")))</f>
        <v/>
      </c>
      <c r="GU173" s="131" t="str">
        <f t="shared" si="145"/>
        <v>#REF!</v>
      </c>
      <c r="GV173" s="138" t="str">
        <f>GU173*VLOOKUP('Données projet (1)'!$B$18,'Paramètres (1)'!$A$1:$I$88,3,0)*VLOOKUP('Données projet (1)'!$B$18,'Paramètres (1)'!$A$1:$I$88,5,0)</f>
        <v>#REF!</v>
      </c>
      <c r="GW173" s="130" t="str">
        <f t="shared" si="146"/>
        <v>#REF!</v>
      </c>
      <c r="GX173" s="141" t="str">
        <f t="shared" si="99"/>
        <v>#REF!</v>
      </c>
      <c r="GY173" s="133" t="str">
        <f t="shared" si="100"/>
        <v>#REF!</v>
      </c>
      <c r="GZ173" s="133" t="str">
        <f t="shared" si="101"/>
        <v>#REF!</v>
      </c>
      <c r="HA173" s="133" t="str">
        <f t="shared" si="147"/>
        <v>#REF!</v>
      </c>
      <c r="HB173" s="134" t="str">
        <f t="shared" si="102"/>
        <v>#REF!</v>
      </c>
      <c r="HC173" s="134" t="str">
        <f t="shared" si="103"/>
        <v>#REF!</v>
      </c>
      <c r="HD173" s="135" t="str">
        <f>IF(ISNA(VLOOKUP(A173,'Données projet (1)'!$A$269:$I$289,5,0)),0%,VLOOKUP(A173,'Données projet (1)'!$A$269:$I$289,5,0)*VLOOKUP('Données projet (1)'!$B$18,'Paramètres (1)'!$A$1:$I$88,7,0))</f>
        <v>#REF!</v>
      </c>
      <c r="HE173" s="135" t="str">
        <f>IF(ISNA(VLOOKUP(A173,'Données projet (1)'!$A$269:$I$289,6,0)),0%,VLOOKUP(A173,'Données projet (1)'!$A$269:$I$289,6,0)*VLOOKUP('Données projet (1)'!$B$18,'Paramètres (1)'!$A$1:$I$88,7,0))</f>
        <v>#REF!</v>
      </c>
      <c r="HF173" s="135" t="str">
        <f t="shared" si="104"/>
        <v>#REF!</v>
      </c>
      <c r="HG173" s="142" t="str">
        <f>EXP(-LN(2)/35)*HG172+(1-EXP(-LN(2)/35))/(LN(2)/35)*HC173*HD173*VLOOKUP('Données projet (1)'!$B$18,'Paramètres (1)'!$A$1:$I$88,3,0)*0.475*44/12</f>
        <v>#REF!</v>
      </c>
      <c r="HH173" s="142" t="str">
        <f>EXP(-LN(2)/25)*HH172+(1-EXP(-LN(2)/25))/(LN(2)/25)*'Calculateur (1)'!HC173*'Calculateur (1)'!HE173*VLOOKUP('Données projet (1)'!$B$18,'Paramètres (1)'!$A$1:$I$88,3,0)*0.475*44/12</f>
        <v>#REF!</v>
      </c>
      <c r="HI173" s="142" t="str">
        <f>EXP(-LN(2)/2)*HI172+(1-EXP(-LN(2)/2))/(LN(2)/2)*HC173*HF173*VLOOKUP('Données projet (1)'!$B$18,'Paramètres (1)'!$A$1:$I$88,3,0)*0.475*44/12</f>
        <v>#REF!</v>
      </c>
      <c r="HJ173" s="143" t="str">
        <f t="shared" si="105"/>
        <v>#REF!</v>
      </c>
    </row>
    <row r="174" ht="14.25" customHeight="1">
      <c r="A174" s="125">
        <f t="shared" si="106"/>
        <v>171</v>
      </c>
      <c r="B174" s="126" t="str">
        <f t="shared" si="1"/>
        <v>#REF!</v>
      </c>
      <c r="C174" s="140" t="str">
        <f>'Calculateur (1)'!C173+'Scénario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4" s="127">
        <f t="shared" si="107"/>
        <v>0</v>
      </c>
      <c r="E174" s="127" t="str">
        <f t="shared" si="2"/>
        <v>#REF!</v>
      </c>
      <c r="F174" s="127" t="str">
        <f t="shared" si="3"/>
        <v>#REF!</v>
      </c>
      <c r="G174" s="127" t="str">
        <f t="shared" si="4"/>
        <v>#REF!</v>
      </c>
      <c r="H174" s="128" t="str">
        <f t="shared" si="5"/>
        <v>#REF!</v>
      </c>
      <c r="I174" s="129" t="str">
        <f t="shared" si="6"/>
        <v>#REF!</v>
      </c>
      <c r="J174" s="130">
        <f t="shared" si="7"/>
        <v>10</v>
      </c>
      <c r="K174" s="131" t="str">
        <f t="shared" si="108"/>
        <v>#REF!</v>
      </c>
      <c r="L174" s="131" t="str">
        <f t="shared" si="8"/>
        <v>#REF!</v>
      </c>
      <c r="M174" s="131" t="str">
        <f t="array" ref="M174">INDEX(L:L,MIN(IF(ISNUMBER(L174:L370),ROW(L174:L370),"")))</f>
        <v/>
      </c>
      <c r="N174" s="130" t="str">
        <f t="shared" si="109"/>
        <v>#REF!</v>
      </c>
      <c r="O174" s="130" t="str">
        <f>N174*VLOOKUP('Données projet (1)'!$B$9,'Paramètres (1)'!$A$1:$I$88,3,0)*VLOOKUP('Données projet (1)'!$B$9,'Paramètres (1)'!$A$1:$I$88,5,0)</f>
        <v>#REF!</v>
      </c>
      <c r="P174" s="130" t="str">
        <f t="shared" si="110"/>
        <v>#REF!</v>
      </c>
      <c r="Q174" s="141" t="str">
        <f t="shared" si="9"/>
        <v>#REF!</v>
      </c>
      <c r="R174" s="133" t="str">
        <f t="shared" si="10"/>
        <v>#REF!</v>
      </c>
      <c r="S174" s="133" t="str">
        <f t="shared" si="11"/>
        <v>#REF!</v>
      </c>
      <c r="T174" s="133" t="str">
        <f t="shared" si="111"/>
        <v>#REF!</v>
      </c>
      <c r="U174" s="134" t="str">
        <f t="shared" si="12"/>
        <v>#REF!</v>
      </c>
      <c r="V174" s="134" t="str">
        <f t="shared" si="13"/>
        <v>#REF!</v>
      </c>
      <c r="W174" s="135" t="str">
        <f>IF(ISNA(VLOOKUP(A174,'Données projet (1)'!$A$35:$I$55,5,0)),0%,VLOOKUP(A174,'Données projet (1)'!$A$35:$I$55,5,0)*VLOOKUP('Données projet (1)'!$B$9,'Paramètres (1)'!$A$1:$I$88,7,0))</f>
        <v>#REF!</v>
      </c>
      <c r="X174" s="135" t="str">
        <f>IF(ISNA(VLOOKUP(A174,'Données projet (1)'!$A$35:$I$55,6,0)),0%,VLOOKUP(A174,'Données projet (1)'!$A$35:$I$55,6,0)*VLOOKUP('Données projet (1)'!$B$9,'Paramètres (1)'!$A$1:$I$88,7,0))</f>
        <v>#REF!</v>
      </c>
      <c r="Y174" s="135" t="str">
        <f t="shared" si="14"/>
        <v>#REF!</v>
      </c>
      <c r="Z174" s="142" t="str">
        <f>EXP(-LN(2)/35)*Z173+(1-EXP(-LN(2)/35))/(LN(2)/35)*V174*W174*VLOOKUP('Données projet (1)'!$B$9,'Paramètres (1)'!$A$1:$I$88,3,0)*0.475*44/12</f>
        <v>#REF!</v>
      </c>
      <c r="AA174" s="142" t="str">
        <f>EXP(-LN(2)/25)*AA173+(1-EXP(-LN(2)/25))/(LN(2)/25)*'Calculateur (1)'!V174*'Calculateur (1)'!X174*VLOOKUP('Données projet (1)'!$B$9,'Paramètres (1)'!$A$1:$I$88,3,0)*0.475*44/12</f>
        <v>#REF!</v>
      </c>
      <c r="AB174" s="142" t="str">
        <f>EXP(-LN(2)/2)*AB173+(1-EXP(-LN(2)/2))/(LN(2)/2)*V174*Y174*VLOOKUP('Données projet (1)'!$B$9,'Paramètres (1)'!$A$1:$I$88,3,0)*0.475*44/12</f>
        <v>#REF!</v>
      </c>
      <c r="AC174" s="143" t="str">
        <f t="shared" si="15"/>
        <v>#REF!</v>
      </c>
      <c r="AD174" s="130" t="str">
        <f t="shared" si="16"/>
        <v>#REF!</v>
      </c>
      <c r="AE174" s="130">
        <f t="shared" si="17"/>
        <v>10</v>
      </c>
      <c r="AF174" s="131" t="str">
        <f t="shared" si="112"/>
        <v>#REF!</v>
      </c>
      <c r="AG174" s="131" t="str">
        <f t="shared" si="18"/>
        <v>#REF!</v>
      </c>
      <c r="AH174" s="131" t="str">
        <f t="array" ref="AH174">INDEX(AG:AG,MIN(IF(ISNUMBER(AG174:AG370),ROW(AG174:AG370),"")))</f>
        <v/>
      </c>
      <c r="AI174" s="130" t="str">
        <f t="shared" si="113"/>
        <v>#REF!</v>
      </c>
      <c r="AJ174" s="130" t="str">
        <f>AI174*VLOOKUP('Données projet (1)'!$B$10,'Paramètres (1)'!$A$1:$I$88,3,0)*VLOOKUP('Données projet (1)'!$B$10,'Paramètres (1)'!$A$1:$I$88,5,0)</f>
        <v>#REF!</v>
      </c>
      <c r="AK174" s="130" t="str">
        <f t="shared" si="114"/>
        <v>#REF!</v>
      </c>
      <c r="AL174" s="141" t="str">
        <f t="shared" si="19"/>
        <v>#REF!</v>
      </c>
      <c r="AM174" s="133" t="str">
        <f t="shared" si="20"/>
        <v>#REF!</v>
      </c>
      <c r="AN174" s="133" t="str">
        <f t="shared" si="21"/>
        <v>#REF!</v>
      </c>
      <c r="AO174" s="133" t="str">
        <f t="shared" si="115"/>
        <v>#REF!</v>
      </c>
      <c r="AP174" s="134" t="str">
        <f t="shared" si="22"/>
        <v>#REF!</v>
      </c>
      <c r="AQ174" s="134" t="str">
        <f t="shared" si="23"/>
        <v>#REF!</v>
      </c>
      <c r="AR174" s="135" t="str">
        <f>IF(ISNA(VLOOKUP(A174,'Données projet (1)'!$A$61:$I$81,5,0)),0%,VLOOKUP(A174,'Données projet (1)'!$A$61:$I$81,5,0)*VLOOKUP('Données projet (1)'!$B$10,'Paramètres (1)'!$A$1:$I$88,7,0))</f>
        <v>#REF!</v>
      </c>
      <c r="AS174" s="135" t="str">
        <f>IF(ISNA(VLOOKUP(A174,'Données projet (1)'!$A$61:$I$81,6,0)),0%,VLOOKUP(A174,'Données projet (1)'!$A$61:$I$81,6,0)*VLOOKUP('Données projet (1)'!$B$10,'Paramètres (1)'!$A$1:$I$88,7,0))</f>
        <v>#REF!</v>
      </c>
      <c r="AT174" s="135" t="str">
        <f t="shared" si="24"/>
        <v>#REF!</v>
      </c>
      <c r="AU174" s="142" t="str">
        <f>EXP(-LN(2)/35)*AU173+(1-EXP(-LN(2)/35))/(LN(2)/35)*AQ174*AR174*VLOOKUP('Données projet (1)'!$B$10,'Paramètres (1)'!$A$1:$I$88,3,0)*0.475*44/12</f>
        <v>#REF!</v>
      </c>
      <c r="AV174" s="142" t="str">
        <f>EXP(-LN(2)/25)*AV173+(1-EXP(-LN(2)/25))/(LN(2)/25)*'Calculateur (1)'!AQ174*'Calculateur (1)'!AS174*VLOOKUP('Données projet (1)'!$B$10,'Paramètres (1)'!$A$1:$I$88,3,0)*0.475*44/12</f>
        <v>#REF!</v>
      </c>
      <c r="AW174" s="142" t="str">
        <f>EXP(-LN(2)/2)*AW173+(1-EXP(-LN(2)/2))/(LN(2)/2)*AQ174*AT174*VLOOKUP('Données projet (1)'!$B$10,'Paramètres (1)'!$A$1:$I$88,3,0)*0.475*44/12</f>
        <v>#REF!</v>
      </c>
      <c r="AX174" s="142" t="str">
        <f t="shared" si="25"/>
        <v>#REF!</v>
      </c>
      <c r="AY174" s="137" t="str">
        <f t="shared" si="26"/>
        <v>#REF!</v>
      </c>
      <c r="AZ174" s="131">
        <f t="shared" si="27"/>
        <v>10</v>
      </c>
      <c r="BA174" s="131" t="str">
        <f t="shared" si="116"/>
        <v>#REF!</v>
      </c>
      <c r="BB174" s="131" t="str">
        <f t="shared" si="28"/>
        <v>#REF!</v>
      </c>
      <c r="BC174" s="131" t="str">
        <f t="array" ref="BC174">INDEX(BB:BB,MIN(IF(ISNUMBER(BB174:BB370),ROW(BB174:BB370),"")))</f>
        <v/>
      </c>
      <c r="BD174" s="131" t="str">
        <f t="shared" si="117"/>
        <v>#REF!</v>
      </c>
      <c r="BE174" s="130" t="str">
        <f>BD174*VLOOKUP('Données projet (1)'!$B$11,'Paramètres (1)'!$A$1:$I$88,3,0)*VLOOKUP('Données projet (1)'!$B$11,'Paramètres (1)'!$A$1:$I$88,5,0)</f>
        <v>#REF!</v>
      </c>
      <c r="BF174" s="130" t="str">
        <f t="shared" si="118"/>
        <v>#REF!</v>
      </c>
      <c r="BG174" s="141" t="str">
        <f t="shared" si="29"/>
        <v>#REF!</v>
      </c>
      <c r="BH174" s="133" t="str">
        <f t="shared" si="30"/>
        <v>#REF!</v>
      </c>
      <c r="BI174" s="133" t="str">
        <f t="shared" si="31"/>
        <v>#REF!</v>
      </c>
      <c r="BJ174" s="133" t="str">
        <f t="shared" si="119"/>
        <v>#REF!</v>
      </c>
      <c r="BK174" s="134" t="str">
        <f t="shared" si="32"/>
        <v>#REF!</v>
      </c>
      <c r="BL174" s="134" t="str">
        <f t="shared" si="33"/>
        <v>#REF!</v>
      </c>
      <c r="BM174" s="135" t="str">
        <f>IF(ISNA(VLOOKUP(A174,'Données projet (1)'!$A$87:$I$107,5,0)),0%,VLOOKUP(A174,'Données projet (1)'!$A$87:$I$107,5,0)*VLOOKUP('Données projet (1)'!$B$11,'Paramètres (1)'!$A$1:$I$88,7,0))</f>
        <v>#REF!</v>
      </c>
      <c r="BN174" s="135" t="str">
        <f>IF(ISNA(VLOOKUP(A174,'Données projet (1)'!$A$87:$I$107,6,0)),0%,VLOOKUP(A174,'Données projet (1)'!$A$87:$I$107,6,0)*VLOOKUP('Données projet (1)'!$B$11,'Paramètres (1)'!$A$1:$I$88,7,0))</f>
        <v>#REF!</v>
      </c>
      <c r="BO174" s="135" t="str">
        <f t="shared" si="34"/>
        <v>#REF!</v>
      </c>
      <c r="BP174" s="142" t="str">
        <f>EXP(-LN(2)/35)*BP173+(1-EXP(-LN(2)/35))/(LN(2)/35)*BL174*BM174*VLOOKUP('Données projet (1)'!$B$11,'Paramètres (1)'!$A$1:$I$88,3,0)*0.475*44/12</f>
        <v>#REF!</v>
      </c>
      <c r="BQ174" s="142" t="str">
        <f>EXP(-LN(2)/25)*BQ173+(1-EXP(-LN(2)/25))/(LN(2)/25)*'Calculateur (1)'!BL174*'Calculateur (1)'!BN174*VLOOKUP('Données projet (1)'!$B$11,'Paramètres (1)'!$A$1:$I$88,3,0)*0.475*44/12</f>
        <v>#REF!</v>
      </c>
      <c r="BR174" s="142" t="str">
        <f>EXP(-LN(2)/2)*BR173+(1-EXP(-LN(2)/2))/(LN(2)/2)*BL174*BO174*VLOOKUP('Données projet (1)'!$B$11,'Paramètres (1)'!$A$1:$I$88,3,0)*0.475*44/12</f>
        <v>#REF!</v>
      </c>
      <c r="BS174" s="143" t="str">
        <f t="shared" si="35"/>
        <v>#REF!</v>
      </c>
      <c r="BT174" s="139" t="str">
        <f t="shared" si="36"/>
        <v>#REF!</v>
      </c>
      <c r="BU174" s="131">
        <f t="shared" si="37"/>
        <v>10</v>
      </c>
      <c r="BV174" s="131" t="str">
        <f t="shared" si="120"/>
        <v>#REF!</v>
      </c>
      <c r="BW174" s="131" t="str">
        <f t="shared" si="38"/>
        <v>#REF!</v>
      </c>
      <c r="BX174" s="131" t="str">
        <f t="array" ref="BX174">INDEX(BW:BW,MIN(IF(ISNUMBER(BW174:BW370),ROW(BW174:BW370),"")))</f>
        <v/>
      </c>
      <c r="BY174" s="131" t="str">
        <f t="shared" si="121"/>
        <v>#REF!</v>
      </c>
      <c r="BZ174" s="130" t="str">
        <f>BY174*VLOOKUP('Données projet (1)'!$B$12,'Paramètres (1)'!$A$1:$I$88,3,0)*VLOOKUP('Données projet (1)'!$B$12,'Paramètres (1)'!$A$1:$I$88,5,0)</f>
        <v>#REF!</v>
      </c>
      <c r="CA174" s="130" t="str">
        <f t="shared" si="122"/>
        <v>#REF!</v>
      </c>
      <c r="CB174" s="141" t="str">
        <f t="shared" si="39"/>
        <v>#REF!</v>
      </c>
      <c r="CC174" s="133" t="str">
        <f t="shared" si="40"/>
        <v>#REF!</v>
      </c>
      <c r="CD174" s="133" t="str">
        <f t="shared" si="41"/>
        <v>#REF!</v>
      </c>
      <c r="CE174" s="133" t="str">
        <f t="shared" si="123"/>
        <v>#REF!</v>
      </c>
      <c r="CF174" s="134" t="str">
        <f t="shared" si="42"/>
        <v>#REF!</v>
      </c>
      <c r="CG174" s="134" t="str">
        <f t="shared" si="43"/>
        <v>#REF!</v>
      </c>
      <c r="CH174" s="135" t="str">
        <f>IF(ISNA(VLOOKUP(A174,'Données projet (1)'!$A$113:$I$133,5,0)),0%,VLOOKUP(A174,'Données projet (1)'!$A$113:$I$133,5,0)*VLOOKUP('Données projet (1)'!$B$12,'Paramètres (1)'!$A$1:$I$88,7,0))</f>
        <v>#REF!</v>
      </c>
      <c r="CI174" s="135" t="str">
        <f>IF(ISNA(VLOOKUP(A174,'Données projet (1)'!$A$113:$I$133,6,0)),0%,VLOOKUP(A174,'Données projet (1)'!$A$113:$I$133,6,0)*VLOOKUP('Données projet (1)'!$B$12,'Paramètres (1)'!$A$1:$I$88,7,0))</f>
        <v>#REF!</v>
      </c>
      <c r="CJ174" s="135" t="str">
        <f t="shared" si="44"/>
        <v>#REF!</v>
      </c>
      <c r="CK174" s="142" t="str">
        <f>EXP(-LN(2)/35)*CK173+(1-EXP(-LN(2)/35))/(LN(2)/35)*CG174*CH174*VLOOKUP('Données projet (1)'!$B$12,'Paramètres (1)'!$A$1:$I$88,3,0)*0.475*44/12</f>
        <v>#REF!</v>
      </c>
      <c r="CL174" s="142" t="str">
        <f>EXP(-LN(2)/25)*CL173+(1-EXP(-LN(2)/25))/(LN(2)/25)*'Calculateur (1)'!CG174*'Calculateur (1)'!CI174*VLOOKUP('Données projet (1)'!$B$12,'Paramètres (1)'!$A$1:$I$88,3,0)*0.475*44/12</f>
        <v>#REF!</v>
      </c>
      <c r="CM174" s="142" t="str">
        <f>EXP(-LN(2)/2)*CM173+(1-EXP(-LN(2)/2))/(LN(2)/2)*CG174*CJ174*VLOOKUP('Données projet (1)'!$B$12,'Paramètres (1)'!$A$1:$I$88,3,0)*0.475*44/12</f>
        <v>#REF!</v>
      </c>
      <c r="CN174" s="143" t="str">
        <f t="shared" si="45"/>
        <v>#REF!</v>
      </c>
      <c r="CO174" s="139" t="str">
        <f t="shared" si="46"/>
        <v>#REF!</v>
      </c>
      <c r="CP174" s="131">
        <f t="shared" si="47"/>
        <v>10</v>
      </c>
      <c r="CQ174" s="131" t="str">
        <f t="shared" si="124"/>
        <v>#REF!</v>
      </c>
      <c r="CR174" s="131" t="str">
        <f t="shared" si="48"/>
        <v>#REF!</v>
      </c>
      <c r="CS174" s="131" t="str">
        <f t="array" ref="CS174">INDEX(CR:CR,MIN(IF(ISNUMBER(CR174:CR370),ROW(CR174:CR370),"")))</f>
        <v/>
      </c>
      <c r="CT174" s="131" t="str">
        <f t="shared" si="125"/>
        <v>#REF!</v>
      </c>
      <c r="CU174" s="138" t="str">
        <f>CT174*VLOOKUP('Données projet (1)'!$B$13,'Paramètres (1)'!$A$1:$I$88,3,0)*VLOOKUP('Données projet (1)'!$B$13,'Paramètres (1)'!$A$1:$I$88,5,0)</f>
        <v>#REF!</v>
      </c>
      <c r="CV174" s="130" t="str">
        <f t="shared" si="126"/>
        <v>#REF!</v>
      </c>
      <c r="CW174" s="141" t="str">
        <f t="shared" si="49"/>
        <v>#REF!</v>
      </c>
      <c r="CX174" s="133" t="str">
        <f t="shared" si="50"/>
        <v>#REF!</v>
      </c>
      <c r="CY174" s="133" t="str">
        <f t="shared" si="51"/>
        <v>#REF!</v>
      </c>
      <c r="CZ174" s="133" t="str">
        <f t="shared" si="127"/>
        <v>#REF!</v>
      </c>
      <c r="DA174" s="134" t="str">
        <f t="shared" si="52"/>
        <v>#REF!</v>
      </c>
      <c r="DB174" s="134" t="str">
        <f t="shared" si="53"/>
        <v>#REF!</v>
      </c>
      <c r="DC174" s="135" t="str">
        <f>IF(ISNA(VLOOKUP(A174,'Données projet (1)'!$A$139:$I$159,5,0)),0%,VLOOKUP(A174,'Données projet (1)'!$A$139:$I$159,5,0)*VLOOKUP('Données projet (1)'!$B$13,'Paramètres (1)'!$A$1:$I$88,7,0))</f>
        <v>#REF!</v>
      </c>
      <c r="DD174" s="135" t="str">
        <f>IF(ISNA(VLOOKUP(A174,'Données projet (1)'!$A$139:$I$159,6,0)),0%,VLOOKUP(A174,'Données projet (1)'!$A$139:$I$159,6,0)*VLOOKUP('Données projet (1)'!$B$13,'Paramètres (1)'!$A$1:$I$88,7,0))</f>
        <v>#REF!</v>
      </c>
      <c r="DE174" s="135" t="str">
        <f t="shared" si="54"/>
        <v>#REF!</v>
      </c>
      <c r="DF174" s="142" t="str">
        <f>EXP(-LN(2)/35)*DF173+(1-EXP(-LN(2)/35))/(LN(2)/35)*DB174*DC174*VLOOKUP('Données projet (1)'!$B$13,'Paramètres (1)'!$A$1:$I$88,3,0)*0.475*44/12</f>
        <v>#REF!</v>
      </c>
      <c r="DG174" s="142" t="str">
        <f>EXP(-LN(2)/25)*DG173+(1-EXP(-LN(2)/25))/(LN(2)/25)*'Calculateur (1)'!DB174*'Calculateur (1)'!DD174*VLOOKUP('Données projet (1)'!$B$13,'Paramètres (1)'!$A$1:$I$88,3,0)*0.475*44/12</f>
        <v>#REF!</v>
      </c>
      <c r="DH174" s="142" t="str">
        <f>EXP(-LN(2)/2)*DH173+(1-EXP(-LN(2)/2))/(LN(2)/2)*DB174*DE174*VLOOKUP('Données projet (1)'!$B$13,'Paramètres (1)'!$A$1:$I$88,3,0)*0.475*44/12</f>
        <v>#REF!</v>
      </c>
      <c r="DI174" s="143" t="str">
        <f t="shared" si="55"/>
        <v>#REF!</v>
      </c>
      <c r="DJ174" s="139" t="str">
        <f t="shared" si="56"/>
        <v>#REF!</v>
      </c>
      <c r="DK174" s="131">
        <f t="shared" si="57"/>
        <v>10</v>
      </c>
      <c r="DL174" s="131" t="str">
        <f t="shared" si="128"/>
        <v>#REF!</v>
      </c>
      <c r="DM174" s="131" t="str">
        <f t="shared" si="58"/>
        <v>#REF!</v>
      </c>
      <c r="DN174" s="131" t="str">
        <f t="array" ref="DN174">INDEX(DM:DM,MIN(IF(ISNUMBER(DM174:DM370),ROW(DM174:DM370),"")))</f>
        <v/>
      </c>
      <c r="DO174" s="131" t="str">
        <f t="shared" si="129"/>
        <v>#REF!</v>
      </c>
      <c r="DP174" s="138" t="str">
        <f>DO174*VLOOKUP('Données projet (1)'!$B$14,'Paramètres (1)'!$A$1:$I$88,3,0)*VLOOKUP('Données projet (1)'!$B$14,'Paramètres (1)'!$A$1:$I$88,5,0)</f>
        <v>#REF!</v>
      </c>
      <c r="DQ174" s="130" t="str">
        <f t="shared" si="130"/>
        <v>#REF!</v>
      </c>
      <c r="DR174" s="141" t="str">
        <f t="shared" si="59"/>
        <v>#REF!</v>
      </c>
      <c r="DS174" s="133" t="str">
        <f t="shared" si="60"/>
        <v>#REF!</v>
      </c>
      <c r="DT174" s="133" t="str">
        <f t="shared" si="61"/>
        <v>#REF!</v>
      </c>
      <c r="DU174" s="133" t="str">
        <f t="shared" si="131"/>
        <v>#REF!</v>
      </c>
      <c r="DV174" s="134" t="str">
        <f t="shared" si="62"/>
        <v>#REF!</v>
      </c>
      <c r="DW174" s="134" t="str">
        <f t="shared" si="63"/>
        <v>#REF!</v>
      </c>
      <c r="DX174" s="135" t="str">
        <f>IF(ISNA(VLOOKUP(A174,'Données projet (1)'!$A$165:$I$185,5,0)),0%,VLOOKUP(A174,'Données projet (1)'!$A$165:$I$185,5,0)*VLOOKUP('Données projet (1)'!$B$14,'Paramètres (1)'!$A$1:$I$88,7,0))</f>
        <v>#REF!</v>
      </c>
      <c r="DY174" s="135" t="str">
        <f>IF(ISNA(VLOOKUP(A174,'Données projet (1)'!$A$165:$I$185,6,0)),0%,VLOOKUP(A174,'Données projet (1)'!$A$165:$I$185,6,0)*VLOOKUP('Données projet (1)'!$B$14,'Paramètres (1)'!$A$1:$I$88,7,0))</f>
        <v>#REF!</v>
      </c>
      <c r="DZ174" s="135" t="str">
        <f t="shared" si="64"/>
        <v>#REF!</v>
      </c>
      <c r="EA174" s="142" t="str">
        <f>EXP(-LN(2)/35)*EA173+(1-EXP(-LN(2)/35))/(LN(2)/35)*DW174*DX174*VLOOKUP('Données projet (1)'!$B$14,'Paramètres (1)'!$A$1:$I$88,3,0)*0.475*44/12</f>
        <v>#REF!</v>
      </c>
      <c r="EB174" s="142" t="str">
        <f>EXP(-LN(2)/25)*EB173+(1-EXP(-LN(2)/25))/(LN(2)/25)*'Calculateur (1)'!DW174*'Calculateur (1)'!DY174*VLOOKUP('Données projet (1)'!$B$14,'Paramètres (1)'!$A$1:$I$88,3,0)*0.475*44/12</f>
        <v>#REF!</v>
      </c>
      <c r="EC174" s="142" t="str">
        <f>EXP(-LN(2)/2)*EC173+(1-EXP(-LN(2)/2))/(LN(2)/2)*DW174*DZ174*VLOOKUP('Données projet (1)'!$B$14,'Paramètres (1)'!$A$1:$I$88,3,0)*0.475*44/12</f>
        <v>#REF!</v>
      </c>
      <c r="ED174" s="143" t="str">
        <f t="shared" si="65"/>
        <v>#REF!</v>
      </c>
      <c r="EE174" s="139" t="str">
        <f t="shared" si="66"/>
        <v>#REF!</v>
      </c>
      <c r="EF174" s="131">
        <f t="shared" si="67"/>
        <v>10</v>
      </c>
      <c r="EG174" s="131" t="str">
        <f t="shared" si="132"/>
        <v>#REF!</v>
      </c>
      <c r="EH174" s="131" t="str">
        <f t="shared" si="68"/>
        <v>#REF!</v>
      </c>
      <c r="EI174" s="131" t="str">
        <f t="array" ref="EI174">INDEX(EH:EH,MIN(IF(ISNUMBER(EH174:EH370),ROW(EH174:EH370),"")))</f>
        <v/>
      </c>
      <c r="EJ174" s="131" t="str">
        <f t="shared" si="133"/>
        <v>#REF!</v>
      </c>
      <c r="EK174" s="138" t="str">
        <f>EJ174*VLOOKUP('Données projet (1)'!$B$15,'Paramètres (1)'!$A$1:$I$88,3,0)*VLOOKUP('Données projet (1)'!$B$15,'Paramètres (1)'!$A$1:$I$88,5,0)</f>
        <v>#REF!</v>
      </c>
      <c r="EL174" s="130" t="str">
        <f t="shared" si="134"/>
        <v>#REF!</v>
      </c>
      <c r="EM174" s="141" t="str">
        <f t="shared" si="69"/>
        <v>#REF!</v>
      </c>
      <c r="EN174" s="133" t="str">
        <f t="shared" si="70"/>
        <v>#REF!</v>
      </c>
      <c r="EO174" s="133" t="str">
        <f t="shared" si="71"/>
        <v>#REF!</v>
      </c>
      <c r="EP174" s="133" t="str">
        <f t="shared" si="135"/>
        <v>#REF!</v>
      </c>
      <c r="EQ174" s="134" t="str">
        <f t="shared" si="72"/>
        <v>#REF!</v>
      </c>
      <c r="ER174" s="134" t="str">
        <f t="shared" si="73"/>
        <v>#REF!</v>
      </c>
      <c r="ES174" s="135" t="str">
        <f>IF(ISNA(VLOOKUP(A174,'Données projet (1)'!$A$191:$I$211,5,0)),0%,VLOOKUP(A174,'Données projet (1)'!$A$191:$I$211,5,0)*VLOOKUP('Données projet (1)'!$B$15,'Paramètres (1)'!$A$1:$I$88,7,0))</f>
        <v>#REF!</v>
      </c>
      <c r="ET174" s="135" t="str">
        <f>IF(ISNA(VLOOKUP(A174,'Données projet (1)'!$A$191:$I$211,6,0)),0%,VLOOKUP(A174,'Données projet (1)'!$A$191:$I$211,6,0)*VLOOKUP('Données projet (1)'!$B$15,'Paramètres (1)'!$A$1:$I$88,7,0))</f>
        <v>#REF!</v>
      </c>
      <c r="EU174" s="135" t="str">
        <f t="shared" si="74"/>
        <v>#REF!</v>
      </c>
      <c r="EV174" s="142" t="str">
        <f>EXP(-LN(2)/35)*EV173+(1-EXP(-LN(2)/35))/(LN(2)/35)*ER174*ES174*VLOOKUP('Données projet (1)'!$B$15,'Paramètres (1)'!$A$1:$I$88,3,0)*0.475*44/12</f>
        <v>#REF!</v>
      </c>
      <c r="EW174" s="142" t="str">
        <f>EXP(-LN(2)/25)*EW173+(1-EXP(-LN(2)/25))/(LN(2)/25)*'Calculateur (1)'!ER174*'Calculateur (1)'!ET174*VLOOKUP('Données projet (1)'!$B$15,'Paramètres (1)'!$A$1:$I$88,3,0)*0.475*44/12</f>
        <v>#REF!</v>
      </c>
      <c r="EX174" s="142" t="str">
        <f>EXP(-LN(2)/2)*EX173+(1-EXP(-LN(2)/2))/(LN(2)/2)*ER174*EU174*VLOOKUP('Données projet (1)'!$B$15,'Paramètres (1)'!$A$1:$I$88,3,0)*0.475*44/12</f>
        <v>#REF!</v>
      </c>
      <c r="EY174" s="143" t="str">
        <f t="shared" si="75"/>
        <v>#REF!</v>
      </c>
      <c r="EZ174" s="139" t="str">
        <f t="shared" si="76"/>
        <v>#REF!</v>
      </c>
      <c r="FA174" s="131">
        <f t="shared" si="77"/>
        <v>10</v>
      </c>
      <c r="FB174" s="131" t="str">
        <f t="shared" si="136"/>
        <v>#REF!</v>
      </c>
      <c r="FC174" s="131" t="str">
        <f t="shared" si="78"/>
        <v>#REF!</v>
      </c>
      <c r="FD174" s="131" t="str">
        <f t="array" ref="FD174">INDEX(FC:FC,MIN(IF(ISNUMBER(FC174:FC370),ROW(FC174:FC370),"")))</f>
        <v/>
      </c>
      <c r="FE174" s="131" t="str">
        <f t="shared" si="137"/>
        <v>#REF!</v>
      </c>
      <c r="FF174" s="138" t="str">
        <f>FE174*VLOOKUP('Données projet (1)'!$B$16,'Paramètres (1)'!$A$1:$I$88,3,0)*VLOOKUP('Données projet (1)'!$B$16,'Paramètres (1)'!$A$1:$I$88,5,0)</f>
        <v>#REF!</v>
      </c>
      <c r="FG174" s="130" t="str">
        <f t="shared" si="138"/>
        <v>#REF!</v>
      </c>
      <c r="FH174" s="141" t="str">
        <f t="shared" si="79"/>
        <v>#REF!</v>
      </c>
      <c r="FI174" s="133" t="str">
        <f t="shared" si="80"/>
        <v>#REF!</v>
      </c>
      <c r="FJ174" s="133" t="str">
        <f t="shared" si="81"/>
        <v>#REF!</v>
      </c>
      <c r="FK174" s="133" t="str">
        <f t="shared" si="139"/>
        <v>#REF!</v>
      </c>
      <c r="FL174" s="134" t="str">
        <f t="shared" si="82"/>
        <v>#REF!</v>
      </c>
      <c r="FM174" s="134" t="str">
        <f t="shared" si="83"/>
        <v>#REF!</v>
      </c>
      <c r="FN174" s="135" t="str">
        <f>IF(ISNA(VLOOKUP(A174,'Données projet (1)'!$A$217:$I$237,5,0)),0%,VLOOKUP(A174,'Données projet (1)'!$A$217:$I$237,5,0)*VLOOKUP('Données projet (1)'!$B$16,'Paramètres (1)'!$A$1:$I$88,7,0))</f>
        <v>#REF!</v>
      </c>
      <c r="FO174" s="135" t="str">
        <f>IF(ISNA(VLOOKUP(A174,'Données projet (1)'!$A$217:$I$237,6,0)),0%,VLOOKUP(A174,'Données projet (1)'!$A$217:$I$237,6,0)*VLOOKUP('Données projet (1)'!$B$16,'Paramètres (1)'!$A$1:$I$88,7,0))</f>
        <v>#REF!</v>
      </c>
      <c r="FP174" s="135" t="str">
        <f t="shared" si="84"/>
        <v>#REF!</v>
      </c>
      <c r="FQ174" s="142" t="str">
        <f>EXP(-LN(2)/35)*FQ173+(1-EXP(-LN(2)/35))/(LN(2)/35)*FM174*FN174*VLOOKUP('Données projet (1)'!$B$16,'Paramètres (1)'!$A$1:$I$88,3,0)*0.475*44/12</f>
        <v>#REF!</v>
      </c>
      <c r="FR174" s="142" t="str">
        <f>EXP(-LN(2)/25)*FR173+(1-EXP(-LN(2)/25))/(LN(2)/25)*'Calculateur (1)'!FM174*'Calculateur (1)'!FO174*VLOOKUP('Données projet (1)'!$B$16,'Paramètres (1)'!$A$1:$I$88,3,0)*0.475*44/12</f>
        <v>#REF!</v>
      </c>
      <c r="FS174" s="142" t="str">
        <f>EXP(-LN(2)/2)*FS173+(1-EXP(-LN(2)/2))/(LN(2)/2)*FM174*FP174*VLOOKUP('Données projet (1)'!$B$16,'Paramètres (1)'!$A$1:$I$88,3,0)*0.475*44/12</f>
        <v>#REF!</v>
      </c>
      <c r="FT174" s="143" t="str">
        <f t="shared" si="85"/>
        <v>#REF!</v>
      </c>
      <c r="FU174" s="139" t="str">
        <f t="shared" si="86"/>
        <v>#REF!</v>
      </c>
      <c r="FV174" s="131">
        <f t="shared" si="87"/>
        <v>10</v>
      </c>
      <c r="FW174" s="131" t="str">
        <f t="shared" si="140"/>
        <v>#REF!</v>
      </c>
      <c r="FX174" s="131" t="str">
        <f t="shared" si="88"/>
        <v>#REF!</v>
      </c>
      <c r="FY174" s="131" t="str">
        <f t="array" ref="FY174">INDEX(FX:FX,MIN(IF(ISNUMBER(FX174:FX370),ROW(FX174:FX370),"")))</f>
        <v/>
      </c>
      <c r="FZ174" s="131" t="str">
        <f t="shared" si="141"/>
        <v>#REF!</v>
      </c>
      <c r="GA174" s="138" t="str">
        <f>FZ174*VLOOKUP('Données projet (1)'!$B$17,'Paramètres (1)'!$A$1:$I$88,3,0)*VLOOKUP('Données projet (1)'!$B$17,'Paramètres (1)'!$A$1:$I$88,5,0)</f>
        <v>#REF!</v>
      </c>
      <c r="GB174" s="130" t="str">
        <f t="shared" si="142"/>
        <v>#REF!</v>
      </c>
      <c r="GC174" s="141" t="str">
        <f t="shared" si="89"/>
        <v>#REF!</v>
      </c>
      <c r="GD174" s="133" t="str">
        <f t="shared" si="90"/>
        <v>#REF!</v>
      </c>
      <c r="GE174" s="133" t="str">
        <f t="shared" si="91"/>
        <v>#REF!</v>
      </c>
      <c r="GF174" s="133" t="str">
        <f t="shared" si="143"/>
        <v>#REF!</v>
      </c>
      <c r="GG174" s="134" t="str">
        <f t="shared" si="92"/>
        <v>#REF!</v>
      </c>
      <c r="GH174" s="134" t="str">
        <f t="shared" si="93"/>
        <v>#REF!</v>
      </c>
      <c r="GI174" s="135" t="str">
        <f>IF(ISNA(VLOOKUP(A174,'Données projet (1)'!$A$243:$I$263,5,0)),0%,VLOOKUP(A174,'Données projet (1)'!$A$243:$I$263,5,0)*VLOOKUP('Données projet (1)'!$B$17,'Paramètres (1)'!$A$1:$I$88,7,0))</f>
        <v>#REF!</v>
      </c>
      <c r="GJ174" s="135" t="str">
        <f>IF(ISNA(VLOOKUP(A174,'Données projet (1)'!$A$243:$I$263,6,0)),0%,VLOOKUP(A174,'Données projet (1)'!$A$243:$I$263,6,0)*VLOOKUP('Données projet (1)'!$B$17,'Paramètres (1)'!$A$1:$I$88,7,0))</f>
        <v>#REF!</v>
      </c>
      <c r="GK174" s="135" t="str">
        <f t="shared" si="94"/>
        <v>#REF!</v>
      </c>
      <c r="GL174" s="142" t="str">
        <f>EXP(-LN(2)/35)*GL173+(1-EXP(-LN(2)/35))/(LN(2)/35)*GH174*GI174*VLOOKUP('Données projet (1)'!$B$17,'Paramètres (1)'!$A$1:$I$88,3,0)*0.475*44/12</f>
        <v>#REF!</v>
      </c>
      <c r="GM174" s="142" t="str">
        <f>EXP(-LN(2)/25)*GM173+(1-EXP(-LN(2)/25))/(LN(2)/25)*'Calculateur (1)'!GH174*'Calculateur (1)'!GJ174*VLOOKUP('Données projet (1)'!$B$17,'Paramètres (1)'!$A$1:$I$88,3,0)*0.475*44/12</f>
        <v>#REF!</v>
      </c>
      <c r="GN174" s="142" t="str">
        <f>EXP(-LN(2)/2)*GN173+(1-EXP(-LN(2)/2))/(LN(2)/2)*GH174*GK174*VLOOKUP('Données projet (1)'!$B$17,'Paramètres (1)'!$A$1:$I$88,3,0)*0.475*44/12</f>
        <v>#REF!</v>
      </c>
      <c r="GO174" s="142" t="str">
        <f t="shared" si="95"/>
        <v>#REF!</v>
      </c>
      <c r="GP174" s="139" t="str">
        <f t="shared" si="96"/>
        <v>#REF!</v>
      </c>
      <c r="GQ174" s="131">
        <f t="shared" si="97"/>
        <v>10</v>
      </c>
      <c r="GR174" s="131" t="str">
        <f t="shared" si="144"/>
        <v>#REF!</v>
      </c>
      <c r="GS174" s="131" t="str">
        <f t="shared" si="98"/>
        <v>#REF!</v>
      </c>
      <c r="GT174" s="131" t="str">
        <f t="array" ref="GT174">INDEX(GS:GS,MIN(IF(ISNUMBER(GS174:GS370),ROW(GS174:GS370),"")))</f>
        <v/>
      </c>
      <c r="GU174" s="131" t="str">
        <f t="shared" si="145"/>
        <v>#REF!</v>
      </c>
      <c r="GV174" s="138" t="str">
        <f>GU174*VLOOKUP('Données projet (1)'!$B$18,'Paramètres (1)'!$A$1:$I$88,3,0)*VLOOKUP('Données projet (1)'!$B$18,'Paramètres (1)'!$A$1:$I$88,5,0)</f>
        <v>#REF!</v>
      </c>
      <c r="GW174" s="130" t="str">
        <f t="shared" si="146"/>
        <v>#REF!</v>
      </c>
      <c r="GX174" s="141" t="str">
        <f t="shared" si="99"/>
        <v>#REF!</v>
      </c>
      <c r="GY174" s="133" t="str">
        <f t="shared" si="100"/>
        <v>#REF!</v>
      </c>
      <c r="GZ174" s="133" t="str">
        <f t="shared" si="101"/>
        <v>#REF!</v>
      </c>
      <c r="HA174" s="133" t="str">
        <f t="shared" si="147"/>
        <v>#REF!</v>
      </c>
      <c r="HB174" s="134" t="str">
        <f t="shared" si="102"/>
        <v>#REF!</v>
      </c>
      <c r="HC174" s="134" t="str">
        <f t="shared" si="103"/>
        <v>#REF!</v>
      </c>
      <c r="HD174" s="135" t="str">
        <f>IF(ISNA(VLOOKUP(A174,'Données projet (1)'!$A$269:$I$289,5,0)),0%,VLOOKUP(A174,'Données projet (1)'!$A$269:$I$289,5,0)*VLOOKUP('Données projet (1)'!$B$18,'Paramètres (1)'!$A$1:$I$88,7,0))</f>
        <v>#REF!</v>
      </c>
      <c r="HE174" s="135" t="str">
        <f>IF(ISNA(VLOOKUP(A174,'Données projet (1)'!$A$269:$I$289,6,0)),0%,VLOOKUP(A174,'Données projet (1)'!$A$269:$I$289,6,0)*VLOOKUP('Données projet (1)'!$B$18,'Paramètres (1)'!$A$1:$I$88,7,0))</f>
        <v>#REF!</v>
      </c>
      <c r="HF174" s="135" t="str">
        <f t="shared" si="104"/>
        <v>#REF!</v>
      </c>
      <c r="HG174" s="142" t="str">
        <f>EXP(-LN(2)/35)*HG173+(1-EXP(-LN(2)/35))/(LN(2)/35)*HC174*HD174*VLOOKUP('Données projet (1)'!$B$18,'Paramètres (1)'!$A$1:$I$88,3,0)*0.475*44/12</f>
        <v>#REF!</v>
      </c>
      <c r="HH174" s="142" t="str">
        <f>EXP(-LN(2)/25)*HH173+(1-EXP(-LN(2)/25))/(LN(2)/25)*'Calculateur (1)'!HC174*'Calculateur (1)'!HE174*VLOOKUP('Données projet (1)'!$B$18,'Paramètres (1)'!$A$1:$I$88,3,0)*0.475*44/12</f>
        <v>#REF!</v>
      </c>
      <c r="HI174" s="142" t="str">
        <f>EXP(-LN(2)/2)*HI173+(1-EXP(-LN(2)/2))/(LN(2)/2)*HC174*HF174*VLOOKUP('Données projet (1)'!$B$18,'Paramètres (1)'!$A$1:$I$88,3,0)*0.475*44/12</f>
        <v>#REF!</v>
      </c>
      <c r="HJ174" s="143" t="str">
        <f t="shared" si="105"/>
        <v>#REF!</v>
      </c>
    </row>
    <row r="175" ht="14.25" customHeight="1">
      <c r="A175" s="125">
        <f t="shared" si="106"/>
        <v>172</v>
      </c>
      <c r="B175" s="126" t="str">
        <f t="shared" si="1"/>
        <v>#REF!</v>
      </c>
      <c r="C175" s="140" t="str">
        <f>'Calculateur (1)'!C174+'Scénario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5" s="127">
        <f t="shared" si="107"/>
        <v>0</v>
      </c>
      <c r="E175" s="127" t="str">
        <f t="shared" si="2"/>
        <v>#REF!</v>
      </c>
      <c r="F175" s="127" t="str">
        <f t="shared" si="3"/>
        <v>#REF!</v>
      </c>
      <c r="G175" s="127" t="str">
        <f t="shared" si="4"/>
        <v>#REF!</v>
      </c>
      <c r="H175" s="128" t="str">
        <f t="shared" si="5"/>
        <v>#REF!</v>
      </c>
      <c r="I175" s="129" t="str">
        <f t="shared" si="6"/>
        <v>#REF!</v>
      </c>
      <c r="J175" s="130">
        <f t="shared" si="7"/>
        <v>10</v>
      </c>
      <c r="K175" s="131" t="str">
        <f t="shared" si="108"/>
        <v>#REF!</v>
      </c>
      <c r="L175" s="131" t="str">
        <f t="shared" si="8"/>
        <v>#REF!</v>
      </c>
      <c r="M175" s="131" t="str">
        <f t="array" ref="M175">INDEX(L:L,MIN(IF(ISNUMBER(L175:L371),ROW(L175:L371),"")))</f>
        <v/>
      </c>
      <c r="N175" s="130" t="str">
        <f t="shared" si="109"/>
        <v>#REF!</v>
      </c>
      <c r="O175" s="130" t="str">
        <f>N175*VLOOKUP('Données projet (1)'!$B$9,'Paramètres (1)'!$A$1:$I$88,3,0)*VLOOKUP('Données projet (1)'!$B$9,'Paramètres (1)'!$A$1:$I$88,5,0)</f>
        <v>#REF!</v>
      </c>
      <c r="P175" s="130" t="str">
        <f t="shared" si="110"/>
        <v>#REF!</v>
      </c>
      <c r="Q175" s="141" t="str">
        <f t="shared" si="9"/>
        <v>#REF!</v>
      </c>
      <c r="R175" s="133" t="str">
        <f t="shared" si="10"/>
        <v>#REF!</v>
      </c>
      <c r="S175" s="133" t="str">
        <f t="shared" si="11"/>
        <v>#REF!</v>
      </c>
      <c r="T175" s="133" t="str">
        <f t="shared" si="111"/>
        <v>#REF!</v>
      </c>
      <c r="U175" s="134" t="str">
        <f t="shared" si="12"/>
        <v>#REF!</v>
      </c>
      <c r="V175" s="134" t="str">
        <f t="shared" si="13"/>
        <v>#REF!</v>
      </c>
      <c r="W175" s="135" t="str">
        <f>IF(ISNA(VLOOKUP(A175,'Données projet (1)'!$A$35:$I$55,5,0)),0%,VLOOKUP(A175,'Données projet (1)'!$A$35:$I$55,5,0)*VLOOKUP('Données projet (1)'!$B$9,'Paramètres (1)'!$A$1:$I$88,7,0))</f>
        <v>#REF!</v>
      </c>
      <c r="X175" s="135" t="str">
        <f>IF(ISNA(VLOOKUP(A175,'Données projet (1)'!$A$35:$I$55,6,0)),0%,VLOOKUP(A175,'Données projet (1)'!$A$35:$I$55,6,0)*VLOOKUP('Données projet (1)'!$B$9,'Paramètres (1)'!$A$1:$I$88,7,0))</f>
        <v>#REF!</v>
      </c>
      <c r="Y175" s="135" t="str">
        <f t="shared" si="14"/>
        <v>#REF!</v>
      </c>
      <c r="Z175" s="142" t="str">
        <f>EXP(-LN(2)/35)*Z174+(1-EXP(-LN(2)/35))/(LN(2)/35)*V175*W175*VLOOKUP('Données projet (1)'!$B$9,'Paramètres (1)'!$A$1:$I$88,3,0)*0.475*44/12</f>
        <v>#REF!</v>
      </c>
      <c r="AA175" s="142" t="str">
        <f>EXP(-LN(2)/25)*AA174+(1-EXP(-LN(2)/25))/(LN(2)/25)*'Calculateur (1)'!V175*'Calculateur (1)'!X175*VLOOKUP('Données projet (1)'!$B$9,'Paramètres (1)'!$A$1:$I$88,3,0)*0.475*44/12</f>
        <v>#REF!</v>
      </c>
      <c r="AB175" s="142" t="str">
        <f>EXP(-LN(2)/2)*AB174+(1-EXP(-LN(2)/2))/(LN(2)/2)*V175*Y175*VLOOKUP('Données projet (1)'!$B$9,'Paramètres (1)'!$A$1:$I$88,3,0)*0.475*44/12</f>
        <v>#REF!</v>
      </c>
      <c r="AC175" s="143" t="str">
        <f t="shared" si="15"/>
        <v>#REF!</v>
      </c>
      <c r="AD175" s="130" t="str">
        <f t="shared" si="16"/>
        <v>#REF!</v>
      </c>
      <c r="AE175" s="130">
        <f t="shared" si="17"/>
        <v>10</v>
      </c>
      <c r="AF175" s="131" t="str">
        <f t="shared" si="112"/>
        <v>#REF!</v>
      </c>
      <c r="AG175" s="131" t="str">
        <f t="shared" si="18"/>
        <v>#REF!</v>
      </c>
      <c r="AH175" s="131" t="str">
        <f t="array" ref="AH175">INDEX(AG:AG,MIN(IF(ISNUMBER(AG175:AG371),ROW(AG175:AG371),"")))</f>
        <v/>
      </c>
      <c r="AI175" s="130" t="str">
        <f t="shared" si="113"/>
        <v>#REF!</v>
      </c>
      <c r="AJ175" s="130" t="str">
        <f>AI175*VLOOKUP('Données projet (1)'!$B$10,'Paramètres (1)'!$A$1:$I$88,3,0)*VLOOKUP('Données projet (1)'!$B$10,'Paramètres (1)'!$A$1:$I$88,5,0)</f>
        <v>#REF!</v>
      </c>
      <c r="AK175" s="130" t="str">
        <f t="shared" si="114"/>
        <v>#REF!</v>
      </c>
      <c r="AL175" s="141" t="str">
        <f t="shared" si="19"/>
        <v>#REF!</v>
      </c>
      <c r="AM175" s="133" t="str">
        <f t="shared" si="20"/>
        <v>#REF!</v>
      </c>
      <c r="AN175" s="133" t="str">
        <f t="shared" si="21"/>
        <v>#REF!</v>
      </c>
      <c r="AO175" s="133" t="str">
        <f t="shared" si="115"/>
        <v>#REF!</v>
      </c>
      <c r="AP175" s="134" t="str">
        <f t="shared" si="22"/>
        <v>#REF!</v>
      </c>
      <c r="AQ175" s="134" t="str">
        <f t="shared" si="23"/>
        <v>#REF!</v>
      </c>
      <c r="AR175" s="135" t="str">
        <f>IF(ISNA(VLOOKUP(A175,'Données projet (1)'!$A$61:$I$81,5,0)),0%,VLOOKUP(A175,'Données projet (1)'!$A$61:$I$81,5,0)*VLOOKUP('Données projet (1)'!$B$10,'Paramètres (1)'!$A$1:$I$88,7,0))</f>
        <v>#REF!</v>
      </c>
      <c r="AS175" s="135" t="str">
        <f>IF(ISNA(VLOOKUP(A175,'Données projet (1)'!$A$61:$I$81,6,0)),0%,VLOOKUP(A175,'Données projet (1)'!$A$61:$I$81,6,0)*VLOOKUP('Données projet (1)'!$B$10,'Paramètres (1)'!$A$1:$I$88,7,0))</f>
        <v>#REF!</v>
      </c>
      <c r="AT175" s="135" t="str">
        <f t="shared" si="24"/>
        <v>#REF!</v>
      </c>
      <c r="AU175" s="142" t="str">
        <f>EXP(-LN(2)/35)*AU174+(1-EXP(-LN(2)/35))/(LN(2)/35)*AQ175*AR175*VLOOKUP('Données projet (1)'!$B$10,'Paramètres (1)'!$A$1:$I$88,3,0)*0.475*44/12</f>
        <v>#REF!</v>
      </c>
      <c r="AV175" s="142" t="str">
        <f>EXP(-LN(2)/25)*AV174+(1-EXP(-LN(2)/25))/(LN(2)/25)*'Calculateur (1)'!AQ175*'Calculateur (1)'!AS175*VLOOKUP('Données projet (1)'!$B$10,'Paramètres (1)'!$A$1:$I$88,3,0)*0.475*44/12</f>
        <v>#REF!</v>
      </c>
      <c r="AW175" s="142" t="str">
        <f>EXP(-LN(2)/2)*AW174+(1-EXP(-LN(2)/2))/(LN(2)/2)*AQ175*AT175*VLOOKUP('Données projet (1)'!$B$10,'Paramètres (1)'!$A$1:$I$88,3,0)*0.475*44/12</f>
        <v>#REF!</v>
      </c>
      <c r="AX175" s="142" t="str">
        <f t="shared" si="25"/>
        <v>#REF!</v>
      </c>
      <c r="AY175" s="137" t="str">
        <f t="shared" si="26"/>
        <v>#REF!</v>
      </c>
      <c r="AZ175" s="131">
        <f t="shared" si="27"/>
        <v>10</v>
      </c>
      <c r="BA175" s="131" t="str">
        <f t="shared" si="116"/>
        <v>#REF!</v>
      </c>
      <c r="BB175" s="131" t="str">
        <f t="shared" si="28"/>
        <v>#REF!</v>
      </c>
      <c r="BC175" s="131" t="str">
        <f t="array" ref="BC175">INDEX(BB:BB,MIN(IF(ISNUMBER(BB175:BB371),ROW(BB175:BB371),"")))</f>
        <v/>
      </c>
      <c r="BD175" s="131" t="str">
        <f t="shared" si="117"/>
        <v>#REF!</v>
      </c>
      <c r="BE175" s="130" t="str">
        <f>BD175*VLOOKUP('Données projet (1)'!$B$11,'Paramètres (1)'!$A$1:$I$88,3,0)*VLOOKUP('Données projet (1)'!$B$11,'Paramètres (1)'!$A$1:$I$88,5,0)</f>
        <v>#REF!</v>
      </c>
      <c r="BF175" s="130" t="str">
        <f t="shared" si="118"/>
        <v>#REF!</v>
      </c>
      <c r="BG175" s="141" t="str">
        <f t="shared" si="29"/>
        <v>#REF!</v>
      </c>
      <c r="BH175" s="133" t="str">
        <f t="shared" si="30"/>
        <v>#REF!</v>
      </c>
      <c r="BI175" s="133" t="str">
        <f t="shared" si="31"/>
        <v>#REF!</v>
      </c>
      <c r="BJ175" s="133" t="str">
        <f t="shared" si="119"/>
        <v>#REF!</v>
      </c>
      <c r="BK175" s="134" t="str">
        <f t="shared" si="32"/>
        <v>#REF!</v>
      </c>
      <c r="BL175" s="134" t="str">
        <f t="shared" si="33"/>
        <v>#REF!</v>
      </c>
      <c r="BM175" s="135" t="str">
        <f>IF(ISNA(VLOOKUP(A175,'Données projet (1)'!$A$87:$I$107,5,0)),0%,VLOOKUP(A175,'Données projet (1)'!$A$87:$I$107,5,0)*VLOOKUP('Données projet (1)'!$B$11,'Paramètres (1)'!$A$1:$I$88,7,0))</f>
        <v>#REF!</v>
      </c>
      <c r="BN175" s="135" t="str">
        <f>IF(ISNA(VLOOKUP(A175,'Données projet (1)'!$A$87:$I$107,6,0)),0%,VLOOKUP(A175,'Données projet (1)'!$A$87:$I$107,6,0)*VLOOKUP('Données projet (1)'!$B$11,'Paramètres (1)'!$A$1:$I$88,7,0))</f>
        <v>#REF!</v>
      </c>
      <c r="BO175" s="135" t="str">
        <f t="shared" si="34"/>
        <v>#REF!</v>
      </c>
      <c r="BP175" s="142" t="str">
        <f>EXP(-LN(2)/35)*BP174+(1-EXP(-LN(2)/35))/(LN(2)/35)*BL175*BM175*VLOOKUP('Données projet (1)'!$B$11,'Paramètres (1)'!$A$1:$I$88,3,0)*0.475*44/12</f>
        <v>#REF!</v>
      </c>
      <c r="BQ175" s="142" t="str">
        <f>EXP(-LN(2)/25)*BQ174+(1-EXP(-LN(2)/25))/(LN(2)/25)*'Calculateur (1)'!BL175*'Calculateur (1)'!BN175*VLOOKUP('Données projet (1)'!$B$11,'Paramètres (1)'!$A$1:$I$88,3,0)*0.475*44/12</f>
        <v>#REF!</v>
      </c>
      <c r="BR175" s="142" t="str">
        <f>EXP(-LN(2)/2)*BR174+(1-EXP(-LN(2)/2))/(LN(2)/2)*BL175*BO175*VLOOKUP('Données projet (1)'!$B$11,'Paramètres (1)'!$A$1:$I$88,3,0)*0.475*44/12</f>
        <v>#REF!</v>
      </c>
      <c r="BS175" s="143" t="str">
        <f t="shared" si="35"/>
        <v>#REF!</v>
      </c>
      <c r="BT175" s="139" t="str">
        <f t="shared" si="36"/>
        <v>#REF!</v>
      </c>
      <c r="BU175" s="131">
        <f t="shared" si="37"/>
        <v>10</v>
      </c>
      <c r="BV175" s="131" t="str">
        <f t="shared" si="120"/>
        <v>#REF!</v>
      </c>
      <c r="BW175" s="131" t="str">
        <f t="shared" si="38"/>
        <v>#REF!</v>
      </c>
      <c r="BX175" s="131" t="str">
        <f t="array" ref="BX175">INDEX(BW:BW,MIN(IF(ISNUMBER(BW175:BW371),ROW(BW175:BW371),"")))</f>
        <v/>
      </c>
      <c r="BY175" s="131" t="str">
        <f t="shared" si="121"/>
        <v>#REF!</v>
      </c>
      <c r="BZ175" s="130" t="str">
        <f>BY175*VLOOKUP('Données projet (1)'!$B$12,'Paramètres (1)'!$A$1:$I$88,3,0)*VLOOKUP('Données projet (1)'!$B$12,'Paramètres (1)'!$A$1:$I$88,5,0)</f>
        <v>#REF!</v>
      </c>
      <c r="CA175" s="130" t="str">
        <f t="shared" si="122"/>
        <v>#REF!</v>
      </c>
      <c r="CB175" s="141" t="str">
        <f t="shared" si="39"/>
        <v>#REF!</v>
      </c>
      <c r="CC175" s="133" t="str">
        <f t="shared" si="40"/>
        <v>#REF!</v>
      </c>
      <c r="CD175" s="133" t="str">
        <f t="shared" si="41"/>
        <v>#REF!</v>
      </c>
      <c r="CE175" s="133" t="str">
        <f t="shared" si="123"/>
        <v>#REF!</v>
      </c>
      <c r="CF175" s="134" t="str">
        <f t="shared" si="42"/>
        <v>#REF!</v>
      </c>
      <c r="CG175" s="134" t="str">
        <f t="shared" si="43"/>
        <v>#REF!</v>
      </c>
      <c r="CH175" s="135" t="str">
        <f>IF(ISNA(VLOOKUP(A175,'Données projet (1)'!$A$113:$I$133,5,0)),0%,VLOOKUP(A175,'Données projet (1)'!$A$113:$I$133,5,0)*VLOOKUP('Données projet (1)'!$B$12,'Paramètres (1)'!$A$1:$I$88,7,0))</f>
        <v>#REF!</v>
      </c>
      <c r="CI175" s="135" t="str">
        <f>IF(ISNA(VLOOKUP(A175,'Données projet (1)'!$A$113:$I$133,6,0)),0%,VLOOKUP(A175,'Données projet (1)'!$A$113:$I$133,6,0)*VLOOKUP('Données projet (1)'!$B$12,'Paramètres (1)'!$A$1:$I$88,7,0))</f>
        <v>#REF!</v>
      </c>
      <c r="CJ175" s="135" t="str">
        <f t="shared" si="44"/>
        <v>#REF!</v>
      </c>
      <c r="CK175" s="142" t="str">
        <f>EXP(-LN(2)/35)*CK174+(1-EXP(-LN(2)/35))/(LN(2)/35)*CG175*CH175*VLOOKUP('Données projet (1)'!$B$12,'Paramètres (1)'!$A$1:$I$88,3,0)*0.475*44/12</f>
        <v>#REF!</v>
      </c>
      <c r="CL175" s="142" t="str">
        <f>EXP(-LN(2)/25)*CL174+(1-EXP(-LN(2)/25))/(LN(2)/25)*'Calculateur (1)'!CG175*'Calculateur (1)'!CI175*VLOOKUP('Données projet (1)'!$B$12,'Paramètres (1)'!$A$1:$I$88,3,0)*0.475*44/12</f>
        <v>#REF!</v>
      </c>
      <c r="CM175" s="142" t="str">
        <f>EXP(-LN(2)/2)*CM174+(1-EXP(-LN(2)/2))/(LN(2)/2)*CG175*CJ175*VLOOKUP('Données projet (1)'!$B$12,'Paramètres (1)'!$A$1:$I$88,3,0)*0.475*44/12</f>
        <v>#REF!</v>
      </c>
      <c r="CN175" s="143" t="str">
        <f t="shared" si="45"/>
        <v>#REF!</v>
      </c>
      <c r="CO175" s="139" t="str">
        <f t="shared" si="46"/>
        <v>#REF!</v>
      </c>
      <c r="CP175" s="131">
        <f t="shared" si="47"/>
        <v>10</v>
      </c>
      <c r="CQ175" s="131" t="str">
        <f t="shared" si="124"/>
        <v>#REF!</v>
      </c>
      <c r="CR175" s="131" t="str">
        <f t="shared" si="48"/>
        <v>#REF!</v>
      </c>
      <c r="CS175" s="131" t="str">
        <f t="array" ref="CS175">INDEX(CR:CR,MIN(IF(ISNUMBER(CR175:CR371),ROW(CR175:CR371),"")))</f>
        <v/>
      </c>
      <c r="CT175" s="131" t="str">
        <f t="shared" si="125"/>
        <v>#REF!</v>
      </c>
      <c r="CU175" s="138" t="str">
        <f>CT175*VLOOKUP('Données projet (1)'!$B$13,'Paramètres (1)'!$A$1:$I$88,3,0)*VLOOKUP('Données projet (1)'!$B$13,'Paramètres (1)'!$A$1:$I$88,5,0)</f>
        <v>#REF!</v>
      </c>
      <c r="CV175" s="130" t="str">
        <f t="shared" si="126"/>
        <v>#REF!</v>
      </c>
      <c r="CW175" s="141" t="str">
        <f t="shared" si="49"/>
        <v>#REF!</v>
      </c>
      <c r="CX175" s="133" t="str">
        <f t="shared" si="50"/>
        <v>#REF!</v>
      </c>
      <c r="CY175" s="133" t="str">
        <f t="shared" si="51"/>
        <v>#REF!</v>
      </c>
      <c r="CZ175" s="133" t="str">
        <f t="shared" si="127"/>
        <v>#REF!</v>
      </c>
      <c r="DA175" s="134" t="str">
        <f t="shared" si="52"/>
        <v>#REF!</v>
      </c>
      <c r="DB175" s="134" t="str">
        <f t="shared" si="53"/>
        <v>#REF!</v>
      </c>
      <c r="DC175" s="135" t="str">
        <f>IF(ISNA(VLOOKUP(A175,'Données projet (1)'!$A$139:$I$159,5,0)),0%,VLOOKUP(A175,'Données projet (1)'!$A$139:$I$159,5,0)*VLOOKUP('Données projet (1)'!$B$13,'Paramètres (1)'!$A$1:$I$88,7,0))</f>
        <v>#REF!</v>
      </c>
      <c r="DD175" s="135" t="str">
        <f>IF(ISNA(VLOOKUP(A175,'Données projet (1)'!$A$139:$I$159,6,0)),0%,VLOOKUP(A175,'Données projet (1)'!$A$139:$I$159,6,0)*VLOOKUP('Données projet (1)'!$B$13,'Paramètres (1)'!$A$1:$I$88,7,0))</f>
        <v>#REF!</v>
      </c>
      <c r="DE175" s="135" t="str">
        <f t="shared" si="54"/>
        <v>#REF!</v>
      </c>
      <c r="DF175" s="142" t="str">
        <f>EXP(-LN(2)/35)*DF174+(1-EXP(-LN(2)/35))/(LN(2)/35)*DB175*DC175*VLOOKUP('Données projet (1)'!$B$13,'Paramètres (1)'!$A$1:$I$88,3,0)*0.475*44/12</f>
        <v>#REF!</v>
      </c>
      <c r="DG175" s="142" t="str">
        <f>EXP(-LN(2)/25)*DG174+(1-EXP(-LN(2)/25))/(LN(2)/25)*'Calculateur (1)'!DB175*'Calculateur (1)'!DD175*VLOOKUP('Données projet (1)'!$B$13,'Paramètres (1)'!$A$1:$I$88,3,0)*0.475*44/12</f>
        <v>#REF!</v>
      </c>
      <c r="DH175" s="142" t="str">
        <f>EXP(-LN(2)/2)*DH174+(1-EXP(-LN(2)/2))/(LN(2)/2)*DB175*DE175*VLOOKUP('Données projet (1)'!$B$13,'Paramètres (1)'!$A$1:$I$88,3,0)*0.475*44/12</f>
        <v>#REF!</v>
      </c>
      <c r="DI175" s="143" t="str">
        <f t="shared" si="55"/>
        <v>#REF!</v>
      </c>
      <c r="DJ175" s="139" t="str">
        <f t="shared" si="56"/>
        <v>#REF!</v>
      </c>
      <c r="DK175" s="131">
        <f t="shared" si="57"/>
        <v>10</v>
      </c>
      <c r="DL175" s="131" t="str">
        <f t="shared" si="128"/>
        <v>#REF!</v>
      </c>
      <c r="DM175" s="131" t="str">
        <f t="shared" si="58"/>
        <v>#REF!</v>
      </c>
      <c r="DN175" s="131" t="str">
        <f t="array" ref="DN175">INDEX(DM:DM,MIN(IF(ISNUMBER(DM175:DM371),ROW(DM175:DM371),"")))</f>
        <v/>
      </c>
      <c r="DO175" s="131" t="str">
        <f t="shared" si="129"/>
        <v>#REF!</v>
      </c>
      <c r="DP175" s="138" t="str">
        <f>DO175*VLOOKUP('Données projet (1)'!$B$14,'Paramètres (1)'!$A$1:$I$88,3,0)*VLOOKUP('Données projet (1)'!$B$14,'Paramètres (1)'!$A$1:$I$88,5,0)</f>
        <v>#REF!</v>
      </c>
      <c r="DQ175" s="130" t="str">
        <f t="shared" si="130"/>
        <v>#REF!</v>
      </c>
      <c r="DR175" s="141" t="str">
        <f t="shared" si="59"/>
        <v>#REF!</v>
      </c>
      <c r="DS175" s="133" t="str">
        <f t="shared" si="60"/>
        <v>#REF!</v>
      </c>
      <c r="DT175" s="133" t="str">
        <f t="shared" si="61"/>
        <v>#REF!</v>
      </c>
      <c r="DU175" s="133" t="str">
        <f t="shared" si="131"/>
        <v>#REF!</v>
      </c>
      <c r="DV175" s="134" t="str">
        <f t="shared" si="62"/>
        <v>#REF!</v>
      </c>
      <c r="DW175" s="134" t="str">
        <f t="shared" si="63"/>
        <v>#REF!</v>
      </c>
      <c r="DX175" s="135" t="str">
        <f>IF(ISNA(VLOOKUP(A175,'Données projet (1)'!$A$165:$I$185,5,0)),0%,VLOOKUP(A175,'Données projet (1)'!$A$165:$I$185,5,0)*VLOOKUP('Données projet (1)'!$B$14,'Paramètres (1)'!$A$1:$I$88,7,0))</f>
        <v>#REF!</v>
      </c>
      <c r="DY175" s="135" t="str">
        <f>IF(ISNA(VLOOKUP(A175,'Données projet (1)'!$A$165:$I$185,6,0)),0%,VLOOKUP(A175,'Données projet (1)'!$A$165:$I$185,6,0)*VLOOKUP('Données projet (1)'!$B$14,'Paramètres (1)'!$A$1:$I$88,7,0))</f>
        <v>#REF!</v>
      </c>
      <c r="DZ175" s="135" t="str">
        <f t="shared" si="64"/>
        <v>#REF!</v>
      </c>
      <c r="EA175" s="142" t="str">
        <f>EXP(-LN(2)/35)*EA174+(1-EXP(-LN(2)/35))/(LN(2)/35)*DW175*DX175*VLOOKUP('Données projet (1)'!$B$14,'Paramètres (1)'!$A$1:$I$88,3,0)*0.475*44/12</f>
        <v>#REF!</v>
      </c>
      <c r="EB175" s="142" t="str">
        <f>EXP(-LN(2)/25)*EB174+(1-EXP(-LN(2)/25))/(LN(2)/25)*'Calculateur (1)'!DW175*'Calculateur (1)'!DY175*VLOOKUP('Données projet (1)'!$B$14,'Paramètres (1)'!$A$1:$I$88,3,0)*0.475*44/12</f>
        <v>#REF!</v>
      </c>
      <c r="EC175" s="142" t="str">
        <f>EXP(-LN(2)/2)*EC174+(1-EXP(-LN(2)/2))/(LN(2)/2)*DW175*DZ175*VLOOKUP('Données projet (1)'!$B$14,'Paramètres (1)'!$A$1:$I$88,3,0)*0.475*44/12</f>
        <v>#REF!</v>
      </c>
      <c r="ED175" s="143" t="str">
        <f t="shared" si="65"/>
        <v>#REF!</v>
      </c>
      <c r="EE175" s="139" t="str">
        <f t="shared" si="66"/>
        <v>#REF!</v>
      </c>
      <c r="EF175" s="131">
        <f t="shared" si="67"/>
        <v>10</v>
      </c>
      <c r="EG175" s="131" t="str">
        <f t="shared" si="132"/>
        <v>#REF!</v>
      </c>
      <c r="EH175" s="131" t="str">
        <f t="shared" si="68"/>
        <v>#REF!</v>
      </c>
      <c r="EI175" s="131" t="str">
        <f t="array" ref="EI175">INDEX(EH:EH,MIN(IF(ISNUMBER(EH175:EH371),ROW(EH175:EH371),"")))</f>
        <v/>
      </c>
      <c r="EJ175" s="131" t="str">
        <f t="shared" si="133"/>
        <v>#REF!</v>
      </c>
      <c r="EK175" s="138" t="str">
        <f>EJ175*VLOOKUP('Données projet (1)'!$B$15,'Paramètres (1)'!$A$1:$I$88,3,0)*VLOOKUP('Données projet (1)'!$B$15,'Paramètres (1)'!$A$1:$I$88,5,0)</f>
        <v>#REF!</v>
      </c>
      <c r="EL175" s="130" t="str">
        <f t="shared" si="134"/>
        <v>#REF!</v>
      </c>
      <c r="EM175" s="141" t="str">
        <f t="shared" si="69"/>
        <v>#REF!</v>
      </c>
      <c r="EN175" s="133" t="str">
        <f t="shared" si="70"/>
        <v>#REF!</v>
      </c>
      <c r="EO175" s="133" t="str">
        <f t="shared" si="71"/>
        <v>#REF!</v>
      </c>
      <c r="EP175" s="133" t="str">
        <f t="shared" si="135"/>
        <v>#REF!</v>
      </c>
      <c r="EQ175" s="134" t="str">
        <f t="shared" si="72"/>
        <v>#REF!</v>
      </c>
      <c r="ER175" s="134" t="str">
        <f t="shared" si="73"/>
        <v>#REF!</v>
      </c>
      <c r="ES175" s="135" t="str">
        <f>IF(ISNA(VLOOKUP(A175,'Données projet (1)'!$A$191:$I$211,5,0)),0%,VLOOKUP(A175,'Données projet (1)'!$A$191:$I$211,5,0)*VLOOKUP('Données projet (1)'!$B$15,'Paramètres (1)'!$A$1:$I$88,7,0))</f>
        <v>#REF!</v>
      </c>
      <c r="ET175" s="135" t="str">
        <f>IF(ISNA(VLOOKUP(A175,'Données projet (1)'!$A$191:$I$211,6,0)),0%,VLOOKUP(A175,'Données projet (1)'!$A$191:$I$211,6,0)*VLOOKUP('Données projet (1)'!$B$15,'Paramètres (1)'!$A$1:$I$88,7,0))</f>
        <v>#REF!</v>
      </c>
      <c r="EU175" s="135" t="str">
        <f t="shared" si="74"/>
        <v>#REF!</v>
      </c>
      <c r="EV175" s="142" t="str">
        <f>EXP(-LN(2)/35)*EV174+(1-EXP(-LN(2)/35))/(LN(2)/35)*ER175*ES175*VLOOKUP('Données projet (1)'!$B$15,'Paramètres (1)'!$A$1:$I$88,3,0)*0.475*44/12</f>
        <v>#REF!</v>
      </c>
      <c r="EW175" s="142" t="str">
        <f>EXP(-LN(2)/25)*EW174+(1-EXP(-LN(2)/25))/(LN(2)/25)*'Calculateur (1)'!ER175*'Calculateur (1)'!ET175*VLOOKUP('Données projet (1)'!$B$15,'Paramètres (1)'!$A$1:$I$88,3,0)*0.475*44/12</f>
        <v>#REF!</v>
      </c>
      <c r="EX175" s="142" t="str">
        <f>EXP(-LN(2)/2)*EX174+(1-EXP(-LN(2)/2))/(LN(2)/2)*ER175*EU175*VLOOKUP('Données projet (1)'!$B$15,'Paramètres (1)'!$A$1:$I$88,3,0)*0.475*44/12</f>
        <v>#REF!</v>
      </c>
      <c r="EY175" s="143" t="str">
        <f t="shared" si="75"/>
        <v>#REF!</v>
      </c>
      <c r="EZ175" s="139" t="str">
        <f t="shared" si="76"/>
        <v>#REF!</v>
      </c>
      <c r="FA175" s="131">
        <f t="shared" si="77"/>
        <v>10</v>
      </c>
      <c r="FB175" s="131" t="str">
        <f t="shared" si="136"/>
        <v>#REF!</v>
      </c>
      <c r="FC175" s="131" t="str">
        <f t="shared" si="78"/>
        <v>#REF!</v>
      </c>
      <c r="FD175" s="131" t="str">
        <f t="array" ref="FD175">INDEX(FC:FC,MIN(IF(ISNUMBER(FC175:FC371),ROW(FC175:FC371),"")))</f>
        <v/>
      </c>
      <c r="FE175" s="131" t="str">
        <f t="shared" si="137"/>
        <v>#REF!</v>
      </c>
      <c r="FF175" s="138" t="str">
        <f>FE175*VLOOKUP('Données projet (1)'!$B$16,'Paramètres (1)'!$A$1:$I$88,3,0)*VLOOKUP('Données projet (1)'!$B$16,'Paramètres (1)'!$A$1:$I$88,5,0)</f>
        <v>#REF!</v>
      </c>
      <c r="FG175" s="130" t="str">
        <f t="shared" si="138"/>
        <v>#REF!</v>
      </c>
      <c r="FH175" s="141" t="str">
        <f t="shared" si="79"/>
        <v>#REF!</v>
      </c>
      <c r="FI175" s="133" t="str">
        <f t="shared" si="80"/>
        <v>#REF!</v>
      </c>
      <c r="FJ175" s="133" t="str">
        <f t="shared" si="81"/>
        <v>#REF!</v>
      </c>
      <c r="FK175" s="133" t="str">
        <f t="shared" si="139"/>
        <v>#REF!</v>
      </c>
      <c r="FL175" s="134" t="str">
        <f t="shared" si="82"/>
        <v>#REF!</v>
      </c>
      <c r="FM175" s="134" t="str">
        <f t="shared" si="83"/>
        <v>#REF!</v>
      </c>
      <c r="FN175" s="135" t="str">
        <f>IF(ISNA(VLOOKUP(A175,'Données projet (1)'!$A$217:$I$237,5,0)),0%,VLOOKUP(A175,'Données projet (1)'!$A$217:$I$237,5,0)*VLOOKUP('Données projet (1)'!$B$16,'Paramètres (1)'!$A$1:$I$88,7,0))</f>
        <v>#REF!</v>
      </c>
      <c r="FO175" s="135" t="str">
        <f>IF(ISNA(VLOOKUP(A175,'Données projet (1)'!$A$217:$I$237,6,0)),0%,VLOOKUP(A175,'Données projet (1)'!$A$217:$I$237,6,0)*VLOOKUP('Données projet (1)'!$B$16,'Paramètres (1)'!$A$1:$I$88,7,0))</f>
        <v>#REF!</v>
      </c>
      <c r="FP175" s="135" t="str">
        <f t="shared" si="84"/>
        <v>#REF!</v>
      </c>
      <c r="FQ175" s="142" t="str">
        <f>EXP(-LN(2)/35)*FQ174+(1-EXP(-LN(2)/35))/(LN(2)/35)*FM175*FN175*VLOOKUP('Données projet (1)'!$B$16,'Paramètres (1)'!$A$1:$I$88,3,0)*0.475*44/12</f>
        <v>#REF!</v>
      </c>
      <c r="FR175" s="142" t="str">
        <f>EXP(-LN(2)/25)*FR174+(1-EXP(-LN(2)/25))/(LN(2)/25)*'Calculateur (1)'!FM175*'Calculateur (1)'!FO175*VLOOKUP('Données projet (1)'!$B$16,'Paramètres (1)'!$A$1:$I$88,3,0)*0.475*44/12</f>
        <v>#REF!</v>
      </c>
      <c r="FS175" s="142" t="str">
        <f>EXP(-LN(2)/2)*FS174+(1-EXP(-LN(2)/2))/(LN(2)/2)*FM175*FP175*VLOOKUP('Données projet (1)'!$B$16,'Paramètres (1)'!$A$1:$I$88,3,0)*0.475*44/12</f>
        <v>#REF!</v>
      </c>
      <c r="FT175" s="143" t="str">
        <f t="shared" si="85"/>
        <v>#REF!</v>
      </c>
      <c r="FU175" s="139" t="str">
        <f t="shared" si="86"/>
        <v>#REF!</v>
      </c>
      <c r="FV175" s="131">
        <f t="shared" si="87"/>
        <v>10</v>
      </c>
      <c r="FW175" s="131" t="str">
        <f t="shared" si="140"/>
        <v>#REF!</v>
      </c>
      <c r="FX175" s="131" t="str">
        <f t="shared" si="88"/>
        <v>#REF!</v>
      </c>
      <c r="FY175" s="131" t="str">
        <f t="array" ref="FY175">INDEX(FX:FX,MIN(IF(ISNUMBER(FX175:FX371),ROW(FX175:FX371),"")))</f>
        <v/>
      </c>
      <c r="FZ175" s="131" t="str">
        <f t="shared" si="141"/>
        <v>#REF!</v>
      </c>
      <c r="GA175" s="138" t="str">
        <f>FZ175*VLOOKUP('Données projet (1)'!$B$17,'Paramètres (1)'!$A$1:$I$88,3,0)*VLOOKUP('Données projet (1)'!$B$17,'Paramètres (1)'!$A$1:$I$88,5,0)</f>
        <v>#REF!</v>
      </c>
      <c r="GB175" s="130" t="str">
        <f t="shared" si="142"/>
        <v>#REF!</v>
      </c>
      <c r="GC175" s="141" t="str">
        <f t="shared" si="89"/>
        <v>#REF!</v>
      </c>
      <c r="GD175" s="133" t="str">
        <f t="shared" si="90"/>
        <v>#REF!</v>
      </c>
      <c r="GE175" s="133" t="str">
        <f t="shared" si="91"/>
        <v>#REF!</v>
      </c>
      <c r="GF175" s="133" t="str">
        <f t="shared" si="143"/>
        <v>#REF!</v>
      </c>
      <c r="GG175" s="134" t="str">
        <f t="shared" si="92"/>
        <v>#REF!</v>
      </c>
      <c r="GH175" s="134" t="str">
        <f t="shared" si="93"/>
        <v>#REF!</v>
      </c>
      <c r="GI175" s="135" t="str">
        <f>IF(ISNA(VLOOKUP(A175,'Données projet (1)'!$A$243:$I$263,5,0)),0%,VLOOKUP(A175,'Données projet (1)'!$A$243:$I$263,5,0)*VLOOKUP('Données projet (1)'!$B$17,'Paramètres (1)'!$A$1:$I$88,7,0))</f>
        <v>#REF!</v>
      </c>
      <c r="GJ175" s="135" t="str">
        <f>IF(ISNA(VLOOKUP(A175,'Données projet (1)'!$A$243:$I$263,6,0)),0%,VLOOKUP(A175,'Données projet (1)'!$A$243:$I$263,6,0)*VLOOKUP('Données projet (1)'!$B$17,'Paramètres (1)'!$A$1:$I$88,7,0))</f>
        <v>#REF!</v>
      </c>
      <c r="GK175" s="135" t="str">
        <f t="shared" si="94"/>
        <v>#REF!</v>
      </c>
      <c r="GL175" s="142" t="str">
        <f>EXP(-LN(2)/35)*GL174+(1-EXP(-LN(2)/35))/(LN(2)/35)*GH175*GI175*VLOOKUP('Données projet (1)'!$B$17,'Paramètres (1)'!$A$1:$I$88,3,0)*0.475*44/12</f>
        <v>#REF!</v>
      </c>
      <c r="GM175" s="142" t="str">
        <f>EXP(-LN(2)/25)*GM174+(1-EXP(-LN(2)/25))/(LN(2)/25)*'Calculateur (1)'!GH175*'Calculateur (1)'!GJ175*VLOOKUP('Données projet (1)'!$B$17,'Paramètres (1)'!$A$1:$I$88,3,0)*0.475*44/12</f>
        <v>#REF!</v>
      </c>
      <c r="GN175" s="142" t="str">
        <f>EXP(-LN(2)/2)*GN174+(1-EXP(-LN(2)/2))/(LN(2)/2)*GH175*GK175*VLOOKUP('Données projet (1)'!$B$17,'Paramètres (1)'!$A$1:$I$88,3,0)*0.475*44/12</f>
        <v>#REF!</v>
      </c>
      <c r="GO175" s="142" t="str">
        <f t="shared" si="95"/>
        <v>#REF!</v>
      </c>
      <c r="GP175" s="139" t="str">
        <f t="shared" si="96"/>
        <v>#REF!</v>
      </c>
      <c r="GQ175" s="131">
        <f t="shared" si="97"/>
        <v>10</v>
      </c>
      <c r="GR175" s="131" t="str">
        <f t="shared" si="144"/>
        <v>#REF!</v>
      </c>
      <c r="GS175" s="131" t="str">
        <f t="shared" si="98"/>
        <v>#REF!</v>
      </c>
      <c r="GT175" s="131" t="str">
        <f t="array" ref="GT175">INDEX(GS:GS,MIN(IF(ISNUMBER(GS175:GS371),ROW(GS175:GS371),"")))</f>
        <v/>
      </c>
      <c r="GU175" s="131" t="str">
        <f t="shared" si="145"/>
        <v>#REF!</v>
      </c>
      <c r="GV175" s="138" t="str">
        <f>GU175*VLOOKUP('Données projet (1)'!$B$18,'Paramètres (1)'!$A$1:$I$88,3,0)*VLOOKUP('Données projet (1)'!$B$18,'Paramètres (1)'!$A$1:$I$88,5,0)</f>
        <v>#REF!</v>
      </c>
      <c r="GW175" s="130" t="str">
        <f t="shared" si="146"/>
        <v>#REF!</v>
      </c>
      <c r="GX175" s="141" t="str">
        <f t="shared" si="99"/>
        <v>#REF!</v>
      </c>
      <c r="GY175" s="133" t="str">
        <f t="shared" si="100"/>
        <v>#REF!</v>
      </c>
      <c r="GZ175" s="133" t="str">
        <f t="shared" si="101"/>
        <v>#REF!</v>
      </c>
      <c r="HA175" s="133" t="str">
        <f t="shared" si="147"/>
        <v>#REF!</v>
      </c>
      <c r="HB175" s="134" t="str">
        <f t="shared" si="102"/>
        <v>#REF!</v>
      </c>
      <c r="HC175" s="134" t="str">
        <f t="shared" si="103"/>
        <v>#REF!</v>
      </c>
      <c r="HD175" s="135" t="str">
        <f>IF(ISNA(VLOOKUP(A175,'Données projet (1)'!$A$269:$I$289,5,0)),0%,VLOOKUP(A175,'Données projet (1)'!$A$269:$I$289,5,0)*VLOOKUP('Données projet (1)'!$B$18,'Paramètres (1)'!$A$1:$I$88,7,0))</f>
        <v>#REF!</v>
      </c>
      <c r="HE175" s="135" t="str">
        <f>IF(ISNA(VLOOKUP(A175,'Données projet (1)'!$A$269:$I$289,6,0)),0%,VLOOKUP(A175,'Données projet (1)'!$A$269:$I$289,6,0)*VLOOKUP('Données projet (1)'!$B$18,'Paramètres (1)'!$A$1:$I$88,7,0))</f>
        <v>#REF!</v>
      </c>
      <c r="HF175" s="135" t="str">
        <f t="shared" si="104"/>
        <v>#REF!</v>
      </c>
      <c r="HG175" s="142" t="str">
        <f>EXP(-LN(2)/35)*HG174+(1-EXP(-LN(2)/35))/(LN(2)/35)*HC175*HD175*VLOOKUP('Données projet (1)'!$B$18,'Paramètres (1)'!$A$1:$I$88,3,0)*0.475*44/12</f>
        <v>#REF!</v>
      </c>
      <c r="HH175" s="142" t="str">
        <f>EXP(-LN(2)/25)*HH174+(1-EXP(-LN(2)/25))/(LN(2)/25)*'Calculateur (1)'!HC175*'Calculateur (1)'!HE175*VLOOKUP('Données projet (1)'!$B$18,'Paramètres (1)'!$A$1:$I$88,3,0)*0.475*44/12</f>
        <v>#REF!</v>
      </c>
      <c r="HI175" s="142" t="str">
        <f>EXP(-LN(2)/2)*HI174+(1-EXP(-LN(2)/2))/(LN(2)/2)*HC175*HF175*VLOOKUP('Données projet (1)'!$B$18,'Paramètres (1)'!$A$1:$I$88,3,0)*0.475*44/12</f>
        <v>#REF!</v>
      </c>
      <c r="HJ175" s="143" t="str">
        <f t="shared" si="105"/>
        <v>#REF!</v>
      </c>
    </row>
    <row r="176" ht="14.25" customHeight="1">
      <c r="A176" s="125">
        <f t="shared" si="106"/>
        <v>173</v>
      </c>
      <c r="B176" s="126" t="str">
        <f t="shared" si="1"/>
        <v>#REF!</v>
      </c>
      <c r="C176" s="140" t="str">
        <f>'Calculateur (1)'!C175+'Scénario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6" s="127">
        <f t="shared" si="107"/>
        <v>0</v>
      </c>
      <c r="E176" s="127" t="str">
        <f t="shared" si="2"/>
        <v>#REF!</v>
      </c>
      <c r="F176" s="127" t="str">
        <f t="shared" si="3"/>
        <v>#REF!</v>
      </c>
      <c r="G176" s="127" t="str">
        <f t="shared" si="4"/>
        <v>#REF!</v>
      </c>
      <c r="H176" s="128" t="str">
        <f t="shared" si="5"/>
        <v>#REF!</v>
      </c>
      <c r="I176" s="129" t="str">
        <f t="shared" si="6"/>
        <v>#REF!</v>
      </c>
      <c r="J176" s="130">
        <f t="shared" si="7"/>
        <v>10</v>
      </c>
      <c r="K176" s="131" t="str">
        <f t="shared" si="108"/>
        <v>#REF!</v>
      </c>
      <c r="L176" s="131" t="str">
        <f t="shared" si="8"/>
        <v>#REF!</v>
      </c>
      <c r="M176" s="131" t="str">
        <f t="array" ref="M176">INDEX(L:L,MIN(IF(ISNUMBER(L176:L372),ROW(L176:L372),"")))</f>
        <v/>
      </c>
      <c r="N176" s="130" t="str">
        <f t="shared" si="109"/>
        <v>#REF!</v>
      </c>
      <c r="O176" s="130" t="str">
        <f>N176*VLOOKUP('Données projet (1)'!$B$9,'Paramètres (1)'!$A$1:$I$88,3,0)*VLOOKUP('Données projet (1)'!$B$9,'Paramètres (1)'!$A$1:$I$88,5,0)</f>
        <v>#REF!</v>
      </c>
      <c r="P176" s="130" t="str">
        <f t="shared" si="110"/>
        <v>#REF!</v>
      </c>
      <c r="Q176" s="141" t="str">
        <f t="shared" si="9"/>
        <v>#REF!</v>
      </c>
      <c r="R176" s="133" t="str">
        <f t="shared" si="10"/>
        <v>#REF!</v>
      </c>
      <c r="S176" s="133" t="str">
        <f t="shared" si="11"/>
        <v>#REF!</v>
      </c>
      <c r="T176" s="133" t="str">
        <f t="shared" si="111"/>
        <v>#REF!</v>
      </c>
      <c r="U176" s="134" t="str">
        <f t="shared" si="12"/>
        <v>#REF!</v>
      </c>
      <c r="V176" s="134" t="str">
        <f t="shared" si="13"/>
        <v>#REF!</v>
      </c>
      <c r="W176" s="135" t="str">
        <f>IF(ISNA(VLOOKUP(A176,'Données projet (1)'!$A$35:$I$55,5,0)),0%,VLOOKUP(A176,'Données projet (1)'!$A$35:$I$55,5,0)*VLOOKUP('Données projet (1)'!$B$9,'Paramètres (1)'!$A$1:$I$88,7,0))</f>
        <v>#REF!</v>
      </c>
      <c r="X176" s="135" t="str">
        <f>IF(ISNA(VLOOKUP(A176,'Données projet (1)'!$A$35:$I$55,6,0)),0%,VLOOKUP(A176,'Données projet (1)'!$A$35:$I$55,6,0)*VLOOKUP('Données projet (1)'!$B$9,'Paramètres (1)'!$A$1:$I$88,7,0))</f>
        <v>#REF!</v>
      </c>
      <c r="Y176" s="135" t="str">
        <f t="shared" si="14"/>
        <v>#REF!</v>
      </c>
      <c r="Z176" s="142" t="str">
        <f>EXP(-LN(2)/35)*Z175+(1-EXP(-LN(2)/35))/(LN(2)/35)*V176*W176*VLOOKUP('Données projet (1)'!$B$9,'Paramètres (1)'!$A$1:$I$88,3,0)*0.475*44/12</f>
        <v>#REF!</v>
      </c>
      <c r="AA176" s="142" t="str">
        <f>EXP(-LN(2)/25)*AA175+(1-EXP(-LN(2)/25))/(LN(2)/25)*'Calculateur (1)'!V176*'Calculateur (1)'!X176*VLOOKUP('Données projet (1)'!$B$9,'Paramètres (1)'!$A$1:$I$88,3,0)*0.475*44/12</f>
        <v>#REF!</v>
      </c>
      <c r="AB176" s="142" t="str">
        <f>EXP(-LN(2)/2)*AB175+(1-EXP(-LN(2)/2))/(LN(2)/2)*V176*Y176*VLOOKUP('Données projet (1)'!$B$9,'Paramètres (1)'!$A$1:$I$88,3,0)*0.475*44/12</f>
        <v>#REF!</v>
      </c>
      <c r="AC176" s="143" t="str">
        <f t="shared" si="15"/>
        <v>#REF!</v>
      </c>
      <c r="AD176" s="130" t="str">
        <f t="shared" si="16"/>
        <v>#REF!</v>
      </c>
      <c r="AE176" s="130">
        <f t="shared" si="17"/>
        <v>10</v>
      </c>
      <c r="AF176" s="131" t="str">
        <f t="shared" si="112"/>
        <v>#REF!</v>
      </c>
      <c r="AG176" s="131" t="str">
        <f t="shared" si="18"/>
        <v>#REF!</v>
      </c>
      <c r="AH176" s="131" t="str">
        <f t="array" ref="AH176">INDEX(AG:AG,MIN(IF(ISNUMBER(AG176:AG372),ROW(AG176:AG372),"")))</f>
        <v/>
      </c>
      <c r="AI176" s="130" t="str">
        <f t="shared" si="113"/>
        <v>#REF!</v>
      </c>
      <c r="AJ176" s="130" t="str">
        <f>AI176*VLOOKUP('Données projet (1)'!$B$10,'Paramètres (1)'!$A$1:$I$88,3,0)*VLOOKUP('Données projet (1)'!$B$10,'Paramètres (1)'!$A$1:$I$88,5,0)</f>
        <v>#REF!</v>
      </c>
      <c r="AK176" s="130" t="str">
        <f t="shared" si="114"/>
        <v>#REF!</v>
      </c>
      <c r="AL176" s="141" t="str">
        <f t="shared" si="19"/>
        <v>#REF!</v>
      </c>
      <c r="AM176" s="133" t="str">
        <f t="shared" si="20"/>
        <v>#REF!</v>
      </c>
      <c r="AN176" s="133" t="str">
        <f t="shared" si="21"/>
        <v>#REF!</v>
      </c>
      <c r="AO176" s="133" t="str">
        <f t="shared" si="115"/>
        <v>#REF!</v>
      </c>
      <c r="AP176" s="134" t="str">
        <f t="shared" si="22"/>
        <v>#REF!</v>
      </c>
      <c r="AQ176" s="134" t="str">
        <f t="shared" si="23"/>
        <v>#REF!</v>
      </c>
      <c r="AR176" s="135" t="str">
        <f>IF(ISNA(VLOOKUP(A176,'Données projet (1)'!$A$61:$I$81,5,0)),0%,VLOOKUP(A176,'Données projet (1)'!$A$61:$I$81,5,0)*VLOOKUP('Données projet (1)'!$B$10,'Paramètres (1)'!$A$1:$I$88,7,0))</f>
        <v>#REF!</v>
      </c>
      <c r="AS176" s="135" t="str">
        <f>IF(ISNA(VLOOKUP(A176,'Données projet (1)'!$A$61:$I$81,6,0)),0%,VLOOKUP(A176,'Données projet (1)'!$A$61:$I$81,6,0)*VLOOKUP('Données projet (1)'!$B$10,'Paramètres (1)'!$A$1:$I$88,7,0))</f>
        <v>#REF!</v>
      </c>
      <c r="AT176" s="135" t="str">
        <f t="shared" si="24"/>
        <v>#REF!</v>
      </c>
      <c r="AU176" s="142" t="str">
        <f>EXP(-LN(2)/35)*AU175+(1-EXP(-LN(2)/35))/(LN(2)/35)*AQ176*AR176*VLOOKUP('Données projet (1)'!$B$10,'Paramètres (1)'!$A$1:$I$88,3,0)*0.475*44/12</f>
        <v>#REF!</v>
      </c>
      <c r="AV176" s="142" t="str">
        <f>EXP(-LN(2)/25)*AV175+(1-EXP(-LN(2)/25))/(LN(2)/25)*'Calculateur (1)'!AQ176*'Calculateur (1)'!AS176*VLOOKUP('Données projet (1)'!$B$10,'Paramètres (1)'!$A$1:$I$88,3,0)*0.475*44/12</f>
        <v>#REF!</v>
      </c>
      <c r="AW176" s="142" t="str">
        <f>EXP(-LN(2)/2)*AW175+(1-EXP(-LN(2)/2))/(LN(2)/2)*AQ176*AT176*VLOOKUP('Données projet (1)'!$B$10,'Paramètres (1)'!$A$1:$I$88,3,0)*0.475*44/12</f>
        <v>#REF!</v>
      </c>
      <c r="AX176" s="142" t="str">
        <f t="shared" si="25"/>
        <v>#REF!</v>
      </c>
      <c r="AY176" s="137" t="str">
        <f t="shared" si="26"/>
        <v>#REF!</v>
      </c>
      <c r="AZ176" s="131">
        <f t="shared" si="27"/>
        <v>10</v>
      </c>
      <c r="BA176" s="131" t="str">
        <f t="shared" si="116"/>
        <v>#REF!</v>
      </c>
      <c r="BB176" s="131" t="str">
        <f t="shared" si="28"/>
        <v>#REF!</v>
      </c>
      <c r="BC176" s="131" t="str">
        <f t="array" ref="BC176">INDEX(BB:BB,MIN(IF(ISNUMBER(BB176:BB372),ROW(BB176:BB372),"")))</f>
        <v/>
      </c>
      <c r="BD176" s="131" t="str">
        <f t="shared" si="117"/>
        <v>#REF!</v>
      </c>
      <c r="BE176" s="130" t="str">
        <f>BD176*VLOOKUP('Données projet (1)'!$B$11,'Paramètres (1)'!$A$1:$I$88,3,0)*VLOOKUP('Données projet (1)'!$B$11,'Paramètres (1)'!$A$1:$I$88,5,0)</f>
        <v>#REF!</v>
      </c>
      <c r="BF176" s="130" t="str">
        <f t="shared" si="118"/>
        <v>#REF!</v>
      </c>
      <c r="BG176" s="141" t="str">
        <f t="shared" si="29"/>
        <v>#REF!</v>
      </c>
      <c r="BH176" s="133" t="str">
        <f t="shared" si="30"/>
        <v>#REF!</v>
      </c>
      <c r="BI176" s="133" t="str">
        <f t="shared" si="31"/>
        <v>#REF!</v>
      </c>
      <c r="BJ176" s="133" t="str">
        <f t="shared" si="119"/>
        <v>#REF!</v>
      </c>
      <c r="BK176" s="134" t="str">
        <f t="shared" si="32"/>
        <v>#REF!</v>
      </c>
      <c r="BL176" s="134" t="str">
        <f t="shared" si="33"/>
        <v>#REF!</v>
      </c>
      <c r="BM176" s="135" t="str">
        <f>IF(ISNA(VLOOKUP(A176,'Données projet (1)'!$A$87:$I$107,5,0)),0%,VLOOKUP(A176,'Données projet (1)'!$A$87:$I$107,5,0)*VLOOKUP('Données projet (1)'!$B$11,'Paramètres (1)'!$A$1:$I$88,7,0))</f>
        <v>#REF!</v>
      </c>
      <c r="BN176" s="135" t="str">
        <f>IF(ISNA(VLOOKUP(A176,'Données projet (1)'!$A$87:$I$107,6,0)),0%,VLOOKUP(A176,'Données projet (1)'!$A$87:$I$107,6,0)*VLOOKUP('Données projet (1)'!$B$11,'Paramètres (1)'!$A$1:$I$88,7,0))</f>
        <v>#REF!</v>
      </c>
      <c r="BO176" s="135" t="str">
        <f t="shared" si="34"/>
        <v>#REF!</v>
      </c>
      <c r="BP176" s="142" t="str">
        <f>EXP(-LN(2)/35)*BP175+(1-EXP(-LN(2)/35))/(LN(2)/35)*BL176*BM176*VLOOKUP('Données projet (1)'!$B$11,'Paramètres (1)'!$A$1:$I$88,3,0)*0.475*44/12</f>
        <v>#REF!</v>
      </c>
      <c r="BQ176" s="142" t="str">
        <f>EXP(-LN(2)/25)*BQ175+(1-EXP(-LN(2)/25))/(LN(2)/25)*'Calculateur (1)'!BL176*'Calculateur (1)'!BN176*VLOOKUP('Données projet (1)'!$B$11,'Paramètres (1)'!$A$1:$I$88,3,0)*0.475*44/12</f>
        <v>#REF!</v>
      </c>
      <c r="BR176" s="142" t="str">
        <f>EXP(-LN(2)/2)*BR175+(1-EXP(-LN(2)/2))/(LN(2)/2)*BL176*BO176*VLOOKUP('Données projet (1)'!$B$11,'Paramètres (1)'!$A$1:$I$88,3,0)*0.475*44/12</f>
        <v>#REF!</v>
      </c>
      <c r="BS176" s="143" t="str">
        <f t="shared" si="35"/>
        <v>#REF!</v>
      </c>
      <c r="BT176" s="139" t="str">
        <f t="shared" si="36"/>
        <v>#REF!</v>
      </c>
      <c r="BU176" s="131">
        <f t="shared" si="37"/>
        <v>10</v>
      </c>
      <c r="BV176" s="131" t="str">
        <f t="shared" si="120"/>
        <v>#REF!</v>
      </c>
      <c r="BW176" s="131" t="str">
        <f t="shared" si="38"/>
        <v>#REF!</v>
      </c>
      <c r="BX176" s="131" t="str">
        <f t="array" ref="BX176">INDEX(BW:BW,MIN(IF(ISNUMBER(BW176:BW372),ROW(BW176:BW372),"")))</f>
        <v/>
      </c>
      <c r="BY176" s="131" t="str">
        <f t="shared" si="121"/>
        <v>#REF!</v>
      </c>
      <c r="BZ176" s="130" t="str">
        <f>BY176*VLOOKUP('Données projet (1)'!$B$12,'Paramètres (1)'!$A$1:$I$88,3,0)*VLOOKUP('Données projet (1)'!$B$12,'Paramètres (1)'!$A$1:$I$88,5,0)</f>
        <v>#REF!</v>
      </c>
      <c r="CA176" s="130" t="str">
        <f t="shared" si="122"/>
        <v>#REF!</v>
      </c>
      <c r="CB176" s="141" t="str">
        <f t="shared" si="39"/>
        <v>#REF!</v>
      </c>
      <c r="CC176" s="133" t="str">
        <f t="shared" si="40"/>
        <v>#REF!</v>
      </c>
      <c r="CD176" s="133" t="str">
        <f t="shared" si="41"/>
        <v>#REF!</v>
      </c>
      <c r="CE176" s="133" t="str">
        <f t="shared" si="123"/>
        <v>#REF!</v>
      </c>
      <c r="CF176" s="134" t="str">
        <f t="shared" si="42"/>
        <v>#REF!</v>
      </c>
      <c r="CG176" s="134" t="str">
        <f t="shared" si="43"/>
        <v>#REF!</v>
      </c>
      <c r="CH176" s="135" t="str">
        <f>IF(ISNA(VLOOKUP(A176,'Données projet (1)'!$A$113:$I$133,5,0)),0%,VLOOKUP(A176,'Données projet (1)'!$A$113:$I$133,5,0)*VLOOKUP('Données projet (1)'!$B$12,'Paramètres (1)'!$A$1:$I$88,7,0))</f>
        <v>#REF!</v>
      </c>
      <c r="CI176" s="135" t="str">
        <f>IF(ISNA(VLOOKUP(A176,'Données projet (1)'!$A$113:$I$133,6,0)),0%,VLOOKUP(A176,'Données projet (1)'!$A$113:$I$133,6,0)*VLOOKUP('Données projet (1)'!$B$12,'Paramètres (1)'!$A$1:$I$88,7,0))</f>
        <v>#REF!</v>
      </c>
      <c r="CJ176" s="135" t="str">
        <f t="shared" si="44"/>
        <v>#REF!</v>
      </c>
      <c r="CK176" s="142" t="str">
        <f>EXP(-LN(2)/35)*CK175+(1-EXP(-LN(2)/35))/(LN(2)/35)*CG176*CH176*VLOOKUP('Données projet (1)'!$B$12,'Paramètres (1)'!$A$1:$I$88,3,0)*0.475*44/12</f>
        <v>#REF!</v>
      </c>
      <c r="CL176" s="142" t="str">
        <f>EXP(-LN(2)/25)*CL175+(1-EXP(-LN(2)/25))/(LN(2)/25)*'Calculateur (1)'!CG176*'Calculateur (1)'!CI176*VLOOKUP('Données projet (1)'!$B$12,'Paramètres (1)'!$A$1:$I$88,3,0)*0.475*44/12</f>
        <v>#REF!</v>
      </c>
      <c r="CM176" s="142" t="str">
        <f>EXP(-LN(2)/2)*CM175+(1-EXP(-LN(2)/2))/(LN(2)/2)*CG176*CJ176*VLOOKUP('Données projet (1)'!$B$12,'Paramètres (1)'!$A$1:$I$88,3,0)*0.475*44/12</f>
        <v>#REF!</v>
      </c>
      <c r="CN176" s="143" t="str">
        <f t="shared" si="45"/>
        <v>#REF!</v>
      </c>
      <c r="CO176" s="139" t="str">
        <f t="shared" si="46"/>
        <v>#REF!</v>
      </c>
      <c r="CP176" s="131">
        <f t="shared" si="47"/>
        <v>10</v>
      </c>
      <c r="CQ176" s="131" t="str">
        <f t="shared" si="124"/>
        <v>#REF!</v>
      </c>
      <c r="CR176" s="131" t="str">
        <f t="shared" si="48"/>
        <v>#REF!</v>
      </c>
      <c r="CS176" s="131" t="str">
        <f t="array" ref="CS176">INDEX(CR:CR,MIN(IF(ISNUMBER(CR176:CR372),ROW(CR176:CR372),"")))</f>
        <v/>
      </c>
      <c r="CT176" s="131" t="str">
        <f t="shared" si="125"/>
        <v>#REF!</v>
      </c>
      <c r="CU176" s="138" t="str">
        <f>CT176*VLOOKUP('Données projet (1)'!$B$13,'Paramètres (1)'!$A$1:$I$88,3,0)*VLOOKUP('Données projet (1)'!$B$13,'Paramètres (1)'!$A$1:$I$88,5,0)</f>
        <v>#REF!</v>
      </c>
      <c r="CV176" s="130" t="str">
        <f t="shared" si="126"/>
        <v>#REF!</v>
      </c>
      <c r="CW176" s="141" t="str">
        <f t="shared" si="49"/>
        <v>#REF!</v>
      </c>
      <c r="CX176" s="133" t="str">
        <f t="shared" si="50"/>
        <v>#REF!</v>
      </c>
      <c r="CY176" s="133" t="str">
        <f t="shared" si="51"/>
        <v>#REF!</v>
      </c>
      <c r="CZ176" s="133" t="str">
        <f t="shared" si="127"/>
        <v>#REF!</v>
      </c>
      <c r="DA176" s="134" t="str">
        <f t="shared" si="52"/>
        <v>#REF!</v>
      </c>
      <c r="DB176" s="134" t="str">
        <f t="shared" si="53"/>
        <v>#REF!</v>
      </c>
      <c r="DC176" s="135" t="str">
        <f>IF(ISNA(VLOOKUP(A176,'Données projet (1)'!$A$139:$I$159,5,0)),0%,VLOOKUP(A176,'Données projet (1)'!$A$139:$I$159,5,0)*VLOOKUP('Données projet (1)'!$B$13,'Paramètres (1)'!$A$1:$I$88,7,0))</f>
        <v>#REF!</v>
      </c>
      <c r="DD176" s="135" t="str">
        <f>IF(ISNA(VLOOKUP(A176,'Données projet (1)'!$A$139:$I$159,6,0)),0%,VLOOKUP(A176,'Données projet (1)'!$A$139:$I$159,6,0)*VLOOKUP('Données projet (1)'!$B$13,'Paramètres (1)'!$A$1:$I$88,7,0))</f>
        <v>#REF!</v>
      </c>
      <c r="DE176" s="135" t="str">
        <f t="shared" si="54"/>
        <v>#REF!</v>
      </c>
      <c r="DF176" s="142" t="str">
        <f>EXP(-LN(2)/35)*DF175+(1-EXP(-LN(2)/35))/(LN(2)/35)*DB176*DC176*VLOOKUP('Données projet (1)'!$B$13,'Paramètres (1)'!$A$1:$I$88,3,0)*0.475*44/12</f>
        <v>#REF!</v>
      </c>
      <c r="DG176" s="142" t="str">
        <f>EXP(-LN(2)/25)*DG175+(1-EXP(-LN(2)/25))/(LN(2)/25)*'Calculateur (1)'!DB176*'Calculateur (1)'!DD176*VLOOKUP('Données projet (1)'!$B$13,'Paramètres (1)'!$A$1:$I$88,3,0)*0.475*44/12</f>
        <v>#REF!</v>
      </c>
      <c r="DH176" s="142" t="str">
        <f>EXP(-LN(2)/2)*DH175+(1-EXP(-LN(2)/2))/(LN(2)/2)*DB176*DE176*VLOOKUP('Données projet (1)'!$B$13,'Paramètres (1)'!$A$1:$I$88,3,0)*0.475*44/12</f>
        <v>#REF!</v>
      </c>
      <c r="DI176" s="143" t="str">
        <f t="shared" si="55"/>
        <v>#REF!</v>
      </c>
      <c r="DJ176" s="139" t="str">
        <f t="shared" si="56"/>
        <v>#REF!</v>
      </c>
      <c r="DK176" s="131">
        <f t="shared" si="57"/>
        <v>10</v>
      </c>
      <c r="DL176" s="131" t="str">
        <f t="shared" si="128"/>
        <v>#REF!</v>
      </c>
      <c r="DM176" s="131" t="str">
        <f t="shared" si="58"/>
        <v>#REF!</v>
      </c>
      <c r="DN176" s="131" t="str">
        <f t="array" ref="DN176">INDEX(DM:DM,MIN(IF(ISNUMBER(DM176:DM372),ROW(DM176:DM372),"")))</f>
        <v/>
      </c>
      <c r="DO176" s="131" t="str">
        <f t="shared" si="129"/>
        <v>#REF!</v>
      </c>
      <c r="DP176" s="138" t="str">
        <f>DO176*VLOOKUP('Données projet (1)'!$B$14,'Paramètres (1)'!$A$1:$I$88,3,0)*VLOOKUP('Données projet (1)'!$B$14,'Paramètres (1)'!$A$1:$I$88,5,0)</f>
        <v>#REF!</v>
      </c>
      <c r="DQ176" s="130" t="str">
        <f t="shared" si="130"/>
        <v>#REF!</v>
      </c>
      <c r="DR176" s="141" t="str">
        <f t="shared" si="59"/>
        <v>#REF!</v>
      </c>
      <c r="DS176" s="133" t="str">
        <f t="shared" si="60"/>
        <v>#REF!</v>
      </c>
      <c r="DT176" s="133" t="str">
        <f t="shared" si="61"/>
        <v>#REF!</v>
      </c>
      <c r="DU176" s="133" t="str">
        <f t="shared" si="131"/>
        <v>#REF!</v>
      </c>
      <c r="DV176" s="134" t="str">
        <f t="shared" si="62"/>
        <v>#REF!</v>
      </c>
      <c r="DW176" s="134" t="str">
        <f t="shared" si="63"/>
        <v>#REF!</v>
      </c>
      <c r="DX176" s="135" t="str">
        <f>IF(ISNA(VLOOKUP(A176,'Données projet (1)'!$A$165:$I$185,5,0)),0%,VLOOKUP(A176,'Données projet (1)'!$A$165:$I$185,5,0)*VLOOKUP('Données projet (1)'!$B$14,'Paramètres (1)'!$A$1:$I$88,7,0))</f>
        <v>#REF!</v>
      </c>
      <c r="DY176" s="135" t="str">
        <f>IF(ISNA(VLOOKUP(A176,'Données projet (1)'!$A$165:$I$185,6,0)),0%,VLOOKUP(A176,'Données projet (1)'!$A$165:$I$185,6,0)*VLOOKUP('Données projet (1)'!$B$14,'Paramètres (1)'!$A$1:$I$88,7,0))</f>
        <v>#REF!</v>
      </c>
      <c r="DZ176" s="135" t="str">
        <f t="shared" si="64"/>
        <v>#REF!</v>
      </c>
      <c r="EA176" s="142" t="str">
        <f>EXP(-LN(2)/35)*EA175+(1-EXP(-LN(2)/35))/(LN(2)/35)*DW176*DX176*VLOOKUP('Données projet (1)'!$B$14,'Paramètres (1)'!$A$1:$I$88,3,0)*0.475*44/12</f>
        <v>#REF!</v>
      </c>
      <c r="EB176" s="142" t="str">
        <f>EXP(-LN(2)/25)*EB175+(1-EXP(-LN(2)/25))/(LN(2)/25)*'Calculateur (1)'!DW176*'Calculateur (1)'!DY176*VLOOKUP('Données projet (1)'!$B$14,'Paramètres (1)'!$A$1:$I$88,3,0)*0.475*44/12</f>
        <v>#REF!</v>
      </c>
      <c r="EC176" s="142" t="str">
        <f>EXP(-LN(2)/2)*EC175+(1-EXP(-LN(2)/2))/(LN(2)/2)*DW176*DZ176*VLOOKUP('Données projet (1)'!$B$14,'Paramètres (1)'!$A$1:$I$88,3,0)*0.475*44/12</f>
        <v>#REF!</v>
      </c>
      <c r="ED176" s="143" t="str">
        <f t="shared" si="65"/>
        <v>#REF!</v>
      </c>
      <c r="EE176" s="139" t="str">
        <f t="shared" si="66"/>
        <v>#REF!</v>
      </c>
      <c r="EF176" s="131">
        <f t="shared" si="67"/>
        <v>10</v>
      </c>
      <c r="EG176" s="131" t="str">
        <f t="shared" si="132"/>
        <v>#REF!</v>
      </c>
      <c r="EH176" s="131" t="str">
        <f t="shared" si="68"/>
        <v>#REF!</v>
      </c>
      <c r="EI176" s="131" t="str">
        <f t="array" ref="EI176">INDEX(EH:EH,MIN(IF(ISNUMBER(EH176:EH372),ROW(EH176:EH372),"")))</f>
        <v/>
      </c>
      <c r="EJ176" s="131" t="str">
        <f t="shared" si="133"/>
        <v>#REF!</v>
      </c>
      <c r="EK176" s="138" t="str">
        <f>EJ176*VLOOKUP('Données projet (1)'!$B$15,'Paramètres (1)'!$A$1:$I$88,3,0)*VLOOKUP('Données projet (1)'!$B$15,'Paramètres (1)'!$A$1:$I$88,5,0)</f>
        <v>#REF!</v>
      </c>
      <c r="EL176" s="130" t="str">
        <f t="shared" si="134"/>
        <v>#REF!</v>
      </c>
      <c r="EM176" s="141" t="str">
        <f t="shared" si="69"/>
        <v>#REF!</v>
      </c>
      <c r="EN176" s="133" t="str">
        <f t="shared" si="70"/>
        <v>#REF!</v>
      </c>
      <c r="EO176" s="133" t="str">
        <f t="shared" si="71"/>
        <v>#REF!</v>
      </c>
      <c r="EP176" s="133" t="str">
        <f t="shared" si="135"/>
        <v>#REF!</v>
      </c>
      <c r="EQ176" s="134" t="str">
        <f t="shared" si="72"/>
        <v>#REF!</v>
      </c>
      <c r="ER176" s="134" t="str">
        <f t="shared" si="73"/>
        <v>#REF!</v>
      </c>
      <c r="ES176" s="135" t="str">
        <f>IF(ISNA(VLOOKUP(A176,'Données projet (1)'!$A$191:$I$211,5,0)),0%,VLOOKUP(A176,'Données projet (1)'!$A$191:$I$211,5,0)*VLOOKUP('Données projet (1)'!$B$15,'Paramètres (1)'!$A$1:$I$88,7,0))</f>
        <v>#REF!</v>
      </c>
      <c r="ET176" s="135" t="str">
        <f>IF(ISNA(VLOOKUP(A176,'Données projet (1)'!$A$191:$I$211,6,0)),0%,VLOOKUP(A176,'Données projet (1)'!$A$191:$I$211,6,0)*VLOOKUP('Données projet (1)'!$B$15,'Paramètres (1)'!$A$1:$I$88,7,0))</f>
        <v>#REF!</v>
      </c>
      <c r="EU176" s="135" t="str">
        <f t="shared" si="74"/>
        <v>#REF!</v>
      </c>
      <c r="EV176" s="142" t="str">
        <f>EXP(-LN(2)/35)*EV175+(1-EXP(-LN(2)/35))/(LN(2)/35)*ER176*ES176*VLOOKUP('Données projet (1)'!$B$15,'Paramètres (1)'!$A$1:$I$88,3,0)*0.475*44/12</f>
        <v>#REF!</v>
      </c>
      <c r="EW176" s="142" t="str">
        <f>EXP(-LN(2)/25)*EW175+(1-EXP(-LN(2)/25))/(LN(2)/25)*'Calculateur (1)'!ER176*'Calculateur (1)'!ET176*VLOOKUP('Données projet (1)'!$B$15,'Paramètres (1)'!$A$1:$I$88,3,0)*0.475*44/12</f>
        <v>#REF!</v>
      </c>
      <c r="EX176" s="142" t="str">
        <f>EXP(-LN(2)/2)*EX175+(1-EXP(-LN(2)/2))/(LN(2)/2)*ER176*EU176*VLOOKUP('Données projet (1)'!$B$15,'Paramètres (1)'!$A$1:$I$88,3,0)*0.475*44/12</f>
        <v>#REF!</v>
      </c>
      <c r="EY176" s="143" t="str">
        <f t="shared" si="75"/>
        <v>#REF!</v>
      </c>
      <c r="EZ176" s="139" t="str">
        <f t="shared" si="76"/>
        <v>#REF!</v>
      </c>
      <c r="FA176" s="131">
        <f t="shared" si="77"/>
        <v>10</v>
      </c>
      <c r="FB176" s="131" t="str">
        <f t="shared" si="136"/>
        <v>#REF!</v>
      </c>
      <c r="FC176" s="131" t="str">
        <f t="shared" si="78"/>
        <v>#REF!</v>
      </c>
      <c r="FD176" s="131" t="str">
        <f t="array" ref="FD176">INDEX(FC:FC,MIN(IF(ISNUMBER(FC176:FC372),ROW(FC176:FC372),"")))</f>
        <v/>
      </c>
      <c r="FE176" s="131" t="str">
        <f t="shared" si="137"/>
        <v>#REF!</v>
      </c>
      <c r="FF176" s="138" t="str">
        <f>FE176*VLOOKUP('Données projet (1)'!$B$16,'Paramètres (1)'!$A$1:$I$88,3,0)*VLOOKUP('Données projet (1)'!$B$16,'Paramètres (1)'!$A$1:$I$88,5,0)</f>
        <v>#REF!</v>
      </c>
      <c r="FG176" s="130" t="str">
        <f t="shared" si="138"/>
        <v>#REF!</v>
      </c>
      <c r="FH176" s="141" t="str">
        <f t="shared" si="79"/>
        <v>#REF!</v>
      </c>
      <c r="FI176" s="133" t="str">
        <f t="shared" si="80"/>
        <v>#REF!</v>
      </c>
      <c r="FJ176" s="133" t="str">
        <f t="shared" si="81"/>
        <v>#REF!</v>
      </c>
      <c r="FK176" s="133" t="str">
        <f t="shared" si="139"/>
        <v>#REF!</v>
      </c>
      <c r="FL176" s="134" t="str">
        <f t="shared" si="82"/>
        <v>#REF!</v>
      </c>
      <c r="FM176" s="134" t="str">
        <f t="shared" si="83"/>
        <v>#REF!</v>
      </c>
      <c r="FN176" s="135" t="str">
        <f>IF(ISNA(VLOOKUP(A176,'Données projet (1)'!$A$217:$I$237,5,0)),0%,VLOOKUP(A176,'Données projet (1)'!$A$217:$I$237,5,0)*VLOOKUP('Données projet (1)'!$B$16,'Paramètres (1)'!$A$1:$I$88,7,0))</f>
        <v>#REF!</v>
      </c>
      <c r="FO176" s="135" t="str">
        <f>IF(ISNA(VLOOKUP(A176,'Données projet (1)'!$A$217:$I$237,6,0)),0%,VLOOKUP(A176,'Données projet (1)'!$A$217:$I$237,6,0)*VLOOKUP('Données projet (1)'!$B$16,'Paramètres (1)'!$A$1:$I$88,7,0))</f>
        <v>#REF!</v>
      </c>
      <c r="FP176" s="135" t="str">
        <f t="shared" si="84"/>
        <v>#REF!</v>
      </c>
      <c r="FQ176" s="142" t="str">
        <f>EXP(-LN(2)/35)*FQ175+(1-EXP(-LN(2)/35))/(LN(2)/35)*FM176*FN176*VLOOKUP('Données projet (1)'!$B$16,'Paramètres (1)'!$A$1:$I$88,3,0)*0.475*44/12</f>
        <v>#REF!</v>
      </c>
      <c r="FR176" s="142" t="str">
        <f>EXP(-LN(2)/25)*FR175+(1-EXP(-LN(2)/25))/(LN(2)/25)*'Calculateur (1)'!FM176*'Calculateur (1)'!FO176*VLOOKUP('Données projet (1)'!$B$16,'Paramètres (1)'!$A$1:$I$88,3,0)*0.475*44/12</f>
        <v>#REF!</v>
      </c>
      <c r="FS176" s="142" t="str">
        <f>EXP(-LN(2)/2)*FS175+(1-EXP(-LN(2)/2))/(LN(2)/2)*FM176*FP176*VLOOKUP('Données projet (1)'!$B$16,'Paramètres (1)'!$A$1:$I$88,3,0)*0.475*44/12</f>
        <v>#REF!</v>
      </c>
      <c r="FT176" s="143" t="str">
        <f t="shared" si="85"/>
        <v>#REF!</v>
      </c>
      <c r="FU176" s="139" t="str">
        <f t="shared" si="86"/>
        <v>#REF!</v>
      </c>
      <c r="FV176" s="131">
        <f t="shared" si="87"/>
        <v>10</v>
      </c>
      <c r="FW176" s="131" t="str">
        <f t="shared" si="140"/>
        <v>#REF!</v>
      </c>
      <c r="FX176" s="131" t="str">
        <f t="shared" si="88"/>
        <v>#REF!</v>
      </c>
      <c r="FY176" s="131" t="str">
        <f t="array" ref="FY176">INDEX(FX:FX,MIN(IF(ISNUMBER(FX176:FX372),ROW(FX176:FX372),"")))</f>
        <v/>
      </c>
      <c r="FZ176" s="131" t="str">
        <f t="shared" si="141"/>
        <v>#REF!</v>
      </c>
      <c r="GA176" s="138" t="str">
        <f>FZ176*VLOOKUP('Données projet (1)'!$B$17,'Paramètres (1)'!$A$1:$I$88,3,0)*VLOOKUP('Données projet (1)'!$B$17,'Paramètres (1)'!$A$1:$I$88,5,0)</f>
        <v>#REF!</v>
      </c>
      <c r="GB176" s="130" t="str">
        <f t="shared" si="142"/>
        <v>#REF!</v>
      </c>
      <c r="GC176" s="141" t="str">
        <f t="shared" si="89"/>
        <v>#REF!</v>
      </c>
      <c r="GD176" s="133" t="str">
        <f t="shared" si="90"/>
        <v>#REF!</v>
      </c>
      <c r="GE176" s="133" t="str">
        <f t="shared" si="91"/>
        <v>#REF!</v>
      </c>
      <c r="GF176" s="133" t="str">
        <f t="shared" si="143"/>
        <v>#REF!</v>
      </c>
      <c r="GG176" s="134" t="str">
        <f t="shared" si="92"/>
        <v>#REF!</v>
      </c>
      <c r="GH176" s="134" t="str">
        <f t="shared" si="93"/>
        <v>#REF!</v>
      </c>
      <c r="GI176" s="135" t="str">
        <f>IF(ISNA(VLOOKUP(A176,'Données projet (1)'!$A$243:$I$263,5,0)),0%,VLOOKUP(A176,'Données projet (1)'!$A$243:$I$263,5,0)*VLOOKUP('Données projet (1)'!$B$17,'Paramètres (1)'!$A$1:$I$88,7,0))</f>
        <v>#REF!</v>
      </c>
      <c r="GJ176" s="135" t="str">
        <f>IF(ISNA(VLOOKUP(A176,'Données projet (1)'!$A$243:$I$263,6,0)),0%,VLOOKUP(A176,'Données projet (1)'!$A$243:$I$263,6,0)*VLOOKUP('Données projet (1)'!$B$17,'Paramètres (1)'!$A$1:$I$88,7,0))</f>
        <v>#REF!</v>
      </c>
      <c r="GK176" s="135" t="str">
        <f t="shared" si="94"/>
        <v>#REF!</v>
      </c>
      <c r="GL176" s="142" t="str">
        <f>EXP(-LN(2)/35)*GL175+(1-EXP(-LN(2)/35))/(LN(2)/35)*GH176*GI176*VLOOKUP('Données projet (1)'!$B$17,'Paramètres (1)'!$A$1:$I$88,3,0)*0.475*44/12</f>
        <v>#REF!</v>
      </c>
      <c r="GM176" s="142" t="str">
        <f>EXP(-LN(2)/25)*GM175+(1-EXP(-LN(2)/25))/(LN(2)/25)*'Calculateur (1)'!GH176*'Calculateur (1)'!GJ176*VLOOKUP('Données projet (1)'!$B$17,'Paramètres (1)'!$A$1:$I$88,3,0)*0.475*44/12</f>
        <v>#REF!</v>
      </c>
      <c r="GN176" s="142" t="str">
        <f>EXP(-LN(2)/2)*GN175+(1-EXP(-LN(2)/2))/(LN(2)/2)*GH176*GK176*VLOOKUP('Données projet (1)'!$B$17,'Paramètres (1)'!$A$1:$I$88,3,0)*0.475*44/12</f>
        <v>#REF!</v>
      </c>
      <c r="GO176" s="142" t="str">
        <f t="shared" si="95"/>
        <v>#REF!</v>
      </c>
      <c r="GP176" s="139" t="str">
        <f t="shared" si="96"/>
        <v>#REF!</v>
      </c>
      <c r="GQ176" s="131">
        <f t="shared" si="97"/>
        <v>10</v>
      </c>
      <c r="GR176" s="131" t="str">
        <f t="shared" si="144"/>
        <v>#REF!</v>
      </c>
      <c r="GS176" s="131" t="str">
        <f t="shared" si="98"/>
        <v>#REF!</v>
      </c>
      <c r="GT176" s="131" t="str">
        <f t="array" ref="GT176">INDEX(GS:GS,MIN(IF(ISNUMBER(GS176:GS372),ROW(GS176:GS372),"")))</f>
        <v/>
      </c>
      <c r="GU176" s="131" t="str">
        <f t="shared" si="145"/>
        <v>#REF!</v>
      </c>
      <c r="GV176" s="138" t="str">
        <f>GU176*VLOOKUP('Données projet (1)'!$B$18,'Paramètres (1)'!$A$1:$I$88,3,0)*VLOOKUP('Données projet (1)'!$B$18,'Paramètres (1)'!$A$1:$I$88,5,0)</f>
        <v>#REF!</v>
      </c>
      <c r="GW176" s="130" t="str">
        <f t="shared" si="146"/>
        <v>#REF!</v>
      </c>
      <c r="GX176" s="141" t="str">
        <f t="shared" si="99"/>
        <v>#REF!</v>
      </c>
      <c r="GY176" s="133" t="str">
        <f t="shared" si="100"/>
        <v>#REF!</v>
      </c>
      <c r="GZ176" s="133" t="str">
        <f t="shared" si="101"/>
        <v>#REF!</v>
      </c>
      <c r="HA176" s="133" t="str">
        <f t="shared" si="147"/>
        <v>#REF!</v>
      </c>
      <c r="HB176" s="134" t="str">
        <f t="shared" si="102"/>
        <v>#REF!</v>
      </c>
      <c r="HC176" s="134" t="str">
        <f t="shared" si="103"/>
        <v>#REF!</v>
      </c>
      <c r="HD176" s="135" t="str">
        <f>IF(ISNA(VLOOKUP(A176,'Données projet (1)'!$A$269:$I$289,5,0)),0%,VLOOKUP(A176,'Données projet (1)'!$A$269:$I$289,5,0)*VLOOKUP('Données projet (1)'!$B$18,'Paramètres (1)'!$A$1:$I$88,7,0))</f>
        <v>#REF!</v>
      </c>
      <c r="HE176" s="135" t="str">
        <f>IF(ISNA(VLOOKUP(A176,'Données projet (1)'!$A$269:$I$289,6,0)),0%,VLOOKUP(A176,'Données projet (1)'!$A$269:$I$289,6,0)*VLOOKUP('Données projet (1)'!$B$18,'Paramètres (1)'!$A$1:$I$88,7,0))</f>
        <v>#REF!</v>
      </c>
      <c r="HF176" s="135" t="str">
        <f t="shared" si="104"/>
        <v>#REF!</v>
      </c>
      <c r="HG176" s="142" t="str">
        <f>EXP(-LN(2)/35)*HG175+(1-EXP(-LN(2)/35))/(LN(2)/35)*HC176*HD176*VLOOKUP('Données projet (1)'!$B$18,'Paramètres (1)'!$A$1:$I$88,3,0)*0.475*44/12</f>
        <v>#REF!</v>
      </c>
      <c r="HH176" s="142" t="str">
        <f>EXP(-LN(2)/25)*HH175+(1-EXP(-LN(2)/25))/(LN(2)/25)*'Calculateur (1)'!HC176*'Calculateur (1)'!HE176*VLOOKUP('Données projet (1)'!$B$18,'Paramètres (1)'!$A$1:$I$88,3,0)*0.475*44/12</f>
        <v>#REF!</v>
      </c>
      <c r="HI176" s="142" t="str">
        <f>EXP(-LN(2)/2)*HI175+(1-EXP(-LN(2)/2))/(LN(2)/2)*HC176*HF176*VLOOKUP('Données projet (1)'!$B$18,'Paramètres (1)'!$A$1:$I$88,3,0)*0.475*44/12</f>
        <v>#REF!</v>
      </c>
      <c r="HJ176" s="143" t="str">
        <f t="shared" si="105"/>
        <v>#REF!</v>
      </c>
    </row>
    <row r="177" ht="14.25" customHeight="1">
      <c r="A177" s="125">
        <f t="shared" si="106"/>
        <v>174</v>
      </c>
      <c r="B177" s="126" t="str">
        <f t="shared" si="1"/>
        <v>#REF!</v>
      </c>
      <c r="C177" s="140" t="str">
        <f>'Calculateur (1)'!C176+'Scénario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7" s="127">
        <f t="shared" si="107"/>
        <v>0</v>
      </c>
      <c r="E177" s="127" t="str">
        <f t="shared" si="2"/>
        <v>#REF!</v>
      </c>
      <c r="F177" s="127" t="str">
        <f t="shared" si="3"/>
        <v>#REF!</v>
      </c>
      <c r="G177" s="127" t="str">
        <f t="shared" si="4"/>
        <v>#REF!</v>
      </c>
      <c r="H177" s="128" t="str">
        <f t="shared" si="5"/>
        <v>#REF!</v>
      </c>
      <c r="I177" s="129" t="str">
        <f t="shared" si="6"/>
        <v>#REF!</v>
      </c>
      <c r="J177" s="130">
        <f t="shared" si="7"/>
        <v>10</v>
      </c>
      <c r="K177" s="131" t="str">
        <f t="shared" si="108"/>
        <v>#REF!</v>
      </c>
      <c r="L177" s="131" t="str">
        <f t="shared" si="8"/>
        <v>#REF!</v>
      </c>
      <c r="M177" s="131" t="str">
        <f t="array" ref="M177">INDEX(L:L,MIN(IF(ISNUMBER(L177:L373),ROW(L177:L373),"")))</f>
        <v/>
      </c>
      <c r="N177" s="130" t="str">
        <f t="shared" si="109"/>
        <v>#REF!</v>
      </c>
      <c r="O177" s="130" t="str">
        <f>N177*VLOOKUP('Données projet (1)'!$B$9,'Paramètres (1)'!$A$1:$I$88,3,0)*VLOOKUP('Données projet (1)'!$B$9,'Paramètres (1)'!$A$1:$I$88,5,0)</f>
        <v>#REF!</v>
      </c>
      <c r="P177" s="130" t="str">
        <f t="shared" si="110"/>
        <v>#REF!</v>
      </c>
      <c r="Q177" s="141" t="str">
        <f t="shared" si="9"/>
        <v>#REF!</v>
      </c>
      <c r="R177" s="133" t="str">
        <f t="shared" si="10"/>
        <v>#REF!</v>
      </c>
      <c r="S177" s="133" t="str">
        <f t="shared" si="11"/>
        <v>#REF!</v>
      </c>
      <c r="T177" s="133" t="str">
        <f t="shared" si="111"/>
        <v>#REF!</v>
      </c>
      <c r="U177" s="134" t="str">
        <f t="shared" si="12"/>
        <v>#REF!</v>
      </c>
      <c r="V177" s="134" t="str">
        <f t="shared" si="13"/>
        <v>#REF!</v>
      </c>
      <c r="W177" s="135" t="str">
        <f>IF(ISNA(VLOOKUP(A177,'Données projet (1)'!$A$35:$I$55,5,0)),0%,VLOOKUP(A177,'Données projet (1)'!$A$35:$I$55,5,0)*VLOOKUP('Données projet (1)'!$B$9,'Paramètres (1)'!$A$1:$I$88,7,0))</f>
        <v>#REF!</v>
      </c>
      <c r="X177" s="135" t="str">
        <f>IF(ISNA(VLOOKUP(A177,'Données projet (1)'!$A$35:$I$55,6,0)),0%,VLOOKUP(A177,'Données projet (1)'!$A$35:$I$55,6,0)*VLOOKUP('Données projet (1)'!$B$9,'Paramètres (1)'!$A$1:$I$88,7,0))</f>
        <v>#REF!</v>
      </c>
      <c r="Y177" s="135" t="str">
        <f t="shared" si="14"/>
        <v>#REF!</v>
      </c>
      <c r="Z177" s="142" t="str">
        <f>EXP(-LN(2)/35)*Z176+(1-EXP(-LN(2)/35))/(LN(2)/35)*V177*W177*VLOOKUP('Données projet (1)'!$B$9,'Paramètres (1)'!$A$1:$I$88,3,0)*0.475*44/12</f>
        <v>#REF!</v>
      </c>
      <c r="AA177" s="142" t="str">
        <f>EXP(-LN(2)/25)*AA176+(1-EXP(-LN(2)/25))/(LN(2)/25)*'Calculateur (1)'!V177*'Calculateur (1)'!X177*VLOOKUP('Données projet (1)'!$B$9,'Paramètres (1)'!$A$1:$I$88,3,0)*0.475*44/12</f>
        <v>#REF!</v>
      </c>
      <c r="AB177" s="142" t="str">
        <f>EXP(-LN(2)/2)*AB176+(1-EXP(-LN(2)/2))/(LN(2)/2)*V177*Y177*VLOOKUP('Données projet (1)'!$B$9,'Paramètres (1)'!$A$1:$I$88,3,0)*0.475*44/12</f>
        <v>#REF!</v>
      </c>
      <c r="AC177" s="143" t="str">
        <f t="shared" si="15"/>
        <v>#REF!</v>
      </c>
      <c r="AD177" s="130" t="str">
        <f t="shared" si="16"/>
        <v>#REF!</v>
      </c>
      <c r="AE177" s="130">
        <f t="shared" si="17"/>
        <v>10</v>
      </c>
      <c r="AF177" s="131" t="str">
        <f t="shared" si="112"/>
        <v>#REF!</v>
      </c>
      <c r="AG177" s="131" t="str">
        <f t="shared" si="18"/>
        <v>#REF!</v>
      </c>
      <c r="AH177" s="131" t="str">
        <f t="array" ref="AH177">INDEX(AG:AG,MIN(IF(ISNUMBER(AG177:AG373),ROW(AG177:AG373),"")))</f>
        <v/>
      </c>
      <c r="AI177" s="130" t="str">
        <f t="shared" si="113"/>
        <v>#REF!</v>
      </c>
      <c r="AJ177" s="130" t="str">
        <f>AI177*VLOOKUP('Données projet (1)'!$B$10,'Paramètres (1)'!$A$1:$I$88,3,0)*VLOOKUP('Données projet (1)'!$B$10,'Paramètres (1)'!$A$1:$I$88,5,0)</f>
        <v>#REF!</v>
      </c>
      <c r="AK177" s="130" t="str">
        <f t="shared" si="114"/>
        <v>#REF!</v>
      </c>
      <c r="AL177" s="141" t="str">
        <f t="shared" si="19"/>
        <v>#REF!</v>
      </c>
      <c r="AM177" s="133" t="str">
        <f t="shared" si="20"/>
        <v>#REF!</v>
      </c>
      <c r="AN177" s="133" t="str">
        <f t="shared" si="21"/>
        <v>#REF!</v>
      </c>
      <c r="AO177" s="133" t="str">
        <f t="shared" si="115"/>
        <v>#REF!</v>
      </c>
      <c r="AP177" s="134" t="str">
        <f t="shared" si="22"/>
        <v>#REF!</v>
      </c>
      <c r="AQ177" s="134" t="str">
        <f t="shared" si="23"/>
        <v>#REF!</v>
      </c>
      <c r="AR177" s="135" t="str">
        <f>IF(ISNA(VLOOKUP(A177,'Données projet (1)'!$A$61:$I$81,5,0)),0%,VLOOKUP(A177,'Données projet (1)'!$A$61:$I$81,5,0)*VLOOKUP('Données projet (1)'!$B$10,'Paramètres (1)'!$A$1:$I$88,7,0))</f>
        <v>#REF!</v>
      </c>
      <c r="AS177" s="135" t="str">
        <f>IF(ISNA(VLOOKUP(A177,'Données projet (1)'!$A$61:$I$81,6,0)),0%,VLOOKUP(A177,'Données projet (1)'!$A$61:$I$81,6,0)*VLOOKUP('Données projet (1)'!$B$10,'Paramètres (1)'!$A$1:$I$88,7,0))</f>
        <v>#REF!</v>
      </c>
      <c r="AT177" s="135" t="str">
        <f t="shared" si="24"/>
        <v>#REF!</v>
      </c>
      <c r="AU177" s="142" t="str">
        <f>EXP(-LN(2)/35)*AU176+(1-EXP(-LN(2)/35))/(LN(2)/35)*AQ177*AR177*VLOOKUP('Données projet (1)'!$B$10,'Paramètres (1)'!$A$1:$I$88,3,0)*0.475*44/12</f>
        <v>#REF!</v>
      </c>
      <c r="AV177" s="142" t="str">
        <f>EXP(-LN(2)/25)*AV176+(1-EXP(-LN(2)/25))/(LN(2)/25)*'Calculateur (1)'!AQ177*'Calculateur (1)'!AS177*VLOOKUP('Données projet (1)'!$B$10,'Paramètres (1)'!$A$1:$I$88,3,0)*0.475*44/12</f>
        <v>#REF!</v>
      </c>
      <c r="AW177" s="142" t="str">
        <f>EXP(-LN(2)/2)*AW176+(1-EXP(-LN(2)/2))/(LN(2)/2)*AQ177*AT177*VLOOKUP('Données projet (1)'!$B$10,'Paramètres (1)'!$A$1:$I$88,3,0)*0.475*44/12</f>
        <v>#REF!</v>
      </c>
      <c r="AX177" s="142" t="str">
        <f t="shared" si="25"/>
        <v>#REF!</v>
      </c>
      <c r="AY177" s="137" t="str">
        <f t="shared" si="26"/>
        <v>#REF!</v>
      </c>
      <c r="AZ177" s="131">
        <f t="shared" si="27"/>
        <v>10</v>
      </c>
      <c r="BA177" s="131" t="str">
        <f t="shared" si="116"/>
        <v>#REF!</v>
      </c>
      <c r="BB177" s="131" t="str">
        <f t="shared" si="28"/>
        <v>#REF!</v>
      </c>
      <c r="BC177" s="131" t="str">
        <f t="array" ref="BC177">INDEX(BB:BB,MIN(IF(ISNUMBER(BB177:BB373),ROW(BB177:BB373),"")))</f>
        <v/>
      </c>
      <c r="BD177" s="131" t="str">
        <f t="shared" si="117"/>
        <v>#REF!</v>
      </c>
      <c r="BE177" s="130" t="str">
        <f>BD177*VLOOKUP('Données projet (1)'!$B$11,'Paramètres (1)'!$A$1:$I$88,3,0)*VLOOKUP('Données projet (1)'!$B$11,'Paramètres (1)'!$A$1:$I$88,5,0)</f>
        <v>#REF!</v>
      </c>
      <c r="BF177" s="130" t="str">
        <f t="shared" si="118"/>
        <v>#REF!</v>
      </c>
      <c r="BG177" s="141" t="str">
        <f t="shared" si="29"/>
        <v>#REF!</v>
      </c>
      <c r="BH177" s="133" t="str">
        <f t="shared" si="30"/>
        <v>#REF!</v>
      </c>
      <c r="BI177" s="133" t="str">
        <f t="shared" si="31"/>
        <v>#REF!</v>
      </c>
      <c r="BJ177" s="133" t="str">
        <f t="shared" si="119"/>
        <v>#REF!</v>
      </c>
      <c r="BK177" s="134" t="str">
        <f t="shared" si="32"/>
        <v>#REF!</v>
      </c>
      <c r="BL177" s="134" t="str">
        <f t="shared" si="33"/>
        <v>#REF!</v>
      </c>
      <c r="BM177" s="135" t="str">
        <f>IF(ISNA(VLOOKUP(A177,'Données projet (1)'!$A$87:$I$107,5,0)),0%,VLOOKUP(A177,'Données projet (1)'!$A$87:$I$107,5,0)*VLOOKUP('Données projet (1)'!$B$11,'Paramètres (1)'!$A$1:$I$88,7,0))</f>
        <v>#REF!</v>
      </c>
      <c r="BN177" s="135" t="str">
        <f>IF(ISNA(VLOOKUP(A177,'Données projet (1)'!$A$87:$I$107,6,0)),0%,VLOOKUP(A177,'Données projet (1)'!$A$87:$I$107,6,0)*VLOOKUP('Données projet (1)'!$B$11,'Paramètres (1)'!$A$1:$I$88,7,0))</f>
        <v>#REF!</v>
      </c>
      <c r="BO177" s="135" t="str">
        <f t="shared" si="34"/>
        <v>#REF!</v>
      </c>
      <c r="BP177" s="142" t="str">
        <f>EXP(-LN(2)/35)*BP176+(1-EXP(-LN(2)/35))/(LN(2)/35)*BL177*BM177*VLOOKUP('Données projet (1)'!$B$11,'Paramètres (1)'!$A$1:$I$88,3,0)*0.475*44/12</f>
        <v>#REF!</v>
      </c>
      <c r="BQ177" s="142" t="str">
        <f>EXP(-LN(2)/25)*BQ176+(1-EXP(-LN(2)/25))/(LN(2)/25)*'Calculateur (1)'!BL177*'Calculateur (1)'!BN177*VLOOKUP('Données projet (1)'!$B$11,'Paramètres (1)'!$A$1:$I$88,3,0)*0.475*44/12</f>
        <v>#REF!</v>
      </c>
      <c r="BR177" s="142" t="str">
        <f>EXP(-LN(2)/2)*BR176+(1-EXP(-LN(2)/2))/(LN(2)/2)*BL177*BO177*VLOOKUP('Données projet (1)'!$B$11,'Paramètres (1)'!$A$1:$I$88,3,0)*0.475*44/12</f>
        <v>#REF!</v>
      </c>
      <c r="BS177" s="143" t="str">
        <f t="shared" si="35"/>
        <v>#REF!</v>
      </c>
      <c r="BT177" s="139" t="str">
        <f t="shared" si="36"/>
        <v>#REF!</v>
      </c>
      <c r="BU177" s="131">
        <f t="shared" si="37"/>
        <v>10</v>
      </c>
      <c r="BV177" s="131" t="str">
        <f t="shared" si="120"/>
        <v>#REF!</v>
      </c>
      <c r="BW177" s="131" t="str">
        <f t="shared" si="38"/>
        <v>#REF!</v>
      </c>
      <c r="BX177" s="131" t="str">
        <f t="array" ref="BX177">INDEX(BW:BW,MIN(IF(ISNUMBER(BW177:BW373),ROW(BW177:BW373),"")))</f>
        <v/>
      </c>
      <c r="BY177" s="131" t="str">
        <f t="shared" si="121"/>
        <v>#REF!</v>
      </c>
      <c r="BZ177" s="130" t="str">
        <f>BY177*VLOOKUP('Données projet (1)'!$B$12,'Paramètres (1)'!$A$1:$I$88,3,0)*VLOOKUP('Données projet (1)'!$B$12,'Paramètres (1)'!$A$1:$I$88,5,0)</f>
        <v>#REF!</v>
      </c>
      <c r="CA177" s="130" t="str">
        <f t="shared" si="122"/>
        <v>#REF!</v>
      </c>
      <c r="CB177" s="141" t="str">
        <f t="shared" si="39"/>
        <v>#REF!</v>
      </c>
      <c r="CC177" s="133" t="str">
        <f t="shared" si="40"/>
        <v>#REF!</v>
      </c>
      <c r="CD177" s="133" t="str">
        <f t="shared" si="41"/>
        <v>#REF!</v>
      </c>
      <c r="CE177" s="133" t="str">
        <f t="shared" si="123"/>
        <v>#REF!</v>
      </c>
      <c r="CF177" s="134" t="str">
        <f t="shared" si="42"/>
        <v>#REF!</v>
      </c>
      <c r="CG177" s="134" t="str">
        <f t="shared" si="43"/>
        <v>#REF!</v>
      </c>
      <c r="CH177" s="135" t="str">
        <f>IF(ISNA(VLOOKUP(A177,'Données projet (1)'!$A$113:$I$133,5,0)),0%,VLOOKUP(A177,'Données projet (1)'!$A$113:$I$133,5,0)*VLOOKUP('Données projet (1)'!$B$12,'Paramètres (1)'!$A$1:$I$88,7,0))</f>
        <v>#REF!</v>
      </c>
      <c r="CI177" s="135" t="str">
        <f>IF(ISNA(VLOOKUP(A177,'Données projet (1)'!$A$113:$I$133,6,0)),0%,VLOOKUP(A177,'Données projet (1)'!$A$113:$I$133,6,0)*VLOOKUP('Données projet (1)'!$B$12,'Paramètres (1)'!$A$1:$I$88,7,0))</f>
        <v>#REF!</v>
      </c>
      <c r="CJ177" s="135" t="str">
        <f t="shared" si="44"/>
        <v>#REF!</v>
      </c>
      <c r="CK177" s="142" t="str">
        <f>EXP(-LN(2)/35)*CK176+(1-EXP(-LN(2)/35))/(LN(2)/35)*CG177*CH177*VLOOKUP('Données projet (1)'!$B$12,'Paramètres (1)'!$A$1:$I$88,3,0)*0.475*44/12</f>
        <v>#REF!</v>
      </c>
      <c r="CL177" s="142" t="str">
        <f>EXP(-LN(2)/25)*CL176+(1-EXP(-LN(2)/25))/(LN(2)/25)*'Calculateur (1)'!CG177*'Calculateur (1)'!CI177*VLOOKUP('Données projet (1)'!$B$12,'Paramètres (1)'!$A$1:$I$88,3,0)*0.475*44/12</f>
        <v>#REF!</v>
      </c>
      <c r="CM177" s="142" t="str">
        <f>EXP(-LN(2)/2)*CM176+(1-EXP(-LN(2)/2))/(LN(2)/2)*CG177*CJ177*VLOOKUP('Données projet (1)'!$B$12,'Paramètres (1)'!$A$1:$I$88,3,0)*0.475*44/12</f>
        <v>#REF!</v>
      </c>
      <c r="CN177" s="143" t="str">
        <f t="shared" si="45"/>
        <v>#REF!</v>
      </c>
      <c r="CO177" s="139" t="str">
        <f t="shared" si="46"/>
        <v>#REF!</v>
      </c>
      <c r="CP177" s="131">
        <f t="shared" si="47"/>
        <v>10</v>
      </c>
      <c r="CQ177" s="131" t="str">
        <f t="shared" si="124"/>
        <v>#REF!</v>
      </c>
      <c r="CR177" s="131" t="str">
        <f t="shared" si="48"/>
        <v>#REF!</v>
      </c>
      <c r="CS177" s="131" t="str">
        <f t="array" ref="CS177">INDEX(CR:CR,MIN(IF(ISNUMBER(CR177:CR373),ROW(CR177:CR373),"")))</f>
        <v/>
      </c>
      <c r="CT177" s="131" t="str">
        <f t="shared" si="125"/>
        <v>#REF!</v>
      </c>
      <c r="CU177" s="138" t="str">
        <f>CT177*VLOOKUP('Données projet (1)'!$B$13,'Paramètres (1)'!$A$1:$I$88,3,0)*VLOOKUP('Données projet (1)'!$B$13,'Paramètres (1)'!$A$1:$I$88,5,0)</f>
        <v>#REF!</v>
      </c>
      <c r="CV177" s="130" t="str">
        <f t="shared" si="126"/>
        <v>#REF!</v>
      </c>
      <c r="CW177" s="141" t="str">
        <f t="shared" si="49"/>
        <v>#REF!</v>
      </c>
      <c r="CX177" s="133" t="str">
        <f t="shared" si="50"/>
        <v>#REF!</v>
      </c>
      <c r="CY177" s="133" t="str">
        <f t="shared" si="51"/>
        <v>#REF!</v>
      </c>
      <c r="CZ177" s="133" t="str">
        <f t="shared" si="127"/>
        <v>#REF!</v>
      </c>
      <c r="DA177" s="134" t="str">
        <f t="shared" si="52"/>
        <v>#REF!</v>
      </c>
      <c r="DB177" s="134" t="str">
        <f t="shared" si="53"/>
        <v>#REF!</v>
      </c>
      <c r="DC177" s="135" t="str">
        <f>IF(ISNA(VLOOKUP(A177,'Données projet (1)'!$A$139:$I$159,5,0)),0%,VLOOKUP(A177,'Données projet (1)'!$A$139:$I$159,5,0)*VLOOKUP('Données projet (1)'!$B$13,'Paramètres (1)'!$A$1:$I$88,7,0))</f>
        <v>#REF!</v>
      </c>
      <c r="DD177" s="135" t="str">
        <f>IF(ISNA(VLOOKUP(A177,'Données projet (1)'!$A$139:$I$159,6,0)),0%,VLOOKUP(A177,'Données projet (1)'!$A$139:$I$159,6,0)*VLOOKUP('Données projet (1)'!$B$13,'Paramètres (1)'!$A$1:$I$88,7,0))</f>
        <v>#REF!</v>
      </c>
      <c r="DE177" s="135" t="str">
        <f t="shared" si="54"/>
        <v>#REF!</v>
      </c>
      <c r="DF177" s="142" t="str">
        <f>EXP(-LN(2)/35)*DF176+(1-EXP(-LN(2)/35))/(LN(2)/35)*DB177*DC177*VLOOKUP('Données projet (1)'!$B$13,'Paramètres (1)'!$A$1:$I$88,3,0)*0.475*44/12</f>
        <v>#REF!</v>
      </c>
      <c r="DG177" s="142" t="str">
        <f>EXP(-LN(2)/25)*DG176+(1-EXP(-LN(2)/25))/(LN(2)/25)*'Calculateur (1)'!DB177*'Calculateur (1)'!DD177*VLOOKUP('Données projet (1)'!$B$13,'Paramètres (1)'!$A$1:$I$88,3,0)*0.475*44/12</f>
        <v>#REF!</v>
      </c>
      <c r="DH177" s="142" t="str">
        <f>EXP(-LN(2)/2)*DH176+(1-EXP(-LN(2)/2))/(LN(2)/2)*DB177*DE177*VLOOKUP('Données projet (1)'!$B$13,'Paramètres (1)'!$A$1:$I$88,3,0)*0.475*44/12</f>
        <v>#REF!</v>
      </c>
      <c r="DI177" s="143" t="str">
        <f t="shared" si="55"/>
        <v>#REF!</v>
      </c>
      <c r="DJ177" s="139" t="str">
        <f t="shared" si="56"/>
        <v>#REF!</v>
      </c>
      <c r="DK177" s="131">
        <f t="shared" si="57"/>
        <v>10</v>
      </c>
      <c r="DL177" s="131" t="str">
        <f t="shared" si="128"/>
        <v>#REF!</v>
      </c>
      <c r="DM177" s="131" t="str">
        <f t="shared" si="58"/>
        <v>#REF!</v>
      </c>
      <c r="DN177" s="131" t="str">
        <f t="array" ref="DN177">INDEX(DM:DM,MIN(IF(ISNUMBER(DM177:DM373),ROW(DM177:DM373),"")))</f>
        <v/>
      </c>
      <c r="DO177" s="131" t="str">
        <f t="shared" si="129"/>
        <v>#REF!</v>
      </c>
      <c r="DP177" s="138" t="str">
        <f>DO177*VLOOKUP('Données projet (1)'!$B$14,'Paramètres (1)'!$A$1:$I$88,3,0)*VLOOKUP('Données projet (1)'!$B$14,'Paramètres (1)'!$A$1:$I$88,5,0)</f>
        <v>#REF!</v>
      </c>
      <c r="DQ177" s="130" t="str">
        <f t="shared" si="130"/>
        <v>#REF!</v>
      </c>
      <c r="DR177" s="141" t="str">
        <f t="shared" si="59"/>
        <v>#REF!</v>
      </c>
      <c r="DS177" s="133" t="str">
        <f t="shared" si="60"/>
        <v>#REF!</v>
      </c>
      <c r="DT177" s="133" t="str">
        <f t="shared" si="61"/>
        <v>#REF!</v>
      </c>
      <c r="DU177" s="133" t="str">
        <f t="shared" si="131"/>
        <v>#REF!</v>
      </c>
      <c r="DV177" s="134" t="str">
        <f t="shared" si="62"/>
        <v>#REF!</v>
      </c>
      <c r="DW177" s="134" t="str">
        <f t="shared" si="63"/>
        <v>#REF!</v>
      </c>
      <c r="DX177" s="135" t="str">
        <f>IF(ISNA(VLOOKUP(A177,'Données projet (1)'!$A$165:$I$185,5,0)),0%,VLOOKUP(A177,'Données projet (1)'!$A$165:$I$185,5,0)*VLOOKUP('Données projet (1)'!$B$14,'Paramètres (1)'!$A$1:$I$88,7,0))</f>
        <v>#REF!</v>
      </c>
      <c r="DY177" s="135" t="str">
        <f>IF(ISNA(VLOOKUP(A177,'Données projet (1)'!$A$165:$I$185,6,0)),0%,VLOOKUP(A177,'Données projet (1)'!$A$165:$I$185,6,0)*VLOOKUP('Données projet (1)'!$B$14,'Paramètres (1)'!$A$1:$I$88,7,0))</f>
        <v>#REF!</v>
      </c>
      <c r="DZ177" s="135" t="str">
        <f t="shared" si="64"/>
        <v>#REF!</v>
      </c>
      <c r="EA177" s="142" t="str">
        <f>EXP(-LN(2)/35)*EA176+(1-EXP(-LN(2)/35))/(LN(2)/35)*DW177*DX177*VLOOKUP('Données projet (1)'!$B$14,'Paramètres (1)'!$A$1:$I$88,3,0)*0.475*44/12</f>
        <v>#REF!</v>
      </c>
      <c r="EB177" s="142" t="str">
        <f>EXP(-LN(2)/25)*EB176+(1-EXP(-LN(2)/25))/(LN(2)/25)*'Calculateur (1)'!DW177*'Calculateur (1)'!DY177*VLOOKUP('Données projet (1)'!$B$14,'Paramètres (1)'!$A$1:$I$88,3,0)*0.475*44/12</f>
        <v>#REF!</v>
      </c>
      <c r="EC177" s="142" t="str">
        <f>EXP(-LN(2)/2)*EC176+(1-EXP(-LN(2)/2))/(LN(2)/2)*DW177*DZ177*VLOOKUP('Données projet (1)'!$B$14,'Paramètres (1)'!$A$1:$I$88,3,0)*0.475*44/12</f>
        <v>#REF!</v>
      </c>
      <c r="ED177" s="143" t="str">
        <f t="shared" si="65"/>
        <v>#REF!</v>
      </c>
      <c r="EE177" s="139" t="str">
        <f t="shared" si="66"/>
        <v>#REF!</v>
      </c>
      <c r="EF177" s="131">
        <f t="shared" si="67"/>
        <v>10</v>
      </c>
      <c r="EG177" s="131" t="str">
        <f t="shared" si="132"/>
        <v>#REF!</v>
      </c>
      <c r="EH177" s="131" t="str">
        <f t="shared" si="68"/>
        <v>#REF!</v>
      </c>
      <c r="EI177" s="131" t="str">
        <f t="array" ref="EI177">INDEX(EH:EH,MIN(IF(ISNUMBER(EH177:EH373),ROW(EH177:EH373),"")))</f>
        <v/>
      </c>
      <c r="EJ177" s="131" t="str">
        <f t="shared" si="133"/>
        <v>#REF!</v>
      </c>
      <c r="EK177" s="138" t="str">
        <f>EJ177*VLOOKUP('Données projet (1)'!$B$15,'Paramètres (1)'!$A$1:$I$88,3,0)*VLOOKUP('Données projet (1)'!$B$15,'Paramètres (1)'!$A$1:$I$88,5,0)</f>
        <v>#REF!</v>
      </c>
      <c r="EL177" s="130" t="str">
        <f t="shared" si="134"/>
        <v>#REF!</v>
      </c>
      <c r="EM177" s="141" t="str">
        <f t="shared" si="69"/>
        <v>#REF!</v>
      </c>
      <c r="EN177" s="133" t="str">
        <f t="shared" si="70"/>
        <v>#REF!</v>
      </c>
      <c r="EO177" s="133" t="str">
        <f t="shared" si="71"/>
        <v>#REF!</v>
      </c>
      <c r="EP177" s="133" t="str">
        <f t="shared" si="135"/>
        <v>#REF!</v>
      </c>
      <c r="EQ177" s="134" t="str">
        <f t="shared" si="72"/>
        <v>#REF!</v>
      </c>
      <c r="ER177" s="134" t="str">
        <f t="shared" si="73"/>
        <v>#REF!</v>
      </c>
      <c r="ES177" s="135" t="str">
        <f>IF(ISNA(VLOOKUP(A177,'Données projet (1)'!$A$191:$I$211,5,0)),0%,VLOOKUP(A177,'Données projet (1)'!$A$191:$I$211,5,0)*VLOOKUP('Données projet (1)'!$B$15,'Paramètres (1)'!$A$1:$I$88,7,0))</f>
        <v>#REF!</v>
      </c>
      <c r="ET177" s="135" t="str">
        <f>IF(ISNA(VLOOKUP(A177,'Données projet (1)'!$A$191:$I$211,6,0)),0%,VLOOKUP(A177,'Données projet (1)'!$A$191:$I$211,6,0)*VLOOKUP('Données projet (1)'!$B$15,'Paramètres (1)'!$A$1:$I$88,7,0))</f>
        <v>#REF!</v>
      </c>
      <c r="EU177" s="135" t="str">
        <f t="shared" si="74"/>
        <v>#REF!</v>
      </c>
      <c r="EV177" s="142" t="str">
        <f>EXP(-LN(2)/35)*EV176+(1-EXP(-LN(2)/35))/(LN(2)/35)*ER177*ES177*VLOOKUP('Données projet (1)'!$B$15,'Paramètres (1)'!$A$1:$I$88,3,0)*0.475*44/12</f>
        <v>#REF!</v>
      </c>
      <c r="EW177" s="142" t="str">
        <f>EXP(-LN(2)/25)*EW176+(1-EXP(-LN(2)/25))/(LN(2)/25)*'Calculateur (1)'!ER177*'Calculateur (1)'!ET177*VLOOKUP('Données projet (1)'!$B$15,'Paramètres (1)'!$A$1:$I$88,3,0)*0.475*44/12</f>
        <v>#REF!</v>
      </c>
      <c r="EX177" s="142" t="str">
        <f>EXP(-LN(2)/2)*EX176+(1-EXP(-LN(2)/2))/(LN(2)/2)*ER177*EU177*VLOOKUP('Données projet (1)'!$B$15,'Paramètres (1)'!$A$1:$I$88,3,0)*0.475*44/12</f>
        <v>#REF!</v>
      </c>
      <c r="EY177" s="143" t="str">
        <f t="shared" si="75"/>
        <v>#REF!</v>
      </c>
      <c r="EZ177" s="139" t="str">
        <f t="shared" si="76"/>
        <v>#REF!</v>
      </c>
      <c r="FA177" s="131">
        <f t="shared" si="77"/>
        <v>10</v>
      </c>
      <c r="FB177" s="131" t="str">
        <f t="shared" si="136"/>
        <v>#REF!</v>
      </c>
      <c r="FC177" s="131" t="str">
        <f t="shared" si="78"/>
        <v>#REF!</v>
      </c>
      <c r="FD177" s="131" t="str">
        <f t="array" ref="FD177">INDEX(FC:FC,MIN(IF(ISNUMBER(FC177:FC373),ROW(FC177:FC373),"")))</f>
        <v/>
      </c>
      <c r="FE177" s="131" t="str">
        <f t="shared" si="137"/>
        <v>#REF!</v>
      </c>
      <c r="FF177" s="138" t="str">
        <f>FE177*VLOOKUP('Données projet (1)'!$B$16,'Paramètres (1)'!$A$1:$I$88,3,0)*VLOOKUP('Données projet (1)'!$B$16,'Paramètres (1)'!$A$1:$I$88,5,0)</f>
        <v>#REF!</v>
      </c>
      <c r="FG177" s="130" t="str">
        <f t="shared" si="138"/>
        <v>#REF!</v>
      </c>
      <c r="FH177" s="141" t="str">
        <f t="shared" si="79"/>
        <v>#REF!</v>
      </c>
      <c r="FI177" s="133" t="str">
        <f t="shared" si="80"/>
        <v>#REF!</v>
      </c>
      <c r="FJ177" s="133" t="str">
        <f t="shared" si="81"/>
        <v>#REF!</v>
      </c>
      <c r="FK177" s="133" t="str">
        <f t="shared" si="139"/>
        <v>#REF!</v>
      </c>
      <c r="FL177" s="134" t="str">
        <f t="shared" si="82"/>
        <v>#REF!</v>
      </c>
      <c r="FM177" s="134" t="str">
        <f t="shared" si="83"/>
        <v>#REF!</v>
      </c>
      <c r="FN177" s="135" t="str">
        <f>IF(ISNA(VLOOKUP(A177,'Données projet (1)'!$A$217:$I$237,5,0)),0%,VLOOKUP(A177,'Données projet (1)'!$A$217:$I$237,5,0)*VLOOKUP('Données projet (1)'!$B$16,'Paramètres (1)'!$A$1:$I$88,7,0))</f>
        <v>#REF!</v>
      </c>
      <c r="FO177" s="135" t="str">
        <f>IF(ISNA(VLOOKUP(A177,'Données projet (1)'!$A$217:$I$237,6,0)),0%,VLOOKUP(A177,'Données projet (1)'!$A$217:$I$237,6,0)*VLOOKUP('Données projet (1)'!$B$16,'Paramètres (1)'!$A$1:$I$88,7,0))</f>
        <v>#REF!</v>
      </c>
      <c r="FP177" s="135" t="str">
        <f t="shared" si="84"/>
        <v>#REF!</v>
      </c>
      <c r="FQ177" s="142" t="str">
        <f>EXP(-LN(2)/35)*FQ176+(1-EXP(-LN(2)/35))/(LN(2)/35)*FM177*FN177*VLOOKUP('Données projet (1)'!$B$16,'Paramètres (1)'!$A$1:$I$88,3,0)*0.475*44/12</f>
        <v>#REF!</v>
      </c>
      <c r="FR177" s="142" t="str">
        <f>EXP(-LN(2)/25)*FR176+(1-EXP(-LN(2)/25))/(LN(2)/25)*'Calculateur (1)'!FM177*'Calculateur (1)'!FO177*VLOOKUP('Données projet (1)'!$B$16,'Paramètres (1)'!$A$1:$I$88,3,0)*0.475*44/12</f>
        <v>#REF!</v>
      </c>
      <c r="FS177" s="142" t="str">
        <f>EXP(-LN(2)/2)*FS176+(1-EXP(-LN(2)/2))/(LN(2)/2)*FM177*FP177*VLOOKUP('Données projet (1)'!$B$16,'Paramètres (1)'!$A$1:$I$88,3,0)*0.475*44/12</f>
        <v>#REF!</v>
      </c>
      <c r="FT177" s="143" t="str">
        <f t="shared" si="85"/>
        <v>#REF!</v>
      </c>
      <c r="FU177" s="139" t="str">
        <f t="shared" si="86"/>
        <v>#REF!</v>
      </c>
      <c r="FV177" s="131">
        <f t="shared" si="87"/>
        <v>10</v>
      </c>
      <c r="FW177" s="131" t="str">
        <f t="shared" si="140"/>
        <v>#REF!</v>
      </c>
      <c r="FX177" s="131" t="str">
        <f t="shared" si="88"/>
        <v>#REF!</v>
      </c>
      <c r="FY177" s="131" t="str">
        <f t="array" ref="FY177">INDEX(FX:FX,MIN(IF(ISNUMBER(FX177:FX373),ROW(FX177:FX373),"")))</f>
        <v/>
      </c>
      <c r="FZ177" s="131" t="str">
        <f t="shared" si="141"/>
        <v>#REF!</v>
      </c>
      <c r="GA177" s="138" t="str">
        <f>FZ177*VLOOKUP('Données projet (1)'!$B$17,'Paramètres (1)'!$A$1:$I$88,3,0)*VLOOKUP('Données projet (1)'!$B$17,'Paramètres (1)'!$A$1:$I$88,5,0)</f>
        <v>#REF!</v>
      </c>
      <c r="GB177" s="130" t="str">
        <f t="shared" si="142"/>
        <v>#REF!</v>
      </c>
      <c r="GC177" s="141" t="str">
        <f t="shared" si="89"/>
        <v>#REF!</v>
      </c>
      <c r="GD177" s="133" t="str">
        <f t="shared" si="90"/>
        <v>#REF!</v>
      </c>
      <c r="GE177" s="133" t="str">
        <f t="shared" si="91"/>
        <v>#REF!</v>
      </c>
      <c r="GF177" s="133" t="str">
        <f t="shared" si="143"/>
        <v>#REF!</v>
      </c>
      <c r="GG177" s="134" t="str">
        <f t="shared" si="92"/>
        <v>#REF!</v>
      </c>
      <c r="GH177" s="134" t="str">
        <f t="shared" si="93"/>
        <v>#REF!</v>
      </c>
      <c r="GI177" s="135" t="str">
        <f>IF(ISNA(VLOOKUP(A177,'Données projet (1)'!$A$243:$I$263,5,0)),0%,VLOOKUP(A177,'Données projet (1)'!$A$243:$I$263,5,0)*VLOOKUP('Données projet (1)'!$B$17,'Paramètres (1)'!$A$1:$I$88,7,0))</f>
        <v>#REF!</v>
      </c>
      <c r="GJ177" s="135" t="str">
        <f>IF(ISNA(VLOOKUP(A177,'Données projet (1)'!$A$243:$I$263,6,0)),0%,VLOOKUP(A177,'Données projet (1)'!$A$243:$I$263,6,0)*VLOOKUP('Données projet (1)'!$B$17,'Paramètres (1)'!$A$1:$I$88,7,0))</f>
        <v>#REF!</v>
      </c>
      <c r="GK177" s="135" t="str">
        <f t="shared" si="94"/>
        <v>#REF!</v>
      </c>
      <c r="GL177" s="142" t="str">
        <f>EXP(-LN(2)/35)*GL176+(1-EXP(-LN(2)/35))/(LN(2)/35)*GH177*GI177*VLOOKUP('Données projet (1)'!$B$17,'Paramètres (1)'!$A$1:$I$88,3,0)*0.475*44/12</f>
        <v>#REF!</v>
      </c>
      <c r="GM177" s="142" t="str">
        <f>EXP(-LN(2)/25)*GM176+(1-EXP(-LN(2)/25))/(LN(2)/25)*'Calculateur (1)'!GH177*'Calculateur (1)'!GJ177*VLOOKUP('Données projet (1)'!$B$17,'Paramètres (1)'!$A$1:$I$88,3,0)*0.475*44/12</f>
        <v>#REF!</v>
      </c>
      <c r="GN177" s="142" t="str">
        <f>EXP(-LN(2)/2)*GN176+(1-EXP(-LN(2)/2))/(LN(2)/2)*GH177*GK177*VLOOKUP('Données projet (1)'!$B$17,'Paramètres (1)'!$A$1:$I$88,3,0)*0.475*44/12</f>
        <v>#REF!</v>
      </c>
      <c r="GO177" s="142" t="str">
        <f t="shared" si="95"/>
        <v>#REF!</v>
      </c>
      <c r="GP177" s="139" t="str">
        <f t="shared" si="96"/>
        <v>#REF!</v>
      </c>
      <c r="GQ177" s="131">
        <f t="shared" si="97"/>
        <v>10</v>
      </c>
      <c r="GR177" s="131" t="str">
        <f t="shared" si="144"/>
        <v>#REF!</v>
      </c>
      <c r="GS177" s="131" t="str">
        <f t="shared" si="98"/>
        <v>#REF!</v>
      </c>
      <c r="GT177" s="131" t="str">
        <f t="array" ref="GT177">INDEX(GS:GS,MIN(IF(ISNUMBER(GS177:GS373),ROW(GS177:GS373),"")))</f>
        <v/>
      </c>
      <c r="GU177" s="131" t="str">
        <f t="shared" si="145"/>
        <v>#REF!</v>
      </c>
      <c r="GV177" s="138" t="str">
        <f>GU177*VLOOKUP('Données projet (1)'!$B$18,'Paramètres (1)'!$A$1:$I$88,3,0)*VLOOKUP('Données projet (1)'!$B$18,'Paramètres (1)'!$A$1:$I$88,5,0)</f>
        <v>#REF!</v>
      </c>
      <c r="GW177" s="130" t="str">
        <f t="shared" si="146"/>
        <v>#REF!</v>
      </c>
      <c r="GX177" s="141" t="str">
        <f t="shared" si="99"/>
        <v>#REF!</v>
      </c>
      <c r="GY177" s="133" t="str">
        <f t="shared" si="100"/>
        <v>#REF!</v>
      </c>
      <c r="GZ177" s="133" t="str">
        <f t="shared" si="101"/>
        <v>#REF!</v>
      </c>
      <c r="HA177" s="133" t="str">
        <f t="shared" si="147"/>
        <v>#REF!</v>
      </c>
      <c r="HB177" s="134" t="str">
        <f t="shared" si="102"/>
        <v>#REF!</v>
      </c>
      <c r="HC177" s="134" t="str">
        <f t="shared" si="103"/>
        <v>#REF!</v>
      </c>
      <c r="HD177" s="135" t="str">
        <f>IF(ISNA(VLOOKUP(A177,'Données projet (1)'!$A$269:$I$289,5,0)),0%,VLOOKUP(A177,'Données projet (1)'!$A$269:$I$289,5,0)*VLOOKUP('Données projet (1)'!$B$18,'Paramètres (1)'!$A$1:$I$88,7,0))</f>
        <v>#REF!</v>
      </c>
      <c r="HE177" s="135" t="str">
        <f>IF(ISNA(VLOOKUP(A177,'Données projet (1)'!$A$269:$I$289,6,0)),0%,VLOOKUP(A177,'Données projet (1)'!$A$269:$I$289,6,0)*VLOOKUP('Données projet (1)'!$B$18,'Paramètres (1)'!$A$1:$I$88,7,0))</f>
        <v>#REF!</v>
      </c>
      <c r="HF177" s="135" t="str">
        <f t="shared" si="104"/>
        <v>#REF!</v>
      </c>
      <c r="HG177" s="142" t="str">
        <f>EXP(-LN(2)/35)*HG176+(1-EXP(-LN(2)/35))/(LN(2)/35)*HC177*HD177*VLOOKUP('Données projet (1)'!$B$18,'Paramètres (1)'!$A$1:$I$88,3,0)*0.475*44/12</f>
        <v>#REF!</v>
      </c>
      <c r="HH177" s="142" t="str">
        <f>EXP(-LN(2)/25)*HH176+(1-EXP(-LN(2)/25))/(LN(2)/25)*'Calculateur (1)'!HC177*'Calculateur (1)'!HE177*VLOOKUP('Données projet (1)'!$B$18,'Paramètres (1)'!$A$1:$I$88,3,0)*0.475*44/12</f>
        <v>#REF!</v>
      </c>
      <c r="HI177" s="142" t="str">
        <f>EXP(-LN(2)/2)*HI176+(1-EXP(-LN(2)/2))/(LN(2)/2)*HC177*HF177*VLOOKUP('Données projet (1)'!$B$18,'Paramètres (1)'!$A$1:$I$88,3,0)*0.475*44/12</f>
        <v>#REF!</v>
      </c>
      <c r="HJ177" s="143" t="str">
        <f t="shared" si="105"/>
        <v>#REF!</v>
      </c>
    </row>
    <row r="178" ht="14.25" customHeight="1">
      <c r="A178" s="125">
        <f t="shared" si="106"/>
        <v>175</v>
      </c>
      <c r="B178" s="126" t="str">
        <f t="shared" si="1"/>
        <v>#REF!</v>
      </c>
      <c r="C178" s="140" t="str">
        <f>'Calculateur (1)'!C177+'Scénario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8" s="127">
        <f t="shared" si="107"/>
        <v>0</v>
      </c>
      <c r="E178" s="127" t="str">
        <f t="shared" si="2"/>
        <v>#REF!</v>
      </c>
      <c r="F178" s="127" t="str">
        <f t="shared" si="3"/>
        <v>#REF!</v>
      </c>
      <c r="G178" s="127" t="str">
        <f t="shared" si="4"/>
        <v>#REF!</v>
      </c>
      <c r="H178" s="128" t="str">
        <f t="shared" si="5"/>
        <v>#REF!</v>
      </c>
      <c r="I178" s="129" t="str">
        <f t="shared" si="6"/>
        <v>#REF!</v>
      </c>
      <c r="J178" s="130">
        <f t="shared" si="7"/>
        <v>10</v>
      </c>
      <c r="K178" s="131" t="str">
        <f t="shared" si="108"/>
        <v>#REF!</v>
      </c>
      <c r="L178" s="131" t="str">
        <f t="shared" si="8"/>
        <v>#REF!</v>
      </c>
      <c r="M178" s="131" t="str">
        <f t="array" ref="M178">INDEX(L:L,MIN(IF(ISNUMBER(L178:L374),ROW(L178:L374),"")))</f>
        <v/>
      </c>
      <c r="N178" s="130" t="str">
        <f t="shared" si="109"/>
        <v>#REF!</v>
      </c>
      <c r="O178" s="130" t="str">
        <f>N178*VLOOKUP('Données projet (1)'!$B$9,'Paramètres (1)'!$A$1:$I$88,3,0)*VLOOKUP('Données projet (1)'!$B$9,'Paramètres (1)'!$A$1:$I$88,5,0)</f>
        <v>#REF!</v>
      </c>
      <c r="P178" s="130" t="str">
        <f t="shared" si="110"/>
        <v>#REF!</v>
      </c>
      <c r="Q178" s="141" t="str">
        <f t="shared" si="9"/>
        <v>#REF!</v>
      </c>
      <c r="R178" s="133" t="str">
        <f t="shared" si="10"/>
        <v>#REF!</v>
      </c>
      <c r="S178" s="133" t="str">
        <f t="shared" si="11"/>
        <v>#REF!</v>
      </c>
      <c r="T178" s="133" t="str">
        <f t="shared" si="111"/>
        <v>#REF!</v>
      </c>
      <c r="U178" s="134" t="str">
        <f t="shared" si="12"/>
        <v>#REF!</v>
      </c>
      <c r="V178" s="134" t="str">
        <f t="shared" si="13"/>
        <v>#REF!</v>
      </c>
      <c r="W178" s="135" t="str">
        <f>IF(ISNA(VLOOKUP(A178,'Données projet (1)'!$A$35:$I$55,5,0)),0%,VLOOKUP(A178,'Données projet (1)'!$A$35:$I$55,5,0)*VLOOKUP('Données projet (1)'!$B$9,'Paramètres (1)'!$A$1:$I$88,7,0))</f>
        <v>#REF!</v>
      </c>
      <c r="X178" s="135" t="str">
        <f>IF(ISNA(VLOOKUP(A178,'Données projet (1)'!$A$35:$I$55,6,0)),0%,VLOOKUP(A178,'Données projet (1)'!$A$35:$I$55,6,0)*VLOOKUP('Données projet (1)'!$B$9,'Paramètres (1)'!$A$1:$I$88,7,0))</f>
        <v>#REF!</v>
      </c>
      <c r="Y178" s="135" t="str">
        <f t="shared" si="14"/>
        <v>#REF!</v>
      </c>
      <c r="Z178" s="142" t="str">
        <f>EXP(-LN(2)/35)*Z177+(1-EXP(-LN(2)/35))/(LN(2)/35)*V178*W178*VLOOKUP('Données projet (1)'!$B$9,'Paramètres (1)'!$A$1:$I$88,3,0)*0.475*44/12</f>
        <v>#REF!</v>
      </c>
      <c r="AA178" s="142" t="str">
        <f>EXP(-LN(2)/25)*AA177+(1-EXP(-LN(2)/25))/(LN(2)/25)*'Calculateur (1)'!V178*'Calculateur (1)'!X178*VLOOKUP('Données projet (1)'!$B$9,'Paramètres (1)'!$A$1:$I$88,3,0)*0.475*44/12</f>
        <v>#REF!</v>
      </c>
      <c r="AB178" s="142" t="str">
        <f>EXP(-LN(2)/2)*AB177+(1-EXP(-LN(2)/2))/(LN(2)/2)*V178*Y178*VLOOKUP('Données projet (1)'!$B$9,'Paramètres (1)'!$A$1:$I$88,3,0)*0.475*44/12</f>
        <v>#REF!</v>
      </c>
      <c r="AC178" s="143" t="str">
        <f t="shared" si="15"/>
        <v>#REF!</v>
      </c>
      <c r="AD178" s="130" t="str">
        <f t="shared" si="16"/>
        <v>#REF!</v>
      </c>
      <c r="AE178" s="130">
        <f t="shared" si="17"/>
        <v>10</v>
      </c>
      <c r="AF178" s="131" t="str">
        <f t="shared" si="112"/>
        <v>#REF!</v>
      </c>
      <c r="AG178" s="131" t="str">
        <f t="shared" si="18"/>
        <v>#REF!</v>
      </c>
      <c r="AH178" s="131" t="str">
        <f t="array" ref="AH178">INDEX(AG:AG,MIN(IF(ISNUMBER(AG178:AG374),ROW(AG178:AG374),"")))</f>
        <v/>
      </c>
      <c r="AI178" s="130" t="str">
        <f t="shared" si="113"/>
        <v>#REF!</v>
      </c>
      <c r="AJ178" s="130" t="str">
        <f>AI178*VLOOKUP('Données projet (1)'!$B$10,'Paramètres (1)'!$A$1:$I$88,3,0)*VLOOKUP('Données projet (1)'!$B$10,'Paramètres (1)'!$A$1:$I$88,5,0)</f>
        <v>#REF!</v>
      </c>
      <c r="AK178" s="130" t="str">
        <f t="shared" si="114"/>
        <v>#REF!</v>
      </c>
      <c r="AL178" s="141" t="str">
        <f t="shared" si="19"/>
        <v>#REF!</v>
      </c>
      <c r="AM178" s="133" t="str">
        <f t="shared" si="20"/>
        <v>#REF!</v>
      </c>
      <c r="AN178" s="133" t="str">
        <f t="shared" si="21"/>
        <v>#REF!</v>
      </c>
      <c r="AO178" s="133" t="str">
        <f t="shared" si="115"/>
        <v>#REF!</v>
      </c>
      <c r="AP178" s="134" t="str">
        <f t="shared" si="22"/>
        <v>#REF!</v>
      </c>
      <c r="AQ178" s="134" t="str">
        <f t="shared" si="23"/>
        <v>#REF!</v>
      </c>
      <c r="AR178" s="135" t="str">
        <f>IF(ISNA(VLOOKUP(A178,'Données projet (1)'!$A$61:$I$81,5,0)),0%,VLOOKUP(A178,'Données projet (1)'!$A$61:$I$81,5,0)*VLOOKUP('Données projet (1)'!$B$10,'Paramètres (1)'!$A$1:$I$88,7,0))</f>
        <v>#REF!</v>
      </c>
      <c r="AS178" s="135" t="str">
        <f>IF(ISNA(VLOOKUP(A178,'Données projet (1)'!$A$61:$I$81,6,0)),0%,VLOOKUP(A178,'Données projet (1)'!$A$61:$I$81,6,0)*VLOOKUP('Données projet (1)'!$B$10,'Paramètres (1)'!$A$1:$I$88,7,0))</f>
        <v>#REF!</v>
      </c>
      <c r="AT178" s="135" t="str">
        <f t="shared" si="24"/>
        <v>#REF!</v>
      </c>
      <c r="AU178" s="142" t="str">
        <f>EXP(-LN(2)/35)*AU177+(1-EXP(-LN(2)/35))/(LN(2)/35)*AQ178*AR178*VLOOKUP('Données projet (1)'!$B$10,'Paramètres (1)'!$A$1:$I$88,3,0)*0.475*44/12</f>
        <v>#REF!</v>
      </c>
      <c r="AV178" s="142" t="str">
        <f>EXP(-LN(2)/25)*AV177+(1-EXP(-LN(2)/25))/(LN(2)/25)*'Calculateur (1)'!AQ178*'Calculateur (1)'!AS178*VLOOKUP('Données projet (1)'!$B$10,'Paramètres (1)'!$A$1:$I$88,3,0)*0.475*44/12</f>
        <v>#REF!</v>
      </c>
      <c r="AW178" s="142" t="str">
        <f>EXP(-LN(2)/2)*AW177+(1-EXP(-LN(2)/2))/(LN(2)/2)*AQ178*AT178*VLOOKUP('Données projet (1)'!$B$10,'Paramètres (1)'!$A$1:$I$88,3,0)*0.475*44/12</f>
        <v>#REF!</v>
      </c>
      <c r="AX178" s="142" t="str">
        <f t="shared" si="25"/>
        <v>#REF!</v>
      </c>
      <c r="AY178" s="137" t="str">
        <f t="shared" si="26"/>
        <v>#REF!</v>
      </c>
      <c r="AZ178" s="131">
        <f t="shared" si="27"/>
        <v>10</v>
      </c>
      <c r="BA178" s="131" t="str">
        <f t="shared" si="116"/>
        <v>#REF!</v>
      </c>
      <c r="BB178" s="131" t="str">
        <f t="shared" si="28"/>
        <v>#REF!</v>
      </c>
      <c r="BC178" s="131" t="str">
        <f t="array" ref="BC178">INDEX(BB:BB,MIN(IF(ISNUMBER(BB178:BB374),ROW(BB178:BB374),"")))</f>
        <v/>
      </c>
      <c r="BD178" s="131" t="str">
        <f t="shared" si="117"/>
        <v>#REF!</v>
      </c>
      <c r="BE178" s="130" t="str">
        <f>BD178*VLOOKUP('Données projet (1)'!$B$11,'Paramètres (1)'!$A$1:$I$88,3,0)*VLOOKUP('Données projet (1)'!$B$11,'Paramètres (1)'!$A$1:$I$88,5,0)</f>
        <v>#REF!</v>
      </c>
      <c r="BF178" s="130" t="str">
        <f t="shared" si="118"/>
        <v>#REF!</v>
      </c>
      <c r="BG178" s="141" t="str">
        <f t="shared" si="29"/>
        <v>#REF!</v>
      </c>
      <c r="BH178" s="133" t="str">
        <f t="shared" si="30"/>
        <v>#REF!</v>
      </c>
      <c r="BI178" s="133" t="str">
        <f t="shared" si="31"/>
        <v>#REF!</v>
      </c>
      <c r="BJ178" s="133" t="str">
        <f t="shared" si="119"/>
        <v>#REF!</v>
      </c>
      <c r="BK178" s="134" t="str">
        <f t="shared" si="32"/>
        <v>#REF!</v>
      </c>
      <c r="BL178" s="134" t="str">
        <f t="shared" si="33"/>
        <v>#REF!</v>
      </c>
      <c r="BM178" s="135" t="str">
        <f>IF(ISNA(VLOOKUP(A178,'Données projet (1)'!$A$87:$I$107,5,0)),0%,VLOOKUP(A178,'Données projet (1)'!$A$87:$I$107,5,0)*VLOOKUP('Données projet (1)'!$B$11,'Paramètres (1)'!$A$1:$I$88,7,0))</f>
        <v>#REF!</v>
      </c>
      <c r="BN178" s="135" t="str">
        <f>IF(ISNA(VLOOKUP(A178,'Données projet (1)'!$A$87:$I$107,6,0)),0%,VLOOKUP(A178,'Données projet (1)'!$A$87:$I$107,6,0)*VLOOKUP('Données projet (1)'!$B$11,'Paramètres (1)'!$A$1:$I$88,7,0))</f>
        <v>#REF!</v>
      </c>
      <c r="BO178" s="135" t="str">
        <f t="shared" si="34"/>
        <v>#REF!</v>
      </c>
      <c r="BP178" s="142" t="str">
        <f>EXP(-LN(2)/35)*BP177+(1-EXP(-LN(2)/35))/(LN(2)/35)*BL178*BM178*VLOOKUP('Données projet (1)'!$B$11,'Paramètres (1)'!$A$1:$I$88,3,0)*0.475*44/12</f>
        <v>#REF!</v>
      </c>
      <c r="BQ178" s="142" t="str">
        <f>EXP(-LN(2)/25)*BQ177+(1-EXP(-LN(2)/25))/(LN(2)/25)*'Calculateur (1)'!BL178*'Calculateur (1)'!BN178*VLOOKUP('Données projet (1)'!$B$11,'Paramètres (1)'!$A$1:$I$88,3,0)*0.475*44/12</f>
        <v>#REF!</v>
      </c>
      <c r="BR178" s="142" t="str">
        <f>EXP(-LN(2)/2)*BR177+(1-EXP(-LN(2)/2))/(LN(2)/2)*BL178*BO178*VLOOKUP('Données projet (1)'!$B$11,'Paramètres (1)'!$A$1:$I$88,3,0)*0.475*44/12</f>
        <v>#REF!</v>
      </c>
      <c r="BS178" s="143" t="str">
        <f t="shared" si="35"/>
        <v>#REF!</v>
      </c>
      <c r="BT178" s="139" t="str">
        <f t="shared" si="36"/>
        <v>#REF!</v>
      </c>
      <c r="BU178" s="131">
        <f t="shared" si="37"/>
        <v>10</v>
      </c>
      <c r="BV178" s="131" t="str">
        <f t="shared" si="120"/>
        <v>#REF!</v>
      </c>
      <c r="BW178" s="131" t="str">
        <f t="shared" si="38"/>
        <v>#REF!</v>
      </c>
      <c r="BX178" s="131" t="str">
        <f t="array" ref="BX178">INDEX(BW:BW,MIN(IF(ISNUMBER(BW178:BW374),ROW(BW178:BW374),"")))</f>
        <v/>
      </c>
      <c r="BY178" s="131" t="str">
        <f t="shared" si="121"/>
        <v>#REF!</v>
      </c>
      <c r="BZ178" s="130" t="str">
        <f>BY178*VLOOKUP('Données projet (1)'!$B$12,'Paramètres (1)'!$A$1:$I$88,3,0)*VLOOKUP('Données projet (1)'!$B$12,'Paramètres (1)'!$A$1:$I$88,5,0)</f>
        <v>#REF!</v>
      </c>
      <c r="CA178" s="130" t="str">
        <f t="shared" si="122"/>
        <v>#REF!</v>
      </c>
      <c r="CB178" s="141" t="str">
        <f t="shared" si="39"/>
        <v>#REF!</v>
      </c>
      <c r="CC178" s="133" t="str">
        <f t="shared" si="40"/>
        <v>#REF!</v>
      </c>
      <c r="CD178" s="133" t="str">
        <f t="shared" si="41"/>
        <v>#REF!</v>
      </c>
      <c r="CE178" s="133" t="str">
        <f t="shared" si="123"/>
        <v>#REF!</v>
      </c>
      <c r="CF178" s="134" t="str">
        <f t="shared" si="42"/>
        <v>#REF!</v>
      </c>
      <c r="CG178" s="134" t="str">
        <f t="shared" si="43"/>
        <v>#REF!</v>
      </c>
      <c r="CH178" s="135" t="str">
        <f>IF(ISNA(VLOOKUP(A178,'Données projet (1)'!$A$113:$I$133,5,0)),0%,VLOOKUP(A178,'Données projet (1)'!$A$113:$I$133,5,0)*VLOOKUP('Données projet (1)'!$B$12,'Paramètres (1)'!$A$1:$I$88,7,0))</f>
        <v>#REF!</v>
      </c>
      <c r="CI178" s="135" t="str">
        <f>IF(ISNA(VLOOKUP(A178,'Données projet (1)'!$A$113:$I$133,6,0)),0%,VLOOKUP(A178,'Données projet (1)'!$A$113:$I$133,6,0)*VLOOKUP('Données projet (1)'!$B$12,'Paramètres (1)'!$A$1:$I$88,7,0))</f>
        <v>#REF!</v>
      </c>
      <c r="CJ178" s="135" t="str">
        <f t="shared" si="44"/>
        <v>#REF!</v>
      </c>
      <c r="CK178" s="142" t="str">
        <f>EXP(-LN(2)/35)*CK177+(1-EXP(-LN(2)/35))/(LN(2)/35)*CG178*CH178*VLOOKUP('Données projet (1)'!$B$12,'Paramètres (1)'!$A$1:$I$88,3,0)*0.475*44/12</f>
        <v>#REF!</v>
      </c>
      <c r="CL178" s="142" t="str">
        <f>EXP(-LN(2)/25)*CL177+(1-EXP(-LN(2)/25))/(LN(2)/25)*'Calculateur (1)'!CG178*'Calculateur (1)'!CI178*VLOOKUP('Données projet (1)'!$B$12,'Paramètres (1)'!$A$1:$I$88,3,0)*0.475*44/12</f>
        <v>#REF!</v>
      </c>
      <c r="CM178" s="142" t="str">
        <f>EXP(-LN(2)/2)*CM177+(1-EXP(-LN(2)/2))/(LN(2)/2)*CG178*CJ178*VLOOKUP('Données projet (1)'!$B$12,'Paramètres (1)'!$A$1:$I$88,3,0)*0.475*44/12</f>
        <v>#REF!</v>
      </c>
      <c r="CN178" s="143" t="str">
        <f t="shared" si="45"/>
        <v>#REF!</v>
      </c>
      <c r="CO178" s="139" t="str">
        <f t="shared" si="46"/>
        <v>#REF!</v>
      </c>
      <c r="CP178" s="131">
        <f t="shared" si="47"/>
        <v>10</v>
      </c>
      <c r="CQ178" s="131" t="str">
        <f t="shared" si="124"/>
        <v>#REF!</v>
      </c>
      <c r="CR178" s="131" t="str">
        <f t="shared" si="48"/>
        <v>#REF!</v>
      </c>
      <c r="CS178" s="131" t="str">
        <f t="array" ref="CS178">INDEX(CR:CR,MIN(IF(ISNUMBER(CR178:CR374),ROW(CR178:CR374),"")))</f>
        <v/>
      </c>
      <c r="CT178" s="131" t="str">
        <f t="shared" si="125"/>
        <v>#REF!</v>
      </c>
      <c r="CU178" s="138" t="str">
        <f>CT178*VLOOKUP('Données projet (1)'!$B$13,'Paramètres (1)'!$A$1:$I$88,3,0)*VLOOKUP('Données projet (1)'!$B$13,'Paramètres (1)'!$A$1:$I$88,5,0)</f>
        <v>#REF!</v>
      </c>
      <c r="CV178" s="130" t="str">
        <f t="shared" si="126"/>
        <v>#REF!</v>
      </c>
      <c r="CW178" s="141" t="str">
        <f t="shared" si="49"/>
        <v>#REF!</v>
      </c>
      <c r="CX178" s="133" t="str">
        <f t="shared" si="50"/>
        <v>#REF!</v>
      </c>
      <c r="CY178" s="133" t="str">
        <f t="shared" si="51"/>
        <v>#REF!</v>
      </c>
      <c r="CZ178" s="133" t="str">
        <f t="shared" si="127"/>
        <v>#REF!</v>
      </c>
      <c r="DA178" s="134" t="str">
        <f t="shared" si="52"/>
        <v>#REF!</v>
      </c>
      <c r="DB178" s="134" t="str">
        <f t="shared" si="53"/>
        <v>#REF!</v>
      </c>
      <c r="DC178" s="135" t="str">
        <f>IF(ISNA(VLOOKUP(A178,'Données projet (1)'!$A$139:$I$159,5,0)),0%,VLOOKUP(A178,'Données projet (1)'!$A$139:$I$159,5,0)*VLOOKUP('Données projet (1)'!$B$13,'Paramètres (1)'!$A$1:$I$88,7,0))</f>
        <v>#REF!</v>
      </c>
      <c r="DD178" s="135" t="str">
        <f>IF(ISNA(VLOOKUP(A178,'Données projet (1)'!$A$139:$I$159,6,0)),0%,VLOOKUP(A178,'Données projet (1)'!$A$139:$I$159,6,0)*VLOOKUP('Données projet (1)'!$B$13,'Paramètres (1)'!$A$1:$I$88,7,0))</f>
        <v>#REF!</v>
      </c>
      <c r="DE178" s="135" t="str">
        <f t="shared" si="54"/>
        <v>#REF!</v>
      </c>
      <c r="DF178" s="142" t="str">
        <f>EXP(-LN(2)/35)*DF177+(1-EXP(-LN(2)/35))/(LN(2)/35)*DB178*DC178*VLOOKUP('Données projet (1)'!$B$13,'Paramètres (1)'!$A$1:$I$88,3,0)*0.475*44/12</f>
        <v>#REF!</v>
      </c>
      <c r="DG178" s="142" t="str">
        <f>EXP(-LN(2)/25)*DG177+(1-EXP(-LN(2)/25))/(LN(2)/25)*'Calculateur (1)'!DB178*'Calculateur (1)'!DD178*VLOOKUP('Données projet (1)'!$B$13,'Paramètres (1)'!$A$1:$I$88,3,0)*0.475*44/12</f>
        <v>#REF!</v>
      </c>
      <c r="DH178" s="142" t="str">
        <f>EXP(-LN(2)/2)*DH177+(1-EXP(-LN(2)/2))/(LN(2)/2)*DB178*DE178*VLOOKUP('Données projet (1)'!$B$13,'Paramètres (1)'!$A$1:$I$88,3,0)*0.475*44/12</f>
        <v>#REF!</v>
      </c>
      <c r="DI178" s="143" t="str">
        <f t="shared" si="55"/>
        <v>#REF!</v>
      </c>
      <c r="DJ178" s="139" t="str">
        <f t="shared" si="56"/>
        <v>#REF!</v>
      </c>
      <c r="DK178" s="131">
        <f t="shared" si="57"/>
        <v>10</v>
      </c>
      <c r="DL178" s="131" t="str">
        <f t="shared" si="128"/>
        <v>#REF!</v>
      </c>
      <c r="DM178" s="131" t="str">
        <f t="shared" si="58"/>
        <v>#REF!</v>
      </c>
      <c r="DN178" s="131" t="str">
        <f t="array" ref="DN178">INDEX(DM:DM,MIN(IF(ISNUMBER(DM178:DM374),ROW(DM178:DM374),"")))</f>
        <v/>
      </c>
      <c r="DO178" s="131" t="str">
        <f t="shared" si="129"/>
        <v>#REF!</v>
      </c>
      <c r="DP178" s="138" t="str">
        <f>DO178*VLOOKUP('Données projet (1)'!$B$14,'Paramètres (1)'!$A$1:$I$88,3,0)*VLOOKUP('Données projet (1)'!$B$14,'Paramètres (1)'!$A$1:$I$88,5,0)</f>
        <v>#REF!</v>
      </c>
      <c r="DQ178" s="130" t="str">
        <f t="shared" si="130"/>
        <v>#REF!</v>
      </c>
      <c r="DR178" s="141" t="str">
        <f t="shared" si="59"/>
        <v>#REF!</v>
      </c>
      <c r="DS178" s="133" t="str">
        <f t="shared" si="60"/>
        <v>#REF!</v>
      </c>
      <c r="DT178" s="133" t="str">
        <f t="shared" si="61"/>
        <v>#REF!</v>
      </c>
      <c r="DU178" s="133" t="str">
        <f t="shared" si="131"/>
        <v>#REF!</v>
      </c>
      <c r="DV178" s="134" t="str">
        <f t="shared" si="62"/>
        <v>#REF!</v>
      </c>
      <c r="DW178" s="134" t="str">
        <f t="shared" si="63"/>
        <v>#REF!</v>
      </c>
      <c r="DX178" s="135" t="str">
        <f>IF(ISNA(VLOOKUP(A178,'Données projet (1)'!$A$165:$I$185,5,0)),0%,VLOOKUP(A178,'Données projet (1)'!$A$165:$I$185,5,0)*VLOOKUP('Données projet (1)'!$B$14,'Paramètres (1)'!$A$1:$I$88,7,0))</f>
        <v>#REF!</v>
      </c>
      <c r="DY178" s="135" t="str">
        <f>IF(ISNA(VLOOKUP(A178,'Données projet (1)'!$A$165:$I$185,6,0)),0%,VLOOKUP(A178,'Données projet (1)'!$A$165:$I$185,6,0)*VLOOKUP('Données projet (1)'!$B$14,'Paramètres (1)'!$A$1:$I$88,7,0))</f>
        <v>#REF!</v>
      </c>
      <c r="DZ178" s="135" t="str">
        <f t="shared" si="64"/>
        <v>#REF!</v>
      </c>
      <c r="EA178" s="142" t="str">
        <f>EXP(-LN(2)/35)*EA177+(1-EXP(-LN(2)/35))/(LN(2)/35)*DW178*DX178*VLOOKUP('Données projet (1)'!$B$14,'Paramètres (1)'!$A$1:$I$88,3,0)*0.475*44/12</f>
        <v>#REF!</v>
      </c>
      <c r="EB178" s="142" t="str">
        <f>EXP(-LN(2)/25)*EB177+(1-EXP(-LN(2)/25))/(LN(2)/25)*'Calculateur (1)'!DW178*'Calculateur (1)'!DY178*VLOOKUP('Données projet (1)'!$B$14,'Paramètres (1)'!$A$1:$I$88,3,0)*0.475*44/12</f>
        <v>#REF!</v>
      </c>
      <c r="EC178" s="142" t="str">
        <f>EXP(-LN(2)/2)*EC177+(1-EXP(-LN(2)/2))/(LN(2)/2)*DW178*DZ178*VLOOKUP('Données projet (1)'!$B$14,'Paramètres (1)'!$A$1:$I$88,3,0)*0.475*44/12</f>
        <v>#REF!</v>
      </c>
      <c r="ED178" s="143" t="str">
        <f t="shared" si="65"/>
        <v>#REF!</v>
      </c>
      <c r="EE178" s="139" t="str">
        <f t="shared" si="66"/>
        <v>#REF!</v>
      </c>
      <c r="EF178" s="131">
        <f t="shared" si="67"/>
        <v>10</v>
      </c>
      <c r="EG178" s="131" t="str">
        <f t="shared" si="132"/>
        <v>#REF!</v>
      </c>
      <c r="EH178" s="131" t="str">
        <f t="shared" si="68"/>
        <v>#REF!</v>
      </c>
      <c r="EI178" s="131" t="str">
        <f t="array" ref="EI178">INDEX(EH:EH,MIN(IF(ISNUMBER(EH178:EH374),ROW(EH178:EH374),"")))</f>
        <v/>
      </c>
      <c r="EJ178" s="131" t="str">
        <f t="shared" si="133"/>
        <v>#REF!</v>
      </c>
      <c r="EK178" s="138" t="str">
        <f>EJ178*VLOOKUP('Données projet (1)'!$B$15,'Paramètres (1)'!$A$1:$I$88,3,0)*VLOOKUP('Données projet (1)'!$B$15,'Paramètres (1)'!$A$1:$I$88,5,0)</f>
        <v>#REF!</v>
      </c>
      <c r="EL178" s="130" t="str">
        <f t="shared" si="134"/>
        <v>#REF!</v>
      </c>
      <c r="EM178" s="141" t="str">
        <f t="shared" si="69"/>
        <v>#REF!</v>
      </c>
      <c r="EN178" s="133" t="str">
        <f t="shared" si="70"/>
        <v>#REF!</v>
      </c>
      <c r="EO178" s="133" t="str">
        <f t="shared" si="71"/>
        <v>#REF!</v>
      </c>
      <c r="EP178" s="133" t="str">
        <f t="shared" si="135"/>
        <v>#REF!</v>
      </c>
      <c r="EQ178" s="134" t="str">
        <f t="shared" si="72"/>
        <v>#REF!</v>
      </c>
      <c r="ER178" s="134" t="str">
        <f t="shared" si="73"/>
        <v>#REF!</v>
      </c>
      <c r="ES178" s="135" t="str">
        <f>IF(ISNA(VLOOKUP(A178,'Données projet (1)'!$A$191:$I$211,5,0)),0%,VLOOKUP(A178,'Données projet (1)'!$A$191:$I$211,5,0)*VLOOKUP('Données projet (1)'!$B$15,'Paramètres (1)'!$A$1:$I$88,7,0))</f>
        <v>#REF!</v>
      </c>
      <c r="ET178" s="135" t="str">
        <f>IF(ISNA(VLOOKUP(A178,'Données projet (1)'!$A$191:$I$211,6,0)),0%,VLOOKUP(A178,'Données projet (1)'!$A$191:$I$211,6,0)*VLOOKUP('Données projet (1)'!$B$15,'Paramètres (1)'!$A$1:$I$88,7,0))</f>
        <v>#REF!</v>
      </c>
      <c r="EU178" s="135" t="str">
        <f t="shared" si="74"/>
        <v>#REF!</v>
      </c>
      <c r="EV178" s="142" t="str">
        <f>EXP(-LN(2)/35)*EV177+(1-EXP(-LN(2)/35))/(LN(2)/35)*ER178*ES178*VLOOKUP('Données projet (1)'!$B$15,'Paramètres (1)'!$A$1:$I$88,3,0)*0.475*44/12</f>
        <v>#REF!</v>
      </c>
      <c r="EW178" s="142" t="str">
        <f>EXP(-LN(2)/25)*EW177+(1-EXP(-LN(2)/25))/(LN(2)/25)*'Calculateur (1)'!ER178*'Calculateur (1)'!ET178*VLOOKUP('Données projet (1)'!$B$15,'Paramètres (1)'!$A$1:$I$88,3,0)*0.475*44/12</f>
        <v>#REF!</v>
      </c>
      <c r="EX178" s="142" t="str">
        <f>EXP(-LN(2)/2)*EX177+(1-EXP(-LN(2)/2))/(LN(2)/2)*ER178*EU178*VLOOKUP('Données projet (1)'!$B$15,'Paramètres (1)'!$A$1:$I$88,3,0)*0.475*44/12</f>
        <v>#REF!</v>
      </c>
      <c r="EY178" s="143" t="str">
        <f t="shared" si="75"/>
        <v>#REF!</v>
      </c>
      <c r="EZ178" s="139" t="str">
        <f t="shared" si="76"/>
        <v>#REF!</v>
      </c>
      <c r="FA178" s="131">
        <f t="shared" si="77"/>
        <v>10</v>
      </c>
      <c r="FB178" s="131" t="str">
        <f t="shared" si="136"/>
        <v>#REF!</v>
      </c>
      <c r="FC178" s="131" t="str">
        <f t="shared" si="78"/>
        <v>#REF!</v>
      </c>
      <c r="FD178" s="131" t="str">
        <f t="array" ref="FD178">INDEX(FC:FC,MIN(IF(ISNUMBER(FC178:FC374),ROW(FC178:FC374),"")))</f>
        <v/>
      </c>
      <c r="FE178" s="131" t="str">
        <f t="shared" si="137"/>
        <v>#REF!</v>
      </c>
      <c r="FF178" s="138" t="str">
        <f>FE178*VLOOKUP('Données projet (1)'!$B$16,'Paramètres (1)'!$A$1:$I$88,3,0)*VLOOKUP('Données projet (1)'!$B$16,'Paramètres (1)'!$A$1:$I$88,5,0)</f>
        <v>#REF!</v>
      </c>
      <c r="FG178" s="130" t="str">
        <f t="shared" si="138"/>
        <v>#REF!</v>
      </c>
      <c r="FH178" s="141" t="str">
        <f t="shared" si="79"/>
        <v>#REF!</v>
      </c>
      <c r="FI178" s="133" t="str">
        <f t="shared" si="80"/>
        <v>#REF!</v>
      </c>
      <c r="FJ178" s="133" t="str">
        <f t="shared" si="81"/>
        <v>#REF!</v>
      </c>
      <c r="FK178" s="133" t="str">
        <f t="shared" si="139"/>
        <v>#REF!</v>
      </c>
      <c r="FL178" s="134" t="str">
        <f t="shared" si="82"/>
        <v>#REF!</v>
      </c>
      <c r="FM178" s="134" t="str">
        <f t="shared" si="83"/>
        <v>#REF!</v>
      </c>
      <c r="FN178" s="135" t="str">
        <f>IF(ISNA(VLOOKUP(A178,'Données projet (1)'!$A$217:$I$237,5,0)),0%,VLOOKUP(A178,'Données projet (1)'!$A$217:$I$237,5,0)*VLOOKUP('Données projet (1)'!$B$16,'Paramètres (1)'!$A$1:$I$88,7,0))</f>
        <v>#REF!</v>
      </c>
      <c r="FO178" s="135" t="str">
        <f>IF(ISNA(VLOOKUP(A178,'Données projet (1)'!$A$217:$I$237,6,0)),0%,VLOOKUP(A178,'Données projet (1)'!$A$217:$I$237,6,0)*VLOOKUP('Données projet (1)'!$B$16,'Paramètres (1)'!$A$1:$I$88,7,0))</f>
        <v>#REF!</v>
      </c>
      <c r="FP178" s="135" t="str">
        <f t="shared" si="84"/>
        <v>#REF!</v>
      </c>
      <c r="FQ178" s="142" t="str">
        <f>EXP(-LN(2)/35)*FQ177+(1-EXP(-LN(2)/35))/(LN(2)/35)*FM178*FN178*VLOOKUP('Données projet (1)'!$B$16,'Paramètres (1)'!$A$1:$I$88,3,0)*0.475*44/12</f>
        <v>#REF!</v>
      </c>
      <c r="FR178" s="142" t="str">
        <f>EXP(-LN(2)/25)*FR177+(1-EXP(-LN(2)/25))/(LN(2)/25)*'Calculateur (1)'!FM178*'Calculateur (1)'!FO178*VLOOKUP('Données projet (1)'!$B$16,'Paramètres (1)'!$A$1:$I$88,3,0)*0.475*44/12</f>
        <v>#REF!</v>
      </c>
      <c r="FS178" s="142" t="str">
        <f>EXP(-LN(2)/2)*FS177+(1-EXP(-LN(2)/2))/(LN(2)/2)*FM178*FP178*VLOOKUP('Données projet (1)'!$B$16,'Paramètres (1)'!$A$1:$I$88,3,0)*0.475*44/12</f>
        <v>#REF!</v>
      </c>
      <c r="FT178" s="143" t="str">
        <f t="shared" si="85"/>
        <v>#REF!</v>
      </c>
      <c r="FU178" s="139" t="str">
        <f t="shared" si="86"/>
        <v>#REF!</v>
      </c>
      <c r="FV178" s="131">
        <f t="shared" si="87"/>
        <v>10</v>
      </c>
      <c r="FW178" s="131" t="str">
        <f t="shared" si="140"/>
        <v>#REF!</v>
      </c>
      <c r="FX178" s="131" t="str">
        <f t="shared" si="88"/>
        <v>#REF!</v>
      </c>
      <c r="FY178" s="131" t="str">
        <f t="array" ref="FY178">INDEX(FX:FX,MIN(IF(ISNUMBER(FX178:FX374),ROW(FX178:FX374),"")))</f>
        <v/>
      </c>
      <c r="FZ178" s="131" t="str">
        <f t="shared" si="141"/>
        <v>#REF!</v>
      </c>
      <c r="GA178" s="138" t="str">
        <f>FZ178*VLOOKUP('Données projet (1)'!$B$17,'Paramètres (1)'!$A$1:$I$88,3,0)*VLOOKUP('Données projet (1)'!$B$17,'Paramètres (1)'!$A$1:$I$88,5,0)</f>
        <v>#REF!</v>
      </c>
      <c r="GB178" s="130" t="str">
        <f t="shared" si="142"/>
        <v>#REF!</v>
      </c>
      <c r="GC178" s="141" t="str">
        <f t="shared" si="89"/>
        <v>#REF!</v>
      </c>
      <c r="GD178" s="133" t="str">
        <f t="shared" si="90"/>
        <v>#REF!</v>
      </c>
      <c r="GE178" s="133" t="str">
        <f t="shared" si="91"/>
        <v>#REF!</v>
      </c>
      <c r="GF178" s="133" t="str">
        <f t="shared" si="143"/>
        <v>#REF!</v>
      </c>
      <c r="GG178" s="134" t="str">
        <f t="shared" si="92"/>
        <v>#REF!</v>
      </c>
      <c r="GH178" s="134" t="str">
        <f t="shared" si="93"/>
        <v>#REF!</v>
      </c>
      <c r="GI178" s="135" t="str">
        <f>IF(ISNA(VLOOKUP(A178,'Données projet (1)'!$A$243:$I$263,5,0)),0%,VLOOKUP(A178,'Données projet (1)'!$A$243:$I$263,5,0)*VLOOKUP('Données projet (1)'!$B$17,'Paramètres (1)'!$A$1:$I$88,7,0))</f>
        <v>#REF!</v>
      </c>
      <c r="GJ178" s="135" t="str">
        <f>IF(ISNA(VLOOKUP(A178,'Données projet (1)'!$A$243:$I$263,6,0)),0%,VLOOKUP(A178,'Données projet (1)'!$A$243:$I$263,6,0)*VLOOKUP('Données projet (1)'!$B$17,'Paramètres (1)'!$A$1:$I$88,7,0))</f>
        <v>#REF!</v>
      </c>
      <c r="GK178" s="135" t="str">
        <f t="shared" si="94"/>
        <v>#REF!</v>
      </c>
      <c r="GL178" s="142" t="str">
        <f>EXP(-LN(2)/35)*GL177+(1-EXP(-LN(2)/35))/(LN(2)/35)*GH178*GI178*VLOOKUP('Données projet (1)'!$B$17,'Paramètres (1)'!$A$1:$I$88,3,0)*0.475*44/12</f>
        <v>#REF!</v>
      </c>
      <c r="GM178" s="142" t="str">
        <f>EXP(-LN(2)/25)*GM177+(1-EXP(-LN(2)/25))/(LN(2)/25)*'Calculateur (1)'!GH178*'Calculateur (1)'!GJ178*VLOOKUP('Données projet (1)'!$B$17,'Paramètres (1)'!$A$1:$I$88,3,0)*0.475*44/12</f>
        <v>#REF!</v>
      </c>
      <c r="GN178" s="142" t="str">
        <f>EXP(-LN(2)/2)*GN177+(1-EXP(-LN(2)/2))/(LN(2)/2)*GH178*GK178*VLOOKUP('Données projet (1)'!$B$17,'Paramètres (1)'!$A$1:$I$88,3,0)*0.475*44/12</f>
        <v>#REF!</v>
      </c>
      <c r="GO178" s="142" t="str">
        <f t="shared" si="95"/>
        <v>#REF!</v>
      </c>
      <c r="GP178" s="139" t="str">
        <f t="shared" si="96"/>
        <v>#REF!</v>
      </c>
      <c r="GQ178" s="131">
        <f t="shared" si="97"/>
        <v>10</v>
      </c>
      <c r="GR178" s="131" t="str">
        <f t="shared" si="144"/>
        <v>#REF!</v>
      </c>
      <c r="GS178" s="131" t="str">
        <f t="shared" si="98"/>
        <v>#REF!</v>
      </c>
      <c r="GT178" s="131" t="str">
        <f t="array" ref="GT178">INDEX(GS:GS,MIN(IF(ISNUMBER(GS178:GS374),ROW(GS178:GS374),"")))</f>
        <v/>
      </c>
      <c r="GU178" s="131" t="str">
        <f t="shared" si="145"/>
        <v>#REF!</v>
      </c>
      <c r="GV178" s="138" t="str">
        <f>GU178*VLOOKUP('Données projet (1)'!$B$18,'Paramètres (1)'!$A$1:$I$88,3,0)*VLOOKUP('Données projet (1)'!$B$18,'Paramètres (1)'!$A$1:$I$88,5,0)</f>
        <v>#REF!</v>
      </c>
      <c r="GW178" s="130" t="str">
        <f t="shared" si="146"/>
        <v>#REF!</v>
      </c>
      <c r="GX178" s="141" t="str">
        <f t="shared" si="99"/>
        <v>#REF!</v>
      </c>
      <c r="GY178" s="133" t="str">
        <f t="shared" si="100"/>
        <v>#REF!</v>
      </c>
      <c r="GZ178" s="133" t="str">
        <f t="shared" si="101"/>
        <v>#REF!</v>
      </c>
      <c r="HA178" s="133" t="str">
        <f t="shared" si="147"/>
        <v>#REF!</v>
      </c>
      <c r="HB178" s="134" t="str">
        <f t="shared" si="102"/>
        <v>#REF!</v>
      </c>
      <c r="HC178" s="134" t="str">
        <f t="shared" si="103"/>
        <v>#REF!</v>
      </c>
      <c r="HD178" s="135" t="str">
        <f>IF(ISNA(VLOOKUP(A178,'Données projet (1)'!$A$269:$I$289,5,0)),0%,VLOOKUP(A178,'Données projet (1)'!$A$269:$I$289,5,0)*VLOOKUP('Données projet (1)'!$B$18,'Paramètres (1)'!$A$1:$I$88,7,0))</f>
        <v>#REF!</v>
      </c>
      <c r="HE178" s="135" t="str">
        <f>IF(ISNA(VLOOKUP(A178,'Données projet (1)'!$A$269:$I$289,6,0)),0%,VLOOKUP(A178,'Données projet (1)'!$A$269:$I$289,6,0)*VLOOKUP('Données projet (1)'!$B$18,'Paramètres (1)'!$A$1:$I$88,7,0))</f>
        <v>#REF!</v>
      </c>
      <c r="HF178" s="135" t="str">
        <f t="shared" si="104"/>
        <v>#REF!</v>
      </c>
      <c r="HG178" s="142" t="str">
        <f>EXP(-LN(2)/35)*HG177+(1-EXP(-LN(2)/35))/(LN(2)/35)*HC178*HD178*VLOOKUP('Données projet (1)'!$B$18,'Paramètres (1)'!$A$1:$I$88,3,0)*0.475*44/12</f>
        <v>#REF!</v>
      </c>
      <c r="HH178" s="142" t="str">
        <f>EXP(-LN(2)/25)*HH177+(1-EXP(-LN(2)/25))/(LN(2)/25)*'Calculateur (1)'!HC178*'Calculateur (1)'!HE178*VLOOKUP('Données projet (1)'!$B$18,'Paramètres (1)'!$A$1:$I$88,3,0)*0.475*44/12</f>
        <v>#REF!</v>
      </c>
      <c r="HI178" s="142" t="str">
        <f>EXP(-LN(2)/2)*HI177+(1-EXP(-LN(2)/2))/(LN(2)/2)*HC178*HF178*VLOOKUP('Données projet (1)'!$B$18,'Paramètres (1)'!$A$1:$I$88,3,0)*0.475*44/12</f>
        <v>#REF!</v>
      </c>
      <c r="HJ178" s="143" t="str">
        <f t="shared" si="105"/>
        <v>#REF!</v>
      </c>
    </row>
    <row r="179" ht="14.25" customHeight="1">
      <c r="A179" s="125">
        <f t="shared" si="106"/>
        <v>176</v>
      </c>
      <c r="B179" s="126" t="str">
        <f t="shared" si="1"/>
        <v>#REF!</v>
      </c>
      <c r="C179" s="140" t="str">
        <f>'Calculateur (1)'!C178+'Scénario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9" s="127">
        <f t="shared" si="107"/>
        <v>0</v>
      </c>
      <c r="E179" s="127" t="str">
        <f t="shared" si="2"/>
        <v>#REF!</v>
      </c>
      <c r="F179" s="127" t="str">
        <f t="shared" si="3"/>
        <v>#REF!</v>
      </c>
      <c r="G179" s="127" t="str">
        <f t="shared" si="4"/>
        <v>#REF!</v>
      </c>
      <c r="H179" s="128" t="str">
        <f t="shared" si="5"/>
        <v>#REF!</v>
      </c>
      <c r="I179" s="129" t="str">
        <f t="shared" si="6"/>
        <v>#REF!</v>
      </c>
      <c r="J179" s="130">
        <f t="shared" si="7"/>
        <v>10</v>
      </c>
      <c r="K179" s="131" t="str">
        <f t="shared" si="108"/>
        <v>#REF!</v>
      </c>
      <c r="L179" s="131" t="str">
        <f t="shared" si="8"/>
        <v>#REF!</v>
      </c>
      <c r="M179" s="131" t="str">
        <f t="array" ref="M179">INDEX(L:L,MIN(IF(ISNUMBER(L179:L375),ROW(L179:L375),"")))</f>
        <v/>
      </c>
      <c r="N179" s="130" t="str">
        <f t="shared" si="109"/>
        <v>#REF!</v>
      </c>
      <c r="O179" s="130" t="str">
        <f>N179*VLOOKUP('Données projet (1)'!$B$9,'Paramètres (1)'!$A$1:$I$88,3,0)*VLOOKUP('Données projet (1)'!$B$9,'Paramètres (1)'!$A$1:$I$88,5,0)</f>
        <v>#REF!</v>
      </c>
      <c r="P179" s="130" t="str">
        <f t="shared" si="110"/>
        <v>#REF!</v>
      </c>
      <c r="Q179" s="141" t="str">
        <f t="shared" si="9"/>
        <v>#REF!</v>
      </c>
      <c r="R179" s="133" t="str">
        <f t="shared" si="10"/>
        <v>#REF!</v>
      </c>
      <c r="S179" s="133" t="str">
        <f t="shared" si="11"/>
        <v>#REF!</v>
      </c>
      <c r="T179" s="133" t="str">
        <f t="shared" si="111"/>
        <v>#REF!</v>
      </c>
      <c r="U179" s="134" t="str">
        <f t="shared" si="12"/>
        <v>#REF!</v>
      </c>
      <c r="V179" s="134" t="str">
        <f t="shared" si="13"/>
        <v>#REF!</v>
      </c>
      <c r="W179" s="135" t="str">
        <f>IF(ISNA(VLOOKUP(A179,'Données projet (1)'!$A$35:$I$55,5,0)),0%,VLOOKUP(A179,'Données projet (1)'!$A$35:$I$55,5,0)*VLOOKUP('Données projet (1)'!$B$9,'Paramètres (1)'!$A$1:$I$88,7,0))</f>
        <v>#REF!</v>
      </c>
      <c r="X179" s="135" t="str">
        <f>IF(ISNA(VLOOKUP(A179,'Données projet (1)'!$A$35:$I$55,6,0)),0%,VLOOKUP(A179,'Données projet (1)'!$A$35:$I$55,6,0)*VLOOKUP('Données projet (1)'!$B$9,'Paramètres (1)'!$A$1:$I$88,7,0))</f>
        <v>#REF!</v>
      </c>
      <c r="Y179" s="135" t="str">
        <f t="shared" si="14"/>
        <v>#REF!</v>
      </c>
      <c r="Z179" s="142" t="str">
        <f>EXP(-LN(2)/35)*Z178+(1-EXP(-LN(2)/35))/(LN(2)/35)*V179*W179*VLOOKUP('Données projet (1)'!$B$9,'Paramètres (1)'!$A$1:$I$88,3,0)*0.475*44/12</f>
        <v>#REF!</v>
      </c>
      <c r="AA179" s="142" t="str">
        <f>EXP(-LN(2)/25)*AA178+(1-EXP(-LN(2)/25))/(LN(2)/25)*'Calculateur (1)'!V179*'Calculateur (1)'!X179*VLOOKUP('Données projet (1)'!$B$9,'Paramètres (1)'!$A$1:$I$88,3,0)*0.475*44/12</f>
        <v>#REF!</v>
      </c>
      <c r="AB179" s="142" t="str">
        <f>EXP(-LN(2)/2)*AB178+(1-EXP(-LN(2)/2))/(LN(2)/2)*V179*Y179*VLOOKUP('Données projet (1)'!$B$9,'Paramètres (1)'!$A$1:$I$88,3,0)*0.475*44/12</f>
        <v>#REF!</v>
      </c>
      <c r="AC179" s="143" t="str">
        <f t="shared" si="15"/>
        <v>#REF!</v>
      </c>
      <c r="AD179" s="130" t="str">
        <f t="shared" si="16"/>
        <v>#REF!</v>
      </c>
      <c r="AE179" s="130">
        <f t="shared" si="17"/>
        <v>10</v>
      </c>
      <c r="AF179" s="131" t="str">
        <f t="shared" si="112"/>
        <v>#REF!</v>
      </c>
      <c r="AG179" s="131" t="str">
        <f t="shared" si="18"/>
        <v>#REF!</v>
      </c>
      <c r="AH179" s="131" t="str">
        <f t="array" ref="AH179">INDEX(AG:AG,MIN(IF(ISNUMBER(AG179:AG375),ROW(AG179:AG375),"")))</f>
        <v/>
      </c>
      <c r="AI179" s="130" t="str">
        <f t="shared" si="113"/>
        <v>#REF!</v>
      </c>
      <c r="AJ179" s="130" t="str">
        <f>AI179*VLOOKUP('Données projet (1)'!$B$10,'Paramètres (1)'!$A$1:$I$88,3,0)*VLOOKUP('Données projet (1)'!$B$10,'Paramètres (1)'!$A$1:$I$88,5,0)</f>
        <v>#REF!</v>
      </c>
      <c r="AK179" s="130" t="str">
        <f t="shared" si="114"/>
        <v>#REF!</v>
      </c>
      <c r="AL179" s="141" t="str">
        <f t="shared" si="19"/>
        <v>#REF!</v>
      </c>
      <c r="AM179" s="133" t="str">
        <f t="shared" si="20"/>
        <v>#REF!</v>
      </c>
      <c r="AN179" s="133" t="str">
        <f t="shared" si="21"/>
        <v>#REF!</v>
      </c>
      <c r="AO179" s="133" t="str">
        <f t="shared" si="115"/>
        <v>#REF!</v>
      </c>
      <c r="AP179" s="134" t="str">
        <f t="shared" si="22"/>
        <v>#REF!</v>
      </c>
      <c r="AQ179" s="134" t="str">
        <f t="shared" si="23"/>
        <v>#REF!</v>
      </c>
      <c r="AR179" s="135" t="str">
        <f>IF(ISNA(VLOOKUP(A179,'Données projet (1)'!$A$61:$I$81,5,0)),0%,VLOOKUP(A179,'Données projet (1)'!$A$61:$I$81,5,0)*VLOOKUP('Données projet (1)'!$B$10,'Paramètres (1)'!$A$1:$I$88,7,0))</f>
        <v>#REF!</v>
      </c>
      <c r="AS179" s="135" t="str">
        <f>IF(ISNA(VLOOKUP(A179,'Données projet (1)'!$A$61:$I$81,6,0)),0%,VLOOKUP(A179,'Données projet (1)'!$A$61:$I$81,6,0)*VLOOKUP('Données projet (1)'!$B$10,'Paramètres (1)'!$A$1:$I$88,7,0))</f>
        <v>#REF!</v>
      </c>
      <c r="AT179" s="135" t="str">
        <f t="shared" si="24"/>
        <v>#REF!</v>
      </c>
      <c r="AU179" s="142" t="str">
        <f>EXP(-LN(2)/35)*AU178+(1-EXP(-LN(2)/35))/(LN(2)/35)*AQ179*AR179*VLOOKUP('Données projet (1)'!$B$10,'Paramètres (1)'!$A$1:$I$88,3,0)*0.475*44/12</f>
        <v>#REF!</v>
      </c>
      <c r="AV179" s="142" t="str">
        <f>EXP(-LN(2)/25)*AV178+(1-EXP(-LN(2)/25))/(LN(2)/25)*'Calculateur (1)'!AQ179*'Calculateur (1)'!AS179*VLOOKUP('Données projet (1)'!$B$10,'Paramètres (1)'!$A$1:$I$88,3,0)*0.475*44/12</f>
        <v>#REF!</v>
      </c>
      <c r="AW179" s="142" t="str">
        <f>EXP(-LN(2)/2)*AW178+(1-EXP(-LN(2)/2))/(LN(2)/2)*AQ179*AT179*VLOOKUP('Données projet (1)'!$B$10,'Paramètres (1)'!$A$1:$I$88,3,0)*0.475*44/12</f>
        <v>#REF!</v>
      </c>
      <c r="AX179" s="142" t="str">
        <f t="shared" si="25"/>
        <v>#REF!</v>
      </c>
      <c r="AY179" s="137" t="str">
        <f t="shared" si="26"/>
        <v>#REF!</v>
      </c>
      <c r="AZ179" s="131">
        <f t="shared" si="27"/>
        <v>10</v>
      </c>
      <c r="BA179" s="131" t="str">
        <f t="shared" si="116"/>
        <v>#REF!</v>
      </c>
      <c r="BB179" s="131" t="str">
        <f t="shared" si="28"/>
        <v>#REF!</v>
      </c>
      <c r="BC179" s="131" t="str">
        <f t="array" ref="BC179">INDEX(BB:BB,MIN(IF(ISNUMBER(BB179:BB375),ROW(BB179:BB375),"")))</f>
        <v/>
      </c>
      <c r="BD179" s="131" t="str">
        <f t="shared" si="117"/>
        <v>#REF!</v>
      </c>
      <c r="BE179" s="130" t="str">
        <f>BD179*VLOOKUP('Données projet (1)'!$B$11,'Paramètres (1)'!$A$1:$I$88,3,0)*VLOOKUP('Données projet (1)'!$B$11,'Paramètres (1)'!$A$1:$I$88,5,0)</f>
        <v>#REF!</v>
      </c>
      <c r="BF179" s="130" t="str">
        <f t="shared" si="118"/>
        <v>#REF!</v>
      </c>
      <c r="BG179" s="141" t="str">
        <f t="shared" si="29"/>
        <v>#REF!</v>
      </c>
      <c r="BH179" s="133" t="str">
        <f t="shared" si="30"/>
        <v>#REF!</v>
      </c>
      <c r="BI179" s="133" t="str">
        <f t="shared" si="31"/>
        <v>#REF!</v>
      </c>
      <c r="BJ179" s="133" t="str">
        <f t="shared" si="119"/>
        <v>#REF!</v>
      </c>
      <c r="BK179" s="134" t="str">
        <f t="shared" si="32"/>
        <v>#REF!</v>
      </c>
      <c r="BL179" s="134" t="str">
        <f t="shared" si="33"/>
        <v>#REF!</v>
      </c>
      <c r="BM179" s="135" t="str">
        <f>IF(ISNA(VLOOKUP(A179,'Données projet (1)'!$A$87:$I$107,5,0)),0%,VLOOKUP(A179,'Données projet (1)'!$A$87:$I$107,5,0)*VLOOKUP('Données projet (1)'!$B$11,'Paramètres (1)'!$A$1:$I$88,7,0))</f>
        <v>#REF!</v>
      </c>
      <c r="BN179" s="135" t="str">
        <f>IF(ISNA(VLOOKUP(A179,'Données projet (1)'!$A$87:$I$107,6,0)),0%,VLOOKUP(A179,'Données projet (1)'!$A$87:$I$107,6,0)*VLOOKUP('Données projet (1)'!$B$11,'Paramètres (1)'!$A$1:$I$88,7,0))</f>
        <v>#REF!</v>
      </c>
      <c r="BO179" s="135" t="str">
        <f t="shared" si="34"/>
        <v>#REF!</v>
      </c>
      <c r="BP179" s="142" t="str">
        <f>EXP(-LN(2)/35)*BP178+(1-EXP(-LN(2)/35))/(LN(2)/35)*BL179*BM179*VLOOKUP('Données projet (1)'!$B$11,'Paramètres (1)'!$A$1:$I$88,3,0)*0.475*44/12</f>
        <v>#REF!</v>
      </c>
      <c r="BQ179" s="142" t="str">
        <f>EXP(-LN(2)/25)*BQ178+(1-EXP(-LN(2)/25))/(LN(2)/25)*'Calculateur (1)'!BL179*'Calculateur (1)'!BN179*VLOOKUP('Données projet (1)'!$B$11,'Paramètres (1)'!$A$1:$I$88,3,0)*0.475*44/12</f>
        <v>#REF!</v>
      </c>
      <c r="BR179" s="142" t="str">
        <f>EXP(-LN(2)/2)*BR178+(1-EXP(-LN(2)/2))/(LN(2)/2)*BL179*BO179*VLOOKUP('Données projet (1)'!$B$11,'Paramètres (1)'!$A$1:$I$88,3,0)*0.475*44/12</f>
        <v>#REF!</v>
      </c>
      <c r="BS179" s="143" t="str">
        <f t="shared" si="35"/>
        <v>#REF!</v>
      </c>
      <c r="BT179" s="139" t="str">
        <f t="shared" si="36"/>
        <v>#REF!</v>
      </c>
      <c r="BU179" s="131">
        <f t="shared" si="37"/>
        <v>10</v>
      </c>
      <c r="BV179" s="131" t="str">
        <f t="shared" si="120"/>
        <v>#REF!</v>
      </c>
      <c r="BW179" s="131" t="str">
        <f t="shared" si="38"/>
        <v>#REF!</v>
      </c>
      <c r="BX179" s="131" t="str">
        <f t="array" ref="BX179">INDEX(BW:BW,MIN(IF(ISNUMBER(BW179:BW375),ROW(BW179:BW375),"")))</f>
        <v/>
      </c>
      <c r="BY179" s="131" t="str">
        <f t="shared" si="121"/>
        <v>#REF!</v>
      </c>
      <c r="BZ179" s="130" t="str">
        <f>BY179*VLOOKUP('Données projet (1)'!$B$12,'Paramètres (1)'!$A$1:$I$88,3,0)*VLOOKUP('Données projet (1)'!$B$12,'Paramètres (1)'!$A$1:$I$88,5,0)</f>
        <v>#REF!</v>
      </c>
      <c r="CA179" s="130" t="str">
        <f t="shared" si="122"/>
        <v>#REF!</v>
      </c>
      <c r="CB179" s="141" t="str">
        <f t="shared" si="39"/>
        <v>#REF!</v>
      </c>
      <c r="CC179" s="133" t="str">
        <f t="shared" si="40"/>
        <v>#REF!</v>
      </c>
      <c r="CD179" s="133" t="str">
        <f t="shared" si="41"/>
        <v>#REF!</v>
      </c>
      <c r="CE179" s="133" t="str">
        <f t="shared" si="123"/>
        <v>#REF!</v>
      </c>
      <c r="CF179" s="134" t="str">
        <f t="shared" si="42"/>
        <v>#REF!</v>
      </c>
      <c r="CG179" s="134" t="str">
        <f t="shared" si="43"/>
        <v>#REF!</v>
      </c>
      <c r="CH179" s="135" t="str">
        <f>IF(ISNA(VLOOKUP(A179,'Données projet (1)'!$A$113:$I$133,5,0)),0%,VLOOKUP(A179,'Données projet (1)'!$A$113:$I$133,5,0)*VLOOKUP('Données projet (1)'!$B$12,'Paramètres (1)'!$A$1:$I$88,7,0))</f>
        <v>#REF!</v>
      </c>
      <c r="CI179" s="135" t="str">
        <f>IF(ISNA(VLOOKUP(A179,'Données projet (1)'!$A$113:$I$133,6,0)),0%,VLOOKUP(A179,'Données projet (1)'!$A$113:$I$133,6,0)*VLOOKUP('Données projet (1)'!$B$12,'Paramètres (1)'!$A$1:$I$88,7,0))</f>
        <v>#REF!</v>
      </c>
      <c r="CJ179" s="135" t="str">
        <f t="shared" si="44"/>
        <v>#REF!</v>
      </c>
      <c r="CK179" s="142" t="str">
        <f>EXP(-LN(2)/35)*CK178+(1-EXP(-LN(2)/35))/(LN(2)/35)*CG179*CH179*VLOOKUP('Données projet (1)'!$B$12,'Paramètres (1)'!$A$1:$I$88,3,0)*0.475*44/12</f>
        <v>#REF!</v>
      </c>
      <c r="CL179" s="142" t="str">
        <f>EXP(-LN(2)/25)*CL178+(1-EXP(-LN(2)/25))/(LN(2)/25)*'Calculateur (1)'!CG179*'Calculateur (1)'!CI179*VLOOKUP('Données projet (1)'!$B$12,'Paramètres (1)'!$A$1:$I$88,3,0)*0.475*44/12</f>
        <v>#REF!</v>
      </c>
      <c r="CM179" s="142" t="str">
        <f>EXP(-LN(2)/2)*CM178+(1-EXP(-LN(2)/2))/(LN(2)/2)*CG179*CJ179*VLOOKUP('Données projet (1)'!$B$12,'Paramètres (1)'!$A$1:$I$88,3,0)*0.475*44/12</f>
        <v>#REF!</v>
      </c>
      <c r="CN179" s="143" t="str">
        <f t="shared" si="45"/>
        <v>#REF!</v>
      </c>
      <c r="CO179" s="139" t="str">
        <f t="shared" si="46"/>
        <v>#REF!</v>
      </c>
      <c r="CP179" s="131">
        <f t="shared" si="47"/>
        <v>10</v>
      </c>
      <c r="CQ179" s="131" t="str">
        <f t="shared" si="124"/>
        <v>#REF!</v>
      </c>
      <c r="CR179" s="131" t="str">
        <f t="shared" si="48"/>
        <v>#REF!</v>
      </c>
      <c r="CS179" s="131" t="str">
        <f t="array" ref="CS179">INDEX(CR:CR,MIN(IF(ISNUMBER(CR179:CR375),ROW(CR179:CR375),"")))</f>
        <v/>
      </c>
      <c r="CT179" s="131" t="str">
        <f t="shared" si="125"/>
        <v>#REF!</v>
      </c>
      <c r="CU179" s="138" t="str">
        <f>CT179*VLOOKUP('Données projet (1)'!$B$13,'Paramètres (1)'!$A$1:$I$88,3,0)*VLOOKUP('Données projet (1)'!$B$13,'Paramètres (1)'!$A$1:$I$88,5,0)</f>
        <v>#REF!</v>
      </c>
      <c r="CV179" s="130" t="str">
        <f t="shared" si="126"/>
        <v>#REF!</v>
      </c>
      <c r="CW179" s="141" t="str">
        <f t="shared" si="49"/>
        <v>#REF!</v>
      </c>
      <c r="CX179" s="133" t="str">
        <f t="shared" si="50"/>
        <v>#REF!</v>
      </c>
      <c r="CY179" s="133" t="str">
        <f t="shared" si="51"/>
        <v>#REF!</v>
      </c>
      <c r="CZ179" s="133" t="str">
        <f t="shared" si="127"/>
        <v>#REF!</v>
      </c>
      <c r="DA179" s="134" t="str">
        <f t="shared" si="52"/>
        <v>#REF!</v>
      </c>
      <c r="DB179" s="134" t="str">
        <f t="shared" si="53"/>
        <v>#REF!</v>
      </c>
      <c r="DC179" s="135" t="str">
        <f>IF(ISNA(VLOOKUP(A179,'Données projet (1)'!$A$139:$I$159,5,0)),0%,VLOOKUP(A179,'Données projet (1)'!$A$139:$I$159,5,0)*VLOOKUP('Données projet (1)'!$B$13,'Paramètres (1)'!$A$1:$I$88,7,0))</f>
        <v>#REF!</v>
      </c>
      <c r="DD179" s="135" t="str">
        <f>IF(ISNA(VLOOKUP(A179,'Données projet (1)'!$A$139:$I$159,6,0)),0%,VLOOKUP(A179,'Données projet (1)'!$A$139:$I$159,6,0)*VLOOKUP('Données projet (1)'!$B$13,'Paramètres (1)'!$A$1:$I$88,7,0))</f>
        <v>#REF!</v>
      </c>
      <c r="DE179" s="135" t="str">
        <f t="shared" si="54"/>
        <v>#REF!</v>
      </c>
      <c r="DF179" s="142" t="str">
        <f>EXP(-LN(2)/35)*DF178+(1-EXP(-LN(2)/35))/(LN(2)/35)*DB179*DC179*VLOOKUP('Données projet (1)'!$B$13,'Paramètres (1)'!$A$1:$I$88,3,0)*0.475*44/12</f>
        <v>#REF!</v>
      </c>
      <c r="DG179" s="142" t="str">
        <f>EXP(-LN(2)/25)*DG178+(1-EXP(-LN(2)/25))/(LN(2)/25)*'Calculateur (1)'!DB179*'Calculateur (1)'!DD179*VLOOKUP('Données projet (1)'!$B$13,'Paramètres (1)'!$A$1:$I$88,3,0)*0.475*44/12</f>
        <v>#REF!</v>
      </c>
      <c r="DH179" s="142" t="str">
        <f>EXP(-LN(2)/2)*DH178+(1-EXP(-LN(2)/2))/(LN(2)/2)*DB179*DE179*VLOOKUP('Données projet (1)'!$B$13,'Paramètres (1)'!$A$1:$I$88,3,0)*0.475*44/12</f>
        <v>#REF!</v>
      </c>
      <c r="DI179" s="143" t="str">
        <f t="shared" si="55"/>
        <v>#REF!</v>
      </c>
      <c r="DJ179" s="139" t="str">
        <f t="shared" si="56"/>
        <v>#REF!</v>
      </c>
      <c r="DK179" s="131">
        <f t="shared" si="57"/>
        <v>10</v>
      </c>
      <c r="DL179" s="131" t="str">
        <f t="shared" si="128"/>
        <v>#REF!</v>
      </c>
      <c r="DM179" s="131" t="str">
        <f t="shared" si="58"/>
        <v>#REF!</v>
      </c>
      <c r="DN179" s="131" t="str">
        <f t="array" ref="DN179">INDEX(DM:DM,MIN(IF(ISNUMBER(DM179:DM375),ROW(DM179:DM375),"")))</f>
        <v/>
      </c>
      <c r="DO179" s="131" t="str">
        <f t="shared" si="129"/>
        <v>#REF!</v>
      </c>
      <c r="DP179" s="138" t="str">
        <f>DO179*VLOOKUP('Données projet (1)'!$B$14,'Paramètres (1)'!$A$1:$I$88,3,0)*VLOOKUP('Données projet (1)'!$B$14,'Paramètres (1)'!$A$1:$I$88,5,0)</f>
        <v>#REF!</v>
      </c>
      <c r="DQ179" s="130" t="str">
        <f t="shared" si="130"/>
        <v>#REF!</v>
      </c>
      <c r="DR179" s="141" t="str">
        <f t="shared" si="59"/>
        <v>#REF!</v>
      </c>
      <c r="DS179" s="133" t="str">
        <f t="shared" si="60"/>
        <v>#REF!</v>
      </c>
      <c r="DT179" s="133" t="str">
        <f t="shared" si="61"/>
        <v>#REF!</v>
      </c>
      <c r="DU179" s="133" t="str">
        <f t="shared" si="131"/>
        <v>#REF!</v>
      </c>
      <c r="DV179" s="134" t="str">
        <f t="shared" si="62"/>
        <v>#REF!</v>
      </c>
      <c r="DW179" s="134" t="str">
        <f t="shared" si="63"/>
        <v>#REF!</v>
      </c>
      <c r="DX179" s="135" t="str">
        <f>IF(ISNA(VLOOKUP(A179,'Données projet (1)'!$A$165:$I$185,5,0)),0%,VLOOKUP(A179,'Données projet (1)'!$A$165:$I$185,5,0)*VLOOKUP('Données projet (1)'!$B$14,'Paramètres (1)'!$A$1:$I$88,7,0))</f>
        <v>#REF!</v>
      </c>
      <c r="DY179" s="135" t="str">
        <f>IF(ISNA(VLOOKUP(A179,'Données projet (1)'!$A$165:$I$185,6,0)),0%,VLOOKUP(A179,'Données projet (1)'!$A$165:$I$185,6,0)*VLOOKUP('Données projet (1)'!$B$14,'Paramètres (1)'!$A$1:$I$88,7,0))</f>
        <v>#REF!</v>
      </c>
      <c r="DZ179" s="135" t="str">
        <f t="shared" si="64"/>
        <v>#REF!</v>
      </c>
      <c r="EA179" s="142" t="str">
        <f>EXP(-LN(2)/35)*EA178+(1-EXP(-LN(2)/35))/(LN(2)/35)*DW179*DX179*VLOOKUP('Données projet (1)'!$B$14,'Paramètres (1)'!$A$1:$I$88,3,0)*0.475*44/12</f>
        <v>#REF!</v>
      </c>
      <c r="EB179" s="142" t="str">
        <f>EXP(-LN(2)/25)*EB178+(1-EXP(-LN(2)/25))/(LN(2)/25)*'Calculateur (1)'!DW179*'Calculateur (1)'!DY179*VLOOKUP('Données projet (1)'!$B$14,'Paramètres (1)'!$A$1:$I$88,3,0)*0.475*44/12</f>
        <v>#REF!</v>
      </c>
      <c r="EC179" s="142" t="str">
        <f>EXP(-LN(2)/2)*EC178+(1-EXP(-LN(2)/2))/(LN(2)/2)*DW179*DZ179*VLOOKUP('Données projet (1)'!$B$14,'Paramètres (1)'!$A$1:$I$88,3,0)*0.475*44/12</f>
        <v>#REF!</v>
      </c>
      <c r="ED179" s="143" t="str">
        <f t="shared" si="65"/>
        <v>#REF!</v>
      </c>
      <c r="EE179" s="139" t="str">
        <f t="shared" si="66"/>
        <v>#REF!</v>
      </c>
      <c r="EF179" s="131">
        <f t="shared" si="67"/>
        <v>10</v>
      </c>
      <c r="EG179" s="131" t="str">
        <f t="shared" si="132"/>
        <v>#REF!</v>
      </c>
      <c r="EH179" s="131" t="str">
        <f t="shared" si="68"/>
        <v>#REF!</v>
      </c>
      <c r="EI179" s="131" t="str">
        <f t="array" ref="EI179">INDEX(EH:EH,MIN(IF(ISNUMBER(EH179:EH375),ROW(EH179:EH375),"")))</f>
        <v/>
      </c>
      <c r="EJ179" s="131" t="str">
        <f t="shared" si="133"/>
        <v>#REF!</v>
      </c>
      <c r="EK179" s="138" t="str">
        <f>EJ179*VLOOKUP('Données projet (1)'!$B$15,'Paramètres (1)'!$A$1:$I$88,3,0)*VLOOKUP('Données projet (1)'!$B$15,'Paramètres (1)'!$A$1:$I$88,5,0)</f>
        <v>#REF!</v>
      </c>
      <c r="EL179" s="130" t="str">
        <f t="shared" si="134"/>
        <v>#REF!</v>
      </c>
      <c r="EM179" s="141" t="str">
        <f t="shared" si="69"/>
        <v>#REF!</v>
      </c>
      <c r="EN179" s="133" t="str">
        <f t="shared" si="70"/>
        <v>#REF!</v>
      </c>
      <c r="EO179" s="133" t="str">
        <f t="shared" si="71"/>
        <v>#REF!</v>
      </c>
      <c r="EP179" s="133" t="str">
        <f t="shared" si="135"/>
        <v>#REF!</v>
      </c>
      <c r="EQ179" s="134" t="str">
        <f t="shared" si="72"/>
        <v>#REF!</v>
      </c>
      <c r="ER179" s="134" t="str">
        <f t="shared" si="73"/>
        <v>#REF!</v>
      </c>
      <c r="ES179" s="135" t="str">
        <f>IF(ISNA(VLOOKUP(A179,'Données projet (1)'!$A$191:$I$211,5,0)),0%,VLOOKUP(A179,'Données projet (1)'!$A$191:$I$211,5,0)*VLOOKUP('Données projet (1)'!$B$15,'Paramètres (1)'!$A$1:$I$88,7,0))</f>
        <v>#REF!</v>
      </c>
      <c r="ET179" s="135" t="str">
        <f>IF(ISNA(VLOOKUP(A179,'Données projet (1)'!$A$191:$I$211,6,0)),0%,VLOOKUP(A179,'Données projet (1)'!$A$191:$I$211,6,0)*VLOOKUP('Données projet (1)'!$B$15,'Paramètres (1)'!$A$1:$I$88,7,0))</f>
        <v>#REF!</v>
      </c>
      <c r="EU179" s="135" t="str">
        <f t="shared" si="74"/>
        <v>#REF!</v>
      </c>
      <c r="EV179" s="142" t="str">
        <f>EXP(-LN(2)/35)*EV178+(1-EXP(-LN(2)/35))/(LN(2)/35)*ER179*ES179*VLOOKUP('Données projet (1)'!$B$15,'Paramètres (1)'!$A$1:$I$88,3,0)*0.475*44/12</f>
        <v>#REF!</v>
      </c>
      <c r="EW179" s="142" t="str">
        <f>EXP(-LN(2)/25)*EW178+(1-EXP(-LN(2)/25))/(LN(2)/25)*'Calculateur (1)'!ER179*'Calculateur (1)'!ET179*VLOOKUP('Données projet (1)'!$B$15,'Paramètres (1)'!$A$1:$I$88,3,0)*0.475*44/12</f>
        <v>#REF!</v>
      </c>
      <c r="EX179" s="142" t="str">
        <f>EXP(-LN(2)/2)*EX178+(1-EXP(-LN(2)/2))/(LN(2)/2)*ER179*EU179*VLOOKUP('Données projet (1)'!$B$15,'Paramètres (1)'!$A$1:$I$88,3,0)*0.475*44/12</f>
        <v>#REF!</v>
      </c>
      <c r="EY179" s="143" t="str">
        <f t="shared" si="75"/>
        <v>#REF!</v>
      </c>
      <c r="EZ179" s="139" t="str">
        <f t="shared" si="76"/>
        <v>#REF!</v>
      </c>
      <c r="FA179" s="131">
        <f t="shared" si="77"/>
        <v>10</v>
      </c>
      <c r="FB179" s="131" t="str">
        <f t="shared" si="136"/>
        <v>#REF!</v>
      </c>
      <c r="FC179" s="131" t="str">
        <f t="shared" si="78"/>
        <v>#REF!</v>
      </c>
      <c r="FD179" s="131" t="str">
        <f t="array" ref="FD179">INDEX(FC:FC,MIN(IF(ISNUMBER(FC179:FC375),ROW(FC179:FC375),"")))</f>
        <v/>
      </c>
      <c r="FE179" s="131" t="str">
        <f t="shared" si="137"/>
        <v>#REF!</v>
      </c>
      <c r="FF179" s="138" t="str">
        <f>FE179*VLOOKUP('Données projet (1)'!$B$16,'Paramètres (1)'!$A$1:$I$88,3,0)*VLOOKUP('Données projet (1)'!$B$16,'Paramètres (1)'!$A$1:$I$88,5,0)</f>
        <v>#REF!</v>
      </c>
      <c r="FG179" s="130" t="str">
        <f t="shared" si="138"/>
        <v>#REF!</v>
      </c>
      <c r="FH179" s="141" t="str">
        <f t="shared" si="79"/>
        <v>#REF!</v>
      </c>
      <c r="FI179" s="133" t="str">
        <f t="shared" si="80"/>
        <v>#REF!</v>
      </c>
      <c r="FJ179" s="133" t="str">
        <f t="shared" si="81"/>
        <v>#REF!</v>
      </c>
      <c r="FK179" s="133" t="str">
        <f t="shared" si="139"/>
        <v>#REF!</v>
      </c>
      <c r="FL179" s="134" t="str">
        <f t="shared" si="82"/>
        <v>#REF!</v>
      </c>
      <c r="FM179" s="134" t="str">
        <f t="shared" si="83"/>
        <v>#REF!</v>
      </c>
      <c r="FN179" s="135" t="str">
        <f>IF(ISNA(VLOOKUP(A179,'Données projet (1)'!$A$217:$I$237,5,0)),0%,VLOOKUP(A179,'Données projet (1)'!$A$217:$I$237,5,0)*VLOOKUP('Données projet (1)'!$B$16,'Paramètres (1)'!$A$1:$I$88,7,0))</f>
        <v>#REF!</v>
      </c>
      <c r="FO179" s="135" t="str">
        <f>IF(ISNA(VLOOKUP(A179,'Données projet (1)'!$A$217:$I$237,6,0)),0%,VLOOKUP(A179,'Données projet (1)'!$A$217:$I$237,6,0)*VLOOKUP('Données projet (1)'!$B$16,'Paramètres (1)'!$A$1:$I$88,7,0))</f>
        <v>#REF!</v>
      </c>
      <c r="FP179" s="135" t="str">
        <f t="shared" si="84"/>
        <v>#REF!</v>
      </c>
      <c r="FQ179" s="142" t="str">
        <f>EXP(-LN(2)/35)*FQ178+(1-EXP(-LN(2)/35))/(LN(2)/35)*FM179*FN179*VLOOKUP('Données projet (1)'!$B$16,'Paramètres (1)'!$A$1:$I$88,3,0)*0.475*44/12</f>
        <v>#REF!</v>
      </c>
      <c r="FR179" s="142" t="str">
        <f>EXP(-LN(2)/25)*FR178+(1-EXP(-LN(2)/25))/(LN(2)/25)*'Calculateur (1)'!FM179*'Calculateur (1)'!FO179*VLOOKUP('Données projet (1)'!$B$16,'Paramètres (1)'!$A$1:$I$88,3,0)*0.475*44/12</f>
        <v>#REF!</v>
      </c>
      <c r="FS179" s="142" t="str">
        <f>EXP(-LN(2)/2)*FS178+(1-EXP(-LN(2)/2))/(LN(2)/2)*FM179*FP179*VLOOKUP('Données projet (1)'!$B$16,'Paramètres (1)'!$A$1:$I$88,3,0)*0.475*44/12</f>
        <v>#REF!</v>
      </c>
      <c r="FT179" s="143" t="str">
        <f t="shared" si="85"/>
        <v>#REF!</v>
      </c>
      <c r="FU179" s="139" t="str">
        <f t="shared" si="86"/>
        <v>#REF!</v>
      </c>
      <c r="FV179" s="131">
        <f t="shared" si="87"/>
        <v>10</v>
      </c>
      <c r="FW179" s="131" t="str">
        <f t="shared" si="140"/>
        <v>#REF!</v>
      </c>
      <c r="FX179" s="131" t="str">
        <f t="shared" si="88"/>
        <v>#REF!</v>
      </c>
      <c r="FY179" s="131" t="str">
        <f t="array" ref="FY179">INDEX(FX:FX,MIN(IF(ISNUMBER(FX179:FX375),ROW(FX179:FX375),"")))</f>
        <v/>
      </c>
      <c r="FZ179" s="131" t="str">
        <f t="shared" si="141"/>
        <v>#REF!</v>
      </c>
      <c r="GA179" s="138" t="str">
        <f>FZ179*VLOOKUP('Données projet (1)'!$B$17,'Paramètres (1)'!$A$1:$I$88,3,0)*VLOOKUP('Données projet (1)'!$B$17,'Paramètres (1)'!$A$1:$I$88,5,0)</f>
        <v>#REF!</v>
      </c>
      <c r="GB179" s="130" t="str">
        <f t="shared" si="142"/>
        <v>#REF!</v>
      </c>
      <c r="GC179" s="141" t="str">
        <f t="shared" si="89"/>
        <v>#REF!</v>
      </c>
      <c r="GD179" s="133" t="str">
        <f t="shared" si="90"/>
        <v>#REF!</v>
      </c>
      <c r="GE179" s="133" t="str">
        <f t="shared" si="91"/>
        <v>#REF!</v>
      </c>
      <c r="GF179" s="133" t="str">
        <f t="shared" si="143"/>
        <v>#REF!</v>
      </c>
      <c r="GG179" s="134" t="str">
        <f t="shared" si="92"/>
        <v>#REF!</v>
      </c>
      <c r="GH179" s="134" t="str">
        <f t="shared" si="93"/>
        <v>#REF!</v>
      </c>
      <c r="GI179" s="135" t="str">
        <f>IF(ISNA(VLOOKUP(A179,'Données projet (1)'!$A$243:$I$263,5,0)),0%,VLOOKUP(A179,'Données projet (1)'!$A$243:$I$263,5,0)*VLOOKUP('Données projet (1)'!$B$17,'Paramètres (1)'!$A$1:$I$88,7,0))</f>
        <v>#REF!</v>
      </c>
      <c r="GJ179" s="135" t="str">
        <f>IF(ISNA(VLOOKUP(A179,'Données projet (1)'!$A$243:$I$263,6,0)),0%,VLOOKUP(A179,'Données projet (1)'!$A$243:$I$263,6,0)*VLOOKUP('Données projet (1)'!$B$17,'Paramètres (1)'!$A$1:$I$88,7,0))</f>
        <v>#REF!</v>
      </c>
      <c r="GK179" s="135" t="str">
        <f t="shared" si="94"/>
        <v>#REF!</v>
      </c>
      <c r="GL179" s="142" t="str">
        <f>EXP(-LN(2)/35)*GL178+(1-EXP(-LN(2)/35))/(LN(2)/35)*GH179*GI179*VLOOKUP('Données projet (1)'!$B$17,'Paramètres (1)'!$A$1:$I$88,3,0)*0.475*44/12</f>
        <v>#REF!</v>
      </c>
      <c r="GM179" s="142" t="str">
        <f>EXP(-LN(2)/25)*GM178+(1-EXP(-LN(2)/25))/(LN(2)/25)*'Calculateur (1)'!GH179*'Calculateur (1)'!GJ179*VLOOKUP('Données projet (1)'!$B$17,'Paramètres (1)'!$A$1:$I$88,3,0)*0.475*44/12</f>
        <v>#REF!</v>
      </c>
      <c r="GN179" s="142" t="str">
        <f>EXP(-LN(2)/2)*GN178+(1-EXP(-LN(2)/2))/(LN(2)/2)*GH179*GK179*VLOOKUP('Données projet (1)'!$B$17,'Paramètres (1)'!$A$1:$I$88,3,0)*0.475*44/12</f>
        <v>#REF!</v>
      </c>
      <c r="GO179" s="142" t="str">
        <f t="shared" si="95"/>
        <v>#REF!</v>
      </c>
      <c r="GP179" s="139" t="str">
        <f t="shared" si="96"/>
        <v>#REF!</v>
      </c>
      <c r="GQ179" s="131">
        <f t="shared" si="97"/>
        <v>10</v>
      </c>
      <c r="GR179" s="131" t="str">
        <f t="shared" si="144"/>
        <v>#REF!</v>
      </c>
      <c r="GS179" s="131" t="str">
        <f t="shared" si="98"/>
        <v>#REF!</v>
      </c>
      <c r="GT179" s="131" t="str">
        <f t="array" ref="GT179">INDEX(GS:GS,MIN(IF(ISNUMBER(GS179:GS375),ROW(GS179:GS375),"")))</f>
        <v/>
      </c>
      <c r="GU179" s="131" t="str">
        <f t="shared" si="145"/>
        <v>#REF!</v>
      </c>
      <c r="GV179" s="138" t="str">
        <f>GU179*VLOOKUP('Données projet (1)'!$B$18,'Paramètres (1)'!$A$1:$I$88,3,0)*VLOOKUP('Données projet (1)'!$B$18,'Paramètres (1)'!$A$1:$I$88,5,0)</f>
        <v>#REF!</v>
      </c>
      <c r="GW179" s="130" t="str">
        <f t="shared" si="146"/>
        <v>#REF!</v>
      </c>
      <c r="GX179" s="141" t="str">
        <f t="shared" si="99"/>
        <v>#REF!</v>
      </c>
      <c r="GY179" s="133" t="str">
        <f t="shared" si="100"/>
        <v>#REF!</v>
      </c>
      <c r="GZ179" s="133" t="str">
        <f t="shared" si="101"/>
        <v>#REF!</v>
      </c>
      <c r="HA179" s="133" t="str">
        <f t="shared" si="147"/>
        <v>#REF!</v>
      </c>
      <c r="HB179" s="134" t="str">
        <f t="shared" si="102"/>
        <v>#REF!</v>
      </c>
      <c r="HC179" s="134" t="str">
        <f t="shared" si="103"/>
        <v>#REF!</v>
      </c>
      <c r="HD179" s="135" t="str">
        <f>IF(ISNA(VLOOKUP(A179,'Données projet (1)'!$A$269:$I$289,5,0)),0%,VLOOKUP(A179,'Données projet (1)'!$A$269:$I$289,5,0)*VLOOKUP('Données projet (1)'!$B$18,'Paramètres (1)'!$A$1:$I$88,7,0))</f>
        <v>#REF!</v>
      </c>
      <c r="HE179" s="135" t="str">
        <f>IF(ISNA(VLOOKUP(A179,'Données projet (1)'!$A$269:$I$289,6,0)),0%,VLOOKUP(A179,'Données projet (1)'!$A$269:$I$289,6,0)*VLOOKUP('Données projet (1)'!$B$18,'Paramètres (1)'!$A$1:$I$88,7,0))</f>
        <v>#REF!</v>
      </c>
      <c r="HF179" s="135" t="str">
        <f t="shared" si="104"/>
        <v>#REF!</v>
      </c>
      <c r="HG179" s="142" t="str">
        <f>EXP(-LN(2)/35)*HG178+(1-EXP(-LN(2)/35))/(LN(2)/35)*HC179*HD179*VLOOKUP('Données projet (1)'!$B$18,'Paramètres (1)'!$A$1:$I$88,3,0)*0.475*44/12</f>
        <v>#REF!</v>
      </c>
      <c r="HH179" s="142" t="str">
        <f>EXP(-LN(2)/25)*HH178+(1-EXP(-LN(2)/25))/(LN(2)/25)*'Calculateur (1)'!HC179*'Calculateur (1)'!HE179*VLOOKUP('Données projet (1)'!$B$18,'Paramètres (1)'!$A$1:$I$88,3,0)*0.475*44/12</f>
        <v>#REF!</v>
      </c>
      <c r="HI179" s="142" t="str">
        <f>EXP(-LN(2)/2)*HI178+(1-EXP(-LN(2)/2))/(LN(2)/2)*HC179*HF179*VLOOKUP('Données projet (1)'!$B$18,'Paramètres (1)'!$A$1:$I$88,3,0)*0.475*44/12</f>
        <v>#REF!</v>
      </c>
      <c r="HJ179" s="143" t="str">
        <f t="shared" si="105"/>
        <v>#REF!</v>
      </c>
    </row>
    <row r="180" ht="14.25" customHeight="1">
      <c r="A180" s="125">
        <f t="shared" si="106"/>
        <v>177</v>
      </c>
      <c r="B180" s="126" t="str">
        <f t="shared" si="1"/>
        <v>#REF!</v>
      </c>
      <c r="C180" s="140" t="str">
        <f>'Calculateur (1)'!C179+'Scénario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0" s="127">
        <f t="shared" si="107"/>
        <v>0</v>
      </c>
      <c r="E180" s="127" t="str">
        <f t="shared" si="2"/>
        <v>#REF!</v>
      </c>
      <c r="F180" s="127" t="str">
        <f t="shared" si="3"/>
        <v>#REF!</v>
      </c>
      <c r="G180" s="127" t="str">
        <f t="shared" si="4"/>
        <v>#REF!</v>
      </c>
      <c r="H180" s="128" t="str">
        <f t="shared" si="5"/>
        <v>#REF!</v>
      </c>
      <c r="I180" s="129" t="str">
        <f t="shared" si="6"/>
        <v>#REF!</v>
      </c>
      <c r="J180" s="130">
        <f t="shared" si="7"/>
        <v>10</v>
      </c>
      <c r="K180" s="131" t="str">
        <f t="shared" si="108"/>
        <v>#REF!</v>
      </c>
      <c r="L180" s="131" t="str">
        <f t="shared" si="8"/>
        <v>#REF!</v>
      </c>
      <c r="M180" s="131" t="str">
        <f t="array" ref="M180">INDEX(L:L,MIN(IF(ISNUMBER(L180:L376),ROW(L180:L376),"")))</f>
        <v/>
      </c>
      <c r="N180" s="130" t="str">
        <f t="shared" si="109"/>
        <v>#REF!</v>
      </c>
      <c r="O180" s="130" t="str">
        <f>N180*VLOOKUP('Données projet (1)'!$B$9,'Paramètres (1)'!$A$1:$I$88,3,0)*VLOOKUP('Données projet (1)'!$B$9,'Paramètres (1)'!$A$1:$I$88,5,0)</f>
        <v>#REF!</v>
      </c>
      <c r="P180" s="130" t="str">
        <f t="shared" si="110"/>
        <v>#REF!</v>
      </c>
      <c r="Q180" s="141" t="str">
        <f t="shared" si="9"/>
        <v>#REF!</v>
      </c>
      <c r="R180" s="133" t="str">
        <f t="shared" si="10"/>
        <v>#REF!</v>
      </c>
      <c r="S180" s="133" t="str">
        <f t="shared" si="11"/>
        <v>#REF!</v>
      </c>
      <c r="T180" s="133" t="str">
        <f t="shared" si="111"/>
        <v>#REF!</v>
      </c>
      <c r="U180" s="134" t="str">
        <f t="shared" si="12"/>
        <v>#REF!</v>
      </c>
      <c r="V180" s="134" t="str">
        <f t="shared" si="13"/>
        <v>#REF!</v>
      </c>
      <c r="W180" s="135" t="str">
        <f>IF(ISNA(VLOOKUP(A180,'Données projet (1)'!$A$35:$I$55,5,0)),0%,VLOOKUP(A180,'Données projet (1)'!$A$35:$I$55,5,0)*VLOOKUP('Données projet (1)'!$B$9,'Paramètres (1)'!$A$1:$I$88,7,0))</f>
        <v>#REF!</v>
      </c>
      <c r="X180" s="135" t="str">
        <f>IF(ISNA(VLOOKUP(A180,'Données projet (1)'!$A$35:$I$55,6,0)),0%,VLOOKUP(A180,'Données projet (1)'!$A$35:$I$55,6,0)*VLOOKUP('Données projet (1)'!$B$9,'Paramètres (1)'!$A$1:$I$88,7,0))</f>
        <v>#REF!</v>
      </c>
      <c r="Y180" s="135" t="str">
        <f t="shared" si="14"/>
        <v>#REF!</v>
      </c>
      <c r="Z180" s="142" t="str">
        <f>EXP(-LN(2)/35)*Z179+(1-EXP(-LN(2)/35))/(LN(2)/35)*V180*W180*VLOOKUP('Données projet (1)'!$B$9,'Paramètres (1)'!$A$1:$I$88,3,0)*0.475*44/12</f>
        <v>#REF!</v>
      </c>
      <c r="AA180" s="142" t="str">
        <f>EXP(-LN(2)/25)*AA179+(1-EXP(-LN(2)/25))/(LN(2)/25)*'Calculateur (1)'!V180*'Calculateur (1)'!X180*VLOOKUP('Données projet (1)'!$B$9,'Paramètres (1)'!$A$1:$I$88,3,0)*0.475*44/12</f>
        <v>#REF!</v>
      </c>
      <c r="AB180" s="142" t="str">
        <f>EXP(-LN(2)/2)*AB179+(1-EXP(-LN(2)/2))/(LN(2)/2)*V180*Y180*VLOOKUP('Données projet (1)'!$B$9,'Paramètres (1)'!$A$1:$I$88,3,0)*0.475*44/12</f>
        <v>#REF!</v>
      </c>
      <c r="AC180" s="143" t="str">
        <f t="shared" si="15"/>
        <v>#REF!</v>
      </c>
      <c r="AD180" s="130" t="str">
        <f t="shared" si="16"/>
        <v>#REF!</v>
      </c>
      <c r="AE180" s="130">
        <f t="shared" si="17"/>
        <v>10</v>
      </c>
      <c r="AF180" s="131" t="str">
        <f t="shared" si="112"/>
        <v>#REF!</v>
      </c>
      <c r="AG180" s="131" t="str">
        <f t="shared" si="18"/>
        <v>#REF!</v>
      </c>
      <c r="AH180" s="131" t="str">
        <f t="array" ref="AH180">INDEX(AG:AG,MIN(IF(ISNUMBER(AG180:AG376),ROW(AG180:AG376),"")))</f>
        <v/>
      </c>
      <c r="AI180" s="130" t="str">
        <f t="shared" si="113"/>
        <v>#REF!</v>
      </c>
      <c r="AJ180" s="130" t="str">
        <f>AI180*VLOOKUP('Données projet (1)'!$B$10,'Paramètres (1)'!$A$1:$I$88,3,0)*VLOOKUP('Données projet (1)'!$B$10,'Paramètres (1)'!$A$1:$I$88,5,0)</f>
        <v>#REF!</v>
      </c>
      <c r="AK180" s="130" t="str">
        <f t="shared" si="114"/>
        <v>#REF!</v>
      </c>
      <c r="AL180" s="141" t="str">
        <f t="shared" si="19"/>
        <v>#REF!</v>
      </c>
      <c r="AM180" s="133" t="str">
        <f t="shared" si="20"/>
        <v>#REF!</v>
      </c>
      <c r="AN180" s="133" t="str">
        <f t="shared" si="21"/>
        <v>#REF!</v>
      </c>
      <c r="AO180" s="133" t="str">
        <f t="shared" si="115"/>
        <v>#REF!</v>
      </c>
      <c r="AP180" s="134" t="str">
        <f t="shared" si="22"/>
        <v>#REF!</v>
      </c>
      <c r="AQ180" s="134" t="str">
        <f t="shared" si="23"/>
        <v>#REF!</v>
      </c>
      <c r="AR180" s="135" t="str">
        <f>IF(ISNA(VLOOKUP(A180,'Données projet (1)'!$A$61:$I$81,5,0)),0%,VLOOKUP(A180,'Données projet (1)'!$A$61:$I$81,5,0)*VLOOKUP('Données projet (1)'!$B$10,'Paramètres (1)'!$A$1:$I$88,7,0))</f>
        <v>#REF!</v>
      </c>
      <c r="AS180" s="135" t="str">
        <f>IF(ISNA(VLOOKUP(A180,'Données projet (1)'!$A$61:$I$81,6,0)),0%,VLOOKUP(A180,'Données projet (1)'!$A$61:$I$81,6,0)*VLOOKUP('Données projet (1)'!$B$10,'Paramètres (1)'!$A$1:$I$88,7,0))</f>
        <v>#REF!</v>
      </c>
      <c r="AT180" s="135" t="str">
        <f t="shared" si="24"/>
        <v>#REF!</v>
      </c>
      <c r="AU180" s="142" t="str">
        <f>EXP(-LN(2)/35)*AU179+(1-EXP(-LN(2)/35))/(LN(2)/35)*AQ180*AR180*VLOOKUP('Données projet (1)'!$B$10,'Paramètres (1)'!$A$1:$I$88,3,0)*0.475*44/12</f>
        <v>#REF!</v>
      </c>
      <c r="AV180" s="142" t="str">
        <f>EXP(-LN(2)/25)*AV179+(1-EXP(-LN(2)/25))/(LN(2)/25)*'Calculateur (1)'!AQ180*'Calculateur (1)'!AS180*VLOOKUP('Données projet (1)'!$B$10,'Paramètres (1)'!$A$1:$I$88,3,0)*0.475*44/12</f>
        <v>#REF!</v>
      </c>
      <c r="AW180" s="142" t="str">
        <f>EXP(-LN(2)/2)*AW179+(1-EXP(-LN(2)/2))/(LN(2)/2)*AQ180*AT180*VLOOKUP('Données projet (1)'!$B$10,'Paramètres (1)'!$A$1:$I$88,3,0)*0.475*44/12</f>
        <v>#REF!</v>
      </c>
      <c r="AX180" s="142" t="str">
        <f t="shared" si="25"/>
        <v>#REF!</v>
      </c>
      <c r="AY180" s="137" t="str">
        <f t="shared" si="26"/>
        <v>#REF!</v>
      </c>
      <c r="AZ180" s="131">
        <f t="shared" si="27"/>
        <v>10</v>
      </c>
      <c r="BA180" s="131" t="str">
        <f t="shared" si="116"/>
        <v>#REF!</v>
      </c>
      <c r="BB180" s="131" t="str">
        <f t="shared" si="28"/>
        <v>#REF!</v>
      </c>
      <c r="BC180" s="131" t="str">
        <f t="array" ref="BC180">INDEX(BB:BB,MIN(IF(ISNUMBER(BB180:BB376),ROW(BB180:BB376),"")))</f>
        <v/>
      </c>
      <c r="BD180" s="131" t="str">
        <f t="shared" si="117"/>
        <v>#REF!</v>
      </c>
      <c r="BE180" s="130" t="str">
        <f>BD180*VLOOKUP('Données projet (1)'!$B$11,'Paramètres (1)'!$A$1:$I$88,3,0)*VLOOKUP('Données projet (1)'!$B$11,'Paramètres (1)'!$A$1:$I$88,5,0)</f>
        <v>#REF!</v>
      </c>
      <c r="BF180" s="130" t="str">
        <f t="shared" si="118"/>
        <v>#REF!</v>
      </c>
      <c r="BG180" s="141" t="str">
        <f t="shared" si="29"/>
        <v>#REF!</v>
      </c>
      <c r="BH180" s="133" t="str">
        <f t="shared" si="30"/>
        <v>#REF!</v>
      </c>
      <c r="BI180" s="133" t="str">
        <f t="shared" si="31"/>
        <v>#REF!</v>
      </c>
      <c r="BJ180" s="133" t="str">
        <f t="shared" si="119"/>
        <v>#REF!</v>
      </c>
      <c r="BK180" s="134" t="str">
        <f t="shared" si="32"/>
        <v>#REF!</v>
      </c>
      <c r="BL180" s="134" t="str">
        <f t="shared" si="33"/>
        <v>#REF!</v>
      </c>
      <c r="BM180" s="135" t="str">
        <f>IF(ISNA(VLOOKUP(A180,'Données projet (1)'!$A$87:$I$107,5,0)),0%,VLOOKUP(A180,'Données projet (1)'!$A$87:$I$107,5,0)*VLOOKUP('Données projet (1)'!$B$11,'Paramètres (1)'!$A$1:$I$88,7,0))</f>
        <v>#REF!</v>
      </c>
      <c r="BN180" s="135" t="str">
        <f>IF(ISNA(VLOOKUP(A180,'Données projet (1)'!$A$87:$I$107,6,0)),0%,VLOOKUP(A180,'Données projet (1)'!$A$87:$I$107,6,0)*VLOOKUP('Données projet (1)'!$B$11,'Paramètres (1)'!$A$1:$I$88,7,0))</f>
        <v>#REF!</v>
      </c>
      <c r="BO180" s="135" t="str">
        <f t="shared" si="34"/>
        <v>#REF!</v>
      </c>
      <c r="BP180" s="142" t="str">
        <f>EXP(-LN(2)/35)*BP179+(1-EXP(-LN(2)/35))/(LN(2)/35)*BL180*BM180*VLOOKUP('Données projet (1)'!$B$11,'Paramètres (1)'!$A$1:$I$88,3,0)*0.475*44/12</f>
        <v>#REF!</v>
      </c>
      <c r="BQ180" s="142" t="str">
        <f>EXP(-LN(2)/25)*BQ179+(1-EXP(-LN(2)/25))/(LN(2)/25)*'Calculateur (1)'!BL180*'Calculateur (1)'!BN180*VLOOKUP('Données projet (1)'!$B$11,'Paramètres (1)'!$A$1:$I$88,3,0)*0.475*44/12</f>
        <v>#REF!</v>
      </c>
      <c r="BR180" s="142" t="str">
        <f>EXP(-LN(2)/2)*BR179+(1-EXP(-LN(2)/2))/(LN(2)/2)*BL180*BO180*VLOOKUP('Données projet (1)'!$B$11,'Paramètres (1)'!$A$1:$I$88,3,0)*0.475*44/12</f>
        <v>#REF!</v>
      </c>
      <c r="BS180" s="143" t="str">
        <f t="shared" si="35"/>
        <v>#REF!</v>
      </c>
      <c r="BT180" s="139" t="str">
        <f t="shared" si="36"/>
        <v>#REF!</v>
      </c>
      <c r="BU180" s="131">
        <f t="shared" si="37"/>
        <v>10</v>
      </c>
      <c r="BV180" s="131" t="str">
        <f t="shared" si="120"/>
        <v>#REF!</v>
      </c>
      <c r="BW180" s="131" t="str">
        <f t="shared" si="38"/>
        <v>#REF!</v>
      </c>
      <c r="BX180" s="131" t="str">
        <f t="array" ref="BX180">INDEX(BW:BW,MIN(IF(ISNUMBER(BW180:BW376),ROW(BW180:BW376),"")))</f>
        <v/>
      </c>
      <c r="BY180" s="131" t="str">
        <f t="shared" si="121"/>
        <v>#REF!</v>
      </c>
      <c r="BZ180" s="130" t="str">
        <f>BY180*VLOOKUP('Données projet (1)'!$B$12,'Paramètres (1)'!$A$1:$I$88,3,0)*VLOOKUP('Données projet (1)'!$B$12,'Paramètres (1)'!$A$1:$I$88,5,0)</f>
        <v>#REF!</v>
      </c>
      <c r="CA180" s="130" t="str">
        <f t="shared" si="122"/>
        <v>#REF!</v>
      </c>
      <c r="CB180" s="141" t="str">
        <f t="shared" si="39"/>
        <v>#REF!</v>
      </c>
      <c r="CC180" s="133" t="str">
        <f t="shared" si="40"/>
        <v>#REF!</v>
      </c>
      <c r="CD180" s="133" t="str">
        <f t="shared" si="41"/>
        <v>#REF!</v>
      </c>
      <c r="CE180" s="133" t="str">
        <f t="shared" si="123"/>
        <v>#REF!</v>
      </c>
      <c r="CF180" s="134" t="str">
        <f t="shared" si="42"/>
        <v>#REF!</v>
      </c>
      <c r="CG180" s="134" t="str">
        <f t="shared" si="43"/>
        <v>#REF!</v>
      </c>
      <c r="CH180" s="135" t="str">
        <f>IF(ISNA(VLOOKUP(A180,'Données projet (1)'!$A$113:$I$133,5,0)),0%,VLOOKUP(A180,'Données projet (1)'!$A$113:$I$133,5,0)*VLOOKUP('Données projet (1)'!$B$12,'Paramètres (1)'!$A$1:$I$88,7,0))</f>
        <v>#REF!</v>
      </c>
      <c r="CI180" s="135" t="str">
        <f>IF(ISNA(VLOOKUP(A180,'Données projet (1)'!$A$113:$I$133,6,0)),0%,VLOOKUP(A180,'Données projet (1)'!$A$113:$I$133,6,0)*VLOOKUP('Données projet (1)'!$B$12,'Paramètres (1)'!$A$1:$I$88,7,0))</f>
        <v>#REF!</v>
      </c>
      <c r="CJ180" s="135" t="str">
        <f t="shared" si="44"/>
        <v>#REF!</v>
      </c>
      <c r="CK180" s="142" t="str">
        <f>EXP(-LN(2)/35)*CK179+(1-EXP(-LN(2)/35))/(LN(2)/35)*CG180*CH180*VLOOKUP('Données projet (1)'!$B$12,'Paramètres (1)'!$A$1:$I$88,3,0)*0.475*44/12</f>
        <v>#REF!</v>
      </c>
      <c r="CL180" s="142" t="str">
        <f>EXP(-LN(2)/25)*CL179+(1-EXP(-LN(2)/25))/(LN(2)/25)*'Calculateur (1)'!CG180*'Calculateur (1)'!CI180*VLOOKUP('Données projet (1)'!$B$12,'Paramètres (1)'!$A$1:$I$88,3,0)*0.475*44/12</f>
        <v>#REF!</v>
      </c>
      <c r="CM180" s="142" t="str">
        <f>EXP(-LN(2)/2)*CM179+(1-EXP(-LN(2)/2))/(LN(2)/2)*CG180*CJ180*VLOOKUP('Données projet (1)'!$B$12,'Paramètres (1)'!$A$1:$I$88,3,0)*0.475*44/12</f>
        <v>#REF!</v>
      </c>
      <c r="CN180" s="143" t="str">
        <f t="shared" si="45"/>
        <v>#REF!</v>
      </c>
      <c r="CO180" s="139" t="str">
        <f t="shared" si="46"/>
        <v>#REF!</v>
      </c>
      <c r="CP180" s="131">
        <f t="shared" si="47"/>
        <v>10</v>
      </c>
      <c r="CQ180" s="131" t="str">
        <f t="shared" si="124"/>
        <v>#REF!</v>
      </c>
      <c r="CR180" s="131" t="str">
        <f t="shared" si="48"/>
        <v>#REF!</v>
      </c>
      <c r="CS180" s="131" t="str">
        <f t="array" ref="CS180">INDEX(CR:CR,MIN(IF(ISNUMBER(CR180:CR376),ROW(CR180:CR376),"")))</f>
        <v/>
      </c>
      <c r="CT180" s="131" t="str">
        <f t="shared" si="125"/>
        <v>#REF!</v>
      </c>
      <c r="CU180" s="138" t="str">
        <f>CT180*VLOOKUP('Données projet (1)'!$B$13,'Paramètres (1)'!$A$1:$I$88,3,0)*VLOOKUP('Données projet (1)'!$B$13,'Paramètres (1)'!$A$1:$I$88,5,0)</f>
        <v>#REF!</v>
      </c>
      <c r="CV180" s="130" t="str">
        <f t="shared" si="126"/>
        <v>#REF!</v>
      </c>
      <c r="CW180" s="141" t="str">
        <f t="shared" si="49"/>
        <v>#REF!</v>
      </c>
      <c r="CX180" s="133" t="str">
        <f t="shared" si="50"/>
        <v>#REF!</v>
      </c>
      <c r="CY180" s="133" t="str">
        <f t="shared" si="51"/>
        <v>#REF!</v>
      </c>
      <c r="CZ180" s="133" t="str">
        <f t="shared" si="127"/>
        <v>#REF!</v>
      </c>
      <c r="DA180" s="134" t="str">
        <f t="shared" si="52"/>
        <v>#REF!</v>
      </c>
      <c r="DB180" s="134" t="str">
        <f t="shared" si="53"/>
        <v>#REF!</v>
      </c>
      <c r="DC180" s="135" t="str">
        <f>IF(ISNA(VLOOKUP(A180,'Données projet (1)'!$A$139:$I$159,5,0)),0%,VLOOKUP(A180,'Données projet (1)'!$A$139:$I$159,5,0)*VLOOKUP('Données projet (1)'!$B$13,'Paramètres (1)'!$A$1:$I$88,7,0))</f>
        <v>#REF!</v>
      </c>
      <c r="DD180" s="135" t="str">
        <f>IF(ISNA(VLOOKUP(A180,'Données projet (1)'!$A$139:$I$159,6,0)),0%,VLOOKUP(A180,'Données projet (1)'!$A$139:$I$159,6,0)*VLOOKUP('Données projet (1)'!$B$13,'Paramètres (1)'!$A$1:$I$88,7,0))</f>
        <v>#REF!</v>
      </c>
      <c r="DE180" s="135" t="str">
        <f t="shared" si="54"/>
        <v>#REF!</v>
      </c>
      <c r="DF180" s="142" t="str">
        <f>EXP(-LN(2)/35)*DF179+(1-EXP(-LN(2)/35))/(LN(2)/35)*DB180*DC180*VLOOKUP('Données projet (1)'!$B$13,'Paramètres (1)'!$A$1:$I$88,3,0)*0.475*44/12</f>
        <v>#REF!</v>
      </c>
      <c r="DG180" s="142" t="str">
        <f>EXP(-LN(2)/25)*DG179+(1-EXP(-LN(2)/25))/(LN(2)/25)*'Calculateur (1)'!DB180*'Calculateur (1)'!DD180*VLOOKUP('Données projet (1)'!$B$13,'Paramètres (1)'!$A$1:$I$88,3,0)*0.475*44/12</f>
        <v>#REF!</v>
      </c>
      <c r="DH180" s="142" t="str">
        <f>EXP(-LN(2)/2)*DH179+(1-EXP(-LN(2)/2))/(LN(2)/2)*DB180*DE180*VLOOKUP('Données projet (1)'!$B$13,'Paramètres (1)'!$A$1:$I$88,3,0)*0.475*44/12</f>
        <v>#REF!</v>
      </c>
      <c r="DI180" s="143" t="str">
        <f t="shared" si="55"/>
        <v>#REF!</v>
      </c>
      <c r="DJ180" s="139" t="str">
        <f t="shared" si="56"/>
        <v>#REF!</v>
      </c>
      <c r="DK180" s="131">
        <f t="shared" si="57"/>
        <v>10</v>
      </c>
      <c r="DL180" s="131" t="str">
        <f t="shared" si="128"/>
        <v>#REF!</v>
      </c>
      <c r="DM180" s="131" t="str">
        <f t="shared" si="58"/>
        <v>#REF!</v>
      </c>
      <c r="DN180" s="131" t="str">
        <f t="array" ref="DN180">INDEX(DM:DM,MIN(IF(ISNUMBER(DM180:DM376),ROW(DM180:DM376),"")))</f>
        <v/>
      </c>
      <c r="DO180" s="131" t="str">
        <f t="shared" si="129"/>
        <v>#REF!</v>
      </c>
      <c r="DP180" s="138" t="str">
        <f>DO180*VLOOKUP('Données projet (1)'!$B$14,'Paramètres (1)'!$A$1:$I$88,3,0)*VLOOKUP('Données projet (1)'!$B$14,'Paramètres (1)'!$A$1:$I$88,5,0)</f>
        <v>#REF!</v>
      </c>
      <c r="DQ180" s="130" t="str">
        <f t="shared" si="130"/>
        <v>#REF!</v>
      </c>
      <c r="DR180" s="141" t="str">
        <f t="shared" si="59"/>
        <v>#REF!</v>
      </c>
      <c r="DS180" s="133" t="str">
        <f t="shared" si="60"/>
        <v>#REF!</v>
      </c>
      <c r="DT180" s="133" t="str">
        <f t="shared" si="61"/>
        <v>#REF!</v>
      </c>
      <c r="DU180" s="133" t="str">
        <f t="shared" si="131"/>
        <v>#REF!</v>
      </c>
      <c r="DV180" s="134" t="str">
        <f t="shared" si="62"/>
        <v>#REF!</v>
      </c>
      <c r="DW180" s="134" t="str">
        <f t="shared" si="63"/>
        <v>#REF!</v>
      </c>
      <c r="DX180" s="135" t="str">
        <f>IF(ISNA(VLOOKUP(A180,'Données projet (1)'!$A$165:$I$185,5,0)),0%,VLOOKUP(A180,'Données projet (1)'!$A$165:$I$185,5,0)*VLOOKUP('Données projet (1)'!$B$14,'Paramètres (1)'!$A$1:$I$88,7,0))</f>
        <v>#REF!</v>
      </c>
      <c r="DY180" s="135" t="str">
        <f>IF(ISNA(VLOOKUP(A180,'Données projet (1)'!$A$165:$I$185,6,0)),0%,VLOOKUP(A180,'Données projet (1)'!$A$165:$I$185,6,0)*VLOOKUP('Données projet (1)'!$B$14,'Paramètres (1)'!$A$1:$I$88,7,0))</f>
        <v>#REF!</v>
      </c>
      <c r="DZ180" s="135" t="str">
        <f t="shared" si="64"/>
        <v>#REF!</v>
      </c>
      <c r="EA180" s="142" t="str">
        <f>EXP(-LN(2)/35)*EA179+(1-EXP(-LN(2)/35))/(LN(2)/35)*DW180*DX180*VLOOKUP('Données projet (1)'!$B$14,'Paramètres (1)'!$A$1:$I$88,3,0)*0.475*44/12</f>
        <v>#REF!</v>
      </c>
      <c r="EB180" s="142" t="str">
        <f>EXP(-LN(2)/25)*EB179+(1-EXP(-LN(2)/25))/(LN(2)/25)*'Calculateur (1)'!DW180*'Calculateur (1)'!DY180*VLOOKUP('Données projet (1)'!$B$14,'Paramètres (1)'!$A$1:$I$88,3,0)*0.475*44/12</f>
        <v>#REF!</v>
      </c>
      <c r="EC180" s="142" t="str">
        <f>EXP(-LN(2)/2)*EC179+(1-EXP(-LN(2)/2))/(LN(2)/2)*DW180*DZ180*VLOOKUP('Données projet (1)'!$B$14,'Paramètres (1)'!$A$1:$I$88,3,0)*0.475*44/12</f>
        <v>#REF!</v>
      </c>
      <c r="ED180" s="143" t="str">
        <f t="shared" si="65"/>
        <v>#REF!</v>
      </c>
      <c r="EE180" s="139" t="str">
        <f t="shared" si="66"/>
        <v>#REF!</v>
      </c>
      <c r="EF180" s="131">
        <f t="shared" si="67"/>
        <v>10</v>
      </c>
      <c r="EG180" s="131" t="str">
        <f t="shared" si="132"/>
        <v>#REF!</v>
      </c>
      <c r="EH180" s="131" t="str">
        <f t="shared" si="68"/>
        <v>#REF!</v>
      </c>
      <c r="EI180" s="131" t="str">
        <f t="array" ref="EI180">INDEX(EH:EH,MIN(IF(ISNUMBER(EH180:EH376),ROW(EH180:EH376),"")))</f>
        <v/>
      </c>
      <c r="EJ180" s="131" t="str">
        <f t="shared" si="133"/>
        <v>#REF!</v>
      </c>
      <c r="EK180" s="138" t="str">
        <f>EJ180*VLOOKUP('Données projet (1)'!$B$15,'Paramètres (1)'!$A$1:$I$88,3,0)*VLOOKUP('Données projet (1)'!$B$15,'Paramètres (1)'!$A$1:$I$88,5,0)</f>
        <v>#REF!</v>
      </c>
      <c r="EL180" s="130" t="str">
        <f t="shared" si="134"/>
        <v>#REF!</v>
      </c>
      <c r="EM180" s="141" t="str">
        <f t="shared" si="69"/>
        <v>#REF!</v>
      </c>
      <c r="EN180" s="133" t="str">
        <f t="shared" si="70"/>
        <v>#REF!</v>
      </c>
      <c r="EO180" s="133" t="str">
        <f t="shared" si="71"/>
        <v>#REF!</v>
      </c>
      <c r="EP180" s="133" t="str">
        <f t="shared" si="135"/>
        <v>#REF!</v>
      </c>
      <c r="EQ180" s="134" t="str">
        <f t="shared" si="72"/>
        <v>#REF!</v>
      </c>
      <c r="ER180" s="134" t="str">
        <f t="shared" si="73"/>
        <v>#REF!</v>
      </c>
      <c r="ES180" s="135" t="str">
        <f>IF(ISNA(VLOOKUP(A180,'Données projet (1)'!$A$191:$I$211,5,0)),0%,VLOOKUP(A180,'Données projet (1)'!$A$191:$I$211,5,0)*VLOOKUP('Données projet (1)'!$B$15,'Paramètres (1)'!$A$1:$I$88,7,0))</f>
        <v>#REF!</v>
      </c>
      <c r="ET180" s="135" t="str">
        <f>IF(ISNA(VLOOKUP(A180,'Données projet (1)'!$A$191:$I$211,6,0)),0%,VLOOKUP(A180,'Données projet (1)'!$A$191:$I$211,6,0)*VLOOKUP('Données projet (1)'!$B$15,'Paramètres (1)'!$A$1:$I$88,7,0))</f>
        <v>#REF!</v>
      </c>
      <c r="EU180" s="135" t="str">
        <f t="shared" si="74"/>
        <v>#REF!</v>
      </c>
      <c r="EV180" s="142" t="str">
        <f>EXP(-LN(2)/35)*EV179+(1-EXP(-LN(2)/35))/(LN(2)/35)*ER180*ES180*VLOOKUP('Données projet (1)'!$B$15,'Paramètres (1)'!$A$1:$I$88,3,0)*0.475*44/12</f>
        <v>#REF!</v>
      </c>
      <c r="EW180" s="142" t="str">
        <f>EXP(-LN(2)/25)*EW179+(1-EXP(-LN(2)/25))/(LN(2)/25)*'Calculateur (1)'!ER180*'Calculateur (1)'!ET180*VLOOKUP('Données projet (1)'!$B$15,'Paramètres (1)'!$A$1:$I$88,3,0)*0.475*44/12</f>
        <v>#REF!</v>
      </c>
      <c r="EX180" s="142" t="str">
        <f>EXP(-LN(2)/2)*EX179+(1-EXP(-LN(2)/2))/(LN(2)/2)*ER180*EU180*VLOOKUP('Données projet (1)'!$B$15,'Paramètres (1)'!$A$1:$I$88,3,0)*0.475*44/12</f>
        <v>#REF!</v>
      </c>
      <c r="EY180" s="143" t="str">
        <f t="shared" si="75"/>
        <v>#REF!</v>
      </c>
      <c r="EZ180" s="139" t="str">
        <f t="shared" si="76"/>
        <v>#REF!</v>
      </c>
      <c r="FA180" s="131">
        <f t="shared" si="77"/>
        <v>10</v>
      </c>
      <c r="FB180" s="131" t="str">
        <f t="shared" si="136"/>
        <v>#REF!</v>
      </c>
      <c r="FC180" s="131" t="str">
        <f t="shared" si="78"/>
        <v>#REF!</v>
      </c>
      <c r="FD180" s="131" t="str">
        <f t="array" ref="FD180">INDEX(FC:FC,MIN(IF(ISNUMBER(FC180:FC376),ROW(FC180:FC376),"")))</f>
        <v/>
      </c>
      <c r="FE180" s="131" t="str">
        <f t="shared" si="137"/>
        <v>#REF!</v>
      </c>
      <c r="FF180" s="138" t="str">
        <f>FE180*VLOOKUP('Données projet (1)'!$B$16,'Paramètres (1)'!$A$1:$I$88,3,0)*VLOOKUP('Données projet (1)'!$B$16,'Paramètres (1)'!$A$1:$I$88,5,0)</f>
        <v>#REF!</v>
      </c>
      <c r="FG180" s="130" t="str">
        <f t="shared" si="138"/>
        <v>#REF!</v>
      </c>
      <c r="FH180" s="141" t="str">
        <f t="shared" si="79"/>
        <v>#REF!</v>
      </c>
      <c r="FI180" s="133" t="str">
        <f t="shared" si="80"/>
        <v>#REF!</v>
      </c>
      <c r="FJ180" s="133" t="str">
        <f t="shared" si="81"/>
        <v>#REF!</v>
      </c>
      <c r="FK180" s="133" t="str">
        <f t="shared" si="139"/>
        <v>#REF!</v>
      </c>
      <c r="FL180" s="134" t="str">
        <f t="shared" si="82"/>
        <v>#REF!</v>
      </c>
      <c r="FM180" s="134" t="str">
        <f t="shared" si="83"/>
        <v>#REF!</v>
      </c>
      <c r="FN180" s="135" t="str">
        <f>IF(ISNA(VLOOKUP(A180,'Données projet (1)'!$A$217:$I$237,5,0)),0%,VLOOKUP(A180,'Données projet (1)'!$A$217:$I$237,5,0)*VLOOKUP('Données projet (1)'!$B$16,'Paramètres (1)'!$A$1:$I$88,7,0))</f>
        <v>#REF!</v>
      </c>
      <c r="FO180" s="135" t="str">
        <f>IF(ISNA(VLOOKUP(A180,'Données projet (1)'!$A$217:$I$237,6,0)),0%,VLOOKUP(A180,'Données projet (1)'!$A$217:$I$237,6,0)*VLOOKUP('Données projet (1)'!$B$16,'Paramètres (1)'!$A$1:$I$88,7,0))</f>
        <v>#REF!</v>
      </c>
      <c r="FP180" s="135" t="str">
        <f t="shared" si="84"/>
        <v>#REF!</v>
      </c>
      <c r="FQ180" s="142" t="str">
        <f>EXP(-LN(2)/35)*FQ179+(1-EXP(-LN(2)/35))/(LN(2)/35)*FM180*FN180*VLOOKUP('Données projet (1)'!$B$16,'Paramètres (1)'!$A$1:$I$88,3,0)*0.475*44/12</f>
        <v>#REF!</v>
      </c>
      <c r="FR180" s="142" t="str">
        <f>EXP(-LN(2)/25)*FR179+(1-EXP(-LN(2)/25))/(LN(2)/25)*'Calculateur (1)'!FM180*'Calculateur (1)'!FO180*VLOOKUP('Données projet (1)'!$B$16,'Paramètres (1)'!$A$1:$I$88,3,0)*0.475*44/12</f>
        <v>#REF!</v>
      </c>
      <c r="FS180" s="142" t="str">
        <f>EXP(-LN(2)/2)*FS179+(1-EXP(-LN(2)/2))/(LN(2)/2)*FM180*FP180*VLOOKUP('Données projet (1)'!$B$16,'Paramètres (1)'!$A$1:$I$88,3,0)*0.475*44/12</f>
        <v>#REF!</v>
      </c>
      <c r="FT180" s="143" t="str">
        <f t="shared" si="85"/>
        <v>#REF!</v>
      </c>
      <c r="FU180" s="139" t="str">
        <f t="shared" si="86"/>
        <v>#REF!</v>
      </c>
      <c r="FV180" s="131">
        <f t="shared" si="87"/>
        <v>10</v>
      </c>
      <c r="FW180" s="131" t="str">
        <f t="shared" si="140"/>
        <v>#REF!</v>
      </c>
      <c r="FX180" s="131" t="str">
        <f t="shared" si="88"/>
        <v>#REF!</v>
      </c>
      <c r="FY180" s="131" t="str">
        <f t="array" ref="FY180">INDEX(FX:FX,MIN(IF(ISNUMBER(FX180:FX376),ROW(FX180:FX376),"")))</f>
        <v/>
      </c>
      <c r="FZ180" s="131" t="str">
        <f t="shared" si="141"/>
        <v>#REF!</v>
      </c>
      <c r="GA180" s="138" t="str">
        <f>FZ180*VLOOKUP('Données projet (1)'!$B$17,'Paramètres (1)'!$A$1:$I$88,3,0)*VLOOKUP('Données projet (1)'!$B$17,'Paramètres (1)'!$A$1:$I$88,5,0)</f>
        <v>#REF!</v>
      </c>
      <c r="GB180" s="130" t="str">
        <f t="shared" si="142"/>
        <v>#REF!</v>
      </c>
      <c r="GC180" s="141" t="str">
        <f t="shared" si="89"/>
        <v>#REF!</v>
      </c>
      <c r="GD180" s="133" t="str">
        <f t="shared" si="90"/>
        <v>#REF!</v>
      </c>
      <c r="GE180" s="133" t="str">
        <f t="shared" si="91"/>
        <v>#REF!</v>
      </c>
      <c r="GF180" s="133" t="str">
        <f t="shared" si="143"/>
        <v>#REF!</v>
      </c>
      <c r="GG180" s="134" t="str">
        <f t="shared" si="92"/>
        <v>#REF!</v>
      </c>
      <c r="GH180" s="134" t="str">
        <f t="shared" si="93"/>
        <v>#REF!</v>
      </c>
      <c r="GI180" s="135" t="str">
        <f>IF(ISNA(VLOOKUP(A180,'Données projet (1)'!$A$243:$I$263,5,0)),0%,VLOOKUP(A180,'Données projet (1)'!$A$243:$I$263,5,0)*VLOOKUP('Données projet (1)'!$B$17,'Paramètres (1)'!$A$1:$I$88,7,0))</f>
        <v>#REF!</v>
      </c>
      <c r="GJ180" s="135" t="str">
        <f>IF(ISNA(VLOOKUP(A180,'Données projet (1)'!$A$243:$I$263,6,0)),0%,VLOOKUP(A180,'Données projet (1)'!$A$243:$I$263,6,0)*VLOOKUP('Données projet (1)'!$B$17,'Paramètres (1)'!$A$1:$I$88,7,0))</f>
        <v>#REF!</v>
      </c>
      <c r="GK180" s="135" t="str">
        <f t="shared" si="94"/>
        <v>#REF!</v>
      </c>
      <c r="GL180" s="142" t="str">
        <f>EXP(-LN(2)/35)*GL179+(1-EXP(-LN(2)/35))/(LN(2)/35)*GH180*GI180*VLOOKUP('Données projet (1)'!$B$17,'Paramètres (1)'!$A$1:$I$88,3,0)*0.475*44/12</f>
        <v>#REF!</v>
      </c>
      <c r="GM180" s="142" t="str">
        <f>EXP(-LN(2)/25)*GM179+(1-EXP(-LN(2)/25))/(LN(2)/25)*'Calculateur (1)'!GH180*'Calculateur (1)'!GJ180*VLOOKUP('Données projet (1)'!$B$17,'Paramètres (1)'!$A$1:$I$88,3,0)*0.475*44/12</f>
        <v>#REF!</v>
      </c>
      <c r="GN180" s="142" t="str">
        <f>EXP(-LN(2)/2)*GN179+(1-EXP(-LN(2)/2))/(LN(2)/2)*GH180*GK180*VLOOKUP('Données projet (1)'!$B$17,'Paramètres (1)'!$A$1:$I$88,3,0)*0.475*44/12</f>
        <v>#REF!</v>
      </c>
      <c r="GO180" s="142" t="str">
        <f t="shared" si="95"/>
        <v>#REF!</v>
      </c>
      <c r="GP180" s="139" t="str">
        <f t="shared" si="96"/>
        <v>#REF!</v>
      </c>
      <c r="GQ180" s="131">
        <f t="shared" si="97"/>
        <v>10</v>
      </c>
      <c r="GR180" s="131" t="str">
        <f t="shared" si="144"/>
        <v>#REF!</v>
      </c>
      <c r="GS180" s="131" t="str">
        <f t="shared" si="98"/>
        <v>#REF!</v>
      </c>
      <c r="GT180" s="131" t="str">
        <f t="array" ref="GT180">INDEX(GS:GS,MIN(IF(ISNUMBER(GS180:GS376),ROW(GS180:GS376),"")))</f>
        <v/>
      </c>
      <c r="GU180" s="131" t="str">
        <f t="shared" si="145"/>
        <v>#REF!</v>
      </c>
      <c r="GV180" s="138" t="str">
        <f>GU180*VLOOKUP('Données projet (1)'!$B$18,'Paramètres (1)'!$A$1:$I$88,3,0)*VLOOKUP('Données projet (1)'!$B$18,'Paramètres (1)'!$A$1:$I$88,5,0)</f>
        <v>#REF!</v>
      </c>
      <c r="GW180" s="130" t="str">
        <f t="shared" si="146"/>
        <v>#REF!</v>
      </c>
      <c r="GX180" s="141" t="str">
        <f t="shared" si="99"/>
        <v>#REF!</v>
      </c>
      <c r="GY180" s="133" t="str">
        <f t="shared" si="100"/>
        <v>#REF!</v>
      </c>
      <c r="GZ180" s="133" t="str">
        <f t="shared" si="101"/>
        <v>#REF!</v>
      </c>
      <c r="HA180" s="133" t="str">
        <f t="shared" si="147"/>
        <v>#REF!</v>
      </c>
      <c r="HB180" s="134" t="str">
        <f t="shared" si="102"/>
        <v>#REF!</v>
      </c>
      <c r="HC180" s="134" t="str">
        <f t="shared" si="103"/>
        <v>#REF!</v>
      </c>
      <c r="HD180" s="135" t="str">
        <f>IF(ISNA(VLOOKUP(A180,'Données projet (1)'!$A$269:$I$289,5,0)),0%,VLOOKUP(A180,'Données projet (1)'!$A$269:$I$289,5,0)*VLOOKUP('Données projet (1)'!$B$18,'Paramètres (1)'!$A$1:$I$88,7,0))</f>
        <v>#REF!</v>
      </c>
      <c r="HE180" s="135" t="str">
        <f>IF(ISNA(VLOOKUP(A180,'Données projet (1)'!$A$269:$I$289,6,0)),0%,VLOOKUP(A180,'Données projet (1)'!$A$269:$I$289,6,0)*VLOOKUP('Données projet (1)'!$B$18,'Paramètres (1)'!$A$1:$I$88,7,0))</f>
        <v>#REF!</v>
      </c>
      <c r="HF180" s="135" t="str">
        <f t="shared" si="104"/>
        <v>#REF!</v>
      </c>
      <c r="HG180" s="142" t="str">
        <f>EXP(-LN(2)/35)*HG179+(1-EXP(-LN(2)/35))/(LN(2)/35)*HC180*HD180*VLOOKUP('Données projet (1)'!$B$18,'Paramètres (1)'!$A$1:$I$88,3,0)*0.475*44/12</f>
        <v>#REF!</v>
      </c>
      <c r="HH180" s="142" t="str">
        <f>EXP(-LN(2)/25)*HH179+(1-EXP(-LN(2)/25))/(LN(2)/25)*'Calculateur (1)'!HC180*'Calculateur (1)'!HE180*VLOOKUP('Données projet (1)'!$B$18,'Paramètres (1)'!$A$1:$I$88,3,0)*0.475*44/12</f>
        <v>#REF!</v>
      </c>
      <c r="HI180" s="142" t="str">
        <f>EXP(-LN(2)/2)*HI179+(1-EXP(-LN(2)/2))/(LN(2)/2)*HC180*HF180*VLOOKUP('Données projet (1)'!$B$18,'Paramètres (1)'!$A$1:$I$88,3,0)*0.475*44/12</f>
        <v>#REF!</v>
      </c>
      <c r="HJ180" s="143" t="str">
        <f t="shared" si="105"/>
        <v>#REF!</v>
      </c>
    </row>
    <row r="181" ht="14.25" customHeight="1">
      <c r="A181" s="125">
        <f t="shared" si="106"/>
        <v>178</v>
      </c>
      <c r="B181" s="126" t="str">
        <f t="shared" si="1"/>
        <v>#REF!</v>
      </c>
      <c r="C181" s="140" t="str">
        <f>'Calculateur (1)'!C180+'Scénario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1" s="127">
        <f t="shared" si="107"/>
        <v>0</v>
      </c>
      <c r="E181" s="127" t="str">
        <f t="shared" si="2"/>
        <v>#REF!</v>
      </c>
      <c r="F181" s="127" t="str">
        <f t="shared" si="3"/>
        <v>#REF!</v>
      </c>
      <c r="G181" s="127" t="str">
        <f t="shared" si="4"/>
        <v>#REF!</v>
      </c>
      <c r="H181" s="128" t="str">
        <f t="shared" si="5"/>
        <v>#REF!</v>
      </c>
      <c r="I181" s="129" t="str">
        <f t="shared" si="6"/>
        <v>#REF!</v>
      </c>
      <c r="J181" s="130">
        <f t="shared" si="7"/>
        <v>10</v>
      </c>
      <c r="K181" s="131" t="str">
        <f t="shared" si="108"/>
        <v>#REF!</v>
      </c>
      <c r="L181" s="131" t="str">
        <f t="shared" si="8"/>
        <v>#REF!</v>
      </c>
      <c r="M181" s="131" t="str">
        <f t="array" ref="M181">INDEX(L:L,MIN(IF(ISNUMBER(L181:L377),ROW(L181:L377),"")))</f>
        <v/>
      </c>
      <c r="N181" s="130" t="str">
        <f t="shared" si="109"/>
        <v>#REF!</v>
      </c>
      <c r="O181" s="130" t="str">
        <f>N181*VLOOKUP('Données projet (1)'!$B$9,'Paramètres (1)'!$A$1:$I$88,3,0)*VLOOKUP('Données projet (1)'!$B$9,'Paramètres (1)'!$A$1:$I$88,5,0)</f>
        <v>#REF!</v>
      </c>
      <c r="P181" s="130" t="str">
        <f t="shared" si="110"/>
        <v>#REF!</v>
      </c>
      <c r="Q181" s="141" t="str">
        <f t="shared" si="9"/>
        <v>#REF!</v>
      </c>
      <c r="R181" s="133" t="str">
        <f t="shared" si="10"/>
        <v>#REF!</v>
      </c>
      <c r="S181" s="133" t="str">
        <f t="shared" si="11"/>
        <v>#REF!</v>
      </c>
      <c r="T181" s="133" t="str">
        <f t="shared" si="111"/>
        <v>#REF!</v>
      </c>
      <c r="U181" s="134" t="str">
        <f t="shared" si="12"/>
        <v>#REF!</v>
      </c>
      <c r="V181" s="134" t="str">
        <f t="shared" si="13"/>
        <v>#REF!</v>
      </c>
      <c r="W181" s="135" t="str">
        <f>IF(ISNA(VLOOKUP(A181,'Données projet (1)'!$A$35:$I$55,5,0)),0%,VLOOKUP(A181,'Données projet (1)'!$A$35:$I$55,5,0)*VLOOKUP('Données projet (1)'!$B$9,'Paramètres (1)'!$A$1:$I$88,7,0))</f>
        <v>#REF!</v>
      </c>
      <c r="X181" s="135" t="str">
        <f>IF(ISNA(VLOOKUP(A181,'Données projet (1)'!$A$35:$I$55,6,0)),0%,VLOOKUP(A181,'Données projet (1)'!$A$35:$I$55,6,0)*VLOOKUP('Données projet (1)'!$B$9,'Paramètres (1)'!$A$1:$I$88,7,0))</f>
        <v>#REF!</v>
      </c>
      <c r="Y181" s="135" t="str">
        <f t="shared" si="14"/>
        <v>#REF!</v>
      </c>
      <c r="Z181" s="142" t="str">
        <f>EXP(-LN(2)/35)*Z180+(1-EXP(-LN(2)/35))/(LN(2)/35)*V181*W181*VLOOKUP('Données projet (1)'!$B$9,'Paramètres (1)'!$A$1:$I$88,3,0)*0.475*44/12</f>
        <v>#REF!</v>
      </c>
      <c r="AA181" s="142" t="str">
        <f>EXP(-LN(2)/25)*AA180+(1-EXP(-LN(2)/25))/(LN(2)/25)*'Calculateur (1)'!V181*'Calculateur (1)'!X181*VLOOKUP('Données projet (1)'!$B$9,'Paramètres (1)'!$A$1:$I$88,3,0)*0.475*44/12</f>
        <v>#REF!</v>
      </c>
      <c r="AB181" s="142" t="str">
        <f>EXP(-LN(2)/2)*AB180+(1-EXP(-LN(2)/2))/(LN(2)/2)*V181*Y181*VLOOKUP('Données projet (1)'!$B$9,'Paramètres (1)'!$A$1:$I$88,3,0)*0.475*44/12</f>
        <v>#REF!</v>
      </c>
      <c r="AC181" s="143" t="str">
        <f t="shared" si="15"/>
        <v>#REF!</v>
      </c>
      <c r="AD181" s="130" t="str">
        <f t="shared" si="16"/>
        <v>#REF!</v>
      </c>
      <c r="AE181" s="130">
        <f t="shared" si="17"/>
        <v>10</v>
      </c>
      <c r="AF181" s="131" t="str">
        <f t="shared" si="112"/>
        <v>#REF!</v>
      </c>
      <c r="AG181" s="131" t="str">
        <f t="shared" si="18"/>
        <v>#REF!</v>
      </c>
      <c r="AH181" s="131" t="str">
        <f t="array" ref="AH181">INDEX(AG:AG,MIN(IF(ISNUMBER(AG181:AG377),ROW(AG181:AG377),"")))</f>
        <v/>
      </c>
      <c r="AI181" s="130" t="str">
        <f t="shared" si="113"/>
        <v>#REF!</v>
      </c>
      <c r="AJ181" s="130" t="str">
        <f>AI181*VLOOKUP('Données projet (1)'!$B$10,'Paramètres (1)'!$A$1:$I$88,3,0)*VLOOKUP('Données projet (1)'!$B$10,'Paramètres (1)'!$A$1:$I$88,5,0)</f>
        <v>#REF!</v>
      </c>
      <c r="AK181" s="130" t="str">
        <f t="shared" si="114"/>
        <v>#REF!</v>
      </c>
      <c r="AL181" s="141" t="str">
        <f t="shared" si="19"/>
        <v>#REF!</v>
      </c>
      <c r="AM181" s="133" t="str">
        <f t="shared" si="20"/>
        <v>#REF!</v>
      </c>
      <c r="AN181" s="133" t="str">
        <f t="shared" si="21"/>
        <v>#REF!</v>
      </c>
      <c r="AO181" s="133" t="str">
        <f t="shared" si="115"/>
        <v>#REF!</v>
      </c>
      <c r="AP181" s="134" t="str">
        <f t="shared" si="22"/>
        <v>#REF!</v>
      </c>
      <c r="AQ181" s="134" t="str">
        <f t="shared" si="23"/>
        <v>#REF!</v>
      </c>
      <c r="AR181" s="135" t="str">
        <f>IF(ISNA(VLOOKUP(A181,'Données projet (1)'!$A$61:$I$81,5,0)),0%,VLOOKUP(A181,'Données projet (1)'!$A$61:$I$81,5,0)*VLOOKUP('Données projet (1)'!$B$10,'Paramètres (1)'!$A$1:$I$88,7,0))</f>
        <v>#REF!</v>
      </c>
      <c r="AS181" s="135" t="str">
        <f>IF(ISNA(VLOOKUP(A181,'Données projet (1)'!$A$61:$I$81,6,0)),0%,VLOOKUP(A181,'Données projet (1)'!$A$61:$I$81,6,0)*VLOOKUP('Données projet (1)'!$B$10,'Paramètres (1)'!$A$1:$I$88,7,0))</f>
        <v>#REF!</v>
      </c>
      <c r="AT181" s="135" t="str">
        <f t="shared" si="24"/>
        <v>#REF!</v>
      </c>
      <c r="AU181" s="142" t="str">
        <f>EXP(-LN(2)/35)*AU180+(1-EXP(-LN(2)/35))/(LN(2)/35)*AQ181*AR181*VLOOKUP('Données projet (1)'!$B$10,'Paramètres (1)'!$A$1:$I$88,3,0)*0.475*44/12</f>
        <v>#REF!</v>
      </c>
      <c r="AV181" s="142" t="str">
        <f>EXP(-LN(2)/25)*AV180+(1-EXP(-LN(2)/25))/(LN(2)/25)*'Calculateur (1)'!AQ181*'Calculateur (1)'!AS181*VLOOKUP('Données projet (1)'!$B$10,'Paramètres (1)'!$A$1:$I$88,3,0)*0.475*44/12</f>
        <v>#REF!</v>
      </c>
      <c r="AW181" s="142" t="str">
        <f>EXP(-LN(2)/2)*AW180+(1-EXP(-LN(2)/2))/(LN(2)/2)*AQ181*AT181*VLOOKUP('Données projet (1)'!$B$10,'Paramètres (1)'!$A$1:$I$88,3,0)*0.475*44/12</f>
        <v>#REF!</v>
      </c>
      <c r="AX181" s="142" t="str">
        <f t="shared" si="25"/>
        <v>#REF!</v>
      </c>
      <c r="AY181" s="137" t="str">
        <f t="shared" si="26"/>
        <v>#REF!</v>
      </c>
      <c r="AZ181" s="131">
        <f t="shared" si="27"/>
        <v>10</v>
      </c>
      <c r="BA181" s="131" t="str">
        <f t="shared" si="116"/>
        <v>#REF!</v>
      </c>
      <c r="BB181" s="131" t="str">
        <f t="shared" si="28"/>
        <v>#REF!</v>
      </c>
      <c r="BC181" s="131" t="str">
        <f t="array" ref="BC181">INDEX(BB:BB,MIN(IF(ISNUMBER(BB181:BB377),ROW(BB181:BB377),"")))</f>
        <v/>
      </c>
      <c r="BD181" s="131" t="str">
        <f t="shared" si="117"/>
        <v>#REF!</v>
      </c>
      <c r="BE181" s="130" t="str">
        <f>BD181*VLOOKUP('Données projet (1)'!$B$11,'Paramètres (1)'!$A$1:$I$88,3,0)*VLOOKUP('Données projet (1)'!$B$11,'Paramètres (1)'!$A$1:$I$88,5,0)</f>
        <v>#REF!</v>
      </c>
      <c r="BF181" s="130" t="str">
        <f t="shared" si="118"/>
        <v>#REF!</v>
      </c>
      <c r="BG181" s="141" t="str">
        <f t="shared" si="29"/>
        <v>#REF!</v>
      </c>
      <c r="BH181" s="133" t="str">
        <f t="shared" si="30"/>
        <v>#REF!</v>
      </c>
      <c r="BI181" s="133" t="str">
        <f t="shared" si="31"/>
        <v>#REF!</v>
      </c>
      <c r="BJ181" s="133" t="str">
        <f t="shared" si="119"/>
        <v>#REF!</v>
      </c>
      <c r="BK181" s="134" t="str">
        <f t="shared" si="32"/>
        <v>#REF!</v>
      </c>
      <c r="BL181" s="134" t="str">
        <f t="shared" si="33"/>
        <v>#REF!</v>
      </c>
      <c r="BM181" s="135" t="str">
        <f>IF(ISNA(VLOOKUP(A181,'Données projet (1)'!$A$87:$I$107,5,0)),0%,VLOOKUP(A181,'Données projet (1)'!$A$87:$I$107,5,0)*VLOOKUP('Données projet (1)'!$B$11,'Paramètres (1)'!$A$1:$I$88,7,0))</f>
        <v>#REF!</v>
      </c>
      <c r="BN181" s="135" t="str">
        <f>IF(ISNA(VLOOKUP(A181,'Données projet (1)'!$A$87:$I$107,6,0)),0%,VLOOKUP(A181,'Données projet (1)'!$A$87:$I$107,6,0)*VLOOKUP('Données projet (1)'!$B$11,'Paramètres (1)'!$A$1:$I$88,7,0))</f>
        <v>#REF!</v>
      </c>
      <c r="BO181" s="135" t="str">
        <f t="shared" si="34"/>
        <v>#REF!</v>
      </c>
      <c r="BP181" s="142" t="str">
        <f>EXP(-LN(2)/35)*BP180+(1-EXP(-LN(2)/35))/(LN(2)/35)*BL181*BM181*VLOOKUP('Données projet (1)'!$B$11,'Paramètres (1)'!$A$1:$I$88,3,0)*0.475*44/12</f>
        <v>#REF!</v>
      </c>
      <c r="BQ181" s="142" t="str">
        <f>EXP(-LN(2)/25)*BQ180+(1-EXP(-LN(2)/25))/(LN(2)/25)*'Calculateur (1)'!BL181*'Calculateur (1)'!BN181*VLOOKUP('Données projet (1)'!$B$11,'Paramètres (1)'!$A$1:$I$88,3,0)*0.475*44/12</f>
        <v>#REF!</v>
      </c>
      <c r="BR181" s="142" t="str">
        <f>EXP(-LN(2)/2)*BR180+(1-EXP(-LN(2)/2))/(LN(2)/2)*BL181*BO181*VLOOKUP('Données projet (1)'!$B$11,'Paramètres (1)'!$A$1:$I$88,3,0)*0.475*44/12</f>
        <v>#REF!</v>
      </c>
      <c r="BS181" s="143" t="str">
        <f t="shared" si="35"/>
        <v>#REF!</v>
      </c>
      <c r="BT181" s="139" t="str">
        <f t="shared" si="36"/>
        <v>#REF!</v>
      </c>
      <c r="BU181" s="131">
        <f t="shared" si="37"/>
        <v>10</v>
      </c>
      <c r="BV181" s="131" t="str">
        <f t="shared" si="120"/>
        <v>#REF!</v>
      </c>
      <c r="BW181" s="131" t="str">
        <f t="shared" si="38"/>
        <v>#REF!</v>
      </c>
      <c r="BX181" s="131" t="str">
        <f t="array" ref="BX181">INDEX(BW:BW,MIN(IF(ISNUMBER(BW181:BW377),ROW(BW181:BW377),"")))</f>
        <v/>
      </c>
      <c r="BY181" s="131" t="str">
        <f t="shared" si="121"/>
        <v>#REF!</v>
      </c>
      <c r="BZ181" s="130" t="str">
        <f>BY181*VLOOKUP('Données projet (1)'!$B$12,'Paramètres (1)'!$A$1:$I$88,3,0)*VLOOKUP('Données projet (1)'!$B$12,'Paramètres (1)'!$A$1:$I$88,5,0)</f>
        <v>#REF!</v>
      </c>
      <c r="CA181" s="130" t="str">
        <f t="shared" si="122"/>
        <v>#REF!</v>
      </c>
      <c r="CB181" s="141" t="str">
        <f t="shared" si="39"/>
        <v>#REF!</v>
      </c>
      <c r="CC181" s="133" t="str">
        <f t="shared" si="40"/>
        <v>#REF!</v>
      </c>
      <c r="CD181" s="133" t="str">
        <f t="shared" si="41"/>
        <v>#REF!</v>
      </c>
      <c r="CE181" s="133" t="str">
        <f t="shared" si="123"/>
        <v>#REF!</v>
      </c>
      <c r="CF181" s="134" t="str">
        <f t="shared" si="42"/>
        <v>#REF!</v>
      </c>
      <c r="CG181" s="134" t="str">
        <f t="shared" si="43"/>
        <v>#REF!</v>
      </c>
      <c r="CH181" s="135" t="str">
        <f>IF(ISNA(VLOOKUP(A181,'Données projet (1)'!$A$113:$I$133,5,0)),0%,VLOOKUP(A181,'Données projet (1)'!$A$113:$I$133,5,0)*VLOOKUP('Données projet (1)'!$B$12,'Paramètres (1)'!$A$1:$I$88,7,0))</f>
        <v>#REF!</v>
      </c>
      <c r="CI181" s="135" t="str">
        <f>IF(ISNA(VLOOKUP(A181,'Données projet (1)'!$A$113:$I$133,6,0)),0%,VLOOKUP(A181,'Données projet (1)'!$A$113:$I$133,6,0)*VLOOKUP('Données projet (1)'!$B$12,'Paramètres (1)'!$A$1:$I$88,7,0))</f>
        <v>#REF!</v>
      </c>
      <c r="CJ181" s="135" t="str">
        <f t="shared" si="44"/>
        <v>#REF!</v>
      </c>
      <c r="CK181" s="142" t="str">
        <f>EXP(-LN(2)/35)*CK180+(1-EXP(-LN(2)/35))/(LN(2)/35)*CG181*CH181*VLOOKUP('Données projet (1)'!$B$12,'Paramètres (1)'!$A$1:$I$88,3,0)*0.475*44/12</f>
        <v>#REF!</v>
      </c>
      <c r="CL181" s="142" t="str">
        <f>EXP(-LN(2)/25)*CL180+(1-EXP(-LN(2)/25))/(LN(2)/25)*'Calculateur (1)'!CG181*'Calculateur (1)'!CI181*VLOOKUP('Données projet (1)'!$B$12,'Paramètres (1)'!$A$1:$I$88,3,0)*0.475*44/12</f>
        <v>#REF!</v>
      </c>
      <c r="CM181" s="142" t="str">
        <f>EXP(-LN(2)/2)*CM180+(1-EXP(-LN(2)/2))/(LN(2)/2)*CG181*CJ181*VLOOKUP('Données projet (1)'!$B$12,'Paramètres (1)'!$A$1:$I$88,3,0)*0.475*44/12</f>
        <v>#REF!</v>
      </c>
      <c r="CN181" s="143" t="str">
        <f t="shared" si="45"/>
        <v>#REF!</v>
      </c>
      <c r="CO181" s="139" t="str">
        <f t="shared" si="46"/>
        <v>#REF!</v>
      </c>
      <c r="CP181" s="131">
        <f t="shared" si="47"/>
        <v>10</v>
      </c>
      <c r="CQ181" s="131" t="str">
        <f t="shared" si="124"/>
        <v>#REF!</v>
      </c>
      <c r="CR181" s="131" t="str">
        <f t="shared" si="48"/>
        <v>#REF!</v>
      </c>
      <c r="CS181" s="131" t="str">
        <f t="array" ref="CS181">INDEX(CR:CR,MIN(IF(ISNUMBER(CR181:CR377),ROW(CR181:CR377),"")))</f>
        <v/>
      </c>
      <c r="CT181" s="131" t="str">
        <f t="shared" si="125"/>
        <v>#REF!</v>
      </c>
      <c r="CU181" s="138" t="str">
        <f>CT181*VLOOKUP('Données projet (1)'!$B$13,'Paramètres (1)'!$A$1:$I$88,3,0)*VLOOKUP('Données projet (1)'!$B$13,'Paramètres (1)'!$A$1:$I$88,5,0)</f>
        <v>#REF!</v>
      </c>
      <c r="CV181" s="130" t="str">
        <f t="shared" si="126"/>
        <v>#REF!</v>
      </c>
      <c r="CW181" s="141" t="str">
        <f t="shared" si="49"/>
        <v>#REF!</v>
      </c>
      <c r="CX181" s="133" t="str">
        <f t="shared" si="50"/>
        <v>#REF!</v>
      </c>
      <c r="CY181" s="133" t="str">
        <f t="shared" si="51"/>
        <v>#REF!</v>
      </c>
      <c r="CZ181" s="133" t="str">
        <f t="shared" si="127"/>
        <v>#REF!</v>
      </c>
      <c r="DA181" s="134" t="str">
        <f t="shared" si="52"/>
        <v>#REF!</v>
      </c>
      <c r="DB181" s="134" t="str">
        <f t="shared" si="53"/>
        <v>#REF!</v>
      </c>
      <c r="DC181" s="135" t="str">
        <f>IF(ISNA(VLOOKUP(A181,'Données projet (1)'!$A$139:$I$159,5,0)),0%,VLOOKUP(A181,'Données projet (1)'!$A$139:$I$159,5,0)*VLOOKUP('Données projet (1)'!$B$13,'Paramètres (1)'!$A$1:$I$88,7,0))</f>
        <v>#REF!</v>
      </c>
      <c r="DD181" s="135" t="str">
        <f>IF(ISNA(VLOOKUP(A181,'Données projet (1)'!$A$139:$I$159,6,0)),0%,VLOOKUP(A181,'Données projet (1)'!$A$139:$I$159,6,0)*VLOOKUP('Données projet (1)'!$B$13,'Paramètres (1)'!$A$1:$I$88,7,0))</f>
        <v>#REF!</v>
      </c>
      <c r="DE181" s="135" t="str">
        <f t="shared" si="54"/>
        <v>#REF!</v>
      </c>
      <c r="DF181" s="142" t="str">
        <f>EXP(-LN(2)/35)*DF180+(1-EXP(-LN(2)/35))/(LN(2)/35)*DB181*DC181*VLOOKUP('Données projet (1)'!$B$13,'Paramètres (1)'!$A$1:$I$88,3,0)*0.475*44/12</f>
        <v>#REF!</v>
      </c>
      <c r="DG181" s="142" t="str">
        <f>EXP(-LN(2)/25)*DG180+(1-EXP(-LN(2)/25))/(LN(2)/25)*'Calculateur (1)'!DB181*'Calculateur (1)'!DD181*VLOOKUP('Données projet (1)'!$B$13,'Paramètres (1)'!$A$1:$I$88,3,0)*0.475*44/12</f>
        <v>#REF!</v>
      </c>
      <c r="DH181" s="142" t="str">
        <f>EXP(-LN(2)/2)*DH180+(1-EXP(-LN(2)/2))/(LN(2)/2)*DB181*DE181*VLOOKUP('Données projet (1)'!$B$13,'Paramètres (1)'!$A$1:$I$88,3,0)*0.475*44/12</f>
        <v>#REF!</v>
      </c>
      <c r="DI181" s="143" t="str">
        <f t="shared" si="55"/>
        <v>#REF!</v>
      </c>
      <c r="DJ181" s="139" t="str">
        <f t="shared" si="56"/>
        <v>#REF!</v>
      </c>
      <c r="DK181" s="131">
        <f t="shared" si="57"/>
        <v>10</v>
      </c>
      <c r="DL181" s="131" t="str">
        <f t="shared" si="128"/>
        <v>#REF!</v>
      </c>
      <c r="DM181" s="131" t="str">
        <f t="shared" si="58"/>
        <v>#REF!</v>
      </c>
      <c r="DN181" s="131" t="str">
        <f t="array" ref="DN181">INDEX(DM:DM,MIN(IF(ISNUMBER(DM181:DM377),ROW(DM181:DM377),"")))</f>
        <v/>
      </c>
      <c r="DO181" s="131" t="str">
        <f t="shared" si="129"/>
        <v>#REF!</v>
      </c>
      <c r="DP181" s="138" t="str">
        <f>DO181*VLOOKUP('Données projet (1)'!$B$14,'Paramètres (1)'!$A$1:$I$88,3,0)*VLOOKUP('Données projet (1)'!$B$14,'Paramètres (1)'!$A$1:$I$88,5,0)</f>
        <v>#REF!</v>
      </c>
      <c r="DQ181" s="130" t="str">
        <f t="shared" si="130"/>
        <v>#REF!</v>
      </c>
      <c r="DR181" s="141" t="str">
        <f t="shared" si="59"/>
        <v>#REF!</v>
      </c>
      <c r="DS181" s="133" t="str">
        <f t="shared" si="60"/>
        <v>#REF!</v>
      </c>
      <c r="DT181" s="133" t="str">
        <f t="shared" si="61"/>
        <v>#REF!</v>
      </c>
      <c r="DU181" s="133" t="str">
        <f t="shared" si="131"/>
        <v>#REF!</v>
      </c>
      <c r="DV181" s="134" t="str">
        <f t="shared" si="62"/>
        <v>#REF!</v>
      </c>
      <c r="DW181" s="134" t="str">
        <f t="shared" si="63"/>
        <v>#REF!</v>
      </c>
      <c r="DX181" s="135" t="str">
        <f>IF(ISNA(VLOOKUP(A181,'Données projet (1)'!$A$165:$I$185,5,0)),0%,VLOOKUP(A181,'Données projet (1)'!$A$165:$I$185,5,0)*VLOOKUP('Données projet (1)'!$B$14,'Paramètres (1)'!$A$1:$I$88,7,0))</f>
        <v>#REF!</v>
      </c>
      <c r="DY181" s="135" t="str">
        <f>IF(ISNA(VLOOKUP(A181,'Données projet (1)'!$A$165:$I$185,6,0)),0%,VLOOKUP(A181,'Données projet (1)'!$A$165:$I$185,6,0)*VLOOKUP('Données projet (1)'!$B$14,'Paramètres (1)'!$A$1:$I$88,7,0))</f>
        <v>#REF!</v>
      </c>
      <c r="DZ181" s="135" t="str">
        <f t="shared" si="64"/>
        <v>#REF!</v>
      </c>
      <c r="EA181" s="142" t="str">
        <f>EXP(-LN(2)/35)*EA180+(1-EXP(-LN(2)/35))/(LN(2)/35)*DW181*DX181*VLOOKUP('Données projet (1)'!$B$14,'Paramètres (1)'!$A$1:$I$88,3,0)*0.475*44/12</f>
        <v>#REF!</v>
      </c>
      <c r="EB181" s="142" t="str">
        <f>EXP(-LN(2)/25)*EB180+(1-EXP(-LN(2)/25))/(LN(2)/25)*'Calculateur (1)'!DW181*'Calculateur (1)'!DY181*VLOOKUP('Données projet (1)'!$B$14,'Paramètres (1)'!$A$1:$I$88,3,0)*0.475*44/12</f>
        <v>#REF!</v>
      </c>
      <c r="EC181" s="142" t="str">
        <f>EXP(-LN(2)/2)*EC180+(1-EXP(-LN(2)/2))/(LN(2)/2)*DW181*DZ181*VLOOKUP('Données projet (1)'!$B$14,'Paramètres (1)'!$A$1:$I$88,3,0)*0.475*44/12</f>
        <v>#REF!</v>
      </c>
      <c r="ED181" s="143" t="str">
        <f t="shared" si="65"/>
        <v>#REF!</v>
      </c>
      <c r="EE181" s="139" t="str">
        <f t="shared" si="66"/>
        <v>#REF!</v>
      </c>
      <c r="EF181" s="131">
        <f t="shared" si="67"/>
        <v>10</v>
      </c>
      <c r="EG181" s="131" t="str">
        <f t="shared" si="132"/>
        <v>#REF!</v>
      </c>
      <c r="EH181" s="131" t="str">
        <f t="shared" si="68"/>
        <v>#REF!</v>
      </c>
      <c r="EI181" s="131" t="str">
        <f t="array" ref="EI181">INDEX(EH:EH,MIN(IF(ISNUMBER(EH181:EH377),ROW(EH181:EH377),"")))</f>
        <v/>
      </c>
      <c r="EJ181" s="131" t="str">
        <f t="shared" si="133"/>
        <v>#REF!</v>
      </c>
      <c r="EK181" s="138" t="str">
        <f>EJ181*VLOOKUP('Données projet (1)'!$B$15,'Paramètres (1)'!$A$1:$I$88,3,0)*VLOOKUP('Données projet (1)'!$B$15,'Paramètres (1)'!$A$1:$I$88,5,0)</f>
        <v>#REF!</v>
      </c>
      <c r="EL181" s="130" t="str">
        <f t="shared" si="134"/>
        <v>#REF!</v>
      </c>
      <c r="EM181" s="141" t="str">
        <f t="shared" si="69"/>
        <v>#REF!</v>
      </c>
      <c r="EN181" s="133" t="str">
        <f t="shared" si="70"/>
        <v>#REF!</v>
      </c>
      <c r="EO181" s="133" t="str">
        <f t="shared" si="71"/>
        <v>#REF!</v>
      </c>
      <c r="EP181" s="133" t="str">
        <f t="shared" si="135"/>
        <v>#REF!</v>
      </c>
      <c r="EQ181" s="134" t="str">
        <f t="shared" si="72"/>
        <v>#REF!</v>
      </c>
      <c r="ER181" s="134" t="str">
        <f t="shared" si="73"/>
        <v>#REF!</v>
      </c>
      <c r="ES181" s="135" t="str">
        <f>IF(ISNA(VLOOKUP(A181,'Données projet (1)'!$A$191:$I$211,5,0)),0%,VLOOKUP(A181,'Données projet (1)'!$A$191:$I$211,5,0)*VLOOKUP('Données projet (1)'!$B$15,'Paramètres (1)'!$A$1:$I$88,7,0))</f>
        <v>#REF!</v>
      </c>
      <c r="ET181" s="135" t="str">
        <f>IF(ISNA(VLOOKUP(A181,'Données projet (1)'!$A$191:$I$211,6,0)),0%,VLOOKUP(A181,'Données projet (1)'!$A$191:$I$211,6,0)*VLOOKUP('Données projet (1)'!$B$15,'Paramètres (1)'!$A$1:$I$88,7,0))</f>
        <v>#REF!</v>
      </c>
      <c r="EU181" s="135" t="str">
        <f t="shared" si="74"/>
        <v>#REF!</v>
      </c>
      <c r="EV181" s="142" t="str">
        <f>EXP(-LN(2)/35)*EV180+(1-EXP(-LN(2)/35))/(LN(2)/35)*ER181*ES181*VLOOKUP('Données projet (1)'!$B$15,'Paramètres (1)'!$A$1:$I$88,3,0)*0.475*44/12</f>
        <v>#REF!</v>
      </c>
      <c r="EW181" s="142" t="str">
        <f>EXP(-LN(2)/25)*EW180+(1-EXP(-LN(2)/25))/(LN(2)/25)*'Calculateur (1)'!ER181*'Calculateur (1)'!ET181*VLOOKUP('Données projet (1)'!$B$15,'Paramètres (1)'!$A$1:$I$88,3,0)*0.475*44/12</f>
        <v>#REF!</v>
      </c>
      <c r="EX181" s="142" t="str">
        <f>EXP(-LN(2)/2)*EX180+(1-EXP(-LN(2)/2))/(LN(2)/2)*ER181*EU181*VLOOKUP('Données projet (1)'!$B$15,'Paramètres (1)'!$A$1:$I$88,3,0)*0.475*44/12</f>
        <v>#REF!</v>
      </c>
      <c r="EY181" s="143" t="str">
        <f t="shared" si="75"/>
        <v>#REF!</v>
      </c>
      <c r="EZ181" s="139" t="str">
        <f t="shared" si="76"/>
        <v>#REF!</v>
      </c>
      <c r="FA181" s="131">
        <f t="shared" si="77"/>
        <v>10</v>
      </c>
      <c r="FB181" s="131" t="str">
        <f t="shared" si="136"/>
        <v>#REF!</v>
      </c>
      <c r="FC181" s="131" t="str">
        <f t="shared" si="78"/>
        <v>#REF!</v>
      </c>
      <c r="FD181" s="131" t="str">
        <f t="array" ref="FD181">INDEX(FC:FC,MIN(IF(ISNUMBER(FC181:FC377),ROW(FC181:FC377),"")))</f>
        <v/>
      </c>
      <c r="FE181" s="131" t="str">
        <f t="shared" si="137"/>
        <v>#REF!</v>
      </c>
      <c r="FF181" s="138" t="str">
        <f>FE181*VLOOKUP('Données projet (1)'!$B$16,'Paramètres (1)'!$A$1:$I$88,3,0)*VLOOKUP('Données projet (1)'!$B$16,'Paramètres (1)'!$A$1:$I$88,5,0)</f>
        <v>#REF!</v>
      </c>
      <c r="FG181" s="130" t="str">
        <f t="shared" si="138"/>
        <v>#REF!</v>
      </c>
      <c r="FH181" s="141" t="str">
        <f t="shared" si="79"/>
        <v>#REF!</v>
      </c>
      <c r="FI181" s="133" t="str">
        <f t="shared" si="80"/>
        <v>#REF!</v>
      </c>
      <c r="FJ181" s="133" t="str">
        <f t="shared" si="81"/>
        <v>#REF!</v>
      </c>
      <c r="FK181" s="133" t="str">
        <f t="shared" si="139"/>
        <v>#REF!</v>
      </c>
      <c r="FL181" s="134" t="str">
        <f t="shared" si="82"/>
        <v>#REF!</v>
      </c>
      <c r="FM181" s="134" t="str">
        <f t="shared" si="83"/>
        <v>#REF!</v>
      </c>
      <c r="FN181" s="135" t="str">
        <f>IF(ISNA(VLOOKUP(A181,'Données projet (1)'!$A$217:$I$237,5,0)),0%,VLOOKUP(A181,'Données projet (1)'!$A$217:$I$237,5,0)*VLOOKUP('Données projet (1)'!$B$16,'Paramètres (1)'!$A$1:$I$88,7,0))</f>
        <v>#REF!</v>
      </c>
      <c r="FO181" s="135" t="str">
        <f>IF(ISNA(VLOOKUP(A181,'Données projet (1)'!$A$217:$I$237,6,0)),0%,VLOOKUP(A181,'Données projet (1)'!$A$217:$I$237,6,0)*VLOOKUP('Données projet (1)'!$B$16,'Paramètres (1)'!$A$1:$I$88,7,0))</f>
        <v>#REF!</v>
      </c>
      <c r="FP181" s="135" t="str">
        <f t="shared" si="84"/>
        <v>#REF!</v>
      </c>
      <c r="FQ181" s="142" t="str">
        <f>EXP(-LN(2)/35)*FQ180+(1-EXP(-LN(2)/35))/(LN(2)/35)*FM181*FN181*VLOOKUP('Données projet (1)'!$B$16,'Paramètres (1)'!$A$1:$I$88,3,0)*0.475*44/12</f>
        <v>#REF!</v>
      </c>
      <c r="FR181" s="142" t="str">
        <f>EXP(-LN(2)/25)*FR180+(1-EXP(-LN(2)/25))/(LN(2)/25)*'Calculateur (1)'!FM181*'Calculateur (1)'!FO181*VLOOKUP('Données projet (1)'!$B$16,'Paramètres (1)'!$A$1:$I$88,3,0)*0.475*44/12</f>
        <v>#REF!</v>
      </c>
      <c r="FS181" s="142" t="str">
        <f>EXP(-LN(2)/2)*FS180+(1-EXP(-LN(2)/2))/(LN(2)/2)*FM181*FP181*VLOOKUP('Données projet (1)'!$B$16,'Paramètres (1)'!$A$1:$I$88,3,0)*0.475*44/12</f>
        <v>#REF!</v>
      </c>
      <c r="FT181" s="143" t="str">
        <f t="shared" si="85"/>
        <v>#REF!</v>
      </c>
      <c r="FU181" s="139" t="str">
        <f t="shared" si="86"/>
        <v>#REF!</v>
      </c>
      <c r="FV181" s="131">
        <f t="shared" si="87"/>
        <v>10</v>
      </c>
      <c r="FW181" s="131" t="str">
        <f t="shared" si="140"/>
        <v>#REF!</v>
      </c>
      <c r="FX181" s="131" t="str">
        <f t="shared" si="88"/>
        <v>#REF!</v>
      </c>
      <c r="FY181" s="131" t="str">
        <f t="array" ref="FY181">INDEX(FX:FX,MIN(IF(ISNUMBER(FX181:FX377),ROW(FX181:FX377),"")))</f>
        <v/>
      </c>
      <c r="FZ181" s="131" t="str">
        <f t="shared" si="141"/>
        <v>#REF!</v>
      </c>
      <c r="GA181" s="138" t="str">
        <f>FZ181*VLOOKUP('Données projet (1)'!$B$17,'Paramètres (1)'!$A$1:$I$88,3,0)*VLOOKUP('Données projet (1)'!$B$17,'Paramètres (1)'!$A$1:$I$88,5,0)</f>
        <v>#REF!</v>
      </c>
      <c r="GB181" s="130" t="str">
        <f t="shared" si="142"/>
        <v>#REF!</v>
      </c>
      <c r="GC181" s="141" t="str">
        <f t="shared" si="89"/>
        <v>#REF!</v>
      </c>
      <c r="GD181" s="133" t="str">
        <f t="shared" si="90"/>
        <v>#REF!</v>
      </c>
      <c r="GE181" s="133" t="str">
        <f t="shared" si="91"/>
        <v>#REF!</v>
      </c>
      <c r="GF181" s="133" t="str">
        <f t="shared" si="143"/>
        <v>#REF!</v>
      </c>
      <c r="GG181" s="134" t="str">
        <f t="shared" si="92"/>
        <v>#REF!</v>
      </c>
      <c r="GH181" s="134" t="str">
        <f t="shared" si="93"/>
        <v>#REF!</v>
      </c>
      <c r="GI181" s="135" t="str">
        <f>IF(ISNA(VLOOKUP(A181,'Données projet (1)'!$A$243:$I$263,5,0)),0%,VLOOKUP(A181,'Données projet (1)'!$A$243:$I$263,5,0)*VLOOKUP('Données projet (1)'!$B$17,'Paramètres (1)'!$A$1:$I$88,7,0))</f>
        <v>#REF!</v>
      </c>
      <c r="GJ181" s="135" t="str">
        <f>IF(ISNA(VLOOKUP(A181,'Données projet (1)'!$A$243:$I$263,6,0)),0%,VLOOKUP(A181,'Données projet (1)'!$A$243:$I$263,6,0)*VLOOKUP('Données projet (1)'!$B$17,'Paramètres (1)'!$A$1:$I$88,7,0))</f>
        <v>#REF!</v>
      </c>
      <c r="GK181" s="135" t="str">
        <f t="shared" si="94"/>
        <v>#REF!</v>
      </c>
      <c r="GL181" s="142" t="str">
        <f>EXP(-LN(2)/35)*GL180+(1-EXP(-LN(2)/35))/(LN(2)/35)*GH181*GI181*VLOOKUP('Données projet (1)'!$B$17,'Paramètres (1)'!$A$1:$I$88,3,0)*0.475*44/12</f>
        <v>#REF!</v>
      </c>
      <c r="GM181" s="142" t="str">
        <f>EXP(-LN(2)/25)*GM180+(1-EXP(-LN(2)/25))/(LN(2)/25)*'Calculateur (1)'!GH181*'Calculateur (1)'!GJ181*VLOOKUP('Données projet (1)'!$B$17,'Paramètres (1)'!$A$1:$I$88,3,0)*0.475*44/12</f>
        <v>#REF!</v>
      </c>
      <c r="GN181" s="142" t="str">
        <f>EXP(-LN(2)/2)*GN180+(1-EXP(-LN(2)/2))/(LN(2)/2)*GH181*GK181*VLOOKUP('Données projet (1)'!$B$17,'Paramètres (1)'!$A$1:$I$88,3,0)*0.475*44/12</f>
        <v>#REF!</v>
      </c>
      <c r="GO181" s="142" t="str">
        <f t="shared" si="95"/>
        <v>#REF!</v>
      </c>
      <c r="GP181" s="139" t="str">
        <f t="shared" si="96"/>
        <v>#REF!</v>
      </c>
      <c r="GQ181" s="131">
        <f t="shared" si="97"/>
        <v>10</v>
      </c>
      <c r="GR181" s="131" t="str">
        <f t="shared" si="144"/>
        <v>#REF!</v>
      </c>
      <c r="GS181" s="131" t="str">
        <f t="shared" si="98"/>
        <v>#REF!</v>
      </c>
      <c r="GT181" s="131" t="str">
        <f t="array" ref="GT181">INDEX(GS:GS,MIN(IF(ISNUMBER(GS181:GS377),ROW(GS181:GS377),"")))</f>
        <v/>
      </c>
      <c r="GU181" s="131" t="str">
        <f t="shared" si="145"/>
        <v>#REF!</v>
      </c>
      <c r="GV181" s="138" t="str">
        <f>GU181*VLOOKUP('Données projet (1)'!$B$18,'Paramètres (1)'!$A$1:$I$88,3,0)*VLOOKUP('Données projet (1)'!$B$18,'Paramètres (1)'!$A$1:$I$88,5,0)</f>
        <v>#REF!</v>
      </c>
      <c r="GW181" s="130" t="str">
        <f t="shared" si="146"/>
        <v>#REF!</v>
      </c>
      <c r="GX181" s="141" t="str">
        <f t="shared" si="99"/>
        <v>#REF!</v>
      </c>
      <c r="GY181" s="133" t="str">
        <f t="shared" si="100"/>
        <v>#REF!</v>
      </c>
      <c r="GZ181" s="133" t="str">
        <f t="shared" si="101"/>
        <v>#REF!</v>
      </c>
      <c r="HA181" s="133" t="str">
        <f t="shared" si="147"/>
        <v>#REF!</v>
      </c>
      <c r="HB181" s="134" t="str">
        <f t="shared" si="102"/>
        <v>#REF!</v>
      </c>
      <c r="HC181" s="134" t="str">
        <f t="shared" si="103"/>
        <v>#REF!</v>
      </c>
      <c r="HD181" s="135" t="str">
        <f>IF(ISNA(VLOOKUP(A181,'Données projet (1)'!$A$269:$I$289,5,0)),0%,VLOOKUP(A181,'Données projet (1)'!$A$269:$I$289,5,0)*VLOOKUP('Données projet (1)'!$B$18,'Paramètres (1)'!$A$1:$I$88,7,0))</f>
        <v>#REF!</v>
      </c>
      <c r="HE181" s="135" t="str">
        <f>IF(ISNA(VLOOKUP(A181,'Données projet (1)'!$A$269:$I$289,6,0)),0%,VLOOKUP(A181,'Données projet (1)'!$A$269:$I$289,6,0)*VLOOKUP('Données projet (1)'!$B$18,'Paramètres (1)'!$A$1:$I$88,7,0))</f>
        <v>#REF!</v>
      </c>
      <c r="HF181" s="135" t="str">
        <f t="shared" si="104"/>
        <v>#REF!</v>
      </c>
      <c r="HG181" s="142" t="str">
        <f>EXP(-LN(2)/35)*HG180+(1-EXP(-LN(2)/35))/(LN(2)/35)*HC181*HD181*VLOOKUP('Données projet (1)'!$B$18,'Paramètres (1)'!$A$1:$I$88,3,0)*0.475*44/12</f>
        <v>#REF!</v>
      </c>
      <c r="HH181" s="142" t="str">
        <f>EXP(-LN(2)/25)*HH180+(1-EXP(-LN(2)/25))/(LN(2)/25)*'Calculateur (1)'!HC181*'Calculateur (1)'!HE181*VLOOKUP('Données projet (1)'!$B$18,'Paramètres (1)'!$A$1:$I$88,3,0)*0.475*44/12</f>
        <v>#REF!</v>
      </c>
      <c r="HI181" s="142" t="str">
        <f>EXP(-LN(2)/2)*HI180+(1-EXP(-LN(2)/2))/(LN(2)/2)*HC181*HF181*VLOOKUP('Données projet (1)'!$B$18,'Paramètres (1)'!$A$1:$I$88,3,0)*0.475*44/12</f>
        <v>#REF!</v>
      </c>
      <c r="HJ181" s="143" t="str">
        <f t="shared" si="105"/>
        <v>#REF!</v>
      </c>
    </row>
    <row r="182" ht="14.25" customHeight="1">
      <c r="A182" s="125">
        <f t="shared" si="106"/>
        <v>179</v>
      </c>
      <c r="B182" s="126" t="str">
        <f t="shared" si="1"/>
        <v>#REF!</v>
      </c>
      <c r="C182" s="140" t="str">
        <f>'Calculateur (1)'!C181+'Scénario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2" s="127">
        <f t="shared" si="107"/>
        <v>0</v>
      </c>
      <c r="E182" s="127" t="str">
        <f t="shared" si="2"/>
        <v>#REF!</v>
      </c>
      <c r="F182" s="127" t="str">
        <f t="shared" si="3"/>
        <v>#REF!</v>
      </c>
      <c r="G182" s="127" t="str">
        <f t="shared" si="4"/>
        <v>#REF!</v>
      </c>
      <c r="H182" s="128" t="str">
        <f t="shared" si="5"/>
        <v>#REF!</v>
      </c>
      <c r="I182" s="129" t="str">
        <f t="shared" si="6"/>
        <v>#REF!</v>
      </c>
      <c r="J182" s="130">
        <f t="shared" si="7"/>
        <v>10</v>
      </c>
      <c r="K182" s="131" t="str">
        <f t="shared" si="108"/>
        <v>#REF!</v>
      </c>
      <c r="L182" s="131" t="str">
        <f t="shared" si="8"/>
        <v>#REF!</v>
      </c>
      <c r="M182" s="131" t="str">
        <f t="array" ref="M182">INDEX(L:L,MIN(IF(ISNUMBER(L182:L378),ROW(L182:L378),"")))</f>
        <v/>
      </c>
      <c r="N182" s="130" t="str">
        <f t="shared" si="109"/>
        <v>#REF!</v>
      </c>
      <c r="O182" s="130" t="str">
        <f>N182*VLOOKUP('Données projet (1)'!$B$9,'Paramètres (1)'!$A$1:$I$88,3,0)*VLOOKUP('Données projet (1)'!$B$9,'Paramètres (1)'!$A$1:$I$88,5,0)</f>
        <v>#REF!</v>
      </c>
      <c r="P182" s="130" t="str">
        <f t="shared" si="110"/>
        <v>#REF!</v>
      </c>
      <c r="Q182" s="141" t="str">
        <f t="shared" si="9"/>
        <v>#REF!</v>
      </c>
      <c r="R182" s="133" t="str">
        <f t="shared" si="10"/>
        <v>#REF!</v>
      </c>
      <c r="S182" s="133" t="str">
        <f t="shared" si="11"/>
        <v>#REF!</v>
      </c>
      <c r="T182" s="133" t="str">
        <f t="shared" si="111"/>
        <v>#REF!</v>
      </c>
      <c r="U182" s="134" t="str">
        <f t="shared" si="12"/>
        <v>#REF!</v>
      </c>
      <c r="V182" s="134" t="str">
        <f t="shared" si="13"/>
        <v>#REF!</v>
      </c>
      <c r="W182" s="135" t="str">
        <f>IF(ISNA(VLOOKUP(A182,'Données projet (1)'!$A$35:$I$55,5,0)),0%,VLOOKUP(A182,'Données projet (1)'!$A$35:$I$55,5,0)*VLOOKUP('Données projet (1)'!$B$9,'Paramètres (1)'!$A$1:$I$88,7,0))</f>
        <v>#REF!</v>
      </c>
      <c r="X182" s="135" t="str">
        <f>IF(ISNA(VLOOKUP(A182,'Données projet (1)'!$A$35:$I$55,6,0)),0%,VLOOKUP(A182,'Données projet (1)'!$A$35:$I$55,6,0)*VLOOKUP('Données projet (1)'!$B$9,'Paramètres (1)'!$A$1:$I$88,7,0))</f>
        <v>#REF!</v>
      </c>
      <c r="Y182" s="135" t="str">
        <f t="shared" si="14"/>
        <v>#REF!</v>
      </c>
      <c r="Z182" s="142" t="str">
        <f>EXP(-LN(2)/35)*Z181+(1-EXP(-LN(2)/35))/(LN(2)/35)*V182*W182*VLOOKUP('Données projet (1)'!$B$9,'Paramètres (1)'!$A$1:$I$88,3,0)*0.475*44/12</f>
        <v>#REF!</v>
      </c>
      <c r="AA182" s="142" t="str">
        <f>EXP(-LN(2)/25)*AA181+(1-EXP(-LN(2)/25))/(LN(2)/25)*'Calculateur (1)'!V182*'Calculateur (1)'!X182*VLOOKUP('Données projet (1)'!$B$9,'Paramètres (1)'!$A$1:$I$88,3,0)*0.475*44/12</f>
        <v>#REF!</v>
      </c>
      <c r="AB182" s="142" t="str">
        <f>EXP(-LN(2)/2)*AB181+(1-EXP(-LN(2)/2))/(LN(2)/2)*V182*Y182*VLOOKUP('Données projet (1)'!$B$9,'Paramètres (1)'!$A$1:$I$88,3,0)*0.475*44/12</f>
        <v>#REF!</v>
      </c>
      <c r="AC182" s="143" t="str">
        <f t="shared" si="15"/>
        <v>#REF!</v>
      </c>
      <c r="AD182" s="130" t="str">
        <f t="shared" si="16"/>
        <v>#REF!</v>
      </c>
      <c r="AE182" s="130">
        <f t="shared" si="17"/>
        <v>10</v>
      </c>
      <c r="AF182" s="131" t="str">
        <f t="shared" si="112"/>
        <v>#REF!</v>
      </c>
      <c r="AG182" s="131" t="str">
        <f t="shared" si="18"/>
        <v>#REF!</v>
      </c>
      <c r="AH182" s="131" t="str">
        <f t="array" ref="AH182">INDEX(AG:AG,MIN(IF(ISNUMBER(AG182:AG378),ROW(AG182:AG378),"")))</f>
        <v/>
      </c>
      <c r="AI182" s="130" t="str">
        <f t="shared" si="113"/>
        <v>#REF!</v>
      </c>
      <c r="AJ182" s="130" t="str">
        <f>AI182*VLOOKUP('Données projet (1)'!$B$10,'Paramètres (1)'!$A$1:$I$88,3,0)*VLOOKUP('Données projet (1)'!$B$10,'Paramètres (1)'!$A$1:$I$88,5,0)</f>
        <v>#REF!</v>
      </c>
      <c r="AK182" s="130" t="str">
        <f t="shared" si="114"/>
        <v>#REF!</v>
      </c>
      <c r="AL182" s="141" t="str">
        <f t="shared" si="19"/>
        <v>#REF!</v>
      </c>
      <c r="AM182" s="133" t="str">
        <f t="shared" si="20"/>
        <v>#REF!</v>
      </c>
      <c r="AN182" s="133" t="str">
        <f t="shared" si="21"/>
        <v>#REF!</v>
      </c>
      <c r="AO182" s="133" t="str">
        <f t="shared" si="115"/>
        <v>#REF!</v>
      </c>
      <c r="AP182" s="134" t="str">
        <f t="shared" si="22"/>
        <v>#REF!</v>
      </c>
      <c r="AQ182" s="134" t="str">
        <f t="shared" si="23"/>
        <v>#REF!</v>
      </c>
      <c r="AR182" s="135" t="str">
        <f>IF(ISNA(VLOOKUP(A182,'Données projet (1)'!$A$61:$I$81,5,0)),0%,VLOOKUP(A182,'Données projet (1)'!$A$61:$I$81,5,0)*VLOOKUP('Données projet (1)'!$B$10,'Paramètres (1)'!$A$1:$I$88,7,0))</f>
        <v>#REF!</v>
      </c>
      <c r="AS182" s="135" t="str">
        <f>IF(ISNA(VLOOKUP(A182,'Données projet (1)'!$A$61:$I$81,6,0)),0%,VLOOKUP(A182,'Données projet (1)'!$A$61:$I$81,6,0)*VLOOKUP('Données projet (1)'!$B$10,'Paramètres (1)'!$A$1:$I$88,7,0))</f>
        <v>#REF!</v>
      </c>
      <c r="AT182" s="135" t="str">
        <f t="shared" si="24"/>
        <v>#REF!</v>
      </c>
      <c r="AU182" s="142" t="str">
        <f>EXP(-LN(2)/35)*AU181+(1-EXP(-LN(2)/35))/(LN(2)/35)*AQ182*AR182*VLOOKUP('Données projet (1)'!$B$10,'Paramètres (1)'!$A$1:$I$88,3,0)*0.475*44/12</f>
        <v>#REF!</v>
      </c>
      <c r="AV182" s="142" t="str">
        <f>EXP(-LN(2)/25)*AV181+(1-EXP(-LN(2)/25))/(LN(2)/25)*'Calculateur (1)'!AQ182*'Calculateur (1)'!AS182*VLOOKUP('Données projet (1)'!$B$10,'Paramètres (1)'!$A$1:$I$88,3,0)*0.475*44/12</f>
        <v>#REF!</v>
      </c>
      <c r="AW182" s="142" t="str">
        <f>EXP(-LN(2)/2)*AW181+(1-EXP(-LN(2)/2))/(LN(2)/2)*AQ182*AT182*VLOOKUP('Données projet (1)'!$B$10,'Paramètres (1)'!$A$1:$I$88,3,0)*0.475*44/12</f>
        <v>#REF!</v>
      </c>
      <c r="AX182" s="142" t="str">
        <f t="shared" si="25"/>
        <v>#REF!</v>
      </c>
      <c r="AY182" s="137" t="str">
        <f t="shared" si="26"/>
        <v>#REF!</v>
      </c>
      <c r="AZ182" s="131">
        <f t="shared" si="27"/>
        <v>10</v>
      </c>
      <c r="BA182" s="131" t="str">
        <f t="shared" si="116"/>
        <v>#REF!</v>
      </c>
      <c r="BB182" s="131" t="str">
        <f t="shared" si="28"/>
        <v>#REF!</v>
      </c>
      <c r="BC182" s="131" t="str">
        <f t="array" ref="BC182">INDEX(BB:BB,MIN(IF(ISNUMBER(BB182:BB378),ROW(BB182:BB378),"")))</f>
        <v/>
      </c>
      <c r="BD182" s="131" t="str">
        <f t="shared" si="117"/>
        <v>#REF!</v>
      </c>
      <c r="BE182" s="130" t="str">
        <f>BD182*VLOOKUP('Données projet (1)'!$B$11,'Paramètres (1)'!$A$1:$I$88,3,0)*VLOOKUP('Données projet (1)'!$B$11,'Paramètres (1)'!$A$1:$I$88,5,0)</f>
        <v>#REF!</v>
      </c>
      <c r="BF182" s="130" t="str">
        <f t="shared" si="118"/>
        <v>#REF!</v>
      </c>
      <c r="BG182" s="141" t="str">
        <f t="shared" si="29"/>
        <v>#REF!</v>
      </c>
      <c r="BH182" s="133" t="str">
        <f t="shared" si="30"/>
        <v>#REF!</v>
      </c>
      <c r="BI182" s="133" t="str">
        <f t="shared" si="31"/>
        <v>#REF!</v>
      </c>
      <c r="BJ182" s="133" t="str">
        <f t="shared" si="119"/>
        <v>#REF!</v>
      </c>
      <c r="BK182" s="134" t="str">
        <f t="shared" si="32"/>
        <v>#REF!</v>
      </c>
      <c r="BL182" s="134" t="str">
        <f t="shared" si="33"/>
        <v>#REF!</v>
      </c>
      <c r="BM182" s="135" t="str">
        <f>IF(ISNA(VLOOKUP(A182,'Données projet (1)'!$A$87:$I$107,5,0)),0%,VLOOKUP(A182,'Données projet (1)'!$A$87:$I$107,5,0)*VLOOKUP('Données projet (1)'!$B$11,'Paramètres (1)'!$A$1:$I$88,7,0))</f>
        <v>#REF!</v>
      </c>
      <c r="BN182" s="135" t="str">
        <f>IF(ISNA(VLOOKUP(A182,'Données projet (1)'!$A$87:$I$107,6,0)),0%,VLOOKUP(A182,'Données projet (1)'!$A$87:$I$107,6,0)*VLOOKUP('Données projet (1)'!$B$11,'Paramètres (1)'!$A$1:$I$88,7,0))</f>
        <v>#REF!</v>
      </c>
      <c r="BO182" s="135" t="str">
        <f t="shared" si="34"/>
        <v>#REF!</v>
      </c>
      <c r="BP182" s="142" t="str">
        <f>EXP(-LN(2)/35)*BP181+(1-EXP(-LN(2)/35))/(LN(2)/35)*BL182*BM182*VLOOKUP('Données projet (1)'!$B$11,'Paramètres (1)'!$A$1:$I$88,3,0)*0.475*44/12</f>
        <v>#REF!</v>
      </c>
      <c r="BQ182" s="142" t="str">
        <f>EXP(-LN(2)/25)*BQ181+(1-EXP(-LN(2)/25))/(LN(2)/25)*'Calculateur (1)'!BL182*'Calculateur (1)'!BN182*VLOOKUP('Données projet (1)'!$B$11,'Paramètres (1)'!$A$1:$I$88,3,0)*0.475*44/12</f>
        <v>#REF!</v>
      </c>
      <c r="BR182" s="142" t="str">
        <f>EXP(-LN(2)/2)*BR181+(1-EXP(-LN(2)/2))/(LN(2)/2)*BL182*BO182*VLOOKUP('Données projet (1)'!$B$11,'Paramètres (1)'!$A$1:$I$88,3,0)*0.475*44/12</f>
        <v>#REF!</v>
      </c>
      <c r="BS182" s="143" t="str">
        <f t="shared" si="35"/>
        <v>#REF!</v>
      </c>
      <c r="BT182" s="139" t="str">
        <f t="shared" si="36"/>
        <v>#REF!</v>
      </c>
      <c r="BU182" s="131">
        <f t="shared" si="37"/>
        <v>10</v>
      </c>
      <c r="BV182" s="131" t="str">
        <f t="shared" si="120"/>
        <v>#REF!</v>
      </c>
      <c r="BW182" s="131" t="str">
        <f t="shared" si="38"/>
        <v>#REF!</v>
      </c>
      <c r="BX182" s="131" t="str">
        <f t="array" ref="BX182">INDEX(BW:BW,MIN(IF(ISNUMBER(BW182:BW378),ROW(BW182:BW378),"")))</f>
        <v/>
      </c>
      <c r="BY182" s="131" t="str">
        <f t="shared" si="121"/>
        <v>#REF!</v>
      </c>
      <c r="BZ182" s="130" t="str">
        <f>BY182*VLOOKUP('Données projet (1)'!$B$12,'Paramètres (1)'!$A$1:$I$88,3,0)*VLOOKUP('Données projet (1)'!$B$12,'Paramètres (1)'!$A$1:$I$88,5,0)</f>
        <v>#REF!</v>
      </c>
      <c r="CA182" s="130" t="str">
        <f t="shared" si="122"/>
        <v>#REF!</v>
      </c>
      <c r="CB182" s="141" t="str">
        <f t="shared" si="39"/>
        <v>#REF!</v>
      </c>
      <c r="CC182" s="133" t="str">
        <f t="shared" si="40"/>
        <v>#REF!</v>
      </c>
      <c r="CD182" s="133" t="str">
        <f t="shared" si="41"/>
        <v>#REF!</v>
      </c>
      <c r="CE182" s="133" t="str">
        <f t="shared" si="123"/>
        <v>#REF!</v>
      </c>
      <c r="CF182" s="134" t="str">
        <f t="shared" si="42"/>
        <v>#REF!</v>
      </c>
      <c r="CG182" s="134" t="str">
        <f t="shared" si="43"/>
        <v>#REF!</v>
      </c>
      <c r="CH182" s="135" t="str">
        <f>IF(ISNA(VLOOKUP(A182,'Données projet (1)'!$A$113:$I$133,5,0)),0%,VLOOKUP(A182,'Données projet (1)'!$A$113:$I$133,5,0)*VLOOKUP('Données projet (1)'!$B$12,'Paramètres (1)'!$A$1:$I$88,7,0))</f>
        <v>#REF!</v>
      </c>
      <c r="CI182" s="135" t="str">
        <f>IF(ISNA(VLOOKUP(A182,'Données projet (1)'!$A$113:$I$133,6,0)),0%,VLOOKUP(A182,'Données projet (1)'!$A$113:$I$133,6,0)*VLOOKUP('Données projet (1)'!$B$12,'Paramètres (1)'!$A$1:$I$88,7,0))</f>
        <v>#REF!</v>
      </c>
      <c r="CJ182" s="135" t="str">
        <f t="shared" si="44"/>
        <v>#REF!</v>
      </c>
      <c r="CK182" s="142" t="str">
        <f>EXP(-LN(2)/35)*CK181+(1-EXP(-LN(2)/35))/(LN(2)/35)*CG182*CH182*VLOOKUP('Données projet (1)'!$B$12,'Paramètres (1)'!$A$1:$I$88,3,0)*0.475*44/12</f>
        <v>#REF!</v>
      </c>
      <c r="CL182" s="142" t="str">
        <f>EXP(-LN(2)/25)*CL181+(1-EXP(-LN(2)/25))/(LN(2)/25)*'Calculateur (1)'!CG182*'Calculateur (1)'!CI182*VLOOKUP('Données projet (1)'!$B$12,'Paramètres (1)'!$A$1:$I$88,3,0)*0.475*44/12</f>
        <v>#REF!</v>
      </c>
      <c r="CM182" s="142" t="str">
        <f>EXP(-LN(2)/2)*CM181+(1-EXP(-LN(2)/2))/(LN(2)/2)*CG182*CJ182*VLOOKUP('Données projet (1)'!$B$12,'Paramètres (1)'!$A$1:$I$88,3,0)*0.475*44/12</f>
        <v>#REF!</v>
      </c>
      <c r="CN182" s="143" t="str">
        <f t="shared" si="45"/>
        <v>#REF!</v>
      </c>
      <c r="CO182" s="139" t="str">
        <f t="shared" si="46"/>
        <v>#REF!</v>
      </c>
      <c r="CP182" s="131">
        <f t="shared" si="47"/>
        <v>10</v>
      </c>
      <c r="CQ182" s="131" t="str">
        <f t="shared" si="124"/>
        <v>#REF!</v>
      </c>
      <c r="CR182" s="131" t="str">
        <f t="shared" si="48"/>
        <v>#REF!</v>
      </c>
      <c r="CS182" s="131" t="str">
        <f t="array" ref="CS182">INDEX(CR:CR,MIN(IF(ISNUMBER(CR182:CR378),ROW(CR182:CR378),"")))</f>
        <v/>
      </c>
      <c r="CT182" s="131" t="str">
        <f t="shared" si="125"/>
        <v>#REF!</v>
      </c>
      <c r="CU182" s="138" t="str">
        <f>CT182*VLOOKUP('Données projet (1)'!$B$13,'Paramètres (1)'!$A$1:$I$88,3,0)*VLOOKUP('Données projet (1)'!$B$13,'Paramètres (1)'!$A$1:$I$88,5,0)</f>
        <v>#REF!</v>
      </c>
      <c r="CV182" s="130" t="str">
        <f t="shared" si="126"/>
        <v>#REF!</v>
      </c>
      <c r="CW182" s="141" t="str">
        <f t="shared" si="49"/>
        <v>#REF!</v>
      </c>
      <c r="CX182" s="133" t="str">
        <f t="shared" si="50"/>
        <v>#REF!</v>
      </c>
      <c r="CY182" s="133" t="str">
        <f t="shared" si="51"/>
        <v>#REF!</v>
      </c>
      <c r="CZ182" s="133" t="str">
        <f t="shared" si="127"/>
        <v>#REF!</v>
      </c>
      <c r="DA182" s="134" t="str">
        <f t="shared" si="52"/>
        <v>#REF!</v>
      </c>
      <c r="DB182" s="134" t="str">
        <f t="shared" si="53"/>
        <v>#REF!</v>
      </c>
      <c r="DC182" s="135" t="str">
        <f>IF(ISNA(VLOOKUP(A182,'Données projet (1)'!$A$139:$I$159,5,0)),0%,VLOOKUP(A182,'Données projet (1)'!$A$139:$I$159,5,0)*VLOOKUP('Données projet (1)'!$B$13,'Paramètres (1)'!$A$1:$I$88,7,0))</f>
        <v>#REF!</v>
      </c>
      <c r="DD182" s="135" t="str">
        <f>IF(ISNA(VLOOKUP(A182,'Données projet (1)'!$A$139:$I$159,6,0)),0%,VLOOKUP(A182,'Données projet (1)'!$A$139:$I$159,6,0)*VLOOKUP('Données projet (1)'!$B$13,'Paramètres (1)'!$A$1:$I$88,7,0))</f>
        <v>#REF!</v>
      </c>
      <c r="DE182" s="135" t="str">
        <f t="shared" si="54"/>
        <v>#REF!</v>
      </c>
      <c r="DF182" s="142" t="str">
        <f>EXP(-LN(2)/35)*DF181+(1-EXP(-LN(2)/35))/(LN(2)/35)*DB182*DC182*VLOOKUP('Données projet (1)'!$B$13,'Paramètres (1)'!$A$1:$I$88,3,0)*0.475*44/12</f>
        <v>#REF!</v>
      </c>
      <c r="DG182" s="142" t="str">
        <f>EXP(-LN(2)/25)*DG181+(1-EXP(-LN(2)/25))/(LN(2)/25)*'Calculateur (1)'!DB182*'Calculateur (1)'!DD182*VLOOKUP('Données projet (1)'!$B$13,'Paramètres (1)'!$A$1:$I$88,3,0)*0.475*44/12</f>
        <v>#REF!</v>
      </c>
      <c r="DH182" s="142" t="str">
        <f>EXP(-LN(2)/2)*DH181+(1-EXP(-LN(2)/2))/(LN(2)/2)*DB182*DE182*VLOOKUP('Données projet (1)'!$B$13,'Paramètres (1)'!$A$1:$I$88,3,0)*0.475*44/12</f>
        <v>#REF!</v>
      </c>
      <c r="DI182" s="143" t="str">
        <f t="shared" si="55"/>
        <v>#REF!</v>
      </c>
      <c r="DJ182" s="139" t="str">
        <f t="shared" si="56"/>
        <v>#REF!</v>
      </c>
      <c r="DK182" s="131">
        <f t="shared" si="57"/>
        <v>10</v>
      </c>
      <c r="DL182" s="131" t="str">
        <f t="shared" si="128"/>
        <v>#REF!</v>
      </c>
      <c r="DM182" s="131" t="str">
        <f t="shared" si="58"/>
        <v>#REF!</v>
      </c>
      <c r="DN182" s="131" t="str">
        <f t="array" ref="DN182">INDEX(DM:DM,MIN(IF(ISNUMBER(DM182:DM378),ROW(DM182:DM378),"")))</f>
        <v/>
      </c>
      <c r="DO182" s="131" t="str">
        <f t="shared" si="129"/>
        <v>#REF!</v>
      </c>
      <c r="DP182" s="138" t="str">
        <f>DO182*VLOOKUP('Données projet (1)'!$B$14,'Paramètres (1)'!$A$1:$I$88,3,0)*VLOOKUP('Données projet (1)'!$B$14,'Paramètres (1)'!$A$1:$I$88,5,0)</f>
        <v>#REF!</v>
      </c>
      <c r="DQ182" s="130" t="str">
        <f t="shared" si="130"/>
        <v>#REF!</v>
      </c>
      <c r="DR182" s="141" t="str">
        <f t="shared" si="59"/>
        <v>#REF!</v>
      </c>
      <c r="DS182" s="133" t="str">
        <f t="shared" si="60"/>
        <v>#REF!</v>
      </c>
      <c r="DT182" s="133" t="str">
        <f t="shared" si="61"/>
        <v>#REF!</v>
      </c>
      <c r="DU182" s="133" t="str">
        <f t="shared" si="131"/>
        <v>#REF!</v>
      </c>
      <c r="DV182" s="134" t="str">
        <f t="shared" si="62"/>
        <v>#REF!</v>
      </c>
      <c r="DW182" s="134" t="str">
        <f t="shared" si="63"/>
        <v>#REF!</v>
      </c>
      <c r="DX182" s="135" t="str">
        <f>IF(ISNA(VLOOKUP(A182,'Données projet (1)'!$A$165:$I$185,5,0)),0%,VLOOKUP(A182,'Données projet (1)'!$A$165:$I$185,5,0)*VLOOKUP('Données projet (1)'!$B$14,'Paramètres (1)'!$A$1:$I$88,7,0))</f>
        <v>#REF!</v>
      </c>
      <c r="DY182" s="135" t="str">
        <f>IF(ISNA(VLOOKUP(A182,'Données projet (1)'!$A$165:$I$185,6,0)),0%,VLOOKUP(A182,'Données projet (1)'!$A$165:$I$185,6,0)*VLOOKUP('Données projet (1)'!$B$14,'Paramètres (1)'!$A$1:$I$88,7,0))</f>
        <v>#REF!</v>
      </c>
      <c r="DZ182" s="135" t="str">
        <f t="shared" si="64"/>
        <v>#REF!</v>
      </c>
      <c r="EA182" s="142" t="str">
        <f>EXP(-LN(2)/35)*EA181+(1-EXP(-LN(2)/35))/(LN(2)/35)*DW182*DX182*VLOOKUP('Données projet (1)'!$B$14,'Paramètres (1)'!$A$1:$I$88,3,0)*0.475*44/12</f>
        <v>#REF!</v>
      </c>
      <c r="EB182" s="142" t="str">
        <f>EXP(-LN(2)/25)*EB181+(1-EXP(-LN(2)/25))/(LN(2)/25)*'Calculateur (1)'!DW182*'Calculateur (1)'!DY182*VLOOKUP('Données projet (1)'!$B$14,'Paramètres (1)'!$A$1:$I$88,3,0)*0.475*44/12</f>
        <v>#REF!</v>
      </c>
      <c r="EC182" s="142" t="str">
        <f>EXP(-LN(2)/2)*EC181+(1-EXP(-LN(2)/2))/(LN(2)/2)*DW182*DZ182*VLOOKUP('Données projet (1)'!$B$14,'Paramètres (1)'!$A$1:$I$88,3,0)*0.475*44/12</f>
        <v>#REF!</v>
      </c>
      <c r="ED182" s="143" t="str">
        <f t="shared" si="65"/>
        <v>#REF!</v>
      </c>
      <c r="EE182" s="139" t="str">
        <f t="shared" si="66"/>
        <v>#REF!</v>
      </c>
      <c r="EF182" s="131">
        <f t="shared" si="67"/>
        <v>10</v>
      </c>
      <c r="EG182" s="131" t="str">
        <f t="shared" si="132"/>
        <v>#REF!</v>
      </c>
      <c r="EH182" s="131" t="str">
        <f t="shared" si="68"/>
        <v>#REF!</v>
      </c>
      <c r="EI182" s="131" t="str">
        <f t="array" ref="EI182">INDEX(EH:EH,MIN(IF(ISNUMBER(EH182:EH378),ROW(EH182:EH378),"")))</f>
        <v/>
      </c>
      <c r="EJ182" s="131" t="str">
        <f t="shared" si="133"/>
        <v>#REF!</v>
      </c>
      <c r="EK182" s="138" t="str">
        <f>EJ182*VLOOKUP('Données projet (1)'!$B$15,'Paramètres (1)'!$A$1:$I$88,3,0)*VLOOKUP('Données projet (1)'!$B$15,'Paramètres (1)'!$A$1:$I$88,5,0)</f>
        <v>#REF!</v>
      </c>
      <c r="EL182" s="130" t="str">
        <f t="shared" si="134"/>
        <v>#REF!</v>
      </c>
      <c r="EM182" s="141" t="str">
        <f t="shared" si="69"/>
        <v>#REF!</v>
      </c>
      <c r="EN182" s="133" t="str">
        <f t="shared" si="70"/>
        <v>#REF!</v>
      </c>
      <c r="EO182" s="133" t="str">
        <f t="shared" si="71"/>
        <v>#REF!</v>
      </c>
      <c r="EP182" s="133" t="str">
        <f t="shared" si="135"/>
        <v>#REF!</v>
      </c>
      <c r="EQ182" s="134" t="str">
        <f t="shared" si="72"/>
        <v>#REF!</v>
      </c>
      <c r="ER182" s="134" t="str">
        <f t="shared" si="73"/>
        <v>#REF!</v>
      </c>
      <c r="ES182" s="135" t="str">
        <f>IF(ISNA(VLOOKUP(A182,'Données projet (1)'!$A$191:$I$211,5,0)),0%,VLOOKUP(A182,'Données projet (1)'!$A$191:$I$211,5,0)*VLOOKUP('Données projet (1)'!$B$15,'Paramètres (1)'!$A$1:$I$88,7,0))</f>
        <v>#REF!</v>
      </c>
      <c r="ET182" s="135" t="str">
        <f>IF(ISNA(VLOOKUP(A182,'Données projet (1)'!$A$191:$I$211,6,0)),0%,VLOOKUP(A182,'Données projet (1)'!$A$191:$I$211,6,0)*VLOOKUP('Données projet (1)'!$B$15,'Paramètres (1)'!$A$1:$I$88,7,0))</f>
        <v>#REF!</v>
      </c>
      <c r="EU182" s="135" t="str">
        <f t="shared" si="74"/>
        <v>#REF!</v>
      </c>
      <c r="EV182" s="142" t="str">
        <f>EXP(-LN(2)/35)*EV181+(1-EXP(-LN(2)/35))/(LN(2)/35)*ER182*ES182*VLOOKUP('Données projet (1)'!$B$15,'Paramètres (1)'!$A$1:$I$88,3,0)*0.475*44/12</f>
        <v>#REF!</v>
      </c>
      <c r="EW182" s="142" t="str">
        <f>EXP(-LN(2)/25)*EW181+(1-EXP(-LN(2)/25))/(LN(2)/25)*'Calculateur (1)'!ER182*'Calculateur (1)'!ET182*VLOOKUP('Données projet (1)'!$B$15,'Paramètres (1)'!$A$1:$I$88,3,0)*0.475*44/12</f>
        <v>#REF!</v>
      </c>
      <c r="EX182" s="142" t="str">
        <f>EXP(-LN(2)/2)*EX181+(1-EXP(-LN(2)/2))/(LN(2)/2)*ER182*EU182*VLOOKUP('Données projet (1)'!$B$15,'Paramètres (1)'!$A$1:$I$88,3,0)*0.475*44/12</f>
        <v>#REF!</v>
      </c>
      <c r="EY182" s="143" t="str">
        <f t="shared" si="75"/>
        <v>#REF!</v>
      </c>
      <c r="EZ182" s="139" t="str">
        <f t="shared" si="76"/>
        <v>#REF!</v>
      </c>
      <c r="FA182" s="131">
        <f t="shared" si="77"/>
        <v>10</v>
      </c>
      <c r="FB182" s="131" t="str">
        <f t="shared" si="136"/>
        <v>#REF!</v>
      </c>
      <c r="FC182" s="131" t="str">
        <f t="shared" si="78"/>
        <v>#REF!</v>
      </c>
      <c r="FD182" s="131" t="str">
        <f t="array" ref="FD182">INDEX(FC:FC,MIN(IF(ISNUMBER(FC182:FC378),ROW(FC182:FC378),"")))</f>
        <v/>
      </c>
      <c r="FE182" s="131" t="str">
        <f t="shared" si="137"/>
        <v>#REF!</v>
      </c>
      <c r="FF182" s="138" t="str">
        <f>FE182*VLOOKUP('Données projet (1)'!$B$16,'Paramètres (1)'!$A$1:$I$88,3,0)*VLOOKUP('Données projet (1)'!$B$16,'Paramètres (1)'!$A$1:$I$88,5,0)</f>
        <v>#REF!</v>
      </c>
      <c r="FG182" s="130" t="str">
        <f t="shared" si="138"/>
        <v>#REF!</v>
      </c>
      <c r="FH182" s="141" t="str">
        <f t="shared" si="79"/>
        <v>#REF!</v>
      </c>
      <c r="FI182" s="133" t="str">
        <f t="shared" si="80"/>
        <v>#REF!</v>
      </c>
      <c r="FJ182" s="133" t="str">
        <f t="shared" si="81"/>
        <v>#REF!</v>
      </c>
      <c r="FK182" s="133" t="str">
        <f t="shared" si="139"/>
        <v>#REF!</v>
      </c>
      <c r="FL182" s="134" t="str">
        <f t="shared" si="82"/>
        <v>#REF!</v>
      </c>
      <c r="FM182" s="134" t="str">
        <f t="shared" si="83"/>
        <v>#REF!</v>
      </c>
      <c r="FN182" s="135" t="str">
        <f>IF(ISNA(VLOOKUP(A182,'Données projet (1)'!$A$217:$I$237,5,0)),0%,VLOOKUP(A182,'Données projet (1)'!$A$217:$I$237,5,0)*VLOOKUP('Données projet (1)'!$B$16,'Paramètres (1)'!$A$1:$I$88,7,0))</f>
        <v>#REF!</v>
      </c>
      <c r="FO182" s="135" t="str">
        <f>IF(ISNA(VLOOKUP(A182,'Données projet (1)'!$A$217:$I$237,6,0)),0%,VLOOKUP(A182,'Données projet (1)'!$A$217:$I$237,6,0)*VLOOKUP('Données projet (1)'!$B$16,'Paramètres (1)'!$A$1:$I$88,7,0))</f>
        <v>#REF!</v>
      </c>
      <c r="FP182" s="135" t="str">
        <f t="shared" si="84"/>
        <v>#REF!</v>
      </c>
      <c r="FQ182" s="142" t="str">
        <f>EXP(-LN(2)/35)*FQ181+(1-EXP(-LN(2)/35))/(LN(2)/35)*FM182*FN182*VLOOKUP('Données projet (1)'!$B$16,'Paramètres (1)'!$A$1:$I$88,3,0)*0.475*44/12</f>
        <v>#REF!</v>
      </c>
      <c r="FR182" s="142" t="str">
        <f>EXP(-LN(2)/25)*FR181+(1-EXP(-LN(2)/25))/(LN(2)/25)*'Calculateur (1)'!FM182*'Calculateur (1)'!FO182*VLOOKUP('Données projet (1)'!$B$16,'Paramètres (1)'!$A$1:$I$88,3,0)*0.475*44/12</f>
        <v>#REF!</v>
      </c>
      <c r="FS182" s="142" t="str">
        <f>EXP(-LN(2)/2)*FS181+(1-EXP(-LN(2)/2))/(LN(2)/2)*FM182*FP182*VLOOKUP('Données projet (1)'!$B$16,'Paramètres (1)'!$A$1:$I$88,3,0)*0.475*44/12</f>
        <v>#REF!</v>
      </c>
      <c r="FT182" s="143" t="str">
        <f t="shared" si="85"/>
        <v>#REF!</v>
      </c>
      <c r="FU182" s="139" t="str">
        <f t="shared" si="86"/>
        <v>#REF!</v>
      </c>
      <c r="FV182" s="131">
        <f t="shared" si="87"/>
        <v>10</v>
      </c>
      <c r="FW182" s="131" t="str">
        <f t="shared" si="140"/>
        <v>#REF!</v>
      </c>
      <c r="FX182" s="131" t="str">
        <f t="shared" si="88"/>
        <v>#REF!</v>
      </c>
      <c r="FY182" s="131" t="str">
        <f t="array" ref="FY182">INDEX(FX:FX,MIN(IF(ISNUMBER(FX182:FX378),ROW(FX182:FX378),"")))</f>
        <v/>
      </c>
      <c r="FZ182" s="131" t="str">
        <f t="shared" si="141"/>
        <v>#REF!</v>
      </c>
      <c r="GA182" s="138" t="str">
        <f>FZ182*VLOOKUP('Données projet (1)'!$B$17,'Paramètres (1)'!$A$1:$I$88,3,0)*VLOOKUP('Données projet (1)'!$B$17,'Paramètres (1)'!$A$1:$I$88,5,0)</f>
        <v>#REF!</v>
      </c>
      <c r="GB182" s="130" t="str">
        <f t="shared" si="142"/>
        <v>#REF!</v>
      </c>
      <c r="GC182" s="141" t="str">
        <f t="shared" si="89"/>
        <v>#REF!</v>
      </c>
      <c r="GD182" s="133" t="str">
        <f t="shared" si="90"/>
        <v>#REF!</v>
      </c>
      <c r="GE182" s="133" t="str">
        <f t="shared" si="91"/>
        <v>#REF!</v>
      </c>
      <c r="GF182" s="133" t="str">
        <f t="shared" si="143"/>
        <v>#REF!</v>
      </c>
      <c r="GG182" s="134" t="str">
        <f t="shared" si="92"/>
        <v>#REF!</v>
      </c>
      <c r="GH182" s="134" t="str">
        <f t="shared" si="93"/>
        <v>#REF!</v>
      </c>
      <c r="GI182" s="135" t="str">
        <f>IF(ISNA(VLOOKUP(A182,'Données projet (1)'!$A$243:$I$263,5,0)),0%,VLOOKUP(A182,'Données projet (1)'!$A$243:$I$263,5,0)*VLOOKUP('Données projet (1)'!$B$17,'Paramètres (1)'!$A$1:$I$88,7,0))</f>
        <v>#REF!</v>
      </c>
      <c r="GJ182" s="135" t="str">
        <f>IF(ISNA(VLOOKUP(A182,'Données projet (1)'!$A$243:$I$263,6,0)),0%,VLOOKUP(A182,'Données projet (1)'!$A$243:$I$263,6,0)*VLOOKUP('Données projet (1)'!$B$17,'Paramètres (1)'!$A$1:$I$88,7,0))</f>
        <v>#REF!</v>
      </c>
      <c r="GK182" s="135" t="str">
        <f t="shared" si="94"/>
        <v>#REF!</v>
      </c>
      <c r="GL182" s="142" t="str">
        <f>EXP(-LN(2)/35)*GL181+(1-EXP(-LN(2)/35))/(LN(2)/35)*GH182*GI182*VLOOKUP('Données projet (1)'!$B$17,'Paramètres (1)'!$A$1:$I$88,3,0)*0.475*44/12</f>
        <v>#REF!</v>
      </c>
      <c r="GM182" s="142" t="str">
        <f>EXP(-LN(2)/25)*GM181+(1-EXP(-LN(2)/25))/(LN(2)/25)*'Calculateur (1)'!GH182*'Calculateur (1)'!GJ182*VLOOKUP('Données projet (1)'!$B$17,'Paramètres (1)'!$A$1:$I$88,3,0)*0.475*44/12</f>
        <v>#REF!</v>
      </c>
      <c r="GN182" s="142" t="str">
        <f>EXP(-LN(2)/2)*GN181+(1-EXP(-LN(2)/2))/(LN(2)/2)*GH182*GK182*VLOOKUP('Données projet (1)'!$B$17,'Paramètres (1)'!$A$1:$I$88,3,0)*0.475*44/12</f>
        <v>#REF!</v>
      </c>
      <c r="GO182" s="142" t="str">
        <f t="shared" si="95"/>
        <v>#REF!</v>
      </c>
      <c r="GP182" s="139" t="str">
        <f t="shared" si="96"/>
        <v>#REF!</v>
      </c>
      <c r="GQ182" s="131">
        <f t="shared" si="97"/>
        <v>10</v>
      </c>
      <c r="GR182" s="131" t="str">
        <f t="shared" si="144"/>
        <v>#REF!</v>
      </c>
      <c r="GS182" s="131" t="str">
        <f t="shared" si="98"/>
        <v>#REF!</v>
      </c>
      <c r="GT182" s="131" t="str">
        <f t="array" ref="GT182">INDEX(GS:GS,MIN(IF(ISNUMBER(GS182:GS378),ROW(GS182:GS378),"")))</f>
        <v/>
      </c>
      <c r="GU182" s="131" t="str">
        <f t="shared" si="145"/>
        <v>#REF!</v>
      </c>
      <c r="GV182" s="138" t="str">
        <f>GU182*VLOOKUP('Données projet (1)'!$B$18,'Paramètres (1)'!$A$1:$I$88,3,0)*VLOOKUP('Données projet (1)'!$B$18,'Paramètres (1)'!$A$1:$I$88,5,0)</f>
        <v>#REF!</v>
      </c>
      <c r="GW182" s="130" t="str">
        <f t="shared" si="146"/>
        <v>#REF!</v>
      </c>
      <c r="GX182" s="141" t="str">
        <f t="shared" si="99"/>
        <v>#REF!</v>
      </c>
      <c r="GY182" s="133" t="str">
        <f t="shared" si="100"/>
        <v>#REF!</v>
      </c>
      <c r="GZ182" s="133" t="str">
        <f t="shared" si="101"/>
        <v>#REF!</v>
      </c>
      <c r="HA182" s="133" t="str">
        <f t="shared" si="147"/>
        <v>#REF!</v>
      </c>
      <c r="HB182" s="134" t="str">
        <f t="shared" si="102"/>
        <v>#REF!</v>
      </c>
      <c r="HC182" s="134" t="str">
        <f t="shared" si="103"/>
        <v>#REF!</v>
      </c>
      <c r="HD182" s="135" t="str">
        <f>IF(ISNA(VLOOKUP(A182,'Données projet (1)'!$A$269:$I$289,5,0)),0%,VLOOKUP(A182,'Données projet (1)'!$A$269:$I$289,5,0)*VLOOKUP('Données projet (1)'!$B$18,'Paramètres (1)'!$A$1:$I$88,7,0))</f>
        <v>#REF!</v>
      </c>
      <c r="HE182" s="135" t="str">
        <f>IF(ISNA(VLOOKUP(A182,'Données projet (1)'!$A$269:$I$289,6,0)),0%,VLOOKUP(A182,'Données projet (1)'!$A$269:$I$289,6,0)*VLOOKUP('Données projet (1)'!$B$18,'Paramètres (1)'!$A$1:$I$88,7,0))</f>
        <v>#REF!</v>
      </c>
      <c r="HF182" s="135" t="str">
        <f t="shared" si="104"/>
        <v>#REF!</v>
      </c>
      <c r="HG182" s="142" t="str">
        <f>EXP(-LN(2)/35)*HG181+(1-EXP(-LN(2)/35))/(LN(2)/35)*HC182*HD182*VLOOKUP('Données projet (1)'!$B$18,'Paramètres (1)'!$A$1:$I$88,3,0)*0.475*44/12</f>
        <v>#REF!</v>
      </c>
      <c r="HH182" s="142" t="str">
        <f>EXP(-LN(2)/25)*HH181+(1-EXP(-LN(2)/25))/(LN(2)/25)*'Calculateur (1)'!HC182*'Calculateur (1)'!HE182*VLOOKUP('Données projet (1)'!$B$18,'Paramètres (1)'!$A$1:$I$88,3,0)*0.475*44/12</f>
        <v>#REF!</v>
      </c>
      <c r="HI182" s="142" t="str">
        <f>EXP(-LN(2)/2)*HI181+(1-EXP(-LN(2)/2))/(LN(2)/2)*HC182*HF182*VLOOKUP('Données projet (1)'!$B$18,'Paramètres (1)'!$A$1:$I$88,3,0)*0.475*44/12</f>
        <v>#REF!</v>
      </c>
      <c r="HJ182" s="143" t="str">
        <f t="shared" si="105"/>
        <v>#REF!</v>
      </c>
    </row>
    <row r="183" ht="14.25" customHeight="1">
      <c r="A183" s="125">
        <f t="shared" si="106"/>
        <v>180</v>
      </c>
      <c r="B183" s="126" t="str">
        <f t="shared" si="1"/>
        <v>#REF!</v>
      </c>
      <c r="C183" s="140" t="str">
        <f>'Calculateur (1)'!C182+'Scénario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3" s="127">
        <f t="shared" si="107"/>
        <v>0</v>
      </c>
      <c r="E183" s="127" t="str">
        <f t="shared" si="2"/>
        <v>#REF!</v>
      </c>
      <c r="F183" s="127" t="str">
        <f t="shared" si="3"/>
        <v>#REF!</v>
      </c>
      <c r="G183" s="127" t="str">
        <f t="shared" si="4"/>
        <v>#REF!</v>
      </c>
      <c r="H183" s="128" t="str">
        <f t="shared" si="5"/>
        <v>#REF!</v>
      </c>
      <c r="I183" s="129" t="str">
        <f t="shared" si="6"/>
        <v>#REF!</v>
      </c>
      <c r="J183" s="130">
        <f t="shared" si="7"/>
        <v>10</v>
      </c>
      <c r="K183" s="131" t="str">
        <f t="shared" si="108"/>
        <v>#REF!</v>
      </c>
      <c r="L183" s="131" t="str">
        <f t="shared" si="8"/>
        <v>#REF!</v>
      </c>
      <c r="M183" s="131" t="str">
        <f t="array" ref="M183">INDEX(L:L,MIN(IF(ISNUMBER(L183:L379),ROW(L183:L379),"")))</f>
        <v/>
      </c>
      <c r="N183" s="130" t="str">
        <f t="shared" si="109"/>
        <v>#REF!</v>
      </c>
      <c r="O183" s="130" t="str">
        <f>N183*VLOOKUP('Données projet (1)'!$B$9,'Paramètres (1)'!$A$1:$I$88,3,0)*VLOOKUP('Données projet (1)'!$B$9,'Paramètres (1)'!$A$1:$I$88,5,0)</f>
        <v>#REF!</v>
      </c>
      <c r="P183" s="130" t="str">
        <f t="shared" si="110"/>
        <v>#REF!</v>
      </c>
      <c r="Q183" s="141" t="str">
        <f t="shared" si="9"/>
        <v>#REF!</v>
      </c>
      <c r="R183" s="133" t="str">
        <f t="shared" si="10"/>
        <v>#REF!</v>
      </c>
      <c r="S183" s="133" t="str">
        <f t="shared" si="11"/>
        <v>#REF!</v>
      </c>
      <c r="T183" s="133" t="str">
        <f t="shared" si="111"/>
        <v>#REF!</v>
      </c>
      <c r="U183" s="134" t="str">
        <f t="shared" si="12"/>
        <v>#REF!</v>
      </c>
      <c r="V183" s="134" t="str">
        <f t="shared" si="13"/>
        <v>#REF!</v>
      </c>
      <c r="W183" s="135" t="str">
        <f>IF(ISNA(VLOOKUP(A183,'Données projet (1)'!$A$35:$I$55,5,0)),0%,VLOOKUP(A183,'Données projet (1)'!$A$35:$I$55,5,0)*VLOOKUP('Données projet (1)'!$B$9,'Paramètres (1)'!$A$1:$I$88,7,0))</f>
        <v>#REF!</v>
      </c>
      <c r="X183" s="135" t="str">
        <f>IF(ISNA(VLOOKUP(A183,'Données projet (1)'!$A$35:$I$55,6,0)),0%,VLOOKUP(A183,'Données projet (1)'!$A$35:$I$55,6,0)*VLOOKUP('Données projet (1)'!$B$9,'Paramètres (1)'!$A$1:$I$88,7,0))</f>
        <v>#REF!</v>
      </c>
      <c r="Y183" s="135" t="str">
        <f t="shared" si="14"/>
        <v>#REF!</v>
      </c>
      <c r="Z183" s="142" t="str">
        <f>EXP(-LN(2)/35)*Z182+(1-EXP(-LN(2)/35))/(LN(2)/35)*V183*W183*VLOOKUP('Données projet (1)'!$B$9,'Paramètres (1)'!$A$1:$I$88,3,0)*0.475*44/12</f>
        <v>#REF!</v>
      </c>
      <c r="AA183" s="142" t="str">
        <f>EXP(-LN(2)/25)*AA182+(1-EXP(-LN(2)/25))/(LN(2)/25)*'Calculateur (1)'!V183*'Calculateur (1)'!X183*VLOOKUP('Données projet (1)'!$B$9,'Paramètres (1)'!$A$1:$I$88,3,0)*0.475*44/12</f>
        <v>#REF!</v>
      </c>
      <c r="AB183" s="142" t="str">
        <f>EXP(-LN(2)/2)*AB182+(1-EXP(-LN(2)/2))/(LN(2)/2)*V183*Y183*VLOOKUP('Données projet (1)'!$B$9,'Paramètres (1)'!$A$1:$I$88,3,0)*0.475*44/12</f>
        <v>#REF!</v>
      </c>
      <c r="AC183" s="143" t="str">
        <f t="shared" si="15"/>
        <v>#REF!</v>
      </c>
      <c r="AD183" s="130" t="str">
        <f t="shared" si="16"/>
        <v>#REF!</v>
      </c>
      <c r="AE183" s="130">
        <f t="shared" si="17"/>
        <v>10</v>
      </c>
      <c r="AF183" s="131" t="str">
        <f t="shared" si="112"/>
        <v>#REF!</v>
      </c>
      <c r="AG183" s="131" t="str">
        <f t="shared" si="18"/>
        <v>#REF!</v>
      </c>
      <c r="AH183" s="131" t="str">
        <f t="array" ref="AH183">INDEX(AG:AG,MIN(IF(ISNUMBER(AG183:AG379),ROW(AG183:AG379),"")))</f>
        <v/>
      </c>
      <c r="AI183" s="130" t="str">
        <f t="shared" si="113"/>
        <v>#REF!</v>
      </c>
      <c r="AJ183" s="130" t="str">
        <f>AI183*VLOOKUP('Données projet (1)'!$B$10,'Paramètres (1)'!$A$1:$I$88,3,0)*VLOOKUP('Données projet (1)'!$B$10,'Paramètres (1)'!$A$1:$I$88,5,0)</f>
        <v>#REF!</v>
      </c>
      <c r="AK183" s="130" t="str">
        <f t="shared" si="114"/>
        <v>#REF!</v>
      </c>
      <c r="AL183" s="141" t="str">
        <f t="shared" si="19"/>
        <v>#REF!</v>
      </c>
      <c r="AM183" s="133" t="str">
        <f t="shared" si="20"/>
        <v>#REF!</v>
      </c>
      <c r="AN183" s="133" t="str">
        <f t="shared" si="21"/>
        <v>#REF!</v>
      </c>
      <c r="AO183" s="133" t="str">
        <f t="shared" si="115"/>
        <v>#REF!</v>
      </c>
      <c r="AP183" s="134" t="str">
        <f t="shared" si="22"/>
        <v>#REF!</v>
      </c>
      <c r="AQ183" s="134" t="str">
        <f t="shared" si="23"/>
        <v>#REF!</v>
      </c>
      <c r="AR183" s="135" t="str">
        <f>IF(ISNA(VLOOKUP(A183,'Données projet (1)'!$A$61:$I$81,5,0)),0%,VLOOKUP(A183,'Données projet (1)'!$A$61:$I$81,5,0)*VLOOKUP('Données projet (1)'!$B$10,'Paramètres (1)'!$A$1:$I$88,7,0))</f>
        <v>#REF!</v>
      </c>
      <c r="AS183" s="135" t="str">
        <f>IF(ISNA(VLOOKUP(A183,'Données projet (1)'!$A$61:$I$81,6,0)),0%,VLOOKUP(A183,'Données projet (1)'!$A$61:$I$81,6,0)*VLOOKUP('Données projet (1)'!$B$10,'Paramètres (1)'!$A$1:$I$88,7,0))</f>
        <v>#REF!</v>
      </c>
      <c r="AT183" s="135" t="str">
        <f t="shared" si="24"/>
        <v>#REF!</v>
      </c>
      <c r="AU183" s="142" t="str">
        <f>EXP(-LN(2)/35)*AU182+(1-EXP(-LN(2)/35))/(LN(2)/35)*AQ183*AR183*VLOOKUP('Données projet (1)'!$B$10,'Paramètres (1)'!$A$1:$I$88,3,0)*0.475*44/12</f>
        <v>#REF!</v>
      </c>
      <c r="AV183" s="142" t="str">
        <f>EXP(-LN(2)/25)*AV182+(1-EXP(-LN(2)/25))/(LN(2)/25)*'Calculateur (1)'!AQ183*'Calculateur (1)'!AS183*VLOOKUP('Données projet (1)'!$B$10,'Paramètres (1)'!$A$1:$I$88,3,0)*0.475*44/12</f>
        <v>#REF!</v>
      </c>
      <c r="AW183" s="142" t="str">
        <f>EXP(-LN(2)/2)*AW182+(1-EXP(-LN(2)/2))/(LN(2)/2)*AQ183*AT183*VLOOKUP('Données projet (1)'!$B$10,'Paramètres (1)'!$A$1:$I$88,3,0)*0.475*44/12</f>
        <v>#REF!</v>
      </c>
      <c r="AX183" s="142" t="str">
        <f t="shared" si="25"/>
        <v>#REF!</v>
      </c>
      <c r="AY183" s="137" t="str">
        <f t="shared" si="26"/>
        <v>#REF!</v>
      </c>
      <c r="AZ183" s="131">
        <f t="shared" si="27"/>
        <v>10</v>
      </c>
      <c r="BA183" s="131" t="str">
        <f t="shared" si="116"/>
        <v>#REF!</v>
      </c>
      <c r="BB183" s="131" t="str">
        <f t="shared" si="28"/>
        <v>#REF!</v>
      </c>
      <c r="BC183" s="131" t="str">
        <f t="array" ref="BC183">INDEX(BB:BB,MIN(IF(ISNUMBER(BB183:BB379),ROW(BB183:BB379),"")))</f>
        <v/>
      </c>
      <c r="BD183" s="131" t="str">
        <f t="shared" si="117"/>
        <v>#REF!</v>
      </c>
      <c r="BE183" s="130" t="str">
        <f>BD183*VLOOKUP('Données projet (1)'!$B$11,'Paramètres (1)'!$A$1:$I$88,3,0)*VLOOKUP('Données projet (1)'!$B$11,'Paramètres (1)'!$A$1:$I$88,5,0)</f>
        <v>#REF!</v>
      </c>
      <c r="BF183" s="130" t="str">
        <f t="shared" si="118"/>
        <v>#REF!</v>
      </c>
      <c r="BG183" s="141" t="str">
        <f t="shared" si="29"/>
        <v>#REF!</v>
      </c>
      <c r="BH183" s="133" t="str">
        <f t="shared" si="30"/>
        <v>#REF!</v>
      </c>
      <c r="BI183" s="133" t="str">
        <f t="shared" si="31"/>
        <v>#REF!</v>
      </c>
      <c r="BJ183" s="133" t="str">
        <f t="shared" si="119"/>
        <v>#REF!</v>
      </c>
      <c r="BK183" s="134" t="str">
        <f t="shared" si="32"/>
        <v>#REF!</v>
      </c>
      <c r="BL183" s="134" t="str">
        <f t="shared" si="33"/>
        <v>#REF!</v>
      </c>
      <c r="BM183" s="135" t="str">
        <f>IF(ISNA(VLOOKUP(A183,'Données projet (1)'!$A$87:$I$107,5,0)),0%,VLOOKUP(A183,'Données projet (1)'!$A$87:$I$107,5,0)*VLOOKUP('Données projet (1)'!$B$11,'Paramètres (1)'!$A$1:$I$88,7,0))</f>
        <v>#REF!</v>
      </c>
      <c r="BN183" s="135" t="str">
        <f>IF(ISNA(VLOOKUP(A183,'Données projet (1)'!$A$87:$I$107,6,0)),0%,VLOOKUP(A183,'Données projet (1)'!$A$87:$I$107,6,0)*VLOOKUP('Données projet (1)'!$B$11,'Paramètres (1)'!$A$1:$I$88,7,0))</f>
        <v>#REF!</v>
      </c>
      <c r="BO183" s="135" t="str">
        <f t="shared" si="34"/>
        <v>#REF!</v>
      </c>
      <c r="BP183" s="142" t="str">
        <f>EXP(-LN(2)/35)*BP182+(1-EXP(-LN(2)/35))/(LN(2)/35)*BL183*BM183*VLOOKUP('Données projet (1)'!$B$11,'Paramètres (1)'!$A$1:$I$88,3,0)*0.475*44/12</f>
        <v>#REF!</v>
      </c>
      <c r="BQ183" s="142" t="str">
        <f>EXP(-LN(2)/25)*BQ182+(1-EXP(-LN(2)/25))/(LN(2)/25)*'Calculateur (1)'!BL183*'Calculateur (1)'!BN183*VLOOKUP('Données projet (1)'!$B$11,'Paramètres (1)'!$A$1:$I$88,3,0)*0.475*44/12</f>
        <v>#REF!</v>
      </c>
      <c r="BR183" s="142" t="str">
        <f>EXP(-LN(2)/2)*BR182+(1-EXP(-LN(2)/2))/(LN(2)/2)*BL183*BO183*VLOOKUP('Données projet (1)'!$B$11,'Paramètres (1)'!$A$1:$I$88,3,0)*0.475*44/12</f>
        <v>#REF!</v>
      </c>
      <c r="BS183" s="143" t="str">
        <f t="shared" si="35"/>
        <v>#REF!</v>
      </c>
      <c r="BT183" s="139" t="str">
        <f t="shared" si="36"/>
        <v>#REF!</v>
      </c>
      <c r="BU183" s="131">
        <f t="shared" si="37"/>
        <v>10</v>
      </c>
      <c r="BV183" s="131" t="str">
        <f t="shared" si="120"/>
        <v>#REF!</v>
      </c>
      <c r="BW183" s="131" t="str">
        <f t="shared" si="38"/>
        <v>#REF!</v>
      </c>
      <c r="BX183" s="131" t="str">
        <f t="array" ref="BX183">INDEX(BW:BW,MIN(IF(ISNUMBER(BW183:BW379),ROW(BW183:BW379),"")))</f>
        <v/>
      </c>
      <c r="BY183" s="131" t="str">
        <f t="shared" si="121"/>
        <v>#REF!</v>
      </c>
      <c r="BZ183" s="130" t="str">
        <f>BY183*VLOOKUP('Données projet (1)'!$B$12,'Paramètres (1)'!$A$1:$I$88,3,0)*VLOOKUP('Données projet (1)'!$B$12,'Paramètres (1)'!$A$1:$I$88,5,0)</f>
        <v>#REF!</v>
      </c>
      <c r="CA183" s="130" t="str">
        <f t="shared" si="122"/>
        <v>#REF!</v>
      </c>
      <c r="CB183" s="141" t="str">
        <f t="shared" si="39"/>
        <v>#REF!</v>
      </c>
      <c r="CC183" s="133" t="str">
        <f t="shared" si="40"/>
        <v>#REF!</v>
      </c>
      <c r="CD183" s="133" t="str">
        <f t="shared" si="41"/>
        <v>#REF!</v>
      </c>
      <c r="CE183" s="133" t="str">
        <f t="shared" si="123"/>
        <v>#REF!</v>
      </c>
      <c r="CF183" s="134" t="str">
        <f t="shared" si="42"/>
        <v>#REF!</v>
      </c>
      <c r="CG183" s="134" t="str">
        <f t="shared" si="43"/>
        <v>#REF!</v>
      </c>
      <c r="CH183" s="135" t="str">
        <f>IF(ISNA(VLOOKUP(A183,'Données projet (1)'!$A$113:$I$133,5,0)),0%,VLOOKUP(A183,'Données projet (1)'!$A$113:$I$133,5,0)*VLOOKUP('Données projet (1)'!$B$12,'Paramètres (1)'!$A$1:$I$88,7,0))</f>
        <v>#REF!</v>
      </c>
      <c r="CI183" s="135" t="str">
        <f>IF(ISNA(VLOOKUP(A183,'Données projet (1)'!$A$113:$I$133,6,0)),0%,VLOOKUP(A183,'Données projet (1)'!$A$113:$I$133,6,0)*VLOOKUP('Données projet (1)'!$B$12,'Paramètres (1)'!$A$1:$I$88,7,0))</f>
        <v>#REF!</v>
      </c>
      <c r="CJ183" s="135" t="str">
        <f t="shared" si="44"/>
        <v>#REF!</v>
      </c>
      <c r="CK183" s="142" t="str">
        <f>EXP(-LN(2)/35)*CK182+(1-EXP(-LN(2)/35))/(LN(2)/35)*CG183*CH183*VLOOKUP('Données projet (1)'!$B$12,'Paramètres (1)'!$A$1:$I$88,3,0)*0.475*44/12</f>
        <v>#REF!</v>
      </c>
      <c r="CL183" s="142" t="str">
        <f>EXP(-LN(2)/25)*CL182+(1-EXP(-LN(2)/25))/(LN(2)/25)*'Calculateur (1)'!CG183*'Calculateur (1)'!CI183*VLOOKUP('Données projet (1)'!$B$12,'Paramètres (1)'!$A$1:$I$88,3,0)*0.475*44/12</f>
        <v>#REF!</v>
      </c>
      <c r="CM183" s="142" t="str">
        <f>EXP(-LN(2)/2)*CM182+(1-EXP(-LN(2)/2))/(LN(2)/2)*CG183*CJ183*VLOOKUP('Données projet (1)'!$B$12,'Paramètres (1)'!$A$1:$I$88,3,0)*0.475*44/12</f>
        <v>#REF!</v>
      </c>
      <c r="CN183" s="143" t="str">
        <f t="shared" si="45"/>
        <v>#REF!</v>
      </c>
      <c r="CO183" s="139" t="str">
        <f t="shared" si="46"/>
        <v>#REF!</v>
      </c>
      <c r="CP183" s="131">
        <f t="shared" si="47"/>
        <v>10</v>
      </c>
      <c r="CQ183" s="131" t="str">
        <f t="shared" si="124"/>
        <v>#REF!</v>
      </c>
      <c r="CR183" s="131" t="str">
        <f t="shared" si="48"/>
        <v>#REF!</v>
      </c>
      <c r="CS183" s="131" t="str">
        <f t="array" ref="CS183">INDEX(CR:CR,MIN(IF(ISNUMBER(CR183:CR379),ROW(CR183:CR379),"")))</f>
        <v/>
      </c>
      <c r="CT183" s="131" t="str">
        <f t="shared" si="125"/>
        <v>#REF!</v>
      </c>
      <c r="CU183" s="138" t="str">
        <f>CT183*VLOOKUP('Données projet (1)'!$B$13,'Paramètres (1)'!$A$1:$I$88,3,0)*VLOOKUP('Données projet (1)'!$B$13,'Paramètres (1)'!$A$1:$I$88,5,0)</f>
        <v>#REF!</v>
      </c>
      <c r="CV183" s="130" t="str">
        <f t="shared" si="126"/>
        <v>#REF!</v>
      </c>
      <c r="CW183" s="141" t="str">
        <f t="shared" si="49"/>
        <v>#REF!</v>
      </c>
      <c r="CX183" s="133" t="str">
        <f t="shared" si="50"/>
        <v>#REF!</v>
      </c>
      <c r="CY183" s="133" t="str">
        <f t="shared" si="51"/>
        <v>#REF!</v>
      </c>
      <c r="CZ183" s="133" t="str">
        <f t="shared" si="127"/>
        <v>#REF!</v>
      </c>
      <c r="DA183" s="134" t="str">
        <f t="shared" si="52"/>
        <v>#REF!</v>
      </c>
      <c r="DB183" s="134" t="str">
        <f t="shared" si="53"/>
        <v>#REF!</v>
      </c>
      <c r="DC183" s="135" t="str">
        <f>IF(ISNA(VLOOKUP(A183,'Données projet (1)'!$A$139:$I$159,5,0)),0%,VLOOKUP(A183,'Données projet (1)'!$A$139:$I$159,5,0)*VLOOKUP('Données projet (1)'!$B$13,'Paramètres (1)'!$A$1:$I$88,7,0))</f>
        <v>#REF!</v>
      </c>
      <c r="DD183" s="135" t="str">
        <f>IF(ISNA(VLOOKUP(A183,'Données projet (1)'!$A$139:$I$159,6,0)),0%,VLOOKUP(A183,'Données projet (1)'!$A$139:$I$159,6,0)*VLOOKUP('Données projet (1)'!$B$13,'Paramètres (1)'!$A$1:$I$88,7,0))</f>
        <v>#REF!</v>
      </c>
      <c r="DE183" s="135" t="str">
        <f t="shared" si="54"/>
        <v>#REF!</v>
      </c>
      <c r="DF183" s="142" t="str">
        <f>EXP(-LN(2)/35)*DF182+(1-EXP(-LN(2)/35))/(LN(2)/35)*DB183*DC183*VLOOKUP('Données projet (1)'!$B$13,'Paramètres (1)'!$A$1:$I$88,3,0)*0.475*44/12</f>
        <v>#REF!</v>
      </c>
      <c r="DG183" s="142" t="str">
        <f>EXP(-LN(2)/25)*DG182+(1-EXP(-LN(2)/25))/(LN(2)/25)*'Calculateur (1)'!DB183*'Calculateur (1)'!DD183*VLOOKUP('Données projet (1)'!$B$13,'Paramètres (1)'!$A$1:$I$88,3,0)*0.475*44/12</f>
        <v>#REF!</v>
      </c>
      <c r="DH183" s="142" t="str">
        <f>EXP(-LN(2)/2)*DH182+(1-EXP(-LN(2)/2))/(LN(2)/2)*DB183*DE183*VLOOKUP('Données projet (1)'!$B$13,'Paramètres (1)'!$A$1:$I$88,3,0)*0.475*44/12</f>
        <v>#REF!</v>
      </c>
      <c r="DI183" s="143" t="str">
        <f t="shared" si="55"/>
        <v>#REF!</v>
      </c>
      <c r="DJ183" s="139" t="str">
        <f t="shared" si="56"/>
        <v>#REF!</v>
      </c>
      <c r="DK183" s="131">
        <f t="shared" si="57"/>
        <v>10</v>
      </c>
      <c r="DL183" s="131" t="str">
        <f t="shared" si="128"/>
        <v>#REF!</v>
      </c>
      <c r="DM183" s="131" t="str">
        <f t="shared" si="58"/>
        <v>#REF!</v>
      </c>
      <c r="DN183" s="131" t="str">
        <f t="array" ref="DN183">INDEX(DM:DM,MIN(IF(ISNUMBER(DM183:DM379),ROW(DM183:DM379),"")))</f>
        <v/>
      </c>
      <c r="DO183" s="131" t="str">
        <f t="shared" si="129"/>
        <v>#REF!</v>
      </c>
      <c r="DP183" s="138" t="str">
        <f>DO183*VLOOKUP('Données projet (1)'!$B$14,'Paramètres (1)'!$A$1:$I$88,3,0)*VLOOKUP('Données projet (1)'!$B$14,'Paramètres (1)'!$A$1:$I$88,5,0)</f>
        <v>#REF!</v>
      </c>
      <c r="DQ183" s="130" t="str">
        <f t="shared" si="130"/>
        <v>#REF!</v>
      </c>
      <c r="DR183" s="141" t="str">
        <f t="shared" si="59"/>
        <v>#REF!</v>
      </c>
      <c r="DS183" s="133" t="str">
        <f t="shared" si="60"/>
        <v>#REF!</v>
      </c>
      <c r="DT183" s="133" t="str">
        <f t="shared" si="61"/>
        <v>#REF!</v>
      </c>
      <c r="DU183" s="133" t="str">
        <f t="shared" si="131"/>
        <v>#REF!</v>
      </c>
      <c r="DV183" s="134" t="str">
        <f t="shared" si="62"/>
        <v>#REF!</v>
      </c>
      <c r="DW183" s="134" t="str">
        <f t="shared" si="63"/>
        <v>#REF!</v>
      </c>
      <c r="DX183" s="135" t="str">
        <f>IF(ISNA(VLOOKUP(A183,'Données projet (1)'!$A$165:$I$185,5,0)),0%,VLOOKUP(A183,'Données projet (1)'!$A$165:$I$185,5,0)*VLOOKUP('Données projet (1)'!$B$14,'Paramètres (1)'!$A$1:$I$88,7,0))</f>
        <v>#REF!</v>
      </c>
      <c r="DY183" s="135" t="str">
        <f>IF(ISNA(VLOOKUP(A183,'Données projet (1)'!$A$165:$I$185,6,0)),0%,VLOOKUP(A183,'Données projet (1)'!$A$165:$I$185,6,0)*VLOOKUP('Données projet (1)'!$B$14,'Paramètres (1)'!$A$1:$I$88,7,0))</f>
        <v>#REF!</v>
      </c>
      <c r="DZ183" s="135" t="str">
        <f t="shared" si="64"/>
        <v>#REF!</v>
      </c>
      <c r="EA183" s="142" t="str">
        <f>EXP(-LN(2)/35)*EA182+(1-EXP(-LN(2)/35))/(LN(2)/35)*DW183*DX183*VLOOKUP('Données projet (1)'!$B$14,'Paramètres (1)'!$A$1:$I$88,3,0)*0.475*44/12</f>
        <v>#REF!</v>
      </c>
      <c r="EB183" s="142" t="str">
        <f>EXP(-LN(2)/25)*EB182+(1-EXP(-LN(2)/25))/(LN(2)/25)*'Calculateur (1)'!DW183*'Calculateur (1)'!DY183*VLOOKUP('Données projet (1)'!$B$14,'Paramètres (1)'!$A$1:$I$88,3,0)*0.475*44/12</f>
        <v>#REF!</v>
      </c>
      <c r="EC183" s="142" t="str">
        <f>EXP(-LN(2)/2)*EC182+(1-EXP(-LN(2)/2))/(LN(2)/2)*DW183*DZ183*VLOOKUP('Données projet (1)'!$B$14,'Paramètres (1)'!$A$1:$I$88,3,0)*0.475*44/12</f>
        <v>#REF!</v>
      </c>
      <c r="ED183" s="143" t="str">
        <f t="shared" si="65"/>
        <v>#REF!</v>
      </c>
      <c r="EE183" s="139" t="str">
        <f t="shared" si="66"/>
        <v>#REF!</v>
      </c>
      <c r="EF183" s="131">
        <f t="shared" si="67"/>
        <v>10</v>
      </c>
      <c r="EG183" s="131" t="str">
        <f t="shared" si="132"/>
        <v>#REF!</v>
      </c>
      <c r="EH183" s="131" t="str">
        <f t="shared" si="68"/>
        <v>#REF!</v>
      </c>
      <c r="EI183" s="131" t="str">
        <f t="array" ref="EI183">INDEX(EH:EH,MIN(IF(ISNUMBER(EH183:EH379),ROW(EH183:EH379),"")))</f>
        <v/>
      </c>
      <c r="EJ183" s="131" t="str">
        <f t="shared" si="133"/>
        <v>#REF!</v>
      </c>
      <c r="EK183" s="138" t="str">
        <f>EJ183*VLOOKUP('Données projet (1)'!$B$15,'Paramètres (1)'!$A$1:$I$88,3,0)*VLOOKUP('Données projet (1)'!$B$15,'Paramètres (1)'!$A$1:$I$88,5,0)</f>
        <v>#REF!</v>
      </c>
      <c r="EL183" s="130" t="str">
        <f t="shared" si="134"/>
        <v>#REF!</v>
      </c>
      <c r="EM183" s="141" t="str">
        <f t="shared" si="69"/>
        <v>#REF!</v>
      </c>
      <c r="EN183" s="133" t="str">
        <f t="shared" si="70"/>
        <v>#REF!</v>
      </c>
      <c r="EO183" s="133" t="str">
        <f t="shared" si="71"/>
        <v>#REF!</v>
      </c>
      <c r="EP183" s="133" t="str">
        <f t="shared" si="135"/>
        <v>#REF!</v>
      </c>
      <c r="EQ183" s="134" t="str">
        <f t="shared" si="72"/>
        <v>#REF!</v>
      </c>
      <c r="ER183" s="134" t="str">
        <f t="shared" si="73"/>
        <v>#REF!</v>
      </c>
      <c r="ES183" s="135" t="str">
        <f>IF(ISNA(VLOOKUP(A183,'Données projet (1)'!$A$191:$I$211,5,0)),0%,VLOOKUP(A183,'Données projet (1)'!$A$191:$I$211,5,0)*VLOOKUP('Données projet (1)'!$B$15,'Paramètres (1)'!$A$1:$I$88,7,0))</f>
        <v>#REF!</v>
      </c>
      <c r="ET183" s="135" t="str">
        <f>IF(ISNA(VLOOKUP(A183,'Données projet (1)'!$A$191:$I$211,6,0)),0%,VLOOKUP(A183,'Données projet (1)'!$A$191:$I$211,6,0)*VLOOKUP('Données projet (1)'!$B$15,'Paramètres (1)'!$A$1:$I$88,7,0))</f>
        <v>#REF!</v>
      </c>
      <c r="EU183" s="135" t="str">
        <f t="shared" si="74"/>
        <v>#REF!</v>
      </c>
      <c r="EV183" s="142" t="str">
        <f>EXP(-LN(2)/35)*EV182+(1-EXP(-LN(2)/35))/(LN(2)/35)*ER183*ES183*VLOOKUP('Données projet (1)'!$B$15,'Paramètres (1)'!$A$1:$I$88,3,0)*0.475*44/12</f>
        <v>#REF!</v>
      </c>
      <c r="EW183" s="142" t="str">
        <f>EXP(-LN(2)/25)*EW182+(1-EXP(-LN(2)/25))/(LN(2)/25)*'Calculateur (1)'!ER183*'Calculateur (1)'!ET183*VLOOKUP('Données projet (1)'!$B$15,'Paramètres (1)'!$A$1:$I$88,3,0)*0.475*44/12</f>
        <v>#REF!</v>
      </c>
      <c r="EX183" s="142" t="str">
        <f>EXP(-LN(2)/2)*EX182+(1-EXP(-LN(2)/2))/(LN(2)/2)*ER183*EU183*VLOOKUP('Données projet (1)'!$B$15,'Paramètres (1)'!$A$1:$I$88,3,0)*0.475*44/12</f>
        <v>#REF!</v>
      </c>
      <c r="EY183" s="143" t="str">
        <f t="shared" si="75"/>
        <v>#REF!</v>
      </c>
      <c r="EZ183" s="139" t="str">
        <f t="shared" si="76"/>
        <v>#REF!</v>
      </c>
      <c r="FA183" s="131">
        <f t="shared" si="77"/>
        <v>10</v>
      </c>
      <c r="FB183" s="131" t="str">
        <f t="shared" si="136"/>
        <v>#REF!</v>
      </c>
      <c r="FC183" s="131" t="str">
        <f t="shared" si="78"/>
        <v>#REF!</v>
      </c>
      <c r="FD183" s="131" t="str">
        <f t="array" ref="FD183">INDEX(FC:FC,MIN(IF(ISNUMBER(FC183:FC379),ROW(FC183:FC379),"")))</f>
        <v/>
      </c>
      <c r="FE183" s="131" t="str">
        <f t="shared" si="137"/>
        <v>#REF!</v>
      </c>
      <c r="FF183" s="138" t="str">
        <f>FE183*VLOOKUP('Données projet (1)'!$B$16,'Paramètres (1)'!$A$1:$I$88,3,0)*VLOOKUP('Données projet (1)'!$B$16,'Paramètres (1)'!$A$1:$I$88,5,0)</f>
        <v>#REF!</v>
      </c>
      <c r="FG183" s="130" t="str">
        <f t="shared" si="138"/>
        <v>#REF!</v>
      </c>
      <c r="FH183" s="141" t="str">
        <f t="shared" si="79"/>
        <v>#REF!</v>
      </c>
      <c r="FI183" s="133" t="str">
        <f t="shared" si="80"/>
        <v>#REF!</v>
      </c>
      <c r="FJ183" s="133" t="str">
        <f t="shared" si="81"/>
        <v>#REF!</v>
      </c>
      <c r="FK183" s="133" t="str">
        <f t="shared" si="139"/>
        <v>#REF!</v>
      </c>
      <c r="FL183" s="134" t="str">
        <f t="shared" si="82"/>
        <v>#REF!</v>
      </c>
      <c r="FM183" s="134" t="str">
        <f t="shared" si="83"/>
        <v>#REF!</v>
      </c>
      <c r="FN183" s="135" t="str">
        <f>IF(ISNA(VLOOKUP(A183,'Données projet (1)'!$A$217:$I$237,5,0)),0%,VLOOKUP(A183,'Données projet (1)'!$A$217:$I$237,5,0)*VLOOKUP('Données projet (1)'!$B$16,'Paramètres (1)'!$A$1:$I$88,7,0))</f>
        <v>#REF!</v>
      </c>
      <c r="FO183" s="135" t="str">
        <f>IF(ISNA(VLOOKUP(A183,'Données projet (1)'!$A$217:$I$237,6,0)),0%,VLOOKUP(A183,'Données projet (1)'!$A$217:$I$237,6,0)*VLOOKUP('Données projet (1)'!$B$16,'Paramètres (1)'!$A$1:$I$88,7,0))</f>
        <v>#REF!</v>
      </c>
      <c r="FP183" s="135" t="str">
        <f t="shared" si="84"/>
        <v>#REF!</v>
      </c>
      <c r="FQ183" s="142" t="str">
        <f>EXP(-LN(2)/35)*FQ182+(1-EXP(-LN(2)/35))/(LN(2)/35)*FM183*FN183*VLOOKUP('Données projet (1)'!$B$16,'Paramètres (1)'!$A$1:$I$88,3,0)*0.475*44/12</f>
        <v>#REF!</v>
      </c>
      <c r="FR183" s="142" t="str">
        <f>EXP(-LN(2)/25)*FR182+(1-EXP(-LN(2)/25))/(LN(2)/25)*'Calculateur (1)'!FM183*'Calculateur (1)'!FO183*VLOOKUP('Données projet (1)'!$B$16,'Paramètres (1)'!$A$1:$I$88,3,0)*0.475*44/12</f>
        <v>#REF!</v>
      </c>
      <c r="FS183" s="142" t="str">
        <f>EXP(-LN(2)/2)*FS182+(1-EXP(-LN(2)/2))/(LN(2)/2)*FM183*FP183*VLOOKUP('Données projet (1)'!$B$16,'Paramètres (1)'!$A$1:$I$88,3,0)*0.475*44/12</f>
        <v>#REF!</v>
      </c>
      <c r="FT183" s="143" t="str">
        <f t="shared" si="85"/>
        <v>#REF!</v>
      </c>
      <c r="FU183" s="139" t="str">
        <f t="shared" si="86"/>
        <v>#REF!</v>
      </c>
      <c r="FV183" s="131">
        <f t="shared" si="87"/>
        <v>10</v>
      </c>
      <c r="FW183" s="131" t="str">
        <f t="shared" si="140"/>
        <v>#REF!</v>
      </c>
      <c r="FX183" s="131" t="str">
        <f t="shared" si="88"/>
        <v>#REF!</v>
      </c>
      <c r="FY183" s="131" t="str">
        <f t="array" ref="FY183">INDEX(FX:FX,MIN(IF(ISNUMBER(FX183:FX379),ROW(FX183:FX379),"")))</f>
        <v/>
      </c>
      <c r="FZ183" s="131" t="str">
        <f t="shared" si="141"/>
        <v>#REF!</v>
      </c>
      <c r="GA183" s="138" t="str">
        <f>FZ183*VLOOKUP('Données projet (1)'!$B$17,'Paramètres (1)'!$A$1:$I$88,3,0)*VLOOKUP('Données projet (1)'!$B$17,'Paramètres (1)'!$A$1:$I$88,5,0)</f>
        <v>#REF!</v>
      </c>
      <c r="GB183" s="130" t="str">
        <f t="shared" si="142"/>
        <v>#REF!</v>
      </c>
      <c r="GC183" s="141" t="str">
        <f t="shared" si="89"/>
        <v>#REF!</v>
      </c>
      <c r="GD183" s="133" t="str">
        <f t="shared" si="90"/>
        <v>#REF!</v>
      </c>
      <c r="GE183" s="133" t="str">
        <f t="shared" si="91"/>
        <v>#REF!</v>
      </c>
      <c r="GF183" s="133" t="str">
        <f t="shared" si="143"/>
        <v>#REF!</v>
      </c>
      <c r="GG183" s="134" t="str">
        <f t="shared" si="92"/>
        <v>#REF!</v>
      </c>
      <c r="GH183" s="134" t="str">
        <f t="shared" si="93"/>
        <v>#REF!</v>
      </c>
      <c r="GI183" s="135" t="str">
        <f>IF(ISNA(VLOOKUP(A183,'Données projet (1)'!$A$243:$I$263,5,0)),0%,VLOOKUP(A183,'Données projet (1)'!$A$243:$I$263,5,0)*VLOOKUP('Données projet (1)'!$B$17,'Paramètres (1)'!$A$1:$I$88,7,0))</f>
        <v>#REF!</v>
      </c>
      <c r="GJ183" s="135" t="str">
        <f>IF(ISNA(VLOOKUP(A183,'Données projet (1)'!$A$243:$I$263,6,0)),0%,VLOOKUP(A183,'Données projet (1)'!$A$243:$I$263,6,0)*VLOOKUP('Données projet (1)'!$B$17,'Paramètres (1)'!$A$1:$I$88,7,0))</f>
        <v>#REF!</v>
      </c>
      <c r="GK183" s="135" t="str">
        <f t="shared" si="94"/>
        <v>#REF!</v>
      </c>
      <c r="GL183" s="142" t="str">
        <f>EXP(-LN(2)/35)*GL182+(1-EXP(-LN(2)/35))/(LN(2)/35)*GH183*GI183*VLOOKUP('Données projet (1)'!$B$17,'Paramètres (1)'!$A$1:$I$88,3,0)*0.475*44/12</f>
        <v>#REF!</v>
      </c>
      <c r="GM183" s="142" t="str">
        <f>EXP(-LN(2)/25)*GM182+(1-EXP(-LN(2)/25))/(LN(2)/25)*'Calculateur (1)'!GH183*'Calculateur (1)'!GJ183*VLOOKUP('Données projet (1)'!$B$17,'Paramètres (1)'!$A$1:$I$88,3,0)*0.475*44/12</f>
        <v>#REF!</v>
      </c>
      <c r="GN183" s="142" t="str">
        <f>EXP(-LN(2)/2)*GN182+(1-EXP(-LN(2)/2))/(LN(2)/2)*GH183*GK183*VLOOKUP('Données projet (1)'!$B$17,'Paramètres (1)'!$A$1:$I$88,3,0)*0.475*44/12</f>
        <v>#REF!</v>
      </c>
      <c r="GO183" s="142" t="str">
        <f t="shared" si="95"/>
        <v>#REF!</v>
      </c>
      <c r="GP183" s="139" t="str">
        <f t="shared" si="96"/>
        <v>#REF!</v>
      </c>
      <c r="GQ183" s="131">
        <f t="shared" si="97"/>
        <v>10</v>
      </c>
      <c r="GR183" s="131" t="str">
        <f t="shared" si="144"/>
        <v>#REF!</v>
      </c>
      <c r="GS183" s="131" t="str">
        <f t="shared" si="98"/>
        <v>#REF!</v>
      </c>
      <c r="GT183" s="131" t="str">
        <f t="array" ref="GT183">INDEX(GS:GS,MIN(IF(ISNUMBER(GS183:GS379),ROW(GS183:GS379),"")))</f>
        <v/>
      </c>
      <c r="GU183" s="131" t="str">
        <f t="shared" si="145"/>
        <v>#REF!</v>
      </c>
      <c r="GV183" s="138" t="str">
        <f>GU183*VLOOKUP('Données projet (1)'!$B$18,'Paramètres (1)'!$A$1:$I$88,3,0)*VLOOKUP('Données projet (1)'!$B$18,'Paramètres (1)'!$A$1:$I$88,5,0)</f>
        <v>#REF!</v>
      </c>
      <c r="GW183" s="130" t="str">
        <f t="shared" si="146"/>
        <v>#REF!</v>
      </c>
      <c r="GX183" s="141" t="str">
        <f t="shared" si="99"/>
        <v>#REF!</v>
      </c>
      <c r="GY183" s="133" t="str">
        <f t="shared" si="100"/>
        <v>#REF!</v>
      </c>
      <c r="GZ183" s="133" t="str">
        <f t="shared" si="101"/>
        <v>#REF!</v>
      </c>
      <c r="HA183" s="133" t="str">
        <f t="shared" si="147"/>
        <v>#REF!</v>
      </c>
      <c r="HB183" s="134" t="str">
        <f t="shared" si="102"/>
        <v>#REF!</v>
      </c>
      <c r="HC183" s="134" t="str">
        <f t="shared" si="103"/>
        <v>#REF!</v>
      </c>
      <c r="HD183" s="135" t="str">
        <f>IF(ISNA(VLOOKUP(A183,'Données projet (1)'!$A$269:$I$289,5,0)),0%,VLOOKUP(A183,'Données projet (1)'!$A$269:$I$289,5,0)*VLOOKUP('Données projet (1)'!$B$18,'Paramètres (1)'!$A$1:$I$88,7,0))</f>
        <v>#REF!</v>
      </c>
      <c r="HE183" s="135" t="str">
        <f>IF(ISNA(VLOOKUP(A183,'Données projet (1)'!$A$269:$I$289,6,0)),0%,VLOOKUP(A183,'Données projet (1)'!$A$269:$I$289,6,0)*VLOOKUP('Données projet (1)'!$B$18,'Paramètres (1)'!$A$1:$I$88,7,0))</f>
        <v>#REF!</v>
      </c>
      <c r="HF183" s="135" t="str">
        <f t="shared" si="104"/>
        <v>#REF!</v>
      </c>
      <c r="HG183" s="142" t="str">
        <f>EXP(-LN(2)/35)*HG182+(1-EXP(-LN(2)/35))/(LN(2)/35)*HC183*HD183*VLOOKUP('Données projet (1)'!$B$18,'Paramètres (1)'!$A$1:$I$88,3,0)*0.475*44/12</f>
        <v>#REF!</v>
      </c>
      <c r="HH183" s="142" t="str">
        <f>EXP(-LN(2)/25)*HH182+(1-EXP(-LN(2)/25))/(LN(2)/25)*'Calculateur (1)'!HC183*'Calculateur (1)'!HE183*VLOOKUP('Données projet (1)'!$B$18,'Paramètres (1)'!$A$1:$I$88,3,0)*0.475*44/12</f>
        <v>#REF!</v>
      </c>
      <c r="HI183" s="142" t="str">
        <f>EXP(-LN(2)/2)*HI182+(1-EXP(-LN(2)/2))/(LN(2)/2)*HC183*HF183*VLOOKUP('Données projet (1)'!$B$18,'Paramètres (1)'!$A$1:$I$88,3,0)*0.475*44/12</f>
        <v>#REF!</v>
      </c>
      <c r="HJ183" s="143" t="str">
        <f t="shared" si="105"/>
        <v>#REF!</v>
      </c>
    </row>
    <row r="184" ht="14.25" customHeight="1">
      <c r="A184" s="125">
        <f t="shared" si="106"/>
        <v>181</v>
      </c>
      <c r="B184" s="126" t="str">
        <f t="shared" si="1"/>
        <v>#REF!</v>
      </c>
      <c r="C184" s="140" t="str">
        <f>'Calculateur (1)'!C183+'Scénario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4" s="127">
        <f t="shared" si="107"/>
        <v>0</v>
      </c>
      <c r="E184" s="127" t="str">
        <f t="shared" si="2"/>
        <v>#REF!</v>
      </c>
      <c r="F184" s="127" t="str">
        <f t="shared" si="3"/>
        <v>#REF!</v>
      </c>
      <c r="G184" s="127" t="str">
        <f t="shared" si="4"/>
        <v>#REF!</v>
      </c>
      <c r="H184" s="128" t="str">
        <f t="shared" si="5"/>
        <v>#REF!</v>
      </c>
      <c r="I184" s="129" t="str">
        <f t="shared" si="6"/>
        <v>#REF!</v>
      </c>
      <c r="J184" s="130">
        <f t="shared" si="7"/>
        <v>10</v>
      </c>
      <c r="K184" s="131" t="str">
        <f t="shared" si="108"/>
        <v>#REF!</v>
      </c>
      <c r="L184" s="131" t="str">
        <f t="shared" si="8"/>
        <v>#REF!</v>
      </c>
      <c r="M184" s="131" t="str">
        <f t="array" ref="M184">INDEX(L:L,MIN(IF(ISNUMBER(L184:L380),ROW(L184:L380),"")))</f>
        <v/>
      </c>
      <c r="N184" s="130" t="str">
        <f t="shared" si="109"/>
        <v>#REF!</v>
      </c>
      <c r="O184" s="130" t="str">
        <f>N184*VLOOKUP('Données projet (1)'!$B$9,'Paramètres (1)'!$A$1:$I$88,3,0)*VLOOKUP('Données projet (1)'!$B$9,'Paramètres (1)'!$A$1:$I$88,5,0)</f>
        <v>#REF!</v>
      </c>
      <c r="P184" s="130" t="str">
        <f t="shared" si="110"/>
        <v>#REF!</v>
      </c>
      <c r="Q184" s="141" t="str">
        <f t="shared" si="9"/>
        <v>#REF!</v>
      </c>
      <c r="R184" s="133" t="str">
        <f t="shared" si="10"/>
        <v>#REF!</v>
      </c>
      <c r="S184" s="133" t="str">
        <f t="shared" si="11"/>
        <v>#REF!</v>
      </c>
      <c r="T184" s="133" t="str">
        <f t="shared" si="111"/>
        <v>#REF!</v>
      </c>
      <c r="U184" s="134" t="str">
        <f t="shared" si="12"/>
        <v>#REF!</v>
      </c>
      <c r="V184" s="134" t="str">
        <f t="shared" si="13"/>
        <v>#REF!</v>
      </c>
      <c r="W184" s="135" t="str">
        <f>IF(ISNA(VLOOKUP(A184,'Données projet (1)'!$A$35:$I$55,5,0)),0%,VLOOKUP(A184,'Données projet (1)'!$A$35:$I$55,5,0)*VLOOKUP('Données projet (1)'!$B$9,'Paramètres (1)'!$A$1:$I$88,7,0))</f>
        <v>#REF!</v>
      </c>
      <c r="X184" s="135" t="str">
        <f>IF(ISNA(VLOOKUP(A184,'Données projet (1)'!$A$35:$I$55,6,0)),0%,VLOOKUP(A184,'Données projet (1)'!$A$35:$I$55,6,0)*VLOOKUP('Données projet (1)'!$B$9,'Paramètres (1)'!$A$1:$I$88,7,0))</f>
        <v>#REF!</v>
      </c>
      <c r="Y184" s="135" t="str">
        <f t="shared" si="14"/>
        <v>#REF!</v>
      </c>
      <c r="Z184" s="142" t="str">
        <f>EXP(-LN(2)/35)*Z183+(1-EXP(-LN(2)/35))/(LN(2)/35)*V184*W184*VLOOKUP('Données projet (1)'!$B$9,'Paramètres (1)'!$A$1:$I$88,3,0)*0.475*44/12</f>
        <v>#REF!</v>
      </c>
      <c r="AA184" s="142" t="str">
        <f>EXP(-LN(2)/25)*AA183+(1-EXP(-LN(2)/25))/(LN(2)/25)*'Calculateur (1)'!V184*'Calculateur (1)'!X184*VLOOKUP('Données projet (1)'!$B$9,'Paramètres (1)'!$A$1:$I$88,3,0)*0.475*44/12</f>
        <v>#REF!</v>
      </c>
      <c r="AB184" s="142" t="str">
        <f>EXP(-LN(2)/2)*AB183+(1-EXP(-LN(2)/2))/(LN(2)/2)*V184*Y184*VLOOKUP('Données projet (1)'!$B$9,'Paramètres (1)'!$A$1:$I$88,3,0)*0.475*44/12</f>
        <v>#REF!</v>
      </c>
      <c r="AC184" s="143" t="str">
        <f t="shared" si="15"/>
        <v>#REF!</v>
      </c>
      <c r="AD184" s="130" t="str">
        <f t="shared" si="16"/>
        <v>#REF!</v>
      </c>
      <c r="AE184" s="130">
        <f t="shared" si="17"/>
        <v>10</v>
      </c>
      <c r="AF184" s="131" t="str">
        <f t="shared" si="112"/>
        <v>#REF!</v>
      </c>
      <c r="AG184" s="131" t="str">
        <f t="shared" si="18"/>
        <v>#REF!</v>
      </c>
      <c r="AH184" s="131" t="str">
        <f t="array" ref="AH184">INDEX(AG:AG,MIN(IF(ISNUMBER(AG184:AG380),ROW(AG184:AG380),"")))</f>
        <v/>
      </c>
      <c r="AI184" s="130" t="str">
        <f t="shared" si="113"/>
        <v>#REF!</v>
      </c>
      <c r="AJ184" s="130" t="str">
        <f>AI184*VLOOKUP('Données projet (1)'!$B$10,'Paramètres (1)'!$A$1:$I$88,3,0)*VLOOKUP('Données projet (1)'!$B$10,'Paramètres (1)'!$A$1:$I$88,5,0)</f>
        <v>#REF!</v>
      </c>
      <c r="AK184" s="130" t="str">
        <f t="shared" si="114"/>
        <v>#REF!</v>
      </c>
      <c r="AL184" s="141" t="str">
        <f t="shared" si="19"/>
        <v>#REF!</v>
      </c>
      <c r="AM184" s="133" t="str">
        <f t="shared" si="20"/>
        <v>#REF!</v>
      </c>
      <c r="AN184" s="133" t="str">
        <f t="shared" si="21"/>
        <v>#REF!</v>
      </c>
      <c r="AO184" s="133" t="str">
        <f t="shared" si="115"/>
        <v>#REF!</v>
      </c>
      <c r="AP184" s="134" t="str">
        <f t="shared" si="22"/>
        <v>#REF!</v>
      </c>
      <c r="AQ184" s="134" t="str">
        <f t="shared" si="23"/>
        <v>#REF!</v>
      </c>
      <c r="AR184" s="135" t="str">
        <f>IF(ISNA(VLOOKUP(A184,'Données projet (1)'!$A$61:$I$81,5,0)),0%,VLOOKUP(A184,'Données projet (1)'!$A$61:$I$81,5,0)*VLOOKUP('Données projet (1)'!$B$10,'Paramètres (1)'!$A$1:$I$88,7,0))</f>
        <v>#REF!</v>
      </c>
      <c r="AS184" s="135" t="str">
        <f>IF(ISNA(VLOOKUP(A184,'Données projet (1)'!$A$61:$I$81,6,0)),0%,VLOOKUP(A184,'Données projet (1)'!$A$61:$I$81,6,0)*VLOOKUP('Données projet (1)'!$B$10,'Paramètres (1)'!$A$1:$I$88,7,0))</f>
        <v>#REF!</v>
      </c>
      <c r="AT184" s="135" t="str">
        <f t="shared" si="24"/>
        <v>#REF!</v>
      </c>
      <c r="AU184" s="142" t="str">
        <f>EXP(-LN(2)/35)*AU183+(1-EXP(-LN(2)/35))/(LN(2)/35)*AQ184*AR184*VLOOKUP('Données projet (1)'!$B$10,'Paramètres (1)'!$A$1:$I$88,3,0)*0.475*44/12</f>
        <v>#REF!</v>
      </c>
      <c r="AV184" s="142" t="str">
        <f>EXP(-LN(2)/25)*AV183+(1-EXP(-LN(2)/25))/(LN(2)/25)*'Calculateur (1)'!AQ184*'Calculateur (1)'!AS184*VLOOKUP('Données projet (1)'!$B$10,'Paramètres (1)'!$A$1:$I$88,3,0)*0.475*44/12</f>
        <v>#REF!</v>
      </c>
      <c r="AW184" s="142" t="str">
        <f>EXP(-LN(2)/2)*AW183+(1-EXP(-LN(2)/2))/(LN(2)/2)*AQ184*AT184*VLOOKUP('Données projet (1)'!$B$10,'Paramètres (1)'!$A$1:$I$88,3,0)*0.475*44/12</f>
        <v>#REF!</v>
      </c>
      <c r="AX184" s="142" t="str">
        <f t="shared" si="25"/>
        <v>#REF!</v>
      </c>
      <c r="AY184" s="137" t="str">
        <f t="shared" si="26"/>
        <v>#REF!</v>
      </c>
      <c r="AZ184" s="131">
        <f t="shared" si="27"/>
        <v>10</v>
      </c>
      <c r="BA184" s="131" t="str">
        <f t="shared" si="116"/>
        <v>#REF!</v>
      </c>
      <c r="BB184" s="131" t="str">
        <f t="shared" si="28"/>
        <v>#REF!</v>
      </c>
      <c r="BC184" s="131" t="str">
        <f t="array" ref="BC184">INDEX(BB:BB,MIN(IF(ISNUMBER(BB184:BB380),ROW(BB184:BB380),"")))</f>
        <v/>
      </c>
      <c r="BD184" s="131" t="str">
        <f t="shared" si="117"/>
        <v>#REF!</v>
      </c>
      <c r="BE184" s="130" t="str">
        <f>BD184*VLOOKUP('Données projet (1)'!$B$11,'Paramètres (1)'!$A$1:$I$88,3,0)*VLOOKUP('Données projet (1)'!$B$11,'Paramètres (1)'!$A$1:$I$88,5,0)</f>
        <v>#REF!</v>
      </c>
      <c r="BF184" s="130" t="str">
        <f t="shared" si="118"/>
        <v>#REF!</v>
      </c>
      <c r="BG184" s="141" t="str">
        <f t="shared" si="29"/>
        <v>#REF!</v>
      </c>
      <c r="BH184" s="133" t="str">
        <f t="shared" si="30"/>
        <v>#REF!</v>
      </c>
      <c r="BI184" s="133" t="str">
        <f t="shared" si="31"/>
        <v>#REF!</v>
      </c>
      <c r="BJ184" s="133" t="str">
        <f t="shared" si="119"/>
        <v>#REF!</v>
      </c>
      <c r="BK184" s="134" t="str">
        <f t="shared" si="32"/>
        <v>#REF!</v>
      </c>
      <c r="BL184" s="134" t="str">
        <f t="shared" si="33"/>
        <v>#REF!</v>
      </c>
      <c r="BM184" s="135" t="str">
        <f>IF(ISNA(VLOOKUP(A184,'Données projet (1)'!$A$87:$I$107,5,0)),0%,VLOOKUP(A184,'Données projet (1)'!$A$87:$I$107,5,0)*VLOOKUP('Données projet (1)'!$B$11,'Paramètres (1)'!$A$1:$I$88,7,0))</f>
        <v>#REF!</v>
      </c>
      <c r="BN184" s="135" t="str">
        <f>IF(ISNA(VLOOKUP(A184,'Données projet (1)'!$A$87:$I$107,6,0)),0%,VLOOKUP(A184,'Données projet (1)'!$A$87:$I$107,6,0)*VLOOKUP('Données projet (1)'!$B$11,'Paramètres (1)'!$A$1:$I$88,7,0))</f>
        <v>#REF!</v>
      </c>
      <c r="BO184" s="135" t="str">
        <f t="shared" si="34"/>
        <v>#REF!</v>
      </c>
      <c r="BP184" s="142" t="str">
        <f>EXP(-LN(2)/35)*BP183+(1-EXP(-LN(2)/35))/(LN(2)/35)*BL184*BM184*VLOOKUP('Données projet (1)'!$B$11,'Paramètres (1)'!$A$1:$I$88,3,0)*0.475*44/12</f>
        <v>#REF!</v>
      </c>
      <c r="BQ184" s="142" t="str">
        <f>EXP(-LN(2)/25)*BQ183+(1-EXP(-LN(2)/25))/(LN(2)/25)*'Calculateur (1)'!BL184*'Calculateur (1)'!BN184*VLOOKUP('Données projet (1)'!$B$11,'Paramètres (1)'!$A$1:$I$88,3,0)*0.475*44/12</f>
        <v>#REF!</v>
      </c>
      <c r="BR184" s="142" t="str">
        <f>EXP(-LN(2)/2)*BR183+(1-EXP(-LN(2)/2))/(LN(2)/2)*BL184*BO184*VLOOKUP('Données projet (1)'!$B$11,'Paramètres (1)'!$A$1:$I$88,3,0)*0.475*44/12</f>
        <v>#REF!</v>
      </c>
      <c r="BS184" s="143" t="str">
        <f t="shared" si="35"/>
        <v>#REF!</v>
      </c>
      <c r="BT184" s="139" t="str">
        <f t="shared" si="36"/>
        <v>#REF!</v>
      </c>
      <c r="BU184" s="131">
        <f t="shared" si="37"/>
        <v>10</v>
      </c>
      <c r="BV184" s="131" t="str">
        <f t="shared" si="120"/>
        <v>#REF!</v>
      </c>
      <c r="BW184" s="131" t="str">
        <f t="shared" si="38"/>
        <v>#REF!</v>
      </c>
      <c r="BX184" s="131" t="str">
        <f t="array" ref="BX184">INDEX(BW:BW,MIN(IF(ISNUMBER(BW184:BW380),ROW(BW184:BW380),"")))</f>
        <v/>
      </c>
      <c r="BY184" s="131" t="str">
        <f t="shared" si="121"/>
        <v>#REF!</v>
      </c>
      <c r="BZ184" s="130" t="str">
        <f>BY184*VLOOKUP('Données projet (1)'!$B$12,'Paramètres (1)'!$A$1:$I$88,3,0)*VLOOKUP('Données projet (1)'!$B$12,'Paramètres (1)'!$A$1:$I$88,5,0)</f>
        <v>#REF!</v>
      </c>
      <c r="CA184" s="130" t="str">
        <f t="shared" si="122"/>
        <v>#REF!</v>
      </c>
      <c r="CB184" s="141" t="str">
        <f t="shared" si="39"/>
        <v>#REF!</v>
      </c>
      <c r="CC184" s="133" t="str">
        <f t="shared" si="40"/>
        <v>#REF!</v>
      </c>
      <c r="CD184" s="133" t="str">
        <f t="shared" si="41"/>
        <v>#REF!</v>
      </c>
      <c r="CE184" s="133" t="str">
        <f t="shared" si="123"/>
        <v>#REF!</v>
      </c>
      <c r="CF184" s="134" t="str">
        <f t="shared" si="42"/>
        <v>#REF!</v>
      </c>
      <c r="CG184" s="134" t="str">
        <f t="shared" si="43"/>
        <v>#REF!</v>
      </c>
      <c r="CH184" s="135" t="str">
        <f>IF(ISNA(VLOOKUP(A184,'Données projet (1)'!$A$113:$I$133,5,0)),0%,VLOOKUP(A184,'Données projet (1)'!$A$113:$I$133,5,0)*VLOOKUP('Données projet (1)'!$B$12,'Paramètres (1)'!$A$1:$I$88,7,0))</f>
        <v>#REF!</v>
      </c>
      <c r="CI184" s="135" t="str">
        <f>IF(ISNA(VLOOKUP(A184,'Données projet (1)'!$A$113:$I$133,6,0)),0%,VLOOKUP(A184,'Données projet (1)'!$A$113:$I$133,6,0)*VLOOKUP('Données projet (1)'!$B$12,'Paramètres (1)'!$A$1:$I$88,7,0))</f>
        <v>#REF!</v>
      </c>
      <c r="CJ184" s="135" t="str">
        <f t="shared" si="44"/>
        <v>#REF!</v>
      </c>
      <c r="CK184" s="142" t="str">
        <f>EXP(-LN(2)/35)*CK183+(1-EXP(-LN(2)/35))/(LN(2)/35)*CG184*CH184*VLOOKUP('Données projet (1)'!$B$12,'Paramètres (1)'!$A$1:$I$88,3,0)*0.475*44/12</f>
        <v>#REF!</v>
      </c>
      <c r="CL184" s="142" t="str">
        <f>EXP(-LN(2)/25)*CL183+(1-EXP(-LN(2)/25))/(LN(2)/25)*'Calculateur (1)'!CG184*'Calculateur (1)'!CI184*VLOOKUP('Données projet (1)'!$B$12,'Paramètres (1)'!$A$1:$I$88,3,0)*0.475*44/12</f>
        <v>#REF!</v>
      </c>
      <c r="CM184" s="142" t="str">
        <f>EXP(-LN(2)/2)*CM183+(1-EXP(-LN(2)/2))/(LN(2)/2)*CG184*CJ184*VLOOKUP('Données projet (1)'!$B$12,'Paramètres (1)'!$A$1:$I$88,3,0)*0.475*44/12</f>
        <v>#REF!</v>
      </c>
      <c r="CN184" s="143" t="str">
        <f t="shared" si="45"/>
        <v>#REF!</v>
      </c>
      <c r="CO184" s="139" t="str">
        <f t="shared" si="46"/>
        <v>#REF!</v>
      </c>
      <c r="CP184" s="131">
        <f t="shared" si="47"/>
        <v>10</v>
      </c>
      <c r="CQ184" s="131" t="str">
        <f t="shared" si="124"/>
        <v>#REF!</v>
      </c>
      <c r="CR184" s="131" t="str">
        <f t="shared" si="48"/>
        <v>#REF!</v>
      </c>
      <c r="CS184" s="131" t="str">
        <f t="array" ref="CS184">INDEX(CR:CR,MIN(IF(ISNUMBER(CR184:CR380),ROW(CR184:CR380),"")))</f>
        <v/>
      </c>
      <c r="CT184" s="131" t="str">
        <f t="shared" si="125"/>
        <v>#REF!</v>
      </c>
      <c r="CU184" s="138" t="str">
        <f>CT184*VLOOKUP('Données projet (1)'!$B$13,'Paramètres (1)'!$A$1:$I$88,3,0)*VLOOKUP('Données projet (1)'!$B$13,'Paramètres (1)'!$A$1:$I$88,5,0)</f>
        <v>#REF!</v>
      </c>
      <c r="CV184" s="130" t="str">
        <f t="shared" si="126"/>
        <v>#REF!</v>
      </c>
      <c r="CW184" s="141" t="str">
        <f t="shared" si="49"/>
        <v>#REF!</v>
      </c>
      <c r="CX184" s="133" t="str">
        <f t="shared" si="50"/>
        <v>#REF!</v>
      </c>
      <c r="CY184" s="133" t="str">
        <f t="shared" si="51"/>
        <v>#REF!</v>
      </c>
      <c r="CZ184" s="133" t="str">
        <f t="shared" si="127"/>
        <v>#REF!</v>
      </c>
      <c r="DA184" s="134" t="str">
        <f t="shared" si="52"/>
        <v>#REF!</v>
      </c>
      <c r="DB184" s="134" t="str">
        <f t="shared" si="53"/>
        <v>#REF!</v>
      </c>
      <c r="DC184" s="135" t="str">
        <f>IF(ISNA(VLOOKUP(A184,'Données projet (1)'!$A$139:$I$159,5,0)),0%,VLOOKUP(A184,'Données projet (1)'!$A$139:$I$159,5,0)*VLOOKUP('Données projet (1)'!$B$13,'Paramètres (1)'!$A$1:$I$88,7,0))</f>
        <v>#REF!</v>
      </c>
      <c r="DD184" s="135" t="str">
        <f>IF(ISNA(VLOOKUP(A184,'Données projet (1)'!$A$139:$I$159,6,0)),0%,VLOOKUP(A184,'Données projet (1)'!$A$139:$I$159,6,0)*VLOOKUP('Données projet (1)'!$B$13,'Paramètres (1)'!$A$1:$I$88,7,0))</f>
        <v>#REF!</v>
      </c>
      <c r="DE184" s="135" t="str">
        <f t="shared" si="54"/>
        <v>#REF!</v>
      </c>
      <c r="DF184" s="142" t="str">
        <f>EXP(-LN(2)/35)*DF183+(1-EXP(-LN(2)/35))/(LN(2)/35)*DB184*DC184*VLOOKUP('Données projet (1)'!$B$13,'Paramètres (1)'!$A$1:$I$88,3,0)*0.475*44/12</f>
        <v>#REF!</v>
      </c>
      <c r="DG184" s="142" t="str">
        <f>EXP(-LN(2)/25)*DG183+(1-EXP(-LN(2)/25))/(LN(2)/25)*'Calculateur (1)'!DB184*'Calculateur (1)'!DD184*VLOOKUP('Données projet (1)'!$B$13,'Paramètres (1)'!$A$1:$I$88,3,0)*0.475*44/12</f>
        <v>#REF!</v>
      </c>
      <c r="DH184" s="142" t="str">
        <f>EXP(-LN(2)/2)*DH183+(1-EXP(-LN(2)/2))/(LN(2)/2)*DB184*DE184*VLOOKUP('Données projet (1)'!$B$13,'Paramètres (1)'!$A$1:$I$88,3,0)*0.475*44/12</f>
        <v>#REF!</v>
      </c>
      <c r="DI184" s="143" t="str">
        <f t="shared" si="55"/>
        <v>#REF!</v>
      </c>
      <c r="DJ184" s="139" t="str">
        <f t="shared" si="56"/>
        <v>#REF!</v>
      </c>
      <c r="DK184" s="131">
        <f t="shared" si="57"/>
        <v>10</v>
      </c>
      <c r="DL184" s="131" t="str">
        <f t="shared" si="128"/>
        <v>#REF!</v>
      </c>
      <c r="DM184" s="131" t="str">
        <f t="shared" si="58"/>
        <v>#REF!</v>
      </c>
      <c r="DN184" s="131" t="str">
        <f t="array" ref="DN184">INDEX(DM:DM,MIN(IF(ISNUMBER(DM184:DM380),ROW(DM184:DM380),"")))</f>
        <v/>
      </c>
      <c r="DO184" s="131" t="str">
        <f t="shared" si="129"/>
        <v>#REF!</v>
      </c>
      <c r="DP184" s="138" t="str">
        <f>DO184*VLOOKUP('Données projet (1)'!$B$14,'Paramètres (1)'!$A$1:$I$88,3,0)*VLOOKUP('Données projet (1)'!$B$14,'Paramètres (1)'!$A$1:$I$88,5,0)</f>
        <v>#REF!</v>
      </c>
      <c r="DQ184" s="130" t="str">
        <f t="shared" si="130"/>
        <v>#REF!</v>
      </c>
      <c r="DR184" s="141" t="str">
        <f t="shared" si="59"/>
        <v>#REF!</v>
      </c>
      <c r="DS184" s="133" t="str">
        <f t="shared" si="60"/>
        <v>#REF!</v>
      </c>
      <c r="DT184" s="133" t="str">
        <f t="shared" si="61"/>
        <v>#REF!</v>
      </c>
      <c r="DU184" s="133" t="str">
        <f t="shared" si="131"/>
        <v>#REF!</v>
      </c>
      <c r="DV184" s="134" t="str">
        <f t="shared" si="62"/>
        <v>#REF!</v>
      </c>
      <c r="DW184" s="134" t="str">
        <f t="shared" si="63"/>
        <v>#REF!</v>
      </c>
      <c r="DX184" s="135" t="str">
        <f>IF(ISNA(VLOOKUP(A184,'Données projet (1)'!$A$165:$I$185,5,0)),0%,VLOOKUP(A184,'Données projet (1)'!$A$165:$I$185,5,0)*VLOOKUP('Données projet (1)'!$B$14,'Paramètres (1)'!$A$1:$I$88,7,0))</f>
        <v>#REF!</v>
      </c>
      <c r="DY184" s="135" t="str">
        <f>IF(ISNA(VLOOKUP(A184,'Données projet (1)'!$A$165:$I$185,6,0)),0%,VLOOKUP(A184,'Données projet (1)'!$A$165:$I$185,6,0)*VLOOKUP('Données projet (1)'!$B$14,'Paramètres (1)'!$A$1:$I$88,7,0))</f>
        <v>#REF!</v>
      </c>
      <c r="DZ184" s="135" t="str">
        <f t="shared" si="64"/>
        <v>#REF!</v>
      </c>
      <c r="EA184" s="142" t="str">
        <f>EXP(-LN(2)/35)*EA183+(1-EXP(-LN(2)/35))/(LN(2)/35)*DW184*DX184*VLOOKUP('Données projet (1)'!$B$14,'Paramètres (1)'!$A$1:$I$88,3,0)*0.475*44/12</f>
        <v>#REF!</v>
      </c>
      <c r="EB184" s="142" t="str">
        <f>EXP(-LN(2)/25)*EB183+(1-EXP(-LN(2)/25))/(LN(2)/25)*'Calculateur (1)'!DW184*'Calculateur (1)'!DY184*VLOOKUP('Données projet (1)'!$B$14,'Paramètres (1)'!$A$1:$I$88,3,0)*0.475*44/12</f>
        <v>#REF!</v>
      </c>
      <c r="EC184" s="142" t="str">
        <f>EXP(-LN(2)/2)*EC183+(1-EXP(-LN(2)/2))/(LN(2)/2)*DW184*DZ184*VLOOKUP('Données projet (1)'!$B$14,'Paramètres (1)'!$A$1:$I$88,3,0)*0.475*44/12</f>
        <v>#REF!</v>
      </c>
      <c r="ED184" s="143" t="str">
        <f t="shared" si="65"/>
        <v>#REF!</v>
      </c>
      <c r="EE184" s="139" t="str">
        <f t="shared" si="66"/>
        <v>#REF!</v>
      </c>
      <c r="EF184" s="131">
        <f t="shared" si="67"/>
        <v>10</v>
      </c>
      <c r="EG184" s="131" t="str">
        <f t="shared" si="132"/>
        <v>#REF!</v>
      </c>
      <c r="EH184" s="131" t="str">
        <f t="shared" si="68"/>
        <v>#REF!</v>
      </c>
      <c r="EI184" s="131" t="str">
        <f t="array" ref="EI184">INDEX(EH:EH,MIN(IF(ISNUMBER(EH184:EH380),ROW(EH184:EH380),"")))</f>
        <v/>
      </c>
      <c r="EJ184" s="131" t="str">
        <f t="shared" si="133"/>
        <v>#REF!</v>
      </c>
      <c r="EK184" s="138" t="str">
        <f>EJ184*VLOOKUP('Données projet (1)'!$B$15,'Paramètres (1)'!$A$1:$I$88,3,0)*VLOOKUP('Données projet (1)'!$B$15,'Paramètres (1)'!$A$1:$I$88,5,0)</f>
        <v>#REF!</v>
      </c>
      <c r="EL184" s="130" t="str">
        <f t="shared" si="134"/>
        <v>#REF!</v>
      </c>
      <c r="EM184" s="141" t="str">
        <f t="shared" si="69"/>
        <v>#REF!</v>
      </c>
      <c r="EN184" s="133" t="str">
        <f t="shared" si="70"/>
        <v>#REF!</v>
      </c>
      <c r="EO184" s="133" t="str">
        <f t="shared" si="71"/>
        <v>#REF!</v>
      </c>
      <c r="EP184" s="133" t="str">
        <f t="shared" si="135"/>
        <v>#REF!</v>
      </c>
      <c r="EQ184" s="134" t="str">
        <f t="shared" si="72"/>
        <v>#REF!</v>
      </c>
      <c r="ER184" s="134" t="str">
        <f t="shared" si="73"/>
        <v>#REF!</v>
      </c>
      <c r="ES184" s="135" t="str">
        <f>IF(ISNA(VLOOKUP(A184,'Données projet (1)'!$A$191:$I$211,5,0)),0%,VLOOKUP(A184,'Données projet (1)'!$A$191:$I$211,5,0)*VLOOKUP('Données projet (1)'!$B$15,'Paramètres (1)'!$A$1:$I$88,7,0))</f>
        <v>#REF!</v>
      </c>
      <c r="ET184" s="135" t="str">
        <f>IF(ISNA(VLOOKUP(A184,'Données projet (1)'!$A$191:$I$211,6,0)),0%,VLOOKUP(A184,'Données projet (1)'!$A$191:$I$211,6,0)*VLOOKUP('Données projet (1)'!$B$15,'Paramètres (1)'!$A$1:$I$88,7,0))</f>
        <v>#REF!</v>
      </c>
      <c r="EU184" s="135" t="str">
        <f t="shared" si="74"/>
        <v>#REF!</v>
      </c>
      <c r="EV184" s="142" t="str">
        <f>EXP(-LN(2)/35)*EV183+(1-EXP(-LN(2)/35))/(LN(2)/35)*ER184*ES184*VLOOKUP('Données projet (1)'!$B$15,'Paramètres (1)'!$A$1:$I$88,3,0)*0.475*44/12</f>
        <v>#REF!</v>
      </c>
      <c r="EW184" s="142" t="str">
        <f>EXP(-LN(2)/25)*EW183+(1-EXP(-LN(2)/25))/(LN(2)/25)*'Calculateur (1)'!ER184*'Calculateur (1)'!ET184*VLOOKUP('Données projet (1)'!$B$15,'Paramètres (1)'!$A$1:$I$88,3,0)*0.475*44/12</f>
        <v>#REF!</v>
      </c>
      <c r="EX184" s="142" t="str">
        <f>EXP(-LN(2)/2)*EX183+(1-EXP(-LN(2)/2))/(LN(2)/2)*ER184*EU184*VLOOKUP('Données projet (1)'!$B$15,'Paramètres (1)'!$A$1:$I$88,3,0)*0.475*44/12</f>
        <v>#REF!</v>
      </c>
      <c r="EY184" s="143" t="str">
        <f t="shared" si="75"/>
        <v>#REF!</v>
      </c>
      <c r="EZ184" s="139" t="str">
        <f t="shared" si="76"/>
        <v>#REF!</v>
      </c>
      <c r="FA184" s="131">
        <f t="shared" si="77"/>
        <v>10</v>
      </c>
      <c r="FB184" s="131" t="str">
        <f t="shared" si="136"/>
        <v>#REF!</v>
      </c>
      <c r="FC184" s="131" t="str">
        <f t="shared" si="78"/>
        <v>#REF!</v>
      </c>
      <c r="FD184" s="131" t="str">
        <f t="array" ref="FD184">INDEX(FC:FC,MIN(IF(ISNUMBER(FC184:FC380),ROW(FC184:FC380),"")))</f>
        <v/>
      </c>
      <c r="FE184" s="131" t="str">
        <f t="shared" si="137"/>
        <v>#REF!</v>
      </c>
      <c r="FF184" s="138" t="str">
        <f>FE184*VLOOKUP('Données projet (1)'!$B$16,'Paramètres (1)'!$A$1:$I$88,3,0)*VLOOKUP('Données projet (1)'!$B$16,'Paramètres (1)'!$A$1:$I$88,5,0)</f>
        <v>#REF!</v>
      </c>
      <c r="FG184" s="130" t="str">
        <f t="shared" si="138"/>
        <v>#REF!</v>
      </c>
      <c r="FH184" s="141" t="str">
        <f t="shared" si="79"/>
        <v>#REF!</v>
      </c>
      <c r="FI184" s="133" t="str">
        <f t="shared" si="80"/>
        <v>#REF!</v>
      </c>
      <c r="FJ184" s="133" t="str">
        <f t="shared" si="81"/>
        <v>#REF!</v>
      </c>
      <c r="FK184" s="133" t="str">
        <f t="shared" si="139"/>
        <v>#REF!</v>
      </c>
      <c r="FL184" s="134" t="str">
        <f t="shared" si="82"/>
        <v>#REF!</v>
      </c>
      <c r="FM184" s="134" t="str">
        <f t="shared" si="83"/>
        <v>#REF!</v>
      </c>
      <c r="FN184" s="135" t="str">
        <f>IF(ISNA(VLOOKUP(A184,'Données projet (1)'!$A$217:$I$237,5,0)),0%,VLOOKUP(A184,'Données projet (1)'!$A$217:$I$237,5,0)*VLOOKUP('Données projet (1)'!$B$16,'Paramètres (1)'!$A$1:$I$88,7,0))</f>
        <v>#REF!</v>
      </c>
      <c r="FO184" s="135" t="str">
        <f>IF(ISNA(VLOOKUP(A184,'Données projet (1)'!$A$217:$I$237,6,0)),0%,VLOOKUP(A184,'Données projet (1)'!$A$217:$I$237,6,0)*VLOOKUP('Données projet (1)'!$B$16,'Paramètres (1)'!$A$1:$I$88,7,0))</f>
        <v>#REF!</v>
      </c>
      <c r="FP184" s="135" t="str">
        <f t="shared" si="84"/>
        <v>#REF!</v>
      </c>
      <c r="FQ184" s="142" t="str">
        <f>EXP(-LN(2)/35)*FQ183+(1-EXP(-LN(2)/35))/(LN(2)/35)*FM184*FN184*VLOOKUP('Données projet (1)'!$B$16,'Paramètres (1)'!$A$1:$I$88,3,0)*0.475*44/12</f>
        <v>#REF!</v>
      </c>
      <c r="FR184" s="142" t="str">
        <f>EXP(-LN(2)/25)*FR183+(1-EXP(-LN(2)/25))/(LN(2)/25)*'Calculateur (1)'!FM184*'Calculateur (1)'!FO184*VLOOKUP('Données projet (1)'!$B$16,'Paramètres (1)'!$A$1:$I$88,3,0)*0.475*44/12</f>
        <v>#REF!</v>
      </c>
      <c r="FS184" s="142" t="str">
        <f>EXP(-LN(2)/2)*FS183+(1-EXP(-LN(2)/2))/(LN(2)/2)*FM184*FP184*VLOOKUP('Données projet (1)'!$B$16,'Paramètres (1)'!$A$1:$I$88,3,0)*0.475*44/12</f>
        <v>#REF!</v>
      </c>
      <c r="FT184" s="143" t="str">
        <f t="shared" si="85"/>
        <v>#REF!</v>
      </c>
      <c r="FU184" s="139" t="str">
        <f t="shared" si="86"/>
        <v>#REF!</v>
      </c>
      <c r="FV184" s="131">
        <f t="shared" si="87"/>
        <v>10</v>
      </c>
      <c r="FW184" s="131" t="str">
        <f t="shared" si="140"/>
        <v>#REF!</v>
      </c>
      <c r="FX184" s="131" t="str">
        <f t="shared" si="88"/>
        <v>#REF!</v>
      </c>
      <c r="FY184" s="131" t="str">
        <f t="array" ref="FY184">INDEX(FX:FX,MIN(IF(ISNUMBER(FX184:FX380),ROW(FX184:FX380),"")))</f>
        <v/>
      </c>
      <c r="FZ184" s="131" t="str">
        <f t="shared" si="141"/>
        <v>#REF!</v>
      </c>
      <c r="GA184" s="138" t="str">
        <f>FZ184*VLOOKUP('Données projet (1)'!$B$17,'Paramètres (1)'!$A$1:$I$88,3,0)*VLOOKUP('Données projet (1)'!$B$17,'Paramètres (1)'!$A$1:$I$88,5,0)</f>
        <v>#REF!</v>
      </c>
      <c r="GB184" s="130" t="str">
        <f t="shared" si="142"/>
        <v>#REF!</v>
      </c>
      <c r="GC184" s="141" t="str">
        <f t="shared" si="89"/>
        <v>#REF!</v>
      </c>
      <c r="GD184" s="133" t="str">
        <f t="shared" si="90"/>
        <v>#REF!</v>
      </c>
      <c r="GE184" s="133" t="str">
        <f t="shared" si="91"/>
        <v>#REF!</v>
      </c>
      <c r="GF184" s="133" t="str">
        <f t="shared" si="143"/>
        <v>#REF!</v>
      </c>
      <c r="GG184" s="134" t="str">
        <f t="shared" si="92"/>
        <v>#REF!</v>
      </c>
      <c r="GH184" s="134" t="str">
        <f t="shared" si="93"/>
        <v>#REF!</v>
      </c>
      <c r="GI184" s="135" t="str">
        <f>IF(ISNA(VLOOKUP(A184,'Données projet (1)'!$A$243:$I$263,5,0)),0%,VLOOKUP(A184,'Données projet (1)'!$A$243:$I$263,5,0)*VLOOKUP('Données projet (1)'!$B$17,'Paramètres (1)'!$A$1:$I$88,7,0))</f>
        <v>#REF!</v>
      </c>
      <c r="GJ184" s="135" t="str">
        <f>IF(ISNA(VLOOKUP(A184,'Données projet (1)'!$A$243:$I$263,6,0)),0%,VLOOKUP(A184,'Données projet (1)'!$A$243:$I$263,6,0)*VLOOKUP('Données projet (1)'!$B$17,'Paramètres (1)'!$A$1:$I$88,7,0))</f>
        <v>#REF!</v>
      </c>
      <c r="GK184" s="135" t="str">
        <f t="shared" si="94"/>
        <v>#REF!</v>
      </c>
      <c r="GL184" s="142" t="str">
        <f>EXP(-LN(2)/35)*GL183+(1-EXP(-LN(2)/35))/(LN(2)/35)*GH184*GI184*VLOOKUP('Données projet (1)'!$B$17,'Paramètres (1)'!$A$1:$I$88,3,0)*0.475*44/12</f>
        <v>#REF!</v>
      </c>
      <c r="GM184" s="142" t="str">
        <f>EXP(-LN(2)/25)*GM183+(1-EXP(-LN(2)/25))/(LN(2)/25)*'Calculateur (1)'!GH184*'Calculateur (1)'!GJ184*VLOOKUP('Données projet (1)'!$B$17,'Paramètres (1)'!$A$1:$I$88,3,0)*0.475*44/12</f>
        <v>#REF!</v>
      </c>
      <c r="GN184" s="142" t="str">
        <f>EXP(-LN(2)/2)*GN183+(1-EXP(-LN(2)/2))/(LN(2)/2)*GH184*GK184*VLOOKUP('Données projet (1)'!$B$17,'Paramètres (1)'!$A$1:$I$88,3,0)*0.475*44/12</f>
        <v>#REF!</v>
      </c>
      <c r="GO184" s="142" t="str">
        <f t="shared" si="95"/>
        <v>#REF!</v>
      </c>
      <c r="GP184" s="139" t="str">
        <f t="shared" si="96"/>
        <v>#REF!</v>
      </c>
      <c r="GQ184" s="131">
        <f t="shared" si="97"/>
        <v>10</v>
      </c>
      <c r="GR184" s="131" t="str">
        <f t="shared" si="144"/>
        <v>#REF!</v>
      </c>
      <c r="GS184" s="131" t="str">
        <f t="shared" si="98"/>
        <v>#REF!</v>
      </c>
      <c r="GT184" s="131" t="str">
        <f t="array" ref="GT184">INDEX(GS:GS,MIN(IF(ISNUMBER(GS184:GS380),ROW(GS184:GS380),"")))</f>
        <v/>
      </c>
      <c r="GU184" s="131" t="str">
        <f t="shared" si="145"/>
        <v>#REF!</v>
      </c>
      <c r="GV184" s="138" t="str">
        <f>GU184*VLOOKUP('Données projet (1)'!$B$18,'Paramètres (1)'!$A$1:$I$88,3,0)*VLOOKUP('Données projet (1)'!$B$18,'Paramètres (1)'!$A$1:$I$88,5,0)</f>
        <v>#REF!</v>
      </c>
      <c r="GW184" s="130" t="str">
        <f t="shared" si="146"/>
        <v>#REF!</v>
      </c>
      <c r="GX184" s="141" t="str">
        <f t="shared" si="99"/>
        <v>#REF!</v>
      </c>
      <c r="GY184" s="133" t="str">
        <f t="shared" si="100"/>
        <v>#REF!</v>
      </c>
      <c r="GZ184" s="133" t="str">
        <f t="shared" si="101"/>
        <v>#REF!</v>
      </c>
      <c r="HA184" s="133" t="str">
        <f t="shared" si="147"/>
        <v>#REF!</v>
      </c>
      <c r="HB184" s="134" t="str">
        <f t="shared" si="102"/>
        <v>#REF!</v>
      </c>
      <c r="HC184" s="134" t="str">
        <f t="shared" si="103"/>
        <v>#REF!</v>
      </c>
      <c r="HD184" s="135" t="str">
        <f>IF(ISNA(VLOOKUP(A184,'Données projet (1)'!$A$269:$I$289,5,0)),0%,VLOOKUP(A184,'Données projet (1)'!$A$269:$I$289,5,0)*VLOOKUP('Données projet (1)'!$B$18,'Paramètres (1)'!$A$1:$I$88,7,0))</f>
        <v>#REF!</v>
      </c>
      <c r="HE184" s="135" t="str">
        <f>IF(ISNA(VLOOKUP(A184,'Données projet (1)'!$A$269:$I$289,6,0)),0%,VLOOKUP(A184,'Données projet (1)'!$A$269:$I$289,6,0)*VLOOKUP('Données projet (1)'!$B$18,'Paramètres (1)'!$A$1:$I$88,7,0))</f>
        <v>#REF!</v>
      </c>
      <c r="HF184" s="135" t="str">
        <f t="shared" si="104"/>
        <v>#REF!</v>
      </c>
      <c r="HG184" s="142" t="str">
        <f>EXP(-LN(2)/35)*HG183+(1-EXP(-LN(2)/35))/(LN(2)/35)*HC184*HD184*VLOOKUP('Données projet (1)'!$B$18,'Paramètres (1)'!$A$1:$I$88,3,0)*0.475*44/12</f>
        <v>#REF!</v>
      </c>
      <c r="HH184" s="142" t="str">
        <f>EXP(-LN(2)/25)*HH183+(1-EXP(-LN(2)/25))/(LN(2)/25)*'Calculateur (1)'!HC184*'Calculateur (1)'!HE184*VLOOKUP('Données projet (1)'!$B$18,'Paramètres (1)'!$A$1:$I$88,3,0)*0.475*44/12</f>
        <v>#REF!</v>
      </c>
      <c r="HI184" s="142" t="str">
        <f>EXP(-LN(2)/2)*HI183+(1-EXP(-LN(2)/2))/(LN(2)/2)*HC184*HF184*VLOOKUP('Données projet (1)'!$B$18,'Paramètres (1)'!$A$1:$I$88,3,0)*0.475*44/12</f>
        <v>#REF!</v>
      </c>
      <c r="HJ184" s="143" t="str">
        <f t="shared" si="105"/>
        <v>#REF!</v>
      </c>
    </row>
    <row r="185" ht="14.25" customHeight="1">
      <c r="A185" s="125">
        <f t="shared" si="106"/>
        <v>182</v>
      </c>
      <c r="B185" s="126" t="str">
        <f t="shared" si="1"/>
        <v>#REF!</v>
      </c>
      <c r="C185" s="140" t="str">
        <f>'Calculateur (1)'!C184+'Scénario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5" s="127">
        <f t="shared" si="107"/>
        <v>0</v>
      </c>
      <c r="E185" s="127" t="str">
        <f t="shared" si="2"/>
        <v>#REF!</v>
      </c>
      <c r="F185" s="127" t="str">
        <f t="shared" si="3"/>
        <v>#REF!</v>
      </c>
      <c r="G185" s="127" t="str">
        <f t="shared" si="4"/>
        <v>#REF!</v>
      </c>
      <c r="H185" s="128" t="str">
        <f t="shared" si="5"/>
        <v>#REF!</v>
      </c>
      <c r="I185" s="129" t="str">
        <f t="shared" si="6"/>
        <v>#REF!</v>
      </c>
      <c r="J185" s="130">
        <f t="shared" si="7"/>
        <v>10</v>
      </c>
      <c r="K185" s="131" t="str">
        <f t="shared" si="108"/>
        <v>#REF!</v>
      </c>
      <c r="L185" s="131" t="str">
        <f t="shared" si="8"/>
        <v>#REF!</v>
      </c>
      <c r="M185" s="131" t="str">
        <f t="array" ref="M185">INDEX(L:L,MIN(IF(ISNUMBER(L185:L381),ROW(L185:L381),"")))</f>
        <v/>
      </c>
      <c r="N185" s="130" t="str">
        <f t="shared" si="109"/>
        <v>#REF!</v>
      </c>
      <c r="O185" s="130" t="str">
        <f>N185*VLOOKUP('Données projet (1)'!$B$9,'Paramètres (1)'!$A$1:$I$88,3,0)*VLOOKUP('Données projet (1)'!$B$9,'Paramètres (1)'!$A$1:$I$88,5,0)</f>
        <v>#REF!</v>
      </c>
      <c r="P185" s="130" t="str">
        <f t="shared" si="110"/>
        <v>#REF!</v>
      </c>
      <c r="Q185" s="141" t="str">
        <f t="shared" si="9"/>
        <v>#REF!</v>
      </c>
      <c r="R185" s="133" t="str">
        <f t="shared" si="10"/>
        <v>#REF!</v>
      </c>
      <c r="S185" s="133" t="str">
        <f t="shared" si="11"/>
        <v>#REF!</v>
      </c>
      <c r="T185" s="133" t="str">
        <f t="shared" si="111"/>
        <v>#REF!</v>
      </c>
      <c r="U185" s="134" t="str">
        <f t="shared" si="12"/>
        <v>#REF!</v>
      </c>
      <c r="V185" s="134" t="str">
        <f t="shared" si="13"/>
        <v>#REF!</v>
      </c>
      <c r="W185" s="135" t="str">
        <f>IF(ISNA(VLOOKUP(A185,'Données projet (1)'!$A$35:$I$55,5,0)),0%,VLOOKUP(A185,'Données projet (1)'!$A$35:$I$55,5,0)*VLOOKUP('Données projet (1)'!$B$9,'Paramètres (1)'!$A$1:$I$88,7,0))</f>
        <v>#REF!</v>
      </c>
      <c r="X185" s="135" t="str">
        <f>IF(ISNA(VLOOKUP(A185,'Données projet (1)'!$A$35:$I$55,6,0)),0%,VLOOKUP(A185,'Données projet (1)'!$A$35:$I$55,6,0)*VLOOKUP('Données projet (1)'!$B$9,'Paramètres (1)'!$A$1:$I$88,7,0))</f>
        <v>#REF!</v>
      </c>
      <c r="Y185" s="135" t="str">
        <f t="shared" si="14"/>
        <v>#REF!</v>
      </c>
      <c r="Z185" s="142" t="str">
        <f>EXP(-LN(2)/35)*Z184+(1-EXP(-LN(2)/35))/(LN(2)/35)*V185*W185*VLOOKUP('Données projet (1)'!$B$9,'Paramètres (1)'!$A$1:$I$88,3,0)*0.475*44/12</f>
        <v>#REF!</v>
      </c>
      <c r="AA185" s="142" t="str">
        <f>EXP(-LN(2)/25)*AA184+(1-EXP(-LN(2)/25))/(LN(2)/25)*'Calculateur (1)'!V185*'Calculateur (1)'!X185*VLOOKUP('Données projet (1)'!$B$9,'Paramètres (1)'!$A$1:$I$88,3,0)*0.475*44/12</f>
        <v>#REF!</v>
      </c>
      <c r="AB185" s="142" t="str">
        <f>EXP(-LN(2)/2)*AB184+(1-EXP(-LN(2)/2))/(LN(2)/2)*V185*Y185*VLOOKUP('Données projet (1)'!$B$9,'Paramètres (1)'!$A$1:$I$88,3,0)*0.475*44/12</f>
        <v>#REF!</v>
      </c>
      <c r="AC185" s="143" t="str">
        <f t="shared" si="15"/>
        <v>#REF!</v>
      </c>
      <c r="AD185" s="130" t="str">
        <f t="shared" si="16"/>
        <v>#REF!</v>
      </c>
      <c r="AE185" s="130">
        <f t="shared" si="17"/>
        <v>10</v>
      </c>
      <c r="AF185" s="131" t="str">
        <f t="shared" si="112"/>
        <v>#REF!</v>
      </c>
      <c r="AG185" s="131" t="str">
        <f t="shared" si="18"/>
        <v>#REF!</v>
      </c>
      <c r="AH185" s="131" t="str">
        <f t="array" ref="AH185">INDEX(AG:AG,MIN(IF(ISNUMBER(AG185:AG381),ROW(AG185:AG381),"")))</f>
        <v/>
      </c>
      <c r="AI185" s="130" t="str">
        <f t="shared" si="113"/>
        <v>#REF!</v>
      </c>
      <c r="AJ185" s="130" t="str">
        <f>AI185*VLOOKUP('Données projet (1)'!$B$10,'Paramètres (1)'!$A$1:$I$88,3,0)*VLOOKUP('Données projet (1)'!$B$10,'Paramètres (1)'!$A$1:$I$88,5,0)</f>
        <v>#REF!</v>
      </c>
      <c r="AK185" s="130" t="str">
        <f t="shared" si="114"/>
        <v>#REF!</v>
      </c>
      <c r="AL185" s="141" t="str">
        <f t="shared" si="19"/>
        <v>#REF!</v>
      </c>
      <c r="AM185" s="133" t="str">
        <f t="shared" si="20"/>
        <v>#REF!</v>
      </c>
      <c r="AN185" s="133" t="str">
        <f t="shared" si="21"/>
        <v>#REF!</v>
      </c>
      <c r="AO185" s="133" t="str">
        <f t="shared" si="115"/>
        <v>#REF!</v>
      </c>
      <c r="AP185" s="134" t="str">
        <f t="shared" si="22"/>
        <v>#REF!</v>
      </c>
      <c r="AQ185" s="134" t="str">
        <f t="shared" si="23"/>
        <v>#REF!</v>
      </c>
      <c r="AR185" s="135" t="str">
        <f>IF(ISNA(VLOOKUP(A185,'Données projet (1)'!$A$61:$I$81,5,0)),0%,VLOOKUP(A185,'Données projet (1)'!$A$61:$I$81,5,0)*VLOOKUP('Données projet (1)'!$B$10,'Paramètres (1)'!$A$1:$I$88,7,0))</f>
        <v>#REF!</v>
      </c>
      <c r="AS185" s="135" t="str">
        <f>IF(ISNA(VLOOKUP(A185,'Données projet (1)'!$A$61:$I$81,6,0)),0%,VLOOKUP(A185,'Données projet (1)'!$A$61:$I$81,6,0)*VLOOKUP('Données projet (1)'!$B$10,'Paramètres (1)'!$A$1:$I$88,7,0))</f>
        <v>#REF!</v>
      </c>
      <c r="AT185" s="135" t="str">
        <f t="shared" si="24"/>
        <v>#REF!</v>
      </c>
      <c r="AU185" s="142" t="str">
        <f>EXP(-LN(2)/35)*AU184+(1-EXP(-LN(2)/35))/(LN(2)/35)*AQ185*AR185*VLOOKUP('Données projet (1)'!$B$10,'Paramètres (1)'!$A$1:$I$88,3,0)*0.475*44/12</f>
        <v>#REF!</v>
      </c>
      <c r="AV185" s="142" t="str">
        <f>EXP(-LN(2)/25)*AV184+(1-EXP(-LN(2)/25))/(LN(2)/25)*'Calculateur (1)'!AQ185*'Calculateur (1)'!AS185*VLOOKUP('Données projet (1)'!$B$10,'Paramètres (1)'!$A$1:$I$88,3,0)*0.475*44/12</f>
        <v>#REF!</v>
      </c>
      <c r="AW185" s="142" t="str">
        <f>EXP(-LN(2)/2)*AW184+(1-EXP(-LN(2)/2))/(LN(2)/2)*AQ185*AT185*VLOOKUP('Données projet (1)'!$B$10,'Paramètres (1)'!$A$1:$I$88,3,0)*0.475*44/12</f>
        <v>#REF!</v>
      </c>
      <c r="AX185" s="142" t="str">
        <f t="shared" si="25"/>
        <v>#REF!</v>
      </c>
      <c r="AY185" s="137" t="str">
        <f t="shared" si="26"/>
        <v>#REF!</v>
      </c>
      <c r="AZ185" s="131">
        <f t="shared" si="27"/>
        <v>10</v>
      </c>
      <c r="BA185" s="131" t="str">
        <f t="shared" si="116"/>
        <v>#REF!</v>
      </c>
      <c r="BB185" s="131" t="str">
        <f t="shared" si="28"/>
        <v>#REF!</v>
      </c>
      <c r="BC185" s="131" t="str">
        <f t="array" ref="BC185">INDEX(BB:BB,MIN(IF(ISNUMBER(BB185:BB381),ROW(BB185:BB381),"")))</f>
        <v/>
      </c>
      <c r="BD185" s="131" t="str">
        <f t="shared" si="117"/>
        <v>#REF!</v>
      </c>
      <c r="BE185" s="130" t="str">
        <f>BD185*VLOOKUP('Données projet (1)'!$B$11,'Paramètres (1)'!$A$1:$I$88,3,0)*VLOOKUP('Données projet (1)'!$B$11,'Paramètres (1)'!$A$1:$I$88,5,0)</f>
        <v>#REF!</v>
      </c>
      <c r="BF185" s="130" t="str">
        <f t="shared" si="118"/>
        <v>#REF!</v>
      </c>
      <c r="BG185" s="141" t="str">
        <f t="shared" si="29"/>
        <v>#REF!</v>
      </c>
      <c r="BH185" s="133" t="str">
        <f t="shared" si="30"/>
        <v>#REF!</v>
      </c>
      <c r="BI185" s="133" t="str">
        <f t="shared" si="31"/>
        <v>#REF!</v>
      </c>
      <c r="BJ185" s="133" t="str">
        <f t="shared" si="119"/>
        <v>#REF!</v>
      </c>
      <c r="BK185" s="134" t="str">
        <f t="shared" si="32"/>
        <v>#REF!</v>
      </c>
      <c r="BL185" s="134" t="str">
        <f t="shared" si="33"/>
        <v>#REF!</v>
      </c>
      <c r="BM185" s="135" t="str">
        <f>IF(ISNA(VLOOKUP(A185,'Données projet (1)'!$A$87:$I$107,5,0)),0%,VLOOKUP(A185,'Données projet (1)'!$A$87:$I$107,5,0)*VLOOKUP('Données projet (1)'!$B$11,'Paramètres (1)'!$A$1:$I$88,7,0))</f>
        <v>#REF!</v>
      </c>
      <c r="BN185" s="135" t="str">
        <f>IF(ISNA(VLOOKUP(A185,'Données projet (1)'!$A$87:$I$107,6,0)),0%,VLOOKUP(A185,'Données projet (1)'!$A$87:$I$107,6,0)*VLOOKUP('Données projet (1)'!$B$11,'Paramètres (1)'!$A$1:$I$88,7,0))</f>
        <v>#REF!</v>
      </c>
      <c r="BO185" s="135" t="str">
        <f t="shared" si="34"/>
        <v>#REF!</v>
      </c>
      <c r="BP185" s="142" t="str">
        <f>EXP(-LN(2)/35)*BP184+(1-EXP(-LN(2)/35))/(LN(2)/35)*BL185*BM185*VLOOKUP('Données projet (1)'!$B$11,'Paramètres (1)'!$A$1:$I$88,3,0)*0.475*44/12</f>
        <v>#REF!</v>
      </c>
      <c r="BQ185" s="142" t="str">
        <f>EXP(-LN(2)/25)*BQ184+(1-EXP(-LN(2)/25))/(LN(2)/25)*'Calculateur (1)'!BL185*'Calculateur (1)'!BN185*VLOOKUP('Données projet (1)'!$B$11,'Paramètres (1)'!$A$1:$I$88,3,0)*0.475*44/12</f>
        <v>#REF!</v>
      </c>
      <c r="BR185" s="142" t="str">
        <f>EXP(-LN(2)/2)*BR184+(1-EXP(-LN(2)/2))/(LN(2)/2)*BL185*BO185*VLOOKUP('Données projet (1)'!$B$11,'Paramètres (1)'!$A$1:$I$88,3,0)*0.475*44/12</f>
        <v>#REF!</v>
      </c>
      <c r="BS185" s="143" t="str">
        <f t="shared" si="35"/>
        <v>#REF!</v>
      </c>
      <c r="BT185" s="139" t="str">
        <f t="shared" si="36"/>
        <v>#REF!</v>
      </c>
      <c r="BU185" s="131">
        <f t="shared" si="37"/>
        <v>10</v>
      </c>
      <c r="BV185" s="131" t="str">
        <f t="shared" si="120"/>
        <v>#REF!</v>
      </c>
      <c r="BW185" s="131" t="str">
        <f t="shared" si="38"/>
        <v>#REF!</v>
      </c>
      <c r="BX185" s="131" t="str">
        <f t="array" ref="BX185">INDEX(BW:BW,MIN(IF(ISNUMBER(BW185:BW381),ROW(BW185:BW381),"")))</f>
        <v/>
      </c>
      <c r="BY185" s="131" t="str">
        <f t="shared" si="121"/>
        <v>#REF!</v>
      </c>
      <c r="BZ185" s="130" t="str">
        <f>BY185*VLOOKUP('Données projet (1)'!$B$12,'Paramètres (1)'!$A$1:$I$88,3,0)*VLOOKUP('Données projet (1)'!$B$12,'Paramètres (1)'!$A$1:$I$88,5,0)</f>
        <v>#REF!</v>
      </c>
      <c r="CA185" s="130" t="str">
        <f t="shared" si="122"/>
        <v>#REF!</v>
      </c>
      <c r="CB185" s="141" t="str">
        <f t="shared" si="39"/>
        <v>#REF!</v>
      </c>
      <c r="CC185" s="133" t="str">
        <f t="shared" si="40"/>
        <v>#REF!</v>
      </c>
      <c r="CD185" s="133" t="str">
        <f t="shared" si="41"/>
        <v>#REF!</v>
      </c>
      <c r="CE185" s="133" t="str">
        <f t="shared" si="123"/>
        <v>#REF!</v>
      </c>
      <c r="CF185" s="134" t="str">
        <f t="shared" si="42"/>
        <v>#REF!</v>
      </c>
      <c r="CG185" s="134" t="str">
        <f t="shared" si="43"/>
        <v>#REF!</v>
      </c>
      <c r="CH185" s="135" t="str">
        <f>IF(ISNA(VLOOKUP(A185,'Données projet (1)'!$A$113:$I$133,5,0)),0%,VLOOKUP(A185,'Données projet (1)'!$A$113:$I$133,5,0)*VLOOKUP('Données projet (1)'!$B$12,'Paramètres (1)'!$A$1:$I$88,7,0))</f>
        <v>#REF!</v>
      </c>
      <c r="CI185" s="135" t="str">
        <f>IF(ISNA(VLOOKUP(A185,'Données projet (1)'!$A$113:$I$133,6,0)),0%,VLOOKUP(A185,'Données projet (1)'!$A$113:$I$133,6,0)*VLOOKUP('Données projet (1)'!$B$12,'Paramètres (1)'!$A$1:$I$88,7,0))</f>
        <v>#REF!</v>
      </c>
      <c r="CJ185" s="135" t="str">
        <f t="shared" si="44"/>
        <v>#REF!</v>
      </c>
      <c r="CK185" s="142" t="str">
        <f>EXP(-LN(2)/35)*CK184+(1-EXP(-LN(2)/35))/(LN(2)/35)*CG185*CH185*VLOOKUP('Données projet (1)'!$B$12,'Paramètres (1)'!$A$1:$I$88,3,0)*0.475*44/12</f>
        <v>#REF!</v>
      </c>
      <c r="CL185" s="142" t="str">
        <f>EXP(-LN(2)/25)*CL184+(1-EXP(-LN(2)/25))/(LN(2)/25)*'Calculateur (1)'!CG185*'Calculateur (1)'!CI185*VLOOKUP('Données projet (1)'!$B$12,'Paramètres (1)'!$A$1:$I$88,3,0)*0.475*44/12</f>
        <v>#REF!</v>
      </c>
      <c r="CM185" s="142" t="str">
        <f>EXP(-LN(2)/2)*CM184+(1-EXP(-LN(2)/2))/(LN(2)/2)*CG185*CJ185*VLOOKUP('Données projet (1)'!$B$12,'Paramètres (1)'!$A$1:$I$88,3,0)*0.475*44/12</f>
        <v>#REF!</v>
      </c>
      <c r="CN185" s="143" t="str">
        <f t="shared" si="45"/>
        <v>#REF!</v>
      </c>
      <c r="CO185" s="139" t="str">
        <f t="shared" si="46"/>
        <v>#REF!</v>
      </c>
      <c r="CP185" s="131">
        <f t="shared" si="47"/>
        <v>10</v>
      </c>
      <c r="CQ185" s="131" t="str">
        <f t="shared" si="124"/>
        <v>#REF!</v>
      </c>
      <c r="CR185" s="131" t="str">
        <f t="shared" si="48"/>
        <v>#REF!</v>
      </c>
      <c r="CS185" s="131" t="str">
        <f t="array" ref="CS185">INDEX(CR:CR,MIN(IF(ISNUMBER(CR185:CR381),ROW(CR185:CR381),"")))</f>
        <v/>
      </c>
      <c r="CT185" s="131" t="str">
        <f t="shared" si="125"/>
        <v>#REF!</v>
      </c>
      <c r="CU185" s="138" t="str">
        <f>CT185*VLOOKUP('Données projet (1)'!$B$13,'Paramètres (1)'!$A$1:$I$88,3,0)*VLOOKUP('Données projet (1)'!$B$13,'Paramètres (1)'!$A$1:$I$88,5,0)</f>
        <v>#REF!</v>
      </c>
      <c r="CV185" s="130" t="str">
        <f t="shared" si="126"/>
        <v>#REF!</v>
      </c>
      <c r="CW185" s="141" t="str">
        <f t="shared" si="49"/>
        <v>#REF!</v>
      </c>
      <c r="CX185" s="133" t="str">
        <f t="shared" si="50"/>
        <v>#REF!</v>
      </c>
      <c r="CY185" s="133" t="str">
        <f t="shared" si="51"/>
        <v>#REF!</v>
      </c>
      <c r="CZ185" s="133" t="str">
        <f t="shared" si="127"/>
        <v>#REF!</v>
      </c>
      <c r="DA185" s="134" t="str">
        <f t="shared" si="52"/>
        <v>#REF!</v>
      </c>
      <c r="DB185" s="134" t="str">
        <f t="shared" si="53"/>
        <v>#REF!</v>
      </c>
      <c r="DC185" s="135" t="str">
        <f>IF(ISNA(VLOOKUP(A185,'Données projet (1)'!$A$139:$I$159,5,0)),0%,VLOOKUP(A185,'Données projet (1)'!$A$139:$I$159,5,0)*VLOOKUP('Données projet (1)'!$B$13,'Paramètres (1)'!$A$1:$I$88,7,0))</f>
        <v>#REF!</v>
      </c>
      <c r="DD185" s="135" t="str">
        <f>IF(ISNA(VLOOKUP(A185,'Données projet (1)'!$A$139:$I$159,6,0)),0%,VLOOKUP(A185,'Données projet (1)'!$A$139:$I$159,6,0)*VLOOKUP('Données projet (1)'!$B$13,'Paramètres (1)'!$A$1:$I$88,7,0))</f>
        <v>#REF!</v>
      </c>
      <c r="DE185" s="135" t="str">
        <f t="shared" si="54"/>
        <v>#REF!</v>
      </c>
      <c r="DF185" s="142" t="str">
        <f>EXP(-LN(2)/35)*DF184+(1-EXP(-LN(2)/35))/(LN(2)/35)*DB185*DC185*VLOOKUP('Données projet (1)'!$B$13,'Paramètres (1)'!$A$1:$I$88,3,0)*0.475*44/12</f>
        <v>#REF!</v>
      </c>
      <c r="DG185" s="142" t="str">
        <f>EXP(-LN(2)/25)*DG184+(1-EXP(-LN(2)/25))/(LN(2)/25)*'Calculateur (1)'!DB185*'Calculateur (1)'!DD185*VLOOKUP('Données projet (1)'!$B$13,'Paramètres (1)'!$A$1:$I$88,3,0)*0.475*44/12</f>
        <v>#REF!</v>
      </c>
      <c r="DH185" s="142" t="str">
        <f>EXP(-LN(2)/2)*DH184+(1-EXP(-LN(2)/2))/(LN(2)/2)*DB185*DE185*VLOOKUP('Données projet (1)'!$B$13,'Paramètres (1)'!$A$1:$I$88,3,0)*0.475*44/12</f>
        <v>#REF!</v>
      </c>
      <c r="DI185" s="143" t="str">
        <f t="shared" si="55"/>
        <v>#REF!</v>
      </c>
      <c r="DJ185" s="139" t="str">
        <f t="shared" si="56"/>
        <v>#REF!</v>
      </c>
      <c r="DK185" s="131">
        <f t="shared" si="57"/>
        <v>10</v>
      </c>
      <c r="DL185" s="131" t="str">
        <f t="shared" si="128"/>
        <v>#REF!</v>
      </c>
      <c r="DM185" s="131" t="str">
        <f t="shared" si="58"/>
        <v>#REF!</v>
      </c>
      <c r="DN185" s="131" t="str">
        <f t="array" ref="DN185">INDEX(DM:DM,MIN(IF(ISNUMBER(DM185:DM381),ROW(DM185:DM381),"")))</f>
        <v/>
      </c>
      <c r="DO185" s="131" t="str">
        <f t="shared" si="129"/>
        <v>#REF!</v>
      </c>
      <c r="DP185" s="138" t="str">
        <f>DO185*VLOOKUP('Données projet (1)'!$B$14,'Paramètres (1)'!$A$1:$I$88,3,0)*VLOOKUP('Données projet (1)'!$B$14,'Paramètres (1)'!$A$1:$I$88,5,0)</f>
        <v>#REF!</v>
      </c>
      <c r="DQ185" s="130" t="str">
        <f t="shared" si="130"/>
        <v>#REF!</v>
      </c>
      <c r="DR185" s="141" t="str">
        <f t="shared" si="59"/>
        <v>#REF!</v>
      </c>
      <c r="DS185" s="133" t="str">
        <f t="shared" si="60"/>
        <v>#REF!</v>
      </c>
      <c r="DT185" s="133" t="str">
        <f t="shared" si="61"/>
        <v>#REF!</v>
      </c>
      <c r="DU185" s="133" t="str">
        <f t="shared" si="131"/>
        <v>#REF!</v>
      </c>
      <c r="DV185" s="134" t="str">
        <f t="shared" si="62"/>
        <v>#REF!</v>
      </c>
      <c r="DW185" s="134" t="str">
        <f t="shared" si="63"/>
        <v>#REF!</v>
      </c>
      <c r="DX185" s="135" t="str">
        <f>IF(ISNA(VLOOKUP(A185,'Données projet (1)'!$A$165:$I$185,5,0)),0%,VLOOKUP(A185,'Données projet (1)'!$A$165:$I$185,5,0)*VLOOKUP('Données projet (1)'!$B$14,'Paramètres (1)'!$A$1:$I$88,7,0))</f>
        <v>#REF!</v>
      </c>
      <c r="DY185" s="135" t="str">
        <f>IF(ISNA(VLOOKUP(A185,'Données projet (1)'!$A$165:$I$185,6,0)),0%,VLOOKUP(A185,'Données projet (1)'!$A$165:$I$185,6,0)*VLOOKUP('Données projet (1)'!$B$14,'Paramètres (1)'!$A$1:$I$88,7,0))</f>
        <v>#REF!</v>
      </c>
      <c r="DZ185" s="135" t="str">
        <f t="shared" si="64"/>
        <v>#REF!</v>
      </c>
      <c r="EA185" s="142" t="str">
        <f>EXP(-LN(2)/35)*EA184+(1-EXP(-LN(2)/35))/(LN(2)/35)*DW185*DX185*VLOOKUP('Données projet (1)'!$B$14,'Paramètres (1)'!$A$1:$I$88,3,0)*0.475*44/12</f>
        <v>#REF!</v>
      </c>
      <c r="EB185" s="142" t="str">
        <f>EXP(-LN(2)/25)*EB184+(1-EXP(-LN(2)/25))/(LN(2)/25)*'Calculateur (1)'!DW185*'Calculateur (1)'!DY185*VLOOKUP('Données projet (1)'!$B$14,'Paramètres (1)'!$A$1:$I$88,3,0)*0.475*44/12</f>
        <v>#REF!</v>
      </c>
      <c r="EC185" s="142" t="str">
        <f>EXP(-LN(2)/2)*EC184+(1-EXP(-LN(2)/2))/(LN(2)/2)*DW185*DZ185*VLOOKUP('Données projet (1)'!$B$14,'Paramètres (1)'!$A$1:$I$88,3,0)*0.475*44/12</f>
        <v>#REF!</v>
      </c>
      <c r="ED185" s="143" t="str">
        <f t="shared" si="65"/>
        <v>#REF!</v>
      </c>
      <c r="EE185" s="139" t="str">
        <f t="shared" si="66"/>
        <v>#REF!</v>
      </c>
      <c r="EF185" s="131">
        <f t="shared" si="67"/>
        <v>10</v>
      </c>
      <c r="EG185" s="131" t="str">
        <f t="shared" si="132"/>
        <v>#REF!</v>
      </c>
      <c r="EH185" s="131" t="str">
        <f t="shared" si="68"/>
        <v>#REF!</v>
      </c>
      <c r="EI185" s="131" t="str">
        <f t="array" ref="EI185">INDEX(EH:EH,MIN(IF(ISNUMBER(EH185:EH381),ROW(EH185:EH381),"")))</f>
        <v/>
      </c>
      <c r="EJ185" s="131" t="str">
        <f t="shared" si="133"/>
        <v>#REF!</v>
      </c>
      <c r="EK185" s="138" t="str">
        <f>EJ185*VLOOKUP('Données projet (1)'!$B$15,'Paramètres (1)'!$A$1:$I$88,3,0)*VLOOKUP('Données projet (1)'!$B$15,'Paramètres (1)'!$A$1:$I$88,5,0)</f>
        <v>#REF!</v>
      </c>
      <c r="EL185" s="130" t="str">
        <f t="shared" si="134"/>
        <v>#REF!</v>
      </c>
      <c r="EM185" s="141" t="str">
        <f t="shared" si="69"/>
        <v>#REF!</v>
      </c>
      <c r="EN185" s="133" t="str">
        <f t="shared" si="70"/>
        <v>#REF!</v>
      </c>
      <c r="EO185" s="133" t="str">
        <f t="shared" si="71"/>
        <v>#REF!</v>
      </c>
      <c r="EP185" s="133" t="str">
        <f t="shared" si="135"/>
        <v>#REF!</v>
      </c>
      <c r="EQ185" s="134" t="str">
        <f t="shared" si="72"/>
        <v>#REF!</v>
      </c>
      <c r="ER185" s="134" t="str">
        <f t="shared" si="73"/>
        <v>#REF!</v>
      </c>
      <c r="ES185" s="135" t="str">
        <f>IF(ISNA(VLOOKUP(A185,'Données projet (1)'!$A$191:$I$211,5,0)),0%,VLOOKUP(A185,'Données projet (1)'!$A$191:$I$211,5,0)*VLOOKUP('Données projet (1)'!$B$15,'Paramètres (1)'!$A$1:$I$88,7,0))</f>
        <v>#REF!</v>
      </c>
      <c r="ET185" s="135" t="str">
        <f>IF(ISNA(VLOOKUP(A185,'Données projet (1)'!$A$191:$I$211,6,0)),0%,VLOOKUP(A185,'Données projet (1)'!$A$191:$I$211,6,0)*VLOOKUP('Données projet (1)'!$B$15,'Paramètres (1)'!$A$1:$I$88,7,0))</f>
        <v>#REF!</v>
      </c>
      <c r="EU185" s="135" t="str">
        <f t="shared" si="74"/>
        <v>#REF!</v>
      </c>
      <c r="EV185" s="142" t="str">
        <f>EXP(-LN(2)/35)*EV184+(1-EXP(-LN(2)/35))/(LN(2)/35)*ER185*ES185*VLOOKUP('Données projet (1)'!$B$15,'Paramètres (1)'!$A$1:$I$88,3,0)*0.475*44/12</f>
        <v>#REF!</v>
      </c>
      <c r="EW185" s="142" t="str">
        <f>EXP(-LN(2)/25)*EW184+(1-EXP(-LN(2)/25))/(LN(2)/25)*'Calculateur (1)'!ER185*'Calculateur (1)'!ET185*VLOOKUP('Données projet (1)'!$B$15,'Paramètres (1)'!$A$1:$I$88,3,0)*0.475*44/12</f>
        <v>#REF!</v>
      </c>
      <c r="EX185" s="142" t="str">
        <f>EXP(-LN(2)/2)*EX184+(1-EXP(-LN(2)/2))/(LN(2)/2)*ER185*EU185*VLOOKUP('Données projet (1)'!$B$15,'Paramètres (1)'!$A$1:$I$88,3,0)*0.475*44/12</f>
        <v>#REF!</v>
      </c>
      <c r="EY185" s="143" t="str">
        <f t="shared" si="75"/>
        <v>#REF!</v>
      </c>
      <c r="EZ185" s="139" t="str">
        <f t="shared" si="76"/>
        <v>#REF!</v>
      </c>
      <c r="FA185" s="131">
        <f t="shared" si="77"/>
        <v>10</v>
      </c>
      <c r="FB185" s="131" t="str">
        <f t="shared" si="136"/>
        <v>#REF!</v>
      </c>
      <c r="FC185" s="131" t="str">
        <f t="shared" si="78"/>
        <v>#REF!</v>
      </c>
      <c r="FD185" s="131" t="str">
        <f t="array" ref="FD185">INDEX(FC:FC,MIN(IF(ISNUMBER(FC185:FC381),ROW(FC185:FC381),"")))</f>
        <v/>
      </c>
      <c r="FE185" s="131" t="str">
        <f t="shared" si="137"/>
        <v>#REF!</v>
      </c>
      <c r="FF185" s="138" t="str">
        <f>FE185*VLOOKUP('Données projet (1)'!$B$16,'Paramètres (1)'!$A$1:$I$88,3,0)*VLOOKUP('Données projet (1)'!$B$16,'Paramètres (1)'!$A$1:$I$88,5,0)</f>
        <v>#REF!</v>
      </c>
      <c r="FG185" s="130" t="str">
        <f t="shared" si="138"/>
        <v>#REF!</v>
      </c>
      <c r="FH185" s="141" t="str">
        <f t="shared" si="79"/>
        <v>#REF!</v>
      </c>
      <c r="FI185" s="133" t="str">
        <f t="shared" si="80"/>
        <v>#REF!</v>
      </c>
      <c r="FJ185" s="133" t="str">
        <f t="shared" si="81"/>
        <v>#REF!</v>
      </c>
      <c r="FK185" s="133" t="str">
        <f t="shared" si="139"/>
        <v>#REF!</v>
      </c>
      <c r="FL185" s="134" t="str">
        <f t="shared" si="82"/>
        <v>#REF!</v>
      </c>
      <c r="FM185" s="134" t="str">
        <f t="shared" si="83"/>
        <v>#REF!</v>
      </c>
      <c r="FN185" s="135" t="str">
        <f>IF(ISNA(VLOOKUP(A185,'Données projet (1)'!$A$217:$I$237,5,0)),0%,VLOOKUP(A185,'Données projet (1)'!$A$217:$I$237,5,0)*VLOOKUP('Données projet (1)'!$B$16,'Paramètres (1)'!$A$1:$I$88,7,0))</f>
        <v>#REF!</v>
      </c>
      <c r="FO185" s="135" t="str">
        <f>IF(ISNA(VLOOKUP(A185,'Données projet (1)'!$A$217:$I$237,6,0)),0%,VLOOKUP(A185,'Données projet (1)'!$A$217:$I$237,6,0)*VLOOKUP('Données projet (1)'!$B$16,'Paramètres (1)'!$A$1:$I$88,7,0))</f>
        <v>#REF!</v>
      </c>
      <c r="FP185" s="135" t="str">
        <f t="shared" si="84"/>
        <v>#REF!</v>
      </c>
      <c r="FQ185" s="142" t="str">
        <f>EXP(-LN(2)/35)*FQ184+(1-EXP(-LN(2)/35))/(LN(2)/35)*FM185*FN185*VLOOKUP('Données projet (1)'!$B$16,'Paramètres (1)'!$A$1:$I$88,3,0)*0.475*44/12</f>
        <v>#REF!</v>
      </c>
      <c r="FR185" s="142" t="str">
        <f>EXP(-LN(2)/25)*FR184+(1-EXP(-LN(2)/25))/(LN(2)/25)*'Calculateur (1)'!FM185*'Calculateur (1)'!FO185*VLOOKUP('Données projet (1)'!$B$16,'Paramètres (1)'!$A$1:$I$88,3,0)*0.475*44/12</f>
        <v>#REF!</v>
      </c>
      <c r="FS185" s="142" t="str">
        <f>EXP(-LN(2)/2)*FS184+(1-EXP(-LN(2)/2))/(LN(2)/2)*FM185*FP185*VLOOKUP('Données projet (1)'!$B$16,'Paramètres (1)'!$A$1:$I$88,3,0)*0.475*44/12</f>
        <v>#REF!</v>
      </c>
      <c r="FT185" s="143" t="str">
        <f t="shared" si="85"/>
        <v>#REF!</v>
      </c>
      <c r="FU185" s="139" t="str">
        <f t="shared" si="86"/>
        <v>#REF!</v>
      </c>
      <c r="FV185" s="131">
        <f t="shared" si="87"/>
        <v>10</v>
      </c>
      <c r="FW185" s="131" t="str">
        <f t="shared" si="140"/>
        <v>#REF!</v>
      </c>
      <c r="FX185" s="131" t="str">
        <f t="shared" si="88"/>
        <v>#REF!</v>
      </c>
      <c r="FY185" s="131" t="str">
        <f t="array" ref="FY185">INDEX(FX:FX,MIN(IF(ISNUMBER(FX185:FX381),ROW(FX185:FX381),"")))</f>
        <v/>
      </c>
      <c r="FZ185" s="131" t="str">
        <f t="shared" si="141"/>
        <v>#REF!</v>
      </c>
      <c r="GA185" s="138" t="str">
        <f>FZ185*VLOOKUP('Données projet (1)'!$B$17,'Paramètres (1)'!$A$1:$I$88,3,0)*VLOOKUP('Données projet (1)'!$B$17,'Paramètres (1)'!$A$1:$I$88,5,0)</f>
        <v>#REF!</v>
      </c>
      <c r="GB185" s="130" t="str">
        <f t="shared" si="142"/>
        <v>#REF!</v>
      </c>
      <c r="GC185" s="141" t="str">
        <f t="shared" si="89"/>
        <v>#REF!</v>
      </c>
      <c r="GD185" s="133" t="str">
        <f t="shared" si="90"/>
        <v>#REF!</v>
      </c>
      <c r="GE185" s="133" t="str">
        <f t="shared" si="91"/>
        <v>#REF!</v>
      </c>
      <c r="GF185" s="133" t="str">
        <f t="shared" si="143"/>
        <v>#REF!</v>
      </c>
      <c r="GG185" s="134" t="str">
        <f t="shared" si="92"/>
        <v>#REF!</v>
      </c>
      <c r="GH185" s="134" t="str">
        <f t="shared" si="93"/>
        <v>#REF!</v>
      </c>
      <c r="GI185" s="135" t="str">
        <f>IF(ISNA(VLOOKUP(A185,'Données projet (1)'!$A$243:$I$263,5,0)),0%,VLOOKUP(A185,'Données projet (1)'!$A$243:$I$263,5,0)*VLOOKUP('Données projet (1)'!$B$17,'Paramètres (1)'!$A$1:$I$88,7,0))</f>
        <v>#REF!</v>
      </c>
      <c r="GJ185" s="135" t="str">
        <f>IF(ISNA(VLOOKUP(A185,'Données projet (1)'!$A$243:$I$263,6,0)),0%,VLOOKUP(A185,'Données projet (1)'!$A$243:$I$263,6,0)*VLOOKUP('Données projet (1)'!$B$17,'Paramètres (1)'!$A$1:$I$88,7,0))</f>
        <v>#REF!</v>
      </c>
      <c r="GK185" s="135" t="str">
        <f t="shared" si="94"/>
        <v>#REF!</v>
      </c>
      <c r="GL185" s="142" t="str">
        <f>EXP(-LN(2)/35)*GL184+(1-EXP(-LN(2)/35))/(LN(2)/35)*GH185*GI185*VLOOKUP('Données projet (1)'!$B$17,'Paramètres (1)'!$A$1:$I$88,3,0)*0.475*44/12</f>
        <v>#REF!</v>
      </c>
      <c r="GM185" s="142" t="str">
        <f>EXP(-LN(2)/25)*GM184+(1-EXP(-LN(2)/25))/(LN(2)/25)*'Calculateur (1)'!GH185*'Calculateur (1)'!GJ185*VLOOKUP('Données projet (1)'!$B$17,'Paramètres (1)'!$A$1:$I$88,3,0)*0.475*44/12</f>
        <v>#REF!</v>
      </c>
      <c r="GN185" s="142" t="str">
        <f>EXP(-LN(2)/2)*GN184+(1-EXP(-LN(2)/2))/(LN(2)/2)*GH185*GK185*VLOOKUP('Données projet (1)'!$B$17,'Paramètres (1)'!$A$1:$I$88,3,0)*0.475*44/12</f>
        <v>#REF!</v>
      </c>
      <c r="GO185" s="142" t="str">
        <f t="shared" si="95"/>
        <v>#REF!</v>
      </c>
      <c r="GP185" s="139" t="str">
        <f t="shared" si="96"/>
        <v>#REF!</v>
      </c>
      <c r="GQ185" s="131">
        <f t="shared" si="97"/>
        <v>10</v>
      </c>
      <c r="GR185" s="131" t="str">
        <f t="shared" si="144"/>
        <v>#REF!</v>
      </c>
      <c r="GS185" s="131" t="str">
        <f t="shared" si="98"/>
        <v>#REF!</v>
      </c>
      <c r="GT185" s="131" t="str">
        <f t="array" ref="GT185">INDEX(GS:GS,MIN(IF(ISNUMBER(GS185:GS381),ROW(GS185:GS381),"")))</f>
        <v/>
      </c>
      <c r="GU185" s="131" t="str">
        <f t="shared" si="145"/>
        <v>#REF!</v>
      </c>
      <c r="GV185" s="138" t="str">
        <f>GU185*VLOOKUP('Données projet (1)'!$B$18,'Paramètres (1)'!$A$1:$I$88,3,0)*VLOOKUP('Données projet (1)'!$B$18,'Paramètres (1)'!$A$1:$I$88,5,0)</f>
        <v>#REF!</v>
      </c>
      <c r="GW185" s="130" t="str">
        <f t="shared" si="146"/>
        <v>#REF!</v>
      </c>
      <c r="GX185" s="141" t="str">
        <f t="shared" si="99"/>
        <v>#REF!</v>
      </c>
      <c r="GY185" s="133" t="str">
        <f t="shared" si="100"/>
        <v>#REF!</v>
      </c>
      <c r="GZ185" s="133" t="str">
        <f t="shared" si="101"/>
        <v>#REF!</v>
      </c>
      <c r="HA185" s="133" t="str">
        <f t="shared" si="147"/>
        <v>#REF!</v>
      </c>
      <c r="HB185" s="134" t="str">
        <f t="shared" si="102"/>
        <v>#REF!</v>
      </c>
      <c r="HC185" s="134" t="str">
        <f t="shared" si="103"/>
        <v>#REF!</v>
      </c>
      <c r="HD185" s="135" t="str">
        <f>IF(ISNA(VLOOKUP(A185,'Données projet (1)'!$A$269:$I$289,5,0)),0%,VLOOKUP(A185,'Données projet (1)'!$A$269:$I$289,5,0)*VLOOKUP('Données projet (1)'!$B$18,'Paramètres (1)'!$A$1:$I$88,7,0))</f>
        <v>#REF!</v>
      </c>
      <c r="HE185" s="135" t="str">
        <f>IF(ISNA(VLOOKUP(A185,'Données projet (1)'!$A$269:$I$289,6,0)),0%,VLOOKUP(A185,'Données projet (1)'!$A$269:$I$289,6,0)*VLOOKUP('Données projet (1)'!$B$18,'Paramètres (1)'!$A$1:$I$88,7,0))</f>
        <v>#REF!</v>
      </c>
      <c r="HF185" s="135" t="str">
        <f t="shared" si="104"/>
        <v>#REF!</v>
      </c>
      <c r="HG185" s="142" t="str">
        <f>EXP(-LN(2)/35)*HG184+(1-EXP(-LN(2)/35))/(LN(2)/35)*HC185*HD185*VLOOKUP('Données projet (1)'!$B$18,'Paramètres (1)'!$A$1:$I$88,3,0)*0.475*44/12</f>
        <v>#REF!</v>
      </c>
      <c r="HH185" s="142" t="str">
        <f>EXP(-LN(2)/25)*HH184+(1-EXP(-LN(2)/25))/(LN(2)/25)*'Calculateur (1)'!HC185*'Calculateur (1)'!HE185*VLOOKUP('Données projet (1)'!$B$18,'Paramètres (1)'!$A$1:$I$88,3,0)*0.475*44/12</f>
        <v>#REF!</v>
      </c>
      <c r="HI185" s="142" t="str">
        <f>EXP(-LN(2)/2)*HI184+(1-EXP(-LN(2)/2))/(LN(2)/2)*HC185*HF185*VLOOKUP('Données projet (1)'!$B$18,'Paramètres (1)'!$A$1:$I$88,3,0)*0.475*44/12</f>
        <v>#REF!</v>
      </c>
      <c r="HJ185" s="143" t="str">
        <f t="shared" si="105"/>
        <v>#REF!</v>
      </c>
    </row>
    <row r="186" ht="14.25" customHeight="1">
      <c r="A186" s="125">
        <f t="shared" si="106"/>
        <v>183</v>
      </c>
      <c r="B186" s="126" t="str">
        <f t="shared" si="1"/>
        <v>#REF!</v>
      </c>
      <c r="C186" s="140" t="str">
        <f>'Calculateur (1)'!C185+'Scénario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6" s="127">
        <f t="shared" si="107"/>
        <v>0</v>
      </c>
      <c r="E186" s="127" t="str">
        <f t="shared" si="2"/>
        <v>#REF!</v>
      </c>
      <c r="F186" s="127" t="str">
        <f t="shared" si="3"/>
        <v>#REF!</v>
      </c>
      <c r="G186" s="127" t="str">
        <f t="shared" si="4"/>
        <v>#REF!</v>
      </c>
      <c r="H186" s="128" t="str">
        <f t="shared" si="5"/>
        <v>#REF!</v>
      </c>
      <c r="I186" s="129" t="str">
        <f t="shared" si="6"/>
        <v>#REF!</v>
      </c>
      <c r="J186" s="130">
        <f t="shared" si="7"/>
        <v>10</v>
      </c>
      <c r="K186" s="131" t="str">
        <f t="shared" si="108"/>
        <v>#REF!</v>
      </c>
      <c r="L186" s="131" t="str">
        <f t="shared" si="8"/>
        <v>#REF!</v>
      </c>
      <c r="M186" s="131" t="str">
        <f t="array" ref="M186">INDEX(L:L,MIN(IF(ISNUMBER(L186:L382),ROW(L186:L382),"")))</f>
        <v/>
      </c>
      <c r="N186" s="130" t="str">
        <f t="shared" si="109"/>
        <v>#REF!</v>
      </c>
      <c r="O186" s="130" t="str">
        <f>N186*VLOOKUP('Données projet (1)'!$B$9,'Paramètres (1)'!$A$1:$I$88,3,0)*VLOOKUP('Données projet (1)'!$B$9,'Paramètres (1)'!$A$1:$I$88,5,0)</f>
        <v>#REF!</v>
      </c>
      <c r="P186" s="130" t="str">
        <f t="shared" si="110"/>
        <v>#REF!</v>
      </c>
      <c r="Q186" s="141" t="str">
        <f t="shared" si="9"/>
        <v>#REF!</v>
      </c>
      <c r="R186" s="133" t="str">
        <f t="shared" si="10"/>
        <v>#REF!</v>
      </c>
      <c r="S186" s="133" t="str">
        <f t="shared" si="11"/>
        <v>#REF!</v>
      </c>
      <c r="T186" s="133" t="str">
        <f t="shared" si="111"/>
        <v>#REF!</v>
      </c>
      <c r="U186" s="134" t="str">
        <f t="shared" si="12"/>
        <v>#REF!</v>
      </c>
      <c r="V186" s="134" t="str">
        <f t="shared" si="13"/>
        <v>#REF!</v>
      </c>
      <c r="W186" s="135" t="str">
        <f>IF(ISNA(VLOOKUP(A186,'Données projet (1)'!$A$35:$I$55,5,0)),0%,VLOOKUP(A186,'Données projet (1)'!$A$35:$I$55,5,0)*VLOOKUP('Données projet (1)'!$B$9,'Paramètres (1)'!$A$1:$I$88,7,0))</f>
        <v>#REF!</v>
      </c>
      <c r="X186" s="135" t="str">
        <f>IF(ISNA(VLOOKUP(A186,'Données projet (1)'!$A$35:$I$55,6,0)),0%,VLOOKUP(A186,'Données projet (1)'!$A$35:$I$55,6,0)*VLOOKUP('Données projet (1)'!$B$9,'Paramètres (1)'!$A$1:$I$88,7,0))</f>
        <v>#REF!</v>
      </c>
      <c r="Y186" s="135" t="str">
        <f t="shared" si="14"/>
        <v>#REF!</v>
      </c>
      <c r="Z186" s="142" t="str">
        <f>EXP(-LN(2)/35)*Z185+(1-EXP(-LN(2)/35))/(LN(2)/35)*V186*W186*VLOOKUP('Données projet (1)'!$B$9,'Paramètres (1)'!$A$1:$I$88,3,0)*0.475*44/12</f>
        <v>#REF!</v>
      </c>
      <c r="AA186" s="142" t="str">
        <f>EXP(-LN(2)/25)*AA185+(1-EXP(-LN(2)/25))/(LN(2)/25)*'Calculateur (1)'!V186*'Calculateur (1)'!X186*VLOOKUP('Données projet (1)'!$B$9,'Paramètres (1)'!$A$1:$I$88,3,0)*0.475*44/12</f>
        <v>#REF!</v>
      </c>
      <c r="AB186" s="142" t="str">
        <f>EXP(-LN(2)/2)*AB185+(1-EXP(-LN(2)/2))/(LN(2)/2)*V186*Y186*VLOOKUP('Données projet (1)'!$B$9,'Paramètres (1)'!$A$1:$I$88,3,0)*0.475*44/12</f>
        <v>#REF!</v>
      </c>
      <c r="AC186" s="143" t="str">
        <f t="shared" si="15"/>
        <v>#REF!</v>
      </c>
      <c r="AD186" s="130" t="str">
        <f t="shared" si="16"/>
        <v>#REF!</v>
      </c>
      <c r="AE186" s="130">
        <f t="shared" si="17"/>
        <v>10</v>
      </c>
      <c r="AF186" s="131" t="str">
        <f t="shared" si="112"/>
        <v>#REF!</v>
      </c>
      <c r="AG186" s="131" t="str">
        <f t="shared" si="18"/>
        <v>#REF!</v>
      </c>
      <c r="AH186" s="131" t="str">
        <f t="array" ref="AH186">INDEX(AG:AG,MIN(IF(ISNUMBER(AG186:AG382),ROW(AG186:AG382),"")))</f>
        <v/>
      </c>
      <c r="AI186" s="130" t="str">
        <f t="shared" si="113"/>
        <v>#REF!</v>
      </c>
      <c r="AJ186" s="130" t="str">
        <f>AI186*VLOOKUP('Données projet (1)'!$B$10,'Paramètres (1)'!$A$1:$I$88,3,0)*VLOOKUP('Données projet (1)'!$B$10,'Paramètres (1)'!$A$1:$I$88,5,0)</f>
        <v>#REF!</v>
      </c>
      <c r="AK186" s="130" t="str">
        <f t="shared" si="114"/>
        <v>#REF!</v>
      </c>
      <c r="AL186" s="141" t="str">
        <f t="shared" si="19"/>
        <v>#REF!</v>
      </c>
      <c r="AM186" s="133" t="str">
        <f t="shared" si="20"/>
        <v>#REF!</v>
      </c>
      <c r="AN186" s="133" t="str">
        <f t="shared" si="21"/>
        <v>#REF!</v>
      </c>
      <c r="AO186" s="133" t="str">
        <f t="shared" si="115"/>
        <v>#REF!</v>
      </c>
      <c r="AP186" s="134" t="str">
        <f t="shared" si="22"/>
        <v>#REF!</v>
      </c>
      <c r="AQ186" s="134" t="str">
        <f t="shared" si="23"/>
        <v>#REF!</v>
      </c>
      <c r="AR186" s="135" t="str">
        <f>IF(ISNA(VLOOKUP(A186,'Données projet (1)'!$A$61:$I$81,5,0)),0%,VLOOKUP(A186,'Données projet (1)'!$A$61:$I$81,5,0)*VLOOKUP('Données projet (1)'!$B$10,'Paramètres (1)'!$A$1:$I$88,7,0))</f>
        <v>#REF!</v>
      </c>
      <c r="AS186" s="135" t="str">
        <f>IF(ISNA(VLOOKUP(A186,'Données projet (1)'!$A$61:$I$81,6,0)),0%,VLOOKUP(A186,'Données projet (1)'!$A$61:$I$81,6,0)*VLOOKUP('Données projet (1)'!$B$10,'Paramètres (1)'!$A$1:$I$88,7,0))</f>
        <v>#REF!</v>
      </c>
      <c r="AT186" s="135" t="str">
        <f t="shared" si="24"/>
        <v>#REF!</v>
      </c>
      <c r="AU186" s="142" t="str">
        <f>EXP(-LN(2)/35)*AU185+(1-EXP(-LN(2)/35))/(LN(2)/35)*AQ186*AR186*VLOOKUP('Données projet (1)'!$B$10,'Paramètres (1)'!$A$1:$I$88,3,0)*0.475*44/12</f>
        <v>#REF!</v>
      </c>
      <c r="AV186" s="142" t="str">
        <f>EXP(-LN(2)/25)*AV185+(1-EXP(-LN(2)/25))/(LN(2)/25)*'Calculateur (1)'!AQ186*'Calculateur (1)'!AS186*VLOOKUP('Données projet (1)'!$B$10,'Paramètres (1)'!$A$1:$I$88,3,0)*0.475*44/12</f>
        <v>#REF!</v>
      </c>
      <c r="AW186" s="142" t="str">
        <f>EXP(-LN(2)/2)*AW185+(1-EXP(-LN(2)/2))/(LN(2)/2)*AQ186*AT186*VLOOKUP('Données projet (1)'!$B$10,'Paramètres (1)'!$A$1:$I$88,3,0)*0.475*44/12</f>
        <v>#REF!</v>
      </c>
      <c r="AX186" s="142" t="str">
        <f t="shared" si="25"/>
        <v>#REF!</v>
      </c>
      <c r="AY186" s="137" t="str">
        <f t="shared" si="26"/>
        <v>#REF!</v>
      </c>
      <c r="AZ186" s="131">
        <f t="shared" si="27"/>
        <v>10</v>
      </c>
      <c r="BA186" s="131" t="str">
        <f t="shared" si="116"/>
        <v>#REF!</v>
      </c>
      <c r="BB186" s="131" t="str">
        <f t="shared" si="28"/>
        <v>#REF!</v>
      </c>
      <c r="BC186" s="131" t="str">
        <f t="array" ref="BC186">INDEX(BB:BB,MIN(IF(ISNUMBER(BB186:BB382),ROW(BB186:BB382),"")))</f>
        <v/>
      </c>
      <c r="BD186" s="131" t="str">
        <f t="shared" si="117"/>
        <v>#REF!</v>
      </c>
      <c r="BE186" s="130" t="str">
        <f>BD186*VLOOKUP('Données projet (1)'!$B$11,'Paramètres (1)'!$A$1:$I$88,3,0)*VLOOKUP('Données projet (1)'!$B$11,'Paramètres (1)'!$A$1:$I$88,5,0)</f>
        <v>#REF!</v>
      </c>
      <c r="BF186" s="130" t="str">
        <f t="shared" si="118"/>
        <v>#REF!</v>
      </c>
      <c r="BG186" s="141" t="str">
        <f t="shared" si="29"/>
        <v>#REF!</v>
      </c>
      <c r="BH186" s="133" t="str">
        <f t="shared" si="30"/>
        <v>#REF!</v>
      </c>
      <c r="BI186" s="133" t="str">
        <f t="shared" si="31"/>
        <v>#REF!</v>
      </c>
      <c r="BJ186" s="133" t="str">
        <f t="shared" si="119"/>
        <v>#REF!</v>
      </c>
      <c r="BK186" s="134" t="str">
        <f t="shared" si="32"/>
        <v>#REF!</v>
      </c>
      <c r="BL186" s="134" t="str">
        <f t="shared" si="33"/>
        <v>#REF!</v>
      </c>
      <c r="BM186" s="135" t="str">
        <f>IF(ISNA(VLOOKUP(A186,'Données projet (1)'!$A$87:$I$107,5,0)),0%,VLOOKUP(A186,'Données projet (1)'!$A$87:$I$107,5,0)*VLOOKUP('Données projet (1)'!$B$11,'Paramètres (1)'!$A$1:$I$88,7,0))</f>
        <v>#REF!</v>
      </c>
      <c r="BN186" s="135" t="str">
        <f>IF(ISNA(VLOOKUP(A186,'Données projet (1)'!$A$87:$I$107,6,0)),0%,VLOOKUP(A186,'Données projet (1)'!$A$87:$I$107,6,0)*VLOOKUP('Données projet (1)'!$B$11,'Paramètres (1)'!$A$1:$I$88,7,0))</f>
        <v>#REF!</v>
      </c>
      <c r="BO186" s="135" t="str">
        <f t="shared" si="34"/>
        <v>#REF!</v>
      </c>
      <c r="BP186" s="142" t="str">
        <f>EXP(-LN(2)/35)*BP185+(1-EXP(-LN(2)/35))/(LN(2)/35)*BL186*BM186*VLOOKUP('Données projet (1)'!$B$11,'Paramètres (1)'!$A$1:$I$88,3,0)*0.475*44/12</f>
        <v>#REF!</v>
      </c>
      <c r="BQ186" s="142" t="str">
        <f>EXP(-LN(2)/25)*BQ185+(1-EXP(-LN(2)/25))/(LN(2)/25)*'Calculateur (1)'!BL186*'Calculateur (1)'!BN186*VLOOKUP('Données projet (1)'!$B$11,'Paramètres (1)'!$A$1:$I$88,3,0)*0.475*44/12</f>
        <v>#REF!</v>
      </c>
      <c r="BR186" s="142" t="str">
        <f>EXP(-LN(2)/2)*BR185+(1-EXP(-LN(2)/2))/(LN(2)/2)*BL186*BO186*VLOOKUP('Données projet (1)'!$B$11,'Paramètres (1)'!$A$1:$I$88,3,0)*0.475*44/12</f>
        <v>#REF!</v>
      </c>
      <c r="BS186" s="143" t="str">
        <f t="shared" si="35"/>
        <v>#REF!</v>
      </c>
      <c r="BT186" s="139" t="str">
        <f t="shared" si="36"/>
        <v>#REF!</v>
      </c>
      <c r="BU186" s="131">
        <f t="shared" si="37"/>
        <v>10</v>
      </c>
      <c r="BV186" s="131" t="str">
        <f t="shared" si="120"/>
        <v>#REF!</v>
      </c>
      <c r="BW186" s="131" t="str">
        <f t="shared" si="38"/>
        <v>#REF!</v>
      </c>
      <c r="BX186" s="131" t="str">
        <f t="array" ref="BX186">INDEX(BW:BW,MIN(IF(ISNUMBER(BW186:BW382),ROW(BW186:BW382),"")))</f>
        <v/>
      </c>
      <c r="BY186" s="131" t="str">
        <f t="shared" si="121"/>
        <v>#REF!</v>
      </c>
      <c r="BZ186" s="130" t="str">
        <f>BY186*VLOOKUP('Données projet (1)'!$B$12,'Paramètres (1)'!$A$1:$I$88,3,0)*VLOOKUP('Données projet (1)'!$B$12,'Paramètres (1)'!$A$1:$I$88,5,0)</f>
        <v>#REF!</v>
      </c>
      <c r="CA186" s="130" t="str">
        <f t="shared" si="122"/>
        <v>#REF!</v>
      </c>
      <c r="CB186" s="141" t="str">
        <f t="shared" si="39"/>
        <v>#REF!</v>
      </c>
      <c r="CC186" s="133" t="str">
        <f t="shared" si="40"/>
        <v>#REF!</v>
      </c>
      <c r="CD186" s="133" t="str">
        <f t="shared" si="41"/>
        <v>#REF!</v>
      </c>
      <c r="CE186" s="133" t="str">
        <f t="shared" si="123"/>
        <v>#REF!</v>
      </c>
      <c r="CF186" s="134" t="str">
        <f t="shared" si="42"/>
        <v>#REF!</v>
      </c>
      <c r="CG186" s="134" t="str">
        <f t="shared" si="43"/>
        <v>#REF!</v>
      </c>
      <c r="CH186" s="135" t="str">
        <f>IF(ISNA(VLOOKUP(A186,'Données projet (1)'!$A$113:$I$133,5,0)),0%,VLOOKUP(A186,'Données projet (1)'!$A$113:$I$133,5,0)*VLOOKUP('Données projet (1)'!$B$12,'Paramètres (1)'!$A$1:$I$88,7,0))</f>
        <v>#REF!</v>
      </c>
      <c r="CI186" s="135" t="str">
        <f>IF(ISNA(VLOOKUP(A186,'Données projet (1)'!$A$113:$I$133,6,0)),0%,VLOOKUP(A186,'Données projet (1)'!$A$113:$I$133,6,0)*VLOOKUP('Données projet (1)'!$B$12,'Paramètres (1)'!$A$1:$I$88,7,0))</f>
        <v>#REF!</v>
      </c>
      <c r="CJ186" s="135" t="str">
        <f t="shared" si="44"/>
        <v>#REF!</v>
      </c>
      <c r="CK186" s="142" t="str">
        <f>EXP(-LN(2)/35)*CK185+(1-EXP(-LN(2)/35))/(LN(2)/35)*CG186*CH186*VLOOKUP('Données projet (1)'!$B$12,'Paramètres (1)'!$A$1:$I$88,3,0)*0.475*44/12</f>
        <v>#REF!</v>
      </c>
      <c r="CL186" s="142" t="str">
        <f>EXP(-LN(2)/25)*CL185+(1-EXP(-LN(2)/25))/(LN(2)/25)*'Calculateur (1)'!CG186*'Calculateur (1)'!CI186*VLOOKUP('Données projet (1)'!$B$12,'Paramètres (1)'!$A$1:$I$88,3,0)*0.475*44/12</f>
        <v>#REF!</v>
      </c>
      <c r="CM186" s="142" t="str">
        <f>EXP(-LN(2)/2)*CM185+(1-EXP(-LN(2)/2))/(LN(2)/2)*CG186*CJ186*VLOOKUP('Données projet (1)'!$B$12,'Paramètres (1)'!$A$1:$I$88,3,0)*0.475*44/12</f>
        <v>#REF!</v>
      </c>
      <c r="CN186" s="143" t="str">
        <f t="shared" si="45"/>
        <v>#REF!</v>
      </c>
      <c r="CO186" s="139" t="str">
        <f t="shared" si="46"/>
        <v>#REF!</v>
      </c>
      <c r="CP186" s="131">
        <f t="shared" si="47"/>
        <v>10</v>
      </c>
      <c r="CQ186" s="131" t="str">
        <f t="shared" si="124"/>
        <v>#REF!</v>
      </c>
      <c r="CR186" s="131" t="str">
        <f t="shared" si="48"/>
        <v>#REF!</v>
      </c>
      <c r="CS186" s="131" t="str">
        <f t="array" ref="CS186">INDEX(CR:CR,MIN(IF(ISNUMBER(CR186:CR382),ROW(CR186:CR382),"")))</f>
        <v/>
      </c>
      <c r="CT186" s="131" t="str">
        <f t="shared" si="125"/>
        <v>#REF!</v>
      </c>
      <c r="CU186" s="138" t="str">
        <f>CT186*VLOOKUP('Données projet (1)'!$B$13,'Paramètres (1)'!$A$1:$I$88,3,0)*VLOOKUP('Données projet (1)'!$B$13,'Paramètres (1)'!$A$1:$I$88,5,0)</f>
        <v>#REF!</v>
      </c>
      <c r="CV186" s="130" t="str">
        <f t="shared" si="126"/>
        <v>#REF!</v>
      </c>
      <c r="CW186" s="141" t="str">
        <f t="shared" si="49"/>
        <v>#REF!</v>
      </c>
      <c r="CX186" s="133" t="str">
        <f t="shared" si="50"/>
        <v>#REF!</v>
      </c>
      <c r="CY186" s="133" t="str">
        <f t="shared" si="51"/>
        <v>#REF!</v>
      </c>
      <c r="CZ186" s="133" t="str">
        <f t="shared" si="127"/>
        <v>#REF!</v>
      </c>
      <c r="DA186" s="134" t="str">
        <f t="shared" si="52"/>
        <v>#REF!</v>
      </c>
      <c r="DB186" s="134" t="str">
        <f t="shared" si="53"/>
        <v>#REF!</v>
      </c>
      <c r="DC186" s="135" t="str">
        <f>IF(ISNA(VLOOKUP(A186,'Données projet (1)'!$A$139:$I$159,5,0)),0%,VLOOKUP(A186,'Données projet (1)'!$A$139:$I$159,5,0)*VLOOKUP('Données projet (1)'!$B$13,'Paramètres (1)'!$A$1:$I$88,7,0))</f>
        <v>#REF!</v>
      </c>
      <c r="DD186" s="135" t="str">
        <f>IF(ISNA(VLOOKUP(A186,'Données projet (1)'!$A$139:$I$159,6,0)),0%,VLOOKUP(A186,'Données projet (1)'!$A$139:$I$159,6,0)*VLOOKUP('Données projet (1)'!$B$13,'Paramètres (1)'!$A$1:$I$88,7,0))</f>
        <v>#REF!</v>
      </c>
      <c r="DE186" s="135" t="str">
        <f t="shared" si="54"/>
        <v>#REF!</v>
      </c>
      <c r="DF186" s="142" t="str">
        <f>EXP(-LN(2)/35)*DF185+(1-EXP(-LN(2)/35))/(LN(2)/35)*DB186*DC186*VLOOKUP('Données projet (1)'!$B$13,'Paramètres (1)'!$A$1:$I$88,3,0)*0.475*44/12</f>
        <v>#REF!</v>
      </c>
      <c r="DG186" s="142" t="str">
        <f>EXP(-LN(2)/25)*DG185+(1-EXP(-LN(2)/25))/(LN(2)/25)*'Calculateur (1)'!DB186*'Calculateur (1)'!DD186*VLOOKUP('Données projet (1)'!$B$13,'Paramètres (1)'!$A$1:$I$88,3,0)*0.475*44/12</f>
        <v>#REF!</v>
      </c>
      <c r="DH186" s="142" t="str">
        <f>EXP(-LN(2)/2)*DH185+(1-EXP(-LN(2)/2))/(LN(2)/2)*DB186*DE186*VLOOKUP('Données projet (1)'!$B$13,'Paramètres (1)'!$A$1:$I$88,3,0)*0.475*44/12</f>
        <v>#REF!</v>
      </c>
      <c r="DI186" s="143" t="str">
        <f t="shared" si="55"/>
        <v>#REF!</v>
      </c>
      <c r="DJ186" s="139" t="str">
        <f t="shared" si="56"/>
        <v>#REF!</v>
      </c>
      <c r="DK186" s="131">
        <f t="shared" si="57"/>
        <v>10</v>
      </c>
      <c r="DL186" s="131" t="str">
        <f t="shared" si="128"/>
        <v>#REF!</v>
      </c>
      <c r="DM186" s="131" t="str">
        <f t="shared" si="58"/>
        <v>#REF!</v>
      </c>
      <c r="DN186" s="131" t="str">
        <f t="array" ref="DN186">INDEX(DM:DM,MIN(IF(ISNUMBER(DM186:DM382),ROW(DM186:DM382),"")))</f>
        <v/>
      </c>
      <c r="DO186" s="131" t="str">
        <f t="shared" si="129"/>
        <v>#REF!</v>
      </c>
      <c r="DP186" s="138" t="str">
        <f>DO186*VLOOKUP('Données projet (1)'!$B$14,'Paramètres (1)'!$A$1:$I$88,3,0)*VLOOKUP('Données projet (1)'!$B$14,'Paramètres (1)'!$A$1:$I$88,5,0)</f>
        <v>#REF!</v>
      </c>
      <c r="DQ186" s="130" t="str">
        <f t="shared" si="130"/>
        <v>#REF!</v>
      </c>
      <c r="DR186" s="141" t="str">
        <f t="shared" si="59"/>
        <v>#REF!</v>
      </c>
      <c r="DS186" s="133" t="str">
        <f t="shared" si="60"/>
        <v>#REF!</v>
      </c>
      <c r="DT186" s="133" t="str">
        <f t="shared" si="61"/>
        <v>#REF!</v>
      </c>
      <c r="DU186" s="133" t="str">
        <f t="shared" si="131"/>
        <v>#REF!</v>
      </c>
      <c r="DV186" s="134" t="str">
        <f t="shared" si="62"/>
        <v>#REF!</v>
      </c>
      <c r="DW186" s="134" t="str">
        <f t="shared" si="63"/>
        <v>#REF!</v>
      </c>
      <c r="DX186" s="135" t="str">
        <f>IF(ISNA(VLOOKUP(A186,'Données projet (1)'!$A$165:$I$185,5,0)),0%,VLOOKUP(A186,'Données projet (1)'!$A$165:$I$185,5,0)*VLOOKUP('Données projet (1)'!$B$14,'Paramètres (1)'!$A$1:$I$88,7,0))</f>
        <v>#REF!</v>
      </c>
      <c r="DY186" s="135" t="str">
        <f>IF(ISNA(VLOOKUP(A186,'Données projet (1)'!$A$165:$I$185,6,0)),0%,VLOOKUP(A186,'Données projet (1)'!$A$165:$I$185,6,0)*VLOOKUP('Données projet (1)'!$B$14,'Paramètres (1)'!$A$1:$I$88,7,0))</f>
        <v>#REF!</v>
      </c>
      <c r="DZ186" s="135" t="str">
        <f t="shared" si="64"/>
        <v>#REF!</v>
      </c>
      <c r="EA186" s="142" t="str">
        <f>EXP(-LN(2)/35)*EA185+(1-EXP(-LN(2)/35))/(LN(2)/35)*DW186*DX186*VLOOKUP('Données projet (1)'!$B$14,'Paramètres (1)'!$A$1:$I$88,3,0)*0.475*44/12</f>
        <v>#REF!</v>
      </c>
      <c r="EB186" s="142" t="str">
        <f>EXP(-LN(2)/25)*EB185+(1-EXP(-LN(2)/25))/(LN(2)/25)*'Calculateur (1)'!DW186*'Calculateur (1)'!DY186*VLOOKUP('Données projet (1)'!$B$14,'Paramètres (1)'!$A$1:$I$88,3,0)*0.475*44/12</f>
        <v>#REF!</v>
      </c>
      <c r="EC186" s="142" t="str">
        <f>EXP(-LN(2)/2)*EC185+(1-EXP(-LN(2)/2))/(LN(2)/2)*DW186*DZ186*VLOOKUP('Données projet (1)'!$B$14,'Paramètres (1)'!$A$1:$I$88,3,0)*0.475*44/12</f>
        <v>#REF!</v>
      </c>
      <c r="ED186" s="143" t="str">
        <f t="shared" si="65"/>
        <v>#REF!</v>
      </c>
      <c r="EE186" s="139" t="str">
        <f t="shared" si="66"/>
        <v>#REF!</v>
      </c>
      <c r="EF186" s="131">
        <f t="shared" si="67"/>
        <v>10</v>
      </c>
      <c r="EG186" s="131" t="str">
        <f t="shared" si="132"/>
        <v>#REF!</v>
      </c>
      <c r="EH186" s="131" t="str">
        <f t="shared" si="68"/>
        <v>#REF!</v>
      </c>
      <c r="EI186" s="131" t="str">
        <f t="array" ref="EI186">INDEX(EH:EH,MIN(IF(ISNUMBER(EH186:EH382),ROW(EH186:EH382),"")))</f>
        <v/>
      </c>
      <c r="EJ186" s="131" t="str">
        <f t="shared" si="133"/>
        <v>#REF!</v>
      </c>
      <c r="EK186" s="138" t="str">
        <f>EJ186*VLOOKUP('Données projet (1)'!$B$15,'Paramètres (1)'!$A$1:$I$88,3,0)*VLOOKUP('Données projet (1)'!$B$15,'Paramètres (1)'!$A$1:$I$88,5,0)</f>
        <v>#REF!</v>
      </c>
      <c r="EL186" s="130" t="str">
        <f t="shared" si="134"/>
        <v>#REF!</v>
      </c>
      <c r="EM186" s="141" t="str">
        <f t="shared" si="69"/>
        <v>#REF!</v>
      </c>
      <c r="EN186" s="133" t="str">
        <f t="shared" si="70"/>
        <v>#REF!</v>
      </c>
      <c r="EO186" s="133" t="str">
        <f t="shared" si="71"/>
        <v>#REF!</v>
      </c>
      <c r="EP186" s="133" t="str">
        <f t="shared" si="135"/>
        <v>#REF!</v>
      </c>
      <c r="EQ186" s="134" t="str">
        <f t="shared" si="72"/>
        <v>#REF!</v>
      </c>
      <c r="ER186" s="134" t="str">
        <f t="shared" si="73"/>
        <v>#REF!</v>
      </c>
      <c r="ES186" s="135" t="str">
        <f>IF(ISNA(VLOOKUP(A186,'Données projet (1)'!$A$191:$I$211,5,0)),0%,VLOOKUP(A186,'Données projet (1)'!$A$191:$I$211,5,0)*VLOOKUP('Données projet (1)'!$B$15,'Paramètres (1)'!$A$1:$I$88,7,0))</f>
        <v>#REF!</v>
      </c>
      <c r="ET186" s="135" t="str">
        <f>IF(ISNA(VLOOKUP(A186,'Données projet (1)'!$A$191:$I$211,6,0)),0%,VLOOKUP(A186,'Données projet (1)'!$A$191:$I$211,6,0)*VLOOKUP('Données projet (1)'!$B$15,'Paramètres (1)'!$A$1:$I$88,7,0))</f>
        <v>#REF!</v>
      </c>
      <c r="EU186" s="135" t="str">
        <f t="shared" si="74"/>
        <v>#REF!</v>
      </c>
      <c r="EV186" s="142" t="str">
        <f>EXP(-LN(2)/35)*EV185+(1-EXP(-LN(2)/35))/(LN(2)/35)*ER186*ES186*VLOOKUP('Données projet (1)'!$B$15,'Paramètres (1)'!$A$1:$I$88,3,0)*0.475*44/12</f>
        <v>#REF!</v>
      </c>
      <c r="EW186" s="142" t="str">
        <f>EXP(-LN(2)/25)*EW185+(1-EXP(-LN(2)/25))/(LN(2)/25)*'Calculateur (1)'!ER186*'Calculateur (1)'!ET186*VLOOKUP('Données projet (1)'!$B$15,'Paramètres (1)'!$A$1:$I$88,3,0)*0.475*44/12</f>
        <v>#REF!</v>
      </c>
      <c r="EX186" s="142" t="str">
        <f>EXP(-LN(2)/2)*EX185+(1-EXP(-LN(2)/2))/(LN(2)/2)*ER186*EU186*VLOOKUP('Données projet (1)'!$B$15,'Paramètres (1)'!$A$1:$I$88,3,0)*0.475*44/12</f>
        <v>#REF!</v>
      </c>
      <c r="EY186" s="143" t="str">
        <f t="shared" si="75"/>
        <v>#REF!</v>
      </c>
      <c r="EZ186" s="139" t="str">
        <f t="shared" si="76"/>
        <v>#REF!</v>
      </c>
      <c r="FA186" s="131">
        <f t="shared" si="77"/>
        <v>10</v>
      </c>
      <c r="FB186" s="131" t="str">
        <f t="shared" si="136"/>
        <v>#REF!</v>
      </c>
      <c r="FC186" s="131" t="str">
        <f t="shared" si="78"/>
        <v>#REF!</v>
      </c>
      <c r="FD186" s="131" t="str">
        <f t="array" ref="FD186">INDEX(FC:FC,MIN(IF(ISNUMBER(FC186:FC382),ROW(FC186:FC382),"")))</f>
        <v/>
      </c>
      <c r="FE186" s="131" t="str">
        <f t="shared" si="137"/>
        <v>#REF!</v>
      </c>
      <c r="FF186" s="138" t="str">
        <f>FE186*VLOOKUP('Données projet (1)'!$B$16,'Paramètres (1)'!$A$1:$I$88,3,0)*VLOOKUP('Données projet (1)'!$B$16,'Paramètres (1)'!$A$1:$I$88,5,0)</f>
        <v>#REF!</v>
      </c>
      <c r="FG186" s="130" t="str">
        <f t="shared" si="138"/>
        <v>#REF!</v>
      </c>
      <c r="FH186" s="141" t="str">
        <f t="shared" si="79"/>
        <v>#REF!</v>
      </c>
      <c r="FI186" s="133" t="str">
        <f t="shared" si="80"/>
        <v>#REF!</v>
      </c>
      <c r="FJ186" s="133" t="str">
        <f t="shared" si="81"/>
        <v>#REF!</v>
      </c>
      <c r="FK186" s="133" t="str">
        <f t="shared" si="139"/>
        <v>#REF!</v>
      </c>
      <c r="FL186" s="134" t="str">
        <f t="shared" si="82"/>
        <v>#REF!</v>
      </c>
      <c r="FM186" s="134" t="str">
        <f t="shared" si="83"/>
        <v>#REF!</v>
      </c>
      <c r="FN186" s="135" t="str">
        <f>IF(ISNA(VLOOKUP(A186,'Données projet (1)'!$A$217:$I$237,5,0)),0%,VLOOKUP(A186,'Données projet (1)'!$A$217:$I$237,5,0)*VLOOKUP('Données projet (1)'!$B$16,'Paramètres (1)'!$A$1:$I$88,7,0))</f>
        <v>#REF!</v>
      </c>
      <c r="FO186" s="135" t="str">
        <f>IF(ISNA(VLOOKUP(A186,'Données projet (1)'!$A$217:$I$237,6,0)),0%,VLOOKUP(A186,'Données projet (1)'!$A$217:$I$237,6,0)*VLOOKUP('Données projet (1)'!$B$16,'Paramètres (1)'!$A$1:$I$88,7,0))</f>
        <v>#REF!</v>
      </c>
      <c r="FP186" s="135" t="str">
        <f t="shared" si="84"/>
        <v>#REF!</v>
      </c>
      <c r="FQ186" s="142" t="str">
        <f>EXP(-LN(2)/35)*FQ185+(1-EXP(-LN(2)/35))/(LN(2)/35)*FM186*FN186*VLOOKUP('Données projet (1)'!$B$16,'Paramètres (1)'!$A$1:$I$88,3,0)*0.475*44/12</f>
        <v>#REF!</v>
      </c>
      <c r="FR186" s="142" t="str">
        <f>EXP(-LN(2)/25)*FR185+(1-EXP(-LN(2)/25))/(LN(2)/25)*'Calculateur (1)'!FM186*'Calculateur (1)'!FO186*VLOOKUP('Données projet (1)'!$B$16,'Paramètres (1)'!$A$1:$I$88,3,0)*0.475*44/12</f>
        <v>#REF!</v>
      </c>
      <c r="FS186" s="142" t="str">
        <f>EXP(-LN(2)/2)*FS185+(1-EXP(-LN(2)/2))/(LN(2)/2)*FM186*FP186*VLOOKUP('Données projet (1)'!$B$16,'Paramètres (1)'!$A$1:$I$88,3,0)*0.475*44/12</f>
        <v>#REF!</v>
      </c>
      <c r="FT186" s="143" t="str">
        <f t="shared" si="85"/>
        <v>#REF!</v>
      </c>
      <c r="FU186" s="139" t="str">
        <f t="shared" si="86"/>
        <v>#REF!</v>
      </c>
      <c r="FV186" s="131">
        <f t="shared" si="87"/>
        <v>10</v>
      </c>
      <c r="FW186" s="131" t="str">
        <f t="shared" si="140"/>
        <v>#REF!</v>
      </c>
      <c r="FX186" s="131" t="str">
        <f t="shared" si="88"/>
        <v>#REF!</v>
      </c>
      <c r="FY186" s="131" t="str">
        <f t="array" ref="FY186">INDEX(FX:FX,MIN(IF(ISNUMBER(FX186:FX382),ROW(FX186:FX382),"")))</f>
        <v/>
      </c>
      <c r="FZ186" s="131" t="str">
        <f t="shared" si="141"/>
        <v>#REF!</v>
      </c>
      <c r="GA186" s="138" t="str">
        <f>FZ186*VLOOKUP('Données projet (1)'!$B$17,'Paramètres (1)'!$A$1:$I$88,3,0)*VLOOKUP('Données projet (1)'!$B$17,'Paramètres (1)'!$A$1:$I$88,5,0)</f>
        <v>#REF!</v>
      </c>
      <c r="GB186" s="130" t="str">
        <f t="shared" si="142"/>
        <v>#REF!</v>
      </c>
      <c r="GC186" s="141" t="str">
        <f t="shared" si="89"/>
        <v>#REF!</v>
      </c>
      <c r="GD186" s="133" t="str">
        <f t="shared" si="90"/>
        <v>#REF!</v>
      </c>
      <c r="GE186" s="133" t="str">
        <f t="shared" si="91"/>
        <v>#REF!</v>
      </c>
      <c r="GF186" s="133" t="str">
        <f t="shared" si="143"/>
        <v>#REF!</v>
      </c>
      <c r="GG186" s="134" t="str">
        <f t="shared" si="92"/>
        <v>#REF!</v>
      </c>
      <c r="GH186" s="134" t="str">
        <f t="shared" si="93"/>
        <v>#REF!</v>
      </c>
      <c r="GI186" s="135" t="str">
        <f>IF(ISNA(VLOOKUP(A186,'Données projet (1)'!$A$243:$I$263,5,0)),0%,VLOOKUP(A186,'Données projet (1)'!$A$243:$I$263,5,0)*VLOOKUP('Données projet (1)'!$B$17,'Paramètres (1)'!$A$1:$I$88,7,0))</f>
        <v>#REF!</v>
      </c>
      <c r="GJ186" s="135" t="str">
        <f>IF(ISNA(VLOOKUP(A186,'Données projet (1)'!$A$243:$I$263,6,0)),0%,VLOOKUP(A186,'Données projet (1)'!$A$243:$I$263,6,0)*VLOOKUP('Données projet (1)'!$B$17,'Paramètres (1)'!$A$1:$I$88,7,0))</f>
        <v>#REF!</v>
      </c>
      <c r="GK186" s="135" t="str">
        <f t="shared" si="94"/>
        <v>#REF!</v>
      </c>
      <c r="GL186" s="142" t="str">
        <f>EXP(-LN(2)/35)*GL185+(1-EXP(-LN(2)/35))/(LN(2)/35)*GH186*GI186*VLOOKUP('Données projet (1)'!$B$17,'Paramètres (1)'!$A$1:$I$88,3,0)*0.475*44/12</f>
        <v>#REF!</v>
      </c>
      <c r="GM186" s="142" t="str">
        <f>EXP(-LN(2)/25)*GM185+(1-EXP(-LN(2)/25))/(LN(2)/25)*'Calculateur (1)'!GH186*'Calculateur (1)'!GJ186*VLOOKUP('Données projet (1)'!$B$17,'Paramètres (1)'!$A$1:$I$88,3,0)*0.475*44/12</f>
        <v>#REF!</v>
      </c>
      <c r="GN186" s="142" t="str">
        <f>EXP(-LN(2)/2)*GN185+(1-EXP(-LN(2)/2))/(LN(2)/2)*GH186*GK186*VLOOKUP('Données projet (1)'!$B$17,'Paramètres (1)'!$A$1:$I$88,3,0)*0.475*44/12</f>
        <v>#REF!</v>
      </c>
      <c r="GO186" s="142" t="str">
        <f t="shared" si="95"/>
        <v>#REF!</v>
      </c>
      <c r="GP186" s="139" t="str">
        <f t="shared" si="96"/>
        <v>#REF!</v>
      </c>
      <c r="GQ186" s="131">
        <f t="shared" si="97"/>
        <v>10</v>
      </c>
      <c r="GR186" s="131" t="str">
        <f t="shared" si="144"/>
        <v>#REF!</v>
      </c>
      <c r="GS186" s="131" t="str">
        <f t="shared" si="98"/>
        <v>#REF!</v>
      </c>
      <c r="GT186" s="131" t="str">
        <f t="array" ref="GT186">INDEX(GS:GS,MIN(IF(ISNUMBER(GS186:GS382),ROW(GS186:GS382),"")))</f>
        <v/>
      </c>
      <c r="GU186" s="131" t="str">
        <f t="shared" si="145"/>
        <v>#REF!</v>
      </c>
      <c r="GV186" s="138" t="str">
        <f>GU186*VLOOKUP('Données projet (1)'!$B$18,'Paramètres (1)'!$A$1:$I$88,3,0)*VLOOKUP('Données projet (1)'!$B$18,'Paramètres (1)'!$A$1:$I$88,5,0)</f>
        <v>#REF!</v>
      </c>
      <c r="GW186" s="130" t="str">
        <f t="shared" si="146"/>
        <v>#REF!</v>
      </c>
      <c r="GX186" s="141" t="str">
        <f t="shared" si="99"/>
        <v>#REF!</v>
      </c>
      <c r="GY186" s="133" t="str">
        <f t="shared" si="100"/>
        <v>#REF!</v>
      </c>
      <c r="GZ186" s="133" t="str">
        <f t="shared" si="101"/>
        <v>#REF!</v>
      </c>
      <c r="HA186" s="133" t="str">
        <f t="shared" si="147"/>
        <v>#REF!</v>
      </c>
      <c r="HB186" s="134" t="str">
        <f t="shared" si="102"/>
        <v>#REF!</v>
      </c>
      <c r="HC186" s="134" t="str">
        <f t="shared" si="103"/>
        <v>#REF!</v>
      </c>
      <c r="HD186" s="135" t="str">
        <f>IF(ISNA(VLOOKUP(A186,'Données projet (1)'!$A$269:$I$289,5,0)),0%,VLOOKUP(A186,'Données projet (1)'!$A$269:$I$289,5,0)*VLOOKUP('Données projet (1)'!$B$18,'Paramètres (1)'!$A$1:$I$88,7,0))</f>
        <v>#REF!</v>
      </c>
      <c r="HE186" s="135" t="str">
        <f>IF(ISNA(VLOOKUP(A186,'Données projet (1)'!$A$269:$I$289,6,0)),0%,VLOOKUP(A186,'Données projet (1)'!$A$269:$I$289,6,0)*VLOOKUP('Données projet (1)'!$B$18,'Paramètres (1)'!$A$1:$I$88,7,0))</f>
        <v>#REF!</v>
      </c>
      <c r="HF186" s="135" t="str">
        <f t="shared" si="104"/>
        <v>#REF!</v>
      </c>
      <c r="HG186" s="142" t="str">
        <f>EXP(-LN(2)/35)*HG185+(1-EXP(-LN(2)/35))/(LN(2)/35)*HC186*HD186*VLOOKUP('Données projet (1)'!$B$18,'Paramètres (1)'!$A$1:$I$88,3,0)*0.475*44/12</f>
        <v>#REF!</v>
      </c>
      <c r="HH186" s="142" t="str">
        <f>EXP(-LN(2)/25)*HH185+(1-EXP(-LN(2)/25))/(LN(2)/25)*'Calculateur (1)'!HC186*'Calculateur (1)'!HE186*VLOOKUP('Données projet (1)'!$B$18,'Paramètres (1)'!$A$1:$I$88,3,0)*0.475*44/12</f>
        <v>#REF!</v>
      </c>
      <c r="HI186" s="142" t="str">
        <f>EXP(-LN(2)/2)*HI185+(1-EXP(-LN(2)/2))/(LN(2)/2)*HC186*HF186*VLOOKUP('Données projet (1)'!$B$18,'Paramètres (1)'!$A$1:$I$88,3,0)*0.475*44/12</f>
        <v>#REF!</v>
      </c>
      <c r="HJ186" s="143" t="str">
        <f t="shared" si="105"/>
        <v>#REF!</v>
      </c>
    </row>
    <row r="187" ht="14.25" customHeight="1">
      <c r="A187" s="125">
        <f t="shared" si="106"/>
        <v>184</v>
      </c>
      <c r="B187" s="126" t="str">
        <f t="shared" si="1"/>
        <v>#REF!</v>
      </c>
      <c r="C187" s="140" t="str">
        <f>'Calculateur (1)'!C186+'Scénario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7" s="127">
        <f t="shared" si="107"/>
        <v>0</v>
      </c>
      <c r="E187" s="127" t="str">
        <f t="shared" si="2"/>
        <v>#REF!</v>
      </c>
      <c r="F187" s="127" t="str">
        <f t="shared" si="3"/>
        <v>#REF!</v>
      </c>
      <c r="G187" s="127" t="str">
        <f t="shared" si="4"/>
        <v>#REF!</v>
      </c>
      <c r="H187" s="128" t="str">
        <f t="shared" si="5"/>
        <v>#REF!</v>
      </c>
      <c r="I187" s="129" t="str">
        <f t="shared" si="6"/>
        <v>#REF!</v>
      </c>
      <c r="J187" s="130">
        <f t="shared" si="7"/>
        <v>10</v>
      </c>
      <c r="K187" s="131" t="str">
        <f t="shared" si="108"/>
        <v>#REF!</v>
      </c>
      <c r="L187" s="131" t="str">
        <f t="shared" si="8"/>
        <v>#REF!</v>
      </c>
      <c r="M187" s="131" t="str">
        <f t="array" ref="M187">INDEX(L:L,MIN(IF(ISNUMBER(L187:L383),ROW(L187:L383),"")))</f>
        <v/>
      </c>
      <c r="N187" s="130" t="str">
        <f t="shared" si="109"/>
        <v>#REF!</v>
      </c>
      <c r="O187" s="130" t="str">
        <f>N187*VLOOKUP('Données projet (1)'!$B$9,'Paramètres (1)'!$A$1:$I$88,3,0)*VLOOKUP('Données projet (1)'!$B$9,'Paramètres (1)'!$A$1:$I$88,5,0)</f>
        <v>#REF!</v>
      </c>
      <c r="P187" s="130" t="str">
        <f t="shared" si="110"/>
        <v>#REF!</v>
      </c>
      <c r="Q187" s="141" t="str">
        <f t="shared" si="9"/>
        <v>#REF!</v>
      </c>
      <c r="R187" s="133" t="str">
        <f t="shared" si="10"/>
        <v>#REF!</v>
      </c>
      <c r="S187" s="133" t="str">
        <f t="shared" si="11"/>
        <v>#REF!</v>
      </c>
      <c r="T187" s="133" t="str">
        <f t="shared" si="111"/>
        <v>#REF!</v>
      </c>
      <c r="U187" s="134" t="str">
        <f t="shared" si="12"/>
        <v>#REF!</v>
      </c>
      <c r="V187" s="134" t="str">
        <f t="shared" si="13"/>
        <v>#REF!</v>
      </c>
      <c r="W187" s="135" t="str">
        <f>IF(ISNA(VLOOKUP(A187,'Données projet (1)'!$A$35:$I$55,5,0)),0%,VLOOKUP(A187,'Données projet (1)'!$A$35:$I$55,5,0)*VLOOKUP('Données projet (1)'!$B$9,'Paramètres (1)'!$A$1:$I$88,7,0))</f>
        <v>#REF!</v>
      </c>
      <c r="X187" s="135" t="str">
        <f>IF(ISNA(VLOOKUP(A187,'Données projet (1)'!$A$35:$I$55,6,0)),0%,VLOOKUP(A187,'Données projet (1)'!$A$35:$I$55,6,0)*VLOOKUP('Données projet (1)'!$B$9,'Paramètres (1)'!$A$1:$I$88,7,0))</f>
        <v>#REF!</v>
      </c>
      <c r="Y187" s="135" t="str">
        <f t="shared" si="14"/>
        <v>#REF!</v>
      </c>
      <c r="Z187" s="142" t="str">
        <f>EXP(-LN(2)/35)*Z186+(1-EXP(-LN(2)/35))/(LN(2)/35)*V187*W187*VLOOKUP('Données projet (1)'!$B$9,'Paramètres (1)'!$A$1:$I$88,3,0)*0.475*44/12</f>
        <v>#REF!</v>
      </c>
      <c r="AA187" s="142" t="str">
        <f>EXP(-LN(2)/25)*AA186+(1-EXP(-LN(2)/25))/(LN(2)/25)*'Calculateur (1)'!V187*'Calculateur (1)'!X187*VLOOKUP('Données projet (1)'!$B$9,'Paramètres (1)'!$A$1:$I$88,3,0)*0.475*44/12</f>
        <v>#REF!</v>
      </c>
      <c r="AB187" s="142" t="str">
        <f>EXP(-LN(2)/2)*AB186+(1-EXP(-LN(2)/2))/(LN(2)/2)*V187*Y187*VLOOKUP('Données projet (1)'!$B$9,'Paramètres (1)'!$A$1:$I$88,3,0)*0.475*44/12</f>
        <v>#REF!</v>
      </c>
      <c r="AC187" s="143" t="str">
        <f t="shared" si="15"/>
        <v>#REF!</v>
      </c>
      <c r="AD187" s="130" t="str">
        <f t="shared" si="16"/>
        <v>#REF!</v>
      </c>
      <c r="AE187" s="130">
        <f t="shared" si="17"/>
        <v>10</v>
      </c>
      <c r="AF187" s="131" t="str">
        <f t="shared" si="112"/>
        <v>#REF!</v>
      </c>
      <c r="AG187" s="131" t="str">
        <f t="shared" si="18"/>
        <v>#REF!</v>
      </c>
      <c r="AH187" s="131" t="str">
        <f t="array" ref="AH187">INDEX(AG:AG,MIN(IF(ISNUMBER(AG187:AG383),ROW(AG187:AG383),"")))</f>
        <v/>
      </c>
      <c r="AI187" s="130" t="str">
        <f t="shared" si="113"/>
        <v>#REF!</v>
      </c>
      <c r="AJ187" s="130" t="str">
        <f>AI187*VLOOKUP('Données projet (1)'!$B$10,'Paramètres (1)'!$A$1:$I$88,3,0)*VLOOKUP('Données projet (1)'!$B$10,'Paramètres (1)'!$A$1:$I$88,5,0)</f>
        <v>#REF!</v>
      </c>
      <c r="AK187" s="130" t="str">
        <f t="shared" si="114"/>
        <v>#REF!</v>
      </c>
      <c r="AL187" s="141" t="str">
        <f t="shared" si="19"/>
        <v>#REF!</v>
      </c>
      <c r="AM187" s="133" t="str">
        <f t="shared" si="20"/>
        <v>#REF!</v>
      </c>
      <c r="AN187" s="133" t="str">
        <f t="shared" si="21"/>
        <v>#REF!</v>
      </c>
      <c r="AO187" s="133" t="str">
        <f t="shared" si="115"/>
        <v>#REF!</v>
      </c>
      <c r="AP187" s="134" t="str">
        <f t="shared" si="22"/>
        <v>#REF!</v>
      </c>
      <c r="AQ187" s="134" t="str">
        <f t="shared" si="23"/>
        <v>#REF!</v>
      </c>
      <c r="AR187" s="135" t="str">
        <f>IF(ISNA(VLOOKUP(A187,'Données projet (1)'!$A$61:$I$81,5,0)),0%,VLOOKUP(A187,'Données projet (1)'!$A$61:$I$81,5,0)*VLOOKUP('Données projet (1)'!$B$10,'Paramètres (1)'!$A$1:$I$88,7,0))</f>
        <v>#REF!</v>
      </c>
      <c r="AS187" s="135" t="str">
        <f>IF(ISNA(VLOOKUP(A187,'Données projet (1)'!$A$61:$I$81,6,0)),0%,VLOOKUP(A187,'Données projet (1)'!$A$61:$I$81,6,0)*VLOOKUP('Données projet (1)'!$B$10,'Paramètres (1)'!$A$1:$I$88,7,0))</f>
        <v>#REF!</v>
      </c>
      <c r="AT187" s="135" t="str">
        <f t="shared" si="24"/>
        <v>#REF!</v>
      </c>
      <c r="AU187" s="142" t="str">
        <f>EXP(-LN(2)/35)*AU186+(1-EXP(-LN(2)/35))/(LN(2)/35)*AQ187*AR187*VLOOKUP('Données projet (1)'!$B$10,'Paramètres (1)'!$A$1:$I$88,3,0)*0.475*44/12</f>
        <v>#REF!</v>
      </c>
      <c r="AV187" s="142" t="str">
        <f>EXP(-LN(2)/25)*AV186+(1-EXP(-LN(2)/25))/(LN(2)/25)*'Calculateur (1)'!AQ187*'Calculateur (1)'!AS187*VLOOKUP('Données projet (1)'!$B$10,'Paramètres (1)'!$A$1:$I$88,3,0)*0.475*44/12</f>
        <v>#REF!</v>
      </c>
      <c r="AW187" s="142" t="str">
        <f>EXP(-LN(2)/2)*AW186+(1-EXP(-LN(2)/2))/(LN(2)/2)*AQ187*AT187*VLOOKUP('Données projet (1)'!$B$10,'Paramètres (1)'!$A$1:$I$88,3,0)*0.475*44/12</f>
        <v>#REF!</v>
      </c>
      <c r="AX187" s="142" t="str">
        <f t="shared" si="25"/>
        <v>#REF!</v>
      </c>
      <c r="AY187" s="137" t="str">
        <f t="shared" si="26"/>
        <v>#REF!</v>
      </c>
      <c r="AZ187" s="131">
        <f t="shared" si="27"/>
        <v>10</v>
      </c>
      <c r="BA187" s="131" t="str">
        <f t="shared" si="116"/>
        <v>#REF!</v>
      </c>
      <c r="BB187" s="131" t="str">
        <f t="shared" si="28"/>
        <v>#REF!</v>
      </c>
      <c r="BC187" s="131" t="str">
        <f t="array" ref="BC187">INDEX(BB:BB,MIN(IF(ISNUMBER(BB187:BB383),ROW(BB187:BB383),"")))</f>
        <v/>
      </c>
      <c r="BD187" s="131" t="str">
        <f t="shared" si="117"/>
        <v>#REF!</v>
      </c>
      <c r="BE187" s="130" t="str">
        <f>BD187*VLOOKUP('Données projet (1)'!$B$11,'Paramètres (1)'!$A$1:$I$88,3,0)*VLOOKUP('Données projet (1)'!$B$11,'Paramètres (1)'!$A$1:$I$88,5,0)</f>
        <v>#REF!</v>
      </c>
      <c r="BF187" s="130" t="str">
        <f t="shared" si="118"/>
        <v>#REF!</v>
      </c>
      <c r="BG187" s="141" t="str">
        <f t="shared" si="29"/>
        <v>#REF!</v>
      </c>
      <c r="BH187" s="133" t="str">
        <f t="shared" si="30"/>
        <v>#REF!</v>
      </c>
      <c r="BI187" s="133" t="str">
        <f t="shared" si="31"/>
        <v>#REF!</v>
      </c>
      <c r="BJ187" s="133" t="str">
        <f t="shared" si="119"/>
        <v>#REF!</v>
      </c>
      <c r="BK187" s="134" t="str">
        <f t="shared" si="32"/>
        <v>#REF!</v>
      </c>
      <c r="BL187" s="134" t="str">
        <f t="shared" si="33"/>
        <v>#REF!</v>
      </c>
      <c r="BM187" s="135" t="str">
        <f>IF(ISNA(VLOOKUP(A187,'Données projet (1)'!$A$87:$I$107,5,0)),0%,VLOOKUP(A187,'Données projet (1)'!$A$87:$I$107,5,0)*VLOOKUP('Données projet (1)'!$B$11,'Paramètres (1)'!$A$1:$I$88,7,0))</f>
        <v>#REF!</v>
      </c>
      <c r="BN187" s="135" t="str">
        <f>IF(ISNA(VLOOKUP(A187,'Données projet (1)'!$A$87:$I$107,6,0)),0%,VLOOKUP(A187,'Données projet (1)'!$A$87:$I$107,6,0)*VLOOKUP('Données projet (1)'!$B$11,'Paramètres (1)'!$A$1:$I$88,7,0))</f>
        <v>#REF!</v>
      </c>
      <c r="BO187" s="135" t="str">
        <f t="shared" si="34"/>
        <v>#REF!</v>
      </c>
      <c r="BP187" s="142" t="str">
        <f>EXP(-LN(2)/35)*BP186+(1-EXP(-LN(2)/35))/(LN(2)/35)*BL187*BM187*VLOOKUP('Données projet (1)'!$B$11,'Paramètres (1)'!$A$1:$I$88,3,0)*0.475*44/12</f>
        <v>#REF!</v>
      </c>
      <c r="BQ187" s="142" t="str">
        <f>EXP(-LN(2)/25)*BQ186+(1-EXP(-LN(2)/25))/(LN(2)/25)*'Calculateur (1)'!BL187*'Calculateur (1)'!BN187*VLOOKUP('Données projet (1)'!$B$11,'Paramètres (1)'!$A$1:$I$88,3,0)*0.475*44/12</f>
        <v>#REF!</v>
      </c>
      <c r="BR187" s="142" t="str">
        <f>EXP(-LN(2)/2)*BR186+(1-EXP(-LN(2)/2))/(LN(2)/2)*BL187*BO187*VLOOKUP('Données projet (1)'!$B$11,'Paramètres (1)'!$A$1:$I$88,3,0)*0.475*44/12</f>
        <v>#REF!</v>
      </c>
      <c r="BS187" s="143" t="str">
        <f t="shared" si="35"/>
        <v>#REF!</v>
      </c>
      <c r="BT187" s="139" t="str">
        <f t="shared" si="36"/>
        <v>#REF!</v>
      </c>
      <c r="BU187" s="131">
        <f t="shared" si="37"/>
        <v>10</v>
      </c>
      <c r="BV187" s="131" t="str">
        <f t="shared" si="120"/>
        <v>#REF!</v>
      </c>
      <c r="BW187" s="131" t="str">
        <f t="shared" si="38"/>
        <v>#REF!</v>
      </c>
      <c r="BX187" s="131" t="str">
        <f t="array" ref="BX187">INDEX(BW:BW,MIN(IF(ISNUMBER(BW187:BW383),ROW(BW187:BW383),"")))</f>
        <v/>
      </c>
      <c r="BY187" s="131" t="str">
        <f t="shared" si="121"/>
        <v>#REF!</v>
      </c>
      <c r="BZ187" s="130" t="str">
        <f>BY187*VLOOKUP('Données projet (1)'!$B$12,'Paramètres (1)'!$A$1:$I$88,3,0)*VLOOKUP('Données projet (1)'!$B$12,'Paramètres (1)'!$A$1:$I$88,5,0)</f>
        <v>#REF!</v>
      </c>
      <c r="CA187" s="130" t="str">
        <f t="shared" si="122"/>
        <v>#REF!</v>
      </c>
      <c r="CB187" s="141" t="str">
        <f t="shared" si="39"/>
        <v>#REF!</v>
      </c>
      <c r="CC187" s="133" t="str">
        <f t="shared" si="40"/>
        <v>#REF!</v>
      </c>
      <c r="CD187" s="133" t="str">
        <f t="shared" si="41"/>
        <v>#REF!</v>
      </c>
      <c r="CE187" s="133" t="str">
        <f t="shared" si="123"/>
        <v>#REF!</v>
      </c>
      <c r="CF187" s="134" t="str">
        <f t="shared" si="42"/>
        <v>#REF!</v>
      </c>
      <c r="CG187" s="134" t="str">
        <f t="shared" si="43"/>
        <v>#REF!</v>
      </c>
      <c r="CH187" s="135" t="str">
        <f>IF(ISNA(VLOOKUP(A187,'Données projet (1)'!$A$113:$I$133,5,0)),0%,VLOOKUP(A187,'Données projet (1)'!$A$113:$I$133,5,0)*VLOOKUP('Données projet (1)'!$B$12,'Paramètres (1)'!$A$1:$I$88,7,0))</f>
        <v>#REF!</v>
      </c>
      <c r="CI187" s="135" t="str">
        <f>IF(ISNA(VLOOKUP(A187,'Données projet (1)'!$A$113:$I$133,6,0)),0%,VLOOKUP(A187,'Données projet (1)'!$A$113:$I$133,6,0)*VLOOKUP('Données projet (1)'!$B$12,'Paramètres (1)'!$A$1:$I$88,7,0))</f>
        <v>#REF!</v>
      </c>
      <c r="CJ187" s="135" t="str">
        <f t="shared" si="44"/>
        <v>#REF!</v>
      </c>
      <c r="CK187" s="142" t="str">
        <f>EXP(-LN(2)/35)*CK186+(1-EXP(-LN(2)/35))/(LN(2)/35)*CG187*CH187*VLOOKUP('Données projet (1)'!$B$12,'Paramètres (1)'!$A$1:$I$88,3,0)*0.475*44/12</f>
        <v>#REF!</v>
      </c>
      <c r="CL187" s="142" t="str">
        <f>EXP(-LN(2)/25)*CL186+(1-EXP(-LN(2)/25))/(LN(2)/25)*'Calculateur (1)'!CG187*'Calculateur (1)'!CI187*VLOOKUP('Données projet (1)'!$B$12,'Paramètres (1)'!$A$1:$I$88,3,0)*0.475*44/12</f>
        <v>#REF!</v>
      </c>
      <c r="CM187" s="142" t="str">
        <f>EXP(-LN(2)/2)*CM186+(1-EXP(-LN(2)/2))/(LN(2)/2)*CG187*CJ187*VLOOKUP('Données projet (1)'!$B$12,'Paramètres (1)'!$A$1:$I$88,3,0)*0.475*44/12</f>
        <v>#REF!</v>
      </c>
      <c r="CN187" s="143" t="str">
        <f t="shared" si="45"/>
        <v>#REF!</v>
      </c>
      <c r="CO187" s="139" t="str">
        <f t="shared" si="46"/>
        <v>#REF!</v>
      </c>
      <c r="CP187" s="131">
        <f t="shared" si="47"/>
        <v>10</v>
      </c>
      <c r="CQ187" s="131" t="str">
        <f t="shared" si="124"/>
        <v>#REF!</v>
      </c>
      <c r="CR187" s="131" t="str">
        <f t="shared" si="48"/>
        <v>#REF!</v>
      </c>
      <c r="CS187" s="131" t="str">
        <f t="array" ref="CS187">INDEX(CR:CR,MIN(IF(ISNUMBER(CR187:CR383),ROW(CR187:CR383),"")))</f>
        <v/>
      </c>
      <c r="CT187" s="131" t="str">
        <f t="shared" si="125"/>
        <v>#REF!</v>
      </c>
      <c r="CU187" s="138" t="str">
        <f>CT187*VLOOKUP('Données projet (1)'!$B$13,'Paramètres (1)'!$A$1:$I$88,3,0)*VLOOKUP('Données projet (1)'!$B$13,'Paramètres (1)'!$A$1:$I$88,5,0)</f>
        <v>#REF!</v>
      </c>
      <c r="CV187" s="130" t="str">
        <f t="shared" si="126"/>
        <v>#REF!</v>
      </c>
      <c r="CW187" s="141" t="str">
        <f t="shared" si="49"/>
        <v>#REF!</v>
      </c>
      <c r="CX187" s="133" t="str">
        <f t="shared" si="50"/>
        <v>#REF!</v>
      </c>
      <c r="CY187" s="133" t="str">
        <f t="shared" si="51"/>
        <v>#REF!</v>
      </c>
      <c r="CZ187" s="133" t="str">
        <f t="shared" si="127"/>
        <v>#REF!</v>
      </c>
      <c r="DA187" s="134" t="str">
        <f t="shared" si="52"/>
        <v>#REF!</v>
      </c>
      <c r="DB187" s="134" t="str">
        <f t="shared" si="53"/>
        <v>#REF!</v>
      </c>
      <c r="DC187" s="135" t="str">
        <f>IF(ISNA(VLOOKUP(A187,'Données projet (1)'!$A$139:$I$159,5,0)),0%,VLOOKUP(A187,'Données projet (1)'!$A$139:$I$159,5,0)*VLOOKUP('Données projet (1)'!$B$13,'Paramètres (1)'!$A$1:$I$88,7,0))</f>
        <v>#REF!</v>
      </c>
      <c r="DD187" s="135" t="str">
        <f>IF(ISNA(VLOOKUP(A187,'Données projet (1)'!$A$139:$I$159,6,0)),0%,VLOOKUP(A187,'Données projet (1)'!$A$139:$I$159,6,0)*VLOOKUP('Données projet (1)'!$B$13,'Paramètres (1)'!$A$1:$I$88,7,0))</f>
        <v>#REF!</v>
      </c>
      <c r="DE187" s="135" t="str">
        <f t="shared" si="54"/>
        <v>#REF!</v>
      </c>
      <c r="DF187" s="142" t="str">
        <f>EXP(-LN(2)/35)*DF186+(1-EXP(-LN(2)/35))/(LN(2)/35)*DB187*DC187*VLOOKUP('Données projet (1)'!$B$13,'Paramètres (1)'!$A$1:$I$88,3,0)*0.475*44/12</f>
        <v>#REF!</v>
      </c>
      <c r="DG187" s="142" t="str">
        <f>EXP(-LN(2)/25)*DG186+(1-EXP(-LN(2)/25))/(LN(2)/25)*'Calculateur (1)'!DB187*'Calculateur (1)'!DD187*VLOOKUP('Données projet (1)'!$B$13,'Paramètres (1)'!$A$1:$I$88,3,0)*0.475*44/12</f>
        <v>#REF!</v>
      </c>
      <c r="DH187" s="142" t="str">
        <f>EXP(-LN(2)/2)*DH186+(1-EXP(-LN(2)/2))/(LN(2)/2)*DB187*DE187*VLOOKUP('Données projet (1)'!$B$13,'Paramètres (1)'!$A$1:$I$88,3,0)*0.475*44/12</f>
        <v>#REF!</v>
      </c>
      <c r="DI187" s="143" t="str">
        <f t="shared" si="55"/>
        <v>#REF!</v>
      </c>
      <c r="DJ187" s="139" t="str">
        <f t="shared" si="56"/>
        <v>#REF!</v>
      </c>
      <c r="DK187" s="131">
        <f t="shared" si="57"/>
        <v>10</v>
      </c>
      <c r="DL187" s="131" t="str">
        <f t="shared" si="128"/>
        <v>#REF!</v>
      </c>
      <c r="DM187" s="131" t="str">
        <f t="shared" si="58"/>
        <v>#REF!</v>
      </c>
      <c r="DN187" s="131" t="str">
        <f t="array" ref="DN187">INDEX(DM:DM,MIN(IF(ISNUMBER(DM187:DM383),ROW(DM187:DM383),"")))</f>
        <v/>
      </c>
      <c r="DO187" s="131" t="str">
        <f t="shared" si="129"/>
        <v>#REF!</v>
      </c>
      <c r="DP187" s="138" t="str">
        <f>DO187*VLOOKUP('Données projet (1)'!$B$14,'Paramètres (1)'!$A$1:$I$88,3,0)*VLOOKUP('Données projet (1)'!$B$14,'Paramètres (1)'!$A$1:$I$88,5,0)</f>
        <v>#REF!</v>
      </c>
      <c r="DQ187" s="130" t="str">
        <f t="shared" si="130"/>
        <v>#REF!</v>
      </c>
      <c r="DR187" s="141" t="str">
        <f t="shared" si="59"/>
        <v>#REF!</v>
      </c>
      <c r="DS187" s="133" t="str">
        <f t="shared" si="60"/>
        <v>#REF!</v>
      </c>
      <c r="DT187" s="133" t="str">
        <f t="shared" si="61"/>
        <v>#REF!</v>
      </c>
      <c r="DU187" s="133" t="str">
        <f t="shared" si="131"/>
        <v>#REF!</v>
      </c>
      <c r="DV187" s="134" t="str">
        <f t="shared" si="62"/>
        <v>#REF!</v>
      </c>
      <c r="DW187" s="134" t="str">
        <f t="shared" si="63"/>
        <v>#REF!</v>
      </c>
      <c r="DX187" s="135" t="str">
        <f>IF(ISNA(VLOOKUP(A187,'Données projet (1)'!$A$165:$I$185,5,0)),0%,VLOOKUP(A187,'Données projet (1)'!$A$165:$I$185,5,0)*VLOOKUP('Données projet (1)'!$B$14,'Paramètres (1)'!$A$1:$I$88,7,0))</f>
        <v>#REF!</v>
      </c>
      <c r="DY187" s="135" t="str">
        <f>IF(ISNA(VLOOKUP(A187,'Données projet (1)'!$A$165:$I$185,6,0)),0%,VLOOKUP(A187,'Données projet (1)'!$A$165:$I$185,6,0)*VLOOKUP('Données projet (1)'!$B$14,'Paramètres (1)'!$A$1:$I$88,7,0))</f>
        <v>#REF!</v>
      </c>
      <c r="DZ187" s="135" t="str">
        <f t="shared" si="64"/>
        <v>#REF!</v>
      </c>
      <c r="EA187" s="142" t="str">
        <f>EXP(-LN(2)/35)*EA186+(1-EXP(-LN(2)/35))/(LN(2)/35)*DW187*DX187*VLOOKUP('Données projet (1)'!$B$14,'Paramètres (1)'!$A$1:$I$88,3,0)*0.475*44/12</f>
        <v>#REF!</v>
      </c>
      <c r="EB187" s="142" t="str">
        <f>EXP(-LN(2)/25)*EB186+(1-EXP(-LN(2)/25))/(LN(2)/25)*'Calculateur (1)'!DW187*'Calculateur (1)'!DY187*VLOOKUP('Données projet (1)'!$B$14,'Paramètres (1)'!$A$1:$I$88,3,0)*0.475*44/12</f>
        <v>#REF!</v>
      </c>
      <c r="EC187" s="142" t="str">
        <f>EXP(-LN(2)/2)*EC186+(1-EXP(-LN(2)/2))/(LN(2)/2)*DW187*DZ187*VLOOKUP('Données projet (1)'!$B$14,'Paramètres (1)'!$A$1:$I$88,3,0)*0.475*44/12</f>
        <v>#REF!</v>
      </c>
      <c r="ED187" s="143" t="str">
        <f t="shared" si="65"/>
        <v>#REF!</v>
      </c>
      <c r="EE187" s="139" t="str">
        <f t="shared" si="66"/>
        <v>#REF!</v>
      </c>
      <c r="EF187" s="131">
        <f t="shared" si="67"/>
        <v>10</v>
      </c>
      <c r="EG187" s="131" t="str">
        <f t="shared" si="132"/>
        <v>#REF!</v>
      </c>
      <c r="EH187" s="131" t="str">
        <f t="shared" si="68"/>
        <v>#REF!</v>
      </c>
      <c r="EI187" s="131" t="str">
        <f t="array" ref="EI187">INDEX(EH:EH,MIN(IF(ISNUMBER(EH187:EH383),ROW(EH187:EH383),"")))</f>
        <v/>
      </c>
      <c r="EJ187" s="131" t="str">
        <f t="shared" si="133"/>
        <v>#REF!</v>
      </c>
      <c r="EK187" s="138" t="str">
        <f>EJ187*VLOOKUP('Données projet (1)'!$B$15,'Paramètres (1)'!$A$1:$I$88,3,0)*VLOOKUP('Données projet (1)'!$B$15,'Paramètres (1)'!$A$1:$I$88,5,0)</f>
        <v>#REF!</v>
      </c>
      <c r="EL187" s="130" t="str">
        <f t="shared" si="134"/>
        <v>#REF!</v>
      </c>
      <c r="EM187" s="141" t="str">
        <f t="shared" si="69"/>
        <v>#REF!</v>
      </c>
      <c r="EN187" s="133" t="str">
        <f t="shared" si="70"/>
        <v>#REF!</v>
      </c>
      <c r="EO187" s="133" t="str">
        <f t="shared" si="71"/>
        <v>#REF!</v>
      </c>
      <c r="EP187" s="133" t="str">
        <f t="shared" si="135"/>
        <v>#REF!</v>
      </c>
      <c r="EQ187" s="134" t="str">
        <f t="shared" si="72"/>
        <v>#REF!</v>
      </c>
      <c r="ER187" s="134" t="str">
        <f t="shared" si="73"/>
        <v>#REF!</v>
      </c>
      <c r="ES187" s="135" t="str">
        <f>IF(ISNA(VLOOKUP(A187,'Données projet (1)'!$A$191:$I$211,5,0)),0%,VLOOKUP(A187,'Données projet (1)'!$A$191:$I$211,5,0)*VLOOKUP('Données projet (1)'!$B$15,'Paramètres (1)'!$A$1:$I$88,7,0))</f>
        <v>#REF!</v>
      </c>
      <c r="ET187" s="135" t="str">
        <f>IF(ISNA(VLOOKUP(A187,'Données projet (1)'!$A$191:$I$211,6,0)),0%,VLOOKUP(A187,'Données projet (1)'!$A$191:$I$211,6,0)*VLOOKUP('Données projet (1)'!$B$15,'Paramètres (1)'!$A$1:$I$88,7,0))</f>
        <v>#REF!</v>
      </c>
      <c r="EU187" s="135" t="str">
        <f t="shared" si="74"/>
        <v>#REF!</v>
      </c>
      <c r="EV187" s="142" t="str">
        <f>EXP(-LN(2)/35)*EV186+(1-EXP(-LN(2)/35))/(LN(2)/35)*ER187*ES187*VLOOKUP('Données projet (1)'!$B$15,'Paramètres (1)'!$A$1:$I$88,3,0)*0.475*44/12</f>
        <v>#REF!</v>
      </c>
      <c r="EW187" s="142" t="str">
        <f>EXP(-LN(2)/25)*EW186+(1-EXP(-LN(2)/25))/(LN(2)/25)*'Calculateur (1)'!ER187*'Calculateur (1)'!ET187*VLOOKUP('Données projet (1)'!$B$15,'Paramètres (1)'!$A$1:$I$88,3,0)*0.475*44/12</f>
        <v>#REF!</v>
      </c>
      <c r="EX187" s="142" t="str">
        <f>EXP(-LN(2)/2)*EX186+(1-EXP(-LN(2)/2))/(LN(2)/2)*ER187*EU187*VLOOKUP('Données projet (1)'!$B$15,'Paramètres (1)'!$A$1:$I$88,3,0)*0.475*44/12</f>
        <v>#REF!</v>
      </c>
      <c r="EY187" s="143" t="str">
        <f t="shared" si="75"/>
        <v>#REF!</v>
      </c>
      <c r="EZ187" s="139" t="str">
        <f t="shared" si="76"/>
        <v>#REF!</v>
      </c>
      <c r="FA187" s="131">
        <f t="shared" si="77"/>
        <v>10</v>
      </c>
      <c r="FB187" s="131" t="str">
        <f t="shared" si="136"/>
        <v>#REF!</v>
      </c>
      <c r="FC187" s="131" t="str">
        <f t="shared" si="78"/>
        <v>#REF!</v>
      </c>
      <c r="FD187" s="131" t="str">
        <f t="array" ref="FD187">INDEX(FC:FC,MIN(IF(ISNUMBER(FC187:FC383),ROW(FC187:FC383),"")))</f>
        <v/>
      </c>
      <c r="FE187" s="131" t="str">
        <f t="shared" si="137"/>
        <v>#REF!</v>
      </c>
      <c r="FF187" s="138" t="str">
        <f>FE187*VLOOKUP('Données projet (1)'!$B$16,'Paramètres (1)'!$A$1:$I$88,3,0)*VLOOKUP('Données projet (1)'!$B$16,'Paramètres (1)'!$A$1:$I$88,5,0)</f>
        <v>#REF!</v>
      </c>
      <c r="FG187" s="130" t="str">
        <f t="shared" si="138"/>
        <v>#REF!</v>
      </c>
      <c r="FH187" s="141" t="str">
        <f t="shared" si="79"/>
        <v>#REF!</v>
      </c>
      <c r="FI187" s="133" t="str">
        <f t="shared" si="80"/>
        <v>#REF!</v>
      </c>
      <c r="FJ187" s="133" t="str">
        <f t="shared" si="81"/>
        <v>#REF!</v>
      </c>
      <c r="FK187" s="133" t="str">
        <f t="shared" si="139"/>
        <v>#REF!</v>
      </c>
      <c r="FL187" s="134" t="str">
        <f t="shared" si="82"/>
        <v>#REF!</v>
      </c>
      <c r="FM187" s="134" t="str">
        <f t="shared" si="83"/>
        <v>#REF!</v>
      </c>
      <c r="FN187" s="135" t="str">
        <f>IF(ISNA(VLOOKUP(A187,'Données projet (1)'!$A$217:$I$237,5,0)),0%,VLOOKUP(A187,'Données projet (1)'!$A$217:$I$237,5,0)*VLOOKUP('Données projet (1)'!$B$16,'Paramètres (1)'!$A$1:$I$88,7,0))</f>
        <v>#REF!</v>
      </c>
      <c r="FO187" s="135" t="str">
        <f>IF(ISNA(VLOOKUP(A187,'Données projet (1)'!$A$217:$I$237,6,0)),0%,VLOOKUP(A187,'Données projet (1)'!$A$217:$I$237,6,0)*VLOOKUP('Données projet (1)'!$B$16,'Paramètres (1)'!$A$1:$I$88,7,0))</f>
        <v>#REF!</v>
      </c>
      <c r="FP187" s="135" t="str">
        <f t="shared" si="84"/>
        <v>#REF!</v>
      </c>
      <c r="FQ187" s="142" t="str">
        <f>EXP(-LN(2)/35)*FQ186+(1-EXP(-LN(2)/35))/(LN(2)/35)*FM187*FN187*VLOOKUP('Données projet (1)'!$B$16,'Paramètres (1)'!$A$1:$I$88,3,0)*0.475*44/12</f>
        <v>#REF!</v>
      </c>
      <c r="FR187" s="142" t="str">
        <f>EXP(-LN(2)/25)*FR186+(1-EXP(-LN(2)/25))/(LN(2)/25)*'Calculateur (1)'!FM187*'Calculateur (1)'!FO187*VLOOKUP('Données projet (1)'!$B$16,'Paramètres (1)'!$A$1:$I$88,3,0)*0.475*44/12</f>
        <v>#REF!</v>
      </c>
      <c r="FS187" s="142" t="str">
        <f>EXP(-LN(2)/2)*FS186+(1-EXP(-LN(2)/2))/(LN(2)/2)*FM187*FP187*VLOOKUP('Données projet (1)'!$B$16,'Paramètres (1)'!$A$1:$I$88,3,0)*0.475*44/12</f>
        <v>#REF!</v>
      </c>
      <c r="FT187" s="143" t="str">
        <f t="shared" si="85"/>
        <v>#REF!</v>
      </c>
      <c r="FU187" s="139" t="str">
        <f t="shared" si="86"/>
        <v>#REF!</v>
      </c>
      <c r="FV187" s="131">
        <f t="shared" si="87"/>
        <v>10</v>
      </c>
      <c r="FW187" s="131" t="str">
        <f t="shared" si="140"/>
        <v>#REF!</v>
      </c>
      <c r="FX187" s="131" t="str">
        <f t="shared" si="88"/>
        <v>#REF!</v>
      </c>
      <c r="FY187" s="131" t="str">
        <f t="array" ref="FY187">INDEX(FX:FX,MIN(IF(ISNUMBER(FX187:FX383),ROW(FX187:FX383),"")))</f>
        <v/>
      </c>
      <c r="FZ187" s="131" t="str">
        <f t="shared" si="141"/>
        <v>#REF!</v>
      </c>
      <c r="GA187" s="138" t="str">
        <f>FZ187*VLOOKUP('Données projet (1)'!$B$17,'Paramètres (1)'!$A$1:$I$88,3,0)*VLOOKUP('Données projet (1)'!$B$17,'Paramètres (1)'!$A$1:$I$88,5,0)</f>
        <v>#REF!</v>
      </c>
      <c r="GB187" s="130" t="str">
        <f t="shared" si="142"/>
        <v>#REF!</v>
      </c>
      <c r="GC187" s="141" t="str">
        <f t="shared" si="89"/>
        <v>#REF!</v>
      </c>
      <c r="GD187" s="133" t="str">
        <f t="shared" si="90"/>
        <v>#REF!</v>
      </c>
      <c r="GE187" s="133" t="str">
        <f t="shared" si="91"/>
        <v>#REF!</v>
      </c>
      <c r="GF187" s="133" t="str">
        <f t="shared" si="143"/>
        <v>#REF!</v>
      </c>
      <c r="GG187" s="134" t="str">
        <f t="shared" si="92"/>
        <v>#REF!</v>
      </c>
      <c r="GH187" s="134" t="str">
        <f t="shared" si="93"/>
        <v>#REF!</v>
      </c>
      <c r="GI187" s="135" t="str">
        <f>IF(ISNA(VLOOKUP(A187,'Données projet (1)'!$A$243:$I$263,5,0)),0%,VLOOKUP(A187,'Données projet (1)'!$A$243:$I$263,5,0)*VLOOKUP('Données projet (1)'!$B$17,'Paramètres (1)'!$A$1:$I$88,7,0))</f>
        <v>#REF!</v>
      </c>
      <c r="GJ187" s="135" t="str">
        <f>IF(ISNA(VLOOKUP(A187,'Données projet (1)'!$A$243:$I$263,6,0)),0%,VLOOKUP(A187,'Données projet (1)'!$A$243:$I$263,6,0)*VLOOKUP('Données projet (1)'!$B$17,'Paramètres (1)'!$A$1:$I$88,7,0))</f>
        <v>#REF!</v>
      </c>
      <c r="GK187" s="135" t="str">
        <f t="shared" si="94"/>
        <v>#REF!</v>
      </c>
      <c r="GL187" s="142" t="str">
        <f>EXP(-LN(2)/35)*GL186+(1-EXP(-LN(2)/35))/(LN(2)/35)*GH187*GI187*VLOOKUP('Données projet (1)'!$B$17,'Paramètres (1)'!$A$1:$I$88,3,0)*0.475*44/12</f>
        <v>#REF!</v>
      </c>
      <c r="GM187" s="142" t="str">
        <f>EXP(-LN(2)/25)*GM186+(1-EXP(-LN(2)/25))/(LN(2)/25)*'Calculateur (1)'!GH187*'Calculateur (1)'!GJ187*VLOOKUP('Données projet (1)'!$B$17,'Paramètres (1)'!$A$1:$I$88,3,0)*0.475*44/12</f>
        <v>#REF!</v>
      </c>
      <c r="GN187" s="142" t="str">
        <f>EXP(-LN(2)/2)*GN186+(1-EXP(-LN(2)/2))/(LN(2)/2)*GH187*GK187*VLOOKUP('Données projet (1)'!$B$17,'Paramètres (1)'!$A$1:$I$88,3,0)*0.475*44/12</f>
        <v>#REF!</v>
      </c>
      <c r="GO187" s="142" t="str">
        <f t="shared" si="95"/>
        <v>#REF!</v>
      </c>
      <c r="GP187" s="139" t="str">
        <f t="shared" si="96"/>
        <v>#REF!</v>
      </c>
      <c r="GQ187" s="131">
        <f t="shared" si="97"/>
        <v>10</v>
      </c>
      <c r="GR187" s="131" t="str">
        <f t="shared" si="144"/>
        <v>#REF!</v>
      </c>
      <c r="GS187" s="131" t="str">
        <f t="shared" si="98"/>
        <v>#REF!</v>
      </c>
      <c r="GT187" s="131" t="str">
        <f t="array" ref="GT187">INDEX(GS:GS,MIN(IF(ISNUMBER(GS187:GS383),ROW(GS187:GS383),"")))</f>
        <v/>
      </c>
      <c r="GU187" s="131" t="str">
        <f t="shared" si="145"/>
        <v>#REF!</v>
      </c>
      <c r="GV187" s="138" t="str">
        <f>GU187*VLOOKUP('Données projet (1)'!$B$18,'Paramètres (1)'!$A$1:$I$88,3,0)*VLOOKUP('Données projet (1)'!$B$18,'Paramètres (1)'!$A$1:$I$88,5,0)</f>
        <v>#REF!</v>
      </c>
      <c r="GW187" s="130" t="str">
        <f t="shared" si="146"/>
        <v>#REF!</v>
      </c>
      <c r="GX187" s="141" t="str">
        <f t="shared" si="99"/>
        <v>#REF!</v>
      </c>
      <c r="GY187" s="133" t="str">
        <f t="shared" si="100"/>
        <v>#REF!</v>
      </c>
      <c r="GZ187" s="133" t="str">
        <f t="shared" si="101"/>
        <v>#REF!</v>
      </c>
      <c r="HA187" s="133" t="str">
        <f t="shared" si="147"/>
        <v>#REF!</v>
      </c>
      <c r="HB187" s="134" t="str">
        <f t="shared" si="102"/>
        <v>#REF!</v>
      </c>
      <c r="HC187" s="134" t="str">
        <f t="shared" si="103"/>
        <v>#REF!</v>
      </c>
      <c r="HD187" s="135" t="str">
        <f>IF(ISNA(VLOOKUP(A187,'Données projet (1)'!$A$269:$I$289,5,0)),0%,VLOOKUP(A187,'Données projet (1)'!$A$269:$I$289,5,0)*VLOOKUP('Données projet (1)'!$B$18,'Paramètres (1)'!$A$1:$I$88,7,0))</f>
        <v>#REF!</v>
      </c>
      <c r="HE187" s="135" t="str">
        <f>IF(ISNA(VLOOKUP(A187,'Données projet (1)'!$A$269:$I$289,6,0)),0%,VLOOKUP(A187,'Données projet (1)'!$A$269:$I$289,6,0)*VLOOKUP('Données projet (1)'!$B$18,'Paramètres (1)'!$A$1:$I$88,7,0))</f>
        <v>#REF!</v>
      </c>
      <c r="HF187" s="135" t="str">
        <f t="shared" si="104"/>
        <v>#REF!</v>
      </c>
      <c r="HG187" s="142" t="str">
        <f>EXP(-LN(2)/35)*HG186+(1-EXP(-LN(2)/35))/(LN(2)/35)*HC187*HD187*VLOOKUP('Données projet (1)'!$B$18,'Paramètres (1)'!$A$1:$I$88,3,0)*0.475*44/12</f>
        <v>#REF!</v>
      </c>
      <c r="HH187" s="142" t="str">
        <f>EXP(-LN(2)/25)*HH186+(1-EXP(-LN(2)/25))/(LN(2)/25)*'Calculateur (1)'!HC187*'Calculateur (1)'!HE187*VLOOKUP('Données projet (1)'!$B$18,'Paramètres (1)'!$A$1:$I$88,3,0)*0.475*44/12</f>
        <v>#REF!</v>
      </c>
      <c r="HI187" s="142" t="str">
        <f>EXP(-LN(2)/2)*HI186+(1-EXP(-LN(2)/2))/(LN(2)/2)*HC187*HF187*VLOOKUP('Données projet (1)'!$B$18,'Paramètres (1)'!$A$1:$I$88,3,0)*0.475*44/12</f>
        <v>#REF!</v>
      </c>
      <c r="HJ187" s="143" t="str">
        <f t="shared" si="105"/>
        <v>#REF!</v>
      </c>
    </row>
    <row r="188" ht="14.25" customHeight="1">
      <c r="A188" s="125">
        <f t="shared" si="106"/>
        <v>185</v>
      </c>
      <c r="B188" s="126" t="str">
        <f t="shared" si="1"/>
        <v>#REF!</v>
      </c>
      <c r="C188" s="140" t="str">
        <f>'Calculateur (1)'!C187+'Scénario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8" s="127">
        <f t="shared" si="107"/>
        <v>0</v>
      </c>
      <c r="E188" s="127" t="str">
        <f t="shared" si="2"/>
        <v>#REF!</v>
      </c>
      <c r="F188" s="127" t="str">
        <f t="shared" si="3"/>
        <v>#REF!</v>
      </c>
      <c r="G188" s="127" t="str">
        <f t="shared" si="4"/>
        <v>#REF!</v>
      </c>
      <c r="H188" s="128" t="str">
        <f t="shared" si="5"/>
        <v>#REF!</v>
      </c>
      <c r="I188" s="129" t="str">
        <f t="shared" si="6"/>
        <v>#REF!</v>
      </c>
      <c r="J188" s="130">
        <f t="shared" si="7"/>
        <v>10</v>
      </c>
      <c r="K188" s="131" t="str">
        <f t="shared" si="108"/>
        <v>#REF!</v>
      </c>
      <c r="L188" s="131" t="str">
        <f t="shared" si="8"/>
        <v>#REF!</v>
      </c>
      <c r="M188" s="131" t="str">
        <f t="array" ref="M188">INDEX(L:L,MIN(IF(ISNUMBER(L188:L384),ROW(L188:L384),"")))</f>
        <v/>
      </c>
      <c r="N188" s="130" t="str">
        <f t="shared" si="109"/>
        <v>#REF!</v>
      </c>
      <c r="O188" s="130" t="str">
        <f>N188*VLOOKUP('Données projet (1)'!$B$9,'Paramètres (1)'!$A$1:$I$88,3,0)*VLOOKUP('Données projet (1)'!$B$9,'Paramètres (1)'!$A$1:$I$88,5,0)</f>
        <v>#REF!</v>
      </c>
      <c r="P188" s="130" t="str">
        <f t="shared" si="110"/>
        <v>#REF!</v>
      </c>
      <c r="Q188" s="141" t="str">
        <f t="shared" si="9"/>
        <v>#REF!</v>
      </c>
      <c r="R188" s="133" t="str">
        <f t="shared" si="10"/>
        <v>#REF!</v>
      </c>
      <c r="S188" s="133" t="str">
        <f t="shared" si="11"/>
        <v>#REF!</v>
      </c>
      <c r="T188" s="133" t="str">
        <f t="shared" si="111"/>
        <v>#REF!</v>
      </c>
      <c r="U188" s="134" t="str">
        <f t="shared" si="12"/>
        <v>#REF!</v>
      </c>
      <c r="V188" s="134" t="str">
        <f t="shared" si="13"/>
        <v>#REF!</v>
      </c>
      <c r="W188" s="135" t="str">
        <f>IF(ISNA(VLOOKUP(A188,'Données projet (1)'!$A$35:$I$55,5,0)),0%,VLOOKUP(A188,'Données projet (1)'!$A$35:$I$55,5,0)*VLOOKUP('Données projet (1)'!$B$9,'Paramètres (1)'!$A$1:$I$88,7,0))</f>
        <v>#REF!</v>
      </c>
      <c r="X188" s="135" t="str">
        <f>IF(ISNA(VLOOKUP(A188,'Données projet (1)'!$A$35:$I$55,6,0)),0%,VLOOKUP(A188,'Données projet (1)'!$A$35:$I$55,6,0)*VLOOKUP('Données projet (1)'!$B$9,'Paramètres (1)'!$A$1:$I$88,7,0))</f>
        <v>#REF!</v>
      </c>
      <c r="Y188" s="135" t="str">
        <f t="shared" si="14"/>
        <v>#REF!</v>
      </c>
      <c r="Z188" s="142" t="str">
        <f>EXP(-LN(2)/35)*Z187+(1-EXP(-LN(2)/35))/(LN(2)/35)*V188*W188*VLOOKUP('Données projet (1)'!$B$9,'Paramètres (1)'!$A$1:$I$88,3,0)*0.475*44/12</f>
        <v>#REF!</v>
      </c>
      <c r="AA188" s="142" t="str">
        <f>EXP(-LN(2)/25)*AA187+(1-EXP(-LN(2)/25))/(LN(2)/25)*'Calculateur (1)'!V188*'Calculateur (1)'!X188*VLOOKUP('Données projet (1)'!$B$9,'Paramètres (1)'!$A$1:$I$88,3,0)*0.475*44/12</f>
        <v>#REF!</v>
      </c>
      <c r="AB188" s="142" t="str">
        <f>EXP(-LN(2)/2)*AB187+(1-EXP(-LN(2)/2))/(LN(2)/2)*V188*Y188*VLOOKUP('Données projet (1)'!$B$9,'Paramètres (1)'!$A$1:$I$88,3,0)*0.475*44/12</f>
        <v>#REF!</v>
      </c>
      <c r="AC188" s="143" t="str">
        <f t="shared" si="15"/>
        <v>#REF!</v>
      </c>
      <c r="AD188" s="130" t="str">
        <f t="shared" si="16"/>
        <v>#REF!</v>
      </c>
      <c r="AE188" s="130">
        <f t="shared" si="17"/>
        <v>10</v>
      </c>
      <c r="AF188" s="131" t="str">
        <f t="shared" si="112"/>
        <v>#REF!</v>
      </c>
      <c r="AG188" s="131" t="str">
        <f t="shared" si="18"/>
        <v>#REF!</v>
      </c>
      <c r="AH188" s="131" t="str">
        <f t="array" ref="AH188">INDEX(AG:AG,MIN(IF(ISNUMBER(AG188:AG384),ROW(AG188:AG384),"")))</f>
        <v/>
      </c>
      <c r="AI188" s="130" t="str">
        <f t="shared" si="113"/>
        <v>#REF!</v>
      </c>
      <c r="AJ188" s="130" t="str">
        <f>AI188*VLOOKUP('Données projet (1)'!$B$10,'Paramètres (1)'!$A$1:$I$88,3,0)*VLOOKUP('Données projet (1)'!$B$10,'Paramètres (1)'!$A$1:$I$88,5,0)</f>
        <v>#REF!</v>
      </c>
      <c r="AK188" s="130" t="str">
        <f t="shared" si="114"/>
        <v>#REF!</v>
      </c>
      <c r="AL188" s="141" t="str">
        <f t="shared" si="19"/>
        <v>#REF!</v>
      </c>
      <c r="AM188" s="133" t="str">
        <f t="shared" si="20"/>
        <v>#REF!</v>
      </c>
      <c r="AN188" s="133" t="str">
        <f t="shared" si="21"/>
        <v>#REF!</v>
      </c>
      <c r="AO188" s="133" t="str">
        <f t="shared" si="115"/>
        <v>#REF!</v>
      </c>
      <c r="AP188" s="134" t="str">
        <f t="shared" si="22"/>
        <v>#REF!</v>
      </c>
      <c r="AQ188" s="134" t="str">
        <f t="shared" si="23"/>
        <v>#REF!</v>
      </c>
      <c r="AR188" s="135" t="str">
        <f>IF(ISNA(VLOOKUP(A188,'Données projet (1)'!$A$61:$I$81,5,0)),0%,VLOOKUP(A188,'Données projet (1)'!$A$61:$I$81,5,0)*VLOOKUP('Données projet (1)'!$B$10,'Paramètres (1)'!$A$1:$I$88,7,0))</f>
        <v>#REF!</v>
      </c>
      <c r="AS188" s="135" t="str">
        <f>IF(ISNA(VLOOKUP(A188,'Données projet (1)'!$A$61:$I$81,6,0)),0%,VLOOKUP(A188,'Données projet (1)'!$A$61:$I$81,6,0)*VLOOKUP('Données projet (1)'!$B$10,'Paramètres (1)'!$A$1:$I$88,7,0))</f>
        <v>#REF!</v>
      </c>
      <c r="AT188" s="135" t="str">
        <f t="shared" si="24"/>
        <v>#REF!</v>
      </c>
      <c r="AU188" s="142" t="str">
        <f>EXP(-LN(2)/35)*AU187+(1-EXP(-LN(2)/35))/(LN(2)/35)*AQ188*AR188*VLOOKUP('Données projet (1)'!$B$10,'Paramètres (1)'!$A$1:$I$88,3,0)*0.475*44/12</f>
        <v>#REF!</v>
      </c>
      <c r="AV188" s="142" t="str">
        <f>EXP(-LN(2)/25)*AV187+(1-EXP(-LN(2)/25))/(LN(2)/25)*'Calculateur (1)'!AQ188*'Calculateur (1)'!AS188*VLOOKUP('Données projet (1)'!$B$10,'Paramètres (1)'!$A$1:$I$88,3,0)*0.475*44/12</f>
        <v>#REF!</v>
      </c>
      <c r="AW188" s="142" t="str">
        <f>EXP(-LN(2)/2)*AW187+(1-EXP(-LN(2)/2))/(LN(2)/2)*AQ188*AT188*VLOOKUP('Données projet (1)'!$B$10,'Paramètres (1)'!$A$1:$I$88,3,0)*0.475*44/12</f>
        <v>#REF!</v>
      </c>
      <c r="AX188" s="142" t="str">
        <f t="shared" si="25"/>
        <v>#REF!</v>
      </c>
      <c r="AY188" s="137" t="str">
        <f t="shared" si="26"/>
        <v>#REF!</v>
      </c>
      <c r="AZ188" s="131">
        <f t="shared" si="27"/>
        <v>10</v>
      </c>
      <c r="BA188" s="131" t="str">
        <f t="shared" si="116"/>
        <v>#REF!</v>
      </c>
      <c r="BB188" s="131" t="str">
        <f t="shared" si="28"/>
        <v>#REF!</v>
      </c>
      <c r="BC188" s="131" t="str">
        <f t="array" ref="BC188">INDEX(BB:BB,MIN(IF(ISNUMBER(BB188:BB384),ROW(BB188:BB384),"")))</f>
        <v/>
      </c>
      <c r="BD188" s="131" t="str">
        <f t="shared" si="117"/>
        <v>#REF!</v>
      </c>
      <c r="BE188" s="130" t="str">
        <f>BD188*VLOOKUP('Données projet (1)'!$B$11,'Paramètres (1)'!$A$1:$I$88,3,0)*VLOOKUP('Données projet (1)'!$B$11,'Paramètres (1)'!$A$1:$I$88,5,0)</f>
        <v>#REF!</v>
      </c>
      <c r="BF188" s="130" t="str">
        <f t="shared" si="118"/>
        <v>#REF!</v>
      </c>
      <c r="BG188" s="141" t="str">
        <f t="shared" si="29"/>
        <v>#REF!</v>
      </c>
      <c r="BH188" s="133" t="str">
        <f t="shared" si="30"/>
        <v>#REF!</v>
      </c>
      <c r="BI188" s="133" t="str">
        <f t="shared" si="31"/>
        <v>#REF!</v>
      </c>
      <c r="BJ188" s="133" t="str">
        <f t="shared" si="119"/>
        <v>#REF!</v>
      </c>
      <c r="BK188" s="134" t="str">
        <f t="shared" si="32"/>
        <v>#REF!</v>
      </c>
      <c r="BL188" s="134" t="str">
        <f t="shared" si="33"/>
        <v>#REF!</v>
      </c>
      <c r="BM188" s="135" t="str">
        <f>IF(ISNA(VLOOKUP(A188,'Données projet (1)'!$A$87:$I$107,5,0)),0%,VLOOKUP(A188,'Données projet (1)'!$A$87:$I$107,5,0)*VLOOKUP('Données projet (1)'!$B$11,'Paramètres (1)'!$A$1:$I$88,7,0))</f>
        <v>#REF!</v>
      </c>
      <c r="BN188" s="135" t="str">
        <f>IF(ISNA(VLOOKUP(A188,'Données projet (1)'!$A$87:$I$107,6,0)),0%,VLOOKUP(A188,'Données projet (1)'!$A$87:$I$107,6,0)*VLOOKUP('Données projet (1)'!$B$11,'Paramètres (1)'!$A$1:$I$88,7,0))</f>
        <v>#REF!</v>
      </c>
      <c r="BO188" s="135" t="str">
        <f t="shared" si="34"/>
        <v>#REF!</v>
      </c>
      <c r="BP188" s="142" t="str">
        <f>EXP(-LN(2)/35)*BP187+(1-EXP(-LN(2)/35))/(LN(2)/35)*BL188*BM188*VLOOKUP('Données projet (1)'!$B$11,'Paramètres (1)'!$A$1:$I$88,3,0)*0.475*44/12</f>
        <v>#REF!</v>
      </c>
      <c r="BQ188" s="142" t="str">
        <f>EXP(-LN(2)/25)*BQ187+(1-EXP(-LN(2)/25))/(LN(2)/25)*'Calculateur (1)'!BL188*'Calculateur (1)'!BN188*VLOOKUP('Données projet (1)'!$B$11,'Paramètres (1)'!$A$1:$I$88,3,0)*0.475*44/12</f>
        <v>#REF!</v>
      </c>
      <c r="BR188" s="142" t="str">
        <f>EXP(-LN(2)/2)*BR187+(1-EXP(-LN(2)/2))/(LN(2)/2)*BL188*BO188*VLOOKUP('Données projet (1)'!$B$11,'Paramètres (1)'!$A$1:$I$88,3,0)*0.475*44/12</f>
        <v>#REF!</v>
      </c>
      <c r="BS188" s="143" t="str">
        <f t="shared" si="35"/>
        <v>#REF!</v>
      </c>
      <c r="BT188" s="139" t="str">
        <f t="shared" si="36"/>
        <v>#REF!</v>
      </c>
      <c r="BU188" s="131">
        <f t="shared" si="37"/>
        <v>10</v>
      </c>
      <c r="BV188" s="131" t="str">
        <f t="shared" si="120"/>
        <v>#REF!</v>
      </c>
      <c r="BW188" s="131" t="str">
        <f t="shared" si="38"/>
        <v>#REF!</v>
      </c>
      <c r="BX188" s="131" t="str">
        <f t="array" ref="BX188">INDEX(BW:BW,MIN(IF(ISNUMBER(BW188:BW384),ROW(BW188:BW384),"")))</f>
        <v/>
      </c>
      <c r="BY188" s="131" t="str">
        <f t="shared" si="121"/>
        <v>#REF!</v>
      </c>
      <c r="BZ188" s="130" t="str">
        <f>BY188*VLOOKUP('Données projet (1)'!$B$12,'Paramètres (1)'!$A$1:$I$88,3,0)*VLOOKUP('Données projet (1)'!$B$12,'Paramètres (1)'!$A$1:$I$88,5,0)</f>
        <v>#REF!</v>
      </c>
      <c r="CA188" s="130" t="str">
        <f t="shared" si="122"/>
        <v>#REF!</v>
      </c>
      <c r="CB188" s="141" t="str">
        <f t="shared" si="39"/>
        <v>#REF!</v>
      </c>
      <c r="CC188" s="133" t="str">
        <f t="shared" si="40"/>
        <v>#REF!</v>
      </c>
      <c r="CD188" s="133" t="str">
        <f t="shared" si="41"/>
        <v>#REF!</v>
      </c>
      <c r="CE188" s="133" t="str">
        <f t="shared" si="123"/>
        <v>#REF!</v>
      </c>
      <c r="CF188" s="134" t="str">
        <f t="shared" si="42"/>
        <v>#REF!</v>
      </c>
      <c r="CG188" s="134" t="str">
        <f t="shared" si="43"/>
        <v>#REF!</v>
      </c>
      <c r="CH188" s="135" t="str">
        <f>IF(ISNA(VLOOKUP(A188,'Données projet (1)'!$A$113:$I$133,5,0)),0%,VLOOKUP(A188,'Données projet (1)'!$A$113:$I$133,5,0)*VLOOKUP('Données projet (1)'!$B$12,'Paramètres (1)'!$A$1:$I$88,7,0))</f>
        <v>#REF!</v>
      </c>
      <c r="CI188" s="135" t="str">
        <f>IF(ISNA(VLOOKUP(A188,'Données projet (1)'!$A$113:$I$133,6,0)),0%,VLOOKUP(A188,'Données projet (1)'!$A$113:$I$133,6,0)*VLOOKUP('Données projet (1)'!$B$12,'Paramètres (1)'!$A$1:$I$88,7,0))</f>
        <v>#REF!</v>
      </c>
      <c r="CJ188" s="135" t="str">
        <f t="shared" si="44"/>
        <v>#REF!</v>
      </c>
      <c r="CK188" s="142" t="str">
        <f>EXP(-LN(2)/35)*CK187+(1-EXP(-LN(2)/35))/(LN(2)/35)*CG188*CH188*VLOOKUP('Données projet (1)'!$B$12,'Paramètres (1)'!$A$1:$I$88,3,0)*0.475*44/12</f>
        <v>#REF!</v>
      </c>
      <c r="CL188" s="142" t="str">
        <f>EXP(-LN(2)/25)*CL187+(1-EXP(-LN(2)/25))/(LN(2)/25)*'Calculateur (1)'!CG188*'Calculateur (1)'!CI188*VLOOKUP('Données projet (1)'!$B$12,'Paramètres (1)'!$A$1:$I$88,3,0)*0.475*44/12</f>
        <v>#REF!</v>
      </c>
      <c r="CM188" s="142" t="str">
        <f>EXP(-LN(2)/2)*CM187+(1-EXP(-LN(2)/2))/(LN(2)/2)*CG188*CJ188*VLOOKUP('Données projet (1)'!$B$12,'Paramètres (1)'!$A$1:$I$88,3,0)*0.475*44/12</f>
        <v>#REF!</v>
      </c>
      <c r="CN188" s="143" t="str">
        <f t="shared" si="45"/>
        <v>#REF!</v>
      </c>
      <c r="CO188" s="139" t="str">
        <f t="shared" si="46"/>
        <v>#REF!</v>
      </c>
      <c r="CP188" s="131">
        <f t="shared" si="47"/>
        <v>10</v>
      </c>
      <c r="CQ188" s="131" t="str">
        <f t="shared" si="124"/>
        <v>#REF!</v>
      </c>
      <c r="CR188" s="131" t="str">
        <f t="shared" si="48"/>
        <v>#REF!</v>
      </c>
      <c r="CS188" s="131" t="str">
        <f t="array" ref="CS188">INDEX(CR:CR,MIN(IF(ISNUMBER(CR188:CR384),ROW(CR188:CR384),"")))</f>
        <v/>
      </c>
      <c r="CT188" s="131" t="str">
        <f t="shared" si="125"/>
        <v>#REF!</v>
      </c>
      <c r="CU188" s="138" t="str">
        <f>CT188*VLOOKUP('Données projet (1)'!$B$13,'Paramètres (1)'!$A$1:$I$88,3,0)*VLOOKUP('Données projet (1)'!$B$13,'Paramètres (1)'!$A$1:$I$88,5,0)</f>
        <v>#REF!</v>
      </c>
      <c r="CV188" s="130" t="str">
        <f t="shared" si="126"/>
        <v>#REF!</v>
      </c>
      <c r="CW188" s="141" t="str">
        <f t="shared" si="49"/>
        <v>#REF!</v>
      </c>
      <c r="CX188" s="133" t="str">
        <f t="shared" si="50"/>
        <v>#REF!</v>
      </c>
      <c r="CY188" s="133" t="str">
        <f t="shared" si="51"/>
        <v>#REF!</v>
      </c>
      <c r="CZ188" s="133" t="str">
        <f t="shared" si="127"/>
        <v>#REF!</v>
      </c>
      <c r="DA188" s="134" t="str">
        <f t="shared" si="52"/>
        <v>#REF!</v>
      </c>
      <c r="DB188" s="134" t="str">
        <f t="shared" si="53"/>
        <v>#REF!</v>
      </c>
      <c r="DC188" s="135" t="str">
        <f>IF(ISNA(VLOOKUP(A188,'Données projet (1)'!$A$139:$I$159,5,0)),0%,VLOOKUP(A188,'Données projet (1)'!$A$139:$I$159,5,0)*VLOOKUP('Données projet (1)'!$B$13,'Paramètres (1)'!$A$1:$I$88,7,0))</f>
        <v>#REF!</v>
      </c>
      <c r="DD188" s="135" t="str">
        <f>IF(ISNA(VLOOKUP(A188,'Données projet (1)'!$A$139:$I$159,6,0)),0%,VLOOKUP(A188,'Données projet (1)'!$A$139:$I$159,6,0)*VLOOKUP('Données projet (1)'!$B$13,'Paramètres (1)'!$A$1:$I$88,7,0))</f>
        <v>#REF!</v>
      </c>
      <c r="DE188" s="135" t="str">
        <f t="shared" si="54"/>
        <v>#REF!</v>
      </c>
      <c r="DF188" s="142" t="str">
        <f>EXP(-LN(2)/35)*DF187+(1-EXP(-LN(2)/35))/(LN(2)/35)*DB188*DC188*VLOOKUP('Données projet (1)'!$B$13,'Paramètres (1)'!$A$1:$I$88,3,0)*0.475*44/12</f>
        <v>#REF!</v>
      </c>
      <c r="DG188" s="142" t="str">
        <f>EXP(-LN(2)/25)*DG187+(1-EXP(-LN(2)/25))/(LN(2)/25)*'Calculateur (1)'!DB188*'Calculateur (1)'!DD188*VLOOKUP('Données projet (1)'!$B$13,'Paramètres (1)'!$A$1:$I$88,3,0)*0.475*44/12</f>
        <v>#REF!</v>
      </c>
      <c r="DH188" s="142" t="str">
        <f>EXP(-LN(2)/2)*DH187+(1-EXP(-LN(2)/2))/(LN(2)/2)*DB188*DE188*VLOOKUP('Données projet (1)'!$B$13,'Paramètres (1)'!$A$1:$I$88,3,0)*0.475*44/12</f>
        <v>#REF!</v>
      </c>
      <c r="DI188" s="143" t="str">
        <f t="shared" si="55"/>
        <v>#REF!</v>
      </c>
      <c r="DJ188" s="139" t="str">
        <f t="shared" si="56"/>
        <v>#REF!</v>
      </c>
      <c r="DK188" s="131">
        <f t="shared" si="57"/>
        <v>10</v>
      </c>
      <c r="DL188" s="131" t="str">
        <f t="shared" si="128"/>
        <v>#REF!</v>
      </c>
      <c r="DM188" s="131" t="str">
        <f t="shared" si="58"/>
        <v>#REF!</v>
      </c>
      <c r="DN188" s="131" t="str">
        <f t="array" ref="DN188">INDEX(DM:DM,MIN(IF(ISNUMBER(DM188:DM384),ROW(DM188:DM384),"")))</f>
        <v/>
      </c>
      <c r="DO188" s="131" t="str">
        <f t="shared" si="129"/>
        <v>#REF!</v>
      </c>
      <c r="DP188" s="138" t="str">
        <f>DO188*VLOOKUP('Données projet (1)'!$B$14,'Paramètres (1)'!$A$1:$I$88,3,0)*VLOOKUP('Données projet (1)'!$B$14,'Paramètres (1)'!$A$1:$I$88,5,0)</f>
        <v>#REF!</v>
      </c>
      <c r="DQ188" s="130" t="str">
        <f t="shared" si="130"/>
        <v>#REF!</v>
      </c>
      <c r="DR188" s="141" t="str">
        <f t="shared" si="59"/>
        <v>#REF!</v>
      </c>
      <c r="DS188" s="133" t="str">
        <f t="shared" si="60"/>
        <v>#REF!</v>
      </c>
      <c r="DT188" s="133" t="str">
        <f t="shared" si="61"/>
        <v>#REF!</v>
      </c>
      <c r="DU188" s="133" t="str">
        <f t="shared" si="131"/>
        <v>#REF!</v>
      </c>
      <c r="DV188" s="134" t="str">
        <f t="shared" si="62"/>
        <v>#REF!</v>
      </c>
      <c r="DW188" s="134" t="str">
        <f t="shared" si="63"/>
        <v>#REF!</v>
      </c>
      <c r="DX188" s="135" t="str">
        <f>IF(ISNA(VLOOKUP(A188,'Données projet (1)'!$A$165:$I$185,5,0)),0%,VLOOKUP(A188,'Données projet (1)'!$A$165:$I$185,5,0)*VLOOKUP('Données projet (1)'!$B$14,'Paramètres (1)'!$A$1:$I$88,7,0))</f>
        <v>#REF!</v>
      </c>
      <c r="DY188" s="135" t="str">
        <f>IF(ISNA(VLOOKUP(A188,'Données projet (1)'!$A$165:$I$185,6,0)),0%,VLOOKUP(A188,'Données projet (1)'!$A$165:$I$185,6,0)*VLOOKUP('Données projet (1)'!$B$14,'Paramètres (1)'!$A$1:$I$88,7,0))</f>
        <v>#REF!</v>
      </c>
      <c r="DZ188" s="135" t="str">
        <f t="shared" si="64"/>
        <v>#REF!</v>
      </c>
      <c r="EA188" s="142" t="str">
        <f>EXP(-LN(2)/35)*EA187+(1-EXP(-LN(2)/35))/(LN(2)/35)*DW188*DX188*VLOOKUP('Données projet (1)'!$B$14,'Paramètres (1)'!$A$1:$I$88,3,0)*0.475*44/12</f>
        <v>#REF!</v>
      </c>
      <c r="EB188" s="142" t="str">
        <f>EXP(-LN(2)/25)*EB187+(1-EXP(-LN(2)/25))/(LN(2)/25)*'Calculateur (1)'!DW188*'Calculateur (1)'!DY188*VLOOKUP('Données projet (1)'!$B$14,'Paramètres (1)'!$A$1:$I$88,3,0)*0.475*44/12</f>
        <v>#REF!</v>
      </c>
      <c r="EC188" s="142" t="str">
        <f>EXP(-LN(2)/2)*EC187+(1-EXP(-LN(2)/2))/(LN(2)/2)*DW188*DZ188*VLOOKUP('Données projet (1)'!$B$14,'Paramètres (1)'!$A$1:$I$88,3,0)*0.475*44/12</f>
        <v>#REF!</v>
      </c>
      <c r="ED188" s="143" t="str">
        <f t="shared" si="65"/>
        <v>#REF!</v>
      </c>
      <c r="EE188" s="139" t="str">
        <f t="shared" si="66"/>
        <v>#REF!</v>
      </c>
      <c r="EF188" s="131">
        <f t="shared" si="67"/>
        <v>10</v>
      </c>
      <c r="EG188" s="131" t="str">
        <f t="shared" si="132"/>
        <v>#REF!</v>
      </c>
      <c r="EH188" s="131" t="str">
        <f t="shared" si="68"/>
        <v>#REF!</v>
      </c>
      <c r="EI188" s="131" t="str">
        <f t="array" ref="EI188">INDEX(EH:EH,MIN(IF(ISNUMBER(EH188:EH384),ROW(EH188:EH384),"")))</f>
        <v/>
      </c>
      <c r="EJ188" s="131" t="str">
        <f t="shared" si="133"/>
        <v>#REF!</v>
      </c>
      <c r="EK188" s="138" t="str">
        <f>EJ188*VLOOKUP('Données projet (1)'!$B$15,'Paramètres (1)'!$A$1:$I$88,3,0)*VLOOKUP('Données projet (1)'!$B$15,'Paramètres (1)'!$A$1:$I$88,5,0)</f>
        <v>#REF!</v>
      </c>
      <c r="EL188" s="130" t="str">
        <f t="shared" si="134"/>
        <v>#REF!</v>
      </c>
      <c r="EM188" s="141" t="str">
        <f t="shared" si="69"/>
        <v>#REF!</v>
      </c>
      <c r="EN188" s="133" t="str">
        <f t="shared" si="70"/>
        <v>#REF!</v>
      </c>
      <c r="EO188" s="133" t="str">
        <f t="shared" si="71"/>
        <v>#REF!</v>
      </c>
      <c r="EP188" s="133" t="str">
        <f t="shared" si="135"/>
        <v>#REF!</v>
      </c>
      <c r="EQ188" s="134" t="str">
        <f t="shared" si="72"/>
        <v>#REF!</v>
      </c>
      <c r="ER188" s="134" t="str">
        <f t="shared" si="73"/>
        <v>#REF!</v>
      </c>
      <c r="ES188" s="135" t="str">
        <f>IF(ISNA(VLOOKUP(A188,'Données projet (1)'!$A$191:$I$211,5,0)),0%,VLOOKUP(A188,'Données projet (1)'!$A$191:$I$211,5,0)*VLOOKUP('Données projet (1)'!$B$15,'Paramètres (1)'!$A$1:$I$88,7,0))</f>
        <v>#REF!</v>
      </c>
      <c r="ET188" s="135" t="str">
        <f>IF(ISNA(VLOOKUP(A188,'Données projet (1)'!$A$191:$I$211,6,0)),0%,VLOOKUP(A188,'Données projet (1)'!$A$191:$I$211,6,0)*VLOOKUP('Données projet (1)'!$B$15,'Paramètres (1)'!$A$1:$I$88,7,0))</f>
        <v>#REF!</v>
      </c>
      <c r="EU188" s="135" t="str">
        <f t="shared" si="74"/>
        <v>#REF!</v>
      </c>
      <c r="EV188" s="142" t="str">
        <f>EXP(-LN(2)/35)*EV187+(1-EXP(-LN(2)/35))/(LN(2)/35)*ER188*ES188*VLOOKUP('Données projet (1)'!$B$15,'Paramètres (1)'!$A$1:$I$88,3,0)*0.475*44/12</f>
        <v>#REF!</v>
      </c>
      <c r="EW188" s="142" t="str">
        <f>EXP(-LN(2)/25)*EW187+(1-EXP(-LN(2)/25))/(LN(2)/25)*'Calculateur (1)'!ER188*'Calculateur (1)'!ET188*VLOOKUP('Données projet (1)'!$B$15,'Paramètres (1)'!$A$1:$I$88,3,0)*0.475*44/12</f>
        <v>#REF!</v>
      </c>
      <c r="EX188" s="142" t="str">
        <f>EXP(-LN(2)/2)*EX187+(1-EXP(-LN(2)/2))/(LN(2)/2)*ER188*EU188*VLOOKUP('Données projet (1)'!$B$15,'Paramètres (1)'!$A$1:$I$88,3,0)*0.475*44/12</f>
        <v>#REF!</v>
      </c>
      <c r="EY188" s="143" t="str">
        <f t="shared" si="75"/>
        <v>#REF!</v>
      </c>
      <c r="EZ188" s="139" t="str">
        <f t="shared" si="76"/>
        <v>#REF!</v>
      </c>
      <c r="FA188" s="131">
        <f t="shared" si="77"/>
        <v>10</v>
      </c>
      <c r="FB188" s="131" t="str">
        <f t="shared" si="136"/>
        <v>#REF!</v>
      </c>
      <c r="FC188" s="131" t="str">
        <f t="shared" si="78"/>
        <v>#REF!</v>
      </c>
      <c r="FD188" s="131" t="str">
        <f t="array" ref="FD188">INDEX(FC:FC,MIN(IF(ISNUMBER(FC188:FC384),ROW(FC188:FC384),"")))</f>
        <v/>
      </c>
      <c r="FE188" s="131" t="str">
        <f t="shared" si="137"/>
        <v>#REF!</v>
      </c>
      <c r="FF188" s="138" t="str">
        <f>FE188*VLOOKUP('Données projet (1)'!$B$16,'Paramètres (1)'!$A$1:$I$88,3,0)*VLOOKUP('Données projet (1)'!$B$16,'Paramètres (1)'!$A$1:$I$88,5,0)</f>
        <v>#REF!</v>
      </c>
      <c r="FG188" s="130" t="str">
        <f t="shared" si="138"/>
        <v>#REF!</v>
      </c>
      <c r="FH188" s="141" t="str">
        <f t="shared" si="79"/>
        <v>#REF!</v>
      </c>
      <c r="FI188" s="133" t="str">
        <f t="shared" si="80"/>
        <v>#REF!</v>
      </c>
      <c r="FJ188" s="133" t="str">
        <f t="shared" si="81"/>
        <v>#REF!</v>
      </c>
      <c r="FK188" s="133" t="str">
        <f t="shared" si="139"/>
        <v>#REF!</v>
      </c>
      <c r="FL188" s="134" t="str">
        <f t="shared" si="82"/>
        <v>#REF!</v>
      </c>
      <c r="FM188" s="134" t="str">
        <f t="shared" si="83"/>
        <v>#REF!</v>
      </c>
      <c r="FN188" s="135" t="str">
        <f>IF(ISNA(VLOOKUP(A188,'Données projet (1)'!$A$217:$I$237,5,0)),0%,VLOOKUP(A188,'Données projet (1)'!$A$217:$I$237,5,0)*VLOOKUP('Données projet (1)'!$B$16,'Paramètres (1)'!$A$1:$I$88,7,0))</f>
        <v>#REF!</v>
      </c>
      <c r="FO188" s="135" t="str">
        <f>IF(ISNA(VLOOKUP(A188,'Données projet (1)'!$A$217:$I$237,6,0)),0%,VLOOKUP(A188,'Données projet (1)'!$A$217:$I$237,6,0)*VLOOKUP('Données projet (1)'!$B$16,'Paramètres (1)'!$A$1:$I$88,7,0))</f>
        <v>#REF!</v>
      </c>
      <c r="FP188" s="135" t="str">
        <f t="shared" si="84"/>
        <v>#REF!</v>
      </c>
      <c r="FQ188" s="142" t="str">
        <f>EXP(-LN(2)/35)*FQ187+(1-EXP(-LN(2)/35))/(LN(2)/35)*FM188*FN188*VLOOKUP('Données projet (1)'!$B$16,'Paramètres (1)'!$A$1:$I$88,3,0)*0.475*44/12</f>
        <v>#REF!</v>
      </c>
      <c r="FR188" s="142" t="str">
        <f>EXP(-LN(2)/25)*FR187+(1-EXP(-LN(2)/25))/(LN(2)/25)*'Calculateur (1)'!FM188*'Calculateur (1)'!FO188*VLOOKUP('Données projet (1)'!$B$16,'Paramètres (1)'!$A$1:$I$88,3,0)*0.475*44/12</f>
        <v>#REF!</v>
      </c>
      <c r="FS188" s="142" t="str">
        <f>EXP(-LN(2)/2)*FS187+(1-EXP(-LN(2)/2))/(LN(2)/2)*FM188*FP188*VLOOKUP('Données projet (1)'!$B$16,'Paramètres (1)'!$A$1:$I$88,3,0)*0.475*44/12</f>
        <v>#REF!</v>
      </c>
      <c r="FT188" s="143" t="str">
        <f t="shared" si="85"/>
        <v>#REF!</v>
      </c>
      <c r="FU188" s="139" t="str">
        <f t="shared" si="86"/>
        <v>#REF!</v>
      </c>
      <c r="FV188" s="131">
        <f t="shared" si="87"/>
        <v>10</v>
      </c>
      <c r="FW188" s="131" t="str">
        <f t="shared" si="140"/>
        <v>#REF!</v>
      </c>
      <c r="FX188" s="131" t="str">
        <f t="shared" si="88"/>
        <v>#REF!</v>
      </c>
      <c r="FY188" s="131" t="str">
        <f t="array" ref="FY188">INDEX(FX:FX,MIN(IF(ISNUMBER(FX188:FX384),ROW(FX188:FX384),"")))</f>
        <v/>
      </c>
      <c r="FZ188" s="131" t="str">
        <f t="shared" si="141"/>
        <v>#REF!</v>
      </c>
      <c r="GA188" s="138" t="str">
        <f>FZ188*VLOOKUP('Données projet (1)'!$B$17,'Paramètres (1)'!$A$1:$I$88,3,0)*VLOOKUP('Données projet (1)'!$B$17,'Paramètres (1)'!$A$1:$I$88,5,0)</f>
        <v>#REF!</v>
      </c>
      <c r="GB188" s="130" t="str">
        <f t="shared" si="142"/>
        <v>#REF!</v>
      </c>
      <c r="GC188" s="141" t="str">
        <f t="shared" si="89"/>
        <v>#REF!</v>
      </c>
      <c r="GD188" s="133" t="str">
        <f t="shared" si="90"/>
        <v>#REF!</v>
      </c>
      <c r="GE188" s="133" t="str">
        <f t="shared" si="91"/>
        <v>#REF!</v>
      </c>
      <c r="GF188" s="133" t="str">
        <f t="shared" si="143"/>
        <v>#REF!</v>
      </c>
      <c r="GG188" s="134" t="str">
        <f t="shared" si="92"/>
        <v>#REF!</v>
      </c>
      <c r="GH188" s="134" t="str">
        <f t="shared" si="93"/>
        <v>#REF!</v>
      </c>
      <c r="GI188" s="135" t="str">
        <f>IF(ISNA(VLOOKUP(A188,'Données projet (1)'!$A$243:$I$263,5,0)),0%,VLOOKUP(A188,'Données projet (1)'!$A$243:$I$263,5,0)*VLOOKUP('Données projet (1)'!$B$17,'Paramètres (1)'!$A$1:$I$88,7,0))</f>
        <v>#REF!</v>
      </c>
      <c r="GJ188" s="135" t="str">
        <f>IF(ISNA(VLOOKUP(A188,'Données projet (1)'!$A$243:$I$263,6,0)),0%,VLOOKUP(A188,'Données projet (1)'!$A$243:$I$263,6,0)*VLOOKUP('Données projet (1)'!$B$17,'Paramètres (1)'!$A$1:$I$88,7,0))</f>
        <v>#REF!</v>
      </c>
      <c r="GK188" s="135" t="str">
        <f t="shared" si="94"/>
        <v>#REF!</v>
      </c>
      <c r="GL188" s="142" t="str">
        <f>EXP(-LN(2)/35)*GL187+(1-EXP(-LN(2)/35))/(LN(2)/35)*GH188*GI188*VLOOKUP('Données projet (1)'!$B$17,'Paramètres (1)'!$A$1:$I$88,3,0)*0.475*44/12</f>
        <v>#REF!</v>
      </c>
      <c r="GM188" s="142" t="str">
        <f>EXP(-LN(2)/25)*GM187+(1-EXP(-LN(2)/25))/(LN(2)/25)*'Calculateur (1)'!GH188*'Calculateur (1)'!GJ188*VLOOKUP('Données projet (1)'!$B$17,'Paramètres (1)'!$A$1:$I$88,3,0)*0.475*44/12</f>
        <v>#REF!</v>
      </c>
      <c r="GN188" s="142" t="str">
        <f>EXP(-LN(2)/2)*GN187+(1-EXP(-LN(2)/2))/(LN(2)/2)*GH188*GK188*VLOOKUP('Données projet (1)'!$B$17,'Paramètres (1)'!$A$1:$I$88,3,0)*0.475*44/12</f>
        <v>#REF!</v>
      </c>
      <c r="GO188" s="142" t="str">
        <f t="shared" si="95"/>
        <v>#REF!</v>
      </c>
      <c r="GP188" s="139" t="str">
        <f t="shared" si="96"/>
        <v>#REF!</v>
      </c>
      <c r="GQ188" s="131">
        <f t="shared" si="97"/>
        <v>10</v>
      </c>
      <c r="GR188" s="131" t="str">
        <f t="shared" si="144"/>
        <v>#REF!</v>
      </c>
      <c r="GS188" s="131" t="str">
        <f t="shared" si="98"/>
        <v>#REF!</v>
      </c>
      <c r="GT188" s="131" t="str">
        <f t="array" ref="GT188">INDEX(GS:GS,MIN(IF(ISNUMBER(GS188:GS384),ROW(GS188:GS384),"")))</f>
        <v/>
      </c>
      <c r="GU188" s="131" t="str">
        <f t="shared" si="145"/>
        <v>#REF!</v>
      </c>
      <c r="GV188" s="138" t="str">
        <f>GU188*VLOOKUP('Données projet (1)'!$B$18,'Paramètres (1)'!$A$1:$I$88,3,0)*VLOOKUP('Données projet (1)'!$B$18,'Paramètres (1)'!$A$1:$I$88,5,0)</f>
        <v>#REF!</v>
      </c>
      <c r="GW188" s="130" t="str">
        <f t="shared" si="146"/>
        <v>#REF!</v>
      </c>
      <c r="GX188" s="141" t="str">
        <f t="shared" si="99"/>
        <v>#REF!</v>
      </c>
      <c r="GY188" s="133" t="str">
        <f t="shared" si="100"/>
        <v>#REF!</v>
      </c>
      <c r="GZ188" s="133" t="str">
        <f t="shared" si="101"/>
        <v>#REF!</v>
      </c>
      <c r="HA188" s="133" t="str">
        <f t="shared" si="147"/>
        <v>#REF!</v>
      </c>
      <c r="HB188" s="134" t="str">
        <f t="shared" si="102"/>
        <v>#REF!</v>
      </c>
      <c r="HC188" s="134" t="str">
        <f t="shared" si="103"/>
        <v>#REF!</v>
      </c>
      <c r="HD188" s="135" t="str">
        <f>IF(ISNA(VLOOKUP(A188,'Données projet (1)'!$A$269:$I$289,5,0)),0%,VLOOKUP(A188,'Données projet (1)'!$A$269:$I$289,5,0)*VLOOKUP('Données projet (1)'!$B$18,'Paramètres (1)'!$A$1:$I$88,7,0))</f>
        <v>#REF!</v>
      </c>
      <c r="HE188" s="135" t="str">
        <f>IF(ISNA(VLOOKUP(A188,'Données projet (1)'!$A$269:$I$289,6,0)),0%,VLOOKUP(A188,'Données projet (1)'!$A$269:$I$289,6,0)*VLOOKUP('Données projet (1)'!$B$18,'Paramètres (1)'!$A$1:$I$88,7,0))</f>
        <v>#REF!</v>
      </c>
      <c r="HF188" s="135" t="str">
        <f t="shared" si="104"/>
        <v>#REF!</v>
      </c>
      <c r="HG188" s="142" t="str">
        <f>EXP(-LN(2)/35)*HG187+(1-EXP(-LN(2)/35))/(LN(2)/35)*HC188*HD188*VLOOKUP('Données projet (1)'!$B$18,'Paramètres (1)'!$A$1:$I$88,3,0)*0.475*44/12</f>
        <v>#REF!</v>
      </c>
      <c r="HH188" s="142" t="str">
        <f>EXP(-LN(2)/25)*HH187+(1-EXP(-LN(2)/25))/(LN(2)/25)*'Calculateur (1)'!HC188*'Calculateur (1)'!HE188*VLOOKUP('Données projet (1)'!$B$18,'Paramètres (1)'!$A$1:$I$88,3,0)*0.475*44/12</f>
        <v>#REF!</v>
      </c>
      <c r="HI188" s="142" t="str">
        <f>EXP(-LN(2)/2)*HI187+(1-EXP(-LN(2)/2))/(LN(2)/2)*HC188*HF188*VLOOKUP('Données projet (1)'!$B$18,'Paramètres (1)'!$A$1:$I$88,3,0)*0.475*44/12</f>
        <v>#REF!</v>
      </c>
      <c r="HJ188" s="143" t="str">
        <f t="shared" si="105"/>
        <v>#REF!</v>
      </c>
    </row>
    <row r="189" ht="14.25" customHeight="1">
      <c r="A189" s="125">
        <f t="shared" si="106"/>
        <v>186</v>
      </c>
      <c r="B189" s="126" t="str">
        <f t="shared" si="1"/>
        <v>#REF!</v>
      </c>
      <c r="C189" s="140" t="str">
        <f>'Calculateur (1)'!C188+'Scénario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9" s="127">
        <f t="shared" si="107"/>
        <v>0</v>
      </c>
      <c r="E189" s="127" t="str">
        <f t="shared" si="2"/>
        <v>#REF!</v>
      </c>
      <c r="F189" s="127" t="str">
        <f t="shared" si="3"/>
        <v>#REF!</v>
      </c>
      <c r="G189" s="127" t="str">
        <f t="shared" si="4"/>
        <v>#REF!</v>
      </c>
      <c r="H189" s="128" t="str">
        <f t="shared" si="5"/>
        <v>#REF!</v>
      </c>
      <c r="I189" s="129" t="str">
        <f t="shared" si="6"/>
        <v>#REF!</v>
      </c>
      <c r="J189" s="130">
        <f t="shared" si="7"/>
        <v>10</v>
      </c>
      <c r="K189" s="131" t="str">
        <f t="shared" si="108"/>
        <v>#REF!</v>
      </c>
      <c r="L189" s="131" t="str">
        <f t="shared" si="8"/>
        <v>#REF!</v>
      </c>
      <c r="M189" s="131" t="str">
        <f t="array" ref="M189">INDEX(L:L,MIN(IF(ISNUMBER(L189:L385),ROW(L189:L385),"")))</f>
        <v/>
      </c>
      <c r="N189" s="130" t="str">
        <f t="shared" si="109"/>
        <v>#REF!</v>
      </c>
      <c r="O189" s="130" t="str">
        <f>N189*VLOOKUP('Données projet (1)'!$B$9,'Paramètres (1)'!$A$1:$I$88,3,0)*VLOOKUP('Données projet (1)'!$B$9,'Paramètres (1)'!$A$1:$I$88,5,0)</f>
        <v>#REF!</v>
      </c>
      <c r="P189" s="130" t="str">
        <f t="shared" si="110"/>
        <v>#REF!</v>
      </c>
      <c r="Q189" s="141" t="str">
        <f t="shared" si="9"/>
        <v>#REF!</v>
      </c>
      <c r="R189" s="133" t="str">
        <f t="shared" si="10"/>
        <v>#REF!</v>
      </c>
      <c r="S189" s="133" t="str">
        <f t="shared" si="11"/>
        <v>#REF!</v>
      </c>
      <c r="T189" s="133" t="str">
        <f t="shared" si="111"/>
        <v>#REF!</v>
      </c>
      <c r="U189" s="134" t="str">
        <f t="shared" si="12"/>
        <v>#REF!</v>
      </c>
      <c r="V189" s="134" t="str">
        <f t="shared" si="13"/>
        <v>#REF!</v>
      </c>
      <c r="W189" s="135" t="str">
        <f>IF(ISNA(VLOOKUP(A189,'Données projet (1)'!$A$35:$I$55,5,0)),0%,VLOOKUP(A189,'Données projet (1)'!$A$35:$I$55,5,0)*VLOOKUP('Données projet (1)'!$B$9,'Paramètres (1)'!$A$1:$I$88,7,0))</f>
        <v>#REF!</v>
      </c>
      <c r="X189" s="135" t="str">
        <f>IF(ISNA(VLOOKUP(A189,'Données projet (1)'!$A$35:$I$55,6,0)),0%,VLOOKUP(A189,'Données projet (1)'!$A$35:$I$55,6,0)*VLOOKUP('Données projet (1)'!$B$9,'Paramètres (1)'!$A$1:$I$88,7,0))</f>
        <v>#REF!</v>
      </c>
      <c r="Y189" s="135" t="str">
        <f t="shared" si="14"/>
        <v>#REF!</v>
      </c>
      <c r="Z189" s="142" t="str">
        <f>EXP(-LN(2)/35)*Z188+(1-EXP(-LN(2)/35))/(LN(2)/35)*V189*W189*VLOOKUP('Données projet (1)'!$B$9,'Paramètres (1)'!$A$1:$I$88,3,0)*0.475*44/12</f>
        <v>#REF!</v>
      </c>
      <c r="AA189" s="142" t="str">
        <f>EXP(-LN(2)/25)*AA188+(1-EXP(-LN(2)/25))/(LN(2)/25)*'Calculateur (1)'!V189*'Calculateur (1)'!X189*VLOOKUP('Données projet (1)'!$B$9,'Paramètres (1)'!$A$1:$I$88,3,0)*0.475*44/12</f>
        <v>#REF!</v>
      </c>
      <c r="AB189" s="142" t="str">
        <f>EXP(-LN(2)/2)*AB188+(1-EXP(-LN(2)/2))/(LN(2)/2)*V189*Y189*VLOOKUP('Données projet (1)'!$B$9,'Paramètres (1)'!$A$1:$I$88,3,0)*0.475*44/12</f>
        <v>#REF!</v>
      </c>
      <c r="AC189" s="143" t="str">
        <f t="shared" si="15"/>
        <v>#REF!</v>
      </c>
      <c r="AD189" s="130" t="str">
        <f t="shared" si="16"/>
        <v>#REF!</v>
      </c>
      <c r="AE189" s="130">
        <f t="shared" si="17"/>
        <v>10</v>
      </c>
      <c r="AF189" s="131" t="str">
        <f t="shared" si="112"/>
        <v>#REF!</v>
      </c>
      <c r="AG189" s="131" t="str">
        <f t="shared" si="18"/>
        <v>#REF!</v>
      </c>
      <c r="AH189" s="131" t="str">
        <f t="array" ref="AH189">INDEX(AG:AG,MIN(IF(ISNUMBER(AG189:AG385),ROW(AG189:AG385),"")))</f>
        <v/>
      </c>
      <c r="AI189" s="130" t="str">
        <f t="shared" si="113"/>
        <v>#REF!</v>
      </c>
      <c r="AJ189" s="130" t="str">
        <f>AI189*VLOOKUP('Données projet (1)'!$B$10,'Paramètres (1)'!$A$1:$I$88,3,0)*VLOOKUP('Données projet (1)'!$B$10,'Paramètres (1)'!$A$1:$I$88,5,0)</f>
        <v>#REF!</v>
      </c>
      <c r="AK189" s="130" t="str">
        <f t="shared" si="114"/>
        <v>#REF!</v>
      </c>
      <c r="AL189" s="141" t="str">
        <f t="shared" si="19"/>
        <v>#REF!</v>
      </c>
      <c r="AM189" s="133" t="str">
        <f t="shared" si="20"/>
        <v>#REF!</v>
      </c>
      <c r="AN189" s="133" t="str">
        <f t="shared" si="21"/>
        <v>#REF!</v>
      </c>
      <c r="AO189" s="133" t="str">
        <f t="shared" si="115"/>
        <v>#REF!</v>
      </c>
      <c r="AP189" s="134" t="str">
        <f t="shared" si="22"/>
        <v>#REF!</v>
      </c>
      <c r="AQ189" s="134" t="str">
        <f t="shared" si="23"/>
        <v>#REF!</v>
      </c>
      <c r="AR189" s="135" t="str">
        <f>IF(ISNA(VLOOKUP(A189,'Données projet (1)'!$A$61:$I$81,5,0)),0%,VLOOKUP(A189,'Données projet (1)'!$A$61:$I$81,5,0)*VLOOKUP('Données projet (1)'!$B$10,'Paramètres (1)'!$A$1:$I$88,7,0))</f>
        <v>#REF!</v>
      </c>
      <c r="AS189" s="135" t="str">
        <f>IF(ISNA(VLOOKUP(A189,'Données projet (1)'!$A$61:$I$81,6,0)),0%,VLOOKUP(A189,'Données projet (1)'!$A$61:$I$81,6,0)*VLOOKUP('Données projet (1)'!$B$10,'Paramètres (1)'!$A$1:$I$88,7,0))</f>
        <v>#REF!</v>
      </c>
      <c r="AT189" s="135" t="str">
        <f t="shared" si="24"/>
        <v>#REF!</v>
      </c>
      <c r="AU189" s="142" t="str">
        <f>EXP(-LN(2)/35)*AU188+(1-EXP(-LN(2)/35))/(LN(2)/35)*AQ189*AR189*VLOOKUP('Données projet (1)'!$B$10,'Paramètres (1)'!$A$1:$I$88,3,0)*0.475*44/12</f>
        <v>#REF!</v>
      </c>
      <c r="AV189" s="142" t="str">
        <f>EXP(-LN(2)/25)*AV188+(1-EXP(-LN(2)/25))/(LN(2)/25)*'Calculateur (1)'!AQ189*'Calculateur (1)'!AS189*VLOOKUP('Données projet (1)'!$B$10,'Paramètres (1)'!$A$1:$I$88,3,0)*0.475*44/12</f>
        <v>#REF!</v>
      </c>
      <c r="AW189" s="142" t="str">
        <f>EXP(-LN(2)/2)*AW188+(1-EXP(-LN(2)/2))/(LN(2)/2)*AQ189*AT189*VLOOKUP('Données projet (1)'!$B$10,'Paramètres (1)'!$A$1:$I$88,3,0)*0.475*44/12</f>
        <v>#REF!</v>
      </c>
      <c r="AX189" s="142" t="str">
        <f t="shared" si="25"/>
        <v>#REF!</v>
      </c>
      <c r="AY189" s="137" t="str">
        <f t="shared" si="26"/>
        <v>#REF!</v>
      </c>
      <c r="AZ189" s="131">
        <f t="shared" si="27"/>
        <v>10</v>
      </c>
      <c r="BA189" s="131" t="str">
        <f t="shared" si="116"/>
        <v>#REF!</v>
      </c>
      <c r="BB189" s="131" t="str">
        <f t="shared" si="28"/>
        <v>#REF!</v>
      </c>
      <c r="BC189" s="131" t="str">
        <f t="array" ref="BC189">INDEX(BB:BB,MIN(IF(ISNUMBER(BB189:BB385),ROW(BB189:BB385),"")))</f>
        <v/>
      </c>
      <c r="BD189" s="131" t="str">
        <f t="shared" si="117"/>
        <v>#REF!</v>
      </c>
      <c r="BE189" s="130" t="str">
        <f>BD189*VLOOKUP('Données projet (1)'!$B$11,'Paramètres (1)'!$A$1:$I$88,3,0)*VLOOKUP('Données projet (1)'!$B$11,'Paramètres (1)'!$A$1:$I$88,5,0)</f>
        <v>#REF!</v>
      </c>
      <c r="BF189" s="130" t="str">
        <f t="shared" si="118"/>
        <v>#REF!</v>
      </c>
      <c r="BG189" s="141" t="str">
        <f t="shared" si="29"/>
        <v>#REF!</v>
      </c>
      <c r="BH189" s="133" t="str">
        <f t="shared" si="30"/>
        <v>#REF!</v>
      </c>
      <c r="BI189" s="133" t="str">
        <f t="shared" si="31"/>
        <v>#REF!</v>
      </c>
      <c r="BJ189" s="133" t="str">
        <f t="shared" si="119"/>
        <v>#REF!</v>
      </c>
      <c r="BK189" s="134" t="str">
        <f t="shared" si="32"/>
        <v>#REF!</v>
      </c>
      <c r="BL189" s="134" t="str">
        <f t="shared" si="33"/>
        <v>#REF!</v>
      </c>
      <c r="BM189" s="135" t="str">
        <f>IF(ISNA(VLOOKUP(A189,'Données projet (1)'!$A$87:$I$107,5,0)),0%,VLOOKUP(A189,'Données projet (1)'!$A$87:$I$107,5,0)*VLOOKUP('Données projet (1)'!$B$11,'Paramètres (1)'!$A$1:$I$88,7,0))</f>
        <v>#REF!</v>
      </c>
      <c r="BN189" s="135" t="str">
        <f>IF(ISNA(VLOOKUP(A189,'Données projet (1)'!$A$87:$I$107,6,0)),0%,VLOOKUP(A189,'Données projet (1)'!$A$87:$I$107,6,0)*VLOOKUP('Données projet (1)'!$B$11,'Paramètres (1)'!$A$1:$I$88,7,0))</f>
        <v>#REF!</v>
      </c>
      <c r="BO189" s="135" t="str">
        <f t="shared" si="34"/>
        <v>#REF!</v>
      </c>
      <c r="BP189" s="142" t="str">
        <f>EXP(-LN(2)/35)*BP188+(1-EXP(-LN(2)/35))/(LN(2)/35)*BL189*BM189*VLOOKUP('Données projet (1)'!$B$11,'Paramètres (1)'!$A$1:$I$88,3,0)*0.475*44/12</f>
        <v>#REF!</v>
      </c>
      <c r="BQ189" s="142" t="str">
        <f>EXP(-LN(2)/25)*BQ188+(1-EXP(-LN(2)/25))/(LN(2)/25)*'Calculateur (1)'!BL189*'Calculateur (1)'!BN189*VLOOKUP('Données projet (1)'!$B$11,'Paramètres (1)'!$A$1:$I$88,3,0)*0.475*44/12</f>
        <v>#REF!</v>
      </c>
      <c r="BR189" s="142" t="str">
        <f>EXP(-LN(2)/2)*BR188+(1-EXP(-LN(2)/2))/(LN(2)/2)*BL189*BO189*VLOOKUP('Données projet (1)'!$B$11,'Paramètres (1)'!$A$1:$I$88,3,0)*0.475*44/12</f>
        <v>#REF!</v>
      </c>
      <c r="BS189" s="143" t="str">
        <f t="shared" si="35"/>
        <v>#REF!</v>
      </c>
      <c r="BT189" s="139" t="str">
        <f t="shared" si="36"/>
        <v>#REF!</v>
      </c>
      <c r="BU189" s="131">
        <f t="shared" si="37"/>
        <v>10</v>
      </c>
      <c r="BV189" s="131" t="str">
        <f t="shared" si="120"/>
        <v>#REF!</v>
      </c>
      <c r="BW189" s="131" t="str">
        <f t="shared" si="38"/>
        <v>#REF!</v>
      </c>
      <c r="BX189" s="131" t="str">
        <f t="array" ref="BX189">INDEX(BW:BW,MIN(IF(ISNUMBER(BW189:BW385),ROW(BW189:BW385),"")))</f>
        <v/>
      </c>
      <c r="BY189" s="131" t="str">
        <f t="shared" si="121"/>
        <v>#REF!</v>
      </c>
      <c r="BZ189" s="130" t="str">
        <f>BY189*VLOOKUP('Données projet (1)'!$B$12,'Paramètres (1)'!$A$1:$I$88,3,0)*VLOOKUP('Données projet (1)'!$B$12,'Paramètres (1)'!$A$1:$I$88,5,0)</f>
        <v>#REF!</v>
      </c>
      <c r="CA189" s="130" t="str">
        <f t="shared" si="122"/>
        <v>#REF!</v>
      </c>
      <c r="CB189" s="141" t="str">
        <f t="shared" si="39"/>
        <v>#REF!</v>
      </c>
      <c r="CC189" s="133" t="str">
        <f t="shared" si="40"/>
        <v>#REF!</v>
      </c>
      <c r="CD189" s="133" t="str">
        <f t="shared" si="41"/>
        <v>#REF!</v>
      </c>
      <c r="CE189" s="133" t="str">
        <f t="shared" si="123"/>
        <v>#REF!</v>
      </c>
      <c r="CF189" s="134" t="str">
        <f t="shared" si="42"/>
        <v>#REF!</v>
      </c>
      <c r="CG189" s="134" t="str">
        <f t="shared" si="43"/>
        <v>#REF!</v>
      </c>
      <c r="CH189" s="135" t="str">
        <f>IF(ISNA(VLOOKUP(A189,'Données projet (1)'!$A$113:$I$133,5,0)),0%,VLOOKUP(A189,'Données projet (1)'!$A$113:$I$133,5,0)*VLOOKUP('Données projet (1)'!$B$12,'Paramètres (1)'!$A$1:$I$88,7,0))</f>
        <v>#REF!</v>
      </c>
      <c r="CI189" s="135" t="str">
        <f>IF(ISNA(VLOOKUP(A189,'Données projet (1)'!$A$113:$I$133,6,0)),0%,VLOOKUP(A189,'Données projet (1)'!$A$113:$I$133,6,0)*VLOOKUP('Données projet (1)'!$B$12,'Paramètres (1)'!$A$1:$I$88,7,0))</f>
        <v>#REF!</v>
      </c>
      <c r="CJ189" s="135" t="str">
        <f t="shared" si="44"/>
        <v>#REF!</v>
      </c>
      <c r="CK189" s="142" t="str">
        <f>EXP(-LN(2)/35)*CK188+(1-EXP(-LN(2)/35))/(LN(2)/35)*CG189*CH189*VLOOKUP('Données projet (1)'!$B$12,'Paramètres (1)'!$A$1:$I$88,3,0)*0.475*44/12</f>
        <v>#REF!</v>
      </c>
      <c r="CL189" s="142" t="str">
        <f>EXP(-LN(2)/25)*CL188+(1-EXP(-LN(2)/25))/(LN(2)/25)*'Calculateur (1)'!CG189*'Calculateur (1)'!CI189*VLOOKUP('Données projet (1)'!$B$12,'Paramètres (1)'!$A$1:$I$88,3,0)*0.475*44/12</f>
        <v>#REF!</v>
      </c>
      <c r="CM189" s="142" t="str">
        <f>EXP(-LN(2)/2)*CM188+(1-EXP(-LN(2)/2))/(LN(2)/2)*CG189*CJ189*VLOOKUP('Données projet (1)'!$B$12,'Paramètres (1)'!$A$1:$I$88,3,0)*0.475*44/12</f>
        <v>#REF!</v>
      </c>
      <c r="CN189" s="143" t="str">
        <f t="shared" si="45"/>
        <v>#REF!</v>
      </c>
      <c r="CO189" s="139" t="str">
        <f t="shared" si="46"/>
        <v>#REF!</v>
      </c>
      <c r="CP189" s="131">
        <f t="shared" si="47"/>
        <v>10</v>
      </c>
      <c r="CQ189" s="131" t="str">
        <f t="shared" si="124"/>
        <v>#REF!</v>
      </c>
      <c r="CR189" s="131" t="str">
        <f t="shared" si="48"/>
        <v>#REF!</v>
      </c>
      <c r="CS189" s="131" t="str">
        <f t="array" ref="CS189">INDEX(CR:CR,MIN(IF(ISNUMBER(CR189:CR385),ROW(CR189:CR385),"")))</f>
        <v/>
      </c>
      <c r="CT189" s="131" t="str">
        <f t="shared" si="125"/>
        <v>#REF!</v>
      </c>
      <c r="CU189" s="138" t="str">
        <f>CT189*VLOOKUP('Données projet (1)'!$B$13,'Paramètres (1)'!$A$1:$I$88,3,0)*VLOOKUP('Données projet (1)'!$B$13,'Paramètres (1)'!$A$1:$I$88,5,0)</f>
        <v>#REF!</v>
      </c>
      <c r="CV189" s="130" t="str">
        <f t="shared" si="126"/>
        <v>#REF!</v>
      </c>
      <c r="CW189" s="141" t="str">
        <f t="shared" si="49"/>
        <v>#REF!</v>
      </c>
      <c r="CX189" s="133" t="str">
        <f t="shared" si="50"/>
        <v>#REF!</v>
      </c>
      <c r="CY189" s="133" t="str">
        <f t="shared" si="51"/>
        <v>#REF!</v>
      </c>
      <c r="CZ189" s="133" t="str">
        <f t="shared" si="127"/>
        <v>#REF!</v>
      </c>
      <c r="DA189" s="134" t="str">
        <f t="shared" si="52"/>
        <v>#REF!</v>
      </c>
      <c r="DB189" s="134" t="str">
        <f t="shared" si="53"/>
        <v>#REF!</v>
      </c>
      <c r="DC189" s="135" t="str">
        <f>IF(ISNA(VLOOKUP(A189,'Données projet (1)'!$A$139:$I$159,5,0)),0%,VLOOKUP(A189,'Données projet (1)'!$A$139:$I$159,5,0)*VLOOKUP('Données projet (1)'!$B$13,'Paramètres (1)'!$A$1:$I$88,7,0))</f>
        <v>#REF!</v>
      </c>
      <c r="DD189" s="135" t="str">
        <f>IF(ISNA(VLOOKUP(A189,'Données projet (1)'!$A$139:$I$159,6,0)),0%,VLOOKUP(A189,'Données projet (1)'!$A$139:$I$159,6,0)*VLOOKUP('Données projet (1)'!$B$13,'Paramètres (1)'!$A$1:$I$88,7,0))</f>
        <v>#REF!</v>
      </c>
      <c r="DE189" s="135" t="str">
        <f t="shared" si="54"/>
        <v>#REF!</v>
      </c>
      <c r="DF189" s="142" t="str">
        <f>EXP(-LN(2)/35)*DF188+(1-EXP(-LN(2)/35))/(LN(2)/35)*DB189*DC189*VLOOKUP('Données projet (1)'!$B$13,'Paramètres (1)'!$A$1:$I$88,3,0)*0.475*44/12</f>
        <v>#REF!</v>
      </c>
      <c r="DG189" s="142" t="str">
        <f>EXP(-LN(2)/25)*DG188+(1-EXP(-LN(2)/25))/(LN(2)/25)*'Calculateur (1)'!DB189*'Calculateur (1)'!DD189*VLOOKUP('Données projet (1)'!$B$13,'Paramètres (1)'!$A$1:$I$88,3,0)*0.475*44/12</f>
        <v>#REF!</v>
      </c>
      <c r="DH189" s="142" t="str">
        <f>EXP(-LN(2)/2)*DH188+(1-EXP(-LN(2)/2))/(LN(2)/2)*DB189*DE189*VLOOKUP('Données projet (1)'!$B$13,'Paramètres (1)'!$A$1:$I$88,3,0)*0.475*44/12</f>
        <v>#REF!</v>
      </c>
      <c r="DI189" s="143" t="str">
        <f t="shared" si="55"/>
        <v>#REF!</v>
      </c>
      <c r="DJ189" s="139" t="str">
        <f t="shared" si="56"/>
        <v>#REF!</v>
      </c>
      <c r="DK189" s="131">
        <f t="shared" si="57"/>
        <v>10</v>
      </c>
      <c r="DL189" s="131" t="str">
        <f t="shared" si="128"/>
        <v>#REF!</v>
      </c>
      <c r="DM189" s="131" t="str">
        <f t="shared" si="58"/>
        <v>#REF!</v>
      </c>
      <c r="DN189" s="131" t="str">
        <f t="array" ref="DN189">INDEX(DM:DM,MIN(IF(ISNUMBER(DM189:DM385),ROW(DM189:DM385),"")))</f>
        <v/>
      </c>
      <c r="DO189" s="131" t="str">
        <f t="shared" si="129"/>
        <v>#REF!</v>
      </c>
      <c r="DP189" s="138" t="str">
        <f>DO189*VLOOKUP('Données projet (1)'!$B$14,'Paramètres (1)'!$A$1:$I$88,3,0)*VLOOKUP('Données projet (1)'!$B$14,'Paramètres (1)'!$A$1:$I$88,5,0)</f>
        <v>#REF!</v>
      </c>
      <c r="DQ189" s="130" t="str">
        <f t="shared" si="130"/>
        <v>#REF!</v>
      </c>
      <c r="DR189" s="141" t="str">
        <f t="shared" si="59"/>
        <v>#REF!</v>
      </c>
      <c r="DS189" s="133" t="str">
        <f t="shared" si="60"/>
        <v>#REF!</v>
      </c>
      <c r="DT189" s="133" t="str">
        <f t="shared" si="61"/>
        <v>#REF!</v>
      </c>
      <c r="DU189" s="133" t="str">
        <f t="shared" si="131"/>
        <v>#REF!</v>
      </c>
      <c r="DV189" s="134" t="str">
        <f t="shared" si="62"/>
        <v>#REF!</v>
      </c>
      <c r="DW189" s="134" t="str">
        <f t="shared" si="63"/>
        <v>#REF!</v>
      </c>
      <c r="DX189" s="135" t="str">
        <f>IF(ISNA(VLOOKUP(A189,'Données projet (1)'!$A$165:$I$185,5,0)),0%,VLOOKUP(A189,'Données projet (1)'!$A$165:$I$185,5,0)*VLOOKUP('Données projet (1)'!$B$14,'Paramètres (1)'!$A$1:$I$88,7,0))</f>
        <v>#REF!</v>
      </c>
      <c r="DY189" s="135" t="str">
        <f>IF(ISNA(VLOOKUP(A189,'Données projet (1)'!$A$165:$I$185,6,0)),0%,VLOOKUP(A189,'Données projet (1)'!$A$165:$I$185,6,0)*VLOOKUP('Données projet (1)'!$B$14,'Paramètres (1)'!$A$1:$I$88,7,0))</f>
        <v>#REF!</v>
      </c>
      <c r="DZ189" s="135" t="str">
        <f t="shared" si="64"/>
        <v>#REF!</v>
      </c>
      <c r="EA189" s="142" t="str">
        <f>EXP(-LN(2)/35)*EA188+(1-EXP(-LN(2)/35))/(LN(2)/35)*DW189*DX189*VLOOKUP('Données projet (1)'!$B$14,'Paramètres (1)'!$A$1:$I$88,3,0)*0.475*44/12</f>
        <v>#REF!</v>
      </c>
      <c r="EB189" s="142" t="str">
        <f>EXP(-LN(2)/25)*EB188+(1-EXP(-LN(2)/25))/(LN(2)/25)*'Calculateur (1)'!DW189*'Calculateur (1)'!DY189*VLOOKUP('Données projet (1)'!$B$14,'Paramètres (1)'!$A$1:$I$88,3,0)*0.475*44/12</f>
        <v>#REF!</v>
      </c>
      <c r="EC189" s="142" t="str">
        <f>EXP(-LN(2)/2)*EC188+(1-EXP(-LN(2)/2))/(LN(2)/2)*DW189*DZ189*VLOOKUP('Données projet (1)'!$B$14,'Paramètres (1)'!$A$1:$I$88,3,0)*0.475*44/12</f>
        <v>#REF!</v>
      </c>
      <c r="ED189" s="143" t="str">
        <f t="shared" si="65"/>
        <v>#REF!</v>
      </c>
      <c r="EE189" s="139" t="str">
        <f t="shared" si="66"/>
        <v>#REF!</v>
      </c>
      <c r="EF189" s="131">
        <f t="shared" si="67"/>
        <v>10</v>
      </c>
      <c r="EG189" s="131" t="str">
        <f t="shared" si="132"/>
        <v>#REF!</v>
      </c>
      <c r="EH189" s="131" t="str">
        <f t="shared" si="68"/>
        <v>#REF!</v>
      </c>
      <c r="EI189" s="131" t="str">
        <f t="array" ref="EI189">INDEX(EH:EH,MIN(IF(ISNUMBER(EH189:EH385),ROW(EH189:EH385),"")))</f>
        <v/>
      </c>
      <c r="EJ189" s="131" t="str">
        <f t="shared" si="133"/>
        <v>#REF!</v>
      </c>
      <c r="EK189" s="138" t="str">
        <f>EJ189*VLOOKUP('Données projet (1)'!$B$15,'Paramètres (1)'!$A$1:$I$88,3,0)*VLOOKUP('Données projet (1)'!$B$15,'Paramètres (1)'!$A$1:$I$88,5,0)</f>
        <v>#REF!</v>
      </c>
      <c r="EL189" s="130" t="str">
        <f t="shared" si="134"/>
        <v>#REF!</v>
      </c>
      <c r="EM189" s="141" t="str">
        <f t="shared" si="69"/>
        <v>#REF!</v>
      </c>
      <c r="EN189" s="133" t="str">
        <f t="shared" si="70"/>
        <v>#REF!</v>
      </c>
      <c r="EO189" s="133" t="str">
        <f t="shared" si="71"/>
        <v>#REF!</v>
      </c>
      <c r="EP189" s="133" t="str">
        <f t="shared" si="135"/>
        <v>#REF!</v>
      </c>
      <c r="EQ189" s="134" t="str">
        <f t="shared" si="72"/>
        <v>#REF!</v>
      </c>
      <c r="ER189" s="134" t="str">
        <f t="shared" si="73"/>
        <v>#REF!</v>
      </c>
      <c r="ES189" s="135" t="str">
        <f>IF(ISNA(VLOOKUP(A189,'Données projet (1)'!$A$191:$I$211,5,0)),0%,VLOOKUP(A189,'Données projet (1)'!$A$191:$I$211,5,0)*VLOOKUP('Données projet (1)'!$B$15,'Paramètres (1)'!$A$1:$I$88,7,0))</f>
        <v>#REF!</v>
      </c>
      <c r="ET189" s="135" t="str">
        <f>IF(ISNA(VLOOKUP(A189,'Données projet (1)'!$A$191:$I$211,6,0)),0%,VLOOKUP(A189,'Données projet (1)'!$A$191:$I$211,6,0)*VLOOKUP('Données projet (1)'!$B$15,'Paramètres (1)'!$A$1:$I$88,7,0))</f>
        <v>#REF!</v>
      </c>
      <c r="EU189" s="135" t="str">
        <f t="shared" si="74"/>
        <v>#REF!</v>
      </c>
      <c r="EV189" s="142" t="str">
        <f>EXP(-LN(2)/35)*EV188+(1-EXP(-LN(2)/35))/(LN(2)/35)*ER189*ES189*VLOOKUP('Données projet (1)'!$B$15,'Paramètres (1)'!$A$1:$I$88,3,0)*0.475*44/12</f>
        <v>#REF!</v>
      </c>
      <c r="EW189" s="142" t="str">
        <f>EXP(-LN(2)/25)*EW188+(1-EXP(-LN(2)/25))/(LN(2)/25)*'Calculateur (1)'!ER189*'Calculateur (1)'!ET189*VLOOKUP('Données projet (1)'!$B$15,'Paramètres (1)'!$A$1:$I$88,3,0)*0.475*44/12</f>
        <v>#REF!</v>
      </c>
      <c r="EX189" s="142" t="str">
        <f>EXP(-LN(2)/2)*EX188+(1-EXP(-LN(2)/2))/(LN(2)/2)*ER189*EU189*VLOOKUP('Données projet (1)'!$B$15,'Paramètres (1)'!$A$1:$I$88,3,0)*0.475*44/12</f>
        <v>#REF!</v>
      </c>
      <c r="EY189" s="143" t="str">
        <f t="shared" si="75"/>
        <v>#REF!</v>
      </c>
      <c r="EZ189" s="139" t="str">
        <f t="shared" si="76"/>
        <v>#REF!</v>
      </c>
      <c r="FA189" s="131">
        <f t="shared" si="77"/>
        <v>10</v>
      </c>
      <c r="FB189" s="131" t="str">
        <f t="shared" si="136"/>
        <v>#REF!</v>
      </c>
      <c r="FC189" s="131" t="str">
        <f t="shared" si="78"/>
        <v>#REF!</v>
      </c>
      <c r="FD189" s="131" t="str">
        <f t="array" ref="FD189">INDEX(FC:FC,MIN(IF(ISNUMBER(FC189:FC385),ROW(FC189:FC385),"")))</f>
        <v/>
      </c>
      <c r="FE189" s="131" t="str">
        <f t="shared" si="137"/>
        <v>#REF!</v>
      </c>
      <c r="FF189" s="138" t="str">
        <f>FE189*VLOOKUP('Données projet (1)'!$B$16,'Paramètres (1)'!$A$1:$I$88,3,0)*VLOOKUP('Données projet (1)'!$B$16,'Paramètres (1)'!$A$1:$I$88,5,0)</f>
        <v>#REF!</v>
      </c>
      <c r="FG189" s="130" t="str">
        <f t="shared" si="138"/>
        <v>#REF!</v>
      </c>
      <c r="FH189" s="141" t="str">
        <f t="shared" si="79"/>
        <v>#REF!</v>
      </c>
      <c r="FI189" s="133" t="str">
        <f t="shared" si="80"/>
        <v>#REF!</v>
      </c>
      <c r="FJ189" s="133" t="str">
        <f t="shared" si="81"/>
        <v>#REF!</v>
      </c>
      <c r="FK189" s="133" t="str">
        <f t="shared" si="139"/>
        <v>#REF!</v>
      </c>
      <c r="FL189" s="134" t="str">
        <f t="shared" si="82"/>
        <v>#REF!</v>
      </c>
      <c r="FM189" s="134" t="str">
        <f t="shared" si="83"/>
        <v>#REF!</v>
      </c>
      <c r="FN189" s="135" t="str">
        <f>IF(ISNA(VLOOKUP(A189,'Données projet (1)'!$A$217:$I$237,5,0)),0%,VLOOKUP(A189,'Données projet (1)'!$A$217:$I$237,5,0)*VLOOKUP('Données projet (1)'!$B$16,'Paramètres (1)'!$A$1:$I$88,7,0))</f>
        <v>#REF!</v>
      </c>
      <c r="FO189" s="135" t="str">
        <f>IF(ISNA(VLOOKUP(A189,'Données projet (1)'!$A$217:$I$237,6,0)),0%,VLOOKUP(A189,'Données projet (1)'!$A$217:$I$237,6,0)*VLOOKUP('Données projet (1)'!$B$16,'Paramètres (1)'!$A$1:$I$88,7,0))</f>
        <v>#REF!</v>
      </c>
      <c r="FP189" s="135" t="str">
        <f t="shared" si="84"/>
        <v>#REF!</v>
      </c>
      <c r="FQ189" s="142" t="str">
        <f>EXP(-LN(2)/35)*FQ188+(1-EXP(-LN(2)/35))/(LN(2)/35)*FM189*FN189*VLOOKUP('Données projet (1)'!$B$16,'Paramètres (1)'!$A$1:$I$88,3,0)*0.475*44/12</f>
        <v>#REF!</v>
      </c>
      <c r="FR189" s="142" t="str">
        <f>EXP(-LN(2)/25)*FR188+(1-EXP(-LN(2)/25))/(LN(2)/25)*'Calculateur (1)'!FM189*'Calculateur (1)'!FO189*VLOOKUP('Données projet (1)'!$B$16,'Paramètres (1)'!$A$1:$I$88,3,0)*0.475*44/12</f>
        <v>#REF!</v>
      </c>
      <c r="FS189" s="142" t="str">
        <f>EXP(-LN(2)/2)*FS188+(1-EXP(-LN(2)/2))/(LN(2)/2)*FM189*FP189*VLOOKUP('Données projet (1)'!$B$16,'Paramètres (1)'!$A$1:$I$88,3,0)*0.475*44/12</f>
        <v>#REF!</v>
      </c>
      <c r="FT189" s="143" t="str">
        <f t="shared" si="85"/>
        <v>#REF!</v>
      </c>
      <c r="FU189" s="139" t="str">
        <f t="shared" si="86"/>
        <v>#REF!</v>
      </c>
      <c r="FV189" s="131">
        <f t="shared" si="87"/>
        <v>10</v>
      </c>
      <c r="FW189" s="131" t="str">
        <f t="shared" si="140"/>
        <v>#REF!</v>
      </c>
      <c r="FX189" s="131" t="str">
        <f t="shared" si="88"/>
        <v>#REF!</v>
      </c>
      <c r="FY189" s="131" t="str">
        <f t="array" ref="FY189">INDEX(FX:FX,MIN(IF(ISNUMBER(FX189:FX385),ROW(FX189:FX385),"")))</f>
        <v/>
      </c>
      <c r="FZ189" s="131" t="str">
        <f t="shared" si="141"/>
        <v>#REF!</v>
      </c>
      <c r="GA189" s="138" t="str">
        <f>FZ189*VLOOKUP('Données projet (1)'!$B$17,'Paramètres (1)'!$A$1:$I$88,3,0)*VLOOKUP('Données projet (1)'!$B$17,'Paramètres (1)'!$A$1:$I$88,5,0)</f>
        <v>#REF!</v>
      </c>
      <c r="GB189" s="130" t="str">
        <f t="shared" si="142"/>
        <v>#REF!</v>
      </c>
      <c r="GC189" s="141" t="str">
        <f t="shared" si="89"/>
        <v>#REF!</v>
      </c>
      <c r="GD189" s="133" t="str">
        <f t="shared" si="90"/>
        <v>#REF!</v>
      </c>
      <c r="GE189" s="133" t="str">
        <f t="shared" si="91"/>
        <v>#REF!</v>
      </c>
      <c r="GF189" s="133" t="str">
        <f t="shared" si="143"/>
        <v>#REF!</v>
      </c>
      <c r="GG189" s="134" t="str">
        <f t="shared" si="92"/>
        <v>#REF!</v>
      </c>
      <c r="GH189" s="134" t="str">
        <f t="shared" si="93"/>
        <v>#REF!</v>
      </c>
      <c r="GI189" s="135" t="str">
        <f>IF(ISNA(VLOOKUP(A189,'Données projet (1)'!$A$243:$I$263,5,0)),0%,VLOOKUP(A189,'Données projet (1)'!$A$243:$I$263,5,0)*VLOOKUP('Données projet (1)'!$B$17,'Paramètres (1)'!$A$1:$I$88,7,0))</f>
        <v>#REF!</v>
      </c>
      <c r="GJ189" s="135" t="str">
        <f>IF(ISNA(VLOOKUP(A189,'Données projet (1)'!$A$243:$I$263,6,0)),0%,VLOOKUP(A189,'Données projet (1)'!$A$243:$I$263,6,0)*VLOOKUP('Données projet (1)'!$B$17,'Paramètres (1)'!$A$1:$I$88,7,0))</f>
        <v>#REF!</v>
      </c>
      <c r="GK189" s="135" t="str">
        <f t="shared" si="94"/>
        <v>#REF!</v>
      </c>
      <c r="GL189" s="142" t="str">
        <f>EXP(-LN(2)/35)*GL188+(1-EXP(-LN(2)/35))/(LN(2)/35)*GH189*GI189*VLOOKUP('Données projet (1)'!$B$17,'Paramètres (1)'!$A$1:$I$88,3,0)*0.475*44/12</f>
        <v>#REF!</v>
      </c>
      <c r="GM189" s="142" t="str">
        <f>EXP(-LN(2)/25)*GM188+(1-EXP(-LN(2)/25))/(LN(2)/25)*'Calculateur (1)'!GH189*'Calculateur (1)'!GJ189*VLOOKUP('Données projet (1)'!$B$17,'Paramètres (1)'!$A$1:$I$88,3,0)*0.475*44/12</f>
        <v>#REF!</v>
      </c>
      <c r="GN189" s="142" t="str">
        <f>EXP(-LN(2)/2)*GN188+(1-EXP(-LN(2)/2))/(LN(2)/2)*GH189*GK189*VLOOKUP('Données projet (1)'!$B$17,'Paramètres (1)'!$A$1:$I$88,3,0)*0.475*44/12</f>
        <v>#REF!</v>
      </c>
      <c r="GO189" s="142" t="str">
        <f t="shared" si="95"/>
        <v>#REF!</v>
      </c>
      <c r="GP189" s="139" t="str">
        <f t="shared" si="96"/>
        <v>#REF!</v>
      </c>
      <c r="GQ189" s="131">
        <f t="shared" si="97"/>
        <v>10</v>
      </c>
      <c r="GR189" s="131" t="str">
        <f t="shared" si="144"/>
        <v>#REF!</v>
      </c>
      <c r="GS189" s="131" t="str">
        <f t="shared" si="98"/>
        <v>#REF!</v>
      </c>
      <c r="GT189" s="131" t="str">
        <f t="array" ref="GT189">INDEX(GS:GS,MIN(IF(ISNUMBER(GS189:GS385),ROW(GS189:GS385),"")))</f>
        <v/>
      </c>
      <c r="GU189" s="131" t="str">
        <f t="shared" si="145"/>
        <v>#REF!</v>
      </c>
      <c r="GV189" s="138" t="str">
        <f>GU189*VLOOKUP('Données projet (1)'!$B$18,'Paramètres (1)'!$A$1:$I$88,3,0)*VLOOKUP('Données projet (1)'!$B$18,'Paramètres (1)'!$A$1:$I$88,5,0)</f>
        <v>#REF!</v>
      </c>
      <c r="GW189" s="130" t="str">
        <f t="shared" si="146"/>
        <v>#REF!</v>
      </c>
      <c r="GX189" s="141" t="str">
        <f t="shared" si="99"/>
        <v>#REF!</v>
      </c>
      <c r="GY189" s="133" t="str">
        <f t="shared" si="100"/>
        <v>#REF!</v>
      </c>
      <c r="GZ189" s="133" t="str">
        <f t="shared" si="101"/>
        <v>#REF!</v>
      </c>
      <c r="HA189" s="133" t="str">
        <f t="shared" si="147"/>
        <v>#REF!</v>
      </c>
      <c r="HB189" s="134" t="str">
        <f t="shared" si="102"/>
        <v>#REF!</v>
      </c>
      <c r="HC189" s="134" t="str">
        <f t="shared" si="103"/>
        <v>#REF!</v>
      </c>
      <c r="HD189" s="135" t="str">
        <f>IF(ISNA(VLOOKUP(A189,'Données projet (1)'!$A$269:$I$289,5,0)),0%,VLOOKUP(A189,'Données projet (1)'!$A$269:$I$289,5,0)*VLOOKUP('Données projet (1)'!$B$18,'Paramètres (1)'!$A$1:$I$88,7,0))</f>
        <v>#REF!</v>
      </c>
      <c r="HE189" s="135" t="str">
        <f>IF(ISNA(VLOOKUP(A189,'Données projet (1)'!$A$269:$I$289,6,0)),0%,VLOOKUP(A189,'Données projet (1)'!$A$269:$I$289,6,0)*VLOOKUP('Données projet (1)'!$B$18,'Paramètres (1)'!$A$1:$I$88,7,0))</f>
        <v>#REF!</v>
      </c>
      <c r="HF189" s="135" t="str">
        <f t="shared" si="104"/>
        <v>#REF!</v>
      </c>
      <c r="HG189" s="142" t="str">
        <f>EXP(-LN(2)/35)*HG188+(1-EXP(-LN(2)/35))/(LN(2)/35)*HC189*HD189*VLOOKUP('Données projet (1)'!$B$18,'Paramètres (1)'!$A$1:$I$88,3,0)*0.475*44/12</f>
        <v>#REF!</v>
      </c>
      <c r="HH189" s="142" t="str">
        <f>EXP(-LN(2)/25)*HH188+(1-EXP(-LN(2)/25))/(LN(2)/25)*'Calculateur (1)'!HC189*'Calculateur (1)'!HE189*VLOOKUP('Données projet (1)'!$B$18,'Paramètres (1)'!$A$1:$I$88,3,0)*0.475*44/12</f>
        <v>#REF!</v>
      </c>
      <c r="HI189" s="142" t="str">
        <f>EXP(-LN(2)/2)*HI188+(1-EXP(-LN(2)/2))/(LN(2)/2)*HC189*HF189*VLOOKUP('Données projet (1)'!$B$18,'Paramètres (1)'!$A$1:$I$88,3,0)*0.475*44/12</f>
        <v>#REF!</v>
      </c>
      <c r="HJ189" s="143" t="str">
        <f t="shared" si="105"/>
        <v>#REF!</v>
      </c>
    </row>
    <row r="190" ht="14.25" customHeight="1">
      <c r="A190" s="125">
        <f t="shared" si="106"/>
        <v>187</v>
      </c>
      <c r="B190" s="126" t="str">
        <f t="shared" si="1"/>
        <v>#REF!</v>
      </c>
      <c r="C190" s="140" t="str">
        <f>'Calculateur (1)'!C189+'Scénario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0" s="127">
        <f t="shared" si="107"/>
        <v>0</v>
      </c>
      <c r="E190" s="127" t="str">
        <f t="shared" si="2"/>
        <v>#REF!</v>
      </c>
      <c r="F190" s="127" t="str">
        <f t="shared" si="3"/>
        <v>#REF!</v>
      </c>
      <c r="G190" s="127" t="str">
        <f t="shared" si="4"/>
        <v>#REF!</v>
      </c>
      <c r="H190" s="128" t="str">
        <f t="shared" si="5"/>
        <v>#REF!</v>
      </c>
      <c r="I190" s="129" t="str">
        <f t="shared" si="6"/>
        <v>#REF!</v>
      </c>
      <c r="J190" s="130">
        <f t="shared" si="7"/>
        <v>10</v>
      </c>
      <c r="K190" s="131" t="str">
        <f t="shared" si="108"/>
        <v>#REF!</v>
      </c>
      <c r="L190" s="131" t="str">
        <f t="shared" si="8"/>
        <v>#REF!</v>
      </c>
      <c r="M190" s="131" t="str">
        <f t="array" ref="M190">INDEX(L:L,MIN(IF(ISNUMBER(L190:L386),ROW(L190:L386),"")))</f>
        <v/>
      </c>
      <c r="N190" s="130" t="str">
        <f t="shared" si="109"/>
        <v>#REF!</v>
      </c>
      <c r="O190" s="130" t="str">
        <f>N190*VLOOKUP('Données projet (1)'!$B$9,'Paramètres (1)'!$A$1:$I$88,3,0)*VLOOKUP('Données projet (1)'!$B$9,'Paramètres (1)'!$A$1:$I$88,5,0)</f>
        <v>#REF!</v>
      </c>
      <c r="P190" s="130" t="str">
        <f t="shared" si="110"/>
        <v>#REF!</v>
      </c>
      <c r="Q190" s="141" t="str">
        <f t="shared" si="9"/>
        <v>#REF!</v>
      </c>
      <c r="R190" s="133" t="str">
        <f t="shared" si="10"/>
        <v>#REF!</v>
      </c>
      <c r="S190" s="133" t="str">
        <f t="shared" si="11"/>
        <v>#REF!</v>
      </c>
      <c r="T190" s="133" t="str">
        <f t="shared" si="111"/>
        <v>#REF!</v>
      </c>
      <c r="U190" s="134" t="str">
        <f t="shared" si="12"/>
        <v>#REF!</v>
      </c>
      <c r="V190" s="134" t="str">
        <f t="shared" si="13"/>
        <v>#REF!</v>
      </c>
      <c r="W190" s="135" t="str">
        <f>IF(ISNA(VLOOKUP(A190,'Données projet (1)'!$A$35:$I$55,5,0)),0%,VLOOKUP(A190,'Données projet (1)'!$A$35:$I$55,5,0)*VLOOKUP('Données projet (1)'!$B$9,'Paramètres (1)'!$A$1:$I$88,7,0))</f>
        <v>#REF!</v>
      </c>
      <c r="X190" s="135" t="str">
        <f>IF(ISNA(VLOOKUP(A190,'Données projet (1)'!$A$35:$I$55,6,0)),0%,VLOOKUP(A190,'Données projet (1)'!$A$35:$I$55,6,0)*VLOOKUP('Données projet (1)'!$B$9,'Paramètres (1)'!$A$1:$I$88,7,0))</f>
        <v>#REF!</v>
      </c>
      <c r="Y190" s="135" t="str">
        <f t="shared" si="14"/>
        <v>#REF!</v>
      </c>
      <c r="Z190" s="142" t="str">
        <f>EXP(-LN(2)/35)*Z189+(1-EXP(-LN(2)/35))/(LN(2)/35)*V190*W190*VLOOKUP('Données projet (1)'!$B$9,'Paramètres (1)'!$A$1:$I$88,3,0)*0.475*44/12</f>
        <v>#REF!</v>
      </c>
      <c r="AA190" s="142" t="str">
        <f>EXP(-LN(2)/25)*AA189+(1-EXP(-LN(2)/25))/(LN(2)/25)*'Calculateur (1)'!V190*'Calculateur (1)'!X190*VLOOKUP('Données projet (1)'!$B$9,'Paramètres (1)'!$A$1:$I$88,3,0)*0.475*44/12</f>
        <v>#REF!</v>
      </c>
      <c r="AB190" s="142" t="str">
        <f>EXP(-LN(2)/2)*AB189+(1-EXP(-LN(2)/2))/(LN(2)/2)*V190*Y190*VLOOKUP('Données projet (1)'!$B$9,'Paramètres (1)'!$A$1:$I$88,3,0)*0.475*44/12</f>
        <v>#REF!</v>
      </c>
      <c r="AC190" s="143" t="str">
        <f t="shared" si="15"/>
        <v>#REF!</v>
      </c>
      <c r="AD190" s="130" t="str">
        <f t="shared" si="16"/>
        <v>#REF!</v>
      </c>
      <c r="AE190" s="130">
        <f t="shared" si="17"/>
        <v>10</v>
      </c>
      <c r="AF190" s="131" t="str">
        <f t="shared" si="112"/>
        <v>#REF!</v>
      </c>
      <c r="AG190" s="131" t="str">
        <f t="shared" si="18"/>
        <v>#REF!</v>
      </c>
      <c r="AH190" s="131" t="str">
        <f t="array" ref="AH190">INDEX(AG:AG,MIN(IF(ISNUMBER(AG190:AG386),ROW(AG190:AG386),"")))</f>
        <v/>
      </c>
      <c r="AI190" s="130" t="str">
        <f t="shared" si="113"/>
        <v>#REF!</v>
      </c>
      <c r="AJ190" s="130" t="str">
        <f>AI190*VLOOKUP('Données projet (1)'!$B$10,'Paramètres (1)'!$A$1:$I$88,3,0)*VLOOKUP('Données projet (1)'!$B$10,'Paramètres (1)'!$A$1:$I$88,5,0)</f>
        <v>#REF!</v>
      </c>
      <c r="AK190" s="130" t="str">
        <f t="shared" si="114"/>
        <v>#REF!</v>
      </c>
      <c r="AL190" s="141" t="str">
        <f t="shared" si="19"/>
        <v>#REF!</v>
      </c>
      <c r="AM190" s="133" t="str">
        <f t="shared" si="20"/>
        <v>#REF!</v>
      </c>
      <c r="AN190" s="133" t="str">
        <f t="shared" si="21"/>
        <v>#REF!</v>
      </c>
      <c r="AO190" s="133" t="str">
        <f t="shared" si="115"/>
        <v>#REF!</v>
      </c>
      <c r="AP190" s="134" t="str">
        <f t="shared" si="22"/>
        <v>#REF!</v>
      </c>
      <c r="AQ190" s="134" t="str">
        <f t="shared" si="23"/>
        <v>#REF!</v>
      </c>
      <c r="AR190" s="135" t="str">
        <f>IF(ISNA(VLOOKUP(A190,'Données projet (1)'!$A$61:$I$81,5,0)),0%,VLOOKUP(A190,'Données projet (1)'!$A$61:$I$81,5,0)*VLOOKUP('Données projet (1)'!$B$10,'Paramètres (1)'!$A$1:$I$88,7,0))</f>
        <v>#REF!</v>
      </c>
      <c r="AS190" s="135" t="str">
        <f>IF(ISNA(VLOOKUP(A190,'Données projet (1)'!$A$61:$I$81,6,0)),0%,VLOOKUP(A190,'Données projet (1)'!$A$61:$I$81,6,0)*VLOOKUP('Données projet (1)'!$B$10,'Paramètres (1)'!$A$1:$I$88,7,0))</f>
        <v>#REF!</v>
      </c>
      <c r="AT190" s="135" t="str">
        <f t="shared" si="24"/>
        <v>#REF!</v>
      </c>
      <c r="AU190" s="142" t="str">
        <f>EXP(-LN(2)/35)*AU189+(1-EXP(-LN(2)/35))/(LN(2)/35)*AQ190*AR190*VLOOKUP('Données projet (1)'!$B$10,'Paramètres (1)'!$A$1:$I$88,3,0)*0.475*44/12</f>
        <v>#REF!</v>
      </c>
      <c r="AV190" s="142" t="str">
        <f>EXP(-LN(2)/25)*AV189+(1-EXP(-LN(2)/25))/(LN(2)/25)*'Calculateur (1)'!AQ190*'Calculateur (1)'!AS190*VLOOKUP('Données projet (1)'!$B$10,'Paramètres (1)'!$A$1:$I$88,3,0)*0.475*44/12</f>
        <v>#REF!</v>
      </c>
      <c r="AW190" s="142" t="str">
        <f>EXP(-LN(2)/2)*AW189+(1-EXP(-LN(2)/2))/(LN(2)/2)*AQ190*AT190*VLOOKUP('Données projet (1)'!$B$10,'Paramètres (1)'!$A$1:$I$88,3,0)*0.475*44/12</f>
        <v>#REF!</v>
      </c>
      <c r="AX190" s="142" t="str">
        <f t="shared" si="25"/>
        <v>#REF!</v>
      </c>
      <c r="AY190" s="137" t="str">
        <f t="shared" si="26"/>
        <v>#REF!</v>
      </c>
      <c r="AZ190" s="131">
        <f t="shared" si="27"/>
        <v>10</v>
      </c>
      <c r="BA190" s="131" t="str">
        <f t="shared" si="116"/>
        <v>#REF!</v>
      </c>
      <c r="BB190" s="131" t="str">
        <f t="shared" si="28"/>
        <v>#REF!</v>
      </c>
      <c r="BC190" s="131" t="str">
        <f t="array" ref="BC190">INDEX(BB:BB,MIN(IF(ISNUMBER(BB190:BB386),ROW(BB190:BB386),"")))</f>
        <v/>
      </c>
      <c r="BD190" s="131" t="str">
        <f t="shared" si="117"/>
        <v>#REF!</v>
      </c>
      <c r="BE190" s="130" t="str">
        <f>BD190*VLOOKUP('Données projet (1)'!$B$11,'Paramètres (1)'!$A$1:$I$88,3,0)*VLOOKUP('Données projet (1)'!$B$11,'Paramètres (1)'!$A$1:$I$88,5,0)</f>
        <v>#REF!</v>
      </c>
      <c r="BF190" s="130" t="str">
        <f t="shared" si="118"/>
        <v>#REF!</v>
      </c>
      <c r="BG190" s="141" t="str">
        <f t="shared" si="29"/>
        <v>#REF!</v>
      </c>
      <c r="BH190" s="133" t="str">
        <f t="shared" si="30"/>
        <v>#REF!</v>
      </c>
      <c r="BI190" s="133" t="str">
        <f t="shared" si="31"/>
        <v>#REF!</v>
      </c>
      <c r="BJ190" s="133" t="str">
        <f t="shared" si="119"/>
        <v>#REF!</v>
      </c>
      <c r="BK190" s="134" t="str">
        <f t="shared" si="32"/>
        <v>#REF!</v>
      </c>
      <c r="BL190" s="134" t="str">
        <f t="shared" si="33"/>
        <v>#REF!</v>
      </c>
      <c r="BM190" s="135" t="str">
        <f>IF(ISNA(VLOOKUP(A190,'Données projet (1)'!$A$87:$I$107,5,0)),0%,VLOOKUP(A190,'Données projet (1)'!$A$87:$I$107,5,0)*VLOOKUP('Données projet (1)'!$B$11,'Paramètres (1)'!$A$1:$I$88,7,0))</f>
        <v>#REF!</v>
      </c>
      <c r="BN190" s="135" t="str">
        <f>IF(ISNA(VLOOKUP(A190,'Données projet (1)'!$A$87:$I$107,6,0)),0%,VLOOKUP(A190,'Données projet (1)'!$A$87:$I$107,6,0)*VLOOKUP('Données projet (1)'!$B$11,'Paramètres (1)'!$A$1:$I$88,7,0))</f>
        <v>#REF!</v>
      </c>
      <c r="BO190" s="135" t="str">
        <f t="shared" si="34"/>
        <v>#REF!</v>
      </c>
      <c r="BP190" s="142" t="str">
        <f>EXP(-LN(2)/35)*BP189+(1-EXP(-LN(2)/35))/(LN(2)/35)*BL190*BM190*VLOOKUP('Données projet (1)'!$B$11,'Paramètres (1)'!$A$1:$I$88,3,0)*0.475*44/12</f>
        <v>#REF!</v>
      </c>
      <c r="BQ190" s="142" t="str">
        <f>EXP(-LN(2)/25)*BQ189+(1-EXP(-LN(2)/25))/(LN(2)/25)*'Calculateur (1)'!BL190*'Calculateur (1)'!BN190*VLOOKUP('Données projet (1)'!$B$11,'Paramètres (1)'!$A$1:$I$88,3,0)*0.475*44/12</f>
        <v>#REF!</v>
      </c>
      <c r="BR190" s="142" t="str">
        <f>EXP(-LN(2)/2)*BR189+(1-EXP(-LN(2)/2))/(LN(2)/2)*BL190*BO190*VLOOKUP('Données projet (1)'!$B$11,'Paramètres (1)'!$A$1:$I$88,3,0)*0.475*44/12</f>
        <v>#REF!</v>
      </c>
      <c r="BS190" s="143" t="str">
        <f t="shared" si="35"/>
        <v>#REF!</v>
      </c>
      <c r="BT190" s="139" t="str">
        <f t="shared" si="36"/>
        <v>#REF!</v>
      </c>
      <c r="BU190" s="131">
        <f t="shared" si="37"/>
        <v>10</v>
      </c>
      <c r="BV190" s="131" t="str">
        <f t="shared" si="120"/>
        <v>#REF!</v>
      </c>
      <c r="BW190" s="131" t="str">
        <f t="shared" si="38"/>
        <v>#REF!</v>
      </c>
      <c r="BX190" s="131" t="str">
        <f t="array" ref="BX190">INDEX(BW:BW,MIN(IF(ISNUMBER(BW190:BW386),ROW(BW190:BW386),"")))</f>
        <v/>
      </c>
      <c r="BY190" s="131" t="str">
        <f t="shared" si="121"/>
        <v>#REF!</v>
      </c>
      <c r="BZ190" s="130" t="str">
        <f>BY190*VLOOKUP('Données projet (1)'!$B$12,'Paramètres (1)'!$A$1:$I$88,3,0)*VLOOKUP('Données projet (1)'!$B$12,'Paramètres (1)'!$A$1:$I$88,5,0)</f>
        <v>#REF!</v>
      </c>
      <c r="CA190" s="130" t="str">
        <f t="shared" si="122"/>
        <v>#REF!</v>
      </c>
      <c r="CB190" s="141" t="str">
        <f t="shared" si="39"/>
        <v>#REF!</v>
      </c>
      <c r="CC190" s="133" t="str">
        <f t="shared" si="40"/>
        <v>#REF!</v>
      </c>
      <c r="CD190" s="133" t="str">
        <f t="shared" si="41"/>
        <v>#REF!</v>
      </c>
      <c r="CE190" s="133" t="str">
        <f t="shared" si="123"/>
        <v>#REF!</v>
      </c>
      <c r="CF190" s="134" t="str">
        <f t="shared" si="42"/>
        <v>#REF!</v>
      </c>
      <c r="CG190" s="134" t="str">
        <f t="shared" si="43"/>
        <v>#REF!</v>
      </c>
      <c r="CH190" s="135" t="str">
        <f>IF(ISNA(VLOOKUP(A190,'Données projet (1)'!$A$113:$I$133,5,0)),0%,VLOOKUP(A190,'Données projet (1)'!$A$113:$I$133,5,0)*VLOOKUP('Données projet (1)'!$B$12,'Paramètres (1)'!$A$1:$I$88,7,0))</f>
        <v>#REF!</v>
      </c>
      <c r="CI190" s="135" t="str">
        <f>IF(ISNA(VLOOKUP(A190,'Données projet (1)'!$A$113:$I$133,6,0)),0%,VLOOKUP(A190,'Données projet (1)'!$A$113:$I$133,6,0)*VLOOKUP('Données projet (1)'!$B$12,'Paramètres (1)'!$A$1:$I$88,7,0))</f>
        <v>#REF!</v>
      </c>
      <c r="CJ190" s="135" t="str">
        <f t="shared" si="44"/>
        <v>#REF!</v>
      </c>
      <c r="CK190" s="142" t="str">
        <f>EXP(-LN(2)/35)*CK189+(1-EXP(-LN(2)/35))/(LN(2)/35)*CG190*CH190*VLOOKUP('Données projet (1)'!$B$12,'Paramètres (1)'!$A$1:$I$88,3,0)*0.475*44/12</f>
        <v>#REF!</v>
      </c>
      <c r="CL190" s="142" t="str">
        <f>EXP(-LN(2)/25)*CL189+(1-EXP(-LN(2)/25))/(LN(2)/25)*'Calculateur (1)'!CG190*'Calculateur (1)'!CI190*VLOOKUP('Données projet (1)'!$B$12,'Paramètres (1)'!$A$1:$I$88,3,0)*0.475*44/12</f>
        <v>#REF!</v>
      </c>
      <c r="CM190" s="142" t="str">
        <f>EXP(-LN(2)/2)*CM189+(1-EXP(-LN(2)/2))/(LN(2)/2)*CG190*CJ190*VLOOKUP('Données projet (1)'!$B$12,'Paramètres (1)'!$A$1:$I$88,3,0)*0.475*44/12</f>
        <v>#REF!</v>
      </c>
      <c r="CN190" s="143" t="str">
        <f t="shared" si="45"/>
        <v>#REF!</v>
      </c>
      <c r="CO190" s="139" t="str">
        <f t="shared" si="46"/>
        <v>#REF!</v>
      </c>
      <c r="CP190" s="131">
        <f t="shared" si="47"/>
        <v>10</v>
      </c>
      <c r="CQ190" s="131" t="str">
        <f t="shared" si="124"/>
        <v>#REF!</v>
      </c>
      <c r="CR190" s="131" t="str">
        <f t="shared" si="48"/>
        <v>#REF!</v>
      </c>
      <c r="CS190" s="131" t="str">
        <f t="array" ref="CS190">INDEX(CR:CR,MIN(IF(ISNUMBER(CR190:CR386),ROW(CR190:CR386),"")))</f>
        <v/>
      </c>
      <c r="CT190" s="131" t="str">
        <f t="shared" si="125"/>
        <v>#REF!</v>
      </c>
      <c r="CU190" s="138" t="str">
        <f>CT190*VLOOKUP('Données projet (1)'!$B$13,'Paramètres (1)'!$A$1:$I$88,3,0)*VLOOKUP('Données projet (1)'!$B$13,'Paramètres (1)'!$A$1:$I$88,5,0)</f>
        <v>#REF!</v>
      </c>
      <c r="CV190" s="130" t="str">
        <f t="shared" si="126"/>
        <v>#REF!</v>
      </c>
      <c r="CW190" s="141" t="str">
        <f t="shared" si="49"/>
        <v>#REF!</v>
      </c>
      <c r="CX190" s="133" t="str">
        <f t="shared" si="50"/>
        <v>#REF!</v>
      </c>
      <c r="CY190" s="133" t="str">
        <f t="shared" si="51"/>
        <v>#REF!</v>
      </c>
      <c r="CZ190" s="133" t="str">
        <f t="shared" si="127"/>
        <v>#REF!</v>
      </c>
      <c r="DA190" s="134" t="str">
        <f t="shared" si="52"/>
        <v>#REF!</v>
      </c>
      <c r="DB190" s="134" t="str">
        <f t="shared" si="53"/>
        <v>#REF!</v>
      </c>
      <c r="DC190" s="135" t="str">
        <f>IF(ISNA(VLOOKUP(A190,'Données projet (1)'!$A$139:$I$159,5,0)),0%,VLOOKUP(A190,'Données projet (1)'!$A$139:$I$159,5,0)*VLOOKUP('Données projet (1)'!$B$13,'Paramètres (1)'!$A$1:$I$88,7,0))</f>
        <v>#REF!</v>
      </c>
      <c r="DD190" s="135" t="str">
        <f>IF(ISNA(VLOOKUP(A190,'Données projet (1)'!$A$139:$I$159,6,0)),0%,VLOOKUP(A190,'Données projet (1)'!$A$139:$I$159,6,0)*VLOOKUP('Données projet (1)'!$B$13,'Paramètres (1)'!$A$1:$I$88,7,0))</f>
        <v>#REF!</v>
      </c>
      <c r="DE190" s="135" t="str">
        <f t="shared" si="54"/>
        <v>#REF!</v>
      </c>
      <c r="DF190" s="142" t="str">
        <f>EXP(-LN(2)/35)*DF189+(1-EXP(-LN(2)/35))/(LN(2)/35)*DB190*DC190*VLOOKUP('Données projet (1)'!$B$13,'Paramètres (1)'!$A$1:$I$88,3,0)*0.475*44/12</f>
        <v>#REF!</v>
      </c>
      <c r="DG190" s="142" t="str">
        <f>EXP(-LN(2)/25)*DG189+(1-EXP(-LN(2)/25))/(LN(2)/25)*'Calculateur (1)'!DB190*'Calculateur (1)'!DD190*VLOOKUP('Données projet (1)'!$B$13,'Paramètres (1)'!$A$1:$I$88,3,0)*0.475*44/12</f>
        <v>#REF!</v>
      </c>
      <c r="DH190" s="142" t="str">
        <f>EXP(-LN(2)/2)*DH189+(1-EXP(-LN(2)/2))/(LN(2)/2)*DB190*DE190*VLOOKUP('Données projet (1)'!$B$13,'Paramètres (1)'!$A$1:$I$88,3,0)*0.475*44/12</f>
        <v>#REF!</v>
      </c>
      <c r="DI190" s="143" t="str">
        <f t="shared" si="55"/>
        <v>#REF!</v>
      </c>
      <c r="DJ190" s="139" t="str">
        <f t="shared" si="56"/>
        <v>#REF!</v>
      </c>
      <c r="DK190" s="131">
        <f t="shared" si="57"/>
        <v>10</v>
      </c>
      <c r="DL190" s="131" t="str">
        <f t="shared" si="128"/>
        <v>#REF!</v>
      </c>
      <c r="DM190" s="131" t="str">
        <f t="shared" si="58"/>
        <v>#REF!</v>
      </c>
      <c r="DN190" s="131" t="str">
        <f t="array" ref="DN190">INDEX(DM:DM,MIN(IF(ISNUMBER(DM190:DM386),ROW(DM190:DM386),"")))</f>
        <v/>
      </c>
      <c r="DO190" s="131" t="str">
        <f t="shared" si="129"/>
        <v>#REF!</v>
      </c>
      <c r="DP190" s="138" t="str">
        <f>DO190*VLOOKUP('Données projet (1)'!$B$14,'Paramètres (1)'!$A$1:$I$88,3,0)*VLOOKUP('Données projet (1)'!$B$14,'Paramètres (1)'!$A$1:$I$88,5,0)</f>
        <v>#REF!</v>
      </c>
      <c r="DQ190" s="130" t="str">
        <f t="shared" si="130"/>
        <v>#REF!</v>
      </c>
      <c r="DR190" s="141" t="str">
        <f t="shared" si="59"/>
        <v>#REF!</v>
      </c>
      <c r="DS190" s="133" t="str">
        <f t="shared" si="60"/>
        <v>#REF!</v>
      </c>
      <c r="DT190" s="133" t="str">
        <f t="shared" si="61"/>
        <v>#REF!</v>
      </c>
      <c r="DU190" s="133" t="str">
        <f t="shared" si="131"/>
        <v>#REF!</v>
      </c>
      <c r="DV190" s="134" t="str">
        <f t="shared" si="62"/>
        <v>#REF!</v>
      </c>
      <c r="DW190" s="134" t="str">
        <f t="shared" si="63"/>
        <v>#REF!</v>
      </c>
      <c r="DX190" s="135" t="str">
        <f>IF(ISNA(VLOOKUP(A190,'Données projet (1)'!$A$165:$I$185,5,0)),0%,VLOOKUP(A190,'Données projet (1)'!$A$165:$I$185,5,0)*VLOOKUP('Données projet (1)'!$B$14,'Paramètres (1)'!$A$1:$I$88,7,0))</f>
        <v>#REF!</v>
      </c>
      <c r="DY190" s="135" t="str">
        <f>IF(ISNA(VLOOKUP(A190,'Données projet (1)'!$A$165:$I$185,6,0)),0%,VLOOKUP(A190,'Données projet (1)'!$A$165:$I$185,6,0)*VLOOKUP('Données projet (1)'!$B$14,'Paramètres (1)'!$A$1:$I$88,7,0))</f>
        <v>#REF!</v>
      </c>
      <c r="DZ190" s="135" t="str">
        <f t="shared" si="64"/>
        <v>#REF!</v>
      </c>
      <c r="EA190" s="142" t="str">
        <f>EXP(-LN(2)/35)*EA189+(1-EXP(-LN(2)/35))/(LN(2)/35)*DW190*DX190*VLOOKUP('Données projet (1)'!$B$14,'Paramètres (1)'!$A$1:$I$88,3,0)*0.475*44/12</f>
        <v>#REF!</v>
      </c>
      <c r="EB190" s="142" t="str">
        <f>EXP(-LN(2)/25)*EB189+(1-EXP(-LN(2)/25))/(LN(2)/25)*'Calculateur (1)'!DW190*'Calculateur (1)'!DY190*VLOOKUP('Données projet (1)'!$B$14,'Paramètres (1)'!$A$1:$I$88,3,0)*0.475*44/12</f>
        <v>#REF!</v>
      </c>
      <c r="EC190" s="142" t="str">
        <f>EXP(-LN(2)/2)*EC189+(1-EXP(-LN(2)/2))/(LN(2)/2)*DW190*DZ190*VLOOKUP('Données projet (1)'!$B$14,'Paramètres (1)'!$A$1:$I$88,3,0)*0.475*44/12</f>
        <v>#REF!</v>
      </c>
      <c r="ED190" s="143" t="str">
        <f t="shared" si="65"/>
        <v>#REF!</v>
      </c>
      <c r="EE190" s="139" t="str">
        <f t="shared" si="66"/>
        <v>#REF!</v>
      </c>
      <c r="EF190" s="131">
        <f t="shared" si="67"/>
        <v>10</v>
      </c>
      <c r="EG190" s="131" t="str">
        <f t="shared" si="132"/>
        <v>#REF!</v>
      </c>
      <c r="EH190" s="131" t="str">
        <f t="shared" si="68"/>
        <v>#REF!</v>
      </c>
      <c r="EI190" s="131" t="str">
        <f t="array" ref="EI190">INDEX(EH:EH,MIN(IF(ISNUMBER(EH190:EH386),ROW(EH190:EH386),"")))</f>
        <v/>
      </c>
      <c r="EJ190" s="131" t="str">
        <f t="shared" si="133"/>
        <v>#REF!</v>
      </c>
      <c r="EK190" s="138" t="str">
        <f>EJ190*VLOOKUP('Données projet (1)'!$B$15,'Paramètres (1)'!$A$1:$I$88,3,0)*VLOOKUP('Données projet (1)'!$B$15,'Paramètres (1)'!$A$1:$I$88,5,0)</f>
        <v>#REF!</v>
      </c>
      <c r="EL190" s="130" t="str">
        <f t="shared" si="134"/>
        <v>#REF!</v>
      </c>
      <c r="EM190" s="141" t="str">
        <f t="shared" si="69"/>
        <v>#REF!</v>
      </c>
      <c r="EN190" s="133" t="str">
        <f t="shared" si="70"/>
        <v>#REF!</v>
      </c>
      <c r="EO190" s="133" t="str">
        <f t="shared" si="71"/>
        <v>#REF!</v>
      </c>
      <c r="EP190" s="133" t="str">
        <f t="shared" si="135"/>
        <v>#REF!</v>
      </c>
      <c r="EQ190" s="134" t="str">
        <f t="shared" si="72"/>
        <v>#REF!</v>
      </c>
      <c r="ER190" s="134" t="str">
        <f t="shared" si="73"/>
        <v>#REF!</v>
      </c>
      <c r="ES190" s="135" t="str">
        <f>IF(ISNA(VLOOKUP(A190,'Données projet (1)'!$A$191:$I$211,5,0)),0%,VLOOKUP(A190,'Données projet (1)'!$A$191:$I$211,5,0)*VLOOKUP('Données projet (1)'!$B$15,'Paramètres (1)'!$A$1:$I$88,7,0))</f>
        <v>#REF!</v>
      </c>
      <c r="ET190" s="135" t="str">
        <f>IF(ISNA(VLOOKUP(A190,'Données projet (1)'!$A$191:$I$211,6,0)),0%,VLOOKUP(A190,'Données projet (1)'!$A$191:$I$211,6,0)*VLOOKUP('Données projet (1)'!$B$15,'Paramètres (1)'!$A$1:$I$88,7,0))</f>
        <v>#REF!</v>
      </c>
      <c r="EU190" s="135" t="str">
        <f t="shared" si="74"/>
        <v>#REF!</v>
      </c>
      <c r="EV190" s="142" t="str">
        <f>EXP(-LN(2)/35)*EV189+(1-EXP(-LN(2)/35))/(LN(2)/35)*ER190*ES190*VLOOKUP('Données projet (1)'!$B$15,'Paramètres (1)'!$A$1:$I$88,3,0)*0.475*44/12</f>
        <v>#REF!</v>
      </c>
      <c r="EW190" s="142" t="str">
        <f>EXP(-LN(2)/25)*EW189+(1-EXP(-LN(2)/25))/(LN(2)/25)*'Calculateur (1)'!ER190*'Calculateur (1)'!ET190*VLOOKUP('Données projet (1)'!$B$15,'Paramètres (1)'!$A$1:$I$88,3,0)*0.475*44/12</f>
        <v>#REF!</v>
      </c>
      <c r="EX190" s="142" t="str">
        <f>EXP(-LN(2)/2)*EX189+(1-EXP(-LN(2)/2))/(LN(2)/2)*ER190*EU190*VLOOKUP('Données projet (1)'!$B$15,'Paramètres (1)'!$A$1:$I$88,3,0)*0.475*44/12</f>
        <v>#REF!</v>
      </c>
      <c r="EY190" s="143" t="str">
        <f t="shared" si="75"/>
        <v>#REF!</v>
      </c>
      <c r="EZ190" s="139" t="str">
        <f t="shared" si="76"/>
        <v>#REF!</v>
      </c>
      <c r="FA190" s="131">
        <f t="shared" si="77"/>
        <v>10</v>
      </c>
      <c r="FB190" s="131" t="str">
        <f t="shared" si="136"/>
        <v>#REF!</v>
      </c>
      <c r="FC190" s="131" t="str">
        <f t="shared" si="78"/>
        <v>#REF!</v>
      </c>
      <c r="FD190" s="131" t="str">
        <f t="array" ref="FD190">INDEX(FC:FC,MIN(IF(ISNUMBER(FC190:FC386),ROW(FC190:FC386),"")))</f>
        <v/>
      </c>
      <c r="FE190" s="131" t="str">
        <f t="shared" si="137"/>
        <v>#REF!</v>
      </c>
      <c r="FF190" s="138" t="str">
        <f>FE190*VLOOKUP('Données projet (1)'!$B$16,'Paramètres (1)'!$A$1:$I$88,3,0)*VLOOKUP('Données projet (1)'!$B$16,'Paramètres (1)'!$A$1:$I$88,5,0)</f>
        <v>#REF!</v>
      </c>
      <c r="FG190" s="130" t="str">
        <f t="shared" si="138"/>
        <v>#REF!</v>
      </c>
      <c r="FH190" s="141" t="str">
        <f t="shared" si="79"/>
        <v>#REF!</v>
      </c>
      <c r="FI190" s="133" t="str">
        <f t="shared" si="80"/>
        <v>#REF!</v>
      </c>
      <c r="FJ190" s="133" t="str">
        <f t="shared" si="81"/>
        <v>#REF!</v>
      </c>
      <c r="FK190" s="133" t="str">
        <f t="shared" si="139"/>
        <v>#REF!</v>
      </c>
      <c r="FL190" s="134" t="str">
        <f t="shared" si="82"/>
        <v>#REF!</v>
      </c>
      <c r="FM190" s="134" t="str">
        <f t="shared" si="83"/>
        <v>#REF!</v>
      </c>
      <c r="FN190" s="135" t="str">
        <f>IF(ISNA(VLOOKUP(A190,'Données projet (1)'!$A$217:$I$237,5,0)),0%,VLOOKUP(A190,'Données projet (1)'!$A$217:$I$237,5,0)*VLOOKUP('Données projet (1)'!$B$16,'Paramètres (1)'!$A$1:$I$88,7,0))</f>
        <v>#REF!</v>
      </c>
      <c r="FO190" s="135" t="str">
        <f>IF(ISNA(VLOOKUP(A190,'Données projet (1)'!$A$217:$I$237,6,0)),0%,VLOOKUP(A190,'Données projet (1)'!$A$217:$I$237,6,0)*VLOOKUP('Données projet (1)'!$B$16,'Paramètres (1)'!$A$1:$I$88,7,0))</f>
        <v>#REF!</v>
      </c>
      <c r="FP190" s="135" t="str">
        <f t="shared" si="84"/>
        <v>#REF!</v>
      </c>
      <c r="FQ190" s="142" t="str">
        <f>EXP(-LN(2)/35)*FQ189+(1-EXP(-LN(2)/35))/(LN(2)/35)*FM190*FN190*VLOOKUP('Données projet (1)'!$B$16,'Paramètres (1)'!$A$1:$I$88,3,0)*0.475*44/12</f>
        <v>#REF!</v>
      </c>
      <c r="FR190" s="142" t="str">
        <f>EXP(-LN(2)/25)*FR189+(1-EXP(-LN(2)/25))/(LN(2)/25)*'Calculateur (1)'!FM190*'Calculateur (1)'!FO190*VLOOKUP('Données projet (1)'!$B$16,'Paramètres (1)'!$A$1:$I$88,3,0)*0.475*44/12</f>
        <v>#REF!</v>
      </c>
      <c r="FS190" s="142" t="str">
        <f>EXP(-LN(2)/2)*FS189+(1-EXP(-LN(2)/2))/(LN(2)/2)*FM190*FP190*VLOOKUP('Données projet (1)'!$B$16,'Paramètres (1)'!$A$1:$I$88,3,0)*0.475*44/12</f>
        <v>#REF!</v>
      </c>
      <c r="FT190" s="143" t="str">
        <f t="shared" si="85"/>
        <v>#REF!</v>
      </c>
      <c r="FU190" s="139" t="str">
        <f t="shared" si="86"/>
        <v>#REF!</v>
      </c>
      <c r="FV190" s="131">
        <f t="shared" si="87"/>
        <v>10</v>
      </c>
      <c r="FW190" s="131" t="str">
        <f t="shared" si="140"/>
        <v>#REF!</v>
      </c>
      <c r="FX190" s="131" t="str">
        <f t="shared" si="88"/>
        <v>#REF!</v>
      </c>
      <c r="FY190" s="131" t="str">
        <f t="array" ref="FY190">INDEX(FX:FX,MIN(IF(ISNUMBER(FX190:FX386),ROW(FX190:FX386),"")))</f>
        <v/>
      </c>
      <c r="FZ190" s="131" t="str">
        <f t="shared" si="141"/>
        <v>#REF!</v>
      </c>
      <c r="GA190" s="138" t="str">
        <f>FZ190*VLOOKUP('Données projet (1)'!$B$17,'Paramètres (1)'!$A$1:$I$88,3,0)*VLOOKUP('Données projet (1)'!$B$17,'Paramètres (1)'!$A$1:$I$88,5,0)</f>
        <v>#REF!</v>
      </c>
      <c r="GB190" s="130" t="str">
        <f t="shared" si="142"/>
        <v>#REF!</v>
      </c>
      <c r="GC190" s="141" t="str">
        <f t="shared" si="89"/>
        <v>#REF!</v>
      </c>
      <c r="GD190" s="133" t="str">
        <f t="shared" si="90"/>
        <v>#REF!</v>
      </c>
      <c r="GE190" s="133" t="str">
        <f t="shared" si="91"/>
        <v>#REF!</v>
      </c>
      <c r="GF190" s="133" t="str">
        <f t="shared" si="143"/>
        <v>#REF!</v>
      </c>
      <c r="GG190" s="134" t="str">
        <f t="shared" si="92"/>
        <v>#REF!</v>
      </c>
      <c r="GH190" s="134" t="str">
        <f t="shared" si="93"/>
        <v>#REF!</v>
      </c>
      <c r="GI190" s="135" t="str">
        <f>IF(ISNA(VLOOKUP(A190,'Données projet (1)'!$A$243:$I$263,5,0)),0%,VLOOKUP(A190,'Données projet (1)'!$A$243:$I$263,5,0)*VLOOKUP('Données projet (1)'!$B$17,'Paramètres (1)'!$A$1:$I$88,7,0))</f>
        <v>#REF!</v>
      </c>
      <c r="GJ190" s="135" t="str">
        <f>IF(ISNA(VLOOKUP(A190,'Données projet (1)'!$A$243:$I$263,6,0)),0%,VLOOKUP(A190,'Données projet (1)'!$A$243:$I$263,6,0)*VLOOKUP('Données projet (1)'!$B$17,'Paramètres (1)'!$A$1:$I$88,7,0))</f>
        <v>#REF!</v>
      </c>
      <c r="GK190" s="135" t="str">
        <f t="shared" si="94"/>
        <v>#REF!</v>
      </c>
      <c r="GL190" s="142" t="str">
        <f>EXP(-LN(2)/35)*GL189+(1-EXP(-LN(2)/35))/(LN(2)/35)*GH190*GI190*VLOOKUP('Données projet (1)'!$B$17,'Paramètres (1)'!$A$1:$I$88,3,0)*0.475*44/12</f>
        <v>#REF!</v>
      </c>
      <c r="GM190" s="142" t="str">
        <f>EXP(-LN(2)/25)*GM189+(1-EXP(-LN(2)/25))/(LN(2)/25)*'Calculateur (1)'!GH190*'Calculateur (1)'!GJ190*VLOOKUP('Données projet (1)'!$B$17,'Paramètres (1)'!$A$1:$I$88,3,0)*0.475*44/12</f>
        <v>#REF!</v>
      </c>
      <c r="GN190" s="142" t="str">
        <f>EXP(-LN(2)/2)*GN189+(1-EXP(-LN(2)/2))/(LN(2)/2)*GH190*GK190*VLOOKUP('Données projet (1)'!$B$17,'Paramètres (1)'!$A$1:$I$88,3,0)*0.475*44/12</f>
        <v>#REF!</v>
      </c>
      <c r="GO190" s="142" t="str">
        <f t="shared" si="95"/>
        <v>#REF!</v>
      </c>
      <c r="GP190" s="139" t="str">
        <f t="shared" si="96"/>
        <v>#REF!</v>
      </c>
      <c r="GQ190" s="131">
        <f t="shared" si="97"/>
        <v>10</v>
      </c>
      <c r="GR190" s="131" t="str">
        <f t="shared" si="144"/>
        <v>#REF!</v>
      </c>
      <c r="GS190" s="131" t="str">
        <f t="shared" si="98"/>
        <v>#REF!</v>
      </c>
      <c r="GT190" s="131" t="str">
        <f t="array" ref="GT190">INDEX(GS:GS,MIN(IF(ISNUMBER(GS190:GS386),ROW(GS190:GS386),"")))</f>
        <v/>
      </c>
      <c r="GU190" s="131" t="str">
        <f t="shared" si="145"/>
        <v>#REF!</v>
      </c>
      <c r="GV190" s="138" t="str">
        <f>GU190*VLOOKUP('Données projet (1)'!$B$18,'Paramètres (1)'!$A$1:$I$88,3,0)*VLOOKUP('Données projet (1)'!$B$18,'Paramètres (1)'!$A$1:$I$88,5,0)</f>
        <v>#REF!</v>
      </c>
      <c r="GW190" s="130" t="str">
        <f t="shared" si="146"/>
        <v>#REF!</v>
      </c>
      <c r="GX190" s="141" t="str">
        <f t="shared" si="99"/>
        <v>#REF!</v>
      </c>
      <c r="GY190" s="133" t="str">
        <f t="shared" si="100"/>
        <v>#REF!</v>
      </c>
      <c r="GZ190" s="133" t="str">
        <f t="shared" si="101"/>
        <v>#REF!</v>
      </c>
      <c r="HA190" s="133" t="str">
        <f t="shared" si="147"/>
        <v>#REF!</v>
      </c>
      <c r="HB190" s="134" t="str">
        <f t="shared" si="102"/>
        <v>#REF!</v>
      </c>
      <c r="HC190" s="134" t="str">
        <f t="shared" si="103"/>
        <v>#REF!</v>
      </c>
      <c r="HD190" s="135" t="str">
        <f>IF(ISNA(VLOOKUP(A190,'Données projet (1)'!$A$269:$I$289,5,0)),0%,VLOOKUP(A190,'Données projet (1)'!$A$269:$I$289,5,0)*VLOOKUP('Données projet (1)'!$B$18,'Paramètres (1)'!$A$1:$I$88,7,0))</f>
        <v>#REF!</v>
      </c>
      <c r="HE190" s="135" t="str">
        <f>IF(ISNA(VLOOKUP(A190,'Données projet (1)'!$A$269:$I$289,6,0)),0%,VLOOKUP(A190,'Données projet (1)'!$A$269:$I$289,6,0)*VLOOKUP('Données projet (1)'!$B$18,'Paramètres (1)'!$A$1:$I$88,7,0))</f>
        <v>#REF!</v>
      </c>
      <c r="HF190" s="135" t="str">
        <f t="shared" si="104"/>
        <v>#REF!</v>
      </c>
      <c r="HG190" s="142" t="str">
        <f>EXP(-LN(2)/35)*HG189+(1-EXP(-LN(2)/35))/(LN(2)/35)*HC190*HD190*VLOOKUP('Données projet (1)'!$B$18,'Paramètres (1)'!$A$1:$I$88,3,0)*0.475*44/12</f>
        <v>#REF!</v>
      </c>
      <c r="HH190" s="142" t="str">
        <f>EXP(-LN(2)/25)*HH189+(1-EXP(-LN(2)/25))/(LN(2)/25)*'Calculateur (1)'!HC190*'Calculateur (1)'!HE190*VLOOKUP('Données projet (1)'!$B$18,'Paramètres (1)'!$A$1:$I$88,3,0)*0.475*44/12</f>
        <v>#REF!</v>
      </c>
      <c r="HI190" s="142" t="str">
        <f>EXP(-LN(2)/2)*HI189+(1-EXP(-LN(2)/2))/(LN(2)/2)*HC190*HF190*VLOOKUP('Données projet (1)'!$B$18,'Paramètres (1)'!$A$1:$I$88,3,0)*0.475*44/12</f>
        <v>#REF!</v>
      </c>
      <c r="HJ190" s="143" t="str">
        <f t="shared" si="105"/>
        <v>#REF!</v>
      </c>
    </row>
    <row r="191" ht="14.25" customHeight="1">
      <c r="A191" s="125">
        <f t="shared" si="106"/>
        <v>188</v>
      </c>
      <c r="B191" s="126" t="str">
        <f t="shared" si="1"/>
        <v>#REF!</v>
      </c>
      <c r="C191" s="140" t="str">
        <f>'Calculateur (1)'!C190+'Scénario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1" s="127">
        <f t="shared" si="107"/>
        <v>0</v>
      </c>
      <c r="E191" s="127" t="str">
        <f t="shared" si="2"/>
        <v>#REF!</v>
      </c>
      <c r="F191" s="127" t="str">
        <f t="shared" si="3"/>
        <v>#REF!</v>
      </c>
      <c r="G191" s="127" t="str">
        <f t="shared" si="4"/>
        <v>#REF!</v>
      </c>
      <c r="H191" s="128" t="str">
        <f t="shared" si="5"/>
        <v>#REF!</v>
      </c>
      <c r="I191" s="129" t="str">
        <f t="shared" si="6"/>
        <v>#REF!</v>
      </c>
      <c r="J191" s="130">
        <f t="shared" si="7"/>
        <v>10</v>
      </c>
      <c r="K191" s="131" t="str">
        <f t="shared" si="108"/>
        <v>#REF!</v>
      </c>
      <c r="L191" s="131" t="str">
        <f t="shared" si="8"/>
        <v>#REF!</v>
      </c>
      <c r="M191" s="131" t="str">
        <f t="array" ref="M191">INDEX(L:L,MIN(IF(ISNUMBER(L191:L387),ROW(L191:L387),"")))</f>
        <v/>
      </c>
      <c r="N191" s="130" t="str">
        <f t="shared" si="109"/>
        <v>#REF!</v>
      </c>
      <c r="O191" s="130" t="str">
        <f>N191*VLOOKUP('Données projet (1)'!$B$9,'Paramètres (1)'!$A$1:$I$88,3,0)*VLOOKUP('Données projet (1)'!$B$9,'Paramètres (1)'!$A$1:$I$88,5,0)</f>
        <v>#REF!</v>
      </c>
      <c r="P191" s="130" t="str">
        <f t="shared" si="110"/>
        <v>#REF!</v>
      </c>
      <c r="Q191" s="141" t="str">
        <f t="shared" si="9"/>
        <v>#REF!</v>
      </c>
      <c r="R191" s="133" t="str">
        <f t="shared" si="10"/>
        <v>#REF!</v>
      </c>
      <c r="S191" s="133" t="str">
        <f t="shared" si="11"/>
        <v>#REF!</v>
      </c>
      <c r="T191" s="133" t="str">
        <f t="shared" si="111"/>
        <v>#REF!</v>
      </c>
      <c r="U191" s="134" t="str">
        <f t="shared" si="12"/>
        <v>#REF!</v>
      </c>
      <c r="V191" s="134" t="str">
        <f t="shared" si="13"/>
        <v>#REF!</v>
      </c>
      <c r="W191" s="135" t="str">
        <f>IF(ISNA(VLOOKUP(A191,'Données projet (1)'!$A$35:$I$55,5,0)),0%,VLOOKUP(A191,'Données projet (1)'!$A$35:$I$55,5,0)*VLOOKUP('Données projet (1)'!$B$9,'Paramètres (1)'!$A$1:$I$88,7,0))</f>
        <v>#REF!</v>
      </c>
      <c r="X191" s="135" t="str">
        <f>IF(ISNA(VLOOKUP(A191,'Données projet (1)'!$A$35:$I$55,6,0)),0%,VLOOKUP(A191,'Données projet (1)'!$A$35:$I$55,6,0)*VLOOKUP('Données projet (1)'!$B$9,'Paramètres (1)'!$A$1:$I$88,7,0))</f>
        <v>#REF!</v>
      </c>
      <c r="Y191" s="135" t="str">
        <f t="shared" si="14"/>
        <v>#REF!</v>
      </c>
      <c r="Z191" s="142" t="str">
        <f>EXP(-LN(2)/35)*Z190+(1-EXP(-LN(2)/35))/(LN(2)/35)*V191*W191*VLOOKUP('Données projet (1)'!$B$9,'Paramètres (1)'!$A$1:$I$88,3,0)*0.475*44/12</f>
        <v>#REF!</v>
      </c>
      <c r="AA191" s="142" t="str">
        <f>EXP(-LN(2)/25)*AA190+(1-EXP(-LN(2)/25))/(LN(2)/25)*'Calculateur (1)'!V191*'Calculateur (1)'!X191*VLOOKUP('Données projet (1)'!$B$9,'Paramètres (1)'!$A$1:$I$88,3,0)*0.475*44/12</f>
        <v>#REF!</v>
      </c>
      <c r="AB191" s="142" t="str">
        <f>EXP(-LN(2)/2)*AB190+(1-EXP(-LN(2)/2))/(LN(2)/2)*V191*Y191*VLOOKUP('Données projet (1)'!$B$9,'Paramètres (1)'!$A$1:$I$88,3,0)*0.475*44/12</f>
        <v>#REF!</v>
      </c>
      <c r="AC191" s="143" t="str">
        <f t="shared" si="15"/>
        <v>#REF!</v>
      </c>
      <c r="AD191" s="130" t="str">
        <f t="shared" si="16"/>
        <v>#REF!</v>
      </c>
      <c r="AE191" s="130">
        <f t="shared" si="17"/>
        <v>10</v>
      </c>
      <c r="AF191" s="131" t="str">
        <f t="shared" si="112"/>
        <v>#REF!</v>
      </c>
      <c r="AG191" s="131" t="str">
        <f t="shared" si="18"/>
        <v>#REF!</v>
      </c>
      <c r="AH191" s="131" t="str">
        <f t="array" ref="AH191">INDEX(AG:AG,MIN(IF(ISNUMBER(AG191:AG387),ROW(AG191:AG387),"")))</f>
        <v/>
      </c>
      <c r="AI191" s="130" t="str">
        <f t="shared" si="113"/>
        <v>#REF!</v>
      </c>
      <c r="AJ191" s="130" t="str">
        <f>AI191*VLOOKUP('Données projet (1)'!$B$10,'Paramètres (1)'!$A$1:$I$88,3,0)*VLOOKUP('Données projet (1)'!$B$10,'Paramètres (1)'!$A$1:$I$88,5,0)</f>
        <v>#REF!</v>
      </c>
      <c r="AK191" s="130" t="str">
        <f t="shared" si="114"/>
        <v>#REF!</v>
      </c>
      <c r="AL191" s="141" t="str">
        <f t="shared" si="19"/>
        <v>#REF!</v>
      </c>
      <c r="AM191" s="133" t="str">
        <f t="shared" si="20"/>
        <v>#REF!</v>
      </c>
      <c r="AN191" s="133" t="str">
        <f t="shared" si="21"/>
        <v>#REF!</v>
      </c>
      <c r="AO191" s="133" t="str">
        <f t="shared" si="115"/>
        <v>#REF!</v>
      </c>
      <c r="AP191" s="134" t="str">
        <f t="shared" si="22"/>
        <v>#REF!</v>
      </c>
      <c r="AQ191" s="134" t="str">
        <f t="shared" si="23"/>
        <v>#REF!</v>
      </c>
      <c r="AR191" s="135" t="str">
        <f>IF(ISNA(VLOOKUP(A191,'Données projet (1)'!$A$61:$I$81,5,0)),0%,VLOOKUP(A191,'Données projet (1)'!$A$61:$I$81,5,0)*VLOOKUP('Données projet (1)'!$B$10,'Paramètres (1)'!$A$1:$I$88,7,0))</f>
        <v>#REF!</v>
      </c>
      <c r="AS191" s="135" t="str">
        <f>IF(ISNA(VLOOKUP(A191,'Données projet (1)'!$A$61:$I$81,6,0)),0%,VLOOKUP(A191,'Données projet (1)'!$A$61:$I$81,6,0)*VLOOKUP('Données projet (1)'!$B$10,'Paramètres (1)'!$A$1:$I$88,7,0))</f>
        <v>#REF!</v>
      </c>
      <c r="AT191" s="135" t="str">
        <f t="shared" si="24"/>
        <v>#REF!</v>
      </c>
      <c r="AU191" s="142" t="str">
        <f>EXP(-LN(2)/35)*AU190+(1-EXP(-LN(2)/35))/(LN(2)/35)*AQ191*AR191*VLOOKUP('Données projet (1)'!$B$10,'Paramètres (1)'!$A$1:$I$88,3,0)*0.475*44/12</f>
        <v>#REF!</v>
      </c>
      <c r="AV191" s="142" t="str">
        <f>EXP(-LN(2)/25)*AV190+(1-EXP(-LN(2)/25))/(LN(2)/25)*'Calculateur (1)'!AQ191*'Calculateur (1)'!AS191*VLOOKUP('Données projet (1)'!$B$10,'Paramètres (1)'!$A$1:$I$88,3,0)*0.475*44/12</f>
        <v>#REF!</v>
      </c>
      <c r="AW191" s="142" t="str">
        <f>EXP(-LN(2)/2)*AW190+(1-EXP(-LN(2)/2))/(LN(2)/2)*AQ191*AT191*VLOOKUP('Données projet (1)'!$B$10,'Paramètres (1)'!$A$1:$I$88,3,0)*0.475*44/12</f>
        <v>#REF!</v>
      </c>
      <c r="AX191" s="142" t="str">
        <f t="shared" si="25"/>
        <v>#REF!</v>
      </c>
      <c r="AY191" s="137" t="str">
        <f t="shared" si="26"/>
        <v>#REF!</v>
      </c>
      <c r="AZ191" s="131">
        <f t="shared" si="27"/>
        <v>10</v>
      </c>
      <c r="BA191" s="131" t="str">
        <f t="shared" si="116"/>
        <v>#REF!</v>
      </c>
      <c r="BB191" s="131" t="str">
        <f t="shared" si="28"/>
        <v>#REF!</v>
      </c>
      <c r="BC191" s="131" t="str">
        <f t="array" ref="BC191">INDEX(BB:BB,MIN(IF(ISNUMBER(BB191:BB387),ROW(BB191:BB387),"")))</f>
        <v/>
      </c>
      <c r="BD191" s="131" t="str">
        <f t="shared" si="117"/>
        <v>#REF!</v>
      </c>
      <c r="BE191" s="130" t="str">
        <f>BD191*VLOOKUP('Données projet (1)'!$B$11,'Paramètres (1)'!$A$1:$I$88,3,0)*VLOOKUP('Données projet (1)'!$B$11,'Paramètres (1)'!$A$1:$I$88,5,0)</f>
        <v>#REF!</v>
      </c>
      <c r="BF191" s="130" t="str">
        <f t="shared" si="118"/>
        <v>#REF!</v>
      </c>
      <c r="BG191" s="141" t="str">
        <f t="shared" si="29"/>
        <v>#REF!</v>
      </c>
      <c r="BH191" s="133" t="str">
        <f t="shared" si="30"/>
        <v>#REF!</v>
      </c>
      <c r="BI191" s="133" t="str">
        <f t="shared" si="31"/>
        <v>#REF!</v>
      </c>
      <c r="BJ191" s="133" t="str">
        <f t="shared" si="119"/>
        <v>#REF!</v>
      </c>
      <c r="BK191" s="134" t="str">
        <f t="shared" si="32"/>
        <v>#REF!</v>
      </c>
      <c r="BL191" s="134" t="str">
        <f t="shared" si="33"/>
        <v>#REF!</v>
      </c>
      <c r="BM191" s="135" t="str">
        <f>IF(ISNA(VLOOKUP(A191,'Données projet (1)'!$A$87:$I$107,5,0)),0%,VLOOKUP(A191,'Données projet (1)'!$A$87:$I$107,5,0)*VLOOKUP('Données projet (1)'!$B$11,'Paramètres (1)'!$A$1:$I$88,7,0))</f>
        <v>#REF!</v>
      </c>
      <c r="BN191" s="135" t="str">
        <f>IF(ISNA(VLOOKUP(A191,'Données projet (1)'!$A$87:$I$107,6,0)),0%,VLOOKUP(A191,'Données projet (1)'!$A$87:$I$107,6,0)*VLOOKUP('Données projet (1)'!$B$11,'Paramètres (1)'!$A$1:$I$88,7,0))</f>
        <v>#REF!</v>
      </c>
      <c r="BO191" s="135" t="str">
        <f t="shared" si="34"/>
        <v>#REF!</v>
      </c>
      <c r="BP191" s="142" t="str">
        <f>EXP(-LN(2)/35)*BP190+(1-EXP(-LN(2)/35))/(LN(2)/35)*BL191*BM191*VLOOKUP('Données projet (1)'!$B$11,'Paramètres (1)'!$A$1:$I$88,3,0)*0.475*44/12</f>
        <v>#REF!</v>
      </c>
      <c r="BQ191" s="142" t="str">
        <f>EXP(-LN(2)/25)*BQ190+(1-EXP(-LN(2)/25))/(LN(2)/25)*'Calculateur (1)'!BL191*'Calculateur (1)'!BN191*VLOOKUP('Données projet (1)'!$B$11,'Paramètres (1)'!$A$1:$I$88,3,0)*0.475*44/12</f>
        <v>#REF!</v>
      </c>
      <c r="BR191" s="142" t="str">
        <f>EXP(-LN(2)/2)*BR190+(1-EXP(-LN(2)/2))/(LN(2)/2)*BL191*BO191*VLOOKUP('Données projet (1)'!$B$11,'Paramètres (1)'!$A$1:$I$88,3,0)*0.475*44/12</f>
        <v>#REF!</v>
      </c>
      <c r="BS191" s="143" t="str">
        <f t="shared" si="35"/>
        <v>#REF!</v>
      </c>
      <c r="BT191" s="139" t="str">
        <f t="shared" si="36"/>
        <v>#REF!</v>
      </c>
      <c r="BU191" s="131">
        <f t="shared" si="37"/>
        <v>10</v>
      </c>
      <c r="BV191" s="131" t="str">
        <f t="shared" si="120"/>
        <v>#REF!</v>
      </c>
      <c r="BW191" s="131" t="str">
        <f t="shared" si="38"/>
        <v>#REF!</v>
      </c>
      <c r="BX191" s="131" t="str">
        <f t="array" ref="BX191">INDEX(BW:BW,MIN(IF(ISNUMBER(BW191:BW387),ROW(BW191:BW387),"")))</f>
        <v/>
      </c>
      <c r="BY191" s="131" t="str">
        <f t="shared" si="121"/>
        <v>#REF!</v>
      </c>
      <c r="BZ191" s="130" t="str">
        <f>BY191*VLOOKUP('Données projet (1)'!$B$12,'Paramètres (1)'!$A$1:$I$88,3,0)*VLOOKUP('Données projet (1)'!$B$12,'Paramètres (1)'!$A$1:$I$88,5,0)</f>
        <v>#REF!</v>
      </c>
      <c r="CA191" s="130" t="str">
        <f t="shared" si="122"/>
        <v>#REF!</v>
      </c>
      <c r="CB191" s="141" t="str">
        <f t="shared" si="39"/>
        <v>#REF!</v>
      </c>
      <c r="CC191" s="133" t="str">
        <f t="shared" si="40"/>
        <v>#REF!</v>
      </c>
      <c r="CD191" s="133" t="str">
        <f t="shared" si="41"/>
        <v>#REF!</v>
      </c>
      <c r="CE191" s="133" t="str">
        <f t="shared" si="123"/>
        <v>#REF!</v>
      </c>
      <c r="CF191" s="134" t="str">
        <f t="shared" si="42"/>
        <v>#REF!</v>
      </c>
      <c r="CG191" s="134" t="str">
        <f t="shared" si="43"/>
        <v>#REF!</v>
      </c>
      <c r="CH191" s="135" t="str">
        <f>IF(ISNA(VLOOKUP(A191,'Données projet (1)'!$A$113:$I$133,5,0)),0%,VLOOKUP(A191,'Données projet (1)'!$A$113:$I$133,5,0)*VLOOKUP('Données projet (1)'!$B$12,'Paramètres (1)'!$A$1:$I$88,7,0))</f>
        <v>#REF!</v>
      </c>
      <c r="CI191" s="135" t="str">
        <f>IF(ISNA(VLOOKUP(A191,'Données projet (1)'!$A$113:$I$133,6,0)),0%,VLOOKUP(A191,'Données projet (1)'!$A$113:$I$133,6,0)*VLOOKUP('Données projet (1)'!$B$12,'Paramètres (1)'!$A$1:$I$88,7,0))</f>
        <v>#REF!</v>
      </c>
      <c r="CJ191" s="135" t="str">
        <f t="shared" si="44"/>
        <v>#REF!</v>
      </c>
      <c r="CK191" s="142" t="str">
        <f>EXP(-LN(2)/35)*CK190+(1-EXP(-LN(2)/35))/(LN(2)/35)*CG191*CH191*VLOOKUP('Données projet (1)'!$B$12,'Paramètres (1)'!$A$1:$I$88,3,0)*0.475*44/12</f>
        <v>#REF!</v>
      </c>
      <c r="CL191" s="142" t="str">
        <f>EXP(-LN(2)/25)*CL190+(1-EXP(-LN(2)/25))/(LN(2)/25)*'Calculateur (1)'!CG191*'Calculateur (1)'!CI191*VLOOKUP('Données projet (1)'!$B$12,'Paramètres (1)'!$A$1:$I$88,3,0)*0.475*44/12</f>
        <v>#REF!</v>
      </c>
      <c r="CM191" s="142" t="str">
        <f>EXP(-LN(2)/2)*CM190+(1-EXP(-LN(2)/2))/(LN(2)/2)*CG191*CJ191*VLOOKUP('Données projet (1)'!$B$12,'Paramètres (1)'!$A$1:$I$88,3,0)*0.475*44/12</f>
        <v>#REF!</v>
      </c>
      <c r="CN191" s="143" t="str">
        <f t="shared" si="45"/>
        <v>#REF!</v>
      </c>
      <c r="CO191" s="139" t="str">
        <f t="shared" si="46"/>
        <v>#REF!</v>
      </c>
      <c r="CP191" s="131">
        <f t="shared" si="47"/>
        <v>10</v>
      </c>
      <c r="CQ191" s="131" t="str">
        <f t="shared" si="124"/>
        <v>#REF!</v>
      </c>
      <c r="CR191" s="131" t="str">
        <f t="shared" si="48"/>
        <v>#REF!</v>
      </c>
      <c r="CS191" s="131" t="str">
        <f t="array" ref="CS191">INDEX(CR:CR,MIN(IF(ISNUMBER(CR191:CR387),ROW(CR191:CR387),"")))</f>
        <v/>
      </c>
      <c r="CT191" s="131" t="str">
        <f t="shared" si="125"/>
        <v>#REF!</v>
      </c>
      <c r="CU191" s="138" t="str">
        <f>CT191*VLOOKUP('Données projet (1)'!$B$13,'Paramètres (1)'!$A$1:$I$88,3,0)*VLOOKUP('Données projet (1)'!$B$13,'Paramètres (1)'!$A$1:$I$88,5,0)</f>
        <v>#REF!</v>
      </c>
      <c r="CV191" s="130" t="str">
        <f t="shared" si="126"/>
        <v>#REF!</v>
      </c>
      <c r="CW191" s="141" t="str">
        <f t="shared" si="49"/>
        <v>#REF!</v>
      </c>
      <c r="CX191" s="133" t="str">
        <f t="shared" si="50"/>
        <v>#REF!</v>
      </c>
      <c r="CY191" s="133" t="str">
        <f t="shared" si="51"/>
        <v>#REF!</v>
      </c>
      <c r="CZ191" s="133" t="str">
        <f t="shared" si="127"/>
        <v>#REF!</v>
      </c>
      <c r="DA191" s="134" t="str">
        <f t="shared" si="52"/>
        <v>#REF!</v>
      </c>
      <c r="DB191" s="134" t="str">
        <f t="shared" si="53"/>
        <v>#REF!</v>
      </c>
      <c r="DC191" s="135" t="str">
        <f>IF(ISNA(VLOOKUP(A191,'Données projet (1)'!$A$139:$I$159,5,0)),0%,VLOOKUP(A191,'Données projet (1)'!$A$139:$I$159,5,0)*VLOOKUP('Données projet (1)'!$B$13,'Paramètres (1)'!$A$1:$I$88,7,0))</f>
        <v>#REF!</v>
      </c>
      <c r="DD191" s="135" t="str">
        <f>IF(ISNA(VLOOKUP(A191,'Données projet (1)'!$A$139:$I$159,6,0)),0%,VLOOKUP(A191,'Données projet (1)'!$A$139:$I$159,6,0)*VLOOKUP('Données projet (1)'!$B$13,'Paramètres (1)'!$A$1:$I$88,7,0))</f>
        <v>#REF!</v>
      </c>
      <c r="DE191" s="135" t="str">
        <f t="shared" si="54"/>
        <v>#REF!</v>
      </c>
      <c r="DF191" s="142" t="str">
        <f>EXP(-LN(2)/35)*DF190+(1-EXP(-LN(2)/35))/(LN(2)/35)*DB191*DC191*VLOOKUP('Données projet (1)'!$B$13,'Paramètres (1)'!$A$1:$I$88,3,0)*0.475*44/12</f>
        <v>#REF!</v>
      </c>
      <c r="DG191" s="142" t="str">
        <f>EXP(-LN(2)/25)*DG190+(1-EXP(-LN(2)/25))/(LN(2)/25)*'Calculateur (1)'!DB191*'Calculateur (1)'!DD191*VLOOKUP('Données projet (1)'!$B$13,'Paramètres (1)'!$A$1:$I$88,3,0)*0.475*44/12</f>
        <v>#REF!</v>
      </c>
      <c r="DH191" s="142" t="str">
        <f>EXP(-LN(2)/2)*DH190+(1-EXP(-LN(2)/2))/(LN(2)/2)*DB191*DE191*VLOOKUP('Données projet (1)'!$B$13,'Paramètres (1)'!$A$1:$I$88,3,0)*0.475*44/12</f>
        <v>#REF!</v>
      </c>
      <c r="DI191" s="143" t="str">
        <f t="shared" si="55"/>
        <v>#REF!</v>
      </c>
      <c r="DJ191" s="139" t="str">
        <f t="shared" si="56"/>
        <v>#REF!</v>
      </c>
      <c r="DK191" s="131">
        <f t="shared" si="57"/>
        <v>10</v>
      </c>
      <c r="DL191" s="131" t="str">
        <f t="shared" si="128"/>
        <v>#REF!</v>
      </c>
      <c r="DM191" s="131" t="str">
        <f t="shared" si="58"/>
        <v>#REF!</v>
      </c>
      <c r="DN191" s="131" t="str">
        <f t="array" ref="DN191">INDEX(DM:DM,MIN(IF(ISNUMBER(DM191:DM387),ROW(DM191:DM387),"")))</f>
        <v/>
      </c>
      <c r="DO191" s="131" t="str">
        <f t="shared" si="129"/>
        <v>#REF!</v>
      </c>
      <c r="DP191" s="138" t="str">
        <f>DO191*VLOOKUP('Données projet (1)'!$B$14,'Paramètres (1)'!$A$1:$I$88,3,0)*VLOOKUP('Données projet (1)'!$B$14,'Paramètres (1)'!$A$1:$I$88,5,0)</f>
        <v>#REF!</v>
      </c>
      <c r="DQ191" s="130" t="str">
        <f t="shared" si="130"/>
        <v>#REF!</v>
      </c>
      <c r="DR191" s="141" t="str">
        <f t="shared" si="59"/>
        <v>#REF!</v>
      </c>
      <c r="DS191" s="133" t="str">
        <f t="shared" si="60"/>
        <v>#REF!</v>
      </c>
      <c r="DT191" s="133" t="str">
        <f t="shared" si="61"/>
        <v>#REF!</v>
      </c>
      <c r="DU191" s="133" t="str">
        <f t="shared" si="131"/>
        <v>#REF!</v>
      </c>
      <c r="DV191" s="134" t="str">
        <f t="shared" si="62"/>
        <v>#REF!</v>
      </c>
      <c r="DW191" s="134" t="str">
        <f t="shared" si="63"/>
        <v>#REF!</v>
      </c>
      <c r="DX191" s="135" t="str">
        <f>IF(ISNA(VLOOKUP(A191,'Données projet (1)'!$A$165:$I$185,5,0)),0%,VLOOKUP(A191,'Données projet (1)'!$A$165:$I$185,5,0)*VLOOKUP('Données projet (1)'!$B$14,'Paramètres (1)'!$A$1:$I$88,7,0))</f>
        <v>#REF!</v>
      </c>
      <c r="DY191" s="135" t="str">
        <f>IF(ISNA(VLOOKUP(A191,'Données projet (1)'!$A$165:$I$185,6,0)),0%,VLOOKUP(A191,'Données projet (1)'!$A$165:$I$185,6,0)*VLOOKUP('Données projet (1)'!$B$14,'Paramètres (1)'!$A$1:$I$88,7,0))</f>
        <v>#REF!</v>
      </c>
      <c r="DZ191" s="135" t="str">
        <f t="shared" si="64"/>
        <v>#REF!</v>
      </c>
      <c r="EA191" s="142" t="str">
        <f>EXP(-LN(2)/35)*EA190+(1-EXP(-LN(2)/35))/(LN(2)/35)*DW191*DX191*VLOOKUP('Données projet (1)'!$B$14,'Paramètres (1)'!$A$1:$I$88,3,0)*0.475*44/12</f>
        <v>#REF!</v>
      </c>
      <c r="EB191" s="142" t="str">
        <f>EXP(-LN(2)/25)*EB190+(1-EXP(-LN(2)/25))/(LN(2)/25)*'Calculateur (1)'!DW191*'Calculateur (1)'!DY191*VLOOKUP('Données projet (1)'!$B$14,'Paramètres (1)'!$A$1:$I$88,3,0)*0.475*44/12</f>
        <v>#REF!</v>
      </c>
      <c r="EC191" s="142" t="str">
        <f>EXP(-LN(2)/2)*EC190+(1-EXP(-LN(2)/2))/(LN(2)/2)*DW191*DZ191*VLOOKUP('Données projet (1)'!$B$14,'Paramètres (1)'!$A$1:$I$88,3,0)*0.475*44/12</f>
        <v>#REF!</v>
      </c>
      <c r="ED191" s="143" t="str">
        <f t="shared" si="65"/>
        <v>#REF!</v>
      </c>
      <c r="EE191" s="139" t="str">
        <f t="shared" si="66"/>
        <v>#REF!</v>
      </c>
      <c r="EF191" s="131">
        <f t="shared" si="67"/>
        <v>10</v>
      </c>
      <c r="EG191" s="131" t="str">
        <f t="shared" si="132"/>
        <v>#REF!</v>
      </c>
      <c r="EH191" s="131" t="str">
        <f t="shared" si="68"/>
        <v>#REF!</v>
      </c>
      <c r="EI191" s="131" t="str">
        <f t="array" ref="EI191">INDEX(EH:EH,MIN(IF(ISNUMBER(EH191:EH387),ROW(EH191:EH387),"")))</f>
        <v/>
      </c>
      <c r="EJ191" s="131" t="str">
        <f t="shared" si="133"/>
        <v>#REF!</v>
      </c>
      <c r="EK191" s="138" t="str">
        <f>EJ191*VLOOKUP('Données projet (1)'!$B$15,'Paramètres (1)'!$A$1:$I$88,3,0)*VLOOKUP('Données projet (1)'!$B$15,'Paramètres (1)'!$A$1:$I$88,5,0)</f>
        <v>#REF!</v>
      </c>
      <c r="EL191" s="130" t="str">
        <f t="shared" si="134"/>
        <v>#REF!</v>
      </c>
      <c r="EM191" s="141" t="str">
        <f t="shared" si="69"/>
        <v>#REF!</v>
      </c>
      <c r="EN191" s="133" t="str">
        <f t="shared" si="70"/>
        <v>#REF!</v>
      </c>
      <c r="EO191" s="133" t="str">
        <f t="shared" si="71"/>
        <v>#REF!</v>
      </c>
      <c r="EP191" s="133" t="str">
        <f t="shared" si="135"/>
        <v>#REF!</v>
      </c>
      <c r="EQ191" s="134" t="str">
        <f t="shared" si="72"/>
        <v>#REF!</v>
      </c>
      <c r="ER191" s="134" t="str">
        <f t="shared" si="73"/>
        <v>#REF!</v>
      </c>
      <c r="ES191" s="135" t="str">
        <f>IF(ISNA(VLOOKUP(A191,'Données projet (1)'!$A$191:$I$211,5,0)),0%,VLOOKUP(A191,'Données projet (1)'!$A$191:$I$211,5,0)*VLOOKUP('Données projet (1)'!$B$15,'Paramètres (1)'!$A$1:$I$88,7,0))</f>
        <v>#REF!</v>
      </c>
      <c r="ET191" s="135" t="str">
        <f>IF(ISNA(VLOOKUP(A191,'Données projet (1)'!$A$191:$I$211,6,0)),0%,VLOOKUP(A191,'Données projet (1)'!$A$191:$I$211,6,0)*VLOOKUP('Données projet (1)'!$B$15,'Paramètres (1)'!$A$1:$I$88,7,0))</f>
        <v>#REF!</v>
      </c>
      <c r="EU191" s="135" t="str">
        <f t="shared" si="74"/>
        <v>#REF!</v>
      </c>
      <c r="EV191" s="142" t="str">
        <f>EXP(-LN(2)/35)*EV190+(1-EXP(-LN(2)/35))/(LN(2)/35)*ER191*ES191*VLOOKUP('Données projet (1)'!$B$15,'Paramètres (1)'!$A$1:$I$88,3,0)*0.475*44/12</f>
        <v>#REF!</v>
      </c>
      <c r="EW191" s="142" t="str">
        <f>EXP(-LN(2)/25)*EW190+(1-EXP(-LN(2)/25))/(LN(2)/25)*'Calculateur (1)'!ER191*'Calculateur (1)'!ET191*VLOOKUP('Données projet (1)'!$B$15,'Paramètres (1)'!$A$1:$I$88,3,0)*0.475*44/12</f>
        <v>#REF!</v>
      </c>
      <c r="EX191" s="142" t="str">
        <f>EXP(-LN(2)/2)*EX190+(1-EXP(-LN(2)/2))/(LN(2)/2)*ER191*EU191*VLOOKUP('Données projet (1)'!$B$15,'Paramètres (1)'!$A$1:$I$88,3,0)*0.475*44/12</f>
        <v>#REF!</v>
      </c>
      <c r="EY191" s="143" t="str">
        <f t="shared" si="75"/>
        <v>#REF!</v>
      </c>
      <c r="EZ191" s="139" t="str">
        <f t="shared" si="76"/>
        <v>#REF!</v>
      </c>
      <c r="FA191" s="131">
        <f t="shared" si="77"/>
        <v>10</v>
      </c>
      <c r="FB191" s="131" t="str">
        <f t="shared" si="136"/>
        <v>#REF!</v>
      </c>
      <c r="FC191" s="131" t="str">
        <f t="shared" si="78"/>
        <v>#REF!</v>
      </c>
      <c r="FD191" s="131" t="str">
        <f t="array" ref="FD191">INDEX(FC:FC,MIN(IF(ISNUMBER(FC191:FC387),ROW(FC191:FC387),"")))</f>
        <v/>
      </c>
      <c r="FE191" s="131" t="str">
        <f t="shared" si="137"/>
        <v>#REF!</v>
      </c>
      <c r="FF191" s="138" t="str">
        <f>FE191*VLOOKUP('Données projet (1)'!$B$16,'Paramètres (1)'!$A$1:$I$88,3,0)*VLOOKUP('Données projet (1)'!$B$16,'Paramètres (1)'!$A$1:$I$88,5,0)</f>
        <v>#REF!</v>
      </c>
      <c r="FG191" s="130" t="str">
        <f t="shared" si="138"/>
        <v>#REF!</v>
      </c>
      <c r="FH191" s="141" t="str">
        <f t="shared" si="79"/>
        <v>#REF!</v>
      </c>
      <c r="FI191" s="133" t="str">
        <f t="shared" si="80"/>
        <v>#REF!</v>
      </c>
      <c r="FJ191" s="133" t="str">
        <f t="shared" si="81"/>
        <v>#REF!</v>
      </c>
      <c r="FK191" s="133" t="str">
        <f t="shared" si="139"/>
        <v>#REF!</v>
      </c>
      <c r="FL191" s="134" t="str">
        <f t="shared" si="82"/>
        <v>#REF!</v>
      </c>
      <c r="FM191" s="134" t="str">
        <f t="shared" si="83"/>
        <v>#REF!</v>
      </c>
      <c r="FN191" s="135" t="str">
        <f>IF(ISNA(VLOOKUP(A191,'Données projet (1)'!$A$217:$I$237,5,0)),0%,VLOOKUP(A191,'Données projet (1)'!$A$217:$I$237,5,0)*VLOOKUP('Données projet (1)'!$B$16,'Paramètres (1)'!$A$1:$I$88,7,0))</f>
        <v>#REF!</v>
      </c>
      <c r="FO191" s="135" t="str">
        <f>IF(ISNA(VLOOKUP(A191,'Données projet (1)'!$A$217:$I$237,6,0)),0%,VLOOKUP(A191,'Données projet (1)'!$A$217:$I$237,6,0)*VLOOKUP('Données projet (1)'!$B$16,'Paramètres (1)'!$A$1:$I$88,7,0))</f>
        <v>#REF!</v>
      </c>
      <c r="FP191" s="135" t="str">
        <f t="shared" si="84"/>
        <v>#REF!</v>
      </c>
      <c r="FQ191" s="142" t="str">
        <f>EXP(-LN(2)/35)*FQ190+(1-EXP(-LN(2)/35))/(LN(2)/35)*FM191*FN191*VLOOKUP('Données projet (1)'!$B$16,'Paramètres (1)'!$A$1:$I$88,3,0)*0.475*44/12</f>
        <v>#REF!</v>
      </c>
      <c r="FR191" s="142" t="str">
        <f>EXP(-LN(2)/25)*FR190+(1-EXP(-LN(2)/25))/(LN(2)/25)*'Calculateur (1)'!FM191*'Calculateur (1)'!FO191*VLOOKUP('Données projet (1)'!$B$16,'Paramètres (1)'!$A$1:$I$88,3,0)*0.475*44/12</f>
        <v>#REF!</v>
      </c>
      <c r="FS191" s="142" t="str">
        <f>EXP(-LN(2)/2)*FS190+(1-EXP(-LN(2)/2))/(LN(2)/2)*FM191*FP191*VLOOKUP('Données projet (1)'!$B$16,'Paramètres (1)'!$A$1:$I$88,3,0)*0.475*44/12</f>
        <v>#REF!</v>
      </c>
      <c r="FT191" s="143" t="str">
        <f t="shared" si="85"/>
        <v>#REF!</v>
      </c>
      <c r="FU191" s="139" t="str">
        <f t="shared" si="86"/>
        <v>#REF!</v>
      </c>
      <c r="FV191" s="131">
        <f t="shared" si="87"/>
        <v>10</v>
      </c>
      <c r="FW191" s="131" t="str">
        <f t="shared" si="140"/>
        <v>#REF!</v>
      </c>
      <c r="FX191" s="131" t="str">
        <f t="shared" si="88"/>
        <v>#REF!</v>
      </c>
      <c r="FY191" s="131" t="str">
        <f t="array" ref="FY191">INDEX(FX:FX,MIN(IF(ISNUMBER(FX191:FX387),ROW(FX191:FX387),"")))</f>
        <v/>
      </c>
      <c r="FZ191" s="131" t="str">
        <f t="shared" si="141"/>
        <v>#REF!</v>
      </c>
      <c r="GA191" s="138" t="str">
        <f>FZ191*VLOOKUP('Données projet (1)'!$B$17,'Paramètres (1)'!$A$1:$I$88,3,0)*VLOOKUP('Données projet (1)'!$B$17,'Paramètres (1)'!$A$1:$I$88,5,0)</f>
        <v>#REF!</v>
      </c>
      <c r="GB191" s="130" t="str">
        <f t="shared" si="142"/>
        <v>#REF!</v>
      </c>
      <c r="GC191" s="141" t="str">
        <f t="shared" si="89"/>
        <v>#REF!</v>
      </c>
      <c r="GD191" s="133" t="str">
        <f t="shared" si="90"/>
        <v>#REF!</v>
      </c>
      <c r="GE191" s="133" t="str">
        <f t="shared" si="91"/>
        <v>#REF!</v>
      </c>
      <c r="GF191" s="133" t="str">
        <f t="shared" si="143"/>
        <v>#REF!</v>
      </c>
      <c r="GG191" s="134" t="str">
        <f t="shared" si="92"/>
        <v>#REF!</v>
      </c>
      <c r="GH191" s="134" t="str">
        <f t="shared" si="93"/>
        <v>#REF!</v>
      </c>
      <c r="GI191" s="135" t="str">
        <f>IF(ISNA(VLOOKUP(A191,'Données projet (1)'!$A$243:$I$263,5,0)),0%,VLOOKUP(A191,'Données projet (1)'!$A$243:$I$263,5,0)*VLOOKUP('Données projet (1)'!$B$17,'Paramètres (1)'!$A$1:$I$88,7,0))</f>
        <v>#REF!</v>
      </c>
      <c r="GJ191" s="135" t="str">
        <f>IF(ISNA(VLOOKUP(A191,'Données projet (1)'!$A$243:$I$263,6,0)),0%,VLOOKUP(A191,'Données projet (1)'!$A$243:$I$263,6,0)*VLOOKUP('Données projet (1)'!$B$17,'Paramètres (1)'!$A$1:$I$88,7,0))</f>
        <v>#REF!</v>
      </c>
      <c r="GK191" s="135" t="str">
        <f t="shared" si="94"/>
        <v>#REF!</v>
      </c>
      <c r="GL191" s="142" t="str">
        <f>EXP(-LN(2)/35)*GL190+(1-EXP(-LN(2)/35))/(LN(2)/35)*GH191*GI191*VLOOKUP('Données projet (1)'!$B$17,'Paramètres (1)'!$A$1:$I$88,3,0)*0.475*44/12</f>
        <v>#REF!</v>
      </c>
      <c r="GM191" s="142" t="str">
        <f>EXP(-LN(2)/25)*GM190+(1-EXP(-LN(2)/25))/(LN(2)/25)*'Calculateur (1)'!GH191*'Calculateur (1)'!GJ191*VLOOKUP('Données projet (1)'!$B$17,'Paramètres (1)'!$A$1:$I$88,3,0)*0.475*44/12</f>
        <v>#REF!</v>
      </c>
      <c r="GN191" s="142" t="str">
        <f>EXP(-LN(2)/2)*GN190+(1-EXP(-LN(2)/2))/(LN(2)/2)*GH191*GK191*VLOOKUP('Données projet (1)'!$B$17,'Paramètres (1)'!$A$1:$I$88,3,0)*0.475*44/12</f>
        <v>#REF!</v>
      </c>
      <c r="GO191" s="142" t="str">
        <f t="shared" si="95"/>
        <v>#REF!</v>
      </c>
      <c r="GP191" s="139" t="str">
        <f t="shared" si="96"/>
        <v>#REF!</v>
      </c>
      <c r="GQ191" s="131">
        <f t="shared" si="97"/>
        <v>10</v>
      </c>
      <c r="GR191" s="131" t="str">
        <f t="shared" si="144"/>
        <v>#REF!</v>
      </c>
      <c r="GS191" s="131" t="str">
        <f t="shared" si="98"/>
        <v>#REF!</v>
      </c>
      <c r="GT191" s="131" t="str">
        <f t="array" ref="GT191">INDEX(GS:GS,MIN(IF(ISNUMBER(GS191:GS387),ROW(GS191:GS387),"")))</f>
        <v/>
      </c>
      <c r="GU191" s="131" t="str">
        <f t="shared" si="145"/>
        <v>#REF!</v>
      </c>
      <c r="GV191" s="138" t="str">
        <f>GU191*VLOOKUP('Données projet (1)'!$B$18,'Paramètres (1)'!$A$1:$I$88,3,0)*VLOOKUP('Données projet (1)'!$B$18,'Paramètres (1)'!$A$1:$I$88,5,0)</f>
        <v>#REF!</v>
      </c>
      <c r="GW191" s="130" t="str">
        <f t="shared" si="146"/>
        <v>#REF!</v>
      </c>
      <c r="GX191" s="141" t="str">
        <f t="shared" si="99"/>
        <v>#REF!</v>
      </c>
      <c r="GY191" s="133" t="str">
        <f t="shared" si="100"/>
        <v>#REF!</v>
      </c>
      <c r="GZ191" s="133" t="str">
        <f t="shared" si="101"/>
        <v>#REF!</v>
      </c>
      <c r="HA191" s="133" t="str">
        <f t="shared" si="147"/>
        <v>#REF!</v>
      </c>
      <c r="HB191" s="134" t="str">
        <f t="shared" si="102"/>
        <v>#REF!</v>
      </c>
      <c r="HC191" s="134" t="str">
        <f t="shared" si="103"/>
        <v>#REF!</v>
      </c>
      <c r="HD191" s="135" t="str">
        <f>IF(ISNA(VLOOKUP(A191,'Données projet (1)'!$A$269:$I$289,5,0)),0%,VLOOKUP(A191,'Données projet (1)'!$A$269:$I$289,5,0)*VLOOKUP('Données projet (1)'!$B$18,'Paramètres (1)'!$A$1:$I$88,7,0))</f>
        <v>#REF!</v>
      </c>
      <c r="HE191" s="135" t="str">
        <f>IF(ISNA(VLOOKUP(A191,'Données projet (1)'!$A$269:$I$289,6,0)),0%,VLOOKUP(A191,'Données projet (1)'!$A$269:$I$289,6,0)*VLOOKUP('Données projet (1)'!$B$18,'Paramètres (1)'!$A$1:$I$88,7,0))</f>
        <v>#REF!</v>
      </c>
      <c r="HF191" s="135" t="str">
        <f t="shared" si="104"/>
        <v>#REF!</v>
      </c>
      <c r="HG191" s="142" t="str">
        <f>EXP(-LN(2)/35)*HG190+(1-EXP(-LN(2)/35))/(LN(2)/35)*HC191*HD191*VLOOKUP('Données projet (1)'!$B$18,'Paramètres (1)'!$A$1:$I$88,3,0)*0.475*44/12</f>
        <v>#REF!</v>
      </c>
      <c r="HH191" s="142" t="str">
        <f>EXP(-LN(2)/25)*HH190+(1-EXP(-LN(2)/25))/(LN(2)/25)*'Calculateur (1)'!HC191*'Calculateur (1)'!HE191*VLOOKUP('Données projet (1)'!$B$18,'Paramètres (1)'!$A$1:$I$88,3,0)*0.475*44/12</f>
        <v>#REF!</v>
      </c>
      <c r="HI191" s="142" t="str">
        <f>EXP(-LN(2)/2)*HI190+(1-EXP(-LN(2)/2))/(LN(2)/2)*HC191*HF191*VLOOKUP('Données projet (1)'!$B$18,'Paramètres (1)'!$A$1:$I$88,3,0)*0.475*44/12</f>
        <v>#REF!</v>
      </c>
      <c r="HJ191" s="143" t="str">
        <f t="shared" si="105"/>
        <v>#REF!</v>
      </c>
    </row>
    <row r="192" ht="14.25" customHeight="1">
      <c r="A192" s="125">
        <f t="shared" si="106"/>
        <v>189</v>
      </c>
      <c r="B192" s="126" t="str">
        <f t="shared" si="1"/>
        <v>#REF!</v>
      </c>
      <c r="C192" s="140" t="str">
        <f>'Calculateur (1)'!C191+'Scénario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2" s="127">
        <f t="shared" si="107"/>
        <v>0</v>
      </c>
      <c r="E192" s="127" t="str">
        <f t="shared" si="2"/>
        <v>#REF!</v>
      </c>
      <c r="F192" s="127" t="str">
        <f t="shared" si="3"/>
        <v>#REF!</v>
      </c>
      <c r="G192" s="127" t="str">
        <f t="shared" si="4"/>
        <v>#REF!</v>
      </c>
      <c r="H192" s="128" t="str">
        <f t="shared" si="5"/>
        <v>#REF!</v>
      </c>
      <c r="I192" s="129" t="str">
        <f t="shared" si="6"/>
        <v>#REF!</v>
      </c>
      <c r="J192" s="130">
        <f t="shared" si="7"/>
        <v>10</v>
      </c>
      <c r="K192" s="131" t="str">
        <f t="shared" si="108"/>
        <v>#REF!</v>
      </c>
      <c r="L192" s="131" t="str">
        <f t="shared" si="8"/>
        <v>#REF!</v>
      </c>
      <c r="M192" s="131" t="str">
        <f t="array" ref="M192">INDEX(L:L,MIN(IF(ISNUMBER(L192:L388),ROW(L192:L388),"")))</f>
        <v/>
      </c>
      <c r="N192" s="130" t="str">
        <f t="shared" si="109"/>
        <v>#REF!</v>
      </c>
      <c r="O192" s="130" t="str">
        <f>N192*VLOOKUP('Données projet (1)'!$B$9,'Paramètres (1)'!$A$1:$I$88,3,0)*VLOOKUP('Données projet (1)'!$B$9,'Paramètres (1)'!$A$1:$I$88,5,0)</f>
        <v>#REF!</v>
      </c>
      <c r="P192" s="130" t="str">
        <f t="shared" si="110"/>
        <v>#REF!</v>
      </c>
      <c r="Q192" s="141" t="str">
        <f t="shared" si="9"/>
        <v>#REF!</v>
      </c>
      <c r="R192" s="133" t="str">
        <f t="shared" si="10"/>
        <v>#REF!</v>
      </c>
      <c r="S192" s="133" t="str">
        <f t="shared" si="11"/>
        <v>#REF!</v>
      </c>
      <c r="T192" s="133" t="str">
        <f t="shared" si="111"/>
        <v>#REF!</v>
      </c>
      <c r="U192" s="134" t="str">
        <f t="shared" si="12"/>
        <v>#REF!</v>
      </c>
      <c r="V192" s="134" t="str">
        <f t="shared" si="13"/>
        <v>#REF!</v>
      </c>
      <c r="W192" s="135" t="str">
        <f>IF(ISNA(VLOOKUP(A192,'Données projet (1)'!$A$35:$I$55,5,0)),0%,VLOOKUP(A192,'Données projet (1)'!$A$35:$I$55,5,0)*VLOOKUP('Données projet (1)'!$B$9,'Paramètres (1)'!$A$1:$I$88,7,0))</f>
        <v>#REF!</v>
      </c>
      <c r="X192" s="135" t="str">
        <f>IF(ISNA(VLOOKUP(A192,'Données projet (1)'!$A$35:$I$55,6,0)),0%,VLOOKUP(A192,'Données projet (1)'!$A$35:$I$55,6,0)*VLOOKUP('Données projet (1)'!$B$9,'Paramètres (1)'!$A$1:$I$88,7,0))</f>
        <v>#REF!</v>
      </c>
      <c r="Y192" s="135" t="str">
        <f t="shared" si="14"/>
        <v>#REF!</v>
      </c>
      <c r="Z192" s="142" t="str">
        <f>EXP(-LN(2)/35)*Z191+(1-EXP(-LN(2)/35))/(LN(2)/35)*V192*W192*VLOOKUP('Données projet (1)'!$B$9,'Paramètres (1)'!$A$1:$I$88,3,0)*0.475*44/12</f>
        <v>#REF!</v>
      </c>
      <c r="AA192" s="142" t="str">
        <f>EXP(-LN(2)/25)*AA191+(1-EXP(-LN(2)/25))/(LN(2)/25)*'Calculateur (1)'!V192*'Calculateur (1)'!X192*VLOOKUP('Données projet (1)'!$B$9,'Paramètres (1)'!$A$1:$I$88,3,0)*0.475*44/12</f>
        <v>#REF!</v>
      </c>
      <c r="AB192" s="142" t="str">
        <f>EXP(-LN(2)/2)*AB191+(1-EXP(-LN(2)/2))/(LN(2)/2)*V192*Y192*VLOOKUP('Données projet (1)'!$B$9,'Paramètres (1)'!$A$1:$I$88,3,0)*0.475*44/12</f>
        <v>#REF!</v>
      </c>
      <c r="AC192" s="143" t="str">
        <f t="shared" si="15"/>
        <v>#REF!</v>
      </c>
      <c r="AD192" s="130" t="str">
        <f t="shared" si="16"/>
        <v>#REF!</v>
      </c>
      <c r="AE192" s="130">
        <f t="shared" si="17"/>
        <v>10</v>
      </c>
      <c r="AF192" s="131" t="str">
        <f t="shared" si="112"/>
        <v>#REF!</v>
      </c>
      <c r="AG192" s="131" t="str">
        <f t="shared" si="18"/>
        <v>#REF!</v>
      </c>
      <c r="AH192" s="131" t="str">
        <f t="array" ref="AH192">INDEX(AG:AG,MIN(IF(ISNUMBER(AG192:AG388),ROW(AG192:AG388),"")))</f>
        <v/>
      </c>
      <c r="AI192" s="130" t="str">
        <f t="shared" si="113"/>
        <v>#REF!</v>
      </c>
      <c r="AJ192" s="130" t="str">
        <f>AI192*VLOOKUP('Données projet (1)'!$B$10,'Paramètres (1)'!$A$1:$I$88,3,0)*VLOOKUP('Données projet (1)'!$B$10,'Paramètres (1)'!$A$1:$I$88,5,0)</f>
        <v>#REF!</v>
      </c>
      <c r="AK192" s="130" t="str">
        <f t="shared" si="114"/>
        <v>#REF!</v>
      </c>
      <c r="AL192" s="141" t="str">
        <f t="shared" si="19"/>
        <v>#REF!</v>
      </c>
      <c r="AM192" s="133" t="str">
        <f t="shared" si="20"/>
        <v>#REF!</v>
      </c>
      <c r="AN192" s="133" t="str">
        <f t="shared" si="21"/>
        <v>#REF!</v>
      </c>
      <c r="AO192" s="133" t="str">
        <f t="shared" si="115"/>
        <v>#REF!</v>
      </c>
      <c r="AP192" s="134" t="str">
        <f t="shared" si="22"/>
        <v>#REF!</v>
      </c>
      <c r="AQ192" s="134" t="str">
        <f t="shared" si="23"/>
        <v>#REF!</v>
      </c>
      <c r="AR192" s="135" t="str">
        <f>IF(ISNA(VLOOKUP(A192,'Données projet (1)'!$A$61:$I$81,5,0)),0%,VLOOKUP(A192,'Données projet (1)'!$A$61:$I$81,5,0)*VLOOKUP('Données projet (1)'!$B$10,'Paramètres (1)'!$A$1:$I$88,7,0))</f>
        <v>#REF!</v>
      </c>
      <c r="AS192" s="135" t="str">
        <f>IF(ISNA(VLOOKUP(A192,'Données projet (1)'!$A$61:$I$81,6,0)),0%,VLOOKUP(A192,'Données projet (1)'!$A$61:$I$81,6,0)*VLOOKUP('Données projet (1)'!$B$10,'Paramètres (1)'!$A$1:$I$88,7,0))</f>
        <v>#REF!</v>
      </c>
      <c r="AT192" s="135" t="str">
        <f t="shared" si="24"/>
        <v>#REF!</v>
      </c>
      <c r="AU192" s="142" t="str">
        <f>EXP(-LN(2)/35)*AU191+(1-EXP(-LN(2)/35))/(LN(2)/35)*AQ192*AR192*VLOOKUP('Données projet (1)'!$B$10,'Paramètres (1)'!$A$1:$I$88,3,0)*0.475*44/12</f>
        <v>#REF!</v>
      </c>
      <c r="AV192" s="142" t="str">
        <f>EXP(-LN(2)/25)*AV191+(1-EXP(-LN(2)/25))/(LN(2)/25)*'Calculateur (1)'!AQ192*'Calculateur (1)'!AS192*VLOOKUP('Données projet (1)'!$B$10,'Paramètres (1)'!$A$1:$I$88,3,0)*0.475*44/12</f>
        <v>#REF!</v>
      </c>
      <c r="AW192" s="142" t="str">
        <f>EXP(-LN(2)/2)*AW191+(1-EXP(-LN(2)/2))/(LN(2)/2)*AQ192*AT192*VLOOKUP('Données projet (1)'!$B$10,'Paramètres (1)'!$A$1:$I$88,3,0)*0.475*44/12</f>
        <v>#REF!</v>
      </c>
      <c r="AX192" s="142" t="str">
        <f t="shared" si="25"/>
        <v>#REF!</v>
      </c>
      <c r="AY192" s="137" t="str">
        <f t="shared" si="26"/>
        <v>#REF!</v>
      </c>
      <c r="AZ192" s="131">
        <f t="shared" si="27"/>
        <v>10</v>
      </c>
      <c r="BA192" s="131" t="str">
        <f t="shared" si="116"/>
        <v>#REF!</v>
      </c>
      <c r="BB192" s="131" t="str">
        <f t="shared" si="28"/>
        <v>#REF!</v>
      </c>
      <c r="BC192" s="131" t="str">
        <f t="array" ref="BC192">INDEX(BB:BB,MIN(IF(ISNUMBER(BB192:BB388),ROW(BB192:BB388),"")))</f>
        <v/>
      </c>
      <c r="BD192" s="131" t="str">
        <f t="shared" si="117"/>
        <v>#REF!</v>
      </c>
      <c r="BE192" s="130" t="str">
        <f>BD192*VLOOKUP('Données projet (1)'!$B$11,'Paramètres (1)'!$A$1:$I$88,3,0)*VLOOKUP('Données projet (1)'!$B$11,'Paramètres (1)'!$A$1:$I$88,5,0)</f>
        <v>#REF!</v>
      </c>
      <c r="BF192" s="130" t="str">
        <f t="shared" si="118"/>
        <v>#REF!</v>
      </c>
      <c r="BG192" s="141" t="str">
        <f t="shared" si="29"/>
        <v>#REF!</v>
      </c>
      <c r="BH192" s="133" t="str">
        <f t="shared" si="30"/>
        <v>#REF!</v>
      </c>
      <c r="BI192" s="133" t="str">
        <f t="shared" si="31"/>
        <v>#REF!</v>
      </c>
      <c r="BJ192" s="133" t="str">
        <f t="shared" si="119"/>
        <v>#REF!</v>
      </c>
      <c r="BK192" s="134" t="str">
        <f t="shared" si="32"/>
        <v>#REF!</v>
      </c>
      <c r="BL192" s="134" t="str">
        <f t="shared" si="33"/>
        <v>#REF!</v>
      </c>
      <c r="BM192" s="135" t="str">
        <f>IF(ISNA(VLOOKUP(A192,'Données projet (1)'!$A$87:$I$107,5,0)),0%,VLOOKUP(A192,'Données projet (1)'!$A$87:$I$107,5,0)*VLOOKUP('Données projet (1)'!$B$11,'Paramètres (1)'!$A$1:$I$88,7,0))</f>
        <v>#REF!</v>
      </c>
      <c r="BN192" s="135" t="str">
        <f>IF(ISNA(VLOOKUP(A192,'Données projet (1)'!$A$87:$I$107,6,0)),0%,VLOOKUP(A192,'Données projet (1)'!$A$87:$I$107,6,0)*VLOOKUP('Données projet (1)'!$B$11,'Paramètres (1)'!$A$1:$I$88,7,0))</f>
        <v>#REF!</v>
      </c>
      <c r="BO192" s="135" t="str">
        <f t="shared" si="34"/>
        <v>#REF!</v>
      </c>
      <c r="BP192" s="142" t="str">
        <f>EXP(-LN(2)/35)*BP191+(1-EXP(-LN(2)/35))/(LN(2)/35)*BL192*BM192*VLOOKUP('Données projet (1)'!$B$11,'Paramètres (1)'!$A$1:$I$88,3,0)*0.475*44/12</f>
        <v>#REF!</v>
      </c>
      <c r="BQ192" s="142" t="str">
        <f>EXP(-LN(2)/25)*BQ191+(1-EXP(-LN(2)/25))/(LN(2)/25)*'Calculateur (1)'!BL192*'Calculateur (1)'!BN192*VLOOKUP('Données projet (1)'!$B$11,'Paramètres (1)'!$A$1:$I$88,3,0)*0.475*44/12</f>
        <v>#REF!</v>
      </c>
      <c r="BR192" s="142" t="str">
        <f>EXP(-LN(2)/2)*BR191+(1-EXP(-LN(2)/2))/(LN(2)/2)*BL192*BO192*VLOOKUP('Données projet (1)'!$B$11,'Paramètres (1)'!$A$1:$I$88,3,0)*0.475*44/12</f>
        <v>#REF!</v>
      </c>
      <c r="BS192" s="143" t="str">
        <f t="shared" si="35"/>
        <v>#REF!</v>
      </c>
      <c r="BT192" s="139" t="str">
        <f t="shared" si="36"/>
        <v>#REF!</v>
      </c>
      <c r="BU192" s="131">
        <f t="shared" si="37"/>
        <v>10</v>
      </c>
      <c r="BV192" s="131" t="str">
        <f t="shared" si="120"/>
        <v>#REF!</v>
      </c>
      <c r="BW192" s="131" t="str">
        <f t="shared" si="38"/>
        <v>#REF!</v>
      </c>
      <c r="BX192" s="131" t="str">
        <f t="array" ref="BX192">INDEX(BW:BW,MIN(IF(ISNUMBER(BW192:BW388),ROW(BW192:BW388),"")))</f>
        <v/>
      </c>
      <c r="BY192" s="131" t="str">
        <f t="shared" si="121"/>
        <v>#REF!</v>
      </c>
      <c r="BZ192" s="130" t="str">
        <f>BY192*VLOOKUP('Données projet (1)'!$B$12,'Paramètres (1)'!$A$1:$I$88,3,0)*VLOOKUP('Données projet (1)'!$B$12,'Paramètres (1)'!$A$1:$I$88,5,0)</f>
        <v>#REF!</v>
      </c>
      <c r="CA192" s="130" t="str">
        <f t="shared" si="122"/>
        <v>#REF!</v>
      </c>
      <c r="CB192" s="141" t="str">
        <f t="shared" si="39"/>
        <v>#REF!</v>
      </c>
      <c r="CC192" s="133" t="str">
        <f t="shared" si="40"/>
        <v>#REF!</v>
      </c>
      <c r="CD192" s="133" t="str">
        <f t="shared" si="41"/>
        <v>#REF!</v>
      </c>
      <c r="CE192" s="133" t="str">
        <f t="shared" si="123"/>
        <v>#REF!</v>
      </c>
      <c r="CF192" s="134" t="str">
        <f t="shared" si="42"/>
        <v>#REF!</v>
      </c>
      <c r="CG192" s="134" t="str">
        <f t="shared" si="43"/>
        <v>#REF!</v>
      </c>
      <c r="CH192" s="135" t="str">
        <f>IF(ISNA(VLOOKUP(A192,'Données projet (1)'!$A$113:$I$133,5,0)),0%,VLOOKUP(A192,'Données projet (1)'!$A$113:$I$133,5,0)*VLOOKUP('Données projet (1)'!$B$12,'Paramètres (1)'!$A$1:$I$88,7,0))</f>
        <v>#REF!</v>
      </c>
      <c r="CI192" s="135" t="str">
        <f>IF(ISNA(VLOOKUP(A192,'Données projet (1)'!$A$113:$I$133,6,0)),0%,VLOOKUP(A192,'Données projet (1)'!$A$113:$I$133,6,0)*VLOOKUP('Données projet (1)'!$B$12,'Paramètres (1)'!$A$1:$I$88,7,0))</f>
        <v>#REF!</v>
      </c>
      <c r="CJ192" s="135" t="str">
        <f t="shared" si="44"/>
        <v>#REF!</v>
      </c>
      <c r="CK192" s="142" t="str">
        <f>EXP(-LN(2)/35)*CK191+(1-EXP(-LN(2)/35))/(LN(2)/35)*CG192*CH192*VLOOKUP('Données projet (1)'!$B$12,'Paramètres (1)'!$A$1:$I$88,3,0)*0.475*44/12</f>
        <v>#REF!</v>
      </c>
      <c r="CL192" s="142" t="str">
        <f>EXP(-LN(2)/25)*CL191+(1-EXP(-LN(2)/25))/(LN(2)/25)*'Calculateur (1)'!CG192*'Calculateur (1)'!CI192*VLOOKUP('Données projet (1)'!$B$12,'Paramètres (1)'!$A$1:$I$88,3,0)*0.475*44/12</f>
        <v>#REF!</v>
      </c>
      <c r="CM192" s="142" t="str">
        <f>EXP(-LN(2)/2)*CM191+(1-EXP(-LN(2)/2))/(LN(2)/2)*CG192*CJ192*VLOOKUP('Données projet (1)'!$B$12,'Paramètres (1)'!$A$1:$I$88,3,0)*0.475*44/12</f>
        <v>#REF!</v>
      </c>
      <c r="CN192" s="143" t="str">
        <f t="shared" si="45"/>
        <v>#REF!</v>
      </c>
      <c r="CO192" s="139" t="str">
        <f t="shared" si="46"/>
        <v>#REF!</v>
      </c>
      <c r="CP192" s="131">
        <f t="shared" si="47"/>
        <v>10</v>
      </c>
      <c r="CQ192" s="131" t="str">
        <f t="shared" si="124"/>
        <v>#REF!</v>
      </c>
      <c r="CR192" s="131" t="str">
        <f t="shared" si="48"/>
        <v>#REF!</v>
      </c>
      <c r="CS192" s="131" t="str">
        <f t="array" ref="CS192">INDEX(CR:CR,MIN(IF(ISNUMBER(CR192:CR388),ROW(CR192:CR388),"")))</f>
        <v/>
      </c>
      <c r="CT192" s="131" t="str">
        <f t="shared" si="125"/>
        <v>#REF!</v>
      </c>
      <c r="CU192" s="138" t="str">
        <f>CT192*VLOOKUP('Données projet (1)'!$B$13,'Paramètres (1)'!$A$1:$I$88,3,0)*VLOOKUP('Données projet (1)'!$B$13,'Paramètres (1)'!$A$1:$I$88,5,0)</f>
        <v>#REF!</v>
      </c>
      <c r="CV192" s="130" t="str">
        <f t="shared" si="126"/>
        <v>#REF!</v>
      </c>
      <c r="CW192" s="141" t="str">
        <f t="shared" si="49"/>
        <v>#REF!</v>
      </c>
      <c r="CX192" s="133" t="str">
        <f t="shared" si="50"/>
        <v>#REF!</v>
      </c>
      <c r="CY192" s="133" t="str">
        <f t="shared" si="51"/>
        <v>#REF!</v>
      </c>
      <c r="CZ192" s="133" t="str">
        <f t="shared" si="127"/>
        <v>#REF!</v>
      </c>
      <c r="DA192" s="134" t="str">
        <f t="shared" si="52"/>
        <v>#REF!</v>
      </c>
      <c r="DB192" s="134" t="str">
        <f t="shared" si="53"/>
        <v>#REF!</v>
      </c>
      <c r="DC192" s="135" t="str">
        <f>IF(ISNA(VLOOKUP(A192,'Données projet (1)'!$A$139:$I$159,5,0)),0%,VLOOKUP(A192,'Données projet (1)'!$A$139:$I$159,5,0)*VLOOKUP('Données projet (1)'!$B$13,'Paramètres (1)'!$A$1:$I$88,7,0))</f>
        <v>#REF!</v>
      </c>
      <c r="DD192" s="135" t="str">
        <f>IF(ISNA(VLOOKUP(A192,'Données projet (1)'!$A$139:$I$159,6,0)),0%,VLOOKUP(A192,'Données projet (1)'!$A$139:$I$159,6,0)*VLOOKUP('Données projet (1)'!$B$13,'Paramètres (1)'!$A$1:$I$88,7,0))</f>
        <v>#REF!</v>
      </c>
      <c r="DE192" s="135" t="str">
        <f t="shared" si="54"/>
        <v>#REF!</v>
      </c>
      <c r="DF192" s="142" t="str">
        <f>EXP(-LN(2)/35)*DF191+(1-EXP(-LN(2)/35))/(LN(2)/35)*DB192*DC192*VLOOKUP('Données projet (1)'!$B$13,'Paramètres (1)'!$A$1:$I$88,3,0)*0.475*44/12</f>
        <v>#REF!</v>
      </c>
      <c r="DG192" s="142" t="str">
        <f>EXP(-LN(2)/25)*DG191+(1-EXP(-LN(2)/25))/(LN(2)/25)*'Calculateur (1)'!DB192*'Calculateur (1)'!DD192*VLOOKUP('Données projet (1)'!$B$13,'Paramètres (1)'!$A$1:$I$88,3,0)*0.475*44/12</f>
        <v>#REF!</v>
      </c>
      <c r="DH192" s="142" t="str">
        <f>EXP(-LN(2)/2)*DH191+(1-EXP(-LN(2)/2))/(LN(2)/2)*DB192*DE192*VLOOKUP('Données projet (1)'!$B$13,'Paramètres (1)'!$A$1:$I$88,3,0)*0.475*44/12</f>
        <v>#REF!</v>
      </c>
      <c r="DI192" s="143" t="str">
        <f t="shared" si="55"/>
        <v>#REF!</v>
      </c>
      <c r="DJ192" s="139" t="str">
        <f t="shared" si="56"/>
        <v>#REF!</v>
      </c>
      <c r="DK192" s="131">
        <f t="shared" si="57"/>
        <v>10</v>
      </c>
      <c r="DL192" s="131" t="str">
        <f t="shared" si="128"/>
        <v>#REF!</v>
      </c>
      <c r="DM192" s="131" t="str">
        <f t="shared" si="58"/>
        <v>#REF!</v>
      </c>
      <c r="DN192" s="131" t="str">
        <f t="array" ref="DN192">INDEX(DM:DM,MIN(IF(ISNUMBER(DM192:DM388),ROW(DM192:DM388),"")))</f>
        <v/>
      </c>
      <c r="DO192" s="131" t="str">
        <f t="shared" si="129"/>
        <v>#REF!</v>
      </c>
      <c r="DP192" s="138" t="str">
        <f>DO192*VLOOKUP('Données projet (1)'!$B$14,'Paramètres (1)'!$A$1:$I$88,3,0)*VLOOKUP('Données projet (1)'!$B$14,'Paramètres (1)'!$A$1:$I$88,5,0)</f>
        <v>#REF!</v>
      </c>
      <c r="DQ192" s="130" t="str">
        <f t="shared" si="130"/>
        <v>#REF!</v>
      </c>
      <c r="DR192" s="141" t="str">
        <f t="shared" si="59"/>
        <v>#REF!</v>
      </c>
      <c r="DS192" s="133" t="str">
        <f t="shared" si="60"/>
        <v>#REF!</v>
      </c>
      <c r="DT192" s="133" t="str">
        <f t="shared" si="61"/>
        <v>#REF!</v>
      </c>
      <c r="DU192" s="133" t="str">
        <f t="shared" si="131"/>
        <v>#REF!</v>
      </c>
      <c r="DV192" s="134" t="str">
        <f t="shared" si="62"/>
        <v>#REF!</v>
      </c>
      <c r="DW192" s="134" t="str">
        <f t="shared" si="63"/>
        <v>#REF!</v>
      </c>
      <c r="DX192" s="135" t="str">
        <f>IF(ISNA(VLOOKUP(A192,'Données projet (1)'!$A$165:$I$185,5,0)),0%,VLOOKUP(A192,'Données projet (1)'!$A$165:$I$185,5,0)*VLOOKUP('Données projet (1)'!$B$14,'Paramètres (1)'!$A$1:$I$88,7,0))</f>
        <v>#REF!</v>
      </c>
      <c r="DY192" s="135" t="str">
        <f>IF(ISNA(VLOOKUP(A192,'Données projet (1)'!$A$165:$I$185,6,0)),0%,VLOOKUP(A192,'Données projet (1)'!$A$165:$I$185,6,0)*VLOOKUP('Données projet (1)'!$B$14,'Paramètres (1)'!$A$1:$I$88,7,0))</f>
        <v>#REF!</v>
      </c>
      <c r="DZ192" s="135" t="str">
        <f t="shared" si="64"/>
        <v>#REF!</v>
      </c>
      <c r="EA192" s="142" t="str">
        <f>EXP(-LN(2)/35)*EA191+(1-EXP(-LN(2)/35))/(LN(2)/35)*DW192*DX192*VLOOKUP('Données projet (1)'!$B$14,'Paramètres (1)'!$A$1:$I$88,3,0)*0.475*44/12</f>
        <v>#REF!</v>
      </c>
      <c r="EB192" s="142" t="str">
        <f>EXP(-LN(2)/25)*EB191+(1-EXP(-LN(2)/25))/(LN(2)/25)*'Calculateur (1)'!DW192*'Calculateur (1)'!DY192*VLOOKUP('Données projet (1)'!$B$14,'Paramètres (1)'!$A$1:$I$88,3,0)*0.475*44/12</f>
        <v>#REF!</v>
      </c>
      <c r="EC192" s="142" t="str">
        <f>EXP(-LN(2)/2)*EC191+(1-EXP(-LN(2)/2))/(LN(2)/2)*DW192*DZ192*VLOOKUP('Données projet (1)'!$B$14,'Paramètres (1)'!$A$1:$I$88,3,0)*0.475*44/12</f>
        <v>#REF!</v>
      </c>
      <c r="ED192" s="143" t="str">
        <f t="shared" si="65"/>
        <v>#REF!</v>
      </c>
      <c r="EE192" s="139" t="str">
        <f t="shared" si="66"/>
        <v>#REF!</v>
      </c>
      <c r="EF192" s="131">
        <f t="shared" si="67"/>
        <v>10</v>
      </c>
      <c r="EG192" s="131" t="str">
        <f t="shared" si="132"/>
        <v>#REF!</v>
      </c>
      <c r="EH192" s="131" t="str">
        <f t="shared" si="68"/>
        <v>#REF!</v>
      </c>
      <c r="EI192" s="131" t="str">
        <f t="array" ref="EI192">INDEX(EH:EH,MIN(IF(ISNUMBER(EH192:EH388),ROW(EH192:EH388),"")))</f>
        <v/>
      </c>
      <c r="EJ192" s="131" t="str">
        <f t="shared" si="133"/>
        <v>#REF!</v>
      </c>
      <c r="EK192" s="138" t="str">
        <f>EJ192*VLOOKUP('Données projet (1)'!$B$15,'Paramètres (1)'!$A$1:$I$88,3,0)*VLOOKUP('Données projet (1)'!$B$15,'Paramètres (1)'!$A$1:$I$88,5,0)</f>
        <v>#REF!</v>
      </c>
      <c r="EL192" s="130" t="str">
        <f t="shared" si="134"/>
        <v>#REF!</v>
      </c>
      <c r="EM192" s="141" t="str">
        <f t="shared" si="69"/>
        <v>#REF!</v>
      </c>
      <c r="EN192" s="133" t="str">
        <f t="shared" si="70"/>
        <v>#REF!</v>
      </c>
      <c r="EO192" s="133" t="str">
        <f t="shared" si="71"/>
        <v>#REF!</v>
      </c>
      <c r="EP192" s="133" t="str">
        <f t="shared" si="135"/>
        <v>#REF!</v>
      </c>
      <c r="EQ192" s="134" t="str">
        <f t="shared" si="72"/>
        <v>#REF!</v>
      </c>
      <c r="ER192" s="134" t="str">
        <f t="shared" si="73"/>
        <v>#REF!</v>
      </c>
      <c r="ES192" s="135" t="str">
        <f>IF(ISNA(VLOOKUP(A192,'Données projet (1)'!$A$191:$I$211,5,0)),0%,VLOOKUP(A192,'Données projet (1)'!$A$191:$I$211,5,0)*VLOOKUP('Données projet (1)'!$B$15,'Paramètres (1)'!$A$1:$I$88,7,0))</f>
        <v>#REF!</v>
      </c>
      <c r="ET192" s="135" t="str">
        <f>IF(ISNA(VLOOKUP(A192,'Données projet (1)'!$A$191:$I$211,6,0)),0%,VLOOKUP(A192,'Données projet (1)'!$A$191:$I$211,6,0)*VLOOKUP('Données projet (1)'!$B$15,'Paramètres (1)'!$A$1:$I$88,7,0))</f>
        <v>#REF!</v>
      </c>
      <c r="EU192" s="135" t="str">
        <f t="shared" si="74"/>
        <v>#REF!</v>
      </c>
      <c r="EV192" s="142" t="str">
        <f>EXP(-LN(2)/35)*EV191+(1-EXP(-LN(2)/35))/(LN(2)/35)*ER192*ES192*VLOOKUP('Données projet (1)'!$B$15,'Paramètres (1)'!$A$1:$I$88,3,0)*0.475*44/12</f>
        <v>#REF!</v>
      </c>
      <c r="EW192" s="142" t="str">
        <f>EXP(-LN(2)/25)*EW191+(1-EXP(-LN(2)/25))/(LN(2)/25)*'Calculateur (1)'!ER192*'Calculateur (1)'!ET192*VLOOKUP('Données projet (1)'!$B$15,'Paramètres (1)'!$A$1:$I$88,3,0)*0.475*44/12</f>
        <v>#REF!</v>
      </c>
      <c r="EX192" s="142" t="str">
        <f>EXP(-LN(2)/2)*EX191+(1-EXP(-LN(2)/2))/(LN(2)/2)*ER192*EU192*VLOOKUP('Données projet (1)'!$B$15,'Paramètres (1)'!$A$1:$I$88,3,0)*0.475*44/12</f>
        <v>#REF!</v>
      </c>
      <c r="EY192" s="143" t="str">
        <f t="shared" si="75"/>
        <v>#REF!</v>
      </c>
      <c r="EZ192" s="139" t="str">
        <f t="shared" si="76"/>
        <v>#REF!</v>
      </c>
      <c r="FA192" s="131">
        <f t="shared" si="77"/>
        <v>10</v>
      </c>
      <c r="FB192" s="131" t="str">
        <f t="shared" si="136"/>
        <v>#REF!</v>
      </c>
      <c r="FC192" s="131" t="str">
        <f t="shared" si="78"/>
        <v>#REF!</v>
      </c>
      <c r="FD192" s="131" t="str">
        <f t="array" ref="FD192">INDEX(FC:FC,MIN(IF(ISNUMBER(FC192:FC388),ROW(FC192:FC388),"")))</f>
        <v/>
      </c>
      <c r="FE192" s="131" t="str">
        <f t="shared" si="137"/>
        <v>#REF!</v>
      </c>
      <c r="FF192" s="138" t="str">
        <f>FE192*VLOOKUP('Données projet (1)'!$B$16,'Paramètres (1)'!$A$1:$I$88,3,0)*VLOOKUP('Données projet (1)'!$B$16,'Paramètres (1)'!$A$1:$I$88,5,0)</f>
        <v>#REF!</v>
      </c>
      <c r="FG192" s="130" t="str">
        <f t="shared" si="138"/>
        <v>#REF!</v>
      </c>
      <c r="FH192" s="141" t="str">
        <f t="shared" si="79"/>
        <v>#REF!</v>
      </c>
      <c r="FI192" s="133" t="str">
        <f t="shared" si="80"/>
        <v>#REF!</v>
      </c>
      <c r="FJ192" s="133" t="str">
        <f t="shared" si="81"/>
        <v>#REF!</v>
      </c>
      <c r="FK192" s="133" t="str">
        <f t="shared" si="139"/>
        <v>#REF!</v>
      </c>
      <c r="FL192" s="134" t="str">
        <f t="shared" si="82"/>
        <v>#REF!</v>
      </c>
      <c r="FM192" s="134" t="str">
        <f t="shared" si="83"/>
        <v>#REF!</v>
      </c>
      <c r="FN192" s="135" t="str">
        <f>IF(ISNA(VLOOKUP(A192,'Données projet (1)'!$A$217:$I$237,5,0)),0%,VLOOKUP(A192,'Données projet (1)'!$A$217:$I$237,5,0)*VLOOKUP('Données projet (1)'!$B$16,'Paramètres (1)'!$A$1:$I$88,7,0))</f>
        <v>#REF!</v>
      </c>
      <c r="FO192" s="135" t="str">
        <f>IF(ISNA(VLOOKUP(A192,'Données projet (1)'!$A$217:$I$237,6,0)),0%,VLOOKUP(A192,'Données projet (1)'!$A$217:$I$237,6,0)*VLOOKUP('Données projet (1)'!$B$16,'Paramètres (1)'!$A$1:$I$88,7,0))</f>
        <v>#REF!</v>
      </c>
      <c r="FP192" s="135" t="str">
        <f t="shared" si="84"/>
        <v>#REF!</v>
      </c>
      <c r="FQ192" s="142" t="str">
        <f>EXP(-LN(2)/35)*FQ191+(1-EXP(-LN(2)/35))/(LN(2)/35)*FM192*FN192*VLOOKUP('Données projet (1)'!$B$16,'Paramètres (1)'!$A$1:$I$88,3,0)*0.475*44/12</f>
        <v>#REF!</v>
      </c>
      <c r="FR192" s="142" t="str">
        <f>EXP(-LN(2)/25)*FR191+(1-EXP(-LN(2)/25))/(LN(2)/25)*'Calculateur (1)'!FM192*'Calculateur (1)'!FO192*VLOOKUP('Données projet (1)'!$B$16,'Paramètres (1)'!$A$1:$I$88,3,0)*0.475*44/12</f>
        <v>#REF!</v>
      </c>
      <c r="FS192" s="142" t="str">
        <f>EXP(-LN(2)/2)*FS191+(1-EXP(-LN(2)/2))/(LN(2)/2)*FM192*FP192*VLOOKUP('Données projet (1)'!$B$16,'Paramètres (1)'!$A$1:$I$88,3,0)*0.475*44/12</f>
        <v>#REF!</v>
      </c>
      <c r="FT192" s="143" t="str">
        <f t="shared" si="85"/>
        <v>#REF!</v>
      </c>
      <c r="FU192" s="139" t="str">
        <f t="shared" si="86"/>
        <v>#REF!</v>
      </c>
      <c r="FV192" s="131">
        <f t="shared" si="87"/>
        <v>10</v>
      </c>
      <c r="FW192" s="131" t="str">
        <f t="shared" si="140"/>
        <v>#REF!</v>
      </c>
      <c r="FX192" s="131" t="str">
        <f t="shared" si="88"/>
        <v>#REF!</v>
      </c>
      <c r="FY192" s="131" t="str">
        <f t="array" ref="FY192">INDEX(FX:FX,MIN(IF(ISNUMBER(FX192:FX388),ROW(FX192:FX388),"")))</f>
        <v/>
      </c>
      <c r="FZ192" s="131" t="str">
        <f t="shared" si="141"/>
        <v>#REF!</v>
      </c>
      <c r="GA192" s="138" t="str">
        <f>FZ192*VLOOKUP('Données projet (1)'!$B$17,'Paramètres (1)'!$A$1:$I$88,3,0)*VLOOKUP('Données projet (1)'!$B$17,'Paramètres (1)'!$A$1:$I$88,5,0)</f>
        <v>#REF!</v>
      </c>
      <c r="GB192" s="130" t="str">
        <f t="shared" si="142"/>
        <v>#REF!</v>
      </c>
      <c r="GC192" s="141" t="str">
        <f t="shared" si="89"/>
        <v>#REF!</v>
      </c>
      <c r="GD192" s="133" t="str">
        <f t="shared" si="90"/>
        <v>#REF!</v>
      </c>
      <c r="GE192" s="133" t="str">
        <f t="shared" si="91"/>
        <v>#REF!</v>
      </c>
      <c r="GF192" s="133" t="str">
        <f t="shared" si="143"/>
        <v>#REF!</v>
      </c>
      <c r="GG192" s="134" t="str">
        <f t="shared" si="92"/>
        <v>#REF!</v>
      </c>
      <c r="GH192" s="134" t="str">
        <f t="shared" si="93"/>
        <v>#REF!</v>
      </c>
      <c r="GI192" s="135" t="str">
        <f>IF(ISNA(VLOOKUP(A192,'Données projet (1)'!$A$243:$I$263,5,0)),0%,VLOOKUP(A192,'Données projet (1)'!$A$243:$I$263,5,0)*VLOOKUP('Données projet (1)'!$B$17,'Paramètres (1)'!$A$1:$I$88,7,0))</f>
        <v>#REF!</v>
      </c>
      <c r="GJ192" s="135" t="str">
        <f>IF(ISNA(VLOOKUP(A192,'Données projet (1)'!$A$243:$I$263,6,0)),0%,VLOOKUP(A192,'Données projet (1)'!$A$243:$I$263,6,0)*VLOOKUP('Données projet (1)'!$B$17,'Paramètres (1)'!$A$1:$I$88,7,0))</f>
        <v>#REF!</v>
      </c>
      <c r="GK192" s="135" t="str">
        <f t="shared" si="94"/>
        <v>#REF!</v>
      </c>
      <c r="GL192" s="142" t="str">
        <f>EXP(-LN(2)/35)*GL191+(1-EXP(-LN(2)/35))/(LN(2)/35)*GH192*GI192*VLOOKUP('Données projet (1)'!$B$17,'Paramètres (1)'!$A$1:$I$88,3,0)*0.475*44/12</f>
        <v>#REF!</v>
      </c>
      <c r="GM192" s="142" t="str">
        <f>EXP(-LN(2)/25)*GM191+(1-EXP(-LN(2)/25))/(LN(2)/25)*'Calculateur (1)'!GH192*'Calculateur (1)'!GJ192*VLOOKUP('Données projet (1)'!$B$17,'Paramètres (1)'!$A$1:$I$88,3,0)*0.475*44/12</f>
        <v>#REF!</v>
      </c>
      <c r="GN192" s="142" t="str">
        <f>EXP(-LN(2)/2)*GN191+(1-EXP(-LN(2)/2))/(LN(2)/2)*GH192*GK192*VLOOKUP('Données projet (1)'!$B$17,'Paramètres (1)'!$A$1:$I$88,3,0)*0.475*44/12</f>
        <v>#REF!</v>
      </c>
      <c r="GO192" s="142" t="str">
        <f t="shared" si="95"/>
        <v>#REF!</v>
      </c>
      <c r="GP192" s="139" t="str">
        <f t="shared" si="96"/>
        <v>#REF!</v>
      </c>
      <c r="GQ192" s="131">
        <f t="shared" si="97"/>
        <v>10</v>
      </c>
      <c r="GR192" s="131" t="str">
        <f t="shared" si="144"/>
        <v>#REF!</v>
      </c>
      <c r="GS192" s="131" t="str">
        <f t="shared" si="98"/>
        <v>#REF!</v>
      </c>
      <c r="GT192" s="131" t="str">
        <f t="array" ref="GT192">INDEX(GS:GS,MIN(IF(ISNUMBER(GS192:GS388),ROW(GS192:GS388),"")))</f>
        <v/>
      </c>
      <c r="GU192" s="131" t="str">
        <f t="shared" si="145"/>
        <v>#REF!</v>
      </c>
      <c r="GV192" s="138" t="str">
        <f>GU192*VLOOKUP('Données projet (1)'!$B$18,'Paramètres (1)'!$A$1:$I$88,3,0)*VLOOKUP('Données projet (1)'!$B$18,'Paramètres (1)'!$A$1:$I$88,5,0)</f>
        <v>#REF!</v>
      </c>
      <c r="GW192" s="130" t="str">
        <f t="shared" si="146"/>
        <v>#REF!</v>
      </c>
      <c r="GX192" s="141" t="str">
        <f t="shared" si="99"/>
        <v>#REF!</v>
      </c>
      <c r="GY192" s="133" t="str">
        <f t="shared" si="100"/>
        <v>#REF!</v>
      </c>
      <c r="GZ192" s="133" t="str">
        <f t="shared" si="101"/>
        <v>#REF!</v>
      </c>
      <c r="HA192" s="133" t="str">
        <f t="shared" si="147"/>
        <v>#REF!</v>
      </c>
      <c r="HB192" s="134" t="str">
        <f t="shared" si="102"/>
        <v>#REF!</v>
      </c>
      <c r="HC192" s="134" t="str">
        <f t="shared" si="103"/>
        <v>#REF!</v>
      </c>
      <c r="HD192" s="135" t="str">
        <f>IF(ISNA(VLOOKUP(A192,'Données projet (1)'!$A$269:$I$289,5,0)),0%,VLOOKUP(A192,'Données projet (1)'!$A$269:$I$289,5,0)*VLOOKUP('Données projet (1)'!$B$18,'Paramètres (1)'!$A$1:$I$88,7,0))</f>
        <v>#REF!</v>
      </c>
      <c r="HE192" s="135" t="str">
        <f>IF(ISNA(VLOOKUP(A192,'Données projet (1)'!$A$269:$I$289,6,0)),0%,VLOOKUP(A192,'Données projet (1)'!$A$269:$I$289,6,0)*VLOOKUP('Données projet (1)'!$B$18,'Paramètres (1)'!$A$1:$I$88,7,0))</f>
        <v>#REF!</v>
      </c>
      <c r="HF192" s="135" t="str">
        <f t="shared" si="104"/>
        <v>#REF!</v>
      </c>
      <c r="HG192" s="142" t="str">
        <f>EXP(-LN(2)/35)*HG191+(1-EXP(-LN(2)/35))/(LN(2)/35)*HC192*HD192*VLOOKUP('Données projet (1)'!$B$18,'Paramètres (1)'!$A$1:$I$88,3,0)*0.475*44/12</f>
        <v>#REF!</v>
      </c>
      <c r="HH192" s="142" t="str">
        <f>EXP(-LN(2)/25)*HH191+(1-EXP(-LN(2)/25))/(LN(2)/25)*'Calculateur (1)'!HC192*'Calculateur (1)'!HE192*VLOOKUP('Données projet (1)'!$B$18,'Paramètres (1)'!$A$1:$I$88,3,0)*0.475*44/12</f>
        <v>#REF!</v>
      </c>
      <c r="HI192" s="142" t="str">
        <f>EXP(-LN(2)/2)*HI191+(1-EXP(-LN(2)/2))/(LN(2)/2)*HC192*HF192*VLOOKUP('Données projet (1)'!$B$18,'Paramètres (1)'!$A$1:$I$88,3,0)*0.475*44/12</f>
        <v>#REF!</v>
      </c>
      <c r="HJ192" s="143" t="str">
        <f t="shared" si="105"/>
        <v>#REF!</v>
      </c>
    </row>
    <row r="193" ht="14.25" customHeight="1">
      <c r="A193" s="125">
        <f t="shared" si="106"/>
        <v>190</v>
      </c>
      <c r="B193" s="126" t="str">
        <f t="shared" si="1"/>
        <v>#REF!</v>
      </c>
      <c r="C193" s="140" t="str">
        <f>'Calculateur (1)'!C192+'Scénario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3" s="127">
        <f t="shared" si="107"/>
        <v>0</v>
      </c>
      <c r="E193" s="127" t="str">
        <f t="shared" si="2"/>
        <v>#REF!</v>
      </c>
      <c r="F193" s="127" t="str">
        <f t="shared" si="3"/>
        <v>#REF!</v>
      </c>
      <c r="G193" s="127" t="str">
        <f t="shared" si="4"/>
        <v>#REF!</v>
      </c>
      <c r="H193" s="128" t="str">
        <f t="shared" si="5"/>
        <v>#REF!</v>
      </c>
      <c r="I193" s="129" t="str">
        <f t="shared" si="6"/>
        <v>#REF!</v>
      </c>
      <c r="J193" s="130">
        <f t="shared" si="7"/>
        <v>10</v>
      </c>
      <c r="K193" s="131" t="str">
        <f t="shared" si="108"/>
        <v>#REF!</v>
      </c>
      <c r="L193" s="131" t="str">
        <f t="shared" si="8"/>
        <v>#REF!</v>
      </c>
      <c r="M193" s="131" t="str">
        <f t="array" ref="M193">INDEX(L:L,MIN(IF(ISNUMBER(L193:L389),ROW(L193:L389),"")))</f>
        <v/>
      </c>
      <c r="N193" s="130" t="str">
        <f t="shared" si="109"/>
        <v>#REF!</v>
      </c>
      <c r="O193" s="130" t="str">
        <f>N193*VLOOKUP('Données projet (1)'!$B$9,'Paramètres (1)'!$A$1:$I$88,3,0)*VLOOKUP('Données projet (1)'!$B$9,'Paramètres (1)'!$A$1:$I$88,5,0)</f>
        <v>#REF!</v>
      </c>
      <c r="P193" s="130" t="str">
        <f t="shared" si="110"/>
        <v>#REF!</v>
      </c>
      <c r="Q193" s="141" t="str">
        <f t="shared" si="9"/>
        <v>#REF!</v>
      </c>
      <c r="R193" s="133" t="str">
        <f t="shared" si="10"/>
        <v>#REF!</v>
      </c>
      <c r="S193" s="133" t="str">
        <f t="shared" si="11"/>
        <v>#REF!</v>
      </c>
      <c r="T193" s="133" t="str">
        <f t="shared" si="111"/>
        <v>#REF!</v>
      </c>
      <c r="U193" s="134" t="str">
        <f t="shared" si="12"/>
        <v>#REF!</v>
      </c>
      <c r="V193" s="134" t="str">
        <f t="shared" si="13"/>
        <v>#REF!</v>
      </c>
      <c r="W193" s="135" t="str">
        <f>IF(ISNA(VLOOKUP(A193,'Données projet (1)'!$A$35:$I$55,5,0)),0%,VLOOKUP(A193,'Données projet (1)'!$A$35:$I$55,5,0)*VLOOKUP('Données projet (1)'!$B$9,'Paramètres (1)'!$A$1:$I$88,7,0))</f>
        <v>#REF!</v>
      </c>
      <c r="X193" s="135" t="str">
        <f>IF(ISNA(VLOOKUP(A193,'Données projet (1)'!$A$35:$I$55,6,0)),0%,VLOOKUP(A193,'Données projet (1)'!$A$35:$I$55,6,0)*VLOOKUP('Données projet (1)'!$B$9,'Paramètres (1)'!$A$1:$I$88,7,0))</f>
        <v>#REF!</v>
      </c>
      <c r="Y193" s="135" t="str">
        <f t="shared" si="14"/>
        <v>#REF!</v>
      </c>
      <c r="Z193" s="142" t="str">
        <f>EXP(-LN(2)/35)*Z192+(1-EXP(-LN(2)/35))/(LN(2)/35)*V193*W193*VLOOKUP('Données projet (1)'!$B$9,'Paramètres (1)'!$A$1:$I$88,3,0)*0.475*44/12</f>
        <v>#REF!</v>
      </c>
      <c r="AA193" s="142" t="str">
        <f>EXP(-LN(2)/25)*AA192+(1-EXP(-LN(2)/25))/(LN(2)/25)*'Calculateur (1)'!V193*'Calculateur (1)'!X193*VLOOKUP('Données projet (1)'!$B$9,'Paramètres (1)'!$A$1:$I$88,3,0)*0.475*44/12</f>
        <v>#REF!</v>
      </c>
      <c r="AB193" s="142" t="str">
        <f>EXP(-LN(2)/2)*AB192+(1-EXP(-LN(2)/2))/(LN(2)/2)*V193*Y193*VLOOKUP('Données projet (1)'!$B$9,'Paramètres (1)'!$A$1:$I$88,3,0)*0.475*44/12</f>
        <v>#REF!</v>
      </c>
      <c r="AC193" s="143" t="str">
        <f t="shared" si="15"/>
        <v>#REF!</v>
      </c>
      <c r="AD193" s="130" t="str">
        <f t="shared" si="16"/>
        <v>#REF!</v>
      </c>
      <c r="AE193" s="130">
        <f t="shared" si="17"/>
        <v>10</v>
      </c>
      <c r="AF193" s="131" t="str">
        <f t="shared" si="112"/>
        <v>#REF!</v>
      </c>
      <c r="AG193" s="131" t="str">
        <f t="shared" si="18"/>
        <v>#REF!</v>
      </c>
      <c r="AH193" s="131" t="str">
        <f t="array" ref="AH193">INDEX(AG:AG,MIN(IF(ISNUMBER(AG193:AG389),ROW(AG193:AG389),"")))</f>
        <v/>
      </c>
      <c r="AI193" s="130" t="str">
        <f t="shared" si="113"/>
        <v>#REF!</v>
      </c>
      <c r="AJ193" s="130" t="str">
        <f>AI193*VLOOKUP('Données projet (1)'!$B$10,'Paramètres (1)'!$A$1:$I$88,3,0)*VLOOKUP('Données projet (1)'!$B$10,'Paramètres (1)'!$A$1:$I$88,5,0)</f>
        <v>#REF!</v>
      </c>
      <c r="AK193" s="130" t="str">
        <f t="shared" si="114"/>
        <v>#REF!</v>
      </c>
      <c r="AL193" s="141" t="str">
        <f t="shared" si="19"/>
        <v>#REF!</v>
      </c>
      <c r="AM193" s="133" t="str">
        <f t="shared" si="20"/>
        <v>#REF!</v>
      </c>
      <c r="AN193" s="133" t="str">
        <f t="shared" si="21"/>
        <v>#REF!</v>
      </c>
      <c r="AO193" s="133" t="str">
        <f t="shared" si="115"/>
        <v>#REF!</v>
      </c>
      <c r="AP193" s="134" t="str">
        <f t="shared" si="22"/>
        <v>#REF!</v>
      </c>
      <c r="AQ193" s="134" t="str">
        <f t="shared" si="23"/>
        <v>#REF!</v>
      </c>
      <c r="AR193" s="135" t="str">
        <f>IF(ISNA(VLOOKUP(A193,'Données projet (1)'!$A$61:$I$81,5,0)),0%,VLOOKUP(A193,'Données projet (1)'!$A$61:$I$81,5,0)*VLOOKUP('Données projet (1)'!$B$10,'Paramètres (1)'!$A$1:$I$88,7,0))</f>
        <v>#REF!</v>
      </c>
      <c r="AS193" s="135" t="str">
        <f>IF(ISNA(VLOOKUP(A193,'Données projet (1)'!$A$61:$I$81,6,0)),0%,VLOOKUP(A193,'Données projet (1)'!$A$61:$I$81,6,0)*VLOOKUP('Données projet (1)'!$B$10,'Paramètres (1)'!$A$1:$I$88,7,0))</f>
        <v>#REF!</v>
      </c>
      <c r="AT193" s="135" t="str">
        <f t="shared" si="24"/>
        <v>#REF!</v>
      </c>
      <c r="AU193" s="142" t="str">
        <f>EXP(-LN(2)/35)*AU192+(1-EXP(-LN(2)/35))/(LN(2)/35)*AQ193*AR193*VLOOKUP('Données projet (1)'!$B$10,'Paramètres (1)'!$A$1:$I$88,3,0)*0.475*44/12</f>
        <v>#REF!</v>
      </c>
      <c r="AV193" s="142" t="str">
        <f>EXP(-LN(2)/25)*AV192+(1-EXP(-LN(2)/25))/(LN(2)/25)*'Calculateur (1)'!AQ193*'Calculateur (1)'!AS193*VLOOKUP('Données projet (1)'!$B$10,'Paramètres (1)'!$A$1:$I$88,3,0)*0.475*44/12</f>
        <v>#REF!</v>
      </c>
      <c r="AW193" s="142" t="str">
        <f>EXP(-LN(2)/2)*AW192+(1-EXP(-LN(2)/2))/(LN(2)/2)*AQ193*AT193*VLOOKUP('Données projet (1)'!$B$10,'Paramètres (1)'!$A$1:$I$88,3,0)*0.475*44/12</f>
        <v>#REF!</v>
      </c>
      <c r="AX193" s="142" t="str">
        <f t="shared" si="25"/>
        <v>#REF!</v>
      </c>
      <c r="AY193" s="137" t="str">
        <f t="shared" si="26"/>
        <v>#REF!</v>
      </c>
      <c r="AZ193" s="131">
        <f t="shared" si="27"/>
        <v>10</v>
      </c>
      <c r="BA193" s="131" t="str">
        <f t="shared" si="116"/>
        <v>#REF!</v>
      </c>
      <c r="BB193" s="131" t="str">
        <f t="shared" si="28"/>
        <v>#REF!</v>
      </c>
      <c r="BC193" s="131" t="str">
        <f t="array" ref="BC193">INDEX(BB:BB,MIN(IF(ISNUMBER(BB193:BB389),ROW(BB193:BB389),"")))</f>
        <v/>
      </c>
      <c r="BD193" s="131" t="str">
        <f t="shared" si="117"/>
        <v>#REF!</v>
      </c>
      <c r="BE193" s="130" t="str">
        <f>BD193*VLOOKUP('Données projet (1)'!$B$11,'Paramètres (1)'!$A$1:$I$88,3,0)*VLOOKUP('Données projet (1)'!$B$11,'Paramètres (1)'!$A$1:$I$88,5,0)</f>
        <v>#REF!</v>
      </c>
      <c r="BF193" s="130" t="str">
        <f t="shared" si="118"/>
        <v>#REF!</v>
      </c>
      <c r="BG193" s="141" t="str">
        <f t="shared" si="29"/>
        <v>#REF!</v>
      </c>
      <c r="BH193" s="133" t="str">
        <f t="shared" si="30"/>
        <v>#REF!</v>
      </c>
      <c r="BI193" s="133" t="str">
        <f t="shared" si="31"/>
        <v>#REF!</v>
      </c>
      <c r="BJ193" s="133" t="str">
        <f t="shared" si="119"/>
        <v>#REF!</v>
      </c>
      <c r="BK193" s="134" t="str">
        <f t="shared" si="32"/>
        <v>#REF!</v>
      </c>
      <c r="BL193" s="134" t="str">
        <f t="shared" si="33"/>
        <v>#REF!</v>
      </c>
      <c r="BM193" s="135" t="str">
        <f>IF(ISNA(VLOOKUP(A193,'Données projet (1)'!$A$87:$I$107,5,0)),0%,VLOOKUP(A193,'Données projet (1)'!$A$87:$I$107,5,0)*VLOOKUP('Données projet (1)'!$B$11,'Paramètres (1)'!$A$1:$I$88,7,0))</f>
        <v>#REF!</v>
      </c>
      <c r="BN193" s="135" t="str">
        <f>IF(ISNA(VLOOKUP(A193,'Données projet (1)'!$A$87:$I$107,6,0)),0%,VLOOKUP(A193,'Données projet (1)'!$A$87:$I$107,6,0)*VLOOKUP('Données projet (1)'!$B$11,'Paramètres (1)'!$A$1:$I$88,7,0))</f>
        <v>#REF!</v>
      </c>
      <c r="BO193" s="135" t="str">
        <f t="shared" si="34"/>
        <v>#REF!</v>
      </c>
      <c r="BP193" s="142" t="str">
        <f>EXP(-LN(2)/35)*BP192+(1-EXP(-LN(2)/35))/(LN(2)/35)*BL193*BM193*VLOOKUP('Données projet (1)'!$B$11,'Paramètres (1)'!$A$1:$I$88,3,0)*0.475*44/12</f>
        <v>#REF!</v>
      </c>
      <c r="BQ193" s="142" t="str">
        <f>EXP(-LN(2)/25)*BQ192+(1-EXP(-LN(2)/25))/(LN(2)/25)*'Calculateur (1)'!BL193*'Calculateur (1)'!BN193*VLOOKUP('Données projet (1)'!$B$11,'Paramètres (1)'!$A$1:$I$88,3,0)*0.475*44/12</f>
        <v>#REF!</v>
      </c>
      <c r="BR193" s="142" t="str">
        <f>EXP(-LN(2)/2)*BR192+(1-EXP(-LN(2)/2))/(LN(2)/2)*BL193*BO193*VLOOKUP('Données projet (1)'!$B$11,'Paramètres (1)'!$A$1:$I$88,3,0)*0.475*44/12</f>
        <v>#REF!</v>
      </c>
      <c r="BS193" s="143" t="str">
        <f t="shared" si="35"/>
        <v>#REF!</v>
      </c>
      <c r="BT193" s="139" t="str">
        <f t="shared" si="36"/>
        <v>#REF!</v>
      </c>
      <c r="BU193" s="131">
        <f t="shared" si="37"/>
        <v>10</v>
      </c>
      <c r="BV193" s="131" t="str">
        <f t="shared" si="120"/>
        <v>#REF!</v>
      </c>
      <c r="BW193" s="131" t="str">
        <f t="shared" si="38"/>
        <v>#REF!</v>
      </c>
      <c r="BX193" s="131" t="str">
        <f t="array" ref="BX193">INDEX(BW:BW,MIN(IF(ISNUMBER(BW193:BW389),ROW(BW193:BW389),"")))</f>
        <v/>
      </c>
      <c r="BY193" s="131" t="str">
        <f t="shared" si="121"/>
        <v>#REF!</v>
      </c>
      <c r="BZ193" s="130" t="str">
        <f>BY193*VLOOKUP('Données projet (1)'!$B$12,'Paramètres (1)'!$A$1:$I$88,3,0)*VLOOKUP('Données projet (1)'!$B$12,'Paramètres (1)'!$A$1:$I$88,5,0)</f>
        <v>#REF!</v>
      </c>
      <c r="CA193" s="130" t="str">
        <f t="shared" si="122"/>
        <v>#REF!</v>
      </c>
      <c r="CB193" s="141" t="str">
        <f t="shared" si="39"/>
        <v>#REF!</v>
      </c>
      <c r="CC193" s="133" t="str">
        <f t="shared" si="40"/>
        <v>#REF!</v>
      </c>
      <c r="CD193" s="133" t="str">
        <f t="shared" si="41"/>
        <v>#REF!</v>
      </c>
      <c r="CE193" s="133" t="str">
        <f t="shared" si="123"/>
        <v>#REF!</v>
      </c>
      <c r="CF193" s="134" t="str">
        <f t="shared" si="42"/>
        <v>#REF!</v>
      </c>
      <c r="CG193" s="134" t="str">
        <f t="shared" si="43"/>
        <v>#REF!</v>
      </c>
      <c r="CH193" s="135" t="str">
        <f>IF(ISNA(VLOOKUP(A193,'Données projet (1)'!$A$113:$I$133,5,0)),0%,VLOOKUP(A193,'Données projet (1)'!$A$113:$I$133,5,0)*VLOOKUP('Données projet (1)'!$B$12,'Paramètres (1)'!$A$1:$I$88,7,0))</f>
        <v>#REF!</v>
      </c>
      <c r="CI193" s="135" t="str">
        <f>IF(ISNA(VLOOKUP(A193,'Données projet (1)'!$A$113:$I$133,6,0)),0%,VLOOKUP(A193,'Données projet (1)'!$A$113:$I$133,6,0)*VLOOKUP('Données projet (1)'!$B$12,'Paramètres (1)'!$A$1:$I$88,7,0))</f>
        <v>#REF!</v>
      </c>
      <c r="CJ193" s="135" t="str">
        <f t="shared" si="44"/>
        <v>#REF!</v>
      </c>
      <c r="CK193" s="142" t="str">
        <f>EXP(-LN(2)/35)*CK192+(1-EXP(-LN(2)/35))/(LN(2)/35)*CG193*CH193*VLOOKUP('Données projet (1)'!$B$12,'Paramètres (1)'!$A$1:$I$88,3,0)*0.475*44/12</f>
        <v>#REF!</v>
      </c>
      <c r="CL193" s="142" t="str">
        <f>EXP(-LN(2)/25)*CL192+(1-EXP(-LN(2)/25))/(LN(2)/25)*'Calculateur (1)'!CG193*'Calculateur (1)'!CI193*VLOOKUP('Données projet (1)'!$B$12,'Paramètres (1)'!$A$1:$I$88,3,0)*0.475*44/12</f>
        <v>#REF!</v>
      </c>
      <c r="CM193" s="142" t="str">
        <f>EXP(-LN(2)/2)*CM192+(1-EXP(-LN(2)/2))/(LN(2)/2)*CG193*CJ193*VLOOKUP('Données projet (1)'!$B$12,'Paramètres (1)'!$A$1:$I$88,3,0)*0.475*44/12</f>
        <v>#REF!</v>
      </c>
      <c r="CN193" s="143" t="str">
        <f t="shared" si="45"/>
        <v>#REF!</v>
      </c>
      <c r="CO193" s="139" t="str">
        <f t="shared" si="46"/>
        <v>#REF!</v>
      </c>
      <c r="CP193" s="131">
        <f t="shared" si="47"/>
        <v>10</v>
      </c>
      <c r="CQ193" s="131" t="str">
        <f t="shared" si="124"/>
        <v>#REF!</v>
      </c>
      <c r="CR193" s="131" t="str">
        <f t="shared" si="48"/>
        <v>#REF!</v>
      </c>
      <c r="CS193" s="131" t="str">
        <f t="array" ref="CS193">INDEX(CR:CR,MIN(IF(ISNUMBER(CR193:CR389),ROW(CR193:CR389),"")))</f>
        <v/>
      </c>
      <c r="CT193" s="131" t="str">
        <f t="shared" si="125"/>
        <v>#REF!</v>
      </c>
      <c r="CU193" s="138" t="str">
        <f>CT193*VLOOKUP('Données projet (1)'!$B$13,'Paramètres (1)'!$A$1:$I$88,3,0)*VLOOKUP('Données projet (1)'!$B$13,'Paramètres (1)'!$A$1:$I$88,5,0)</f>
        <v>#REF!</v>
      </c>
      <c r="CV193" s="130" t="str">
        <f t="shared" si="126"/>
        <v>#REF!</v>
      </c>
      <c r="CW193" s="141" t="str">
        <f t="shared" si="49"/>
        <v>#REF!</v>
      </c>
      <c r="CX193" s="133" t="str">
        <f t="shared" si="50"/>
        <v>#REF!</v>
      </c>
      <c r="CY193" s="133" t="str">
        <f t="shared" si="51"/>
        <v>#REF!</v>
      </c>
      <c r="CZ193" s="133" t="str">
        <f t="shared" si="127"/>
        <v>#REF!</v>
      </c>
      <c r="DA193" s="134" t="str">
        <f t="shared" si="52"/>
        <v>#REF!</v>
      </c>
      <c r="DB193" s="134" t="str">
        <f t="shared" si="53"/>
        <v>#REF!</v>
      </c>
      <c r="DC193" s="135" t="str">
        <f>IF(ISNA(VLOOKUP(A193,'Données projet (1)'!$A$139:$I$159,5,0)),0%,VLOOKUP(A193,'Données projet (1)'!$A$139:$I$159,5,0)*VLOOKUP('Données projet (1)'!$B$13,'Paramètres (1)'!$A$1:$I$88,7,0))</f>
        <v>#REF!</v>
      </c>
      <c r="DD193" s="135" t="str">
        <f>IF(ISNA(VLOOKUP(A193,'Données projet (1)'!$A$139:$I$159,6,0)),0%,VLOOKUP(A193,'Données projet (1)'!$A$139:$I$159,6,0)*VLOOKUP('Données projet (1)'!$B$13,'Paramètres (1)'!$A$1:$I$88,7,0))</f>
        <v>#REF!</v>
      </c>
      <c r="DE193" s="135" t="str">
        <f t="shared" si="54"/>
        <v>#REF!</v>
      </c>
      <c r="DF193" s="142" t="str">
        <f>EXP(-LN(2)/35)*DF192+(1-EXP(-LN(2)/35))/(LN(2)/35)*DB193*DC193*VLOOKUP('Données projet (1)'!$B$13,'Paramètres (1)'!$A$1:$I$88,3,0)*0.475*44/12</f>
        <v>#REF!</v>
      </c>
      <c r="DG193" s="142" t="str">
        <f>EXP(-LN(2)/25)*DG192+(1-EXP(-LN(2)/25))/(LN(2)/25)*'Calculateur (1)'!DB193*'Calculateur (1)'!DD193*VLOOKUP('Données projet (1)'!$B$13,'Paramètres (1)'!$A$1:$I$88,3,0)*0.475*44/12</f>
        <v>#REF!</v>
      </c>
      <c r="DH193" s="142" t="str">
        <f>EXP(-LN(2)/2)*DH192+(1-EXP(-LN(2)/2))/(LN(2)/2)*DB193*DE193*VLOOKUP('Données projet (1)'!$B$13,'Paramètres (1)'!$A$1:$I$88,3,0)*0.475*44/12</f>
        <v>#REF!</v>
      </c>
      <c r="DI193" s="143" t="str">
        <f t="shared" si="55"/>
        <v>#REF!</v>
      </c>
      <c r="DJ193" s="139" t="str">
        <f t="shared" si="56"/>
        <v>#REF!</v>
      </c>
      <c r="DK193" s="131">
        <f t="shared" si="57"/>
        <v>10</v>
      </c>
      <c r="DL193" s="131" t="str">
        <f t="shared" si="128"/>
        <v>#REF!</v>
      </c>
      <c r="DM193" s="131" t="str">
        <f t="shared" si="58"/>
        <v>#REF!</v>
      </c>
      <c r="DN193" s="131" t="str">
        <f t="array" ref="DN193">INDEX(DM:DM,MIN(IF(ISNUMBER(DM193:DM389),ROW(DM193:DM389),"")))</f>
        <v/>
      </c>
      <c r="DO193" s="131" t="str">
        <f t="shared" si="129"/>
        <v>#REF!</v>
      </c>
      <c r="DP193" s="138" t="str">
        <f>DO193*VLOOKUP('Données projet (1)'!$B$14,'Paramètres (1)'!$A$1:$I$88,3,0)*VLOOKUP('Données projet (1)'!$B$14,'Paramètres (1)'!$A$1:$I$88,5,0)</f>
        <v>#REF!</v>
      </c>
      <c r="DQ193" s="130" t="str">
        <f t="shared" si="130"/>
        <v>#REF!</v>
      </c>
      <c r="DR193" s="141" t="str">
        <f t="shared" si="59"/>
        <v>#REF!</v>
      </c>
      <c r="DS193" s="133" t="str">
        <f t="shared" si="60"/>
        <v>#REF!</v>
      </c>
      <c r="DT193" s="133" t="str">
        <f t="shared" si="61"/>
        <v>#REF!</v>
      </c>
      <c r="DU193" s="133" t="str">
        <f t="shared" si="131"/>
        <v>#REF!</v>
      </c>
      <c r="DV193" s="134" t="str">
        <f t="shared" si="62"/>
        <v>#REF!</v>
      </c>
      <c r="DW193" s="134" t="str">
        <f t="shared" si="63"/>
        <v>#REF!</v>
      </c>
      <c r="DX193" s="135" t="str">
        <f>IF(ISNA(VLOOKUP(A193,'Données projet (1)'!$A$165:$I$185,5,0)),0%,VLOOKUP(A193,'Données projet (1)'!$A$165:$I$185,5,0)*VLOOKUP('Données projet (1)'!$B$14,'Paramètres (1)'!$A$1:$I$88,7,0))</f>
        <v>#REF!</v>
      </c>
      <c r="DY193" s="135" t="str">
        <f>IF(ISNA(VLOOKUP(A193,'Données projet (1)'!$A$165:$I$185,6,0)),0%,VLOOKUP(A193,'Données projet (1)'!$A$165:$I$185,6,0)*VLOOKUP('Données projet (1)'!$B$14,'Paramètres (1)'!$A$1:$I$88,7,0))</f>
        <v>#REF!</v>
      </c>
      <c r="DZ193" s="135" t="str">
        <f t="shared" si="64"/>
        <v>#REF!</v>
      </c>
      <c r="EA193" s="142" t="str">
        <f>EXP(-LN(2)/35)*EA192+(1-EXP(-LN(2)/35))/(LN(2)/35)*DW193*DX193*VLOOKUP('Données projet (1)'!$B$14,'Paramètres (1)'!$A$1:$I$88,3,0)*0.475*44/12</f>
        <v>#REF!</v>
      </c>
      <c r="EB193" s="142" t="str">
        <f>EXP(-LN(2)/25)*EB192+(1-EXP(-LN(2)/25))/(LN(2)/25)*'Calculateur (1)'!DW193*'Calculateur (1)'!DY193*VLOOKUP('Données projet (1)'!$B$14,'Paramètres (1)'!$A$1:$I$88,3,0)*0.475*44/12</f>
        <v>#REF!</v>
      </c>
      <c r="EC193" s="142" t="str">
        <f>EXP(-LN(2)/2)*EC192+(1-EXP(-LN(2)/2))/(LN(2)/2)*DW193*DZ193*VLOOKUP('Données projet (1)'!$B$14,'Paramètres (1)'!$A$1:$I$88,3,0)*0.475*44/12</f>
        <v>#REF!</v>
      </c>
      <c r="ED193" s="143" t="str">
        <f t="shared" si="65"/>
        <v>#REF!</v>
      </c>
      <c r="EE193" s="139" t="str">
        <f t="shared" si="66"/>
        <v>#REF!</v>
      </c>
      <c r="EF193" s="131">
        <f t="shared" si="67"/>
        <v>10</v>
      </c>
      <c r="EG193" s="131" t="str">
        <f t="shared" si="132"/>
        <v>#REF!</v>
      </c>
      <c r="EH193" s="131" t="str">
        <f t="shared" si="68"/>
        <v>#REF!</v>
      </c>
      <c r="EI193" s="131" t="str">
        <f t="array" ref="EI193">INDEX(EH:EH,MIN(IF(ISNUMBER(EH193:EH389),ROW(EH193:EH389),"")))</f>
        <v/>
      </c>
      <c r="EJ193" s="131" t="str">
        <f t="shared" si="133"/>
        <v>#REF!</v>
      </c>
      <c r="EK193" s="138" t="str">
        <f>EJ193*VLOOKUP('Données projet (1)'!$B$15,'Paramètres (1)'!$A$1:$I$88,3,0)*VLOOKUP('Données projet (1)'!$B$15,'Paramètres (1)'!$A$1:$I$88,5,0)</f>
        <v>#REF!</v>
      </c>
      <c r="EL193" s="130" t="str">
        <f t="shared" si="134"/>
        <v>#REF!</v>
      </c>
      <c r="EM193" s="141" t="str">
        <f t="shared" si="69"/>
        <v>#REF!</v>
      </c>
      <c r="EN193" s="133" t="str">
        <f t="shared" si="70"/>
        <v>#REF!</v>
      </c>
      <c r="EO193" s="133" t="str">
        <f t="shared" si="71"/>
        <v>#REF!</v>
      </c>
      <c r="EP193" s="133" t="str">
        <f t="shared" si="135"/>
        <v>#REF!</v>
      </c>
      <c r="EQ193" s="134" t="str">
        <f t="shared" si="72"/>
        <v>#REF!</v>
      </c>
      <c r="ER193" s="134" t="str">
        <f t="shared" si="73"/>
        <v>#REF!</v>
      </c>
      <c r="ES193" s="135" t="str">
        <f>IF(ISNA(VLOOKUP(A193,'Données projet (1)'!$A$191:$I$211,5,0)),0%,VLOOKUP(A193,'Données projet (1)'!$A$191:$I$211,5,0)*VLOOKUP('Données projet (1)'!$B$15,'Paramètres (1)'!$A$1:$I$88,7,0))</f>
        <v>#REF!</v>
      </c>
      <c r="ET193" s="135" t="str">
        <f>IF(ISNA(VLOOKUP(A193,'Données projet (1)'!$A$191:$I$211,6,0)),0%,VLOOKUP(A193,'Données projet (1)'!$A$191:$I$211,6,0)*VLOOKUP('Données projet (1)'!$B$15,'Paramètres (1)'!$A$1:$I$88,7,0))</f>
        <v>#REF!</v>
      </c>
      <c r="EU193" s="135" t="str">
        <f t="shared" si="74"/>
        <v>#REF!</v>
      </c>
      <c r="EV193" s="142" t="str">
        <f>EXP(-LN(2)/35)*EV192+(1-EXP(-LN(2)/35))/(LN(2)/35)*ER193*ES193*VLOOKUP('Données projet (1)'!$B$15,'Paramètres (1)'!$A$1:$I$88,3,0)*0.475*44/12</f>
        <v>#REF!</v>
      </c>
      <c r="EW193" s="142" t="str">
        <f>EXP(-LN(2)/25)*EW192+(1-EXP(-LN(2)/25))/(LN(2)/25)*'Calculateur (1)'!ER193*'Calculateur (1)'!ET193*VLOOKUP('Données projet (1)'!$B$15,'Paramètres (1)'!$A$1:$I$88,3,0)*0.475*44/12</f>
        <v>#REF!</v>
      </c>
      <c r="EX193" s="142" t="str">
        <f>EXP(-LN(2)/2)*EX192+(1-EXP(-LN(2)/2))/(LN(2)/2)*ER193*EU193*VLOOKUP('Données projet (1)'!$B$15,'Paramètres (1)'!$A$1:$I$88,3,0)*0.475*44/12</f>
        <v>#REF!</v>
      </c>
      <c r="EY193" s="143" t="str">
        <f t="shared" si="75"/>
        <v>#REF!</v>
      </c>
      <c r="EZ193" s="139" t="str">
        <f t="shared" si="76"/>
        <v>#REF!</v>
      </c>
      <c r="FA193" s="131">
        <f t="shared" si="77"/>
        <v>10</v>
      </c>
      <c r="FB193" s="131" t="str">
        <f t="shared" si="136"/>
        <v>#REF!</v>
      </c>
      <c r="FC193" s="131" t="str">
        <f t="shared" si="78"/>
        <v>#REF!</v>
      </c>
      <c r="FD193" s="131" t="str">
        <f t="array" ref="FD193">INDEX(FC:FC,MIN(IF(ISNUMBER(FC193:FC389),ROW(FC193:FC389),"")))</f>
        <v/>
      </c>
      <c r="FE193" s="131" t="str">
        <f t="shared" si="137"/>
        <v>#REF!</v>
      </c>
      <c r="FF193" s="138" t="str">
        <f>FE193*VLOOKUP('Données projet (1)'!$B$16,'Paramètres (1)'!$A$1:$I$88,3,0)*VLOOKUP('Données projet (1)'!$B$16,'Paramètres (1)'!$A$1:$I$88,5,0)</f>
        <v>#REF!</v>
      </c>
      <c r="FG193" s="130" t="str">
        <f t="shared" si="138"/>
        <v>#REF!</v>
      </c>
      <c r="FH193" s="141" t="str">
        <f t="shared" si="79"/>
        <v>#REF!</v>
      </c>
      <c r="FI193" s="133" t="str">
        <f t="shared" si="80"/>
        <v>#REF!</v>
      </c>
      <c r="FJ193" s="133" t="str">
        <f t="shared" si="81"/>
        <v>#REF!</v>
      </c>
      <c r="FK193" s="133" t="str">
        <f t="shared" si="139"/>
        <v>#REF!</v>
      </c>
      <c r="FL193" s="134" t="str">
        <f t="shared" si="82"/>
        <v>#REF!</v>
      </c>
      <c r="FM193" s="134" t="str">
        <f t="shared" si="83"/>
        <v>#REF!</v>
      </c>
      <c r="FN193" s="135" t="str">
        <f>IF(ISNA(VLOOKUP(A193,'Données projet (1)'!$A$217:$I$237,5,0)),0%,VLOOKUP(A193,'Données projet (1)'!$A$217:$I$237,5,0)*VLOOKUP('Données projet (1)'!$B$16,'Paramètres (1)'!$A$1:$I$88,7,0))</f>
        <v>#REF!</v>
      </c>
      <c r="FO193" s="135" t="str">
        <f>IF(ISNA(VLOOKUP(A193,'Données projet (1)'!$A$217:$I$237,6,0)),0%,VLOOKUP(A193,'Données projet (1)'!$A$217:$I$237,6,0)*VLOOKUP('Données projet (1)'!$B$16,'Paramètres (1)'!$A$1:$I$88,7,0))</f>
        <v>#REF!</v>
      </c>
      <c r="FP193" s="135" t="str">
        <f t="shared" si="84"/>
        <v>#REF!</v>
      </c>
      <c r="FQ193" s="142" t="str">
        <f>EXP(-LN(2)/35)*FQ192+(1-EXP(-LN(2)/35))/(LN(2)/35)*FM193*FN193*VLOOKUP('Données projet (1)'!$B$16,'Paramètres (1)'!$A$1:$I$88,3,0)*0.475*44/12</f>
        <v>#REF!</v>
      </c>
      <c r="FR193" s="142" t="str">
        <f>EXP(-LN(2)/25)*FR192+(1-EXP(-LN(2)/25))/(LN(2)/25)*'Calculateur (1)'!FM193*'Calculateur (1)'!FO193*VLOOKUP('Données projet (1)'!$B$16,'Paramètres (1)'!$A$1:$I$88,3,0)*0.475*44/12</f>
        <v>#REF!</v>
      </c>
      <c r="FS193" s="142" t="str">
        <f>EXP(-LN(2)/2)*FS192+(1-EXP(-LN(2)/2))/(LN(2)/2)*FM193*FP193*VLOOKUP('Données projet (1)'!$B$16,'Paramètres (1)'!$A$1:$I$88,3,0)*0.475*44/12</f>
        <v>#REF!</v>
      </c>
      <c r="FT193" s="143" t="str">
        <f t="shared" si="85"/>
        <v>#REF!</v>
      </c>
      <c r="FU193" s="139" t="str">
        <f t="shared" si="86"/>
        <v>#REF!</v>
      </c>
      <c r="FV193" s="131">
        <f t="shared" si="87"/>
        <v>10</v>
      </c>
      <c r="FW193" s="131" t="str">
        <f t="shared" si="140"/>
        <v>#REF!</v>
      </c>
      <c r="FX193" s="131" t="str">
        <f t="shared" si="88"/>
        <v>#REF!</v>
      </c>
      <c r="FY193" s="131" t="str">
        <f t="array" ref="FY193">INDEX(FX:FX,MIN(IF(ISNUMBER(FX193:FX389),ROW(FX193:FX389),"")))</f>
        <v/>
      </c>
      <c r="FZ193" s="131" t="str">
        <f t="shared" si="141"/>
        <v>#REF!</v>
      </c>
      <c r="GA193" s="138" t="str">
        <f>FZ193*VLOOKUP('Données projet (1)'!$B$17,'Paramètres (1)'!$A$1:$I$88,3,0)*VLOOKUP('Données projet (1)'!$B$17,'Paramètres (1)'!$A$1:$I$88,5,0)</f>
        <v>#REF!</v>
      </c>
      <c r="GB193" s="130" t="str">
        <f t="shared" si="142"/>
        <v>#REF!</v>
      </c>
      <c r="GC193" s="141" t="str">
        <f t="shared" si="89"/>
        <v>#REF!</v>
      </c>
      <c r="GD193" s="133" t="str">
        <f t="shared" si="90"/>
        <v>#REF!</v>
      </c>
      <c r="GE193" s="133" t="str">
        <f t="shared" si="91"/>
        <v>#REF!</v>
      </c>
      <c r="GF193" s="133" t="str">
        <f t="shared" si="143"/>
        <v>#REF!</v>
      </c>
      <c r="GG193" s="134" t="str">
        <f t="shared" si="92"/>
        <v>#REF!</v>
      </c>
      <c r="GH193" s="134" t="str">
        <f t="shared" si="93"/>
        <v>#REF!</v>
      </c>
      <c r="GI193" s="135" t="str">
        <f>IF(ISNA(VLOOKUP(A193,'Données projet (1)'!$A$243:$I$263,5,0)),0%,VLOOKUP(A193,'Données projet (1)'!$A$243:$I$263,5,0)*VLOOKUP('Données projet (1)'!$B$17,'Paramètres (1)'!$A$1:$I$88,7,0))</f>
        <v>#REF!</v>
      </c>
      <c r="GJ193" s="135" t="str">
        <f>IF(ISNA(VLOOKUP(A193,'Données projet (1)'!$A$243:$I$263,6,0)),0%,VLOOKUP(A193,'Données projet (1)'!$A$243:$I$263,6,0)*VLOOKUP('Données projet (1)'!$B$17,'Paramètres (1)'!$A$1:$I$88,7,0))</f>
        <v>#REF!</v>
      </c>
      <c r="GK193" s="135" t="str">
        <f t="shared" si="94"/>
        <v>#REF!</v>
      </c>
      <c r="GL193" s="142" t="str">
        <f>EXP(-LN(2)/35)*GL192+(1-EXP(-LN(2)/35))/(LN(2)/35)*GH193*GI193*VLOOKUP('Données projet (1)'!$B$17,'Paramètres (1)'!$A$1:$I$88,3,0)*0.475*44/12</f>
        <v>#REF!</v>
      </c>
      <c r="GM193" s="142" t="str">
        <f>EXP(-LN(2)/25)*GM192+(1-EXP(-LN(2)/25))/(LN(2)/25)*'Calculateur (1)'!GH193*'Calculateur (1)'!GJ193*VLOOKUP('Données projet (1)'!$B$17,'Paramètres (1)'!$A$1:$I$88,3,0)*0.475*44/12</f>
        <v>#REF!</v>
      </c>
      <c r="GN193" s="142" t="str">
        <f>EXP(-LN(2)/2)*GN192+(1-EXP(-LN(2)/2))/(LN(2)/2)*GH193*GK193*VLOOKUP('Données projet (1)'!$B$17,'Paramètres (1)'!$A$1:$I$88,3,0)*0.475*44/12</f>
        <v>#REF!</v>
      </c>
      <c r="GO193" s="142" t="str">
        <f t="shared" si="95"/>
        <v>#REF!</v>
      </c>
      <c r="GP193" s="139" t="str">
        <f t="shared" si="96"/>
        <v>#REF!</v>
      </c>
      <c r="GQ193" s="131">
        <f t="shared" si="97"/>
        <v>10</v>
      </c>
      <c r="GR193" s="131" t="str">
        <f t="shared" si="144"/>
        <v>#REF!</v>
      </c>
      <c r="GS193" s="131" t="str">
        <f t="shared" si="98"/>
        <v>#REF!</v>
      </c>
      <c r="GT193" s="131" t="str">
        <f t="array" ref="GT193">INDEX(GS:GS,MIN(IF(ISNUMBER(GS193:GS389),ROW(GS193:GS389),"")))</f>
        <v/>
      </c>
      <c r="GU193" s="131" t="str">
        <f t="shared" si="145"/>
        <v>#REF!</v>
      </c>
      <c r="GV193" s="138" t="str">
        <f>GU193*VLOOKUP('Données projet (1)'!$B$18,'Paramètres (1)'!$A$1:$I$88,3,0)*VLOOKUP('Données projet (1)'!$B$18,'Paramètres (1)'!$A$1:$I$88,5,0)</f>
        <v>#REF!</v>
      </c>
      <c r="GW193" s="130" t="str">
        <f t="shared" si="146"/>
        <v>#REF!</v>
      </c>
      <c r="GX193" s="141" t="str">
        <f t="shared" si="99"/>
        <v>#REF!</v>
      </c>
      <c r="GY193" s="133" t="str">
        <f t="shared" si="100"/>
        <v>#REF!</v>
      </c>
      <c r="GZ193" s="133" t="str">
        <f t="shared" si="101"/>
        <v>#REF!</v>
      </c>
      <c r="HA193" s="133" t="str">
        <f t="shared" si="147"/>
        <v>#REF!</v>
      </c>
      <c r="HB193" s="134" t="str">
        <f t="shared" si="102"/>
        <v>#REF!</v>
      </c>
      <c r="HC193" s="134" t="str">
        <f t="shared" si="103"/>
        <v>#REF!</v>
      </c>
      <c r="HD193" s="135" t="str">
        <f>IF(ISNA(VLOOKUP(A193,'Données projet (1)'!$A$269:$I$289,5,0)),0%,VLOOKUP(A193,'Données projet (1)'!$A$269:$I$289,5,0)*VLOOKUP('Données projet (1)'!$B$18,'Paramètres (1)'!$A$1:$I$88,7,0))</f>
        <v>#REF!</v>
      </c>
      <c r="HE193" s="135" t="str">
        <f>IF(ISNA(VLOOKUP(A193,'Données projet (1)'!$A$269:$I$289,6,0)),0%,VLOOKUP(A193,'Données projet (1)'!$A$269:$I$289,6,0)*VLOOKUP('Données projet (1)'!$B$18,'Paramètres (1)'!$A$1:$I$88,7,0))</f>
        <v>#REF!</v>
      </c>
      <c r="HF193" s="135" t="str">
        <f t="shared" si="104"/>
        <v>#REF!</v>
      </c>
      <c r="HG193" s="142" t="str">
        <f>EXP(-LN(2)/35)*HG192+(1-EXP(-LN(2)/35))/(LN(2)/35)*HC193*HD193*VLOOKUP('Données projet (1)'!$B$18,'Paramètres (1)'!$A$1:$I$88,3,0)*0.475*44/12</f>
        <v>#REF!</v>
      </c>
      <c r="HH193" s="142" t="str">
        <f>EXP(-LN(2)/25)*HH192+(1-EXP(-LN(2)/25))/(LN(2)/25)*'Calculateur (1)'!HC193*'Calculateur (1)'!HE193*VLOOKUP('Données projet (1)'!$B$18,'Paramètres (1)'!$A$1:$I$88,3,0)*0.475*44/12</f>
        <v>#REF!</v>
      </c>
      <c r="HI193" s="142" t="str">
        <f>EXP(-LN(2)/2)*HI192+(1-EXP(-LN(2)/2))/(LN(2)/2)*HC193*HF193*VLOOKUP('Données projet (1)'!$B$18,'Paramètres (1)'!$A$1:$I$88,3,0)*0.475*44/12</f>
        <v>#REF!</v>
      </c>
      <c r="HJ193" s="143" t="str">
        <f t="shared" si="105"/>
        <v>#REF!</v>
      </c>
    </row>
    <row r="194" ht="14.25" customHeight="1">
      <c r="A194" s="125">
        <f t="shared" si="106"/>
        <v>191</v>
      </c>
      <c r="B194" s="126" t="str">
        <f t="shared" si="1"/>
        <v>#REF!</v>
      </c>
      <c r="C194" s="140" t="str">
        <f>'Calculateur (1)'!C193+'Scénario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4" s="127">
        <f t="shared" si="107"/>
        <v>0</v>
      </c>
      <c r="E194" s="127" t="str">
        <f t="shared" si="2"/>
        <v>#REF!</v>
      </c>
      <c r="F194" s="127" t="str">
        <f t="shared" si="3"/>
        <v>#REF!</v>
      </c>
      <c r="G194" s="127" t="str">
        <f t="shared" si="4"/>
        <v>#REF!</v>
      </c>
      <c r="H194" s="128" t="str">
        <f t="shared" si="5"/>
        <v>#REF!</v>
      </c>
      <c r="I194" s="129" t="str">
        <f t="shared" si="6"/>
        <v>#REF!</v>
      </c>
      <c r="J194" s="130">
        <f t="shared" si="7"/>
        <v>10</v>
      </c>
      <c r="K194" s="131" t="str">
        <f t="shared" si="108"/>
        <v>#REF!</v>
      </c>
      <c r="L194" s="131" t="str">
        <f t="shared" si="8"/>
        <v>#REF!</v>
      </c>
      <c r="M194" s="131" t="str">
        <f t="array" ref="M194">INDEX(L:L,MIN(IF(ISNUMBER(L194:L390),ROW(L194:L390),"")))</f>
        <v/>
      </c>
      <c r="N194" s="130" t="str">
        <f t="shared" si="109"/>
        <v>#REF!</v>
      </c>
      <c r="O194" s="130" t="str">
        <f>N194*VLOOKUP('Données projet (1)'!$B$9,'Paramètres (1)'!$A$1:$I$88,3,0)*VLOOKUP('Données projet (1)'!$B$9,'Paramètres (1)'!$A$1:$I$88,5,0)</f>
        <v>#REF!</v>
      </c>
      <c r="P194" s="130" t="str">
        <f t="shared" si="110"/>
        <v>#REF!</v>
      </c>
      <c r="Q194" s="141" t="str">
        <f t="shared" si="9"/>
        <v>#REF!</v>
      </c>
      <c r="R194" s="133" t="str">
        <f t="shared" si="10"/>
        <v>#REF!</v>
      </c>
      <c r="S194" s="133" t="str">
        <f t="shared" si="11"/>
        <v>#REF!</v>
      </c>
      <c r="T194" s="133" t="str">
        <f t="shared" si="111"/>
        <v>#REF!</v>
      </c>
      <c r="U194" s="134" t="str">
        <f t="shared" si="12"/>
        <v>#REF!</v>
      </c>
      <c r="V194" s="134" t="str">
        <f t="shared" si="13"/>
        <v>#REF!</v>
      </c>
      <c r="W194" s="135" t="str">
        <f>IF(ISNA(VLOOKUP(A194,'Données projet (1)'!$A$35:$I$55,5,0)),0%,VLOOKUP(A194,'Données projet (1)'!$A$35:$I$55,5,0)*VLOOKUP('Données projet (1)'!$B$9,'Paramètres (1)'!$A$1:$I$88,7,0))</f>
        <v>#REF!</v>
      </c>
      <c r="X194" s="135" t="str">
        <f>IF(ISNA(VLOOKUP(A194,'Données projet (1)'!$A$35:$I$55,6,0)),0%,VLOOKUP(A194,'Données projet (1)'!$A$35:$I$55,6,0)*VLOOKUP('Données projet (1)'!$B$9,'Paramètres (1)'!$A$1:$I$88,7,0))</f>
        <v>#REF!</v>
      </c>
      <c r="Y194" s="135" t="str">
        <f t="shared" si="14"/>
        <v>#REF!</v>
      </c>
      <c r="Z194" s="142" t="str">
        <f>EXP(-LN(2)/35)*Z193+(1-EXP(-LN(2)/35))/(LN(2)/35)*V194*W194*VLOOKUP('Données projet (1)'!$B$9,'Paramètres (1)'!$A$1:$I$88,3,0)*0.475*44/12</f>
        <v>#REF!</v>
      </c>
      <c r="AA194" s="142" t="str">
        <f>EXP(-LN(2)/25)*AA193+(1-EXP(-LN(2)/25))/(LN(2)/25)*'Calculateur (1)'!V194*'Calculateur (1)'!X194*VLOOKUP('Données projet (1)'!$B$9,'Paramètres (1)'!$A$1:$I$88,3,0)*0.475*44/12</f>
        <v>#REF!</v>
      </c>
      <c r="AB194" s="142" t="str">
        <f>EXP(-LN(2)/2)*AB193+(1-EXP(-LN(2)/2))/(LN(2)/2)*V194*Y194*VLOOKUP('Données projet (1)'!$B$9,'Paramètres (1)'!$A$1:$I$88,3,0)*0.475*44/12</f>
        <v>#REF!</v>
      </c>
      <c r="AC194" s="143" t="str">
        <f t="shared" si="15"/>
        <v>#REF!</v>
      </c>
      <c r="AD194" s="130" t="str">
        <f t="shared" si="16"/>
        <v>#REF!</v>
      </c>
      <c r="AE194" s="130">
        <f t="shared" si="17"/>
        <v>10</v>
      </c>
      <c r="AF194" s="131" t="str">
        <f t="shared" si="112"/>
        <v>#REF!</v>
      </c>
      <c r="AG194" s="131" t="str">
        <f t="shared" si="18"/>
        <v>#REF!</v>
      </c>
      <c r="AH194" s="131" t="str">
        <f t="array" ref="AH194">INDEX(AG:AG,MIN(IF(ISNUMBER(AG194:AG390),ROW(AG194:AG390),"")))</f>
        <v/>
      </c>
      <c r="AI194" s="130" t="str">
        <f t="shared" si="113"/>
        <v>#REF!</v>
      </c>
      <c r="AJ194" s="130" t="str">
        <f>AI194*VLOOKUP('Données projet (1)'!$B$10,'Paramètres (1)'!$A$1:$I$88,3,0)*VLOOKUP('Données projet (1)'!$B$10,'Paramètres (1)'!$A$1:$I$88,5,0)</f>
        <v>#REF!</v>
      </c>
      <c r="AK194" s="130" t="str">
        <f t="shared" si="114"/>
        <v>#REF!</v>
      </c>
      <c r="AL194" s="141" t="str">
        <f t="shared" si="19"/>
        <v>#REF!</v>
      </c>
      <c r="AM194" s="133" t="str">
        <f t="shared" si="20"/>
        <v>#REF!</v>
      </c>
      <c r="AN194" s="133" t="str">
        <f t="shared" si="21"/>
        <v>#REF!</v>
      </c>
      <c r="AO194" s="133" t="str">
        <f t="shared" si="115"/>
        <v>#REF!</v>
      </c>
      <c r="AP194" s="134" t="str">
        <f t="shared" si="22"/>
        <v>#REF!</v>
      </c>
      <c r="AQ194" s="134" t="str">
        <f t="shared" si="23"/>
        <v>#REF!</v>
      </c>
      <c r="AR194" s="135" t="str">
        <f>IF(ISNA(VLOOKUP(A194,'Données projet (1)'!$A$61:$I$81,5,0)),0%,VLOOKUP(A194,'Données projet (1)'!$A$61:$I$81,5,0)*VLOOKUP('Données projet (1)'!$B$10,'Paramètres (1)'!$A$1:$I$88,7,0))</f>
        <v>#REF!</v>
      </c>
      <c r="AS194" s="135" t="str">
        <f>IF(ISNA(VLOOKUP(A194,'Données projet (1)'!$A$61:$I$81,6,0)),0%,VLOOKUP(A194,'Données projet (1)'!$A$61:$I$81,6,0)*VLOOKUP('Données projet (1)'!$B$10,'Paramètres (1)'!$A$1:$I$88,7,0))</f>
        <v>#REF!</v>
      </c>
      <c r="AT194" s="135" t="str">
        <f t="shared" si="24"/>
        <v>#REF!</v>
      </c>
      <c r="AU194" s="142" t="str">
        <f>EXP(-LN(2)/35)*AU193+(1-EXP(-LN(2)/35))/(LN(2)/35)*AQ194*AR194*VLOOKUP('Données projet (1)'!$B$10,'Paramètres (1)'!$A$1:$I$88,3,0)*0.475*44/12</f>
        <v>#REF!</v>
      </c>
      <c r="AV194" s="142" t="str">
        <f>EXP(-LN(2)/25)*AV193+(1-EXP(-LN(2)/25))/(LN(2)/25)*'Calculateur (1)'!AQ194*'Calculateur (1)'!AS194*VLOOKUP('Données projet (1)'!$B$10,'Paramètres (1)'!$A$1:$I$88,3,0)*0.475*44/12</f>
        <v>#REF!</v>
      </c>
      <c r="AW194" s="142" t="str">
        <f>EXP(-LN(2)/2)*AW193+(1-EXP(-LN(2)/2))/(LN(2)/2)*AQ194*AT194*VLOOKUP('Données projet (1)'!$B$10,'Paramètres (1)'!$A$1:$I$88,3,0)*0.475*44/12</f>
        <v>#REF!</v>
      </c>
      <c r="AX194" s="142" t="str">
        <f t="shared" si="25"/>
        <v>#REF!</v>
      </c>
      <c r="AY194" s="137" t="str">
        <f t="shared" si="26"/>
        <v>#REF!</v>
      </c>
      <c r="AZ194" s="131">
        <f t="shared" si="27"/>
        <v>10</v>
      </c>
      <c r="BA194" s="131" t="str">
        <f t="shared" si="116"/>
        <v>#REF!</v>
      </c>
      <c r="BB194" s="131" t="str">
        <f t="shared" si="28"/>
        <v>#REF!</v>
      </c>
      <c r="BC194" s="131" t="str">
        <f t="array" ref="BC194">INDEX(BB:BB,MIN(IF(ISNUMBER(BB194:BB390),ROW(BB194:BB390),"")))</f>
        <v/>
      </c>
      <c r="BD194" s="131" t="str">
        <f t="shared" si="117"/>
        <v>#REF!</v>
      </c>
      <c r="BE194" s="130" t="str">
        <f>BD194*VLOOKUP('Données projet (1)'!$B$11,'Paramètres (1)'!$A$1:$I$88,3,0)*VLOOKUP('Données projet (1)'!$B$11,'Paramètres (1)'!$A$1:$I$88,5,0)</f>
        <v>#REF!</v>
      </c>
      <c r="BF194" s="130" t="str">
        <f t="shared" si="118"/>
        <v>#REF!</v>
      </c>
      <c r="BG194" s="141" t="str">
        <f t="shared" si="29"/>
        <v>#REF!</v>
      </c>
      <c r="BH194" s="133" t="str">
        <f t="shared" si="30"/>
        <v>#REF!</v>
      </c>
      <c r="BI194" s="133" t="str">
        <f t="shared" si="31"/>
        <v>#REF!</v>
      </c>
      <c r="BJ194" s="133" t="str">
        <f t="shared" si="119"/>
        <v>#REF!</v>
      </c>
      <c r="BK194" s="134" t="str">
        <f t="shared" si="32"/>
        <v>#REF!</v>
      </c>
      <c r="BL194" s="134" t="str">
        <f t="shared" si="33"/>
        <v>#REF!</v>
      </c>
      <c r="BM194" s="135" t="str">
        <f>IF(ISNA(VLOOKUP(A194,'Données projet (1)'!$A$87:$I$107,5,0)),0%,VLOOKUP(A194,'Données projet (1)'!$A$87:$I$107,5,0)*VLOOKUP('Données projet (1)'!$B$11,'Paramètres (1)'!$A$1:$I$88,7,0))</f>
        <v>#REF!</v>
      </c>
      <c r="BN194" s="135" t="str">
        <f>IF(ISNA(VLOOKUP(A194,'Données projet (1)'!$A$87:$I$107,6,0)),0%,VLOOKUP(A194,'Données projet (1)'!$A$87:$I$107,6,0)*VLOOKUP('Données projet (1)'!$B$11,'Paramètres (1)'!$A$1:$I$88,7,0))</f>
        <v>#REF!</v>
      </c>
      <c r="BO194" s="135" t="str">
        <f t="shared" si="34"/>
        <v>#REF!</v>
      </c>
      <c r="BP194" s="142" t="str">
        <f>EXP(-LN(2)/35)*BP193+(1-EXP(-LN(2)/35))/(LN(2)/35)*BL194*BM194*VLOOKUP('Données projet (1)'!$B$11,'Paramètres (1)'!$A$1:$I$88,3,0)*0.475*44/12</f>
        <v>#REF!</v>
      </c>
      <c r="BQ194" s="142" t="str">
        <f>EXP(-LN(2)/25)*BQ193+(1-EXP(-LN(2)/25))/(LN(2)/25)*'Calculateur (1)'!BL194*'Calculateur (1)'!BN194*VLOOKUP('Données projet (1)'!$B$11,'Paramètres (1)'!$A$1:$I$88,3,0)*0.475*44/12</f>
        <v>#REF!</v>
      </c>
      <c r="BR194" s="142" t="str">
        <f>EXP(-LN(2)/2)*BR193+(1-EXP(-LN(2)/2))/(LN(2)/2)*BL194*BO194*VLOOKUP('Données projet (1)'!$B$11,'Paramètres (1)'!$A$1:$I$88,3,0)*0.475*44/12</f>
        <v>#REF!</v>
      </c>
      <c r="BS194" s="143" t="str">
        <f t="shared" si="35"/>
        <v>#REF!</v>
      </c>
      <c r="BT194" s="139" t="str">
        <f t="shared" si="36"/>
        <v>#REF!</v>
      </c>
      <c r="BU194" s="131">
        <f t="shared" si="37"/>
        <v>10</v>
      </c>
      <c r="BV194" s="131" t="str">
        <f t="shared" si="120"/>
        <v>#REF!</v>
      </c>
      <c r="BW194" s="131" t="str">
        <f t="shared" si="38"/>
        <v>#REF!</v>
      </c>
      <c r="BX194" s="131" t="str">
        <f t="array" ref="BX194">INDEX(BW:BW,MIN(IF(ISNUMBER(BW194:BW390),ROW(BW194:BW390),"")))</f>
        <v/>
      </c>
      <c r="BY194" s="131" t="str">
        <f t="shared" si="121"/>
        <v>#REF!</v>
      </c>
      <c r="BZ194" s="130" t="str">
        <f>BY194*VLOOKUP('Données projet (1)'!$B$12,'Paramètres (1)'!$A$1:$I$88,3,0)*VLOOKUP('Données projet (1)'!$B$12,'Paramètres (1)'!$A$1:$I$88,5,0)</f>
        <v>#REF!</v>
      </c>
      <c r="CA194" s="130" t="str">
        <f t="shared" si="122"/>
        <v>#REF!</v>
      </c>
      <c r="CB194" s="141" t="str">
        <f t="shared" si="39"/>
        <v>#REF!</v>
      </c>
      <c r="CC194" s="133" t="str">
        <f t="shared" si="40"/>
        <v>#REF!</v>
      </c>
      <c r="CD194" s="133" t="str">
        <f t="shared" si="41"/>
        <v>#REF!</v>
      </c>
      <c r="CE194" s="133" t="str">
        <f t="shared" si="123"/>
        <v>#REF!</v>
      </c>
      <c r="CF194" s="134" t="str">
        <f t="shared" si="42"/>
        <v>#REF!</v>
      </c>
      <c r="CG194" s="134" t="str">
        <f t="shared" si="43"/>
        <v>#REF!</v>
      </c>
      <c r="CH194" s="135" t="str">
        <f>IF(ISNA(VLOOKUP(A194,'Données projet (1)'!$A$113:$I$133,5,0)),0%,VLOOKUP(A194,'Données projet (1)'!$A$113:$I$133,5,0)*VLOOKUP('Données projet (1)'!$B$12,'Paramètres (1)'!$A$1:$I$88,7,0))</f>
        <v>#REF!</v>
      </c>
      <c r="CI194" s="135" t="str">
        <f>IF(ISNA(VLOOKUP(A194,'Données projet (1)'!$A$113:$I$133,6,0)),0%,VLOOKUP(A194,'Données projet (1)'!$A$113:$I$133,6,0)*VLOOKUP('Données projet (1)'!$B$12,'Paramètres (1)'!$A$1:$I$88,7,0))</f>
        <v>#REF!</v>
      </c>
      <c r="CJ194" s="135" t="str">
        <f t="shared" si="44"/>
        <v>#REF!</v>
      </c>
      <c r="CK194" s="142" t="str">
        <f>EXP(-LN(2)/35)*CK193+(1-EXP(-LN(2)/35))/(LN(2)/35)*CG194*CH194*VLOOKUP('Données projet (1)'!$B$12,'Paramètres (1)'!$A$1:$I$88,3,0)*0.475*44/12</f>
        <v>#REF!</v>
      </c>
      <c r="CL194" s="142" t="str">
        <f>EXP(-LN(2)/25)*CL193+(1-EXP(-LN(2)/25))/(LN(2)/25)*'Calculateur (1)'!CG194*'Calculateur (1)'!CI194*VLOOKUP('Données projet (1)'!$B$12,'Paramètres (1)'!$A$1:$I$88,3,0)*0.475*44/12</f>
        <v>#REF!</v>
      </c>
      <c r="CM194" s="142" t="str">
        <f>EXP(-LN(2)/2)*CM193+(1-EXP(-LN(2)/2))/(LN(2)/2)*CG194*CJ194*VLOOKUP('Données projet (1)'!$B$12,'Paramètres (1)'!$A$1:$I$88,3,0)*0.475*44/12</f>
        <v>#REF!</v>
      </c>
      <c r="CN194" s="143" t="str">
        <f t="shared" si="45"/>
        <v>#REF!</v>
      </c>
      <c r="CO194" s="139" t="str">
        <f t="shared" si="46"/>
        <v>#REF!</v>
      </c>
      <c r="CP194" s="131">
        <f t="shared" si="47"/>
        <v>10</v>
      </c>
      <c r="CQ194" s="131" t="str">
        <f t="shared" si="124"/>
        <v>#REF!</v>
      </c>
      <c r="CR194" s="131" t="str">
        <f t="shared" si="48"/>
        <v>#REF!</v>
      </c>
      <c r="CS194" s="131" t="str">
        <f t="array" ref="CS194">INDEX(CR:CR,MIN(IF(ISNUMBER(CR194:CR390),ROW(CR194:CR390),"")))</f>
        <v/>
      </c>
      <c r="CT194" s="131" t="str">
        <f t="shared" si="125"/>
        <v>#REF!</v>
      </c>
      <c r="CU194" s="138" t="str">
        <f>CT194*VLOOKUP('Données projet (1)'!$B$13,'Paramètres (1)'!$A$1:$I$88,3,0)*VLOOKUP('Données projet (1)'!$B$13,'Paramètres (1)'!$A$1:$I$88,5,0)</f>
        <v>#REF!</v>
      </c>
      <c r="CV194" s="130" t="str">
        <f t="shared" si="126"/>
        <v>#REF!</v>
      </c>
      <c r="CW194" s="141" t="str">
        <f t="shared" si="49"/>
        <v>#REF!</v>
      </c>
      <c r="CX194" s="133" t="str">
        <f t="shared" si="50"/>
        <v>#REF!</v>
      </c>
      <c r="CY194" s="133" t="str">
        <f t="shared" si="51"/>
        <v>#REF!</v>
      </c>
      <c r="CZ194" s="133" t="str">
        <f t="shared" si="127"/>
        <v>#REF!</v>
      </c>
      <c r="DA194" s="134" t="str">
        <f t="shared" si="52"/>
        <v>#REF!</v>
      </c>
      <c r="DB194" s="134" t="str">
        <f t="shared" si="53"/>
        <v>#REF!</v>
      </c>
      <c r="DC194" s="135" t="str">
        <f>IF(ISNA(VLOOKUP(A194,'Données projet (1)'!$A$139:$I$159,5,0)),0%,VLOOKUP(A194,'Données projet (1)'!$A$139:$I$159,5,0)*VLOOKUP('Données projet (1)'!$B$13,'Paramètres (1)'!$A$1:$I$88,7,0))</f>
        <v>#REF!</v>
      </c>
      <c r="DD194" s="135" t="str">
        <f>IF(ISNA(VLOOKUP(A194,'Données projet (1)'!$A$139:$I$159,6,0)),0%,VLOOKUP(A194,'Données projet (1)'!$A$139:$I$159,6,0)*VLOOKUP('Données projet (1)'!$B$13,'Paramètres (1)'!$A$1:$I$88,7,0))</f>
        <v>#REF!</v>
      </c>
      <c r="DE194" s="135" t="str">
        <f t="shared" si="54"/>
        <v>#REF!</v>
      </c>
      <c r="DF194" s="142" t="str">
        <f>EXP(-LN(2)/35)*DF193+(1-EXP(-LN(2)/35))/(LN(2)/35)*DB194*DC194*VLOOKUP('Données projet (1)'!$B$13,'Paramètres (1)'!$A$1:$I$88,3,0)*0.475*44/12</f>
        <v>#REF!</v>
      </c>
      <c r="DG194" s="142" t="str">
        <f>EXP(-LN(2)/25)*DG193+(1-EXP(-LN(2)/25))/(LN(2)/25)*'Calculateur (1)'!DB194*'Calculateur (1)'!DD194*VLOOKUP('Données projet (1)'!$B$13,'Paramètres (1)'!$A$1:$I$88,3,0)*0.475*44/12</f>
        <v>#REF!</v>
      </c>
      <c r="DH194" s="142" t="str">
        <f>EXP(-LN(2)/2)*DH193+(1-EXP(-LN(2)/2))/(LN(2)/2)*DB194*DE194*VLOOKUP('Données projet (1)'!$B$13,'Paramètres (1)'!$A$1:$I$88,3,0)*0.475*44/12</f>
        <v>#REF!</v>
      </c>
      <c r="DI194" s="143" t="str">
        <f t="shared" si="55"/>
        <v>#REF!</v>
      </c>
      <c r="DJ194" s="139" t="str">
        <f t="shared" si="56"/>
        <v>#REF!</v>
      </c>
      <c r="DK194" s="131">
        <f t="shared" si="57"/>
        <v>10</v>
      </c>
      <c r="DL194" s="131" t="str">
        <f t="shared" si="128"/>
        <v>#REF!</v>
      </c>
      <c r="DM194" s="131" t="str">
        <f t="shared" si="58"/>
        <v>#REF!</v>
      </c>
      <c r="DN194" s="131" t="str">
        <f t="array" ref="DN194">INDEX(DM:DM,MIN(IF(ISNUMBER(DM194:DM390),ROW(DM194:DM390),"")))</f>
        <v/>
      </c>
      <c r="DO194" s="131" t="str">
        <f t="shared" si="129"/>
        <v>#REF!</v>
      </c>
      <c r="DP194" s="138" t="str">
        <f>DO194*VLOOKUP('Données projet (1)'!$B$14,'Paramètres (1)'!$A$1:$I$88,3,0)*VLOOKUP('Données projet (1)'!$B$14,'Paramètres (1)'!$A$1:$I$88,5,0)</f>
        <v>#REF!</v>
      </c>
      <c r="DQ194" s="130" t="str">
        <f t="shared" si="130"/>
        <v>#REF!</v>
      </c>
      <c r="DR194" s="141" t="str">
        <f t="shared" si="59"/>
        <v>#REF!</v>
      </c>
      <c r="DS194" s="133" t="str">
        <f t="shared" si="60"/>
        <v>#REF!</v>
      </c>
      <c r="DT194" s="133" t="str">
        <f t="shared" si="61"/>
        <v>#REF!</v>
      </c>
      <c r="DU194" s="133" t="str">
        <f t="shared" si="131"/>
        <v>#REF!</v>
      </c>
      <c r="DV194" s="134" t="str">
        <f t="shared" si="62"/>
        <v>#REF!</v>
      </c>
      <c r="DW194" s="134" t="str">
        <f t="shared" si="63"/>
        <v>#REF!</v>
      </c>
      <c r="DX194" s="135" t="str">
        <f>IF(ISNA(VLOOKUP(A194,'Données projet (1)'!$A$165:$I$185,5,0)),0%,VLOOKUP(A194,'Données projet (1)'!$A$165:$I$185,5,0)*VLOOKUP('Données projet (1)'!$B$14,'Paramètres (1)'!$A$1:$I$88,7,0))</f>
        <v>#REF!</v>
      </c>
      <c r="DY194" s="135" t="str">
        <f>IF(ISNA(VLOOKUP(A194,'Données projet (1)'!$A$165:$I$185,6,0)),0%,VLOOKUP(A194,'Données projet (1)'!$A$165:$I$185,6,0)*VLOOKUP('Données projet (1)'!$B$14,'Paramètres (1)'!$A$1:$I$88,7,0))</f>
        <v>#REF!</v>
      </c>
      <c r="DZ194" s="135" t="str">
        <f t="shared" si="64"/>
        <v>#REF!</v>
      </c>
      <c r="EA194" s="142" t="str">
        <f>EXP(-LN(2)/35)*EA193+(1-EXP(-LN(2)/35))/(LN(2)/35)*DW194*DX194*VLOOKUP('Données projet (1)'!$B$14,'Paramètres (1)'!$A$1:$I$88,3,0)*0.475*44/12</f>
        <v>#REF!</v>
      </c>
      <c r="EB194" s="142" t="str">
        <f>EXP(-LN(2)/25)*EB193+(1-EXP(-LN(2)/25))/(LN(2)/25)*'Calculateur (1)'!DW194*'Calculateur (1)'!DY194*VLOOKUP('Données projet (1)'!$B$14,'Paramètres (1)'!$A$1:$I$88,3,0)*0.475*44/12</f>
        <v>#REF!</v>
      </c>
      <c r="EC194" s="142" t="str">
        <f>EXP(-LN(2)/2)*EC193+(1-EXP(-LN(2)/2))/(LN(2)/2)*DW194*DZ194*VLOOKUP('Données projet (1)'!$B$14,'Paramètres (1)'!$A$1:$I$88,3,0)*0.475*44/12</f>
        <v>#REF!</v>
      </c>
      <c r="ED194" s="143" t="str">
        <f t="shared" si="65"/>
        <v>#REF!</v>
      </c>
      <c r="EE194" s="139" t="str">
        <f t="shared" si="66"/>
        <v>#REF!</v>
      </c>
      <c r="EF194" s="131">
        <f t="shared" si="67"/>
        <v>10</v>
      </c>
      <c r="EG194" s="131" t="str">
        <f t="shared" si="132"/>
        <v>#REF!</v>
      </c>
      <c r="EH194" s="131" t="str">
        <f t="shared" si="68"/>
        <v>#REF!</v>
      </c>
      <c r="EI194" s="131" t="str">
        <f t="array" ref="EI194">INDEX(EH:EH,MIN(IF(ISNUMBER(EH194:EH390),ROW(EH194:EH390),"")))</f>
        <v/>
      </c>
      <c r="EJ194" s="131" t="str">
        <f t="shared" si="133"/>
        <v>#REF!</v>
      </c>
      <c r="EK194" s="138" t="str">
        <f>EJ194*VLOOKUP('Données projet (1)'!$B$15,'Paramètres (1)'!$A$1:$I$88,3,0)*VLOOKUP('Données projet (1)'!$B$15,'Paramètres (1)'!$A$1:$I$88,5,0)</f>
        <v>#REF!</v>
      </c>
      <c r="EL194" s="130" t="str">
        <f t="shared" si="134"/>
        <v>#REF!</v>
      </c>
      <c r="EM194" s="141" t="str">
        <f t="shared" si="69"/>
        <v>#REF!</v>
      </c>
      <c r="EN194" s="133" t="str">
        <f t="shared" si="70"/>
        <v>#REF!</v>
      </c>
      <c r="EO194" s="133" t="str">
        <f t="shared" si="71"/>
        <v>#REF!</v>
      </c>
      <c r="EP194" s="133" t="str">
        <f t="shared" si="135"/>
        <v>#REF!</v>
      </c>
      <c r="EQ194" s="134" t="str">
        <f t="shared" si="72"/>
        <v>#REF!</v>
      </c>
      <c r="ER194" s="134" t="str">
        <f t="shared" si="73"/>
        <v>#REF!</v>
      </c>
      <c r="ES194" s="135" t="str">
        <f>IF(ISNA(VLOOKUP(A194,'Données projet (1)'!$A$191:$I$211,5,0)),0%,VLOOKUP(A194,'Données projet (1)'!$A$191:$I$211,5,0)*VLOOKUP('Données projet (1)'!$B$15,'Paramètres (1)'!$A$1:$I$88,7,0))</f>
        <v>#REF!</v>
      </c>
      <c r="ET194" s="135" t="str">
        <f>IF(ISNA(VLOOKUP(A194,'Données projet (1)'!$A$191:$I$211,6,0)),0%,VLOOKUP(A194,'Données projet (1)'!$A$191:$I$211,6,0)*VLOOKUP('Données projet (1)'!$B$15,'Paramètres (1)'!$A$1:$I$88,7,0))</f>
        <v>#REF!</v>
      </c>
      <c r="EU194" s="135" t="str">
        <f t="shared" si="74"/>
        <v>#REF!</v>
      </c>
      <c r="EV194" s="142" t="str">
        <f>EXP(-LN(2)/35)*EV193+(1-EXP(-LN(2)/35))/(LN(2)/35)*ER194*ES194*VLOOKUP('Données projet (1)'!$B$15,'Paramètres (1)'!$A$1:$I$88,3,0)*0.475*44/12</f>
        <v>#REF!</v>
      </c>
      <c r="EW194" s="142" t="str">
        <f>EXP(-LN(2)/25)*EW193+(1-EXP(-LN(2)/25))/(LN(2)/25)*'Calculateur (1)'!ER194*'Calculateur (1)'!ET194*VLOOKUP('Données projet (1)'!$B$15,'Paramètres (1)'!$A$1:$I$88,3,0)*0.475*44/12</f>
        <v>#REF!</v>
      </c>
      <c r="EX194" s="142" t="str">
        <f>EXP(-LN(2)/2)*EX193+(1-EXP(-LN(2)/2))/(LN(2)/2)*ER194*EU194*VLOOKUP('Données projet (1)'!$B$15,'Paramètres (1)'!$A$1:$I$88,3,0)*0.475*44/12</f>
        <v>#REF!</v>
      </c>
      <c r="EY194" s="143" t="str">
        <f t="shared" si="75"/>
        <v>#REF!</v>
      </c>
      <c r="EZ194" s="139" t="str">
        <f t="shared" si="76"/>
        <v>#REF!</v>
      </c>
      <c r="FA194" s="131">
        <f t="shared" si="77"/>
        <v>10</v>
      </c>
      <c r="FB194" s="131" t="str">
        <f t="shared" si="136"/>
        <v>#REF!</v>
      </c>
      <c r="FC194" s="131" t="str">
        <f t="shared" si="78"/>
        <v>#REF!</v>
      </c>
      <c r="FD194" s="131" t="str">
        <f t="array" ref="FD194">INDEX(FC:FC,MIN(IF(ISNUMBER(FC194:FC390),ROW(FC194:FC390),"")))</f>
        <v/>
      </c>
      <c r="FE194" s="131" t="str">
        <f t="shared" si="137"/>
        <v>#REF!</v>
      </c>
      <c r="FF194" s="138" t="str">
        <f>FE194*VLOOKUP('Données projet (1)'!$B$16,'Paramètres (1)'!$A$1:$I$88,3,0)*VLOOKUP('Données projet (1)'!$B$16,'Paramètres (1)'!$A$1:$I$88,5,0)</f>
        <v>#REF!</v>
      </c>
      <c r="FG194" s="130" t="str">
        <f t="shared" si="138"/>
        <v>#REF!</v>
      </c>
      <c r="FH194" s="141" t="str">
        <f t="shared" si="79"/>
        <v>#REF!</v>
      </c>
      <c r="FI194" s="133" t="str">
        <f t="shared" si="80"/>
        <v>#REF!</v>
      </c>
      <c r="FJ194" s="133" t="str">
        <f t="shared" si="81"/>
        <v>#REF!</v>
      </c>
      <c r="FK194" s="133" t="str">
        <f t="shared" si="139"/>
        <v>#REF!</v>
      </c>
      <c r="FL194" s="134" t="str">
        <f t="shared" si="82"/>
        <v>#REF!</v>
      </c>
      <c r="FM194" s="134" t="str">
        <f t="shared" si="83"/>
        <v>#REF!</v>
      </c>
      <c r="FN194" s="135" t="str">
        <f>IF(ISNA(VLOOKUP(A194,'Données projet (1)'!$A$217:$I$237,5,0)),0%,VLOOKUP(A194,'Données projet (1)'!$A$217:$I$237,5,0)*VLOOKUP('Données projet (1)'!$B$16,'Paramètres (1)'!$A$1:$I$88,7,0))</f>
        <v>#REF!</v>
      </c>
      <c r="FO194" s="135" t="str">
        <f>IF(ISNA(VLOOKUP(A194,'Données projet (1)'!$A$217:$I$237,6,0)),0%,VLOOKUP(A194,'Données projet (1)'!$A$217:$I$237,6,0)*VLOOKUP('Données projet (1)'!$B$16,'Paramètres (1)'!$A$1:$I$88,7,0))</f>
        <v>#REF!</v>
      </c>
      <c r="FP194" s="135" t="str">
        <f t="shared" si="84"/>
        <v>#REF!</v>
      </c>
      <c r="FQ194" s="142" t="str">
        <f>EXP(-LN(2)/35)*FQ193+(1-EXP(-LN(2)/35))/(LN(2)/35)*FM194*FN194*VLOOKUP('Données projet (1)'!$B$16,'Paramètres (1)'!$A$1:$I$88,3,0)*0.475*44/12</f>
        <v>#REF!</v>
      </c>
      <c r="FR194" s="142" t="str">
        <f>EXP(-LN(2)/25)*FR193+(1-EXP(-LN(2)/25))/(LN(2)/25)*'Calculateur (1)'!FM194*'Calculateur (1)'!FO194*VLOOKUP('Données projet (1)'!$B$16,'Paramètres (1)'!$A$1:$I$88,3,0)*0.475*44/12</f>
        <v>#REF!</v>
      </c>
      <c r="FS194" s="142" t="str">
        <f>EXP(-LN(2)/2)*FS193+(1-EXP(-LN(2)/2))/(LN(2)/2)*FM194*FP194*VLOOKUP('Données projet (1)'!$B$16,'Paramètres (1)'!$A$1:$I$88,3,0)*0.475*44/12</f>
        <v>#REF!</v>
      </c>
      <c r="FT194" s="143" t="str">
        <f t="shared" si="85"/>
        <v>#REF!</v>
      </c>
      <c r="FU194" s="139" t="str">
        <f t="shared" si="86"/>
        <v>#REF!</v>
      </c>
      <c r="FV194" s="131">
        <f t="shared" si="87"/>
        <v>10</v>
      </c>
      <c r="FW194" s="131" t="str">
        <f t="shared" si="140"/>
        <v>#REF!</v>
      </c>
      <c r="FX194" s="131" t="str">
        <f t="shared" si="88"/>
        <v>#REF!</v>
      </c>
      <c r="FY194" s="131" t="str">
        <f t="array" ref="FY194">INDEX(FX:FX,MIN(IF(ISNUMBER(FX194:FX390),ROW(FX194:FX390),"")))</f>
        <v/>
      </c>
      <c r="FZ194" s="131" t="str">
        <f t="shared" si="141"/>
        <v>#REF!</v>
      </c>
      <c r="GA194" s="138" t="str">
        <f>FZ194*VLOOKUP('Données projet (1)'!$B$17,'Paramètres (1)'!$A$1:$I$88,3,0)*VLOOKUP('Données projet (1)'!$B$17,'Paramètres (1)'!$A$1:$I$88,5,0)</f>
        <v>#REF!</v>
      </c>
      <c r="GB194" s="130" t="str">
        <f t="shared" si="142"/>
        <v>#REF!</v>
      </c>
      <c r="GC194" s="141" t="str">
        <f t="shared" si="89"/>
        <v>#REF!</v>
      </c>
      <c r="GD194" s="133" t="str">
        <f t="shared" si="90"/>
        <v>#REF!</v>
      </c>
      <c r="GE194" s="133" t="str">
        <f t="shared" si="91"/>
        <v>#REF!</v>
      </c>
      <c r="GF194" s="133" t="str">
        <f t="shared" si="143"/>
        <v>#REF!</v>
      </c>
      <c r="GG194" s="134" t="str">
        <f t="shared" si="92"/>
        <v>#REF!</v>
      </c>
      <c r="GH194" s="134" t="str">
        <f t="shared" si="93"/>
        <v>#REF!</v>
      </c>
      <c r="GI194" s="135" t="str">
        <f>IF(ISNA(VLOOKUP(A194,'Données projet (1)'!$A$243:$I$263,5,0)),0%,VLOOKUP(A194,'Données projet (1)'!$A$243:$I$263,5,0)*VLOOKUP('Données projet (1)'!$B$17,'Paramètres (1)'!$A$1:$I$88,7,0))</f>
        <v>#REF!</v>
      </c>
      <c r="GJ194" s="135" t="str">
        <f>IF(ISNA(VLOOKUP(A194,'Données projet (1)'!$A$243:$I$263,6,0)),0%,VLOOKUP(A194,'Données projet (1)'!$A$243:$I$263,6,0)*VLOOKUP('Données projet (1)'!$B$17,'Paramètres (1)'!$A$1:$I$88,7,0))</f>
        <v>#REF!</v>
      </c>
      <c r="GK194" s="135" t="str">
        <f t="shared" si="94"/>
        <v>#REF!</v>
      </c>
      <c r="GL194" s="142" t="str">
        <f>EXP(-LN(2)/35)*GL193+(1-EXP(-LN(2)/35))/(LN(2)/35)*GH194*GI194*VLOOKUP('Données projet (1)'!$B$17,'Paramètres (1)'!$A$1:$I$88,3,0)*0.475*44/12</f>
        <v>#REF!</v>
      </c>
      <c r="GM194" s="142" t="str">
        <f>EXP(-LN(2)/25)*GM193+(1-EXP(-LN(2)/25))/(LN(2)/25)*'Calculateur (1)'!GH194*'Calculateur (1)'!GJ194*VLOOKUP('Données projet (1)'!$B$17,'Paramètres (1)'!$A$1:$I$88,3,0)*0.475*44/12</f>
        <v>#REF!</v>
      </c>
      <c r="GN194" s="142" t="str">
        <f>EXP(-LN(2)/2)*GN193+(1-EXP(-LN(2)/2))/(LN(2)/2)*GH194*GK194*VLOOKUP('Données projet (1)'!$B$17,'Paramètres (1)'!$A$1:$I$88,3,0)*0.475*44/12</f>
        <v>#REF!</v>
      </c>
      <c r="GO194" s="142" t="str">
        <f t="shared" si="95"/>
        <v>#REF!</v>
      </c>
      <c r="GP194" s="139" t="str">
        <f t="shared" si="96"/>
        <v>#REF!</v>
      </c>
      <c r="GQ194" s="131">
        <f t="shared" si="97"/>
        <v>10</v>
      </c>
      <c r="GR194" s="131" t="str">
        <f t="shared" si="144"/>
        <v>#REF!</v>
      </c>
      <c r="GS194" s="131" t="str">
        <f t="shared" si="98"/>
        <v>#REF!</v>
      </c>
      <c r="GT194" s="131" t="str">
        <f t="array" ref="GT194">INDEX(GS:GS,MIN(IF(ISNUMBER(GS194:GS390),ROW(GS194:GS390),"")))</f>
        <v/>
      </c>
      <c r="GU194" s="131" t="str">
        <f t="shared" si="145"/>
        <v>#REF!</v>
      </c>
      <c r="GV194" s="138" t="str">
        <f>GU194*VLOOKUP('Données projet (1)'!$B$18,'Paramètres (1)'!$A$1:$I$88,3,0)*VLOOKUP('Données projet (1)'!$B$18,'Paramètres (1)'!$A$1:$I$88,5,0)</f>
        <v>#REF!</v>
      </c>
      <c r="GW194" s="130" t="str">
        <f t="shared" si="146"/>
        <v>#REF!</v>
      </c>
      <c r="GX194" s="141" t="str">
        <f t="shared" si="99"/>
        <v>#REF!</v>
      </c>
      <c r="GY194" s="133" t="str">
        <f t="shared" si="100"/>
        <v>#REF!</v>
      </c>
      <c r="GZ194" s="133" t="str">
        <f t="shared" si="101"/>
        <v>#REF!</v>
      </c>
      <c r="HA194" s="133" t="str">
        <f t="shared" si="147"/>
        <v>#REF!</v>
      </c>
      <c r="HB194" s="134" t="str">
        <f t="shared" si="102"/>
        <v>#REF!</v>
      </c>
      <c r="HC194" s="134" t="str">
        <f t="shared" si="103"/>
        <v>#REF!</v>
      </c>
      <c r="HD194" s="135" t="str">
        <f>IF(ISNA(VLOOKUP(A194,'Données projet (1)'!$A$269:$I$289,5,0)),0%,VLOOKUP(A194,'Données projet (1)'!$A$269:$I$289,5,0)*VLOOKUP('Données projet (1)'!$B$18,'Paramètres (1)'!$A$1:$I$88,7,0))</f>
        <v>#REF!</v>
      </c>
      <c r="HE194" s="135" t="str">
        <f>IF(ISNA(VLOOKUP(A194,'Données projet (1)'!$A$269:$I$289,6,0)),0%,VLOOKUP(A194,'Données projet (1)'!$A$269:$I$289,6,0)*VLOOKUP('Données projet (1)'!$B$18,'Paramètres (1)'!$A$1:$I$88,7,0))</f>
        <v>#REF!</v>
      </c>
      <c r="HF194" s="135" t="str">
        <f t="shared" si="104"/>
        <v>#REF!</v>
      </c>
      <c r="HG194" s="142" t="str">
        <f>EXP(-LN(2)/35)*HG193+(1-EXP(-LN(2)/35))/(LN(2)/35)*HC194*HD194*VLOOKUP('Données projet (1)'!$B$18,'Paramètres (1)'!$A$1:$I$88,3,0)*0.475*44/12</f>
        <v>#REF!</v>
      </c>
      <c r="HH194" s="142" t="str">
        <f>EXP(-LN(2)/25)*HH193+(1-EXP(-LN(2)/25))/(LN(2)/25)*'Calculateur (1)'!HC194*'Calculateur (1)'!HE194*VLOOKUP('Données projet (1)'!$B$18,'Paramètres (1)'!$A$1:$I$88,3,0)*0.475*44/12</f>
        <v>#REF!</v>
      </c>
      <c r="HI194" s="142" t="str">
        <f>EXP(-LN(2)/2)*HI193+(1-EXP(-LN(2)/2))/(LN(2)/2)*HC194*HF194*VLOOKUP('Données projet (1)'!$B$18,'Paramètres (1)'!$A$1:$I$88,3,0)*0.475*44/12</f>
        <v>#REF!</v>
      </c>
      <c r="HJ194" s="143" t="str">
        <f t="shared" si="105"/>
        <v>#REF!</v>
      </c>
    </row>
    <row r="195" ht="14.25" customHeight="1">
      <c r="A195" s="125">
        <f t="shared" si="106"/>
        <v>192</v>
      </c>
      <c r="B195" s="126" t="str">
        <f t="shared" si="1"/>
        <v>#REF!</v>
      </c>
      <c r="C195" s="140" t="str">
        <f>'Calculateur (1)'!C194+'Scénario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5" s="127">
        <f t="shared" si="107"/>
        <v>0</v>
      </c>
      <c r="E195" s="127" t="str">
        <f t="shared" si="2"/>
        <v>#REF!</v>
      </c>
      <c r="F195" s="127" t="str">
        <f t="shared" si="3"/>
        <v>#REF!</v>
      </c>
      <c r="G195" s="127" t="str">
        <f t="shared" si="4"/>
        <v>#REF!</v>
      </c>
      <c r="H195" s="128" t="str">
        <f t="shared" si="5"/>
        <v>#REF!</v>
      </c>
      <c r="I195" s="129" t="str">
        <f t="shared" si="6"/>
        <v>#REF!</v>
      </c>
      <c r="J195" s="130">
        <f t="shared" si="7"/>
        <v>10</v>
      </c>
      <c r="K195" s="131" t="str">
        <f t="shared" si="108"/>
        <v>#REF!</v>
      </c>
      <c r="L195" s="131" t="str">
        <f t="shared" si="8"/>
        <v>#REF!</v>
      </c>
      <c r="M195" s="131" t="str">
        <f t="array" ref="M195">INDEX(L:L,MIN(IF(ISNUMBER(L195:L391),ROW(L195:L391),"")))</f>
        <v/>
      </c>
      <c r="N195" s="130" t="str">
        <f t="shared" si="109"/>
        <v>#REF!</v>
      </c>
      <c r="O195" s="130" t="str">
        <f>N195*VLOOKUP('Données projet (1)'!$B$9,'Paramètres (1)'!$A$1:$I$88,3,0)*VLOOKUP('Données projet (1)'!$B$9,'Paramètres (1)'!$A$1:$I$88,5,0)</f>
        <v>#REF!</v>
      </c>
      <c r="P195" s="130" t="str">
        <f t="shared" si="110"/>
        <v>#REF!</v>
      </c>
      <c r="Q195" s="141" t="str">
        <f t="shared" si="9"/>
        <v>#REF!</v>
      </c>
      <c r="R195" s="133" t="str">
        <f t="shared" si="10"/>
        <v>#REF!</v>
      </c>
      <c r="S195" s="133" t="str">
        <f t="shared" si="11"/>
        <v>#REF!</v>
      </c>
      <c r="T195" s="133" t="str">
        <f t="shared" si="111"/>
        <v>#REF!</v>
      </c>
      <c r="U195" s="134" t="str">
        <f t="shared" si="12"/>
        <v>#REF!</v>
      </c>
      <c r="V195" s="134" t="str">
        <f t="shared" si="13"/>
        <v>#REF!</v>
      </c>
      <c r="W195" s="135" t="str">
        <f>IF(ISNA(VLOOKUP(A195,'Données projet (1)'!$A$35:$I$55,5,0)),0%,VLOOKUP(A195,'Données projet (1)'!$A$35:$I$55,5,0)*VLOOKUP('Données projet (1)'!$B$9,'Paramètres (1)'!$A$1:$I$88,7,0))</f>
        <v>#REF!</v>
      </c>
      <c r="X195" s="135" t="str">
        <f>IF(ISNA(VLOOKUP(A195,'Données projet (1)'!$A$35:$I$55,6,0)),0%,VLOOKUP(A195,'Données projet (1)'!$A$35:$I$55,6,0)*VLOOKUP('Données projet (1)'!$B$9,'Paramètres (1)'!$A$1:$I$88,7,0))</f>
        <v>#REF!</v>
      </c>
      <c r="Y195" s="135" t="str">
        <f t="shared" si="14"/>
        <v>#REF!</v>
      </c>
      <c r="Z195" s="142" t="str">
        <f>EXP(-LN(2)/35)*Z194+(1-EXP(-LN(2)/35))/(LN(2)/35)*V195*W195*VLOOKUP('Données projet (1)'!$B$9,'Paramètres (1)'!$A$1:$I$88,3,0)*0.475*44/12</f>
        <v>#REF!</v>
      </c>
      <c r="AA195" s="142" t="str">
        <f>EXP(-LN(2)/25)*AA194+(1-EXP(-LN(2)/25))/(LN(2)/25)*'Calculateur (1)'!V195*'Calculateur (1)'!X195*VLOOKUP('Données projet (1)'!$B$9,'Paramètres (1)'!$A$1:$I$88,3,0)*0.475*44/12</f>
        <v>#REF!</v>
      </c>
      <c r="AB195" s="142" t="str">
        <f>EXP(-LN(2)/2)*AB194+(1-EXP(-LN(2)/2))/(LN(2)/2)*V195*Y195*VLOOKUP('Données projet (1)'!$B$9,'Paramètres (1)'!$A$1:$I$88,3,0)*0.475*44/12</f>
        <v>#REF!</v>
      </c>
      <c r="AC195" s="143" t="str">
        <f t="shared" si="15"/>
        <v>#REF!</v>
      </c>
      <c r="AD195" s="130" t="str">
        <f t="shared" si="16"/>
        <v>#REF!</v>
      </c>
      <c r="AE195" s="130">
        <f t="shared" si="17"/>
        <v>10</v>
      </c>
      <c r="AF195" s="131" t="str">
        <f t="shared" si="112"/>
        <v>#REF!</v>
      </c>
      <c r="AG195" s="131" t="str">
        <f t="shared" si="18"/>
        <v>#REF!</v>
      </c>
      <c r="AH195" s="131" t="str">
        <f t="array" ref="AH195">INDEX(AG:AG,MIN(IF(ISNUMBER(AG195:AG391),ROW(AG195:AG391),"")))</f>
        <v/>
      </c>
      <c r="AI195" s="130" t="str">
        <f t="shared" si="113"/>
        <v>#REF!</v>
      </c>
      <c r="AJ195" s="130" t="str">
        <f>AI195*VLOOKUP('Données projet (1)'!$B$10,'Paramètres (1)'!$A$1:$I$88,3,0)*VLOOKUP('Données projet (1)'!$B$10,'Paramètres (1)'!$A$1:$I$88,5,0)</f>
        <v>#REF!</v>
      </c>
      <c r="AK195" s="130" t="str">
        <f t="shared" si="114"/>
        <v>#REF!</v>
      </c>
      <c r="AL195" s="141" t="str">
        <f t="shared" si="19"/>
        <v>#REF!</v>
      </c>
      <c r="AM195" s="133" t="str">
        <f t="shared" si="20"/>
        <v>#REF!</v>
      </c>
      <c r="AN195" s="133" t="str">
        <f t="shared" si="21"/>
        <v>#REF!</v>
      </c>
      <c r="AO195" s="133" t="str">
        <f t="shared" si="115"/>
        <v>#REF!</v>
      </c>
      <c r="AP195" s="134" t="str">
        <f t="shared" si="22"/>
        <v>#REF!</v>
      </c>
      <c r="AQ195" s="134" t="str">
        <f t="shared" si="23"/>
        <v>#REF!</v>
      </c>
      <c r="AR195" s="135" t="str">
        <f>IF(ISNA(VLOOKUP(A195,'Données projet (1)'!$A$61:$I$81,5,0)),0%,VLOOKUP(A195,'Données projet (1)'!$A$61:$I$81,5,0)*VLOOKUP('Données projet (1)'!$B$10,'Paramètres (1)'!$A$1:$I$88,7,0))</f>
        <v>#REF!</v>
      </c>
      <c r="AS195" s="135" t="str">
        <f>IF(ISNA(VLOOKUP(A195,'Données projet (1)'!$A$61:$I$81,6,0)),0%,VLOOKUP(A195,'Données projet (1)'!$A$61:$I$81,6,0)*VLOOKUP('Données projet (1)'!$B$10,'Paramètres (1)'!$A$1:$I$88,7,0))</f>
        <v>#REF!</v>
      </c>
      <c r="AT195" s="135" t="str">
        <f t="shared" si="24"/>
        <v>#REF!</v>
      </c>
      <c r="AU195" s="142" t="str">
        <f>EXP(-LN(2)/35)*AU194+(1-EXP(-LN(2)/35))/(LN(2)/35)*AQ195*AR195*VLOOKUP('Données projet (1)'!$B$10,'Paramètres (1)'!$A$1:$I$88,3,0)*0.475*44/12</f>
        <v>#REF!</v>
      </c>
      <c r="AV195" s="142" t="str">
        <f>EXP(-LN(2)/25)*AV194+(1-EXP(-LN(2)/25))/(LN(2)/25)*'Calculateur (1)'!AQ195*'Calculateur (1)'!AS195*VLOOKUP('Données projet (1)'!$B$10,'Paramètres (1)'!$A$1:$I$88,3,0)*0.475*44/12</f>
        <v>#REF!</v>
      </c>
      <c r="AW195" s="142" t="str">
        <f>EXP(-LN(2)/2)*AW194+(1-EXP(-LN(2)/2))/(LN(2)/2)*AQ195*AT195*VLOOKUP('Données projet (1)'!$B$10,'Paramètres (1)'!$A$1:$I$88,3,0)*0.475*44/12</f>
        <v>#REF!</v>
      </c>
      <c r="AX195" s="142" t="str">
        <f t="shared" si="25"/>
        <v>#REF!</v>
      </c>
      <c r="AY195" s="137" t="str">
        <f t="shared" si="26"/>
        <v>#REF!</v>
      </c>
      <c r="AZ195" s="131">
        <f t="shared" si="27"/>
        <v>10</v>
      </c>
      <c r="BA195" s="131" t="str">
        <f t="shared" si="116"/>
        <v>#REF!</v>
      </c>
      <c r="BB195" s="131" t="str">
        <f t="shared" si="28"/>
        <v>#REF!</v>
      </c>
      <c r="BC195" s="131" t="str">
        <f t="array" ref="BC195">INDEX(BB:BB,MIN(IF(ISNUMBER(BB195:BB391),ROW(BB195:BB391),"")))</f>
        <v/>
      </c>
      <c r="BD195" s="131" t="str">
        <f t="shared" si="117"/>
        <v>#REF!</v>
      </c>
      <c r="BE195" s="130" t="str">
        <f>BD195*VLOOKUP('Données projet (1)'!$B$11,'Paramètres (1)'!$A$1:$I$88,3,0)*VLOOKUP('Données projet (1)'!$B$11,'Paramètres (1)'!$A$1:$I$88,5,0)</f>
        <v>#REF!</v>
      </c>
      <c r="BF195" s="130" t="str">
        <f t="shared" si="118"/>
        <v>#REF!</v>
      </c>
      <c r="BG195" s="141" t="str">
        <f t="shared" si="29"/>
        <v>#REF!</v>
      </c>
      <c r="BH195" s="133" t="str">
        <f t="shared" si="30"/>
        <v>#REF!</v>
      </c>
      <c r="BI195" s="133" t="str">
        <f t="shared" si="31"/>
        <v>#REF!</v>
      </c>
      <c r="BJ195" s="133" t="str">
        <f t="shared" si="119"/>
        <v>#REF!</v>
      </c>
      <c r="BK195" s="134" t="str">
        <f t="shared" si="32"/>
        <v>#REF!</v>
      </c>
      <c r="BL195" s="134" t="str">
        <f t="shared" si="33"/>
        <v>#REF!</v>
      </c>
      <c r="BM195" s="135" t="str">
        <f>IF(ISNA(VLOOKUP(A195,'Données projet (1)'!$A$87:$I$107,5,0)),0%,VLOOKUP(A195,'Données projet (1)'!$A$87:$I$107,5,0)*VLOOKUP('Données projet (1)'!$B$11,'Paramètres (1)'!$A$1:$I$88,7,0))</f>
        <v>#REF!</v>
      </c>
      <c r="BN195" s="135" t="str">
        <f>IF(ISNA(VLOOKUP(A195,'Données projet (1)'!$A$87:$I$107,6,0)),0%,VLOOKUP(A195,'Données projet (1)'!$A$87:$I$107,6,0)*VLOOKUP('Données projet (1)'!$B$11,'Paramètres (1)'!$A$1:$I$88,7,0))</f>
        <v>#REF!</v>
      </c>
      <c r="BO195" s="135" t="str">
        <f t="shared" si="34"/>
        <v>#REF!</v>
      </c>
      <c r="BP195" s="142" t="str">
        <f>EXP(-LN(2)/35)*BP194+(1-EXP(-LN(2)/35))/(LN(2)/35)*BL195*BM195*VLOOKUP('Données projet (1)'!$B$11,'Paramètres (1)'!$A$1:$I$88,3,0)*0.475*44/12</f>
        <v>#REF!</v>
      </c>
      <c r="BQ195" s="142" t="str">
        <f>EXP(-LN(2)/25)*BQ194+(1-EXP(-LN(2)/25))/(LN(2)/25)*'Calculateur (1)'!BL195*'Calculateur (1)'!BN195*VLOOKUP('Données projet (1)'!$B$11,'Paramètres (1)'!$A$1:$I$88,3,0)*0.475*44/12</f>
        <v>#REF!</v>
      </c>
      <c r="BR195" s="142" t="str">
        <f>EXP(-LN(2)/2)*BR194+(1-EXP(-LN(2)/2))/(LN(2)/2)*BL195*BO195*VLOOKUP('Données projet (1)'!$B$11,'Paramètres (1)'!$A$1:$I$88,3,0)*0.475*44/12</f>
        <v>#REF!</v>
      </c>
      <c r="BS195" s="143" t="str">
        <f t="shared" si="35"/>
        <v>#REF!</v>
      </c>
      <c r="BT195" s="139" t="str">
        <f t="shared" si="36"/>
        <v>#REF!</v>
      </c>
      <c r="BU195" s="131">
        <f t="shared" si="37"/>
        <v>10</v>
      </c>
      <c r="BV195" s="131" t="str">
        <f t="shared" si="120"/>
        <v>#REF!</v>
      </c>
      <c r="BW195" s="131" t="str">
        <f t="shared" si="38"/>
        <v>#REF!</v>
      </c>
      <c r="BX195" s="131" t="str">
        <f t="array" ref="BX195">INDEX(BW:BW,MIN(IF(ISNUMBER(BW195:BW391),ROW(BW195:BW391),"")))</f>
        <v/>
      </c>
      <c r="BY195" s="131" t="str">
        <f t="shared" si="121"/>
        <v>#REF!</v>
      </c>
      <c r="BZ195" s="130" t="str">
        <f>BY195*VLOOKUP('Données projet (1)'!$B$12,'Paramètres (1)'!$A$1:$I$88,3,0)*VLOOKUP('Données projet (1)'!$B$12,'Paramètres (1)'!$A$1:$I$88,5,0)</f>
        <v>#REF!</v>
      </c>
      <c r="CA195" s="130" t="str">
        <f t="shared" si="122"/>
        <v>#REF!</v>
      </c>
      <c r="CB195" s="141" t="str">
        <f t="shared" si="39"/>
        <v>#REF!</v>
      </c>
      <c r="CC195" s="133" t="str">
        <f t="shared" si="40"/>
        <v>#REF!</v>
      </c>
      <c r="CD195" s="133" t="str">
        <f t="shared" si="41"/>
        <v>#REF!</v>
      </c>
      <c r="CE195" s="133" t="str">
        <f t="shared" si="123"/>
        <v>#REF!</v>
      </c>
      <c r="CF195" s="134" t="str">
        <f t="shared" si="42"/>
        <v>#REF!</v>
      </c>
      <c r="CG195" s="134" t="str">
        <f t="shared" si="43"/>
        <v>#REF!</v>
      </c>
      <c r="CH195" s="135" t="str">
        <f>IF(ISNA(VLOOKUP(A195,'Données projet (1)'!$A$113:$I$133,5,0)),0%,VLOOKUP(A195,'Données projet (1)'!$A$113:$I$133,5,0)*VLOOKUP('Données projet (1)'!$B$12,'Paramètres (1)'!$A$1:$I$88,7,0))</f>
        <v>#REF!</v>
      </c>
      <c r="CI195" s="135" t="str">
        <f>IF(ISNA(VLOOKUP(A195,'Données projet (1)'!$A$113:$I$133,6,0)),0%,VLOOKUP(A195,'Données projet (1)'!$A$113:$I$133,6,0)*VLOOKUP('Données projet (1)'!$B$12,'Paramètres (1)'!$A$1:$I$88,7,0))</f>
        <v>#REF!</v>
      </c>
      <c r="CJ195" s="135" t="str">
        <f t="shared" si="44"/>
        <v>#REF!</v>
      </c>
      <c r="CK195" s="142" t="str">
        <f>EXP(-LN(2)/35)*CK194+(1-EXP(-LN(2)/35))/(LN(2)/35)*CG195*CH195*VLOOKUP('Données projet (1)'!$B$12,'Paramètres (1)'!$A$1:$I$88,3,0)*0.475*44/12</f>
        <v>#REF!</v>
      </c>
      <c r="CL195" s="142" t="str">
        <f>EXP(-LN(2)/25)*CL194+(1-EXP(-LN(2)/25))/(LN(2)/25)*'Calculateur (1)'!CG195*'Calculateur (1)'!CI195*VLOOKUP('Données projet (1)'!$B$12,'Paramètres (1)'!$A$1:$I$88,3,0)*0.475*44/12</f>
        <v>#REF!</v>
      </c>
      <c r="CM195" s="142" t="str">
        <f>EXP(-LN(2)/2)*CM194+(1-EXP(-LN(2)/2))/(LN(2)/2)*CG195*CJ195*VLOOKUP('Données projet (1)'!$B$12,'Paramètres (1)'!$A$1:$I$88,3,0)*0.475*44/12</f>
        <v>#REF!</v>
      </c>
      <c r="CN195" s="143" t="str">
        <f t="shared" si="45"/>
        <v>#REF!</v>
      </c>
      <c r="CO195" s="139" t="str">
        <f t="shared" si="46"/>
        <v>#REF!</v>
      </c>
      <c r="CP195" s="131">
        <f t="shared" si="47"/>
        <v>10</v>
      </c>
      <c r="CQ195" s="131" t="str">
        <f t="shared" si="124"/>
        <v>#REF!</v>
      </c>
      <c r="CR195" s="131" t="str">
        <f t="shared" si="48"/>
        <v>#REF!</v>
      </c>
      <c r="CS195" s="131" t="str">
        <f t="array" ref="CS195">INDEX(CR:CR,MIN(IF(ISNUMBER(CR195:CR391),ROW(CR195:CR391),"")))</f>
        <v/>
      </c>
      <c r="CT195" s="131" t="str">
        <f t="shared" si="125"/>
        <v>#REF!</v>
      </c>
      <c r="CU195" s="138" t="str">
        <f>CT195*VLOOKUP('Données projet (1)'!$B$13,'Paramètres (1)'!$A$1:$I$88,3,0)*VLOOKUP('Données projet (1)'!$B$13,'Paramètres (1)'!$A$1:$I$88,5,0)</f>
        <v>#REF!</v>
      </c>
      <c r="CV195" s="130" t="str">
        <f t="shared" si="126"/>
        <v>#REF!</v>
      </c>
      <c r="CW195" s="141" t="str">
        <f t="shared" si="49"/>
        <v>#REF!</v>
      </c>
      <c r="CX195" s="133" t="str">
        <f t="shared" si="50"/>
        <v>#REF!</v>
      </c>
      <c r="CY195" s="133" t="str">
        <f t="shared" si="51"/>
        <v>#REF!</v>
      </c>
      <c r="CZ195" s="133" t="str">
        <f t="shared" si="127"/>
        <v>#REF!</v>
      </c>
      <c r="DA195" s="134" t="str">
        <f t="shared" si="52"/>
        <v>#REF!</v>
      </c>
      <c r="DB195" s="134" t="str">
        <f t="shared" si="53"/>
        <v>#REF!</v>
      </c>
      <c r="DC195" s="135" t="str">
        <f>IF(ISNA(VLOOKUP(A195,'Données projet (1)'!$A$139:$I$159,5,0)),0%,VLOOKUP(A195,'Données projet (1)'!$A$139:$I$159,5,0)*VLOOKUP('Données projet (1)'!$B$13,'Paramètres (1)'!$A$1:$I$88,7,0))</f>
        <v>#REF!</v>
      </c>
      <c r="DD195" s="135" t="str">
        <f>IF(ISNA(VLOOKUP(A195,'Données projet (1)'!$A$139:$I$159,6,0)),0%,VLOOKUP(A195,'Données projet (1)'!$A$139:$I$159,6,0)*VLOOKUP('Données projet (1)'!$B$13,'Paramètres (1)'!$A$1:$I$88,7,0))</f>
        <v>#REF!</v>
      </c>
      <c r="DE195" s="135" t="str">
        <f t="shared" si="54"/>
        <v>#REF!</v>
      </c>
      <c r="DF195" s="142" t="str">
        <f>EXP(-LN(2)/35)*DF194+(1-EXP(-LN(2)/35))/(LN(2)/35)*DB195*DC195*VLOOKUP('Données projet (1)'!$B$13,'Paramètres (1)'!$A$1:$I$88,3,0)*0.475*44/12</f>
        <v>#REF!</v>
      </c>
      <c r="DG195" s="142" t="str">
        <f>EXP(-LN(2)/25)*DG194+(1-EXP(-LN(2)/25))/(LN(2)/25)*'Calculateur (1)'!DB195*'Calculateur (1)'!DD195*VLOOKUP('Données projet (1)'!$B$13,'Paramètres (1)'!$A$1:$I$88,3,0)*0.475*44/12</f>
        <v>#REF!</v>
      </c>
      <c r="DH195" s="142" t="str">
        <f>EXP(-LN(2)/2)*DH194+(1-EXP(-LN(2)/2))/(LN(2)/2)*DB195*DE195*VLOOKUP('Données projet (1)'!$B$13,'Paramètres (1)'!$A$1:$I$88,3,0)*0.475*44/12</f>
        <v>#REF!</v>
      </c>
      <c r="DI195" s="143" t="str">
        <f t="shared" si="55"/>
        <v>#REF!</v>
      </c>
      <c r="DJ195" s="139" t="str">
        <f t="shared" si="56"/>
        <v>#REF!</v>
      </c>
      <c r="DK195" s="131">
        <f t="shared" si="57"/>
        <v>10</v>
      </c>
      <c r="DL195" s="131" t="str">
        <f t="shared" si="128"/>
        <v>#REF!</v>
      </c>
      <c r="DM195" s="131" t="str">
        <f t="shared" si="58"/>
        <v>#REF!</v>
      </c>
      <c r="DN195" s="131" t="str">
        <f t="array" ref="DN195">INDEX(DM:DM,MIN(IF(ISNUMBER(DM195:DM391),ROW(DM195:DM391),"")))</f>
        <v/>
      </c>
      <c r="DO195" s="131" t="str">
        <f t="shared" si="129"/>
        <v>#REF!</v>
      </c>
      <c r="DP195" s="138" t="str">
        <f>DO195*VLOOKUP('Données projet (1)'!$B$14,'Paramètres (1)'!$A$1:$I$88,3,0)*VLOOKUP('Données projet (1)'!$B$14,'Paramètres (1)'!$A$1:$I$88,5,0)</f>
        <v>#REF!</v>
      </c>
      <c r="DQ195" s="130" t="str">
        <f t="shared" si="130"/>
        <v>#REF!</v>
      </c>
      <c r="DR195" s="141" t="str">
        <f t="shared" si="59"/>
        <v>#REF!</v>
      </c>
      <c r="DS195" s="133" t="str">
        <f t="shared" si="60"/>
        <v>#REF!</v>
      </c>
      <c r="DT195" s="133" t="str">
        <f t="shared" si="61"/>
        <v>#REF!</v>
      </c>
      <c r="DU195" s="133" t="str">
        <f t="shared" si="131"/>
        <v>#REF!</v>
      </c>
      <c r="DV195" s="134" t="str">
        <f t="shared" si="62"/>
        <v>#REF!</v>
      </c>
      <c r="DW195" s="134" t="str">
        <f t="shared" si="63"/>
        <v>#REF!</v>
      </c>
      <c r="DX195" s="135" t="str">
        <f>IF(ISNA(VLOOKUP(A195,'Données projet (1)'!$A$165:$I$185,5,0)),0%,VLOOKUP(A195,'Données projet (1)'!$A$165:$I$185,5,0)*VLOOKUP('Données projet (1)'!$B$14,'Paramètres (1)'!$A$1:$I$88,7,0))</f>
        <v>#REF!</v>
      </c>
      <c r="DY195" s="135" t="str">
        <f>IF(ISNA(VLOOKUP(A195,'Données projet (1)'!$A$165:$I$185,6,0)),0%,VLOOKUP(A195,'Données projet (1)'!$A$165:$I$185,6,0)*VLOOKUP('Données projet (1)'!$B$14,'Paramètres (1)'!$A$1:$I$88,7,0))</f>
        <v>#REF!</v>
      </c>
      <c r="DZ195" s="135" t="str">
        <f t="shared" si="64"/>
        <v>#REF!</v>
      </c>
      <c r="EA195" s="142" t="str">
        <f>EXP(-LN(2)/35)*EA194+(1-EXP(-LN(2)/35))/(LN(2)/35)*DW195*DX195*VLOOKUP('Données projet (1)'!$B$14,'Paramètres (1)'!$A$1:$I$88,3,0)*0.475*44/12</f>
        <v>#REF!</v>
      </c>
      <c r="EB195" s="142" t="str">
        <f>EXP(-LN(2)/25)*EB194+(1-EXP(-LN(2)/25))/(LN(2)/25)*'Calculateur (1)'!DW195*'Calculateur (1)'!DY195*VLOOKUP('Données projet (1)'!$B$14,'Paramètres (1)'!$A$1:$I$88,3,0)*0.475*44/12</f>
        <v>#REF!</v>
      </c>
      <c r="EC195" s="142" t="str">
        <f>EXP(-LN(2)/2)*EC194+(1-EXP(-LN(2)/2))/(LN(2)/2)*DW195*DZ195*VLOOKUP('Données projet (1)'!$B$14,'Paramètres (1)'!$A$1:$I$88,3,0)*0.475*44/12</f>
        <v>#REF!</v>
      </c>
      <c r="ED195" s="143" t="str">
        <f t="shared" si="65"/>
        <v>#REF!</v>
      </c>
      <c r="EE195" s="139" t="str">
        <f t="shared" si="66"/>
        <v>#REF!</v>
      </c>
      <c r="EF195" s="131">
        <f t="shared" si="67"/>
        <v>10</v>
      </c>
      <c r="EG195" s="131" t="str">
        <f t="shared" si="132"/>
        <v>#REF!</v>
      </c>
      <c r="EH195" s="131" t="str">
        <f t="shared" si="68"/>
        <v>#REF!</v>
      </c>
      <c r="EI195" s="131" t="str">
        <f t="array" ref="EI195">INDEX(EH:EH,MIN(IF(ISNUMBER(EH195:EH391),ROW(EH195:EH391),"")))</f>
        <v/>
      </c>
      <c r="EJ195" s="131" t="str">
        <f t="shared" si="133"/>
        <v>#REF!</v>
      </c>
      <c r="EK195" s="138" t="str">
        <f>EJ195*VLOOKUP('Données projet (1)'!$B$15,'Paramètres (1)'!$A$1:$I$88,3,0)*VLOOKUP('Données projet (1)'!$B$15,'Paramètres (1)'!$A$1:$I$88,5,0)</f>
        <v>#REF!</v>
      </c>
      <c r="EL195" s="130" t="str">
        <f t="shared" si="134"/>
        <v>#REF!</v>
      </c>
      <c r="EM195" s="141" t="str">
        <f t="shared" si="69"/>
        <v>#REF!</v>
      </c>
      <c r="EN195" s="133" t="str">
        <f t="shared" si="70"/>
        <v>#REF!</v>
      </c>
      <c r="EO195" s="133" t="str">
        <f t="shared" si="71"/>
        <v>#REF!</v>
      </c>
      <c r="EP195" s="133" t="str">
        <f t="shared" si="135"/>
        <v>#REF!</v>
      </c>
      <c r="EQ195" s="134" t="str">
        <f t="shared" si="72"/>
        <v>#REF!</v>
      </c>
      <c r="ER195" s="134" t="str">
        <f t="shared" si="73"/>
        <v>#REF!</v>
      </c>
      <c r="ES195" s="135" t="str">
        <f>IF(ISNA(VLOOKUP(A195,'Données projet (1)'!$A$191:$I$211,5,0)),0%,VLOOKUP(A195,'Données projet (1)'!$A$191:$I$211,5,0)*VLOOKUP('Données projet (1)'!$B$15,'Paramètres (1)'!$A$1:$I$88,7,0))</f>
        <v>#REF!</v>
      </c>
      <c r="ET195" s="135" t="str">
        <f>IF(ISNA(VLOOKUP(A195,'Données projet (1)'!$A$191:$I$211,6,0)),0%,VLOOKUP(A195,'Données projet (1)'!$A$191:$I$211,6,0)*VLOOKUP('Données projet (1)'!$B$15,'Paramètres (1)'!$A$1:$I$88,7,0))</f>
        <v>#REF!</v>
      </c>
      <c r="EU195" s="135" t="str">
        <f t="shared" si="74"/>
        <v>#REF!</v>
      </c>
      <c r="EV195" s="142" t="str">
        <f>EXP(-LN(2)/35)*EV194+(1-EXP(-LN(2)/35))/(LN(2)/35)*ER195*ES195*VLOOKUP('Données projet (1)'!$B$15,'Paramètres (1)'!$A$1:$I$88,3,0)*0.475*44/12</f>
        <v>#REF!</v>
      </c>
      <c r="EW195" s="142" t="str">
        <f>EXP(-LN(2)/25)*EW194+(1-EXP(-LN(2)/25))/(LN(2)/25)*'Calculateur (1)'!ER195*'Calculateur (1)'!ET195*VLOOKUP('Données projet (1)'!$B$15,'Paramètres (1)'!$A$1:$I$88,3,0)*0.475*44/12</f>
        <v>#REF!</v>
      </c>
      <c r="EX195" s="142" t="str">
        <f>EXP(-LN(2)/2)*EX194+(1-EXP(-LN(2)/2))/(LN(2)/2)*ER195*EU195*VLOOKUP('Données projet (1)'!$B$15,'Paramètres (1)'!$A$1:$I$88,3,0)*0.475*44/12</f>
        <v>#REF!</v>
      </c>
      <c r="EY195" s="143" t="str">
        <f t="shared" si="75"/>
        <v>#REF!</v>
      </c>
      <c r="EZ195" s="139" t="str">
        <f t="shared" si="76"/>
        <v>#REF!</v>
      </c>
      <c r="FA195" s="131">
        <f t="shared" si="77"/>
        <v>10</v>
      </c>
      <c r="FB195" s="131" t="str">
        <f t="shared" si="136"/>
        <v>#REF!</v>
      </c>
      <c r="FC195" s="131" t="str">
        <f t="shared" si="78"/>
        <v>#REF!</v>
      </c>
      <c r="FD195" s="131" t="str">
        <f t="array" ref="FD195">INDEX(FC:FC,MIN(IF(ISNUMBER(FC195:FC391),ROW(FC195:FC391),"")))</f>
        <v/>
      </c>
      <c r="FE195" s="131" t="str">
        <f t="shared" si="137"/>
        <v>#REF!</v>
      </c>
      <c r="FF195" s="138" t="str">
        <f>FE195*VLOOKUP('Données projet (1)'!$B$16,'Paramètres (1)'!$A$1:$I$88,3,0)*VLOOKUP('Données projet (1)'!$B$16,'Paramètres (1)'!$A$1:$I$88,5,0)</f>
        <v>#REF!</v>
      </c>
      <c r="FG195" s="130" t="str">
        <f t="shared" si="138"/>
        <v>#REF!</v>
      </c>
      <c r="FH195" s="141" t="str">
        <f t="shared" si="79"/>
        <v>#REF!</v>
      </c>
      <c r="FI195" s="133" t="str">
        <f t="shared" si="80"/>
        <v>#REF!</v>
      </c>
      <c r="FJ195" s="133" t="str">
        <f t="shared" si="81"/>
        <v>#REF!</v>
      </c>
      <c r="FK195" s="133" t="str">
        <f t="shared" si="139"/>
        <v>#REF!</v>
      </c>
      <c r="FL195" s="134" t="str">
        <f t="shared" si="82"/>
        <v>#REF!</v>
      </c>
      <c r="FM195" s="134" t="str">
        <f t="shared" si="83"/>
        <v>#REF!</v>
      </c>
      <c r="FN195" s="135" t="str">
        <f>IF(ISNA(VLOOKUP(A195,'Données projet (1)'!$A$217:$I$237,5,0)),0%,VLOOKUP(A195,'Données projet (1)'!$A$217:$I$237,5,0)*VLOOKUP('Données projet (1)'!$B$16,'Paramètres (1)'!$A$1:$I$88,7,0))</f>
        <v>#REF!</v>
      </c>
      <c r="FO195" s="135" t="str">
        <f>IF(ISNA(VLOOKUP(A195,'Données projet (1)'!$A$217:$I$237,6,0)),0%,VLOOKUP(A195,'Données projet (1)'!$A$217:$I$237,6,0)*VLOOKUP('Données projet (1)'!$B$16,'Paramètres (1)'!$A$1:$I$88,7,0))</f>
        <v>#REF!</v>
      </c>
      <c r="FP195" s="135" t="str">
        <f t="shared" si="84"/>
        <v>#REF!</v>
      </c>
      <c r="FQ195" s="142" t="str">
        <f>EXP(-LN(2)/35)*FQ194+(1-EXP(-LN(2)/35))/(LN(2)/35)*FM195*FN195*VLOOKUP('Données projet (1)'!$B$16,'Paramètres (1)'!$A$1:$I$88,3,0)*0.475*44/12</f>
        <v>#REF!</v>
      </c>
      <c r="FR195" s="142" t="str">
        <f>EXP(-LN(2)/25)*FR194+(1-EXP(-LN(2)/25))/(LN(2)/25)*'Calculateur (1)'!FM195*'Calculateur (1)'!FO195*VLOOKUP('Données projet (1)'!$B$16,'Paramètres (1)'!$A$1:$I$88,3,0)*0.475*44/12</f>
        <v>#REF!</v>
      </c>
      <c r="FS195" s="142" t="str">
        <f>EXP(-LN(2)/2)*FS194+(1-EXP(-LN(2)/2))/(LN(2)/2)*FM195*FP195*VLOOKUP('Données projet (1)'!$B$16,'Paramètres (1)'!$A$1:$I$88,3,0)*0.475*44/12</f>
        <v>#REF!</v>
      </c>
      <c r="FT195" s="143" t="str">
        <f t="shared" si="85"/>
        <v>#REF!</v>
      </c>
      <c r="FU195" s="139" t="str">
        <f t="shared" si="86"/>
        <v>#REF!</v>
      </c>
      <c r="FV195" s="131">
        <f t="shared" si="87"/>
        <v>10</v>
      </c>
      <c r="FW195" s="131" t="str">
        <f t="shared" si="140"/>
        <v>#REF!</v>
      </c>
      <c r="FX195" s="131" t="str">
        <f t="shared" si="88"/>
        <v>#REF!</v>
      </c>
      <c r="FY195" s="131" t="str">
        <f t="array" ref="FY195">INDEX(FX:FX,MIN(IF(ISNUMBER(FX195:FX391),ROW(FX195:FX391),"")))</f>
        <v/>
      </c>
      <c r="FZ195" s="131" t="str">
        <f t="shared" si="141"/>
        <v>#REF!</v>
      </c>
      <c r="GA195" s="138" t="str">
        <f>FZ195*VLOOKUP('Données projet (1)'!$B$17,'Paramètres (1)'!$A$1:$I$88,3,0)*VLOOKUP('Données projet (1)'!$B$17,'Paramètres (1)'!$A$1:$I$88,5,0)</f>
        <v>#REF!</v>
      </c>
      <c r="GB195" s="130" t="str">
        <f t="shared" si="142"/>
        <v>#REF!</v>
      </c>
      <c r="GC195" s="141" t="str">
        <f t="shared" si="89"/>
        <v>#REF!</v>
      </c>
      <c r="GD195" s="133" t="str">
        <f t="shared" si="90"/>
        <v>#REF!</v>
      </c>
      <c r="GE195" s="133" t="str">
        <f t="shared" si="91"/>
        <v>#REF!</v>
      </c>
      <c r="GF195" s="133" t="str">
        <f t="shared" si="143"/>
        <v>#REF!</v>
      </c>
      <c r="GG195" s="134" t="str">
        <f t="shared" si="92"/>
        <v>#REF!</v>
      </c>
      <c r="GH195" s="134" t="str">
        <f t="shared" si="93"/>
        <v>#REF!</v>
      </c>
      <c r="GI195" s="135" t="str">
        <f>IF(ISNA(VLOOKUP(A195,'Données projet (1)'!$A$243:$I$263,5,0)),0%,VLOOKUP(A195,'Données projet (1)'!$A$243:$I$263,5,0)*VLOOKUP('Données projet (1)'!$B$17,'Paramètres (1)'!$A$1:$I$88,7,0))</f>
        <v>#REF!</v>
      </c>
      <c r="GJ195" s="135" t="str">
        <f>IF(ISNA(VLOOKUP(A195,'Données projet (1)'!$A$243:$I$263,6,0)),0%,VLOOKUP(A195,'Données projet (1)'!$A$243:$I$263,6,0)*VLOOKUP('Données projet (1)'!$B$17,'Paramètres (1)'!$A$1:$I$88,7,0))</f>
        <v>#REF!</v>
      </c>
      <c r="GK195" s="135" t="str">
        <f t="shared" si="94"/>
        <v>#REF!</v>
      </c>
      <c r="GL195" s="142" t="str">
        <f>EXP(-LN(2)/35)*GL194+(1-EXP(-LN(2)/35))/(LN(2)/35)*GH195*GI195*VLOOKUP('Données projet (1)'!$B$17,'Paramètres (1)'!$A$1:$I$88,3,0)*0.475*44/12</f>
        <v>#REF!</v>
      </c>
      <c r="GM195" s="142" t="str">
        <f>EXP(-LN(2)/25)*GM194+(1-EXP(-LN(2)/25))/(LN(2)/25)*'Calculateur (1)'!GH195*'Calculateur (1)'!GJ195*VLOOKUP('Données projet (1)'!$B$17,'Paramètres (1)'!$A$1:$I$88,3,0)*0.475*44/12</f>
        <v>#REF!</v>
      </c>
      <c r="GN195" s="142" t="str">
        <f>EXP(-LN(2)/2)*GN194+(1-EXP(-LN(2)/2))/(LN(2)/2)*GH195*GK195*VLOOKUP('Données projet (1)'!$B$17,'Paramètres (1)'!$A$1:$I$88,3,0)*0.475*44/12</f>
        <v>#REF!</v>
      </c>
      <c r="GO195" s="142" t="str">
        <f t="shared" si="95"/>
        <v>#REF!</v>
      </c>
      <c r="GP195" s="139" t="str">
        <f t="shared" si="96"/>
        <v>#REF!</v>
      </c>
      <c r="GQ195" s="131">
        <f t="shared" si="97"/>
        <v>10</v>
      </c>
      <c r="GR195" s="131" t="str">
        <f t="shared" si="144"/>
        <v>#REF!</v>
      </c>
      <c r="GS195" s="131" t="str">
        <f t="shared" si="98"/>
        <v>#REF!</v>
      </c>
      <c r="GT195" s="131" t="str">
        <f t="array" ref="GT195">INDEX(GS:GS,MIN(IF(ISNUMBER(GS195:GS391),ROW(GS195:GS391),"")))</f>
        <v/>
      </c>
      <c r="GU195" s="131" t="str">
        <f t="shared" si="145"/>
        <v>#REF!</v>
      </c>
      <c r="GV195" s="138" t="str">
        <f>GU195*VLOOKUP('Données projet (1)'!$B$18,'Paramètres (1)'!$A$1:$I$88,3,0)*VLOOKUP('Données projet (1)'!$B$18,'Paramètres (1)'!$A$1:$I$88,5,0)</f>
        <v>#REF!</v>
      </c>
      <c r="GW195" s="130" t="str">
        <f t="shared" si="146"/>
        <v>#REF!</v>
      </c>
      <c r="GX195" s="141" t="str">
        <f t="shared" si="99"/>
        <v>#REF!</v>
      </c>
      <c r="GY195" s="133" t="str">
        <f t="shared" si="100"/>
        <v>#REF!</v>
      </c>
      <c r="GZ195" s="133" t="str">
        <f t="shared" si="101"/>
        <v>#REF!</v>
      </c>
      <c r="HA195" s="133" t="str">
        <f t="shared" si="147"/>
        <v>#REF!</v>
      </c>
      <c r="HB195" s="134" t="str">
        <f t="shared" si="102"/>
        <v>#REF!</v>
      </c>
      <c r="HC195" s="134" t="str">
        <f t="shared" si="103"/>
        <v>#REF!</v>
      </c>
      <c r="HD195" s="135" t="str">
        <f>IF(ISNA(VLOOKUP(A195,'Données projet (1)'!$A$269:$I$289,5,0)),0%,VLOOKUP(A195,'Données projet (1)'!$A$269:$I$289,5,0)*VLOOKUP('Données projet (1)'!$B$18,'Paramètres (1)'!$A$1:$I$88,7,0))</f>
        <v>#REF!</v>
      </c>
      <c r="HE195" s="135" t="str">
        <f>IF(ISNA(VLOOKUP(A195,'Données projet (1)'!$A$269:$I$289,6,0)),0%,VLOOKUP(A195,'Données projet (1)'!$A$269:$I$289,6,0)*VLOOKUP('Données projet (1)'!$B$18,'Paramètres (1)'!$A$1:$I$88,7,0))</f>
        <v>#REF!</v>
      </c>
      <c r="HF195" s="135" t="str">
        <f t="shared" si="104"/>
        <v>#REF!</v>
      </c>
      <c r="HG195" s="142" t="str">
        <f>EXP(-LN(2)/35)*HG194+(1-EXP(-LN(2)/35))/(LN(2)/35)*HC195*HD195*VLOOKUP('Données projet (1)'!$B$18,'Paramètres (1)'!$A$1:$I$88,3,0)*0.475*44/12</f>
        <v>#REF!</v>
      </c>
      <c r="HH195" s="142" t="str">
        <f>EXP(-LN(2)/25)*HH194+(1-EXP(-LN(2)/25))/(LN(2)/25)*'Calculateur (1)'!HC195*'Calculateur (1)'!HE195*VLOOKUP('Données projet (1)'!$B$18,'Paramètres (1)'!$A$1:$I$88,3,0)*0.475*44/12</f>
        <v>#REF!</v>
      </c>
      <c r="HI195" s="142" t="str">
        <f>EXP(-LN(2)/2)*HI194+(1-EXP(-LN(2)/2))/(LN(2)/2)*HC195*HF195*VLOOKUP('Données projet (1)'!$B$18,'Paramètres (1)'!$A$1:$I$88,3,0)*0.475*44/12</f>
        <v>#REF!</v>
      </c>
      <c r="HJ195" s="143" t="str">
        <f t="shared" si="105"/>
        <v>#REF!</v>
      </c>
    </row>
    <row r="196" ht="14.25" customHeight="1">
      <c r="A196" s="125">
        <f t="shared" si="106"/>
        <v>193</v>
      </c>
      <c r="B196" s="126" t="str">
        <f t="shared" si="1"/>
        <v>#REF!</v>
      </c>
      <c r="C196" s="140" t="str">
        <f>'Calculateur (1)'!C195+'Scénario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6" s="127">
        <f t="shared" si="107"/>
        <v>0</v>
      </c>
      <c r="E196" s="127" t="str">
        <f t="shared" si="2"/>
        <v>#REF!</v>
      </c>
      <c r="F196" s="127" t="str">
        <f t="shared" si="3"/>
        <v>#REF!</v>
      </c>
      <c r="G196" s="127" t="str">
        <f t="shared" si="4"/>
        <v>#REF!</v>
      </c>
      <c r="H196" s="128" t="str">
        <f t="shared" si="5"/>
        <v>#REF!</v>
      </c>
      <c r="I196" s="129" t="str">
        <f t="shared" si="6"/>
        <v>#REF!</v>
      </c>
      <c r="J196" s="130">
        <f t="shared" si="7"/>
        <v>10</v>
      </c>
      <c r="K196" s="131" t="str">
        <f t="shared" si="108"/>
        <v>#REF!</v>
      </c>
      <c r="L196" s="131" t="str">
        <f t="shared" si="8"/>
        <v>#REF!</v>
      </c>
      <c r="M196" s="131" t="str">
        <f t="array" ref="M196">INDEX(L:L,MIN(IF(ISNUMBER(L196:L392),ROW(L196:L392),"")))</f>
        <v/>
      </c>
      <c r="N196" s="130" t="str">
        <f t="shared" si="109"/>
        <v>#REF!</v>
      </c>
      <c r="O196" s="130" t="str">
        <f>N196*VLOOKUP('Données projet (1)'!$B$9,'Paramètres (1)'!$A$1:$I$88,3,0)*VLOOKUP('Données projet (1)'!$B$9,'Paramètres (1)'!$A$1:$I$88,5,0)</f>
        <v>#REF!</v>
      </c>
      <c r="P196" s="130" t="str">
        <f t="shared" si="110"/>
        <v>#REF!</v>
      </c>
      <c r="Q196" s="141" t="str">
        <f t="shared" si="9"/>
        <v>#REF!</v>
      </c>
      <c r="R196" s="133" t="str">
        <f t="shared" si="10"/>
        <v>#REF!</v>
      </c>
      <c r="S196" s="133" t="str">
        <f t="shared" si="11"/>
        <v>#REF!</v>
      </c>
      <c r="T196" s="133" t="str">
        <f t="shared" si="111"/>
        <v>#REF!</v>
      </c>
      <c r="U196" s="134" t="str">
        <f t="shared" si="12"/>
        <v>#REF!</v>
      </c>
      <c r="V196" s="134" t="str">
        <f t="shared" si="13"/>
        <v>#REF!</v>
      </c>
      <c r="W196" s="135" t="str">
        <f>IF(ISNA(VLOOKUP(A196,'Données projet (1)'!$A$35:$I$55,5,0)),0%,VLOOKUP(A196,'Données projet (1)'!$A$35:$I$55,5,0)*VLOOKUP('Données projet (1)'!$B$9,'Paramètres (1)'!$A$1:$I$88,7,0))</f>
        <v>#REF!</v>
      </c>
      <c r="X196" s="135" t="str">
        <f>IF(ISNA(VLOOKUP(A196,'Données projet (1)'!$A$35:$I$55,6,0)),0%,VLOOKUP(A196,'Données projet (1)'!$A$35:$I$55,6,0)*VLOOKUP('Données projet (1)'!$B$9,'Paramètres (1)'!$A$1:$I$88,7,0))</f>
        <v>#REF!</v>
      </c>
      <c r="Y196" s="135" t="str">
        <f t="shared" si="14"/>
        <v>#REF!</v>
      </c>
      <c r="Z196" s="142" t="str">
        <f>EXP(-LN(2)/35)*Z195+(1-EXP(-LN(2)/35))/(LN(2)/35)*V196*W196*VLOOKUP('Données projet (1)'!$B$9,'Paramètres (1)'!$A$1:$I$88,3,0)*0.475*44/12</f>
        <v>#REF!</v>
      </c>
      <c r="AA196" s="142" t="str">
        <f>EXP(-LN(2)/25)*AA195+(1-EXP(-LN(2)/25))/(LN(2)/25)*'Calculateur (1)'!V196*'Calculateur (1)'!X196*VLOOKUP('Données projet (1)'!$B$9,'Paramètres (1)'!$A$1:$I$88,3,0)*0.475*44/12</f>
        <v>#REF!</v>
      </c>
      <c r="AB196" s="142" t="str">
        <f>EXP(-LN(2)/2)*AB195+(1-EXP(-LN(2)/2))/(LN(2)/2)*V196*Y196*VLOOKUP('Données projet (1)'!$B$9,'Paramètres (1)'!$A$1:$I$88,3,0)*0.475*44/12</f>
        <v>#REF!</v>
      </c>
      <c r="AC196" s="143" t="str">
        <f t="shared" si="15"/>
        <v>#REF!</v>
      </c>
      <c r="AD196" s="130" t="str">
        <f t="shared" si="16"/>
        <v>#REF!</v>
      </c>
      <c r="AE196" s="130">
        <f t="shared" si="17"/>
        <v>10</v>
      </c>
      <c r="AF196" s="131" t="str">
        <f t="shared" si="112"/>
        <v>#REF!</v>
      </c>
      <c r="AG196" s="131" t="str">
        <f t="shared" si="18"/>
        <v>#REF!</v>
      </c>
      <c r="AH196" s="131" t="str">
        <f t="array" ref="AH196">INDEX(AG:AG,MIN(IF(ISNUMBER(AG196:AG392),ROW(AG196:AG392),"")))</f>
        <v/>
      </c>
      <c r="AI196" s="130" t="str">
        <f t="shared" si="113"/>
        <v>#REF!</v>
      </c>
      <c r="AJ196" s="130" t="str">
        <f>AI196*VLOOKUP('Données projet (1)'!$B$10,'Paramètres (1)'!$A$1:$I$88,3,0)*VLOOKUP('Données projet (1)'!$B$10,'Paramètres (1)'!$A$1:$I$88,5,0)</f>
        <v>#REF!</v>
      </c>
      <c r="AK196" s="130" t="str">
        <f t="shared" si="114"/>
        <v>#REF!</v>
      </c>
      <c r="AL196" s="141" t="str">
        <f t="shared" si="19"/>
        <v>#REF!</v>
      </c>
      <c r="AM196" s="133" t="str">
        <f t="shared" si="20"/>
        <v>#REF!</v>
      </c>
      <c r="AN196" s="133" t="str">
        <f t="shared" si="21"/>
        <v>#REF!</v>
      </c>
      <c r="AO196" s="133" t="str">
        <f t="shared" si="115"/>
        <v>#REF!</v>
      </c>
      <c r="AP196" s="134" t="str">
        <f t="shared" si="22"/>
        <v>#REF!</v>
      </c>
      <c r="AQ196" s="134" t="str">
        <f t="shared" si="23"/>
        <v>#REF!</v>
      </c>
      <c r="AR196" s="135" t="str">
        <f>IF(ISNA(VLOOKUP(A196,'Données projet (1)'!$A$61:$I$81,5,0)),0%,VLOOKUP(A196,'Données projet (1)'!$A$61:$I$81,5,0)*VLOOKUP('Données projet (1)'!$B$10,'Paramètres (1)'!$A$1:$I$88,7,0))</f>
        <v>#REF!</v>
      </c>
      <c r="AS196" s="135" t="str">
        <f>IF(ISNA(VLOOKUP(A196,'Données projet (1)'!$A$61:$I$81,6,0)),0%,VLOOKUP(A196,'Données projet (1)'!$A$61:$I$81,6,0)*VLOOKUP('Données projet (1)'!$B$10,'Paramètres (1)'!$A$1:$I$88,7,0))</f>
        <v>#REF!</v>
      </c>
      <c r="AT196" s="135" t="str">
        <f t="shared" si="24"/>
        <v>#REF!</v>
      </c>
      <c r="AU196" s="142" t="str">
        <f>EXP(-LN(2)/35)*AU195+(1-EXP(-LN(2)/35))/(LN(2)/35)*AQ196*AR196*VLOOKUP('Données projet (1)'!$B$10,'Paramètres (1)'!$A$1:$I$88,3,0)*0.475*44/12</f>
        <v>#REF!</v>
      </c>
      <c r="AV196" s="142" t="str">
        <f>EXP(-LN(2)/25)*AV195+(1-EXP(-LN(2)/25))/(LN(2)/25)*'Calculateur (1)'!AQ196*'Calculateur (1)'!AS196*VLOOKUP('Données projet (1)'!$B$10,'Paramètres (1)'!$A$1:$I$88,3,0)*0.475*44/12</f>
        <v>#REF!</v>
      </c>
      <c r="AW196" s="142" t="str">
        <f>EXP(-LN(2)/2)*AW195+(1-EXP(-LN(2)/2))/(LN(2)/2)*AQ196*AT196*VLOOKUP('Données projet (1)'!$B$10,'Paramètres (1)'!$A$1:$I$88,3,0)*0.475*44/12</f>
        <v>#REF!</v>
      </c>
      <c r="AX196" s="142" t="str">
        <f t="shared" si="25"/>
        <v>#REF!</v>
      </c>
      <c r="AY196" s="137" t="str">
        <f t="shared" si="26"/>
        <v>#REF!</v>
      </c>
      <c r="AZ196" s="131">
        <f t="shared" si="27"/>
        <v>10</v>
      </c>
      <c r="BA196" s="131" t="str">
        <f t="shared" si="116"/>
        <v>#REF!</v>
      </c>
      <c r="BB196" s="131" t="str">
        <f t="shared" si="28"/>
        <v>#REF!</v>
      </c>
      <c r="BC196" s="131" t="str">
        <f t="array" ref="BC196">INDEX(BB:BB,MIN(IF(ISNUMBER(BB196:BB392),ROW(BB196:BB392),"")))</f>
        <v/>
      </c>
      <c r="BD196" s="131" t="str">
        <f t="shared" si="117"/>
        <v>#REF!</v>
      </c>
      <c r="BE196" s="130" t="str">
        <f>BD196*VLOOKUP('Données projet (1)'!$B$11,'Paramètres (1)'!$A$1:$I$88,3,0)*VLOOKUP('Données projet (1)'!$B$11,'Paramètres (1)'!$A$1:$I$88,5,0)</f>
        <v>#REF!</v>
      </c>
      <c r="BF196" s="130" t="str">
        <f t="shared" si="118"/>
        <v>#REF!</v>
      </c>
      <c r="BG196" s="141" t="str">
        <f t="shared" si="29"/>
        <v>#REF!</v>
      </c>
      <c r="BH196" s="133" t="str">
        <f t="shared" si="30"/>
        <v>#REF!</v>
      </c>
      <c r="BI196" s="133" t="str">
        <f t="shared" si="31"/>
        <v>#REF!</v>
      </c>
      <c r="BJ196" s="133" t="str">
        <f t="shared" si="119"/>
        <v>#REF!</v>
      </c>
      <c r="BK196" s="134" t="str">
        <f t="shared" si="32"/>
        <v>#REF!</v>
      </c>
      <c r="BL196" s="134" t="str">
        <f t="shared" si="33"/>
        <v>#REF!</v>
      </c>
      <c r="BM196" s="135" t="str">
        <f>IF(ISNA(VLOOKUP(A196,'Données projet (1)'!$A$87:$I$107,5,0)),0%,VLOOKUP(A196,'Données projet (1)'!$A$87:$I$107,5,0)*VLOOKUP('Données projet (1)'!$B$11,'Paramètres (1)'!$A$1:$I$88,7,0))</f>
        <v>#REF!</v>
      </c>
      <c r="BN196" s="135" t="str">
        <f>IF(ISNA(VLOOKUP(A196,'Données projet (1)'!$A$87:$I$107,6,0)),0%,VLOOKUP(A196,'Données projet (1)'!$A$87:$I$107,6,0)*VLOOKUP('Données projet (1)'!$B$11,'Paramètres (1)'!$A$1:$I$88,7,0))</f>
        <v>#REF!</v>
      </c>
      <c r="BO196" s="135" t="str">
        <f t="shared" si="34"/>
        <v>#REF!</v>
      </c>
      <c r="BP196" s="142" t="str">
        <f>EXP(-LN(2)/35)*BP195+(1-EXP(-LN(2)/35))/(LN(2)/35)*BL196*BM196*VLOOKUP('Données projet (1)'!$B$11,'Paramètres (1)'!$A$1:$I$88,3,0)*0.475*44/12</f>
        <v>#REF!</v>
      </c>
      <c r="BQ196" s="142" t="str">
        <f>EXP(-LN(2)/25)*BQ195+(1-EXP(-LN(2)/25))/(LN(2)/25)*'Calculateur (1)'!BL196*'Calculateur (1)'!BN196*VLOOKUP('Données projet (1)'!$B$11,'Paramètres (1)'!$A$1:$I$88,3,0)*0.475*44/12</f>
        <v>#REF!</v>
      </c>
      <c r="BR196" s="142" t="str">
        <f>EXP(-LN(2)/2)*BR195+(1-EXP(-LN(2)/2))/(LN(2)/2)*BL196*BO196*VLOOKUP('Données projet (1)'!$B$11,'Paramètres (1)'!$A$1:$I$88,3,0)*0.475*44/12</f>
        <v>#REF!</v>
      </c>
      <c r="BS196" s="143" t="str">
        <f t="shared" si="35"/>
        <v>#REF!</v>
      </c>
      <c r="BT196" s="139" t="str">
        <f t="shared" si="36"/>
        <v>#REF!</v>
      </c>
      <c r="BU196" s="131">
        <f t="shared" si="37"/>
        <v>10</v>
      </c>
      <c r="BV196" s="131" t="str">
        <f t="shared" si="120"/>
        <v>#REF!</v>
      </c>
      <c r="BW196" s="131" t="str">
        <f t="shared" si="38"/>
        <v>#REF!</v>
      </c>
      <c r="BX196" s="131" t="str">
        <f t="array" ref="BX196">INDEX(BW:BW,MIN(IF(ISNUMBER(BW196:BW392),ROW(BW196:BW392),"")))</f>
        <v/>
      </c>
      <c r="BY196" s="131" t="str">
        <f t="shared" si="121"/>
        <v>#REF!</v>
      </c>
      <c r="BZ196" s="130" t="str">
        <f>BY196*VLOOKUP('Données projet (1)'!$B$12,'Paramètres (1)'!$A$1:$I$88,3,0)*VLOOKUP('Données projet (1)'!$B$12,'Paramètres (1)'!$A$1:$I$88,5,0)</f>
        <v>#REF!</v>
      </c>
      <c r="CA196" s="130" t="str">
        <f t="shared" si="122"/>
        <v>#REF!</v>
      </c>
      <c r="CB196" s="141" t="str">
        <f t="shared" si="39"/>
        <v>#REF!</v>
      </c>
      <c r="CC196" s="133" t="str">
        <f t="shared" si="40"/>
        <v>#REF!</v>
      </c>
      <c r="CD196" s="133" t="str">
        <f t="shared" si="41"/>
        <v>#REF!</v>
      </c>
      <c r="CE196" s="133" t="str">
        <f t="shared" si="123"/>
        <v>#REF!</v>
      </c>
      <c r="CF196" s="134" t="str">
        <f t="shared" si="42"/>
        <v>#REF!</v>
      </c>
      <c r="CG196" s="134" t="str">
        <f t="shared" si="43"/>
        <v>#REF!</v>
      </c>
      <c r="CH196" s="135" t="str">
        <f>IF(ISNA(VLOOKUP(A196,'Données projet (1)'!$A$113:$I$133,5,0)),0%,VLOOKUP(A196,'Données projet (1)'!$A$113:$I$133,5,0)*VLOOKUP('Données projet (1)'!$B$12,'Paramètres (1)'!$A$1:$I$88,7,0))</f>
        <v>#REF!</v>
      </c>
      <c r="CI196" s="135" t="str">
        <f>IF(ISNA(VLOOKUP(A196,'Données projet (1)'!$A$113:$I$133,6,0)),0%,VLOOKUP(A196,'Données projet (1)'!$A$113:$I$133,6,0)*VLOOKUP('Données projet (1)'!$B$12,'Paramètres (1)'!$A$1:$I$88,7,0))</f>
        <v>#REF!</v>
      </c>
      <c r="CJ196" s="135" t="str">
        <f t="shared" si="44"/>
        <v>#REF!</v>
      </c>
      <c r="CK196" s="142" t="str">
        <f>EXP(-LN(2)/35)*CK195+(1-EXP(-LN(2)/35))/(LN(2)/35)*CG196*CH196*VLOOKUP('Données projet (1)'!$B$12,'Paramètres (1)'!$A$1:$I$88,3,0)*0.475*44/12</f>
        <v>#REF!</v>
      </c>
      <c r="CL196" s="142" t="str">
        <f>EXP(-LN(2)/25)*CL195+(1-EXP(-LN(2)/25))/(LN(2)/25)*'Calculateur (1)'!CG196*'Calculateur (1)'!CI196*VLOOKUP('Données projet (1)'!$B$12,'Paramètres (1)'!$A$1:$I$88,3,0)*0.475*44/12</f>
        <v>#REF!</v>
      </c>
      <c r="CM196" s="142" t="str">
        <f>EXP(-LN(2)/2)*CM195+(1-EXP(-LN(2)/2))/(LN(2)/2)*CG196*CJ196*VLOOKUP('Données projet (1)'!$B$12,'Paramètres (1)'!$A$1:$I$88,3,0)*0.475*44/12</f>
        <v>#REF!</v>
      </c>
      <c r="CN196" s="143" t="str">
        <f t="shared" si="45"/>
        <v>#REF!</v>
      </c>
      <c r="CO196" s="139" t="str">
        <f t="shared" si="46"/>
        <v>#REF!</v>
      </c>
      <c r="CP196" s="131">
        <f t="shared" si="47"/>
        <v>10</v>
      </c>
      <c r="CQ196" s="131" t="str">
        <f t="shared" si="124"/>
        <v>#REF!</v>
      </c>
      <c r="CR196" s="131" t="str">
        <f t="shared" si="48"/>
        <v>#REF!</v>
      </c>
      <c r="CS196" s="131" t="str">
        <f t="array" ref="CS196">INDEX(CR:CR,MIN(IF(ISNUMBER(CR196:CR392),ROW(CR196:CR392),"")))</f>
        <v/>
      </c>
      <c r="CT196" s="131" t="str">
        <f t="shared" si="125"/>
        <v>#REF!</v>
      </c>
      <c r="CU196" s="138" t="str">
        <f>CT196*VLOOKUP('Données projet (1)'!$B$13,'Paramètres (1)'!$A$1:$I$88,3,0)*VLOOKUP('Données projet (1)'!$B$13,'Paramètres (1)'!$A$1:$I$88,5,0)</f>
        <v>#REF!</v>
      </c>
      <c r="CV196" s="130" t="str">
        <f t="shared" si="126"/>
        <v>#REF!</v>
      </c>
      <c r="CW196" s="141" t="str">
        <f t="shared" si="49"/>
        <v>#REF!</v>
      </c>
      <c r="CX196" s="133" t="str">
        <f t="shared" si="50"/>
        <v>#REF!</v>
      </c>
      <c r="CY196" s="133" t="str">
        <f t="shared" si="51"/>
        <v>#REF!</v>
      </c>
      <c r="CZ196" s="133" t="str">
        <f t="shared" si="127"/>
        <v>#REF!</v>
      </c>
      <c r="DA196" s="134" t="str">
        <f t="shared" si="52"/>
        <v>#REF!</v>
      </c>
      <c r="DB196" s="134" t="str">
        <f t="shared" si="53"/>
        <v>#REF!</v>
      </c>
      <c r="DC196" s="135" t="str">
        <f>IF(ISNA(VLOOKUP(A196,'Données projet (1)'!$A$139:$I$159,5,0)),0%,VLOOKUP(A196,'Données projet (1)'!$A$139:$I$159,5,0)*VLOOKUP('Données projet (1)'!$B$13,'Paramètres (1)'!$A$1:$I$88,7,0))</f>
        <v>#REF!</v>
      </c>
      <c r="DD196" s="135" t="str">
        <f>IF(ISNA(VLOOKUP(A196,'Données projet (1)'!$A$139:$I$159,6,0)),0%,VLOOKUP(A196,'Données projet (1)'!$A$139:$I$159,6,0)*VLOOKUP('Données projet (1)'!$B$13,'Paramètres (1)'!$A$1:$I$88,7,0))</f>
        <v>#REF!</v>
      </c>
      <c r="DE196" s="135" t="str">
        <f t="shared" si="54"/>
        <v>#REF!</v>
      </c>
      <c r="DF196" s="142" t="str">
        <f>EXP(-LN(2)/35)*DF195+(1-EXP(-LN(2)/35))/(LN(2)/35)*DB196*DC196*VLOOKUP('Données projet (1)'!$B$13,'Paramètres (1)'!$A$1:$I$88,3,0)*0.475*44/12</f>
        <v>#REF!</v>
      </c>
      <c r="DG196" s="142" t="str">
        <f>EXP(-LN(2)/25)*DG195+(1-EXP(-LN(2)/25))/(LN(2)/25)*'Calculateur (1)'!DB196*'Calculateur (1)'!DD196*VLOOKUP('Données projet (1)'!$B$13,'Paramètres (1)'!$A$1:$I$88,3,0)*0.475*44/12</f>
        <v>#REF!</v>
      </c>
      <c r="DH196" s="142" t="str">
        <f>EXP(-LN(2)/2)*DH195+(1-EXP(-LN(2)/2))/(LN(2)/2)*DB196*DE196*VLOOKUP('Données projet (1)'!$B$13,'Paramètres (1)'!$A$1:$I$88,3,0)*0.475*44/12</f>
        <v>#REF!</v>
      </c>
      <c r="DI196" s="143" t="str">
        <f t="shared" si="55"/>
        <v>#REF!</v>
      </c>
      <c r="DJ196" s="139" t="str">
        <f t="shared" si="56"/>
        <v>#REF!</v>
      </c>
      <c r="DK196" s="131">
        <f t="shared" si="57"/>
        <v>10</v>
      </c>
      <c r="DL196" s="131" t="str">
        <f t="shared" si="128"/>
        <v>#REF!</v>
      </c>
      <c r="DM196" s="131" t="str">
        <f t="shared" si="58"/>
        <v>#REF!</v>
      </c>
      <c r="DN196" s="131" t="str">
        <f t="array" ref="DN196">INDEX(DM:DM,MIN(IF(ISNUMBER(DM196:DM392),ROW(DM196:DM392),"")))</f>
        <v/>
      </c>
      <c r="DO196" s="131" t="str">
        <f t="shared" si="129"/>
        <v>#REF!</v>
      </c>
      <c r="DP196" s="138" t="str">
        <f>DO196*VLOOKUP('Données projet (1)'!$B$14,'Paramètres (1)'!$A$1:$I$88,3,0)*VLOOKUP('Données projet (1)'!$B$14,'Paramètres (1)'!$A$1:$I$88,5,0)</f>
        <v>#REF!</v>
      </c>
      <c r="DQ196" s="130" t="str">
        <f t="shared" si="130"/>
        <v>#REF!</v>
      </c>
      <c r="DR196" s="141" t="str">
        <f t="shared" si="59"/>
        <v>#REF!</v>
      </c>
      <c r="DS196" s="133" t="str">
        <f t="shared" si="60"/>
        <v>#REF!</v>
      </c>
      <c r="DT196" s="133" t="str">
        <f t="shared" si="61"/>
        <v>#REF!</v>
      </c>
      <c r="DU196" s="133" t="str">
        <f t="shared" si="131"/>
        <v>#REF!</v>
      </c>
      <c r="DV196" s="134" t="str">
        <f t="shared" si="62"/>
        <v>#REF!</v>
      </c>
      <c r="DW196" s="134" t="str">
        <f t="shared" si="63"/>
        <v>#REF!</v>
      </c>
      <c r="DX196" s="135" t="str">
        <f>IF(ISNA(VLOOKUP(A196,'Données projet (1)'!$A$165:$I$185,5,0)),0%,VLOOKUP(A196,'Données projet (1)'!$A$165:$I$185,5,0)*VLOOKUP('Données projet (1)'!$B$14,'Paramètres (1)'!$A$1:$I$88,7,0))</f>
        <v>#REF!</v>
      </c>
      <c r="DY196" s="135" t="str">
        <f>IF(ISNA(VLOOKUP(A196,'Données projet (1)'!$A$165:$I$185,6,0)),0%,VLOOKUP(A196,'Données projet (1)'!$A$165:$I$185,6,0)*VLOOKUP('Données projet (1)'!$B$14,'Paramètres (1)'!$A$1:$I$88,7,0))</f>
        <v>#REF!</v>
      </c>
      <c r="DZ196" s="135" t="str">
        <f t="shared" si="64"/>
        <v>#REF!</v>
      </c>
      <c r="EA196" s="142" t="str">
        <f>EXP(-LN(2)/35)*EA195+(1-EXP(-LN(2)/35))/(LN(2)/35)*DW196*DX196*VLOOKUP('Données projet (1)'!$B$14,'Paramètres (1)'!$A$1:$I$88,3,0)*0.475*44/12</f>
        <v>#REF!</v>
      </c>
      <c r="EB196" s="142" t="str">
        <f>EXP(-LN(2)/25)*EB195+(1-EXP(-LN(2)/25))/(LN(2)/25)*'Calculateur (1)'!DW196*'Calculateur (1)'!DY196*VLOOKUP('Données projet (1)'!$B$14,'Paramètres (1)'!$A$1:$I$88,3,0)*0.475*44/12</f>
        <v>#REF!</v>
      </c>
      <c r="EC196" s="142" t="str">
        <f>EXP(-LN(2)/2)*EC195+(1-EXP(-LN(2)/2))/(LN(2)/2)*DW196*DZ196*VLOOKUP('Données projet (1)'!$B$14,'Paramètres (1)'!$A$1:$I$88,3,0)*0.475*44/12</f>
        <v>#REF!</v>
      </c>
      <c r="ED196" s="143" t="str">
        <f t="shared" si="65"/>
        <v>#REF!</v>
      </c>
      <c r="EE196" s="139" t="str">
        <f t="shared" si="66"/>
        <v>#REF!</v>
      </c>
      <c r="EF196" s="131">
        <f t="shared" si="67"/>
        <v>10</v>
      </c>
      <c r="EG196" s="131" t="str">
        <f t="shared" si="132"/>
        <v>#REF!</v>
      </c>
      <c r="EH196" s="131" t="str">
        <f t="shared" si="68"/>
        <v>#REF!</v>
      </c>
      <c r="EI196" s="131" t="str">
        <f t="array" ref="EI196">INDEX(EH:EH,MIN(IF(ISNUMBER(EH196:EH392),ROW(EH196:EH392),"")))</f>
        <v/>
      </c>
      <c r="EJ196" s="131" t="str">
        <f t="shared" si="133"/>
        <v>#REF!</v>
      </c>
      <c r="EK196" s="138" t="str">
        <f>EJ196*VLOOKUP('Données projet (1)'!$B$15,'Paramètres (1)'!$A$1:$I$88,3,0)*VLOOKUP('Données projet (1)'!$B$15,'Paramètres (1)'!$A$1:$I$88,5,0)</f>
        <v>#REF!</v>
      </c>
      <c r="EL196" s="130" t="str">
        <f t="shared" si="134"/>
        <v>#REF!</v>
      </c>
      <c r="EM196" s="141" t="str">
        <f t="shared" si="69"/>
        <v>#REF!</v>
      </c>
      <c r="EN196" s="133" t="str">
        <f t="shared" si="70"/>
        <v>#REF!</v>
      </c>
      <c r="EO196" s="133" t="str">
        <f t="shared" si="71"/>
        <v>#REF!</v>
      </c>
      <c r="EP196" s="133" t="str">
        <f t="shared" si="135"/>
        <v>#REF!</v>
      </c>
      <c r="EQ196" s="134" t="str">
        <f t="shared" si="72"/>
        <v>#REF!</v>
      </c>
      <c r="ER196" s="134" t="str">
        <f t="shared" si="73"/>
        <v>#REF!</v>
      </c>
      <c r="ES196" s="135" t="str">
        <f>IF(ISNA(VLOOKUP(A196,'Données projet (1)'!$A$191:$I$211,5,0)),0%,VLOOKUP(A196,'Données projet (1)'!$A$191:$I$211,5,0)*VLOOKUP('Données projet (1)'!$B$15,'Paramètres (1)'!$A$1:$I$88,7,0))</f>
        <v>#REF!</v>
      </c>
      <c r="ET196" s="135" t="str">
        <f>IF(ISNA(VLOOKUP(A196,'Données projet (1)'!$A$191:$I$211,6,0)),0%,VLOOKUP(A196,'Données projet (1)'!$A$191:$I$211,6,0)*VLOOKUP('Données projet (1)'!$B$15,'Paramètres (1)'!$A$1:$I$88,7,0))</f>
        <v>#REF!</v>
      </c>
      <c r="EU196" s="135" t="str">
        <f t="shared" si="74"/>
        <v>#REF!</v>
      </c>
      <c r="EV196" s="142" t="str">
        <f>EXP(-LN(2)/35)*EV195+(1-EXP(-LN(2)/35))/(LN(2)/35)*ER196*ES196*VLOOKUP('Données projet (1)'!$B$15,'Paramètres (1)'!$A$1:$I$88,3,0)*0.475*44/12</f>
        <v>#REF!</v>
      </c>
      <c r="EW196" s="142" t="str">
        <f>EXP(-LN(2)/25)*EW195+(1-EXP(-LN(2)/25))/(LN(2)/25)*'Calculateur (1)'!ER196*'Calculateur (1)'!ET196*VLOOKUP('Données projet (1)'!$B$15,'Paramètres (1)'!$A$1:$I$88,3,0)*0.475*44/12</f>
        <v>#REF!</v>
      </c>
      <c r="EX196" s="142" t="str">
        <f>EXP(-LN(2)/2)*EX195+(1-EXP(-LN(2)/2))/(LN(2)/2)*ER196*EU196*VLOOKUP('Données projet (1)'!$B$15,'Paramètres (1)'!$A$1:$I$88,3,0)*0.475*44/12</f>
        <v>#REF!</v>
      </c>
      <c r="EY196" s="143" t="str">
        <f t="shared" si="75"/>
        <v>#REF!</v>
      </c>
      <c r="EZ196" s="139" t="str">
        <f t="shared" si="76"/>
        <v>#REF!</v>
      </c>
      <c r="FA196" s="131">
        <f t="shared" si="77"/>
        <v>10</v>
      </c>
      <c r="FB196" s="131" t="str">
        <f t="shared" si="136"/>
        <v>#REF!</v>
      </c>
      <c r="FC196" s="131" t="str">
        <f t="shared" si="78"/>
        <v>#REF!</v>
      </c>
      <c r="FD196" s="131" t="str">
        <f t="array" ref="FD196">INDEX(FC:FC,MIN(IF(ISNUMBER(FC196:FC392),ROW(FC196:FC392),"")))</f>
        <v/>
      </c>
      <c r="FE196" s="131" t="str">
        <f t="shared" si="137"/>
        <v>#REF!</v>
      </c>
      <c r="FF196" s="138" t="str">
        <f>FE196*VLOOKUP('Données projet (1)'!$B$16,'Paramètres (1)'!$A$1:$I$88,3,0)*VLOOKUP('Données projet (1)'!$B$16,'Paramètres (1)'!$A$1:$I$88,5,0)</f>
        <v>#REF!</v>
      </c>
      <c r="FG196" s="130" t="str">
        <f t="shared" si="138"/>
        <v>#REF!</v>
      </c>
      <c r="FH196" s="141" t="str">
        <f t="shared" si="79"/>
        <v>#REF!</v>
      </c>
      <c r="FI196" s="133" t="str">
        <f t="shared" si="80"/>
        <v>#REF!</v>
      </c>
      <c r="FJ196" s="133" t="str">
        <f t="shared" si="81"/>
        <v>#REF!</v>
      </c>
      <c r="FK196" s="133" t="str">
        <f t="shared" si="139"/>
        <v>#REF!</v>
      </c>
      <c r="FL196" s="134" t="str">
        <f t="shared" si="82"/>
        <v>#REF!</v>
      </c>
      <c r="FM196" s="134" t="str">
        <f t="shared" si="83"/>
        <v>#REF!</v>
      </c>
      <c r="FN196" s="135" t="str">
        <f>IF(ISNA(VLOOKUP(A196,'Données projet (1)'!$A$217:$I$237,5,0)),0%,VLOOKUP(A196,'Données projet (1)'!$A$217:$I$237,5,0)*VLOOKUP('Données projet (1)'!$B$16,'Paramètres (1)'!$A$1:$I$88,7,0))</f>
        <v>#REF!</v>
      </c>
      <c r="FO196" s="135" t="str">
        <f>IF(ISNA(VLOOKUP(A196,'Données projet (1)'!$A$217:$I$237,6,0)),0%,VLOOKUP(A196,'Données projet (1)'!$A$217:$I$237,6,0)*VLOOKUP('Données projet (1)'!$B$16,'Paramètres (1)'!$A$1:$I$88,7,0))</f>
        <v>#REF!</v>
      </c>
      <c r="FP196" s="135" t="str">
        <f t="shared" si="84"/>
        <v>#REF!</v>
      </c>
      <c r="FQ196" s="142" t="str">
        <f>EXP(-LN(2)/35)*FQ195+(1-EXP(-LN(2)/35))/(LN(2)/35)*FM196*FN196*VLOOKUP('Données projet (1)'!$B$16,'Paramètres (1)'!$A$1:$I$88,3,0)*0.475*44/12</f>
        <v>#REF!</v>
      </c>
      <c r="FR196" s="142" t="str">
        <f>EXP(-LN(2)/25)*FR195+(1-EXP(-LN(2)/25))/(LN(2)/25)*'Calculateur (1)'!FM196*'Calculateur (1)'!FO196*VLOOKUP('Données projet (1)'!$B$16,'Paramètres (1)'!$A$1:$I$88,3,0)*0.475*44/12</f>
        <v>#REF!</v>
      </c>
      <c r="FS196" s="142" t="str">
        <f>EXP(-LN(2)/2)*FS195+(1-EXP(-LN(2)/2))/(LN(2)/2)*FM196*FP196*VLOOKUP('Données projet (1)'!$B$16,'Paramètres (1)'!$A$1:$I$88,3,0)*0.475*44/12</f>
        <v>#REF!</v>
      </c>
      <c r="FT196" s="143" t="str">
        <f t="shared" si="85"/>
        <v>#REF!</v>
      </c>
      <c r="FU196" s="139" t="str">
        <f t="shared" si="86"/>
        <v>#REF!</v>
      </c>
      <c r="FV196" s="131">
        <f t="shared" si="87"/>
        <v>10</v>
      </c>
      <c r="FW196" s="131" t="str">
        <f t="shared" si="140"/>
        <v>#REF!</v>
      </c>
      <c r="FX196" s="131" t="str">
        <f t="shared" si="88"/>
        <v>#REF!</v>
      </c>
      <c r="FY196" s="131" t="str">
        <f t="array" ref="FY196">INDEX(FX:FX,MIN(IF(ISNUMBER(FX196:FX392),ROW(FX196:FX392),"")))</f>
        <v/>
      </c>
      <c r="FZ196" s="131" t="str">
        <f t="shared" si="141"/>
        <v>#REF!</v>
      </c>
      <c r="GA196" s="138" t="str">
        <f>FZ196*VLOOKUP('Données projet (1)'!$B$17,'Paramètres (1)'!$A$1:$I$88,3,0)*VLOOKUP('Données projet (1)'!$B$17,'Paramètres (1)'!$A$1:$I$88,5,0)</f>
        <v>#REF!</v>
      </c>
      <c r="GB196" s="130" t="str">
        <f t="shared" si="142"/>
        <v>#REF!</v>
      </c>
      <c r="GC196" s="141" t="str">
        <f t="shared" si="89"/>
        <v>#REF!</v>
      </c>
      <c r="GD196" s="133" t="str">
        <f t="shared" si="90"/>
        <v>#REF!</v>
      </c>
      <c r="GE196" s="133" t="str">
        <f t="shared" si="91"/>
        <v>#REF!</v>
      </c>
      <c r="GF196" s="133" t="str">
        <f t="shared" si="143"/>
        <v>#REF!</v>
      </c>
      <c r="GG196" s="134" t="str">
        <f t="shared" si="92"/>
        <v>#REF!</v>
      </c>
      <c r="GH196" s="134" t="str">
        <f t="shared" si="93"/>
        <v>#REF!</v>
      </c>
      <c r="GI196" s="135" t="str">
        <f>IF(ISNA(VLOOKUP(A196,'Données projet (1)'!$A$243:$I$263,5,0)),0%,VLOOKUP(A196,'Données projet (1)'!$A$243:$I$263,5,0)*VLOOKUP('Données projet (1)'!$B$17,'Paramètres (1)'!$A$1:$I$88,7,0))</f>
        <v>#REF!</v>
      </c>
      <c r="GJ196" s="135" t="str">
        <f>IF(ISNA(VLOOKUP(A196,'Données projet (1)'!$A$243:$I$263,6,0)),0%,VLOOKUP(A196,'Données projet (1)'!$A$243:$I$263,6,0)*VLOOKUP('Données projet (1)'!$B$17,'Paramètres (1)'!$A$1:$I$88,7,0))</f>
        <v>#REF!</v>
      </c>
      <c r="GK196" s="135" t="str">
        <f t="shared" si="94"/>
        <v>#REF!</v>
      </c>
      <c r="GL196" s="142" t="str">
        <f>EXP(-LN(2)/35)*GL195+(1-EXP(-LN(2)/35))/(LN(2)/35)*GH196*GI196*VLOOKUP('Données projet (1)'!$B$17,'Paramètres (1)'!$A$1:$I$88,3,0)*0.475*44/12</f>
        <v>#REF!</v>
      </c>
      <c r="GM196" s="142" t="str">
        <f>EXP(-LN(2)/25)*GM195+(1-EXP(-LN(2)/25))/(LN(2)/25)*'Calculateur (1)'!GH196*'Calculateur (1)'!GJ196*VLOOKUP('Données projet (1)'!$B$17,'Paramètres (1)'!$A$1:$I$88,3,0)*0.475*44/12</f>
        <v>#REF!</v>
      </c>
      <c r="GN196" s="142" t="str">
        <f>EXP(-LN(2)/2)*GN195+(1-EXP(-LN(2)/2))/(LN(2)/2)*GH196*GK196*VLOOKUP('Données projet (1)'!$B$17,'Paramètres (1)'!$A$1:$I$88,3,0)*0.475*44/12</f>
        <v>#REF!</v>
      </c>
      <c r="GO196" s="142" t="str">
        <f t="shared" si="95"/>
        <v>#REF!</v>
      </c>
      <c r="GP196" s="139" t="str">
        <f t="shared" si="96"/>
        <v>#REF!</v>
      </c>
      <c r="GQ196" s="131">
        <f t="shared" si="97"/>
        <v>10</v>
      </c>
      <c r="GR196" s="131" t="str">
        <f t="shared" si="144"/>
        <v>#REF!</v>
      </c>
      <c r="GS196" s="131" t="str">
        <f t="shared" si="98"/>
        <v>#REF!</v>
      </c>
      <c r="GT196" s="131" t="str">
        <f t="array" ref="GT196">INDEX(GS:GS,MIN(IF(ISNUMBER(GS196:GS392),ROW(GS196:GS392),"")))</f>
        <v/>
      </c>
      <c r="GU196" s="131" t="str">
        <f t="shared" si="145"/>
        <v>#REF!</v>
      </c>
      <c r="GV196" s="138" t="str">
        <f>GU196*VLOOKUP('Données projet (1)'!$B$18,'Paramètres (1)'!$A$1:$I$88,3,0)*VLOOKUP('Données projet (1)'!$B$18,'Paramètres (1)'!$A$1:$I$88,5,0)</f>
        <v>#REF!</v>
      </c>
      <c r="GW196" s="130" t="str">
        <f t="shared" si="146"/>
        <v>#REF!</v>
      </c>
      <c r="GX196" s="141" t="str">
        <f t="shared" si="99"/>
        <v>#REF!</v>
      </c>
      <c r="GY196" s="133" t="str">
        <f t="shared" si="100"/>
        <v>#REF!</v>
      </c>
      <c r="GZ196" s="133" t="str">
        <f t="shared" si="101"/>
        <v>#REF!</v>
      </c>
      <c r="HA196" s="133" t="str">
        <f t="shared" si="147"/>
        <v>#REF!</v>
      </c>
      <c r="HB196" s="134" t="str">
        <f t="shared" si="102"/>
        <v>#REF!</v>
      </c>
      <c r="HC196" s="134" t="str">
        <f t="shared" si="103"/>
        <v>#REF!</v>
      </c>
      <c r="HD196" s="135" t="str">
        <f>IF(ISNA(VLOOKUP(A196,'Données projet (1)'!$A$269:$I$289,5,0)),0%,VLOOKUP(A196,'Données projet (1)'!$A$269:$I$289,5,0)*VLOOKUP('Données projet (1)'!$B$18,'Paramètres (1)'!$A$1:$I$88,7,0))</f>
        <v>#REF!</v>
      </c>
      <c r="HE196" s="135" t="str">
        <f>IF(ISNA(VLOOKUP(A196,'Données projet (1)'!$A$269:$I$289,6,0)),0%,VLOOKUP(A196,'Données projet (1)'!$A$269:$I$289,6,0)*VLOOKUP('Données projet (1)'!$B$18,'Paramètres (1)'!$A$1:$I$88,7,0))</f>
        <v>#REF!</v>
      </c>
      <c r="HF196" s="135" t="str">
        <f t="shared" si="104"/>
        <v>#REF!</v>
      </c>
      <c r="HG196" s="142" t="str">
        <f>EXP(-LN(2)/35)*HG195+(1-EXP(-LN(2)/35))/(LN(2)/35)*HC196*HD196*VLOOKUP('Données projet (1)'!$B$18,'Paramètres (1)'!$A$1:$I$88,3,0)*0.475*44/12</f>
        <v>#REF!</v>
      </c>
      <c r="HH196" s="142" t="str">
        <f>EXP(-LN(2)/25)*HH195+(1-EXP(-LN(2)/25))/(LN(2)/25)*'Calculateur (1)'!HC196*'Calculateur (1)'!HE196*VLOOKUP('Données projet (1)'!$B$18,'Paramètres (1)'!$A$1:$I$88,3,0)*0.475*44/12</f>
        <v>#REF!</v>
      </c>
      <c r="HI196" s="142" t="str">
        <f>EXP(-LN(2)/2)*HI195+(1-EXP(-LN(2)/2))/(LN(2)/2)*HC196*HF196*VLOOKUP('Données projet (1)'!$B$18,'Paramètres (1)'!$A$1:$I$88,3,0)*0.475*44/12</f>
        <v>#REF!</v>
      </c>
      <c r="HJ196" s="143" t="str">
        <f t="shared" si="105"/>
        <v>#REF!</v>
      </c>
    </row>
    <row r="197" ht="14.25" customHeight="1">
      <c r="A197" s="125">
        <f t="shared" si="106"/>
        <v>194</v>
      </c>
      <c r="B197" s="126" t="str">
        <f t="shared" si="1"/>
        <v>#REF!</v>
      </c>
      <c r="C197" s="140" t="str">
        <f>'Calculateur (1)'!C196+'Scénario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7" s="127">
        <f t="shared" si="107"/>
        <v>0</v>
      </c>
      <c r="E197" s="127" t="str">
        <f t="shared" si="2"/>
        <v>#REF!</v>
      </c>
      <c r="F197" s="127" t="str">
        <f t="shared" si="3"/>
        <v>#REF!</v>
      </c>
      <c r="G197" s="127" t="str">
        <f t="shared" si="4"/>
        <v>#REF!</v>
      </c>
      <c r="H197" s="128" t="str">
        <f t="shared" si="5"/>
        <v>#REF!</v>
      </c>
      <c r="I197" s="129" t="str">
        <f t="shared" si="6"/>
        <v>#REF!</v>
      </c>
      <c r="J197" s="130">
        <f t="shared" si="7"/>
        <v>10</v>
      </c>
      <c r="K197" s="131" t="str">
        <f t="shared" si="108"/>
        <v>#REF!</v>
      </c>
      <c r="L197" s="131" t="str">
        <f t="shared" si="8"/>
        <v>#REF!</v>
      </c>
      <c r="M197" s="131" t="str">
        <f t="array" ref="M197">INDEX(L:L,MIN(IF(ISNUMBER(L197:L393),ROW(L197:L393),"")))</f>
        <v/>
      </c>
      <c r="N197" s="130" t="str">
        <f t="shared" si="109"/>
        <v>#REF!</v>
      </c>
      <c r="O197" s="130" t="str">
        <f>N197*VLOOKUP('Données projet (1)'!$B$9,'Paramètres (1)'!$A$1:$I$88,3,0)*VLOOKUP('Données projet (1)'!$B$9,'Paramètres (1)'!$A$1:$I$88,5,0)</f>
        <v>#REF!</v>
      </c>
      <c r="P197" s="130" t="str">
        <f t="shared" si="110"/>
        <v>#REF!</v>
      </c>
      <c r="Q197" s="141" t="str">
        <f t="shared" si="9"/>
        <v>#REF!</v>
      </c>
      <c r="R197" s="133" t="str">
        <f t="shared" si="10"/>
        <v>#REF!</v>
      </c>
      <c r="S197" s="133" t="str">
        <f t="shared" si="11"/>
        <v>#REF!</v>
      </c>
      <c r="T197" s="133" t="str">
        <f t="shared" si="111"/>
        <v>#REF!</v>
      </c>
      <c r="U197" s="134" t="str">
        <f t="shared" si="12"/>
        <v>#REF!</v>
      </c>
      <c r="V197" s="134" t="str">
        <f t="shared" si="13"/>
        <v>#REF!</v>
      </c>
      <c r="W197" s="135" t="str">
        <f>IF(ISNA(VLOOKUP(A197,'Données projet (1)'!$A$35:$I$55,5,0)),0%,VLOOKUP(A197,'Données projet (1)'!$A$35:$I$55,5,0)*VLOOKUP('Données projet (1)'!$B$9,'Paramètres (1)'!$A$1:$I$88,7,0))</f>
        <v>#REF!</v>
      </c>
      <c r="X197" s="135" t="str">
        <f>IF(ISNA(VLOOKUP(A197,'Données projet (1)'!$A$35:$I$55,6,0)),0%,VLOOKUP(A197,'Données projet (1)'!$A$35:$I$55,6,0)*VLOOKUP('Données projet (1)'!$B$9,'Paramètres (1)'!$A$1:$I$88,7,0))</f>
        <v>#REF!</v>
      </c>
      <c r="Y197" s="135" t="str">
        <f t="shared" si="14"/>
        <v>#REF!</v>
      </c>
      <c r="Z197" s="142" t="str">
        <f>EXP(-LN(2)/35)*Z196+(1-EXP(-LN(2)/35))/(LN(2)/35)*V197*W197*VLOOKUP('Données projet (1)'!$B$9,'Paramètres (1)'!$A$1:$I$88,3,0)*0.475*44/12</f>
        <v>#REF!</v>
      </c>
      <c r="AA197" s="142" t="str">
        <f>EXP(-LN(2)/25)*AA196+(1-EXP(-LN(2)/25))/(LN(2)/25)*'Calculateur (1)'!V197*'Calculateur (1)'!X197*VLOOKUP('Données projet (1)'!$B$9,'Paramètres (1)'!$A$1:$I$88,3,0)*0.475*44/12</f>
        <v>#REF!</v>
      </c>
      <c r="AB197" s="142" t="str">
        <f>EXP(-LN(2)/2)*AB196+(1-EXP(-LN(2)/2))/(LN(2)/2)*V197*Y197*VLOOKUP('Données projet (1)'!$B$9,'Paramètres (1)'!$A$1:$I$88,3,0)*0.475*44/12</f>
        <v>#REF!</v>
      </c>
      <c r="AC197" s="143" t="str">
        <f t="shared" si="15"/>
        <v>#REF!</v>
      </c>
      <c r="AD197" s="130" t="str">
        <f t="shared" si="16"/>
        <v>#REF!</v>
      </c>
      <c r="AE197" s="130">
        <f t="shared" si="17"/>
        <v>10</v>
      </c>
      <c r="AF197" s="131" t="str">
        <f t="shared" si="112"/>
        <v>#REF!</v>
      </c>
      <c r="AG197" s="131" t="str">
        <f t="shared" si="18"/>
        <v>#REF!</v>
      </c>
      <c r="AH197" s="131" t="str">
        <f t="array" ref="AH197">INDEX(AG:AG,MIN(IF(ISNUMBER(AG197:AG393),ROW(AG197:AG393),"")))</f>
        <v/>
      </c>
      <c r="AI197" s="130" t="str">
        <f t="shared" si="113"/>
        <v>#REF!</v>
      </c>
      <c r="AJ197" s="130" t="str">
        <f>AI197*VLOOKUP('Données projet (1)'!$B$10,'Paramètres (1)'!$A$1:$I$88,3,0)*VLOOKUP('Données projet (1)'!$B$10,'Paramètres (1)'!$A$1:$I$88,5,0)</f>
        <v>#REF!</v>
      </c>
      <c r="AK197" s="130" t="str">
        <f t="shared" si="114"/>
        <v>#REF!</v>
      </c>
      <c r="AL197" s="141" t="str">
        <f t="shared" si="19"/>
        <v>#REF!</v>
      </c>
      <c r="AM197" s="133" t="str">
        <f t="shared" si="20"/>
        <v>#REF!</v>
      </c>
      <c r="AN197" s="133" t="str">
        <f t="shared" si="21"/>
        <v>#REF!</v>
      </c>
      <c r="AO197" s="133" t="str">
        <f t="shared" si="115"/>
        <v>#REF!</v>
      </c>
      <c r="AP197" s="134" t="str">
        <f t="shared" si="22"/>
        <v>#REF!</v>
      </c>
      <c r="AQ197" s="134" t="str">
        <f t="shared" si="23"/>
        <v>#REF!</v>
      </c>
      <c r="AR197" s="135" t="str">
        <f>IF(ISNA(VLOOKUP(A197,'Données projet (1)'!$A$61:$I$81,5,0)),0%,VLOOKUP(A197,'Données projet (1)'!$A$61:$I$81,5,0)*VLOOKUP('Données projet (1)'!$B$10,'Paramètres (1)'!$A$1:$I$88,7,0))</f>
        <v>#REF!</v>
      </c>
      <c r="AS197" s="135" t="str">
        <f>IF(ISNA(VLOOKUP(A197,'Données projet (1)'!$A$61:$I$81,6,0)),0%,VLOOKUP(A197,'Données projet (1)'!$A$61:$I$81,6,0)*VLOOKUP('Données projet (1)'!$B$10,'Paramètres (1)'!$A$1:$I$88,7,0))</f>
        <v>#REF!</v>
      </c>
      <c r="AT197" s="135" t="str">
        <f t="shared" si="24"/>
        <v>#REF!</v>
      </c>
      <c r="AU197" s="142" t="str">
        <f>EXP(-LN(2)/35)*AU196+(1-EXP(-LN(2)/35))/(LN(2)/35)*AQ197*AR197*VLOOKUP('Données projet (1)'!$B$10,'Paramètres (1)'!$A$1:$I$88,3,0)*0.475*44/12</f>
        <v>#REF!</v>
      </c>
      <c r="AV197" s="142" t="str">
        <f>EXP(-LN(2)/25)*AV196+(1-EXP(-LN(2)/25))/(LN(2)/25)*'Calculateur (1)'!AQ197*'Calculateur (1)'!AS197*VLOOKUP('Données projet (1)'!$B$10,'Paramètres (1)'!$A$1:$I$88,3,0)*0.475*44/12</f>
        <v>#REF!</v>
      </c>
      <c r="AW197" s="142" t="str">
        <f>EXP(-LN(2)/2)*AW196+(1-EXP(-LN(2)/2))/(LN(2)/2)*AQ197*AT197*VLOOKUP('Données projet (1)'!$B$10,'Paramètres (1)'!$A$1:$I$88,3,0)*0.475*44/12</f>
        <v>#REF!</v>
      </c>
      <c r="AX197" s="142" t="str">
        <f t="shared" si="25"/>
        <v>#REF!</v>
      </c>
      <c r="AY197" s="137" t="str">
        <f t="shared" si="26"/>
        <v>#REF!</v>
      </c>
      <c r="AZ197" s="131">
        <f t="shared" si="27"/>
        <v>10</v>
      </c>
      <c r="BA197" s="131" t="str">
        <f t="shared" si="116"/>
        <v>#REF!</v>
      </c>
      <c r="BB197" s="131" t="str">
        <f t="shared" si="28"/>
        <v>#REF!</v>
      </c>
      <c r="BC197" s="131" t="str">
        <f t="array" ref="BC197">INDEX(BB:BB,MIN(IF(ISNUMBER(BB197:BB393),ROW(BB197:BB393),"")))</f>
        <v/>
      </c>
      <c r="BD197" s="131" t="str">
        <f t="shared" si="117"/>
        <v>#REF!</v>
      </c>
      <c r="BE197" s="130" t="str">
        <f>BD197*VLOOKUP('Données projet (1)'!$B$11,'Paramètres (1)'!$A$1:$I$88,3,0)*VLOOKUP('Données projet (1)'!$B$11,'Paramètres (1)'!$A$1:$I$88,5,0)</f>
        <v>#REF!</v>
      </c>
      <c r="BF197" s="130" t="str">
        <f t="shared" si="118"/>
        <v>#REF!</v>
      </c>
      <c r="BG197" s="141" t="str">
        <f t="shared" si="29"/>
        <v>#REF!</v>
      </c>
      <c r="BH197" s="133" t="str">
        <f t="shared" si="30"/>
        <v>#REF!</v>
      </c>
      <c r="BI197" s="133" t="str">
        <f t="shared" si="31"/>
        <v>#REF!</v>
      </c>
      <c r="BJ197" s="133" t="str">
        <f t="shared" si="119"/>
        <v>#REF!</v>
      </c>
      <c r="BK197" s="134" t="str">
        <f t="shared" si="32"/>
        <v>#REF!</v>
      </c>
      <c r="BL197" s="134" t="str">
        <f t="shared" si="33"/>
        <v>#REF!</v>
      </c>
      <c r="BM197" s="135" t="str">
        <f>IF(ISNA(VLOOKUP(A197,'Données projet (1)'!$A$87:$I$107,5,0)),0%,VLOOKUP(A197,'Données projet (1)'!$A$87:$I$107,5,0)*VLOOKUP('Données projet (1)'!$B$11,'Paramètres (1)'!$A$1:$I$88,7,0))</f>
        <v>#REF!</v>
      </c>
      <c r="BN197" s="135" t="str">
        <f>IF(ISNA(VLOOKUP(A197,'Données projet (1)'!$A$87:$I$107,6,0)),0%,VLOOKUP(A197,'Données projet (1)'!$A$87:$I$107,6,0)*VLOOKUP('Données projet (1)'!$B$11,'Paramètres (1)'!$A$1:$I$88,7,0))</f>
        <v>#REF!</v>
      </c>
      <c r="BO197" s="135" t="str">
        <f t="shared" si="34"/>
        <v>#REF!</v>
      </c>
      <c r="BP197" s="142" t="str">
        <f>EXP(-LN(2)/35)*BP196+(1-EXP(-LN(2)/35))/(LN(2)/35)*BL197*BM197*VLOOKUP('Données projet (1)'!$B$11,'Paramètres (1)'!$A$1:$I$88,3,0)*0.475*44/12</f>
        <v>#REF!</v>
      </c>
      <c r="BQ197" s="142" t="str">
        <f>EXP(-LN(2)/25)*BQ196+(1-EXP(-LN(2)/25))/(LN(2)/25)*'Calculateur (1)'!BL197*'Calculateur (1)'!BN197*VLOOKUP('Données projet (1)'!$B$11,'Paramètres (1)'!$A$1:$I$88,3,0)*0.475*44/12</f>
        <v>#REF!</v>
      </c>
      <c r="BR197" s="142" t="str">
        <f>EXP(-LN(2)/2)*BR196+(1-EXP(-LN(2)/2))/(LN(2)/2)*BL197*BO197*VLOOKUP('Données projet (1)'!$B$11,'Paramètres (1)'!$A$1:$I$88,3,0)*0.475*44/12</f>
        <v>#REF!</v>
      </c>
      <c r="BS197" s="143" t="str">
        <f t="shared" si="35"/>
        <v>#REF!</v>
      </c>
      <c r="BT197" s="139" t="str">
        <f t="shared" si="36"/>
        <v>#REF!</v>
      </c>
      <c r="BU197" s="131">
        <f t="shared" si="37"/>
        <v>10</v>
      </c>
      <c r="BV197" s="131" t="str">
        <f t="shared" si="120"/>
        <v>#REF!</v>
      </c>
      <c r="BW197" s="131" t="str">
        <f t="shared" si="38"/>
        <v>#REF!</v>
      </c>
      <c r="BX197" s="131" t="str">
        <f t="array" ref="BX197">INDEX(BW:BW,MIN(IF(ISNUMBER(BW197:BW393),ROW(BW197:BW393),"")))</f>
        <v/>
      </c>
      <c r="BY197" s="131" t="str">
        <f t="shared" si="121"/>
        <v>#REF!</v>
      </c>
      <c r="BZ197" s="130" t="str">
        <f>BY197*VLOOKUP('Données projet (1)'!$B$12,'Paramètres (1)'!$A$1:$I$88,3,0)*VLOOKUP('Données projet (1)'!$B$12,'Paramètres (1)'!$A$1:$I$88,5,0)</f>
        <v>#REF!</v>
      </c>
      <c r="CA197" s="130" t="str">
        <f t="shared" si="122"/>
        <v>#REF!</v>
      </c>
      <c r="CB197" s="141" t="str">
        <f t="shared" si="39"/>
        <v>#REF!</v>
      </c>
      <c r="CC197" s="133" t="str">
        <f t="shared" si="40"/>
        <v>#REF!</v>
      </c>
      <c r="CD197" s="133" t="str">
        <f t="shared" si="41"/>
        <v>#REF!</v>
      </c>
      <c r="CE197" s="133" t="str">
        <f t="shared" si="123"/>
        <v>#REF!</v>
      </c>
      <c r="CF197" s="134" t="str">
        <f t="shared" si="42"/>
        <v>#REF!</v>
      </c>
      <c r="CG197" s="134" t="str">
        <f t="shared" si="43"/>
        <v>#REF!</v>
      </c>
      <c r="CH197" s="135" t="str">
        <f>IF(ISNA(VLOOKUP(A197,'Données projet (1)'!$A$113:$I$133,5,0)),0%,VLOOKUP(A197,'Données projet (1)'!$A$113:$I$133,5,0)*VLOOKUP('Données projet (1)'!$B$12,'Paramètres (1)'!$A$1:$I$88,7,0))</f>
        <v>#REF!</v>
      </c>
      <c r="CI197" s="135" t="str">
        <f>IF(ISNA(VLOOKUP(A197,'Données projet (1)'!$A$113:$I$133,6,0)),0%,VLOOKUP(A197,'Données projet (1)'!$A$113:$I$133,6,0)*VLOOKUP('Données projet (1)'!$B$12,'Paramètres (1)'!$A$1:$I$88,7,0))</f>
        <v>#REF!</v>
      </c>
      <c r="CJ197" s="135" t="str">
        <f t="shared" si="44"/>
        <v>#REF!</v>
      </c>
      <c r="CK197" s="142" t="str">
        <f>EXP(-LN(2)/35)*CK196+(1-EXP(-LN(2)/35))/(LN(2)/35)*CG197*CH197*VLOOKUP('Données projet (1)'!$B$12,'Paramètres (1)'!$A$1:$I$88,3,0)*0.475*44/12</f>
        <v>#REF!</v>
      </c>
      <c r="CL197" s="142" t="str">
        <f>EXP(-LN(2)/25)*CL196+(1-EXP(-LN(2)/25))/(LN(2)/25)*'Calculateur (1)'!CG197*'Calculateur (1)'!CI197*VLOOKUP('Données projet (1)'!$B$12,'Paramètres (1)'!$A$1:$I$88,3,0)*0.475*44/12</f>
        <v>#REF!</v>
      </c>
      <c r="CM197" s="142" t="str">
        <f>EXP(-LN(2)/2)*CM196+(1-EXP(-LN(2)/2))/(LN(2)/2)*CG197*CJ197*VLOOKUP('Données projet (1)'!$B$12,'Paramètres (1)'!$A$1:$I$88,3,0)*0.475*44/12</f>
        <v>#REF!</v>
      </c>
      <c r="CN197" s="143" t="str">
        <f t="shared" si="45"/>
        <v>#REF!</v>
      </c>
      <c r="CO197" s="139" t="str">
        <f t="shared" si="46"/>
        <v>#REF!</v>
      </c>
      <c r="CP197" s="131">
        <f t="shared" si="47"/>
        <v>10</v>
      </c>
      <c r="CQ197" s="131" t="str">
        <f t="shared" si="124"/>
        <v>#REF!</v>
      </c>
      <c r="CR197" s="131" t="str">
        <f t="shared" si="48"/>
        <v>#REF!</v>
      </c>
      <c r="CS197" s="131" t="str">
        <f t="array" ref="CS197">INDEX(CR:CR,MIN(IF(ISNUMBER(CR197:CR393),ROW(CR197:CR393),"")))</f>
        <v/>
      </c>
      <c r="CT197" s="131" t="str">
        <f t="shared" si="125"/>
        <v>#REF!</v>
      </c>
      <c r="CU197" s="138" t="str">
        <f>CT197*VLOOKUP('Données projet (1)'!$B$13,'Paramètres (1)'!$A$1:$I$88,3,0)*VLOOKUP('Données projet (1)'!$B$13,'Paramètres (1)'!$A$1:$I$88,5,0)</f>
        <v>#REF!</v>
      </c>
      <c r="CV197" s="130" t="str">
        <f t="shared" si="126"/>
        <v>#REF!</v>
      </c>
      <c r="CW197" s="141" t="str">
        <f t="shared" si="49"/>
        <v>#REF!</v>
      </c>
      <c r="CX197" s="133" t="str">
        <f t="shared" si="50"/>
        <v>#REF!</v>
      </c>
      <c r="CY197" s="133" t="str">
        <f t="shared" si="51"/>
        <v>#REF!</v>
      </c>
      <c r="CZ197" s="133" t="str">
        <f t="shared" si="127"/>
        <v>#REF!</v>
      </c>
      <c r="DA197" s="134" t="str">
        <f t="shared" si="52"/>
        <v>#REF!</v>
      </c>
      <c r="DB197" s="134" t="str">
        <f t="shared" si="53"/>
        <v>#REF!</v>
      </c>
      <c r="DC197" s="135" t="str">
        <f>IF(ISNA(VLOOKUP(A197,'Données projet (1)'!$A$139:$I$159,5,0)),0%,VLOOKUP(A197,'Données projet (1)'!$A$139:$I$159,5,0)*VLOOKUP('Données projet (1)'!$B$13,'Paramètres (1)'!$A$1:$I$88,7,0))</f>
        <v>#REF!</v>
      </c>
      <c r="DD197" s="135" t="str">
        <f>IF(ISNA(VLOOKUP(A197,'Données projet (1)'!$A$139:$I$159,6,0)),0%,VLOOKUP(A197,'Données projet (1)'!$A$139:$I$159,6,0)*VLOOKUP('Données projet (1)'!$B$13,'Paramètres (1)'!$A$1:$I$88,7,0))</f>
        <v>#REF!</v>
      </c>
      <c r="DE197" s="135" t="str">
        <f t="shared" si="54"/>
        <v>#REF!</v>
      </c>
      <c r="DF197" s="142" t="str">
        <f>EXP(-LN(2)/35)*DF196+(1-EXP(-LN(2)/35))/(LN(2)/35)*DB197*DC197*VLOOKUP('Données projet (1)'!$B$13,'Paramètres (1)'!$A$1:$I$88,3,0)*0.475*44/12</f>
        <v>#REF!</v>
      </c>
      <c r="DG197" s="142" t="str">
        <f>EXP(-LN(2)/25)*DG196+(1-EXP(-LN(2)/25))/(LN(2)/25)*'Calculateur (1)'!DB197*'Calculateur (1)'!DD197*VLOOKUP('Données projet (1)'!$B$13,'Paramètres (1)'!$A$1:$I$88,3,0)*0.475*44/12</f>
        <v>#REF!</v>
      </c>
      <c r="DH197" s="142" t="str">
        <f>EXP(-LN(2)/2)*DH196+(1-EXP(-LN(2)/2))/(LN(2)/2)*DB197*DE197*VLOOKUP('Données projet (1)'!$B$13,'Paramètres (1)'!$A$1:$I$88,3,0)*0.475*44/12</f>
        <v>#REF!</v>
      </c>
      <c r="DI197" s="143" t="str">
        <f t="shared" si="55"/>
        <v>#REF!</v>
      </c>
      <c r="DJ197" s="139" t="str">
        <f t="shared" si="56"/>
        <v>#REF!</v>
      </c>
      <c r="DK197" s="131">
        <f t="shared" si="57"/>
        <v>10</v>
      </c>
      <c r="DL197" s="131" t="str">
        <f t="shared" si="128"/>
        <v>#REF!</v>
      </c>
      <c r="DM197" s="131" t="str">
        <f t="shared" si="58"/>
        <v>#REF!</v>
      </c>
      <c r="DN197" s="131" t="str">
        <f t="array" ref="DN197">INDEX(DM:DM,MIN(IF(ISNUMBER(DM197:DM393),ROW(DM197:DM393),"")))</f>
        <v/>
      </c>
      <c r="DO197" s="131" t="str">
        <f t="shared" si="129"/>
        <v>#REF!</v>
      </c>
      <c r="DP197" s="138" t="str">
        <f>DO197*VLOOKUP('Données projet (1)'!$B$14,'Paramètres (1)'!$A$1:$I$88,3,0)*VLOOKUP('Données projet (1)'!$B$14,'Paramètres (1)'!$A$1:$I$88,5,0)</f>
        <v>#REF!</v>
      </c>
      <c r="DQ197" s="130" t="str">
        <f t="shared" si="130"/>
        <v>#REF!</v>
      </c>
      <c r="DR197" s="141" t="str">
        <f t="shared" si="59"/>
        <v>#REF!</v>
      </c>
      <c r="DS197" s="133" t="str">
        <f t="shared" si="60"/>
        <v>#REF!</v>
      </c>
      <c r="DT197" s="133" t="str">
        <f t="shared" si="61"/>
        <v>#REF!</v>
      </c>
      <c r="DU197" s="133" t="str">
        <f t="shared" si="131"/>
        <v>#REF!</v>
      </c>
      <c r="DV197" s="134" t="str">
        <f t="shared" si="62"/>
        <v>#REF!</v>
      </c>
      <c r="DW197" s="134" t="str">
        <f t="shared" si="63"/>
        <v>#REF!</v>
      </c>
      <c r="DX197" s="135" t="str">
        <f>IF(ISNA(VLOOKUP(A197,'Données projet (1)'!$A$165:$I$185,5,0)),0%,VLOOKUP(A197,'Données projet (1)'!$A$165:$I$185,5,0)*VLOOKUP('Données projet (1)'!$B$14,'Paramètres (1)'!$A$1:$I$88,7,0))</f>
        <v>#REF!</v>
      </c>
      <c r="DY197" s="135" t="str">
        <f>IF(ISNA(VLOOKUP(A197,'Données projet (1)'!$A$165:$I$185,6,0)),0%,VLOOKUP(A197,'Données projet (1)'!$A$165:$I$185,6,0)*VLOOKUP('Données projet (1)'!$B$14,'Paramètres (1)'!$A$1:$I$88,7,0))</f>
        <v>#REF!</v>
      </c>
      <c r="DZ197" s="135" t="str">
        <f t="shared" si="64"/>
        <v>#REF!</v>
      </c>
      <c r="EA197" s="142" t="str">
        <f>EXP(-LN(2)/35)*EA196+(1-EXP(-LN(2)/35))/(LN(2)/35)*DW197*DX197*VLOOKUP('Données projet (1)'!$B$14,'Paramètres (1)'!$A$1:$I$88,3,0)*0.475*44/12</f>
        <v>#REF!</v>
      </c>
      <c r="EB197" s="142" t="str">
        <f>EXP(-LN(2)/25)*EB196+(1-EXP(-LN(2)/25))/(LN(2)/25)*'Calculateur (1)'!DW197*'Calculateur (1)'!DY197*VLOOKUP('Données projet (1)'!$B$14,'Paramètres (1)'!$A$1:$I$88,3,0)*0.475*44/12</f>
        <v>#REF!</v>
      </c>
      <c r="EC197" s="142" t="str">
        <f>EXP(-LN(2)/2)*EC196+(1-EXP(-LN(2)/2))/(LN(2)/2)*DW197*DZ197*VLOOKUP('Données projet (1)'!$B$14,'Paramètres (1)'!$A$1:$I$88,3,0)*0.475*44/12</f>
        <v>#REF!</v>
      </c>
      <c r="ED197" s="143" t="str">
        <f t="shared" si="65"/>
        <v>#REF!</v>
      </c>
      <c r="EE197" s="139" t="str">
        <f t="shared" si="66"/>
        <v>#REF!</v>
      </c>
      <c r="EF197" s="131">
        <f t="shared" si="67"/>
        <v>10</v>
      </c>
      <c r="EG197" s="131" t="str">
        <f t="shared" si="132"/>
        <v>#REF!</v>
      </c>
      <c r="EH197" s="131" t="str">
        <f t="shared" si="68"/>
        <v>#REF!</v>
      </c>
      <c r="EI197" s="131" t="str">
        <f t="array" ref="EI197">INDEX(EH:EH,MIN(IF(ISNUMBER(EH197:EH393),ROW(EH197:EH393),"")))</f>
        <v/>
      </c>
      <c r="EJ197" s="131" t="str">
        <f t="shared" si="133"/>
        <v>#REF!</v>
      </c>
      <c r="EK197" s="138" t="str">
        <f>EJ197*VLOOKUP('Données projet (1)'!$B$15,'Paramètres (1)'!$A$1:$I$88,3,0)*VLOOKUP('Données projet (1)'!$B$15,'Paramètres (1)'!$A$1:$I$88,5,0)</f>
        <v>#REF!</v>
      </c>
      <c r="EL197" s="130" t="str">
        <f t="shared" si="134"/>
        <v>#REF!</v>
      </c>
      <c r="EM197" s="141" t="str">
        <f t="shared" si="69"/>
        <v>#REF!</v>
      </c>
      <c r="EN197" s="133" t="str">
        <f t="shared" si="70"/>
        <v>#REF!</v>
      </c>
      <c r="EO197" s="133" t="str">
        <f t="shared" si="71"/>
        <v>#REF!</v>
      </c>
      <c r="EP197" s="133" t="str">
        <f t="shared" si="135"/>
        <v>#REF!</v>
      </c>
      <c r="EQ197" s="134" t="str">
        <f t="shared" si="72"/>
        <v>#REF!</v>
      </c>
      <c r="ER197" s="134" t="str">
        <f t="shared" si="73"/>
        <v>#REF!</v>
      </c>
      <c r="ES197" s="135" t="str">
        <f>IF(ISNA(VLOOKUP(A197,'Données projet (1)'!$A$191:$I$211,5,0)),0%,VLOOKUP(A197,'Données projet (1)'!$A$191:$I$211,5,0)*VLOOKUP('Données projet (1)'!$B$15,'Paramètres (1)'!$A$1:$I$88,7,0))</f>
        <v>#REF!</v>
      </c>
      <c r="ET197" s="135" t="str">
        <f>IF(ISNA(VLOOKUP(A197,'Données projet (1)'!$A$191:$I$211,6,0)),0%,VLOOKUP(A197,'Données projet (1)'!$A$191:$I$211,6,0)*VLOOKUP('Données projet (1)'!$B$15,'Paramètres (1)'!$A$1:$I$88,7,0))</f>
        <v>#REF!</v>
      </c>
      <c r="EU197" s="135" t="str">
        <f t="shared" si="74"/>
        <v>#REF!</v>
      </c>
      <c r="EV197" s="142" t="str">
        <f>EXP(-LN(2)/35)*EV196+(1-EXP(-LN(2)/35))/(LN(2)/35)*ER197*ES197*VLOOKUP('Données projet (1)'!$B$15,'Paramètres (1)'!$A$1:$I$88,3,0)*0.475*44/12</f>
        <v>#REF!</v>
      </c>
      <c r="EW197" s="142" t="str">
        <f>EXP(-LN(2)/25)*EW196+(1-EXP(-LN(2)/25))/(LN(2)/25)*'Calculateur (1)'!ER197*'Calculateur (1)'!ET197*VLOOKUP('Données projet (1)'!$B$15,'Paramètres (1)'!$A$1:$I$88,3,0)*0.475*44/12</f>
        <v>#REF!</v>
      </c>
      <c r="EX197" s="142" t="str">
        <f>EXP(-LN(2)/2)*EX196+(1-EXP(-LN(2)/2))/(LN(2)/2)*ER197*EU197*VLOOKUP('Données projet (1)'!$B$15,'Paramètres (1)'!$A$1:$I$88,3,0)*0.475*44/12</f>
        <v>#REF!</v>
      </c>
      <c r="EY197" s="143" t="str">
        <f t="shared" si="75"/>
        <v>#REF!</v>
      </c>
      <c r="EZ197" s="139" t="str">
        <f t="shared" si="76"/>
        <v>#REF!</v>
      </c>
      <c r="FA197" s="131">
        <f t="shared" si="77"/>
        <v>10</v>
      </c>
      <c r="FB197" s="131" t="str">
        <f t="shared" si="136"/>
        <v>#REF!</v>
      </c>
      <c r="FC197" s="131" t="str">
        <f t="shared" si="78"/>
        <v>#REF!</v>
      </c>
      <c r="FD197" s="131" t="str">
        <f t="array" ref="FD197">INDEX(FC:FC,MIN(IF(ISNUMBER(FC197:FC393),ROW(FC197:FC393),"")))</f>
        <v/>
      </c>
      <c r="FE197" s="131" t="str">
        <f t="shared" si="137"/>
        <v>#REF!</v>
      </c>
      <c r="FF197" s="138" t="str">
        <f>FE197*VLOOKUP('Données projet (1)'!$B$16,'Paramètres (1)'!$A$1:$I$88,3,0)*VLOOKUP('Données projet (1)'!$B$16,'Paramètres (1)'!$A$1:$I$88,5,0)</f>
        <v>#REF!</v>
      </c>
      <c r="FG197" s="130" t="str">
        <f t="shared" si="138"/>
        <v>#REF!</v>
      </c>
      <c r="FH197" s="141" t="str">
        <f t="shared" si="79"/>
        <v>#REF!</v>
      </c>
      <c r="FI197" s="133" t="str">
        <f t="shared" si="80"/>
        <v>#REF!</v>
      </c>
      <c r="FJ197" s="133" t="str">
        <f t="shared" si="81"/>
        <v>#REF!</v>
      </c>
      <c r="FK197" s="133" t="str">
        <f t="shared" si="139"/>
        <v>#REF!</v>
      </c>
      <c r="FL197" s="134" t="str">
        <f t="shared" si="82"/>
        <v>#REF!</v>
      </c>
      <c r="FM197" s="134" t="str">
        <f t="shared" si="83"/>
        <v>#REF!</v>
      </c>
      <c r="FN197" s="135" t="str">
        <f>IF(ISNA(VLOOKUP(A197,'Données projet (1)'!$A$217:$I$237,5,0)),0%,VLOOKUP(A197,'Données projet (1)'!$A$217:$I$237,5,0)*VLOOKUP('Données projet (1)'!$B$16,'Paramètres (1)'!$A$1:$I$88,7,0))</f>
        <v>#REF!</v>
      </c>
      <c r="FO197" s="135" t="str">
        <f>IF(ISNA(VLOOKUP(A197,'Données projet (1)'!$A$217:$I$237,6,0)),0%,VLOOKUP(A197,'Données projet (1)'!$A$217:$I$237,6,0)*VLOOKUP('Données projet (1)'!$B$16,'Paramètres (1)'!$A$1:$I$88,7,0))</f>
        <v>#REF!</v>
      </c>
      <c r="FP197" s="135" t="str">
        <f t="shared" si="84"/>
        <v>#REF!</v>
      </c>
      <c r="FQ197" s="142" t="str">
        <f>EXP(-LN(2)/35)*FQ196+(1-EXP(-LN(2)/35))/(LN(2)/35)*FM197*FN197*VLOOKUP('Données projet (1)'!$B$16,'Paramètres (1)'!$A$1:$I$88,3,0)*0.475*44/12</f>
        <v>#REF!</v>
      </c>
      <c r="FR197" s="142" t="str">
        <f>EXP(-LN(2)/25)*FR196+(1-EXP(-LN(2)/25))/(LN(2)/25)*'Calculateur (1)'!FM197*'Calculateur (1)'!FO197*VLOOKUP('Données projet (1)'!$B$16,'Paramètres (1)'!$A$1:$I$88,3,0)*0.475*44/12</f>
        <v>#REF!</v>
      </c>
      <c r="FS197" s="142" t="str">
        <f>EXP(-LN(2)/2)*FS196+(1-EXP(-LN(2)/2))/(LN(2)/2)*FM197*FP197*VLOOKUP('Données projet (1)'!$B$16,'Paramètres (1)'!$A$1:$I$88,3,0)*0.475*44/12</f>
        <v>#REF!</v>
      </c>
      <c r="FT197" s="143" t="str">
        <f t="shared" si="85"/>
        <v>#REF!</v>
      </c>
      <c r="FU197" s="139" t="str">
        <f t="shared" si="86"/>
        <v>#REF!</v>
      </c>
      <c r="FV197" s="131">
        <f t="shared" si="87"/>
        <v>10</v>
      </c>
      <c r="FW197" s="131" t="str">
        <f t="shared" si="140"/>
        <v>#REF!</v>
      </c>
      <c r="FX197" s="131" t="str">
        <f t="shared" si="88"/>
        <v>#REF!</v>
      </c>
      <c r="FY197" s="131" t="str">
        <f t="array" ref="FY197">INDEX(FX:FX,MIN(IF(ISNUMBER(FX197:FX393),ROW(FX197:FX393),"")))</f>
        <v/>
      </c>
      <c r="FZ197" s="131" t="str">
        <f t="shared" si="141"/>
        <v>#REF!</v>
      </c>
      <c r="GA197" s="138" t="str">
        <f>FZ197*VLOOKUP('Données projet (1)'!$B$17,'Paramètres (1)'!$A$1:$I$88,3,0)*VLOOKUP('Données projet (1)'!$B$17,'Paramètres (1)'!$A$1:$I$88,5,0)</f>
        <v>#REF!</v>
      </c>
      <c r="GB197" s="130" t="str">
        <f t="shared" si="142"/>
        <v>#REF!</v>
      </c>
      <c r="GC197" s="141" t="str">
        <f t="shared" si="89"/>
        <v>#REF!</v>
      </c>
      <c r="GD197" s="133" t="str">
        <f t="shared" si="90"/>
        <v>#REF!</v>
      </c>
      <c r="GE197" s="133" t="str">
        <f t="shared" si="91"/>
        <v>#REF!</v>
      </c>
      <c r="GF197" s="133" t="str">
        <f t="shared" si="143"/>
        <v>#REF!</v>
      </c>
      <c r="GG197" s="134" t="str">
        <f t="shared" si="92"/>
        <v>#REF!</v>
      </c>
      <c r="GH197" s="134" t="str">
        <f t="shared" si="93"/>
        <v>#REF!</v>
      </c>
      <c r="GI197" s="135" t="str">
        <f>IF(ISNA(VLOOKUP(A197,'Données projet (1)'!$A$243:$I$263,5,0)),0%,VLOOKUP(A197,'Données projet (1)'!$A$243:$I$263,5,0)*VLOOKUP('Données projet (1)'!$B$17,'Paramètres (1)'!$A$1:$I$88,7,0))</f>
        <v>#REF!</v>
      </c>
      <c r="GJ197" s="135" t="str">
        <f>IF(ISNA(VLOOKUP(A197,'Données projet (1)'!$A$243:$I$263,6,0)),0%,VLOOKUP(A197,'Données projet (1)'!$A$243:$I$263,6,0)*VLOOKUP('Données projet (1)'!$B$17,'Paramètres (1)'!$A$1:$I$88,7,0))</f>
        <v>#REF!</v>
      </c>
      <c r="GK197" s="135" t="str">
        <f t="shared" si="94"/>
        <v>#REF!</v>
      </c>
      <c r="GL197" s="142" t="str">
        <f>EXP(-LN(2)/35)*GL196+(1-EXP(-LN(2)/35))/(LN(2)/35)*GH197*GI197*VLOOKUP('Données projet (1)'!$B$17,'Paramètres (1)'!$A$1:$I$88,3,0)*0.475*44/12</f>
        <v>#REF!</v>
      </c>
      <c r="GM197" s="142" t="str">
        <f>EXP(-LN(2)/25)*GM196+(1-EXP(-LN(2)/25))/(LN(2)/25)*'Calculateur (1)'!GH197*'Calculateur (1)'!GJ197*VLOOKUP('Données projet (1)'!$B$17,'Paramètres (1)'!$A$1:$I$88,3,0)*0.475*44/12</f>
        <v>#REF!</v>
      </c>
      <c r="GN197" s="142" t="str">
        <f>EXP(-LN(2)/2)*GN196+(1-EXP(-LN(2)/2))/(LN(2)/2)*GH197*GK197*VLOOKUP('Données projet (1)'!$B$17,'Paramètres (1)'!$A$1:$I$88,3,0)*0.475*44/12</f>
        <v>#REF!</v>
      </c>
      <c r="GO197" s="142" t="str">
        <f t="shared" si="95"/>
        <v>#REF!</v>
      </c>
      <c r="GP197" s="139" t="str">
        <f t="shared" si="96"/>
        <v>#REF!</v>
      </c>
      <c r="GQ197" s="131">
        <f t="shared" si="97"/>
        <v>10</v>
      </c>
      <c r="GR197" s="131" t="str">
        <f t="shared" si="144"/>
        <v>#REF!</v>
      </c>
      <c r="GS197" s="131" t="str">
        <f t="shared" si="98"/>
        <v>#REF!</v>
      </c>
      <c r="GT197" s="131" t="str">
        <f t="array" ref="GT197">INDEX(GS:GS,MIN(IF(ISNUMBER(GS197:GS393),ROW(GS197:GS393),"")))</f>
        <v/>
      </c>
      <c r="GU197" s="131" t="str">
        <f t="shared" si="145"/>
        <v>#REF!</v>
      </c>
      <c r="GV197" s="138" t="str">
        <f>GU197*VLOOKUP('Données projet (1)'!$B$18,'Paramètres (1)'!$A$1:$I$88,3,0)*VLOOKUP('Données projet (1)'!$B$18,'Paramètres (1)'!$A$1:$I$88,5,0)</f>
        <v>#REF!</v>
      </c>
      <c r="GW197" s="130" t="str">
        <f t="shared" si="146"/>
        <v>#REF!</v>
      </c>
      <c r="GX197" s="141" t="str">
        <f t="shared" si="99"/>
        <v>#REF!</v>
      </c>
      <c r="GY197" s="133" t="str">
        <f t="shared" si="100"/>
        <v>#REF!</v>
      </c>
      <c r="GZ197" s="133" t="str">
        <f t="shared" si="101"/>
        <v>#REF!</v>
      </c>
      <c r="HA197" s="133" t="str">
        <f t="shared" si="147"/>
        <v>#REF!</v>
      </c>
      <c r="HB197" s="134" t="str">
        <f t="shared" si="102"/>
        <v>#REF!</v>
      </c>
      <c r="HC197" s="134" t="str">
        <f t="shared" si="103"/>
        <v>#REF!</v>
      </c>
      <c r="HD197" s="135" t="str">
        <f>IF(ISNA(VLOOKUP(A197,'Données projet (1)'!$A$269:$I$289,5,0)),0%,VLOOKUP(A197,'Données projet (1)'!$A$269:$I$289,5,0)*VLOOKUP('Données projet (1)'!$B$18,'Paramètres (1)'!$A$1:$I$88,7,0))</f>
        <v>#REF!</v>
      </c>
      <c r="HE197" s="135" t="str">
        <f>IF(ISNA(VLOOKUP(A197,'Données projet (1)'!$A$269:$I$289,6,0)),0%,VLOOKUP(A197,'Données projet (1)'!$A$269:$I$289,6,0)*VLOOKUP('Données projet (1)'!$B$18,'Paramètres (1)'!$A$1:$I$88,7,0))</f>
        <v>#REF!</v>
      </c>
      <c r="HF197" s="135" t="str">
        <f t="shared" si="104"/>
        <v>#REF!</v>
      </c>
      <c r="HG197" s="142" t="str">
        <f>EXP(-LN(2)/35)*HG196+(1-EXP(-LN(2)/35))/(LN(2)/35)*HC197*HD197*VLOOKUP('Données projet (1)'!$B$18,'Paramètres (1)'!$A$1:$I$88,3,0)*0.475*44/12</f>
        <v>#REF!</v>
      </c>
      <c r="HH197" s="142" t="str">
        <f>EXP(-LN(2)/25)*HH196+(1-EXP(-LN(2)/25))/(LN(2)/25)*'Calculateur (1)'!HC197*'Calculateur (1)'!HE197*VLOOKUP('Données projet (1)'!$B$18,'Paramètres (1)'!$A$1:$I$88,3,0)*0.475*44/12</f>
        <v>#REF!</v>
      </c>
      <c r="HI197" s="142" t="str">
        <f>EXP(-LN(2)/2)*HI196+(1-EXP(-LN(2)/2))/(LN(2)/2)*HC197*HF197*VLOOKUP('Données projet (1)'!$B$18,'Paramètres (1)'!$A$1:$I$88,3,0)*0.475*44/12</f>
        <v>#REF!</v>
      </c>
      <c r="HJ197" s="143" t="str">
        <f t="shared" si="105"/>
        <v>#REF!</v>
      </c>
    </row>
    <row r="198" ht="14.25" customHeight="1">
      <c r="A198" s="125">
        <f t="shared" si="106"/>
        <v>195</v>
      </c>
      <c r="B198" s="126" t="str">
        <f t="shared" si="1"/>
        <v>#REF!</v>
      </c>
      <c r="C198" s="140" t="str">
        <f>'Calculateur (1)'!C197+'Scénario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8" s="127">
        <f t="shared" si="107"/>
        <v>0</v>
      </c>
      <c r="E198" s="127" t="str">
        <f t="shared" si="2"/>
        <v>#REF!</v>
      </c>
      <c r="F198" s="127" t="str">
        <f t="shared" si="3"/>
        <v>#REF!</v>
      </c>
      <c r="G198" s="127" t="str">
        <f t="shared" si="4"/>
        <v>#REF!</v>
      </c>
      <c r="H198" s="128" t="str">
        <f t="shared" si="5"/>
        <v>#REF!</v>
      </c>
      <c r="I198" s="129" t="str">
        <f t="shared" si="6"/>
        <v>#REF!</v>
      </c>
      <c r="J198" s="130">
        <f t="shared" si="7"/>
        <v>10</v>
      </c>
      <c r="K198" s="131" t="str">
        <f t="shared" si="108"/>
        <v>#REF!</v>
      </c>
      <c r="L198" s="131" t="str">
        <f t="shared" si="8"/>
        <v>#REF!</v>
      </c>
      <c r="M198" s="131" t="str">
        <f t="array" ref="M198">INDEX(L:L,MIN(IF(ISNUMBER(L198:L394),ROW(L198:L394),"")))</f>
        <v/>
      </c>
      <c r="N198" s="130" t="str">
        <f t="shared" si="109"/>
        <v>#REF!</v>
      </c>
      <c r="O198" s="130" t="str">
        <f>N198*VLOOKUP('Données projet (1)'!$B$9,'Paramètres (1)'!$A$1:$I$88,3,0)*VLOOKUP('Données projet (1)'!$B$9,'Paramètres (1)'!$A$1:$I$88,5,0)</f>
        <v>#REF!</v>
      </c>
      <c r="P198" s="130" t="str">
        <f t="shared" si="110"/>
        <v>#REF!</v>
      </c>
      <c r="Q198" s="141" t="str">
        <f t="shared" si="9"/>
        <v>#REF!</v>
      </c>
      <c r="R198" s="133" t="str">
        <f t="shared" si="10"/>
        <v>#REF!</v>
      </c>
      <c r="S198" s="133" t="str">
        <f t="shared" si="11"/>
        <v>#REF!</v>
      </c>
      <c r="T198" s="133" t="str">
        <f t="shared" si="111"/>
        <v>#REF!</v>
      </c>
      <c r="U198" s="134" t="str">
        <f t="shared" si="12"/>
        <v>#REF!</v>
      </c>
      <c r="V198" s="134" t="str">
        <f t="shared" si="13"/>
        <v>#REF!</v>
      </c>
      <c r="W198" s="135" t="str">
        <f>IF(ISNA(VLOOKUP(A198,'Données projet (1)'!$A$35:$I$55,5,0)),0%,VLOOKUP(A198,'Données projet (1)'!$A$35:$I$55,5,0)*VLOOKUP('Données projet (1)'!$B$9,'Paramètres (1)'!$A$1:$I$88,7,0))</f>
        <v>#REF!</v>
      </c>
      <c r="X198" s="135" t="str">
        <f>IF(ISNA(VLOOKUP(A198,'Données projet (1)'!$A$35:$I$55,6,0)),0%,VLOOKUP(A198,'Données projet (1)'!$A$35:$I$55,6,0)*VLOOKUP('Données projet (1)'!$B$9,'Paramètres (1)'!$A$1:$I$88,7,0))</f>
        <v>#REF!</v>
      </c>
      <c r="Y198" s="135" t="str">
        <f t="shared" si="14"/>
        <v>#REF!</v>
      </c>
      <c r="Z198" s="142" t="str">
        <f>EXP(-LN(2)/35)*Z197+(1-EXP(-LN(2)/35))/(LN(2)/35)*V198*W198*VLOOKUP('Données projet (1)'!$B$9,'Paramètres (1)'!$A$1:$I$88,3,0)*0.475*44/12</f>
        <v>#REF!</v>
      </c>
      <c r="AA198" s="142" t="str">
        <f>EXP(-LN(2)/25)*AA197+(1-EXP(-LN(2)/25))/(LN(2)/25)*'Calculateur (1)'!V198*'Calculateur (1)'!X198*VLOOKUP('Données projet (1)'!$B$9,'Paramètres (1)'!$A$1:$I$88,3,0)*0.475*44/12</f>
        <v>#REF!</v>
      </c>
      <c r="AB198" s="142" t="str">
        <f>EXP(-LN(2)/2)*AB197+(1-EXP(-LN(2)/2))/(LN(2)/2)*V198*Y198*VLOOKUP('Données projet (1)'!$B$9,'Paramètres (1)'!$A$1:$I$88,3,0)*0.475*44/12</f>
        <v>#REF!</v>
      </c>
      <c r="AC198" s="143" t="str">
        <f t="shared" si="15"/>
        <v>#REF!</v>
      </c>
      <c r="AD198" s="130" t="str">
        <f t="shared" si="16"/>
        <v>#REF!</v>
      </c>
      <c r="AE198" s="130">
        <f t="shared" si="17"/>
        <v>10</v>
      </c>
      <c r="AF198" s="131" t="str">
        <f t="shared" si="112"/>
        <v>#REF!</v>
      </c>
      <c r="AG198" s="131" t="str">
        <f t="shared" si="18"/>
        <v>#REF!</v>
      </c>
      <c r="AH198" s="131" t="str">
        <f t="array" ref="AH198">INDEX(AG:AG,MIN(IF(ISNUMBER(AG198:AG394),ROW(AG198:AG394),"")))</f>
        <v/>
      </c>
      <c r="AI198" s="130" t="str">
        <f t="shared" si="113"/>
        <v>#REF!</v>
      </c>
      <c r="AJ198" s="130" t="str">
        <f>AI198*VLOOKUP('Données projet (1)'!$B$10,'Paramètres (1)'!$A$1:$I$88,3,0)*VLOOKUP('Données projet (1)'!$B$10,'Paramètres (1)'!$A$1:$I$88,5,0)</f>
        <v>#REF!</v>
      </c>
      <c r="AK198" s="130" t="str">
        <f t="shared" si="114"/>
        <v>#REF!</v>
      </c>
      <c r="AL198" s="141" t="str">
        <f t="shared" si="19"/>
        <v>#REF!</v>
      </c>
      <c r="AM198" s="133" t="str">
        <f t="shared" si="20"/>
        <v>#REF!</v>
      </c>
      <c r="AN198" s="133" t="str">
        <f t="shared" si="21"/>
        <v>#REF!</v>
      </c>
      <c r="AO198" s="133" t="str">
        <f t="shared" si="115"/>
        <v>#REF!</v>
      </c>
      <c r="AP198" s="134" t="str">
        <f t="shared" si="22"/>
        <v>#REF!</v>
      </c>
      <c r="AQ198" s="134" t="str">
        <f t="shared" si="23"/>
        <v>#REF!</v>
      </c>
      <c r="AR198" s="135" t="str">
        <f>IF(ISNA(VLOOKUP(A198,'Données projet (1)'!$A$61:$I$81,5,0)),0%,VLOOKUP(A198,'Données projet (1)'!$A$61:$I$81,5,0)*VLOOKUP('Données projet (1)'!$B$10,'Paramètres (1)'!$A$1:$I$88,7,0))</f>
        <v>#REF!</v>
      </c>
      <c r="AS198" s="135" t="str">
        <f>IF(ISNA(VLOOKUP(A198,'Données projet (1)'!$A$61:$I$81,6,0)),0%,VLOOKUP(A198,'Données projet (1)'!$A$61:$I$81,6,0)*VLOOKUP('Données projet (1)'!$B$10,'Paramètres (1)'!$A$1:$I$88,7,0))</f>
        <v>#REF!</v>
      </c>
      <c r="AT198" s="135" t="str">
        <f t="shared" si="24"/>
        <v>#REF!</v>
      </c>
      <c r="AU198" s="142" t="str">
        <f>EXP(-LN(2)/35)*AU197+(1-EXP(-LN(2)/35))/(LN(2)/35)*AQ198*AR198*VLOOKUP('Données projet (1)'!$B$10,'Paramètres (1)'!$A$1:$I$88,3,0)*0.475*44/12</f>
        <v>#REF!</v>
      </c>
      <c r="AV198" s="142" t="str">
        <f>EXP(-LN(2)/25)*AV197+(1-EXP(-LN(2)/25))/(LN(2)/25)*'Calculateur (1)'!AQ198*'Calculateur (1)'!AS198*VLOOKUP('Données projet (1)'!$B$10,'Paramètres (1)'!$A$1:$I$88,3,0)*0.475*44/12</f>
        <v>#REF!</v>
      </c>
      <c r="AW198" s="142" t="str">
        <f>EXP(-LN(2)/2)*AW197+(1-EXP(-LN(2)/2))/(LN(2)/2)*AQ198*AT198*VLOOKUP('Données projet (1)'!$B$10,'Paramètres (1)'!$A$1:$I$88,3,0)*0.475*44/12</f>
        <v>#REF!</v>
      </c>
      <c r="AX198" s="142" t="str">
        <f t="shared" si="25"/>
        <v>#REF!</v>
      </c>
      <c r="AY198" s="137" t="str">
        <f t="shared" si="26"/>
        <v>#REF!</v>
      </c>
      <c r="AZ198" s="131">
        <f t="shared" si="27"/>
        <v>10</v>
      </c>
      <c r="BA198" s="131" t="str">
        <f t="shared" si="116"/>
        <v>#REF!</v>
      </c>
      <c r="BB198" s="131" t="str">
        <f t="shared" si="28"/>
        <v>#REF!</v>
      </c>
      <c r="BC198" s="131" t="str">
        <f t="array" ref="BC198">INDEX(BB:BB,MIN(IF(ISNUMBER(BB198:BB394),ROW(BB198:BB394),"")))</f>
        <v/>
      </c>
      <c r="BD198" s="131" t="str">
        <f t="shared" si="117"/>
        <v>#REF!</v>
      </c>
      <c r="BE198" s="130" t="str">
        <f>BD198*VLOOKUP('Données projet (1)'!$B$11,'Paramètres (1)'!$A$1:$I$88,3,0)*VLOOKUP('Données projet (1)'!$B$11,'Paramètres (1)'!$A$1:$I$88,5,0)</f>
        <v>#REF!</v>
      </c>
      <c r="BF198" s="130" t="str">
        <f t="shared" si="118"/>
        <v>#REF!</v>
      </c>
      <c r="BG198" s="141" t="str">
        <f t="shared" si="29"/>
        <v>#REF!</v>
      </c>
      <c r="BH198" s="133" t="str">
        <f t="shared" si="30"/>
        <v>#REF!</v>
      </c>
      <c r="BI198" s="133" t="str">
        <f t="shared" si="31"/>
        <v>#REF!</v>
      </c>
      <c r="BJ198" s="133" t="str">
        <f t="shared" si="119"/>
        <v>#REF!</v>
      </c>
      <c r="BK198" s="134" t="str">
        <f t="shared" si="32"/>
        <v>#REF!</v>
      </c>
      <c r="BL198" s="134" t="str">
        <f t="shared" si="33"/>
        <v>#REF!</v>
      </c>
      <c r="BM198" s="135" t="str">
        <f>IF(ISNA(VLOOKUP(A198,'Données projet (1)'!$A$87:$I$107,5,0)),0%,VLOOKUP(A198,'Données projet (1)'!$A$87:$I$107,5,0)*VLOOKUP('Données projet (1)'!$B$11,'Paramètres (1)'!$A$1:$I$88,7,0))</f>
        <v>#REF!</v>
      </c>
      <c r="BN198" s="135" t="str">
        <f>IF(ISNA(VLOOKUP(A198,'Données projet (1)'!$A$87:$I$107,6,0)),0%,VLOOKUP(A198,'Données projet (1)'!$A$87:$I$107,6,0)*VLOOKUP('Données projet (1)'!$B$11,'Paramètres (1)'!$A$1:$I$88,7,0))</f>
        <v>#REF!</v>
      </c>
      <c r="BO198" s="135" t="str">
        <f t="shared" si="34"/>
        <v>#REF!</v>
      </c>
      <c r="BP198" s="142" t="str">
        <f>EXP(-LN(2)/35)*BP197+(1-EXP(-LN(2)/35))/(LN(2)/35)*BL198*BM198*VLOOKUP('Données projet (1)'!$B$11,'Paramètres (1)'!$A$1:$I$88,3,0)*0.475*44/12</f>
        <v>#REF!</v>
      </c>
      <c r="BQ198" s="142" t="str">
        <f>EXP(-LN(2)/25)*BQ197+(1-EXP(-LN(2)/25))/(LN(2)/25)*'Calculateur (1)'!BL198*'Calculateur (1)'!BN198*VLOOKUP('Données projet (1)'!$B$11,'Paramètres (1)'!$A$1:$I$88,3,0)*0.475*44/12</f>
        <v>#REF!</v>
      </c>
      <c r="BR198" s="142" t="str">
        <f>EXP(-LN(2)/2)*BR197+(1-EXP(-LN(2)/2))/(LN(2)/2)*BL198*BO198*VLOOKUP('Données projet (1)'!$B$11,'Paramètres (1)'!$A$1:$I$88,3,0)*0.475*44/12</f>
        <v>#REF!</v>
      </c>
      <c r="BS198" s="143" t="str">
        <f t="shared" si="35"/>
        <v>#REF!</v>
      </c>
      <c r="BT198" s="139" t="str">
        <f t="shared" si="36"/>
        <v>#REF!</v>
      </c>
      <c r="BU198" s="131">
        <f t="shared" si="37"/>
        <v>10</v>
      </c>
      <c r="BV198" s="131" t="str">
        <f t="shared" si="120"/>
        <v>#REF!</v>
      </c>
      <c r="BW198" s="131" t="str">
        <f t="shared" si="38"/>
        <v>#REF!</v>
      </c>
      <c r="BX198" s="131" t="str">
        <f t="array" ref="BX198">INDEX(BW:BW,MIN(IF(ISNUMBER(BW198:BW394),ROW(BW198:BW394),"")))</f>
        <v/>
      </c>
      <c r="BY198" s="131" t="str">
        <f t="shared" si="121"/>
        <v>#REF!</v>
      </c>
      <c r="BZ198" s="130" t="str">
        <f>BY198*VLOOKUP('Données projet (1)'!$B$12,'Paramètres (1)'!$A$1:$I$88,3,0)*VLOOKUP('Données projet (1)'!$B$12,'Paramètres (1)'!$A$1:$I$88,5,0)</f>
        <v>#REF!</v>
      </c>
      <c r="CA198" s="130" t="str">
        <f t="shared" si="122"/>
        <v>#REF!</v>
      </c>
      <c r="CB198" s="141" t="str">
        <f t="shared" si="39"/>
        <v>#REF!</v>
      </c>
      <c r="CC198" s="133" t="str">
        <f t="shared" si="40"/>
        <v>#REF!</v>
      </c>
      <c r="CD198" s="133" t="str">
        <f t="shared" si="41"/>
        <v>#REF!</v>
      </c>
      <c r="CE198" s="133" t="str">
        <f t="shared" si="123"/>
        <v>#REF!</v>
      </c>
      <c r="CF198" s="134" t="str">
        <f t="shared" si="42"/>
        <v>#REF!</v>
      </c>
      <c r="CG198" s="134" t="str">
        <f t="shared" si="43"/>
        <v>#REF!</v>
      </c>
      <c r="CH198" s="135" t="str">
        <f>IF(ISNA(VLOOKUP(A198,'Données projet (1)'!$A$113:$I$133,5,0)),0%,VLOOKUP(A198,'Données projet (1)'!$A$113:$I$133,5,0)*VLOOKUP('Données projet (1)'!$B$12,'Paramètres (1)'!$A$1:$I$88,7,0))</f>
        <v>#REF!</v>
      </c>
      <c r="CI198" s="135" t="str">
        <f>IF(ISNA(VLOOKUP(A198,'Données projet (1)'!$A$113:$I$133,6,0)),0%,VLOOKUP(A198,'Données projet (1)'!$A$113:$I$133,6,0)*VLOOKUP('Données projet (1)'!$B$12,'Paramètres (1)'!$A$1:$I$88,7,0))</f>
        <v>#REF!</v>
      </c>
      <c r="CJ198" s="135" t="str">
        <f t="shared" si="44"/>
        <v>#REF!</v>
      </c>
      <c r="CK198" s="142" t="str">
        <f>EXP(-LN(2)/35)*CK197+(1-EXP(-LN(2)/35))/(LN(2)/35)*CG198*CH198*VLOOKUP('Données projet (1)'!$B$12,'Paramètres (1)'!$A$1:$I$88,3,0)*0.475*44/12</f>
        <v>#REF!</v>
      </c>
      <c r="CL198" s="142" t="str">
        <f>EXP(-LN(2)/25)*CL197+(1-EXP(-LN(2)/25))/(LN(2)/25)*'Calculateur (1)'!CG198*'Calculateur (1)'!CI198*VLOOKUP('Données projet (1)'!$B$12,'Paramètres (1)'!$A$1:$I$88,3,0)*0.475*44/12</f>
        <v>#REF!</v>
      </c>
      <c r="CM198" s="142" t="str">
        <f>EXP(-LN(2)/2)*CM197+(1-EXP(-LN(2)/2))/(LN(2)/2)*CG198*CJ198*VLOOKUP('Données projet (1)'!$B$12,'Paramètres (1)'!$A$1:$I$88,3,0)*0.475*44/12</f>
        <v>#REF!</v>
      </c>
      <c r="CN198" s="143" t="str">
        <f t="shared" si="45"/>
        <v>#REF!</v>
      </c>
      <c r="CO198" s="139" t="str">
        <f t="shared" si="46"/>
        <v>#REF!</v>
      </c>
      <c r="CP198" s="131">
        <f t="shared" si="47"/>
        <v>10</v>
      </c>
      <c r="CQ198" s="131" t="str">
        <f t="shared" si="124"/>
        <v>#REF!</v>
      </c>
      <c r="CR198" s="131" t="str">
        <f t="shared" si="48"/>
        <v>#REF!</v>
      </c>
      <c r="CS198" s="131" t="str">
        <f t="array" ref="CS198">INDEX(CR:CR,MIN(IF(ISNUMBER(CR198:CR394),ROW(CR198:CR394),"")))</f>
        <v/>
      </c>
      <c r="CT198" s="131" t="str">
        <f t="shared" si="125"/>
        <v>#REF!</v>
      </c>
      <c r="CU198" s="138" t="str">
        <f>CT198*VLOOKUP('Données projet (1)'!$B$13,'Paramètres (1)'!$A$1:$I$88,3,0)*VLOOKUP('Données projet (1)'!$B$13,'Paramètres (1)'!$A$1:$I$88,5,0)</f>
        <v>#REF!</v>
      </c>
      <c r="CV198" s="130" t="str">
        <f t="shared" si="126"/>
        <v>#REF!</v>
      </c>
      <c r="CW198" s="141" t="str">
        <f t="shared" si="49"/>
        <v>#REF!</v>
      </c>
      <c r="CX198" s="133" t="str">
        <f t="shared" si="50"/>
        <v>#REF!</v>
      </c>
      <c r="CY198" s="133" t="str">
        <f t="shared" si="51"/>
        <v>#REF!</v>
      </c>
      <c r="CZ198" s="133" t="str">
        <f t="shared" si="127"/>
        <v>#REF!</v>
      </c>
      <c r="DA198" s="134" t="str">
        <f t="shared" si="52"/>
        <v>#REF!</v>
      </c>
      <c r="DB198" s="134" t="str">
        <f t="shared" si="53"/>
        <v>#REF!</v>
      </c>
      <c r="DC198" s="135" t="str">
        <f>IF(ISNA(VLOOKUP(A198,'Données projet (1)'!$A$139:$I$159,5,0)),0%,VLOOKUP(A198,'Données projet (1)'!$A$139:$I$159,5,0)*VLOOKUP('Données projet (1)'!$B$13,'Paramètres (1)'!$A$1:$I$88,7,0))</f>
        <v>#REF!</v>
      </c>
      <c r="DD198" s="135" t="str">
        <f>IF(ISNA(VLOOKUP(A198,'Données projet (1)'!$A$139:$I$159,6,0)),0%,VLOOKUP(A198,'Données projet (1)'!$A$139:$I$159,6,0)*VLOOKUP('Données projet (1)'!$B$13,'Paramètres (1)'!$A$1:$I$88,7,0))</f>
        <v>#REF!</v>
      </c>
      <c r="DE198" s="135" t="str">
        <f t="shared" si="54"/>
        <v>#REF!</v>
      </c>
      <c r="DF198" s="142" t="str">
        <f>EXP(-LN(2)/35)*DF197+(1-EXP(-LN(2)/35))/(LN(2)/35)*DB198*DC198*VLOOKUP('Données projet (1)'!$B$13,'Paramètres (1)'!$A$1:$I$88,3,0)*0.475*44/12</f>
        <v>#REF!</v>
      </c>
      <c r="DG198" s="142" t="str">
        <f>EXP(-LN(2)/25)*DG197+(1-EXP(-LN(2)/25))/(LN(2)/25)*'Calculateur (1)'!DB198*'Calculateur (1)'!DD198*VLOOKUP('Données projet (1)'!$B$13,'Paramètres (1)'!$A$1:$I$88,3,0)*0.475*44/12</f>
        <v>#REF!</v>
      </c>
      <c r="DH198" s="142" t="str">
        <f>EXP(-LN(2)/2)*DH197+(1-EXP(-LN(2)/2))/(LN(2)/2)*DB198*DE198*VLOOKUP('Données projet (1)'!$B$13,'Paramètres (1)'!$A$1:$I$88,3,0)*0.475*44/12</f>
        <v>#REF!</v>
      </c>
      <c r="DI198" s="143" t="str">
        <f t="shared" si="55"/>
        <v>#REF!</v>
      </c>
      <c r="DJ198" s="139" t="str">
        <f t="shared" si="56"/>
        <v>#REF!</v>
      </c>
      <c r="DK198" s="131">
        <f t="shared" si="57"/>
        <v>10</v>
      </c>
      <c r="DL198" s="131" t="str">
        <f t="shared" si="128"/>
        <v>#REF!</v>
      </c>
      <c r="DM198" s="131" t="str">
        <f t="shared" si="58"/>
        <v>#REF!</v>
      </c>
      <c r="DN198" s="131" t="str">
        <f t="array" ref="DN198">INDEX(DM:DM,MIN(IF(ISNUMBER(DM198:DM394),ROW(DM198:DM394),"")))</f>
        <v/>
      </c>
      <c r="DO198" s="131" t="str">
        <f t="shared" si="129"/>
        <v>#REF!</v>
      </c>
      <c r="DP198" s="138" t="str">
        <f>DO198*VLOOKUP('Données projet (1)'!$B$14,'Paramètres (1)'!$A$1:$I$88,3,0)*VLOOKUP('Données projet (1)'!$B$14,'Paramètres (1)'!$A$1:$I$88,5,0)</f>
        <v>#REF!</v>
      </c>
      <c r="DQ198" s="130" t="str">
        <f t="shared" si="130"/>
        <v>#REF!</v>
      </c>
      <c r="DR198" s="141" t="str">
        <f t="shared" si="59"/>
        <v>#REF!</v>
      </c>
      <c r="DS198" s="133" t="str">
        <f t="shared" si="60"/>
        <v>#REF!</v>
      </c>
      <c r="DT198" s="133" t="str">
        <f t="shared" si="61"/>
        <v>#REF!</v>
      </c>
      <c r="DU198" s="133" t="str">
        <f t="shared" si="131"/>
        <v>#REF!</v>
      </c>
      <c r="DV198" s="134" t="str">
        <f t="shared" si="62"/>
        <v>#REF!</v>
      </c>
      <c r="DW198" s="134" t="str">
        <f t="shared" si="63"/>
        <v>#REF!</v>
      </c>
      <c r="DX198" s="135" t="str">
        <f>IF(ISNA(VLOOKUP(A198,'Données projet (1)'!$A$165:$I$185,5,0)),0%,VLOOKUP(A198,'Données projet (1)'!$A$165:$I$185,5,0)*VLOOKUP('Données projet (1)'!$B$14,'Paramètres (1)'!$A$1:$I$88,7,0))</f>
        <v>#REF!</v>
      </c>
      <c r="DY198" s="135" t="str">
        <f>IF(ISNA(VLOOKUP(A198,'Données projet (1)'!$A$165:$I$185,6,0)),0%,VLOOKUP(A198,'Données projet (1)'!$A$165:$I$185,6,0)*VLOOKUP('Données projet (1)'!$B$14,'Paramètres (1)'!$A$1:$I$88,7,0))</f>
        <v>#REF!</v>
      </c>
      <c r="DZ198" s="135" t="str">
        <f t="shared" si="64"/>
        <v>#REF!</v>
      </c>
      <c r="EA198" s="142" t="str">
        <f>EXP(-LN(2)/35)*EA197+(1-EXP(-LN(2)/35))/(LN(2)/35)*DW198*DX198*VLOOKUP('Données projet (1)'!$B$14,'Paramètres (1)'!$A$1:$I$88,3,0)*0.475*44/12</f>
        <v>#REF!</v>
      </c>
      <c r="EB198" s="142" t="str">
        <f>EXP(-LN(2)/25)*EB197+(1-EXP(-LN(2)/25))/(LN(2)/25)*'Calculateur (1)'!DW198*'Calculateur (1)'!DY198*VLOOKUP('Données projet (1)'!$B$14,'Paramètres (1)'!$A$1:$I$88,3,0)*0.475*44/12</f>
        <v>#REF!</v>
      </c>
      <c r="EC198" s="142" t="str">
        <f>EXP(-LN(2)/2)*EC197+(1-EXP(-LN(2)/2))/(LN(2)/2)*DW198*DZ198*VLOOKUP('Données projet (1)'!$B$14,'Paramètres (1)'!$A$1:$I$88,3,0)*0.475*44/12</f>
        <v>#REF!</v>
      </c>
      <c r="ED198" s="143" t="str">
        <f t="shared" si="65"/>
        <v>#REF!</v>
      </c>
      <c r="EE198" s="139" t="str">
        <f t="shared" si="66"/>
        <v>#REF!</v>
      </c>
      <c r="EF198" s="131">
        <f t="shared" si="67"/>
        <v>10</v>
      </c>
      <c r="EG198" s="131" t="str">
        <f t="shared" si="132"/>
        <v>#REF!</v>
      </c>
      <c r="EH198" s="131" t="str">
        <f t="shared" si="68"/>
        <v>#REF!</v>
      </c>
      <c r="EI198" s="131" t="str">
        <f t="array" ref="EI198">INDEX(EH:EH,MIN(IF(ISNUMBER(EH198:EH394),ROW(EH198:EH394),"")))</f>
        <v/>
      </c>
      <c r="EJ198" s="131" t="str">
        <f t="shared" si="133"/>
        <v>#REF!</v>
      </c>
      <c r="EK198" s="138" t="str">
        <f>EJ198*VLOOKUP('Données projet (1)'!$B$15,'Paramètres (1)'!$A$1:$I$88,3,0)*VLOOKUP('Données projet (1)'!$B$15,'Paramètres (1)'!$A$1:$I$88,5,0)</f>
        <v>#REF!</v>
      </c>
      <c r="EL198" s="130" t="str">
        <f t="shared" si="134"/>
        <v>#REF!</v>
      </c>
      <c r="EM198" s="141" t="str">
        <f t="shared" si="69"/>
        <v>#REF!</v>
      </c>
      <c r="EN198" s="133" t="str">
        <f t="shared" si="70"/>
        <v>#REF!</v>
      </c>
      <c r="EO198" s="133" t="str">
        <f t="shared" si="71"/>
        <v>#REF!</v>
      </c>
      <c r="EP198" s="133" t="str">
        <f t="shared" si="135"/>
        <v>#REF!</v>
      </c>
      <c r="EQ198" s="134" t="str">
        <f t="shared" si="72"/>
        <v>#REF!</v>
      </c>
      <c r="ER198" s="134" t="str">
        <f t="shared" si="73"/>
        <v>#REF!</v>
      </c>
      <c r="ES198" s="135" t="str">
        <f>IF(ISNA(VLOOKUP(A198,'Données projet (1)'!$A$191:$I$211,5,0)),0%,VLOOKUP(A198,'Données projet (1)'!$A$191:$I$211,5,0)*VLOOKUP('Données projet (1)'!$B$15,'Paramètres (1)'!$A$1:$I$88,7,0))</f>
        <v>#REF!</v>
      </c>
      <c r="ET198" s="135" t="str">
        <f>IF(ISNA(VLOOKUP(A198,'Données projet (1)'!$A$191:$I$211,6,0)),0%,VLOOKUP(A198,'Données projet (1)'!$A$191:$I$211,6,0)*VLOOKUP('Données projet (1)'!$B$15,'Paramètres (1)'!$A$1:$I$88,7,0))</f>
        <v>#REF!</v>
      </c>
      <c r="EU198" s="135" t="str">
        <f t="shared" si="74"/>
        <v>#REF!</v>
      </c>
      <c r="EV198" s="142" t="str">
        <f>EXP(-LN(2)/35)*EV197+(1-EXP(-LN(2)/35))/(LN(2)/35)*ER198*ES198*VLOOKUP('Données projet (1)'!$B$15,'Paramètres (1)'!$A$1:$I$88,3,0)*0.475*44/12</f>
        <v>#REF!</v>
      </c>
      <c r="EW198" s="142" t="str">
        <f>EXP(-LN(2)/25)*EW197+(1-EXP(-LN(2)/25))/(LN(2)/25)*'Calculateur (1)'!ER198*'Calculateur (1)'!ET198*VLOOKUP('Données projet (1)'!$B$15,'Paramètres (1)'!$A$1:$I$88,3,0)*0.475*44/12</f>
        <v>#REF!</v>
      </c>
      <c r="EX198" s="142" t="str">
        <f>EXP(-LN(2)/2)*EX197+(1-EXP(-LN(2)/2))/(LN(2)/2)*ER198*EU198*VLOOKUP('Données projet (1)'!$B$15,'Paramètres (1)'!$A$1:$I$88,3,0)*0.475*44/12</f>
        <v>#REF!</v>
      </c>
      <c r="EY198" s="143" t="str">
        <f t="shared" si="75"/>
        <v>#REF!</v>
      </c>
      <c r="EZ198" s="139" t="str">
        <f t="shared" si="76"/>
        <v>#REF!</v>
      </c>
      <c r="FA198" s="131">
        <f t="shared" si="77"/>
        <v>10</v>
      </c>
      <c r="FB198" s="131" t="str">
        <f t="shared" si="136"/>
        <v>#REF!</v>
      </c>
      <c r="FC198" s="131" t="str">
        <f t="shared" si="78"/>
        <v>#REF!</v>
      </c>
      <c r="FD198" s="131" t="str">
        <f t="array" ref="FD198">INDEX(FC:FC,MIN(IF(ISNUMBER(FC198:FC394),ROW(FC198:FC394),"")))</f>
        <v/>
      </c>
      <c r="FE198" s="131" t="str">
        <f t="shared" si="137"/>
        <v>#REF!</v>
      </c>
      <c r="FF198" s="138" t="str">
        <f>FE198*VLOOKUP('Données projet (1)'!$B$16,'Paramètres (1)'!$A$1:$I$88,3,0)*VLOOKUP('Données projet (1)'!$B$16,'Paramètres (1)'!$A$1:$I$88,5,0)</f>
        <v>#REF!</v>
      </c>
      <c r="FG198" s="130" t="str">
        <f t="shared" si="138"/>
        <v>#REF!</v>
      </c>
      <c r="FH198" s="141" t="str">
        <f t="shared" si="79"/>
        <v>#REF!</v>
      </c>
      <c r="FI198" s="133" t="str">
        <f t="shared" si="80"/>
        <v>#REF!</v>
      </c>
      <c r="FJ198" s="133" t="str">
        <f t="shared" si="81"/>
        <v>#REF!</v>
      </c>
      <c r="FK198" s="133" t="str">
        <f t="shared" si="139"/>
        <v>#REF!</v>
      </c>
      <c r="FL198" s="134" t="str">
        <f t="shared" si="82"/>
        <v>#REF!</v>
      </c>
      <c r="FM198" s="134" t="str">
        <f t="shared" si="83"/>
        <v>#REF!</v>
      </c>
      <c r="FN198" s="135" t="str">
        <f>IF(ISNA(VLOOKUP(A198,'Données projet (1)'!$A$217:$I$237,5,0)),0%,VLOOKUP(A198,'Données projet (1)'!$A$217:$I$237,5,0)*VLOOKUP('Données projet (1)'!$B$16,'Paramètres (1)'!$A$1:$I$88,7,0))</f>
        <v>#REF!</v>
      </c>
      <c r="FO198" s="135" t="str">
        <f>IF(ISNA(VLOOKUP(A198,'Données projet (1)'!$A$217:$I$237,6,0)),0%,VLOOKUP(A198,'Données projet (1)'!$A$217:$I$237,6,0)*VLOOKUP('Données projet (1)'!$B$16,'Paramètres (1)'!$A$1:$I$88,7,0))</f>
        <v>#REF!</v>
      </c>
      <c r="FP198" s="135" t="str">
        <f t="shared" si="84"/>
        <v>#REF!</v>
      </c>
      <c r="FQ198" s="142" t="str">
        <f>EXP(-LN(2)/35)*FQ197+(1-EXP(-LN(2)/35))/(LN(2)/35)*FM198*FN198*VLOOKUP('Données projet (1)'!$B$16,'Paramètres (1)'!$A$1:$I$88,3,0)*0.475*44/12</f>
        <v>#REF!</v>
      </c>
      <c r="FR198" s="142" t="str">
        <f>EXP(-LN(2)/25)*FR197+(1-EXP(-LN(2)/25))/(LN(2)/25)*'Calculateur (1)'!FM198*'Calculateur (1)'!FO198*VLOOKUP('Données projet (1)'!$B$16,'Paramètres (1)'!$A$1:$I$88,3,0)*0.475*44/12</f>
        <v>#REF!</v>
      </c>
      <c r="FS198" s="142" t="str">
        <f>EXP(-LN(2)/2)*FS197+(1-EXP(-LN(2)/2))/(LN(2)/2)*FM198*FP198*VLOOKUP('Données projet (1)'!$B$16,'Paramètres (1)'!$A$1:$I$88,3,0)*0.475*44/12</f>
        <v>#REF!</v>
      </c>
      <c r="FT198" s="143" t="str">
        <f t="shared" si="85"/>
        <v>#REF!</v>
      </c>
      <c r="FU198" s="139" t="str">
        <f t="shared" si="86"/>
        <v>#REF!</v>
      </c>
      <c r="FV198" s="131">
        <f t="shared" si="87"/>
        <v>10</v>
      </c>
      <c r="FW198" s="131" t="str">
        <f t="shared" si="140"/>
        <v>#REF!</v>
      </c>
      <c r="FX198" s="131" t="str">
        <f t="shared" si="88"/>
        <v>#REF!</v>
      </c>
      <c r="FY198" s="131" t="str">
        <f t="array" ref="FY198">INDEX(FX:FX,MIN(IF(ISNUMBER(FX198:FX394),ROW(FX198:FX394),"")))</f>
        <v/>
      </c>
      <c r="FZ198" s="131" t="str">
        <f t="shared" si="141"/>
        <v>#REF!</v>
      </c>
      <c r="GA198" s="138" t="str">
        <f>FZ198*VLOOKUP('Données projet (1)'!$B$17,'Paramètres (1)'!$A$1:$I$88,3,0)*VLOOKUP('Données projet (1)'!$B$17,'Paramètres (1)'!$A$1:$I$88,5,0)</f>
        <v>#REF!</v>
      </c>
      <c r="GB198" s="130" t="str">
        <f t="shared" si="142"/>
        <v>#REF!</v>
      </c>
      <c r="GC198" s="141" t="str">
        <f t="shared" si="89"/>
        <v>#REF!</v>
      </c>
      <c r="GD198" s="133" t="str">
        <f t="shared" si="90"/>
        <v>#REF!</v>
      </c>
      <c r="GE198" s="133" t="str">
        <f t="shared" si="91"/>
        <v>#REF!</v>
      </c>
      <c r="GF198" s="133" t="str">
        <f t="shared" si="143"/>
        <v>#REF!</v>
      </c>
      <c r="GG198" s="134" t="str">
        <f t="shared" si="92"/>
        <v>#REF!</v>
      </c>
      <c r="GH198" s="134" t="str">
        <f t="shared" si="93"/>
        <v>#REF!</v>
      </c>
      <c r="GI198" s="135" t="str">
        <f>IF(ISNA(VLOOKUP(A198,'Données projet (1)'!$A$243:$I$263,5,0)),0%,VLOOKUP(A198,'Données projet (1)'!$A$243:$I$263,5,0)*VLOOKUP('Données projet (1)'!$B$17,'Paramètres (1)'!$A$1:$I$88,7,0))</f>
        <v>#REF!</v>
      </c>
      <c r="GJ198" s="135" t="str">
        <f>IF(ISNA(VLOOKUP(A198,'Données projet (1)'!$A$243:$I$263,6,0)),0%,VLOOKUP(A198,'Données projet (1)'!$A$243:$I$263,6,0)*VLOOKUP('Données projet (1)'!$B$17,'Paramètres (1)'!$A$1:$I$88,7,0))</f>
        <v>#REF!</v>
      </c>
      <c r="GK198" s="135" t="str">
        <f t="shared" si="94"/>
        <v>#REF!</v>
      </c>
      <c r="GL198" s="142" t="str">
        <f>EXP(-LN(2)/35)*GL197+(1-EXP(-LN(2)/35))/(LN(2)/35)*GH198*GI198*VLOOKUP('Données projet (1)'!$B$17,'Paramètres (1)'!$A$1:$I$88,3,0)*0.475*44/12</f>
        <v>#REF!</v>
      </c>
      <c r="GM198" s="142" t="str">
        <f>EXP(-LN(2)/25)*GM197+(1-EXP(-LN(2)/25))/(LN(2)/25)*'Calculateur (1)'!GH198*'Calculateur (1)'!GJ198*VLOOKUP('Données projet (1)'!$B$17,'Paramètres (1)'!$A$1:$I$88,3,0)*0.475*44/12</f>
        <v>#REF!</v>
      </c>
      <c r="GN198" s="142" t="str">
        <f>EXP(-LN(2)/2)*GN197+(1-EXP(-LN(2)/2))/(LN(2)/2)*GH198*GK198*VLOOKUP('Données projet (1)'!$B$17,'Paramètres (1)'!$A$1:$I$88,3,0)*0.475*44/12</f>
        <v>#REF!</v>
      </c>
      <c r="GO198" s="142" t="str">
        <f t="shared" si="95"/>
        <v>#REF!</v>
      </c>
      <c r="GP198" s="139" t="str">
        <f t="shared" si="96"/>
        <v>#REF!</v>
      </c>
      <c r="GQ198" s="131">
        <f t="shared" si="97"/>
        <v>10</v>
      </c>
      <c r="GR198" s="131" t="str">
        <f t="shared" si="144"/>
        <v>#REF!</v>
      </c>
      <c r="GS198" s="131" t="str">
        <f t="shared" si="98"/>
        <v>#REF!</v>
      </c>
      <c r="GT198" s="131" t="str">
        <f t="array" ref="GT198">INDEX(GS:GS,MIN(IF(ISNUMBER(GS198:GS394),ROW(GS198:GS394),"")))</f>
        <v/>
      </c>
      <c r="GU198" s="131" t="str">
        <f t="shared" si="145"/>
        <v>#REF!</v>
      </c>
      <c r="GV198" s="138" t="str">
        <f>GU198*VLOOKUP('Données projet (1)'!$B$18,'Paramètres (1)'!$A$1:$I$88,3,0)*VLOOKUP('Données projet (1)'!$B$18,'Paramètres (1)'!$A$1:$I$88,5,0)</f>
        <v>#REF!</v>
      </c>
      <c r="GW198" s="130" t="str">
        <f t="shared" si="146"/>
        <v>#REF!</v>
      </c>
      <c r="GX198" s="141" t="str">
        <f t="shared" si="99"/>
        <v>#REF!</v>
      </c>
      <c r="GY198" s="133" t="str">
        <f t="shared" si="100"/>
        <v>#REF!</v>
      </c>
      <c r="GZ198" s="133" t="str">
        <f t="shared" si="101"/>
        <v>#REF!</v>
      </c>
      <c r="HA198" s="133" t="str">
        <f t="shared" si="147"/>
        <v>#REF!</v>
      </c>
      <c r="HB198" s="134" t="str">
        <f t="shared" si="102"/>
        <v>#REF!</v>
      </c>
      <c r="HC198" s="134" t="str">
        <f t="shared" si="103"/>
        <v>#REF!</v>
      </c>
      <c r="HD198" s="135" t="str">
        <f>IF(ISNA(VLOOKUP(A198,'Données projet (1)'!$A$269:$I$289,5,0)),0%,VLOOKUP(A198,'Données projet (1)'!$A$269:$I$289,5,0)*VLOOKUP('Données projet (1)'!$B$18,'Paramètres (1)'!$A$1:$I$88,7,0))</f>
        <v>#REF!</v>
      </c>
      <c r="HE198" s="135" t="str">
        <f>IF(ISNA(VLOOKUP(A198,'Données projet (1)'!$A$269:$I$289,6,0)),0%,VLOOKUP(A198,'Données projet (1)'!$A$269:$I$289,6,0)*VLOOKUP('Données projet (1)'!$B$18,'Paramètres (1)'!$A$1:$I$88,7,0))</f>
        <v>#REF!</v>
      </c>
      <c r="HF198" s="135" t="str">
        <f t="shared" si="104"/>
        <v>#REF!</v>
      </c>
      <c r="HG198" s="142" t="str">
        <f>EXP(-LN(2)/35)*HG197+(1-EXP(-LN(2)/35))/(LN(2)/35)*HC198*HD198*VLOOKUP('Données projet (1)'!$B$18,'Paramètres (1)'!$A$1:$I$88,3,0)*0.475*44/12</f>
        <v>#REF!</v>
      </c>
      <c r="HH198" s="142" t="str">
        <f>EXP(-LN(2)/25)*HH197+(1-EXP(-LN(2)/25))/(LN(2)/25)*'Calculateur (1)'!HC198*'Calculateur (1)'!HE198*VLOOKUP('Données projet (1)'!$B$18,'Paramètres (1)'!$A$1:$I$88,3,0)*0.475*44/12</f>
        <v>#REF!</v>
      </c>
      <c r="HI198" s="142" t="str">
        <f>EXP(-LN(2)/2)*HI197+(1-EXP(-LN(2)/2))/(LN(2)/2)*HC198*HF198*VLOOKUP('Données projet (1)'!$B$18,'Paramètres (1)'!$A$1:$I$88,3,0)*0.475*44/12</f>
        <v>#REF!</v>
      </c>
      <c r="HJ198" s="143" t="str">
        <f t="shared" si="105"/>
        <v>#REF!</v>
      </c>
    </row>
    <row r="199" ht="14.25" customHeight="1">
      <c r="A199" s="125">
        <f t="shared" si="106"/>
        <v>196</v>
      </c>
      <c r="B199" s="126" t="str">
        <f t="shared" si="1"/>
        <v>#REF!</v>
      </c>
      <c r="C199" s="140" t="str">
        <f>'Calculateur (1)'!C198+'Scénario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9" s="127">
        <f t="shared" si="107"/>
        <v>0</v>
      </c>
      <c r="E199" s="127" t="str">
        <f t="shared" si="2"/>
        <v>#REF!</v>
      </c>
      <c r="F199" s="127" t="str">
        <f t="shared" si="3"/>
        <v>#REF!</v>
      </c>
      <c r="G199" s="127" t="str">
        <f t="shared" si="4"/>
        <v>#REF!</v>
      </c>
      <c r="H199" s="128" t="str">
        <f t="shared" si="5"/>
        <v>#REF!</v>
      </c>
      <c r="I199" s="129" t="str">
        <f t="shared" si="6"/>
        <v>#REF!</v>
      </c>
      <c r="J199" s="130">
        <f t="shared" si="7"/>
        <v>10</v>
      </c>
      <c r="K199" s="131" t="str">
        <f t="shared" si="108"/>
        <v>#REF!</v>
      </c>
      <c r="L199" s="131" t="str">
        <f t="shared" si="8"/>
        <v>#REF!</v>
      </c>
      <c r="M199" s="131" t="str">
        <f t="array" ref="M199">INDEX(L:L,MIN(IF(ISNUMBER(L199:L395),ROW(L199:L395),"")))</f>
        <v/>
      </c>
      <c r="N199" s="130" t="str">
        <f t="shared" si="109"/>
        <v>#REF!</v>
      </c>
      <c r="O199" s="130" t="str">
        <f>N199*VLOOKUP('Données projet (1)'!$B$9,'Paramètres (1)'!$A$1:$I$88,3,0)*VLOOKUP('Données projet (1)'!$B$9,'Paramètres (1)'!$A$1:$I$88,5,0)</f>
        <v>#REF!</v>
      </c>
      <c r="P199" s="130" t="str">
        <f t="shared" si="110"/>
        <v>#REF!</v>
      </c>
      <c r="Q199" s="141" t="str">
        <f t="shared" si="9"/>
        <v>#REF!</v>
      </c>
      <c r="R199" s="133" t="str">
        <f t="shared" si="10"/>
        <v>#REF!</v>
      </c>
      <c r="S199" s="133" t="str">
        <f t="shared" si="11"/>
        <v>#REF!</v>
      </c>
      <c r="T199" s="133" t="str">
        <f t="shared" si="111"/>
        <v>#REF!</v>
      </c>
      <c r="U199" s="134" t="str">
        <f t="shared" si="12"/>
        <v>#REF!</v>
      </c>
      <c r="V199" s="134" t="str">
        <f t="shared" si="13"/>
        <v>#REF!</v>
      </c>
      <c r="W199" s="135" t="str">
        <f>IF(ISNA(VLOOKUP(A199,'Données projet (1)'!$A$35:$I$55,5,0)),0%,VLOOKUP(A199,'Données projet (1)'!$A$35:$I$55,5,0)*VLOOKUP('Données projet (1)'!$B$9,'Paramètres (1)'!$A$1:$I$88,7,0))</f>
        <v>#REF!</v>
      </c>
      <c r="X199" s="135" t="str">
        <f>IF(ISNA(VLOOKUP(A199,'Données projet (1)'!$A$35:$I$55,6,0)),0%,VLOOKUP(A199,'Données projet (1)'!$A$35:$I$55,6,0)*VLOOKUP('Données projet (1)'!$B$9,'Paramètres (1)'!$A$1:$I$88,7,0))</f>
        <v>#REF!</v>
      </c>
      <c r="Y199" s="135" t="str">
        <f t="shared" si="14"/>
        <v>#REF!</v>
      </c>
      <c r="Z199" s="142" t="str">
        <f>EXP(-LN(2)/35)*Z198+(1-EXP(-LN(2)/35))/(LN(2)/35)*V199*W199*VLOOKUP('Données projet (1)'!$B$9,'Paramètres (1)'!$A$1:$I$88,3,0)*0.475*44/12</f>
        <v>#REF!</v>
      </c>
      <c r="AA199" s="142" t="str">
        <f>EXP(-LN(2)/25)*AA198+(1-EXP(-LN(2)/25))/(LN(2)/25)*'Calculateur (1)'!V199*'Calculateur (1)'!X199*VLOOKUP('Données projet (1)'!$B$9,'Paramètres (1)'!$A$1:$I$88,3,0)*0.475*44/12</f>
        <v>#REF!</v>
      </c>
      <c r="AB199" s="142" t="str">
        <f>EXP(-LN(2)/2)*AB198+(1-EXP(-LN(2)/2))/(LN(2)/2)*V199*Y199*VLOOKUP('Données projet (1)'!$B$9,'Paramètres (1)'!$A$1:$I$88,3,0)*0.475*44/12</f>
        <v>#REF!</v>
      </c>
      <c r="AC199" s="143" t="str">
        <f t="shared" si="15"/>
        <v>#REF!</v>
      </c>
      <c r="AD199" s="130" t="str">
        <f t="shared" si="16"/>
        <v>#REF!</v>
      </c>
      <c r="AE199" s="130">
        <f t="shared" si="17"/>
        <v>10</v>
      </c>
      <c r="AF199" s="131" t="str">
        <f t="shared" si="112"/>
        <v>#REF!</v>
      </c>
      <c r="AG199" s="131" t="str">
        <f t="shared" si="18"/>
        <v>#REF!</v>
      </c>
      <c r="AH199" s="131" t="str">
        <f t="array" ref="AH199">INDEX(AG:AG,MIN(IF(ISNUMBER(AG199:AG395),ROW(AG199:AG395),"")))</f>
        <v/>
      </c>
      <c r="AI199" s="130" t="str">
        <f t="shared" si="113"/>
        <v>#REF!</v>
      </c>
      <c r="AJ199" s="130" t="str">
        <f>AI199*VLOOKUP('Données projet (1)'!$B$10,'Paramètres (1)'!$A$1:$I$88,3,0)*VLOOKUP('Données projet (1)'!$B$10,'Paramètres (1)'!$A$1:$I$88,5,0)</f>
        <v>#REF!</v>
      </c>
      <c r="AK199" s="130" t="str">
        <f t="shared" si="114"/>
        <v>#REF!</v>
      </c>
      <c r="AL199" s="141" t="str">
        <f t="shared" si="19"/>
        <v>#REF!</v>
      </c>
      <c r="AM199" s="133" t="str">
        <f t="shared" si="20"/>
        <v>#REF!</v>
      </c>
      <c r="AN199" s="133" t="str">
        <f t="shared" si="21"/>
        <v>#REF!</v>
      </c>
      <c r="AO199" s="133" t="str">
        <f t="shared" si="115"/>
        <v>#REF!</v>
      </c>
      <c r="AP199" s="134" t="str">
        <f t="shared" si="22"/>
        <v>#REF!</v>
      </c>
      <c r="AQ199" s="134" t="str">
        <f t="shared" si="23"/>
        <v>#REF!</v>
      </c>
      <c r="AR199" s="135" t="str">
        <f>IF(ISNA(VLOOKUP(A199,'Données projet (1)'!$A$61:$I$81,5,0)),0%,VLOOKUP(A199,'Données projet (1)'!$A$61:$I$81,5,0)*VLOOKUP('Données projet (1)'!$B$10,'Paramètres (1)'!$A$1:$I$88,7,0))</f>
        <v>#REF!</v>
      </c>
      <c r="AS199" s="135" t="str">
        <f>IF(ISNA(VLOOKUP(A199,'Données projet (1)'!$A$61:$I$81,6,0)),0%,VLOOKUP(A199,'Données projet (1)'!$A$61:$I$81,6,0)*VLOOKUP('Données projet (1)'!$B$10,'Paramètres (1)'!$A$1:$I$88,7,0))</f>
        <v>#REF!</v>
      </c>
      <c r="AT199" s="135" t="str">
        <f t="shared" si="24"/>
        <v>#REF!</v>
      </c>
      <c r="AU199" s="142" t="str">
        <f>EXP(-LN(2)/35)*AU198+(1-EXP(-LN(2)/35))/(LN(2)/35)*AQ199*AR199*VLOOKUP('Données projet (1)'!$B$10,'Paramètres (1)'!$A$1:$I$88,3,0)*0.475*44/12</f>
        <v>#REF!</v>
      </c>
      <c r="AV199" s="142" t="str">
        <f>EXP(-LN(2)/25)*AV198+(1-EXP(-LN(2)/25))/(LN(2)/25)*'Calculateur (1)'!AQ199*'Calculateur (1)'!AS199*VLOOKUP('Données projet (1)'!$B$10,'Paramètres (1)'!$A$1:$I$88,3,0)*0.475*44/12</f>
        <v>#REF!</v>
      </c>
      <c r="AW199" s="142" t="str">
        <f>EXP(-LN(2)/2)*AW198+(1-EXP(-LN(2)/2))/(LN(2)/2)*AQ199*AT199*VLOOKUP('Données projet (1)'!$B$10,'Paramètres (1)'!$A$1:$I$88,3,0)*0.475*44/12</f>
        <v>#REF!</v>
      </c>
      <c r="AX199" s="142" t="str">
        <f t="shared" si="25"/>
        <v>#REF!</v>
      </c>
      <c r="AY199" s="137" t="str">
        <f t="shared" si="26"/>
        <v>#REF!</v>
      </c>
      <c r="AZ199" s="131">
        <f t="shared" si="27"/>
        <v>10</v>
      </c>
      <c r="BA199" s="131" t="str">
        <f t="shared" si="116"/>
        <v>#REF!</v>
      </c>
      <c r="BB199" s="131" t="str">
        <f t="shared" si="28"/>
        <v>#REF!</v>
      </c>
      <c r="BC199" s="131" t="str">
        <f t="array" ref="BC199">INDEX(BB:BB,MIN(IF(ISNUMBER(BB199:BB395),ROW(BB199:BB395),"")))</f>
        <v/>
      </c>
      <c r="BD199" s="131" t="str">
        <f t="shared" si="117"/>
        <v>#REF!</v>
      </c>
      <c r="BE199" s="130" t="str">
        <f>BD199*VLOOKUP('Données projet (1)'!$B$11,'Paramètres (1)'!$A$1:$I$88,3,0)*VLOOKUP('Données projet (1)'!$B$11,'Paramètres (1)'!$A$1:$I$88,5,0)</f>
        <v>#REF!</v>
      </c>
      <c r="BF199" s="130" t="str">
        <f t="shared" si="118"/>
        <v>#REF!</v>
      </c>
      <c r="BG199" s="141" t="str">
        <f t="shared" si="29"/>
        <v>#REF!</v>
      </c>
      <c r="BH199" s="133" t="str">
        <f t="shared" si="30"/>
        <v>#REF!</v>
      </c>
      <c r="BI199" s="133" t="str">
        <f t="shared" si="31"/>
        <v>#REF!</v>
      </c>
      <c r="BJ199" s="133" t="str">
        <f t="shared" si="119"/>
        <v>#REF!</v>
      </c>
      <c r="BK199" s="134" t="str">
        <f t="shared" si="32"/>
        <v>#REF!</v>
      </c>
      <c r="BL199" s="134" t="str">
        <f t="shared" si="33"/>
        <v>#REF!</v>
      </c>
      <c r="BM199" s="135" t="str">
        <f>IF(ISNA(VLOOKUP(A199,'Données projet (1)'!$A$87:$I$107,5,0)),0%,VLOOKUP(A199,'Données projet (1)'!$A$87:$I$107,5,0)*VLOOKUP('Données projet (1)'!$B$11,'Paramètres (1)'!$A$1:$I$88,7,0))</f>
        <v>#REF!</v>
      </c>
      <c r="BN199" s="135" t="str">
        <f>IF(ISNA(VLOOKUP(A199,'Données projet (1)'!$A$87:$I$107,6,0)),0%,VLOOKUP(A199,'Données projet (1)'!$A$87:$I$107,6,0)*VLOOKUP('Données projet (1)'!$B$11,'Paramètres (1)'!$A$1:$I$88,7,0))</f>
        <v>#REF!</v>
      </c>
      <c r="BO199" s="135" t="str">
        <f t="shared" si="34"/>
        <v>#REF!</v>
      </c>
      <c r="BP199" s="142" t="str">
        <f>EXP(-LN(2)/35)*BP198+(1-EXP(-LN(2)/35))/(LN(2)/35)*BL199*BM199*VLOOKUP('Données projet (1)'!$B$11,'Paramètres (1)'!$A$1:$I$88,3,0)*0.475*44/12</f>
        <v>#REF!</v>
      </c>
      <c r="BQ199" s="142" t="str">
        <f>EXP(-LN(2)/25)*BQ198+(1-EXP(-LN(2)/25))/(LN(2)/25)*'Calculateur (1)'!BL199*'Calculateur (1)'!BN199*VLOOKUP('Données projet (1)'!$B$11,'Paramètres (1)'!$A$1:$I$88,3,0)*0.475*44/12</f>
        <v>#REF!</v>
      </c>
      <c r="BR199" s="142" t="str">
        <f>EXP(-LN(2)/2)*BR198+(1-EXP(-LN(2)/2))/(LN(2)/2)*BL199*BO199*VLOOKUP('Données projet (1)'!$B$11,'Paramètres (1)'!$A$1:$I$88,3,0)*0.475*44/12</f>
        <v>#REF!</v>
      </c>
      <c r="BS199" s="143" t="str">
        <f t="shared" si="35"/>
        <v>#REF!</v>
      </c>
      <c r="BT199" s="139" t="str">
        <f t="shared" si="36"/>
        <v>#REF!</v>
      </c>
      <c r="BU199" s="131">
        <f t="shared" si="37"/>
        <v>10</v>
      </c>
      <c r="BV199" s="131" t="str">
        <f t="shared" si="120"/>
        <v>#REF!</v>
      </c>
      <c r="BW199" s="131" t="str">
        <f t="shared" si="38"/>
        <v>#REF!</v>
      </c>
      <c r="BX199" s="131" t="str">
        <f t="array" ref="BX199">INDEX(BW:BW,MIN(IF(ISNUMBER(BW199:BW395),ROW(BW199:BW395),"")))</f>
        <v/>
      </c>
      <c r="BY199" s="131" t="str">
        <f t="shared" si="121"/>
        <v>#REF!</v>
      </c>
      <c r="BZ199" s="130" t="str">
        <f>BY199*VLOOKUP('Données projet (1)'!$B$12,'Paramètres (1)'!$A$1:$I$88,3,0)*VLOOKUP('Données projet (1)'!$B$12,'Paramètres (1)'!$A$1:$I$88,5,0)</f>
        <v>#REF!</v>
      </c>
      <c r="CA199" s="130" t="str">
        <f t="shared" si="122"/>
        <v>#REF!</v>
      </c>
      <c r="CB199" s="141" t="str">
        <f t="shared" si="39"/>
        <v>#REF!</v>
      </c>
      <c r="CC199" s="133" t="str">
        <f t="shared" si="40"/>
        <v>#REF!</v>
      </c>
      <c r="CD199" s="133" t="str">
        <f t="shared" si="41"/>
        <v>#REF!</v>
      </c>
      <c r="CE199" s="133" t="str">
        <f t="shared" si="123"/>
        <v>#REF!</v>
      </c>
      <c r="CF199" s="134" t="str">
        <f t="shared" si="42"/>
        <v>#REF!</v>
      </c>
      <c r="CG199" s="134" t="str">
        <f t="shared" si="43"/>
        <v>#REF!</v>
      </c>
      <c r="CH199" s="135" t="str">
        <f>IF(ISNA(VLOOKUP(A199,'Données projet (1)'!$A$113:$I$133,5,0)),0%,VLOOKUP(A199,'Données projet (1)'!$A$113:$I$133,5,0)*VLOOKUP('Données projet (1)'!$B$12,'Paramètres (1)'!$A$1:$I$88,7,0))</f>
        <v>#REF!</v>
      </c>
      <c r="CI199" s="135" t="str">
        <f>IF(ISNA(VLOOKUP(A199,'Données projet (1)'!$A$113:$I$133,6,0)),0%,VLOOKUP(A199,'Données projet (1)'!$A$113:$I$133,6,0)*VLOOKUP('Données projet (1)'!$B$12,'Paramètres (1)'!$A$1:$I$88,7,0))</f>
        <v>#REF!</v>
      </c>
      <c r="CJ199" s="135" t="str">
        <f t="shared" si="44"/>
        <v>#REF!</v>
      </c>
      <c r="CK199" s="142" t="str">
        <f>EXP(-LN(2)/35)*CK198+(1-EXP(-LN(2)/35))/(LN(2)/35)*CG199*CH199*VLOOKUP('Données projet (1)'!$B$12,'Paramètres (1)'!$A$1:$I$88,3,0)*0.475*44/12</f>
        <v>#REF!</v>
      </c>
      <c r="CL199" s="142" t="str">
        <f>EXP(-LN(2)/25)*CL198+(1-EXP(-LN(2)/25))/(LN(2)/25)*'Calculateur (1)'!CG199*'Calculateur (1)'!CI199*VLOOKUP('Données projet (1)'!$B$12,'Paramètres (1)'!$A$1:$I$88,3,0)*0.475*44/12</f>
        <v>#REF!</v>
      </c>
      <c r="CM199" s="142" t="str">
        <f>EXP(-LN(2)/2)*CM198+(1-EXP(-LN(2)/2))/(LN(2)/2)*CG199*CJ199*VLOOKUP('Données projet (1)'!$B$12,'Paramètres (1)'!$A$1:$I$88,3,0)*0.475*44/12</f>
        <v>#REF!</v>
      </c>
      <c r="CN199" s="143" t="str">
        <f t="shared" si="45"/>
        <v>#REF!</v>
      </c>
      <c r="CO199" s="139" t="str">
        <f t="shared" si="46"/>
        <v>#REF!</v>
      </c>
      <c r="CP199" s="131">
        <f t="shared" si="47"/>
        <v>10</v>
      </c>
      <c r="CQ199" s="131" t="str">
        <f t="shared" si="124"/>
        <v>#REF!</v>
      </c>
      <c r="CR199" s="131" t="str">
        <f t="shared" si="48"/>
        <v>#REF!</v>
      </c>
      <c r="CS199" s="131" t="str">
        <f t="array" ref="CS199">INDEX(CR:CR,MIN(IF(ISNUMBER(CR199:CR395),ROW(CR199:CR395),"")))</f>
        <v/>
      </c>
      <c r="CT199" s="131" t="str">
        <f t="shared" si="125"/>
        <v>#REF!</v>
      </c>
      <c r="CU199" s="138" t="str">
        <f>CT199*VLOOKUP('Données projet (1)'!$B$13,'Paramètres (1)'!$A$1:$I$88,3,0)*VLOOKUP('Données projet (1)'!$B$13,'Paramètres (1)'!$A$1:$I$88,5,0)</f>
        <v>#REF!</v>
      </c>
      <c r="CV199" s="130" t="str">
        <f t="shared" si="126"/>
        <v>#REF!</v>
      </c>
      <c r="CW199" s="141" t="str">
        <f t="shared" si="49"/>
        <v>#REF!</v>
      </c>
      <c r="CX199" s="133" t="str">
        <f t="shared" si="50"/>
        <v>#REF!</v>
      </c>
      <c r="CY199" s="133" t="str">
        <f t="shared" si="51"/>
        <v>#REF!</v>
      </c>
      <c r="CZ199" s="133" t="str">
        <f t="shared" si="127"/>
        <v>#REF!</v>
      </c>
      <c r="DA199" s="134" t="str">
        <f t="shared" si="52"/>
        <v>#REF!</v>
      </c>
      <c r="DB199" s="134" t="str">
        <f t="shared" si="53"/>
        <v>#REF!</v>
      </c>
      <c r="DC199" s="135" t="str">
        <f>IF(ISNA(VLOOKUP(A199,'Données projet (1)'!$A$139:$I$159,5,0)),0%,VLOOKUP(A199,'Données projet (1)'!$A$139:$I$159,5,0)*VLOOKUP('Données projet (1)'!$B$13,'Paramètres (1)'!$A$1:$I$88,7,0))</f>
        <v>#REF!</v>
      </c>
      <c r="DD199" s="135" t="str">
        <f>IF(ISNA(VLOOKUP(A199,'Données projet (1)'!$A$139:$I$159,6,0)),0%,VLOOKUP(A199,'Données projet (1)'!$A$139:$I$159,6,0)*VLOOKUP('Données projet (1)'!$B$13,'Paramètres (1)'!$A$1:$I$88,7,0))</f>
        <v>#REF!</v>
      </c>
      <c r="DE199" s="135" t="str">
        <f t="shared" si="54"/>
        <v>#REF!</v>
      </c>
      <c r="DF199" s="142" t="str">
        <f>EXP(-LN(2)/35)*DF198+(1-EXP(-LN(2)/35))/(LN(2)/35)*DB199*DC199*VLOOKUP('Données projet (1)'!$B$13,'Paramètres (1)'!$A$1:$I$88,3,0)*0.475*44/12</f>
        <v>#REF!</v>
      </c>
      <c r="DG199" s="142" t="str">
        <f>EXP(-LN(2)/25)*DG198+(1-EXP(-LN(2)/25))/(LN(2)/25)*'Calculateur (1)'!DB199*'Calculateur (1)'!DD199*VLOOKUP('Données projet (1)'!$B$13,'Paramètres (1)'!$A$1:$I$88,3,0)*0.475*44/12</f>
        <v>#REF!</v>
      </c>
      <c r="DH199" s="142" t="str">
        <f>EXP(-LN(2)/2)*DH198+(1-EXP(-LN(2)/2))/(LN(2)/2)*DB199*DE199*VLOOKUP('Données projet (1)'!$B$13,'Paramètres (1)'!$A$1:$I$88,3,0)*0.475*44/12</f>
        <v>#REF!</v>
      </c>
      <c r="DI199" s="143" t="str">
        <f t="shared" si="55"/>
        <v>#REF!</v>
      </c>
      <c r="DJ199" s="139" t="str">
        <f t="shared" si="56"/>
        <v>#REF!</v>
      </c>
      <c r="DK199" s="131">
        <f t="shared" si="57"/>
        <v>10</v>
      </c>
      <c r="DL199" s="131" t="str">
        <f t="shared" si="128"/>
        <v>#REF!</v>
      </c>
      <c r="DM199" s="131" t="str">
        <f t="shared" si="58"/>
        <v>#REF!</v>
      </c>
      <c r="DN199" s="131" t="str">
        <f t="array" ref="DN199">INDEX(DM:DM,MIN(IF(ISNUMBER(DM199:DM395),ROW(DM199:DM395),"")))</f>
        <v/>
      </c>
      <c r="DO199" s="131" t="str">
        <f t="shared" si="129"/>
        <v>#REF!</v>
      </c>
      <c r="DP199" s="138" t="str">
        <f>DO199*VLOOKUP('Données projet (1)'!$B$14,'Paramètres (1)'!$A$1:$I$88,3,0)*VLOOKUP('Données projet (1)'!$B$14,'Paramètres (1)'!$A$1:$I$88,5,0)</f>
        <v>#REF!</v>
      </c>
      <c r="DQ199" s="130" t="str">
        <f t="shared" si="130"/>
        <v>#REF!</v>
      </c>
      <c r="DR199" s="141" t="str">
        <f t="shared" si="59"/>
        <v>#REF!</v>
      </c>
      <c r="DS199" s="133" t="str">
        <f t="shared" si="60"/>
        <v>#REF!</v>
      </c>
      <c r="DT199" s="133" t="str">
        <f t="shared" si="61"/>
        <v>#REF!</v>
      </c>
      <c r="DU199" s="133" t="str">
        <f t="shared" si="131"/>
        <v>#REF!</v>
      </c>
      <c r="DV199" s="134" t="str">
        <f t="shared" si="62"/>
        <v>#REF!</v>
      </c>
      <c r="DW199" s="134" t="str">
        <f t="shared" si="63"/>
        <v>#REF!</v>
      </c>
      <c r="DX199" s="135" t="str">
        <f>IF(ISNA(VLOOKUP(A199,'Données projet (1)'!$A$165:$I$185,5,0)),0%,VLOOKUP(A199,'Données projet (1)'!$A$165:$I$185,5,0)*VLOOKUP('Données projet (1)'!$B$14,'Paramètres (1)'!$A$1:$I$88,7,0))</f>
        <v>#REF!</v>
      </c>
      <c r="DY199" s="135" t="str">
        <f>IF(ISNA(VLOOKUP(A199,'Données projet (1)'!$A$165:$I$185,6,0)),0%,VLOOKUP(A199,'Données projet (1)'!$A$165:$I$185,6,0)*VLOOKUP('Données projet (1)'!$B$14,'Paramètres (1)'!$A$1:$I$88,7,0))</f>
        <v>#REF!</v>
      </c>
      <c r="DZ199" s="135" t="str">
        <f t="shared" si="64"/>
        <v>#REF!</v>
      </c>
      <c r="EA199" s="142" t="str">
        <f>EXP(-LN(2)/35)*EA198+(1-EXP(-LN(2)/35))/(LN(2)/35)*DW199*DX199*VLOOKUP('Données projet (1)'!$B$14,'Paramètres (1)'!$A$1:$I$88,3,0)*0.475*44/12</f>
        <v>#REF!</v>
      </c>
      <c r="EB199" s="142" t="str">
        <f>EXP(-LN(2)/25)*EB198+(1-EXP(-LN(2)/25))/(LN(2)/25)*'Calculateur (1)'!DW199*'Calculateur (1)'!DY199*VLOOKUP('Données projet (1)'!$B$14,'Paramètres (1)'!$A$1:$I$88,3,0)*0.475*44/12</f>
        <v>#REF!</v>
      </c>
      <c r="EC199" s="142" t="str">
        <f>EXP(-LN(2)/2)*EC198+(1-EXP(-LN(2)/2))/(LN(2)/2)*DW199*DZ199*VLOOKUP('Données projet (1)'!$B$14,'Paramètres (1)'!$A$1:$I$88,3,0)*0.475*44/12</f>
        <v>#REF!</v>
      </c>
      <c r="ED199" s="143" t="str">
        <f t="shared" si="65"/>
        <v>#REF!</v>
      </c>
      <c r="EE199" s="139" t="str">
        <f t="shared" si="66"/>
        <v>#REF!</v>
      </c>
      <c r="EF199" s="131">
        <f t="shared" si="67"/>
        <v>10</v>
      </c>
      <c r="EG199" s="131" t="str">
        <f t="shared" si="132"/>
        <v>#REF!</v>
      </c>
      <c r="EH199" s="131" t="str">
        <f t="shared" si="68"/>
        <v>#REF!</v>
      </c>
      <c r="EI199" s="131" t="str">
        <f t="array" ref="EI199">INDEX(EH:EH,MIN(IF(ISNUMBER(EH199:EH395),ROW(EH199:EH395),"")))</f>
        <v/>
      </c>
      <c r="EJ199" s="131" t="str">
        <f t="shared" si="133"/>
        <v>#REF!</v>
      </c>
      <c r="EK199" s="138" t="str">
        <f>EJ199*VLOOKUP('Données projet (1)'!$B$15,'Paramètres (1)'!$A$1:$I$88,3,0)*VLOOKUP('Données projet (1)'!$B$15,'Paramètres (1)'!$A$1:$I$88,5,0)</f>
        <v>#REF!</v>
      </c>
      <c r="EL199" s="130" t="str">
        <f t="shared" si="134"/>
        <v>#REF!</v>
      </c>
      <c r="EM199" s="141" t="str">
        <f t="shared" si="69"/>
        <v>#REF!</v>
      </c>
      <c r="EN199" s="133" t="str">
        <f t="shared" si="70"/>
        <v>#REF!</v>
      </c>
      <c r="EO199" s="133" t="str">
        <f t="shared" si="71"/>
        <v>#REF!</v>
      </c>
      <c r="EP199" s="133" t="str">
        <f t="shared" si="135"/>
        <v>#REF!</v>
      </c>
      <c r="EQ199" s="134" t="str">
        <f t="shared" si="72"/>
        <v>#REF!</v>
      </c>
      <c r="ER199" s="134" t="str">
        <f t="shared" si="73"/>
        <v>#REF!</v>
      </c>
      <c r="ES199" s="135" t="str">
        <f>IF(ISNA(VLOOKUP(A199,'Données projet (1)'!$A$191:$I$211,5,0)),0%,VLOOKUP(A199,'Données projet (1)'!$A$191:$I$211,5,0)*VLOOKUP('Données projet (1)'!$B$15,'Paramètres (1)'!$A$1:$I$88,7,0))</f>
        <v>#REF!</v>
      </c>
      <c r="ET199" s="135" t="str">
        <f>IF(ISNA(VLOOKUP(A199,'Données projet (1)'!$A$191:$I$211,6,0)),0%,VLOOKUP(A199,'Données projet (1)'!$A$191:$I$211,6,0)*VLOOKUP('Données projet (1)'!$B$15,'Paramètres (1)'!$A$1:$I$88,7,0))</f>
        <v>#REF!</v>
      </c>
      <c r="EU199" s="135" t="str">
        <f t="shared" si="74"/>
        <v>#REF!</v>
      </c>
      <c r="EV199" s="142" t="str">
        <f>EXP(-LN(2)/35)*EV198+(1-EXP(-LN(2)/35))/(LN(2)/35)*ER199*ES199*VLOOKUP('Données projet (1)'!$B$15,'Paramètres (1)'!$A$1:$I$88,3,0)*0.475*44/12</f>
        <v>#REF!</v>
      </c>
      <c r="EW199" s="142" t="str">
        <f>EXP(-LN(2)/25)*EW198+(1-EXP(-LN(2)/25))/(LN(2)/25)*'Calculateur (1)'!ER199*'Calculateur (1)'!ET199*VLOOKUP('Données projet (1)'!$B$15,'Paramètres (1)'!$A$1:$I$88,3,0)*0.475*44/12</f>
        <v>#REF!</v>
      </c>
      <c r="EX199" s="142" t="str">
        <f>EXP(-LN(2)/2)*EX198+(1-EXP(-LN(2)/2))/(LN(2)/2)*ER199*EU199*VLOOKUP('Données projet (1)'!$B$15,'Paramètres (1)'!$A$1:$I$88,3,0)*0.475*44/12</f>
        <v>#REF!</v>
      </c>
      <c r="EY199" s="143" t="str">
        <f t="shared" si="75"/>
        <v>#REF!</v>
      </c>
      <c r="EZ199" s="139" t="str">
        <f t="shared" si="76"/>
        <v>#REF!</v>
      </c>
      <c r="FA199" s="131">
        <f t="shared" si="77"/>
        <v>10</v>
      </c>
      <c r="FB199" s="131" t="str">
        <f t="shared" si="136"/>
        <v>#REF!</v>
      </c>
      <c r="FC199" s="131" t="str">
        <f t="shared" si="78"/>
        <v>#REF!</v>
      </c>
      <c r="FD199" s="131" t="str">
        <f t="array" ref="FD199">INDEX(FC:FC,MIN(IF(ISNUMBER(FC199:FC395),ROW(FC199:FC395),"")))</f>
        <v/>
      </c>
      <c r="FE199" s="131" t="str">
        <f t="shared" si="137"/>
        <v>#REF!</v>
      </c>
      <c r="FF199" s="138" t="str">
        <f>FE199*VLOOKUP('Données projet (1)'!$B$16,'Paramètres (1)'!$A$1:$I$88,3,0)*VLOOKUP('Données projet (1)'!$B$16,'Paramètres (1)'!$A$1:$I$88,5,0)</f>
        <v>#REF!</v>
      </c>
      <c r="FG199" s="130" t="str">
        <f t="shared" si="138"/>
        <v>#REF!</v>
      </c>
      <c r="FH199" s="141" t="str">
        <f t="shared" si="79"/>
        <v>#REF!</v>
      </c>
      <c r="FI199" s="133" t="str">
        <f t="shared" si="80"/>
        <v>#REF!</v>
      </c>
      <c r="FJ199" s="133" t="str">
        <f t="shared" si="81"/>
        <v>#REF!</v>
      </c>
      <c r="FK199" s="133" t="str">
        <f t="shared" si="139"/>
        <v>#REF!</v>
      </c>
      <c r="FL199" s="134" t="str">
        <f t="shared" si="82"/>
        <v>#REF!</v>
      </c>
      <c r="FM199" s="134" t="str">
        <f t="shared" si="83"/>
        <v>#REF!</v>
      </c>
      <c r="FN199" s="135" t="str">
        <f>IF(ISNA(VLOOKUP(A199,'Données projet (1)'!$A$217:$I$237,5,0)),0%,VLOOKUP(A199,'Données projet (1)'!$A$217:$I$237,5,0)*VLOOKUP('Données projet (1)'!$B$16,'Paramètres (1)'!$A$1:$I$88,7,0))</f>
        <v>#REF!</v>
      </c>
      <c r="FO199" s="135" t="str">
        <f>IF(ISNA(VLOOKUP(A199,'Données projet (1)'!$A$217:$I$237,6,0)),0%,VLOOKUP(A199,'Données projet (1)'!$A$217:$I$237,6,0)*VLOOKUP('Données projet (1)'!$B$16,'Paramètres (1)'!$A$1:$I$88,7,0))</f>
        <v>#REF!</v>
      </c>
      <c r="FP199" s="135" t="str">
        <f t="shared" si="84"/>
        <v>#REF!</v>
      </c>
      <c r="FQ199" s="142" t="str">
        <f>EXP(-LN(2)/35)*FQ198+(1-EXP(-LN(2)/35))/(LN(2)/35)*FM199*FN199*VLOOKUP('Données projet (1)'!$B$16,'Paramètres (1)'!$A$1:$I$88,3,0)*0.475*44/12</f>
        <v>#REF!</v>
      </c>
      <c r="FR199" s="142" t="str">
        <f>EXP(-LN(2)/25)*FR198+(1-EXP(-LN(2)/25))/(LN(2)/25)*'Calculateur (1)'!FM199*'Calculateur (1)'!FO199*VLOOKUP('Données projet (1)'!$B$16,'Paramètres (1)'!$A$1:$I$88,3,0)*0.475*44/12</f>
        <v>#REF!</v>
      </c>
      <c r="FS199" s="142" t="str">
        <f>EXP(-LN(2)/2)*FS198+(1-EXP(-LN(2)/2))/(LN(2)/2)*FM199*FP199*VLOOKUP('Données projet (1)'!$B$16,'Paramètres (1)'!$A$1:$I$88,3,0)*0.475*44/12</f>
        <v>#REF!</v>
      </c>
      <c r="FT199" s="143" t="str">
        <f t="shared" si="85"/>
        <v>#REF!</v>
      </c>
      <c r="FU199" s="139" t="str">
        <f t="shared" si="86"/>
        <v>#REF!</v>
      </c>
      <c r="FV199" s="131">
        <f t="shared" si="87"/>
        <v>10</v>
      </c>
      <c r="FW199" s="131" t="str">
        <f t="shared" si="140"/>
        <v>#REF!</v>
      </c>
      <c r="FX199" s="131" t="str">
        <f t="shared" si="88"/>
        <v>#REF!</v>
      </c>
      <c r="FY199" s="131" t="str">
        <f t="array" ref="FY199">INDEX(FX:FX,MIN(IF(ISNUMBER(FX199:FX395),ROW(FX199:FX395),"")))</f>
        <v/>
      </c>
      <c r="FZ199" s="131" t="str">
        <f t="shared" si="141"/>
        <v>#REF!</v>
      </c>
      <c r="GA199" s="138" t="str">
        <f>FZ199*VLOOKUP('Données projet (1)'!$B$17,'Paramètres (1)'!$A$1:$I$88,3,0)*VLOOKUP('Données projet (1)'!$B$17,'Paramètres (1)'!$A$1:$I$88,5,0)</f>
        <v>#REF!</v>
      </c>
      <c r="GB199" s="130" t="str">
        <f t="shared" si="142"/>
        <v>#REF!</v>
      </c>
      <c r="GC199" s="141" t="str">
        <f t="shared" si="89"/>
        <v>#REF!</v>
      </c>
      <c r="GD199" s="133" t="str">
        <f t="shared" si="90"/>
        <v>#REF!</v>
      </c>
      <c r="GE199" s="133" t="str">
        <f t="shared" si="91"/>
        <v>#REF!</v>
      </c>
      <c r="GF199" s="133" t="str">
        <f t="shared" si="143"/>
        <v>#REF!</v>
      </c>
      <c r="GG199" s="134" t="str">
        <f t="shared" si="92"/>
        <v>#REF!</v>
      </c>
      <c r="GH199" s="134" t="str">
        <f t="shared" si="93"/>
        <v>#REF!</v>
      </c>
      <c r="GI199" s="135" t="str">
        <f>IF(ISNA(VLOOKUP(A199,'Données projet (1)'!$A$243:$I$263,5,0)),0%,VLOOKUP(A199,'Données projet (1)'!$A$243:$I$263,5,0)*VLOOKUP('Données projet (1)'!$B$17,'Paramètres (1)'!$A$1:$I$88,7,0))</f>
        <v>#REF!</v>
      </c>
      <c r="GJ199" s="135" t="str">
        <f>IF(ISNA(VLOOKUP(A199,'Données projet (1)'!$A$243:$I$263,6,0)),0%,VLOOKUP(A199,'Données projet (1)'!$A$243:$I$263,6,0)*VLOOKUP('Données projet (1)'!$B$17,'Paramètres (1)'!$A$1:$I$88,7,0))</f>
        <v>#REF!</v>
      </c>
      <c r="GK199" s="135" t="str">
        <f t="shared" si="94"/>
        <v>#REF!</v>
      </c>
      <c r="GL199" s="142" t="str">
        <f>EXP(-LN(2)/35)*GL198+(1-EXP(-LN(2)/35))/(LN(2)/35)*GH199*GI199*VLOOKUP('Données projet (1)'!$B$17,'Paramètres (1)'!$A$1:$I$88,3,0)*0.475*44/12</f>
        <v>#REF!</v>
      </c>
      <c r="GM199" s="142" t="str">
        <f>EXP(-LN(2)/25)*GM198+(1-EXP(-LN(2)/25))/(LN(2)/25)*'Calculateur (1)'!GH199*'Calculateur (1)'!GJ199*VLOOKUP('Données projet (1)'!$B$17,'Paramètres (1)'!$A$1:$I$88,3,0)*0.475*44/12</f>
        <v>#REF!</v>
      </c>
      <c r="GN199" s="142" t="str">
        <f>EXP(-LN(2)/2)*GN198+(1-EXP(-LN(2)/2))/(LN(2)/2)*GH199*GK199*VLOOKUP('Données projet (1)'!$B$17,'Paramètres (1)'!$A$1:$I$88,3,0)*0.475*44/12</f>
        <v>#REF!</v>
      </c>
      <c r="GO199" s="142" t="str">
        <f t="shared" si="95"/>
        <v>#REF!</v>
      </c>
      <c r="GP199" s="139" t="str">
        <f t="shared" si="96"/>
        <v>#REF!</v>
      </c>
      <c r="GQ199" s="131">
        <f t="shared" si="97"/>
        <v>10</v>
      </c>
      <c r="GR199" s="131" t="str">
        <f t="shared" si="144"/>
        <v>#REF!</v>
      </c>
      <c r="GS199" s="131" t="str">
        <f t="shared" si="98"/>
        <v>#REF!</v>
      </c>
      <c r="GT199" s="131" t="str">
        <f t="array" ref="GT199">INDEX(GS:GS,MIN(IF(ISNUMBER(GS199:GS395),ROW(GS199:GS395),"")))</f>
        <v/>
      </c>
      <c r="GU199" s="131" t="str">
        <f t="shared" si="145"/>
        <v>#REF!</v>
      </c>
      <c r="GV199" s="138" t="str">
        <f>GU199*VLOOKUP('Données projet (1)'!$B$18,'Paramètres (1)'!$A$1:$I$88,3,0)*VLOOKUP('Données projet (1)'!$B$18,'Paramètres (1)'!$A$1:$I$88,5,0)</f>
        <v>#REF!</v>
      </c>
      <c r="GW199" s="130" t="str">
        <f t="shared" si="146"/>
        <v>#REF!</v>
      </c>
      <c r="GX199" s="141" t="str">
        <f t="shared" si="99"/>
        <v>#REF!</v>
      </c>
      <c r="GY199" s="133" t="str">
        <f t="shared" si="100"/>
        <v>#REF!</v>
      </c>
      <c r="GZ199" s="133" t="str">
        <f t="shared" si="101"/>
        <v>#REF!</v>
      </c>
      <c r="HA199" s="133" t="str">
        <f t="shared" si="147"/>
        <v>#REF!</v>
      </c>
      <c r="HB199" s="134" t="str">
        <f t="shared" si="102"/>
        <v>#REF!</v>
      </c>
      <c r="HC199" s="134" t="str">
        <f t="shared" si="103"/>
        <v>#REF!</v>
      </c>
      <c r="HD199" s="135" t="str">
        <f>IF(ISNA(VLOOKUP(A199,'Données projet (1)'!$A$269:$I$289,5,0)),0%,VLOOKUP(A199,'Données projet (1)'!$A$269:$I$289,5,0)*VLOOKUP('Données projet (1)'!$B$18,'Paramètres (1)'!$A$1:$I$88,7,0))</f>
        <v>#REF!</v>
      </c>
      <c r="HE199" s="135" t="str">
        <f>IF(ISNA(VLOOKUP(A199,'Données projet (1)'!$A$269:$I$289,6,0)),0%,VLOOKUP(A199,'Données projet (1)'!$A$269:$I$289,6,0)*VLOOKUP('Données projet (1)'!$B$18,'Paramètres (1)'!$A$1:$I$88,7,0))</f>
        <v>#REF!</v>
      </c>
      <c r="HF199" s="135" t="str">
        <f t="shared" si="104"/>
        <v>#REF!</v>
      </c>
      <c r="HG199" s="142" t="str">
        <f>EXP(-LN(2)/35)*HG198+(1-EXP(-LN(2)/35))/(LN(2)/35)*HC199*HD199*VLOOKUP('Données projet (1)'!$B$18,'Paramètres (1)'!$A$1:$I$88,3,0)*0.475*44/12</f>
        <v>#REF!</v>
      </c>
      <c r="HH199" s="142" t="str">
        <f>EXP(-LN(2)/25)*HH198+(1-EXP(-LN(2)/25))/(LN(2)/25)*'Calculateur (1)'!HC199*'Calculateur (1)'!HE199*VLOOKUP('Données projet (1)'!$B$18,'Paramètres (1)'!$A$1:$I$88,3,0)*0.475*44/12</f>
        <v>#REF!</v>
      </c>
      <c r="HI199" s="142" t="str">
        <f>EXP(-LN(2)/2)*HI198+(1-EXP(-LN(2)/2))/(LN(2)/2)*HC199*HF199*VLOOKUP('Données projet (1)'!$B$18,'Paramètres (1)'!$A$1:$I$88,3,0)*0.475*44/12</f>
        <v>#REF!</v>
      </c>
      <c r="HJ199" s="143" t="str">
        <f t="shared" si="105"/>
        <v>#REF!</v>
      </c>
    </row>
    <row r="200" ht="14.25" customHeight="1">
      <c r="A200" s="125">
        <f t="shared" si="106"/>
        <v>197</v>
      </c>
      <c r="B200" s="126" t="str">
        <f t="shared" si="1"/>
        <v>#REF!</v>
      </c>
      <c r="C200" s="140" t="str">
        <f>'Calculateur (1)'!C199+'Scénario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0" s="127">
        <f t="shared" si="107"/>
        <v>0</v>
      </c>
      <c r="E200" s="127" t="str">
        <f t="shared" si="2"/>
        <v>#REF!</v>
      </c>
      <c r="F200" s="127" t="str">
        <f t="shared" si="3"/>
        <v>#REF!</v>
      </c>
      <c r="G200" s="127" t="str">
        <f t="shared" si="4"/>
        <v>#REF!</v>
      </c>
      <c r="H200" s="128" t="str">
        <f t="shared" si="5"/>
        <v>#REF!</v>
      </c>
      <c r="I200" s="129" t="str">
        <f t="shared" si="6"/>
        <v>#REF!</v>
      </c>
      <c r="J200" s="130">
        <f t="shared" si="7"/>
        <v>10</v>
      </c>
      <c r="K200" s="131" t="str">
        <f t="shared" si="108"/>
        <v>#REF!</v>
      </c>
      <c r="L200" s="131" t="str">
        <f t="shared" si="8"/>
        <v>#REF!</v>
      </c>
      <c r="M200" s="131" t="str">
        <f t="array" ref="M200">INDEX(L:L,MIN(IF(ISNUMBER(L200:L396),ROW(L200:L396),"")))</f>
        <v/>
      </c>
      <c r="N200" s="130" t="str">
        <f t="shared" si="109"/>
        <v>#REF!</v>
      </c>
      <c r="O200" s="130" t="str">
        <f>N200*VLOOKUP('Données projet (1)'!$B$9,'Paramètres (1)'!$A$1:$I$88,3,0)*VLOOKUP('Données projet (1)'!$B$9,'Paramètres (1)'!$A$1:$I$88,5,0)</f>
        <v>#REF!</v>
      </c>
      <c r="P200" s="130" t="str">
        <f t="shared" si="110"/>
        <v>#REF!</v>
      </c>
      <c r="Q200" s="141" t="str">
        <f t="shared" si="9"/>
        <v>#REF!</v>
      </c>
      <c r="R200" s="133" t="str">
        <f t="shared" si="10"/>
        <v>#REF!</v>
      </c>
      <c r="S200" s="133" t="str">
        <f t="shared" si="11"/>
        <v>#REF!</v>
      </c>
      <c r="T200" s="133" t="str">
        <f t="shared" si="111"/>
        <v>#REF!</v>
      </c>
      <c r="U200" s="134" t="str">
        <f t="shared" si="12"/>
        <v>#REF!</v>
      </c>
      <c r="V200" s="134" t="str">
        <f t="shared" si="13"/>
        <v>#REF!</v>
      </c>
      <c r="W200" s="135" t="str">
        <f>IF(ISNA(VLOOKUP(A200,'Données projet (1)'!$A$35:$I$55,5,0)),0%,VLOOKUP(A200,'Données projet (1)'!$A$35:$I$55,5,0)*VLOOKUP('Données projet (1)'!$B$9,'Paramètres (1)'!$A$1:$I$88,7,0))</f>
        <v>#REF!</v>
      </c>
      <c r="X200" s="135" t="str">
        <f>IF(ISNA(VLOOKUP(A200,'Données projet (1)'!$A$35:$I$55,6,0)),0%,VLOOKUP(A200,'Données projet (1)'!$A$35:$I$55,6,0)*VLOOKUP('Données projet (1)'!$B$9,'Paramètres (1)'!$A$1:$I$88,7,0))</f>
        <v>#REF!</v>
      </c>
      <c r="Y200" s="135" t="str">
        <f t="shared" si="14"/>
        <v>#REF!</v>
      </c>
      <c r="Z200" s="142" t="str">
        <f>EXP(-LN(2)/35)*Z199+(1-EXP(-LN(2)/35))/(LN(2)/35)*V200*W200*VLOOKUP('Données projet (1)'!$B$9,'Paramètres (1)'!$A$1:$I$88,3,0)*0.475*44/12</f>
        <v>#REF!</v>
      </c>
      <c r="AA200" s="142" t="str">
        <f>EXP(-LN(2)/25)*AA199+(1-EXP(-LN(2)/25))/(LN(2)/25)*'Calculateur (1)'!V200*'Calculateur (1)'!X200*VLOOKUP('Données projet (1)'!$B$9,'Paramètres (1)'!$A$1:$I$88,3,0)*0.475*44/12</f>
        <v>#REF!</v>
      </c>
      <c r="AB200" s="142" t="str">
        <f>EXP(-LN(2)/2)*AB199+(1-EXP(-LN(2)/2))/(LN(2)/2)*V200*Y200*VLOOKUP('Données projet (1)'!$B$9,'Paramètres (1)'!$A$1:$I$88,3,0)*0.475*44/12</f>
        <v>#REF!</v>
      </c>
      <c r="AC200" s="143" t="str">
        <f t="shared" si="15"/>
        <v>#REF!</v>
      </c>
      <c r="AD200" s="130" t="str">
        <f t="shared" si="16"/>
        <v>#REF!</v>
      </c>
      <c r="AE200" s="130">
        <f t="shared" si="17"/>
        <v>10</v>
      </c>
      <c r="AF200" s="131" t="str">
        <f t="shared" si="112"/>
        <v>#REF!</v>
      </c>
      <c r="AG200" s="131" t="str">
        <f t="shared" si="18"/>
        <v>#REF!</v>
      </c>
      <c r="AH200" s="131" t="str">
        <f t="array" ref="AH200">INDEX(AG:AG,MIN(IF(ISNUMBER(AG200:AG396),ROW(AG200:AG396),"")))</f>
        <v/>
      </c>
      <c r="AI200" s="130" t="str">
        <f t="shared" si="113"/>
        <v>#REF!</v>
      </c>
      <c r="AJ200" s="130" t="str">
        <f>AI200*VLOOKUP('Données projet (1)'!$B$10,'Paramètres (1)'!$A$1:$I$88,3,0)*VLOOKUP('Données projet (1)'!$B$10,'Paramètres (1)'!$A$1:$I$88,5,0)</f>
        <v>#REF!</v>
      </c>
      <c r="AK200" s="130" t="str">
        <f t="shared" si="114"/>
        <v>#REF!</v>
      </c>
      <c r="AL200" s="141" t="str">
        <f t="shared" si="19"/>
        <v>#REF!</v>
      </c>
      <c r="AM200" s="133" t="str">
        <f t="shared" si="20"/>
        <v>#REF!</v>
      </c>
      <c r="AN200" s="133" t="str">
        <f t="shared" si="21"/>
        <v>#REF!</v>
      </c>
      <c r="AO200" s="133" t="str">
        <f t="shared" si="115"/>
        <v>#REF!</v>
      </c>
      <c r="AP200" s="134" t="str">
        <f t="shared" si="22"/>
        <v>#REF!</v>
      </c>
      <c r="AQ200" s="134" t="str">
        <f t="shared" si="23"/>
        <v>#REF!</v>
      </c>
      <c r="AR200" s="135" t="str">
        <f>IF(ISNA(VLOOKUP(A200,'Données projet (1)'!$A$61:$I$81,5,0)),0%,VLOOKUP(A200,'Données projet (1)'!$A$61:$I$81,5,0)*VLOOKUP('Données projet (1)'!$B$10,'Paramètres (1)'!$A$1:$I$88,7,0))</f>
        <v>#REF!</v>
      </c>
      <c r="AS200" s="135" t="str">
        <f>IF(ISNA(VLOOKUP(A200,'Données projet (1)'!$A$61:$I$81,6,0)),0%,VLOOKUP(A200,'Données projet (1)'!$A$61:$I$81,6,0)*VLOOKUP('Données projet (1)'!$B$10,'Paramètres (1)'!$A$1:$I$88,7,0))</f>
        <v>#REF!</v>
      </c>
      <c r="AT200" s="135" t="str">
        <f t="shared" si="24"/>
        <v>#REF!</v>
      </c>
      <c r="AU200" s="142" t="str">
        <f>EXP(-LN(2)/35)*AU199+(1-EXP(-LN(2)/35))/(LN(2)/35)*AQ200*AR200*VLOOKUP('Données projet (1)'!$B$10,'Paramètres (1)'!$A$1:$I$88,3,0)*0.475*44/12</f>
        <v>#REF!</v>
      </c>
      <c r="AV200" s="142" t="str">
        <f>EXP(-LN(2)/25)*AV199+(1-EXP(-LN(2)/25))/(LN(2)/25)*'Calculateur (1)'!AQ200*'Calculateur (1)'!AS200*VLOOKUP('Données projet (1)'!$B$10,'Paramètres (1)'!$A$1:$I$88,3,0)*0.475*44/12</f>
        <v>#REF!</v>
      </c>
      <c r="AW200" s="142" t="str">
        <f>EXP(-LN(2)/2)*AW199+(1-EXP(-LN(2)/2))/(LN(2)/2)*AQ200*AT200*VLOOKUP('Données projet (1)'!$B$10,'Paramètres (1)'!$A$1:$I$88,3,0)*0.475*44/12</f>
        <v>#REF!</v>
      </c>
      <c r="AX200" s="142" t="str">
        <f t="shared" si="25"/>
        <v>#REF!</v>
      </c>
      <c r="AY200" s="137" t="str">
        <f t="shared" si="26"/>
        <v>#REF!</v>
      </c>
      <c r="AZ200" s="131">
        <f t="shared" si="27"/>
        <v>10</v>
      </c>
      <c r="BA200" s="131" t="str">
        <f t="shared" si="116"/>
        <v>#REF!</v>
      </c>
      <c r="BB200" s="131" t="str">
        <f t="shared" si="28"/>
        <v>#REF!</v>
      </c>
      <c r="BC200" s="131" t="str">
        <f t="array" ref="BC200">INDEX(BB:BB,MIN(IF(ISNUMBER(BB200:BB396),ROW(BB200:BB396),"")))</f>
        <v/>
      </c>
      <c r="BD200" s="131" t="str">
        <f t="shared" si="117"/>
        <v>#REF!</v>
      </c>
      <c r="BE200" s="130" t="str">
        <f>BD200*VLOOKUP('Données projet (1)'!$B$11,'Paramètres (1)'!$A$1:$I$88,3,0)*VLOOKUP('Données projet (1)'!$B$11,'Paramètres (1)'!$A$1:$I$88,5,0)</f>
        <v>#REF!</v>
      </c>
      <c r="BF200" s="130" t="str">
        <f t="shared" si="118"/>
        <v>#REF!</v>
      </c>
      <c r="BG200" s="141" t="str">
        <f t="shared" si="29"/>
        <v>#REF!</v>
      </c>
      <c r="BH200" s="133" t="str">
        <f t="shared" si="30"/>
        <v>#REF!</v>
      </c>
      <c r="BI200" s="133" t="str">
        <f t="shared" si="31"/>
        <v>#REF!</v>
      </c>
      <c r="BJ200" s="133" t="str">
        <f t="shared" si="119"/>
        <v>#REF!</v>
      </c>
      <c r="BK200" s="134" t="str">
        <f t="shared" si="32"/>
        <v>#REF!</v>
      </c>
      <c r="BL200" s="134" t="str">
        <f t="shared" si="33"/>
        <v>#REF!</v>
      </c>
      <c r="BM200" s="135" t="str">
        <f>IF(ISNA(VLOOKUP(A200,'Données projet (1)'!$A$87:$I$107,5,0)),0%,VLOOKUP(A200,'Données projet (1)'!$A$87:$I$107,5,0)*VLOOKUP('Données projet (1)'!$B$11,'Paramètres (1)'!$A$1:$I$88,7,0))</f>
        <v>#REF!</v>
      </c>
      <c r="BN200" s="135" t="str">
        <f>IF(ISNA(VLOOKUP(A200,'Données projet (1)'!$A$87:$I$107,6,0)),0%,VLOOKUP(A200,'Données projet (1)'!$A$87:$I$107,6,0)*VLOOKUP('Données projet (1)'!$B$11,'Paramètres (1)'!$A$1:$I$88,7,0))</f>
        <v>#REF!</v>
      </c>
      <c r="BO200" s="135" t="str">
        <f t="shared" si="34"/>
        <v>#REF!</v>
      </c>
      <c r="BP200" s="142" t="str">
        <f>EXP(-LN(2)/35)*BP199+(1-EXP(-LN(2)/35))/(LN(2)/35)*BL200*BM200*VLOOKUP('Données projet (1)'!$B$11,'Paramètres (1)'!$A$1:$I$88,3,0)*0.475*44/12</f>
        <v>#REF!</v>
      </c>
      <c r="BQ200" s="142" t="str">
        <f>EXP(-LN(2)/25)*BQ199+(1-EXP(-LN(2)/25))/(LN(2)/25)*'Calculateur (1)'!BL200*'Calculateur (1)'!BN200*VLOOKUP('Données projet (1)'!$B$11,'Paramètres (1)'!$A$1:$I$88,3,0)*0.475*44/12</f>
        <v>#REF!</v>
      </c>
      <c r="BR200" s="142" t="str">
        <f>EXP(-LN(2)/2)*BR199+(1-EXP(-LN(2)/2))/(LN(2)/2)*BL200*BO200*VLOOKUP('Données projet (1)'!$B$11,'Paramètres (1)'!$A$1:$I$88,3,0)*0.475*44/12</f>
        <v>#REF!</v>
      </c>
      <c r="BS200" s="143" t="str">
        <f t="shared" si="35"/>
        <v>#REF!</v>
      </c>
      <c r="BT200" s="139" t="str">
        <f t="shared" si="36"/>
        <v>#REF!</v>
      </c>
      <c r="BU200" s="131">
        <f t="shared" si="37"/>
        <v>10</v>
      </c>
      <c r="BV200" s="131" t="str">
        <f t="shared" si="120"/>
        <v>#REF!</v>
      </c>
      <c r="BW200" s="131" t="str">
        <f t="shared" si="38"/>
        <v>#REF!</v>
      </c>
      <c r="BX200" s="131" t="str">
        <f t="array" ref="BX200">INDEX(BW:BW,MIN(IF(ISNUMBER(BW200:BW396),ROW(BW200:BW396),"")))</f>
        <v/>
      </c>
      <c r="BY200" s="131" t="str">
        <f t="shared" si="121"/>
        <v>#REF!</v>
      </c>
      <c r="BZ200" s="130" t="str">
        <f>BY200*VLOOKUP('Données projet (1)'!$B$12,'Paramètres (1)'!$A$1:$I$88,3,0)*VLOOKUP('Données projet (1)'!$B$12,'Paramètres (1)'!$A$1:$I$88,5,0)</f>
        <v>#REF!</v>
      </c>
      <c r="CA200" s="130" t="str">
        <f t="shared" si="122"/>
        <v>#REF!</v>
      </c>
      <c r="CB200" s="141" t="str">
        <f t="shared" si="39"/>
        <v>#REF!</v>
      </c>
      <c r="CC200" s="133" t="str">
        <f t="shared" si="40"/>
        <v>#REF!</v>
      </c>
      <c r="CD200" s="133" t="str">
        <f t="shared" si="41"/>
        <v>#REF!</v>
      </c>
      <c r="CE200" s="133" t="str">
        <f t="shared" si="123"/>
        <v>#REF!</v>
      </c>
      <c r="CF200" s="134" t="str">
        <f t="shared" si="42"/>
        <v>#REF!</v>
      </c>
      <c r="CG200" s="134" t="str">
        <f t="shared" si="43"/>
        <v>#REF!</v>
      </c>
      <c r="CH200" s="135" t="str">
        <f>IF(ISNA(VLOOKUP(A200,'Données projet (1)'!$A$113:$I$133,5,0)),0%,VLOOKUP(A200,'Données projet (1)'!$A$113:$I$133,5,0)*VLOOKUP('Données projet (1)'!$B$12,'Paramètres (1)'!$A$1:$I$88,7,0))</f>
        <v>#REF!</v>
      </c>
      <c r="CI200" s="135" t="str">
        <f>IF(ISNA(VLOOKUP(A200,'Données projet (1)'!$A$113:$I$133,6,0)),0%,VLOOKUP(A200,'Données projet (1)'!$A$113:$I$133,6,0)*VLOOKUP('Données projet (1)'!$B$12,'Paramètres (1)'!$A$1:$I$88,7,0))</f>
        <v>#REF!</v>
      </c>
      <c r="CJ200" s="135" t="str">
        <f t="shared" si="44"/>
        <v>#REF!</v>
      </c>
      <c r="CK200" s="142" t="str">
        <f>EXP(-LN(2)/35)*CK199+(1-EXP(-LN(2)/35))/(LN(2)/35)*CG200*CH200*VLOOKUP('Données projet (1)'!$B$12,'Paramètres (1)'!$A$1:$I$88,3,0)*0.475*44/12</f>
        <v>#REF!</v>
      </c>
      <c r="CL200" s="142" t="str">
        <f>EXP(-LN(2)/25)*CL199+(1-EXP(-LN(2)/25))/(LN(2)/25)*'Calculateur (1)'!CG200*'Calculateur (1)'!CI200*VLOOKUP('Données projet (1)'!$B$12,'Paramètres (1)'!$A$1:$I$88,3,0)*0.475*44/12</f>
        <v>#REF!</v>
      </c>
      <c r="CM200" s="142" t="str">
        <f>EXP(-LN(2)/2)*CM199+(1-EXP(-LN(2)/2))/(LN(2)/2)*CG200*CJ200*VLOOKUP('Données projet (1)'!$B$12,'Paramètres (1)'!$A$1:$I$88,3,0)*0.475*44/12</f>
        <v>#REF!</v>
      </c>
      <c r="CN200" s="143" t="str">
        <f t="shared" si="45"/>
        <v>#REF!</v>
      </c>
      <c r="CO200" s="139" t="str">
        <f t="shared" si="46"/>
        <v>#REF!</v>
      </c>
      <c r="CP200" s="131">
        <f t="shared" si="47"/>
        <v>10</v>
      </c>
      <c r="CQ200" s="131" t="str">
        <f t="shared" si="124"/>
        <v>#REF!</v>
      </c>
      <c r="CR200" s="131" t="str">
        <f t="shared" si="48"/>
        <v>#REF!</v>
      </c>
      <c r="CS200" s="131" t="str">
        <f t="array" ref="CS200">INDEX(CR:CR,MIN(IF(ISNUMBER(CR200:CR396),ROW(CR200:CR396),"")))</f>
        <v/>
      </c>
      <c r="CT200" s="131" t="str">
        <f t="shared" si="125"/>
        <v>#REF!</v>
      </c>
      <c r="CU200" s="138" t="str">
        <f>CT200*VLOOKUP('Données projet (1)'!$B$13,'Paramètres (1)'!$A$1:$I$88,3,0)*VLOOKUP('Données projet (1)'!$B$13,'Paramètres (1)'!$A$1:$I$88,5,0)</f>
        <v>#REF!</v>
      </c>
      <c r="CV200" s="130" t="str">
        <f t="shared" si="126"/>
        <v>#REF!</v>
      </c>
      <c r="CW200" s="141" t="str">
        <f t="shared" si="49"/>
        <v>#REF!</v>
      </c>
      <c r="CX200" s="133" t="str">
        <f t="shared" si="50"/>
        <v>#REF!</v>
      </c>
      <c r="CY200" s="133" t="str">
        <f t="shared" si="51"/>
        <v>#REF!</v>
      </c>
      <c r="CZ200" s="133" t="str">
        <f t="shared" si="127"/>
        <v>#REF!</v>
      </c>
      <c r="DA200" s="134" t="str">
        <f t="shared" si="52"/>
        <v>#REF!</v>
      </c>
      <c r="DB200" s="134" t="str">
        <f t="shared" si="53"/>
        <v>#REF!</v>
      </c>
      <c r="DC200" s="135" t="str">
        <f>IF(ISNA(VLOOKUP(A200,'Données projet (1)'!$A$139:$I$159,5,0)),0%,VLOOKUP(A200,'Données projet (1)'!$A$139:$I$159,5,0)*VLOOKUP('Données projet (1)'!$B$13,'Paramètres (1)'!$A$1:$I$88,7,0))</f>
        <v>#REF!</v>
      </c>
      <c r="DD200" s="135" t="str">
        <f>IF(ISNA(VLOOKUP(A200,'Données projet (1)'!$A$139:$I$159,6,0)),0%,VLOOKUP(A200,'Données projet (1)'!$A$139:$I$159,6,0)*VLOOKUP('Données projet (1)'!$B$13,'Paramètres (1)'!$A$1:$I$88,7,0))</f>
        <v>#REF!</v>
      </c>
      <c r="DE200" s="135" t="str">
        <f t="shared" si="54"/>
        <v>#REF!</v>
      </c>
      <c r="DF200" s="142" t="str">
        <f>EXP(-LN(2)/35)*DF199+(1-EXP(-LN(2)/35))/(LN(2)/35)*DB200*DC200*VLOOKUP('Données projet (1)'!$B$13,'Paramètres (1)'!$A$1:$I$88,3,0)*0.475*44/12</f>
        <v>#REF!</v>
      </c>
      <c r="DG200" s="142" t="str">
        <f>EXP(-LN(2)/25)*DG199+(1-EXP(-LN(2)/25))/(LN(2)/25)*'Calculateur (1)'!DB200*'Calculateur (1)'!DD200*VLOOKUP('Données projet (1)'!$B$13,'Paramètres (1)'!$A$1:$I$88,3,0)*0.475*44/12</f>
        <v>#REF!</v>
      </c>
      <c r="DH200" s="142" t="str">
        <f>EXP(-LN(2)/2)*DH199+(1-EXP(-LN(2)/2))/(LN(2)/2)*DB200*DE200*VLOOKUP('Données projet (1)'!$B$13,'Paramètres (1)'!$A$1:$I$88,3,0)*0.475*44/12</f>
        <v>#REF!</v>
      </c>
      <c r="DI200" s="143" t="str">
        <f t="shared" si="55"/>
        <v>#REF!</v>
      </c>
      <c r="DJ200" s="139" t="str">
        <f t="shared" si="56"/>
        <v>#REF!</v>
      </c>
      <c r="DK200" s="131">
        <f t="shared" si="57"/>
        <v>10</v>
      </c>
      <c r="DL200" s="131" t="str">
        <f t="shared" si="128"/>
        <v>#REF!</v>
      </c>
      <c r="DM200" s="131" t="str">
        <f t="shared" si="58"/>
        <v>#REF!</v>
      </c>
      <c r="DN200" s="131" t="str">
        <f t="array" ref="DN200">INDEX(DM:DM,MIN(IF(ISNUMBER(DM200:DM396),ROW(DM200:DM396),"")))</f>
        <v/>
      </c>
      <c r="DO200" s="131" t="str">
        <f t="shared" si="129"/>
        <v>#REF!</v>
      </c>
      <c r="DP200" s="138" t="str">
        <f>DO200*VLOOKUP('Données projet (1)'!$B$14,'Paramètres (1)'!$A$1:$I$88,3,0)*VLOOKUP('Données projet (1)'!$B$14,'Paramètres (1)'!$A$1:$I$88,5,0)</f>
        <v>#REF!</v>
      </c>
      <c r="DQ200" s="130" t="str">
        <f t="shared" si="130"/>
        <v>#REF!</v>
      </c>
      <c r="DR200" s="141" t="str">
        <f t="shared" si="59"/>
        <v>#REF!</v>
      </c>
      <c r="DS200" s="133" t="str">
        <f t="shared" si="60"/>
        <v>#REF!</v>
      </c>
      <c r="DT200" s="133" t="str">
        <f t="shared" si="61"/>
        <v>#REF!</v>
      </c>
      <c r="DU200" s="133" t="str">
        <f t="shared" si="131"/>
        <v>#REF!</v>
      </c>
      <c r="DV200" s="134" t="str">
        <f t="shared" si="62"/>
        <v>#REF!</v>
      </c>
      <c r="DW200" s="134" t="str">
        <f t="shared" si="63"/>
        <v>#REF!</v>
      </c>
      <c r="DX200" s="135" t="str">
        <f>IF(ISNA(VLOOKUP(A200,'Données projet (1)'!$A$165:$I$185,5,0)),0%,VLOOKUP(A200,'Données projet (1)'!$A$165:$I$185,5,0)*VLOOKUP('Données projet (1)'!$B$14,'Paramètres (1)'!$A$1:$I$88,7,0))</f>
        <v>#REF!</v>
      </c>
      <c r="DY200" s="135" t="str">
        <f>IF(ISNA(VLOOKUP(A200,'Données projet (1)'!$A$165:$I$185,6,0)),0%,VLOOKUP(A200,'Données projet (1)'!$A$165:$I$185,6,0)*VLOOKUP('Données projet (1)'!$B$14,'Paramètres (1)'!$A$1:$I$88,7,0))</f>
        <v>#REF!</v>
      </c>
      <c r="DZ200" s="135" t="str">
        <f t="shared" si="64"/>
        <v>#REF!</v>
      </c>
      <c r="EA200" s="142" t="str">
        <f>EXP(-LN(2)/35)*EA199+(1-EXP(-LN(2)/35))/(LN(2)/35)*DW200*DX200*VLOOKUP('Données projet (1)'!$B$14,'Paramètres (1)'!$A$1:$I$88,3,0)*0.475*44/12</f>
        <v>#REF!</v>
      </c>
      <c r="EB200" s="142" t="str">
        <f>EXP(-LN(2)/25)*EB199+(1-EXP(-LN(2)/25))/(LN(2)/25)*'Calculateur (1)'!DW200*'Calculateur (1)'!DY200*VLOOKUP('Données projet (1)'!$B$14,'Paramètres (1)'!$A$1:$I$88,3,0)*0.475*44/12</f>
        <v>#REF!</v>
      </c>
      <c r="EC200" s="142" t="str">
        <f>EXP(-LN(2)/2)*EC199+(1-EXP(-LN(2)/2))/(LN(2)/2)*DW200*DZ200*VLOOKUP('Données projet (1)'!$B$14,'Paramètres (1)'!$A$1:$I$88,3,0)*0.475*44/12</f>
        <v>#REF!</v>
      </c>
      <c r="ED200" s="143" t="str">
        <f t="shared" si="65"/>
        <v>#REF!</v>
      </c>
      <c r="EE200" s="139" t="str">
        <f t="shared" si="66"/>
        <v>#REF!</v>
      </c>
      <c r="EF200" s="131">
        <f t="shared" si="67"/>
        <v>10</v>
      </c>
      <c r="EG200" s="131" t="str">
        <f t="shared" si="132"/>
        <v>#REF!</v>
      </c>
      <c r="EH200" s="131" t="str">
        <f t="shared" si="68"/>
        <v>#REF!</v>
      </c>
      <c r="EI200" s="131" t="str">
        <f t="array" ref="EI200">INDEX(EH:EH,MIN(IF(ISNUMBER(EH200:EH396),ROW(EH200:EH396),"")))</f>
        <v/>
      </c>
      <c r="EJ200" s="131" t="str">
        <f t="shared" si="133"/>
        <v>#REF!</v>
      </c>
      <c r="EK200" s="138" t="str">
        <f>EJ200*VLOOKUP('Données projet (1)'!$B$15,'Paramètres (1)'!$A$1:$I$88,3,0)*VLOOKUP('Données projet (1)'!$B$15,'Paramètres (1)'!$A$1:$I$88,5,0)</f>
        <v>#REF!</v>
      </c>
      <c r="EL200" s="130" t="str">
        <f t="shared" si="134"/>
        <v>#REF!</v>
      </c>
      <c r="EM200" s="141" t="str">
        <f t="shared" si="69"/>
        <v>#REF!</v>
      </c>
      <c r="EN200" s="133" t="str">
        <f t="shared" si="70"/>
        <v>#REF!</v>
      </c>
      <c r="EO200" s="133" t="str">
        <f t="shared" si="71"/>
        <v>#REF!</v>
      </c>
      <c r="EP200" s="133" t="str">
        <f t="shared" si="135"/>
        <v>#REF!</v>
      </c>
      <c r="EQ200" s="134" t="str">
        <f t="shared" si="72"/>
        <v>#REF!</v>
      </c>
      <c r="ER200" s="134" t="str">
        <f t="shared" si="73"/>
        <v>#REF!</v>
      </c>
      <c r="ES200" s="135" t="str">
        <f>IF(ISNA(VLOOKUP(A200,'Données projet (1)'!$A$191:$I$211,5,0)),0%,VLOOKUP(A200,'Données projet (1)'!$A$191:$I$211,5,0)*VLOOKUP('Données projet (1)'!$B$15,'Paramètres (1)'!$A$1:$I$88,7,0))</f>
        <v>#REF!</v>
      </c>
      <c r="ET200" s="135" t="str">
        <f>IF(ISNA(VLOOKUP(A200,'Données projet (1)'!$A$191:$I$211,6,0)),0%,VLOOKUP(A200,'Données projet (1)'!$A$191:$I$211,6,0)*VLOOKUP('Données projet (1)'!$B$15,'Paramètres (1)'!$A$1:$I$88,7,0))</f>
        <v>#REF!</v>
      </c>
      <c r="EU200" s="135" t="str">
        <f t="shared" si="74"/>
        <v>#REF!</v>
      </c>
      <c r="EV200" s="142" t="str">
        <f>EXP(-LN(2)/35)*EV199+(1-EXP(-LN(2)/35))/(LN(2)/35)*ER200*ES200*VLOOKUP('Données projet (1)'!$B$15,'Paramètres (1)'!$A$1:$I$88,3,0)*0.475*44/12</f>
        <v>#REF!</v>
      </c>
      <c r="EW200" s="142" t="str">
        <f>EXP(-LN(2)/25)*EW199+(1-EXP(-LN(2)/25))/(LN(2)/25)*'Calculateur (1)'!ER200*'Calculateur (1)'!ET200*VLOOKUP('Données projet (1)'!$B$15,'Paramètres (1)'!$A$1:$I$88,3,0)*0.475*44/12</f>
        <v>#REF!</v>
      </c>
      <c r="EX200" s="142" t="str">
        <f>EXP(-LN(2)/2)*EX199+(1-EXP(-LN(2)/2))/(LN(2)/2)*ER200*EU200*VLOOKUP('Données projet (1)'!$B$15,'Paramètres (1)'!$A$1:$I$88,3,0)*0.475*44/12</f>
        <v>#REF!</v>
      </c>
      <c r="EY200" s="143" t="str">
        <f t="shared" si="75"/>
        <v>#REF!</v>
      </c>
      <c r="EZ200" s="139" t="str">
        <f t="shared" si="76"/>
        <v>#REF!</v>
      </c>
      <c r="FA200" s="131">
        <f t="shared" si="77"/>
        <v>10</v>
      </c>
      <c r="FB200" s="131" t="str">
        <f t="shared" si="136"/>
        <v>#REF!</v>
      </c>
      <c r="FC200" s="131" t="str">
        <f t="shared" si="78"/>
        <v>#REF!</v>
      </c>
      <c r="FD200" s="131" t="str">
        <f t="array" ref="FD200">INDEX(FC:FC,MIN(IF(ISNUMBER(FC200:FC396),ROW(FC200:FC396),"")))</f>
        <v/>
      </c>
      <c r="FE200" s="131" t="str">
        <f t="shared" si="137"/>
        <v>#REF!</v>
      </c>
      <c r="FF200" s="138" t="str">
        <f>FE200*VLOOKUP('Données projet (1)'!$B$16,'Paramètres (1)'!$A$1:$I$88,3,0)*VLOOKUP('Données projet (1)'!$B$16,'Paramètres (1)'!$A$1:$I$88,5,0)</f>
        <v>#REF!</v>
      </c>
      <c r="FG200" s="130" t="str">
        <f t="shared" si="138"/>
        <v>#REF!</v>
      </c>
      <c r="FH200" s="141" t="str">
        <f t="shared" si="79"/>
        <v>#REF!</v>
      </c>
      <c r="FI200" s="133" t="str">
        <f t="shared" si="80"/>
        <v>#REF!</v>
      </c>
      <c r="FJ200" s="133" t="str">
        <f t="shared" si="81"/>
        <v>#REF!</v>
      </c>
      <c r="FK200" s="133" t="str">
        <f t="shared" si="139"/>
        <v>#REF!</v>
      </c>
      <c r="FL200" s="134" t="str">
        <f t="shared" si="82"/>
        <v>#REF!</v>
      </c>
      <c r="FM200" s="134" t="str">
        <f t="shared" si="83"/>
        <v>#REF!</v>
      </c>
      <c r="FN200" s="135" t="str">
        <f>IF(ISNA(VLOOKUP(A200,'Données projet (1)'!$A$217:$I$237,5,0)),0%,VLOOKUP(A200,'Données projet (1)'!$A$217:$I$237,5,0)*VLOOKUP('Données projet (1)'!$B$16,'Paramètres (1)'!$A$1:$I$88,7,0))</f>
        <v>#REF!</v>
      </c>
      <c r="FO200" s="135" t="str">
        <f>IF(ISNA(VLOOKUP(A200,'Données projet (1)'!$A$217:$I$237,6,0)),0%,VLOOKUP(A200,'Données projet (1)'!$A$217:$I$237,6,0)*VLOOKUP('Données projet (1)'!$B$16,'Paramètres (1)'!$A$1:$I$88,7,0))</f>
        <v>#REF!</v>
      </c>
      <c r="FP200" s="135" t="str">
        <f t="shared" si="84"/>
        <v>#REF!</v>
      </c>
      <c r="FQ200" s="142" t="str">
        <f>EXP(-LN(2)/35)*FQ199+(1-EXP(-LN(2)/35))/(LN(2)/35)*FM200*FN200*VLOOKUP('Données projet (1)'!$B$16,'Paramètres (1)'!$A$1:$I$88,3,0)*0.475*44/12</f>
        <v>#REF!</v>
      </c>
      <c r="FR200" s="142" t="str">
        <f>EXP(-LN(2)/25)*FR199+(1-EXP(-LN(2)/25))/(LN(2)/25)*'Calculateur (1)'!FM200*'Calculateur (1)'!FO200*VLOOKUP('Données projet (1)'!$B$16,'Paramètres (1)'!$A$1:$I$88,3,0)*0.475*44/12</f>
        <v>#REF!</v>
      </c>
      <c r="FS200" s="142" t="str">
        <f>EXP(-LN(2)/2)*FS199+(1-EXP(-LN(2)/2))/(LN(2)/2)*FM200*FP200*VLOOKUP('Données projet (1)'!$B$16,'Paramètres (1)'!$A$1:$I$88,3,0)*0.475*44/12</f>
        <v>#REF!</v>
      </c>
      <c r="FT200" s="143" t="str">
        <f t="shared" si="85"/>
        <v>#REF!</v>
      </c>
      <c r="FU200" s="139" t="str">
        <f t="shared" si="86"/>
        <v>#REF!</v>
      </c>
      <c r="FV200" s="131">
        <f t="shared" si="87"/>
        <v>10</v>
      </c>
      <c r="FW200" s="131" t="str">
        <f t="shared" si="140"/>
        <v>#REF!</v>
      </c>
      <c r="FX200" s="131" t="str">
        <f t="shared" si="88"/>
        <v>#REF!</v>
      </c>
      <c r="FY200" s="131" t="str">
        <f t="array" ref="FY200">INDEX(FX:FX,MIN(IF(ISNUMBER(FX200:FX396),ROW(FX200:FX396),"")))</f>
        <v/>
      </c>
      <c r="FZ200" s="131" t="str">
        <f t="shared" si="141"/>
        <v>#REF!</v>
      </c>
      <c r="GA200" s="138" t="str">
        <f>FZ200*VLOOKUP('Données projet (1)'!$B$17,'Paramètres (1)'!$A$1:$I$88,3,0)*VLOOKUP('Données projet (1)'!$B$17,'Paramètres (1)'!$A$1:$I$88,5,0)</f>
        <v>#REF!</v>
      </c>
      <c r="GB200" s="130" t="str">
        <f t="shared" si="142"/>
        <v>#REF!</v>
      </c>
      <c r="GC200" s="141" t="str">
        <f t="shared" si="89"/>
        <v>#REF!</v>
      </c>
      <c r="GD200" s="133" t="str">
        <f t="shared" si="90"/>
        <v>#REF!</v>
      </c>
      <c r="GE200" s="133" t="str">
        <f t="shared" si="91"/>
        <v>#REF!</v>
      </c>
      <c r="GF200" s="133" t="str">
        <f t="shared" si="143"/>
        <v>#REF!</v>
      </c>
      <c r="GG200" s="134" t="str">
        <f t="shared" si="92"/>
        <v>#REF!</v>
      </c>
      <c r="GH200" s="134" t="str">
        <f t="shared" si="93"/>
        <v>#REF!</v>
      </c>
      <c r="GI200" s="135" t="str">
        <f>IF(ISNA(VLOOKUP(A200,'Données projet (1)'!$A$243:$I$263,5,0)),0%,VLOOKUP(A200,'Données projet (1)'!$A$243:$I$263,5,0)*VLOOKUP('Données projet (1)'!$B$17,'Paramètres (1)'!$A$1:$I$88,7,0))</f>
        <v>#REF!</v>
      </c>
      <c r="GJ200" s="135" t="str">
        <f>IF(ISNA(VLOOKUP(A200,'Données projet (1)'!$A$243:$I$263,6,0)),0%,VLOOKUP(A200,'Données projet (1)'!$A$243:$I$263,6,0)*VLOOKUP('Données projet (1)'!$B$17,'Paramètres (1)'!$A$1:$I$88,7,0))</f>
        <v>#REF!</v>
      </c>
      <c r="GK200" s="135" t="str">
        <f t="shared" si="94"/>
        <v>#REF!</v>
      </c>
      <c r="GL200" s="142" t="str">
        <f>EXP(-LN(2)/35)*GL199+(1-EXP(-LN(2)/35))/(LN(2)/35)*GH200*GI200*VLOOKUP('Données projet (1)'!$B$17,'Paramètres (1)'!$A$1:$I$88,3,0)*0.475*44/12</f>
        <v>#REF!</v>
      </c>
      <c r="GM200" s="142" t="str">
        <f>EXP(-LN(2)/25)*GM199+(1-EXP(-LN(2)/25))/(LN(2)/25)*'Calculateur (1)'!GH200*'Calculateur (1)'!GJ200*VLOOKUP('Données projet (1)'!$B$17,'Paramètres (1)'!$A$1:$I$88,3,0)*0.475*44/12</f>
        <v>#REF!</v>
      </c>
      <c r="GN200" s="142" t="str">
        <f>EXP(-LN(2)/2)*GN199+(1-EXP(-LN(2)/2))/(LN(2)/2)*GH200*GK200*VLOOKUP('Données projet (1)'!$B$17,'Paramètres (1)'!$A$1:$I$88,3,0)*0.475*44/12</f>
        <v>#REF!</v>
      </c>
      <c r="GO200" s="142" t="str">
        <f t="shared" si="95"/>
        <v>#REF!</v>
      </c>
      <c r="GP200" s="139" t="str">
        <f t="shared" si="96"/>
        <v>#REF!</v>
      </c>
      <c r="GQ200" s="131">
        <f t="shared" si="97"/>
        <v>10</v>
      </c>
      <c r="GR200" s="131" t="str">
        <f t="shared" si="144"/>
        <v>#REF!</v>
      </c>
      <c r="GS200" s="131" t="str">
        <f t="shared" si="98"/>
        <v>#REF!</v>
      </c>
      <c r="GT200" s="131" t="str">
        <f t="array" ref="GT200">INDEX(GS:GS,MIN(IF(ISNUMBER(GS200:GS396),ROW(GS200:GS396),"")))</f>
        <v/>
      </c>
      <c r="GU200" s="131" t="str">
        <f t="shared" si="145"/>
        <v>#REF!</v>
      </c>
      <c r="GV200" s="138" t="str">
        <f>GU200*VLOOKUP('Données projet (1)'!$B$18,'Paramètres (1)'!$A$1:$I$88,3,0)*VLOOKUP('Données projet (1)'!$B$18,'Paramètres (1)'!$A$1:$I$88,5,0)</f>
        <v>#REF!</v>
      </c>
      <c r="GW200" s="130" t="str">
        <f t="shared" si="146"/>
        <v>#REF!</v>
      </c>
      <c r="GX200" s="141" t="str">
        <f t="shared" si="99"/>
        <v>#REF!</v>
      </c>
      <c r="GY200" s="133" t="str">
        <f t="shared" si="100"/>
        <v>#REF!</v>
      </c>
      <c r="GZ200" s="133" t="str">
        <f t="shared" si="101"/>
        <v>#REF!</v>
      </c>
      <c r="HA200" s="133" t="str">
        <f t="shared" si="147"/>
        <v>#REF!</v>
      </c>
      <c r="HB200" s="134" t="str">
        <f t="shared" si="102"/>
        <v>#REF!</v>
      </c>
      <c r="HC200" s="134" t="str">
        <f t="shared" si="103"/>
        <v>#REF!</v>
      </c>
      <c r="HD200" s="135" t="str">
        <f>IF(ISNA(VLOOKUP(A200,'Données projet (1)'!$A$269:$I$289,5,0)),0%,VLOOKUP(A200,'Données projet (1)'!$A$269:$I$289,5,0)*VLOOKUP('Données projet (1)'!$B$18,'Paramètres (1)'!$A$1:$I$88,7,0))</f>
        <v>#REF!</v>
      </c>
      <c r="HE200" s="135" t="str">
        <f>IF(ISNA(VLOOKUP(A200,'Données projet (1)'!$A$269:$I$289,6,0)),0%,VLOOKUP(A200,'Données projet (1)'!$A$269:$I$289,6,0)*VLOOKUP('Données projet (1)'!$B$18,'Paramètres (1)'!$A$1:$I$88,7,0))</f>
        <v>#REF!</v>
      </c>
      <c r="HF200" s="135" t="str">
        <f t="shared" si="104"/>
        <v>#REF!</v>
      </c>
      <c r="HG200" s="142" t="str">
        <f>EXP(-LN(2)/35)*HG199+(1-EXP(-LN(2)/35))/(LN(2)/35)*HC200*HD200*VLOOKUP('Données projet (1)'!$B$18,'Paramètres (1)'!$A$1:$I$88,3,0)*0.475*44/12</f>
        <v>#REF!</v>
      </c>
      <c r="HH200" s="142" t="str">
        <f>EXP(-LN(2)/25)*HH199+(1-EXP(-LN(2)/25))/(LN(2)/25)*'Calculateur (1)'!HC200*'Calculateur (1)'!HE200*VLOOKUP('Données projet (1)'!$B$18,'Paramètres (1)'!$A$1:$I$88,3,0)*0.475*44/12</f>
        <v>#REF!</v>
      </c>
      <c r="HI200" s="142" t="str">
        <f>EXP(-LN(2)/2)*HI199+(1-EXP(-LN(2)/2))/(LN(2)/2)*HC200*HF200*VLOOKUP('Données projet (1)'!$B$18,'Paramètres (1)'!$A$1:$I$88,3,0)*0.475*44/12</f>
        <v>#REF!</v>
      </c>
      <c r="HJ200" s="143" t="str">
        <f t="shared" si="105"/>
        <v>#REF!</v>
      </c>
    </row>
    <row r="201" ht="14.25" customHeight="1">
      <c r="A201" s="125">
        <f t="shared" si="106"/>
        <v>198</v>
      </c>
      <c r="B201" s="126" t="str">
        <f t="shared" si="1"/>
        <v>#REF!</v>
      </c>
      <c r="C201" s="140" t="str">
        <f>'Calculateur (1)'!C200+'Scénario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1" s="127">
        <f t="shared" si="107"/>
        <v>0</v>
      </c>
      <c r="E201" s="127" t="str">
        <f t="shared" si="2"/>
        <v>#REF!</v>
      </c>
      <c r="F201" s="127" t="str">
        <f t="shared" si="3"/>
        <v>#REF!</v>
      </c>
      <c r="G201" s="127" t="str">
        <f t="shared" si="4"/>
        <v>#REF!</v>
      </c>
      <c r="H201" s="128" t="str">
        <f t="shared" si="5"/>
        <v>#REF!</v>
      </c>
      <c r="I201" s="129" t="str">
        <f t="shared" si="6"/>
        <v>#REF!</v>
      </c>
      <c r="J201" s="130">
        <f t="shared" si="7"/>
        <v>10</v>
      </c>
      <c r="K201" s="131" t="str">
        <f t="shared" si="108"/>
        <v>#REF!</v>
      </c>
      <c r="L201" s="131" t="str">
        <f t="shared" si="8"/>
        <v>#REF!</v>
      </c>
      <c r="M201" s="131" t="str">
        <f t="array" ref="M201">INDEX(L:L,MIN(IF(ISNUMBER(L201:L397),ROW(L201:L397),"")))</f>
        <v/>
      </c>
      <c r="N201" s="130" t="str">
        <f t="shared" si="109"/>
        <v>#REF!</v>
      </c>
      <c r="O201" s="130" t="str">
        <f>N201*VLOOKUP('Données projet (1)'!$B$9,'Paramètres (1)'!$A$1:$I$88,3,0)*VLOOKUP('Données projet (1)'!$B$9,'Paramètres (1)'!$A$1:$I$88,5,0)</f>
        <v>#REF!</v>
      </c>
      <c r="P201" s="130" t="str">
        <f t="shared" si="110"/>
        <v>#REF!</v>
      </c>
      <c r="Q201" s="141" t="str">
        <f t="shared" si="9"/>
        <v>#REF!</v>
      </c>
      <c r="R201" s="133" t="str">
        <f t="shared" si="10"/>
        <v>#REF!</v>
      </c>
      <c r="S201" s="133" t="str">
        <f t="shared" si="11"/>
        <v>#REF!</v>
      </c>
      <c r="T201" s="133" t="str">
        <f t="shared" si="111"/>
        <v>#REF!</v>
      </c>
      <c r="U201" s="134" t="str">
        <f t="shared" si="12"/>
        <v>#REF!</v>
      </c>
      <c r="V201" s="134" t="str">
        <f t="shared" si="13"/>
        <v>#REF!</v>
      </c>
      <c r="W201" s="135" t="str">
        <f>IF(ISNA(VLOOKUP(A201,'Données projet (1)'!$A$35:$I$55,5,0)),0%,VLOOKUP(A201,'Données projet (1)'!$A$35:$I$55,5,0)*VLOOKUP('Données projet (1)'!$B$9,'Paramètres (1)'!$A$1:$I$88,7,0))</f>
        <v>#REF!</v>
      </c>
      <c r="X201" s="135" t="str">
        <f>IF(ISNA(VLOOKUP(A201,'Données projet (1)'!$A$35:$I$55,6,0)),0%,VLOOKUP(A201,'Données projet (1)'!$A$35:$I$55,6,0)*VLOOKUP('Données projet (1)'!$B$9,'Paramètres (1)'!$A$1:$I$88,7,0))</f>
        <v>#REF!</v>
      </c>
      <c r="Y201" s="135" t="str">
        <f t="shared" si="14"/>
        <v>#REF!</v>
      </c>
      <c r="Z201" s="142" t="str">
        <f>EXP(-LN(2)/35)*Z200+(1-EXP(-LN(2)/35))/(LN(2)/35)*V201*W201*VLOOKUP('Données projet (1)'!$B$9,'Paramètres (1)'!$A$1:$I$88,3,0)*0.475*44/12</f>
        <v>#REF!</v>
      </c>
      <c r="AA201" s="142" t="str">
        <f>EXP(-LN(2)/25)*AA200+(1-EXP(-LN(2)/25))/(LN(2)/25)*'Calculateur (1)'!V201*'Calculateur (1)'!X201*VLOOKUP('Données projet (1)'!$B$9,'Paramètres (1)'!$A$1:$I$88,3,0)*0.475*44/12</f>
        <v>#REF!</v>
      </c>
      <c r="AB201" s="142" t="str">
        <f>EXP(-LN(2)/2)*AB200+(1-EXP(-LN(2)/2))/(LN(2)/2)*V201*Y201*VLOOKUP('Données projet (1)'!$B$9,'Paramètres (1)'!$A$1:$I$88,3,0)*0.475*44/12</f>
        <v>#REF!</v>
      </c>
      <c r="AC201" s="143" t="str">
        <f t="shared" si="15"/>
        <v>#REF!</v>
      </c>
      <c r="AD201" s="130" t="str">
        <f t="shared" si="16"/>
        <v>#REF!</v>
      </c>
      <c r="AE201" s="130">
        <f t="shared" si="17"/>
        <v>10</v>
      </c>
      <c r="AF201" s="131" t="str">
        <f t="shared" si="112"/>
        <v>#REF!</v>
      </c>
      <c r="AG201" s="131" t="str">
        <f t="shared" si="18"/>
        <v>#REF!</v>
      </c>
      <c r="AH201" s="131" t="str">
        <f t="array" ref="AH201">INDEX(AG:AG,MIN(IF(ISNUMBER(AG201:AG397),ROW(AG201:AG397),"")))</f>
        <v/>
      </c>
      <c r="AI201" s="130" t="str">
        <f t="shared" si="113"/>
        <v>#REF!</v>
      </c>
      <c r="AJ201" s="130" t="str">
        <f>AI201*VLOOKUP('Données projet (1)'!$B$10,'Paramètres (1)'!$A$1:$I$88,3,0)*VLOOKUP('Données projet (1)'!$B$10,'Paramètres (1)'!$A$1:$I$88,5,0)</f>
        <v>#REF!</v>
      </c>
      <c r="AK201" s="130" t="str">
        <f t="shared" si="114"/>
        <v>#REF!</v>
      </c>
      <c r="AL201" s="141" t="str">
        <f t="shared" si="19"/>
        <v>#REF!</v>
      </c>
      <c r="AM201" s="133" t="str">
        <f t="shared" si="20"/>
        <v>#REF!</v>
      </c>
      <c r="AN201" s="133" t="str">
        <f t="shared" si="21"/>
        <v>#REF!</v>
      </c>
      <c r="AO201" s="133" t="str">
        <f t="shared" si="115"/>
        <v>#REF!</v>
      </c>
      <c r="AP201" s="134" t="str">
        <f t="shared" si="22"/>
        <v>#REF!</v>
      </c>
      <c r="AQ201" s="134" t="str">
        <f t="shared" si="23"/>
        <v>#REF!</v>
      </c>
      <c r="AR201" s="135" t="str">
        <f>IF(ISNA(VLOOKUP(A201,'Données projet (1)'!$A$61:$I$81,5,0)),0%,VLOOKUP(A201,'Données projet (1)'!$A$61:$I$81,5,0)*VLOOKUP('Données projet (1)'!$B$10,'Paramètres (1)'!$A$1:$I$88,7,0))</f>
        <v>#REF!</v>
      </c>
      <c r="AS201" s="135" t="str">
        <f>IF(ISNA(VLOOKUP(A201,'Données projet (1)'!$A$61:$I$81,6,0)),0%,VLOOKUP(A201,'Données projet (1)'!$A$61:$I$81,6,0)*VLOOKUP('Données projet (1)'!$B$10,'Paramètres (1)'!$A$1:$I$88,7,0))</f>
        <v>#REF!</v>
      </c>
      <c r="AT201" s="135" t="str">
        <f t="shared" si="24"/>
        <v>#REF!</v>
      </c>
      <c r="AU201" s="142" t="str">
        <f>EXP(-LN(2)/35)*AU200+(1-EXP(-LN(2)/35))/(LN(2)/35)*AQ201*AR201*VLOOKUP('Données projet (1)'!$B$10,'Paramètres (1)'!$A$1:$I$88,3,0)*0.475*44/12</f>
        <v>#REF!</v>
      </c>
      <c r="AV201" s="142" t="str">
        <f>EXP(-LN(2)/25)*AV200+(1-EXP(-LN(2)/25))/(LN(2)/25)*'Calculateur (1)'!AQ201*'Calculateur (1)'!AS201*VLOOKUP('Données projet (1)'!$B$10,'Paramètres (1)'!$A$1:$I$88,3,0)*0.475*44/12</f>
        <v>#REF!</v>
      </c>
      <c r="AW201" s="142" t="str">
        <f>EXP(-LN(2)/2)*AW200+(1-EXP(-LN(2)/2))/(LN(2)/2)*AQ201*AT201*VLOOKUP('Données projet (1)'!$B$10,'Paramètres (1)'!$A$1:$I$88,3,0)*0.475*44/12</f>
        <v>#REF!</v>
      </c>
      <c r="AX201" s="142" t="str">
        <f t="shared" si="25"/>
        <v>#REF!</v>
      </c>
      <c r="AY201" s="137" t="str">
        <f t="shared" si="26"/>
        <v>#REF!</v>
      </c>
      <c r="AZ201" s="131">
        <f t="shared" si="27"/>
        <v>10</v>
      </c>
      <c r="BA201" s="131" t="str">
        <f t="shared" si="116"/>
        <v>#REF!</v>
      </c>
      <c r="BB201" s="131" t="str">
        <f t="shared" si="28"/>
        <v>#REF!</v>
      </c>
      <c r="BC201" s="131" t="str">
        <f t="array" ref="BC201">INDEX(BB:BB,MIN(IF(ISNUMBER(BB201:BB397),ROW(BB201:BB397),"")))</f>
        <v/>
      </c>
      <c r="BD201" s="131" t="str">
        <f t="shared" si="117"/>
        <v>#REF!</v>
      </c>
      <c r="BE201" s="130" t="str">
        <f>BD201*VLOOKUP('Données projet (1)'!$B$11,'Paramètres (1)'!$A$1:$I$88,3,0)*VLOOKUP('Données projet (1)'!$B$11,'Paramètres (1)'!$A$1:$I$88,5,0)</f>
        <v>#REF!</v>
      </c>
      <c r="BF201" s="130" t="str">
        <f t="shared" si="118"/>
        <v>#REF!</v>
      </c>
      <c r="BG201" s="141" t="str">
        <f t="shared" si="29"/>
        <v>#REF!</v>
      </c>
      <c r="BH201" s="133" t="str">
        <f t="shared" si="30"/>
        <v>#REF!</v>
      </c>
      <c r="BI201" s="133" t="str">
        <f t="shared" si="31"/>
        <v>#REF!</v>
      </c>
      <c r="BJ201" s="133" t="str">
        <f t="shared" si="119"/>
        <v>#REF!</v>
      </c>
      <c r="BK201" s="134" t="str">
        <f t="shared" si="32"/>
        <v>#REF!</v>
      </c>
      <c r="BL201" s="134" t="str">
        <f t="shared" si="33"/>
        <v>#REF!</v>
      </c>
      <c r="BM201" s="135" t="str">
        <f>IF(ISNA(VLOOKUP(A201,'Données projet (1)'!$A$87:$I$107,5,0)),0%,VLOOKUP(A201,'Données projet (1)'!$A$87:$I$107,5,0)*VLOOKUP('Données projet (1)'!$B$11,'Paramètres (1)'!$A$1:$I$88,7,0))</f>
        <v>#REF!</v>
      </c>
      <c r="BN201" s="135" t="str">
        <f>IF(ISNA(VLOOKUP(A201,'Données projet (1)'!$A$87:$I$107,6,0)),0%,VLOOKUP(A201,'Données projet (1)'!$A$87:$I$107,6,0)*VLOOKUP('Données projet (1)'!$B$11,'Paramètres (1)'!$A$1:$I$88,7,0))</f>
        <v>#REF!</v>
      </c>
      <c r="BO201" s="135" t="str">
        <f t="shared" si="34"/>
        <v>#REF!</v>
      </c>
      <c r="BP201" s="142" t="str">
        <f>EXP(-LN(2)/35)*BP200+(1-EXP(-LN(2)/35))/(LN(2)/35)*BL201*BM201*VLOOKUP('Données projet (1)'!$B$11,'Paramètres (1)'!$A$1:$I$88,3,0)*0.475*44/12</f>
        <v>#REF!</v>
      </c>
      <c r="BQ201" s="142" t="str">
        <f>EXP(-LN(2)/25)*BQ200+(1-EXP(-LN(2)/25))/(LN(2)/25)*'Calculateur (1)'!BL201*'Calculateur (1)'!BN201*VLOOKUP('Données projet (1)'!$B$11,'Paramètres (1)'!$A$1:$I$88,3,0)*0.475*44/12</f>
        <v>#REF!</v>
      </c>
      <c r="BR201" s="142" t="str">
        <f>EXP(-LN(2)/2)*BR200+(1-EXP(-LN(2)/2))/(LN(2)/2)*BL201*BO201*VLOOKUP('Données projet (1)'!$B$11,'Paramètres (1)'!$A$1:$I$88,3,0)*0.475*44/12</f>
        <v>#REF!</v>
      </c>
      <c r="BS201" s="143" t="str">
        <f t="shared" si="35"/>
        <v>#REF!</v>
      </c>
      <c r="BT201" s="139" t="str">
        <f t="shared" si="36"/>
        <v>#REF!</v>
      </c>
      <c r="BU201" s="131">
        <f t="shared" si="37"/>
        <v>10</v>
      </c>
      <c r="BV201" s="131" t="str">
        <f t="shared" si="120"/>
        <v>#REF!</v>
      </c>
      <c r="BW201" s="131" t="str">
        <f t="shared" si="38"/>
        <v>#REF!</v>
      </c>
      <c r="BX201" s="131" t="str">
        <f t="array" ref="BX201">INDEX(BW:BW,MIN(IF(ISNUMBER(BW201:BW397),ROW(BW201:BW397),"")))</f>
        <v/>
      </c>
      <c r="BY201" s="131" t="str">
        <f t="shared" si="121"/>
        <v>#REF!</v>
      </c>
      <c r="BZ201" s="130" t="str">
        <f>BY201*VLOOKUP('Données projet (1)'!$B$12,'Paramètres (1)'!$A$1:$I$88,3,0)*VLOOKUP('Données projet (1)'!$B$12,'Paramètres (1)'!$A$1:$I$88,5,0)</f>
        <v>#REF!</v>
      </c>
      <c r="CA201" s="130" t="str">
        <f t="shared" si="122"/>
        <v>#REF!</v>
      </c>
      <c r="CB201" s="141" t="str">
        <f t="shared" si="39"/>
        <v>#REF!</v>
      </c>
      <c r="CC201" s="133" t="str">
        <f t="shared" si="40"/>
        <v>#REF!</v>
      </c>
      <c r="CD201" s="133" t="str">
        <f t="shared" si="41"/>
        <v>#REF!</v>
      </c>
      <c r="CE201" s="133" t="str">
        <f t="shared" si="123"/>
        <v>#REF!</v>
      </c>
      <c r="CF201" s="134" t="str">
        <f t="shared" si="42"/>
        <v>#REF!</v>
      </c>
      <c r="CG201" s="134" t="str">
        <f t="shared" si="43"/>
        <v>#REF!</v>
      </c>
      <c r="CH201" s="135" t="str">
        <f>IF(ISNA(VLOOKUP(A201,'Données projet (1)'!$A$113:$I$133,5,0)),0%,VLOOKUP(A201,'Données projet (1)'!$A$113:$I$133,5,0)*VLOOKUP('Données projet (1)'!$B$12,'Paramètres (1)'!$A$1:$I$88,7,0))</f>
        <v>#REF!</v>
      </c>
      <c r="CI201" s="135" t="str">
        <f>IF(ISNA(VLOOKUP(A201,'Données projet (1)'!$A$113:$I$133,6,0)),0%,VLOOKUP(A201,'Données projet (1)'!$A$113:$I$133,6,0)*VLOOKUP('Données projet (1)'!$B$12,'Paramètres (1)'!$A$1:$I$88,7,0))</f>
        <v>#REF!</v>
      </c>
      <c r="CJ201" s="135" t="str">
        <f t="shared" si="44"/>
        <v>#REF!</v>
      </c>
      <c r="CK201" s="142" t="str">
        <f>EXP(-LN(2)/35)*CK200+(1-EXP(-LN(2)/35))/(LN(2)/35)*CG201*CH201*VLOOKUP('Données projet (1)'!$B$12,'Paramètres (1)'!$A$1:$I$88,3,0)*0.475*44/12</f>
        <v>#REF!</v>
      </c>
      <c r="CL201" s="142" t="str">
        <f>EXP(-LN(2)/25)*CL200+(1-EXP(-LN(2)/25))/(LN(2)/25)*'Calculateur (1)'!CG201*'Calculateur (1)'!CI201*VLOOKUP('Données projet (1)'!$B$12,'Paramètres (1)'!$A$1:$I$88,3,0)*0.475*44/12</f>
        <v>#REF!</v>
      </c>
      <c r="CM201" s="142" t="str">
        <f>EXP(-LN(2)/2)*CM200+(1-EXP(-LN(2)/2))/(LN(2)/2)*CG201*CJ201*VLOOKUP('Données projet (1)'!$B$12,'Paramètres (1)'!$A$1:$I$88,3,0)*0.475*44/12</f>
        <v>#REF!</v>
      </c>
      <c r="CN201" s="143" t="str">
        <f t="shared" si="45"/>
        <v>#REF!</v>
      </c>
      <c r="CO201" s="139" t="str">
        <f t="shared" si="46"/>
        <v>#REF!</v>
      </c>
      <c r="CP201" s="131">
        <f t="shared" si="47"/>
        <v>10</v>
      </c>
      <c r="CQ201" s="131" t="str">
        <f t="shared" si="124"/>
        <v>#REF!</v>
      </c>
      <c r="CR201" s="131" t="str">
        <f t="shared" si="48"/>
        <v>#REF!</v>
      </c>
      <c r="CS201" s="131" t="str">
        <f t="array" ref="CS201">INDEX(CR:CR,MIN(IF(ISNUMBER(CR201:CR397),ROW(CR201:CR397),"")))</f>
        <v/>
      </c>
      <c r="CT201" s="131" t="str">
        <f t="shared" si="125"/>
        <v>#REF!</v>
      </c>
      <c r="CU201" s="138" t="str">
        <f>CT201*VLOOKUP('Données projet (1)'!$B$13,'Paramètres (1)'!$A$1:$I$88,3,0)*VLOOKUP('Données projet (1)'!$B$13,'Paramètres (1)'!$A$1:$I$88,5,0)</f>
        <v>#REF!</v>
      </c>
      <c r="CV201" s="130" t="str">
        <f t="shared" si="126"/>
        <v>#REF!</v>
      </c>
      <c r="CW201" s="141" t="str">
        <f t="shared" si="49"/>
        <v>#REF!</v>
      </c>
      <c r="CX201" s="133" t="str">
        <f t="shared" si="50"/>
        <v>#REF!</v>
      </c>
      <c r="CY201" s="133" t="str">
        <f t="shared" si="51"/>
        <v>#REF!</v>
      </c>
      <c r="CZ201" s="133" t="str">
        <f t="shared" si="127"/>
        <v>#REF!</v>
      </c>
      <c r="DA201" s="134" t="str">
        <f t="shared" si="52"/>
        <v>#REF!</v>
      </c>
      <c r="DB201" s="134" t="str">
        <f t="shared" si="53"/>
        <v>#REF!</v>
      </c>
      <c r="DC201" s="135" t="str">
        <f>IF(ISNA(VLOOKUP(A201,'Données projet (1)'!$A$139:$I$159,5,0)),0%,VLOOKUP(A201,'Données projet (1)'!$A$139:$I$159,5,0)*VLOOKUP('Données projet (1)'!$B$13,'Paramètres (1)'!$A$1:$I$88,7,0))</f>
        <v>#REF!</v>
      </c>
      <c r="DD201" s="135" t="str">
        <f>IF(ISNA(VLOOKUP(A201,'Données projet (1)'!$A$139:$I$159,6,0)),0%,VLOOKUP(A201,'Données projet (1)'!$A$139:$I$159,6,0)*VLOOKUP('Données projet (1)'!$B$13,'Paramètres (1)'!$A$1:$I$88,7,0))</f>
        <v>#REF!</v>
      </c>
      <c r="DE201" s="135" t="str">
        <f t="shared" si="54"/>
        <v>#REF!</v>
      </c>
      <c r="DF201" s="142" t="str">
        <f>EXP(-LN(2)/35)*DF200+(1-EXP(-LN(2)/35))/(LN(2)/35)*DB201*DC201*VLOOKUP('Données projet (1)'!$B$13,'Paramètres (1)'!$A$1:$I$88,3,0)*0.475*44/12</f>
        <v>#REF!</v>
      </c>
      <c r="DG201" s="142" t="str">
        <f>EXP(-LN(2)/25)*DG200+(1-EXP(-LN(2)/25))/(LN(2)/25)*'Calculateur (1)'!DB201*'Calculateur (1)'!DD201*VLOOKUP('Données projet (1)'!$B$13,'Paramètres (1)'!$A$1:$I$88,3,0)*0.475*44/12</f>
        <v>#REF!</v>
      </c>
      <c r="DH201" s="142" t="str">
        <f>EXP(-LN(2)/2)*DH200+(1-EXP(-LN(2)/2))/(LN(2)/2)*DB201*DE201*VLOOKUP('Données projet (1)'!$B$13,'Paramètres (1)'!$A$1:$I$88,3,0)*0.475*44/12</f>
        <v>#REF!</v>
      </c>
      <c r="DI201" s="143" t="str">
        <f t="shared" si="55"/>
        <v>#REF!</v>
      </c>
      <c r="DJ201" s="139" t="str">
        <f t="shared" si="56"/>
        <v>#REF!</v>
      </c>
      <c r="DK201" s="131">
        <f t="shared" si="57"/>
        <v>10</v>
      </c>
      <c r="DL201" s="131" t="str">
        <f t="shared" si="128"/>
        <v>#REF!</v>
      </c>
      <c r="DM201" s="131" t="str">
        <f t="shared" si="58"/>
        <v>#REF!</v>
      </c>
      <c r="DN201" s="131" t="str">
        <f t="array" ref="DN201">INDEX(DM:DM,MIN(IF(ISNUMBER(DM201:DM397),ROW(DM201:DM397),"")))</f>
        <v/>
      </c>
      <c r="DO201" s="131" t="str">
        <f t="shared" si="129"/>
        <v>#REF!</v>
      </c>
      <c r="DP201" s="138" t="str">
        <f>DO201*VLOOKUP('Données projet (1)'!$B$14,'Paramètres (1)'!$A$1:$I$88,3,0)*VLOOKUP('Données projet (1)'!$B$14,'Paramètres (1)'!$A$1:$I$88,5,0)</f>
        <v>#REF!</v>
      </c>
      <c r="DQ201" s="130" t="str">
        <f t="shared" si="130"/>
        <v>#REF!</v>
      </c>
      <c r="DR201" s="141" t="str">
        <f t="shared" si="59"/>
        <v>#REF!</v>
      </c>
      <c r="DS201" s="133" t="str">
        <f t="shared" si="60"/>
        <v>#REF!</v>
      </c>
      <c r="DT201" s="133" t="str">
        <f t="shared" si="61"/>
        <v>#REF!</v>
      </c>
      <c r="DU201" s="133" t="str">
        <f t="shared" si="131"/>
        <v>#REF!</v>
      </c>
      <c r="DV201" s="134" t="str">
        <f t="shared" si="62"/>
        <v>#REF!</v>
      </c>
      <c r="DW201" s="134" t="str">
        <f t="shared" si="63"/>
        <v>#REF!</v>
      </c>
      <c r="DX201" s="135" t="str">
        <f>IF(ISNA(VLOOKUP(A201,'Données projet (1)'!$A$165:$I$185,5,0)),0%,VLOOKUP(A201,'Données projet (1)'!$A$165:$I$185,5,0)*VLOOKUP('Données projet (1)'!$B$14,'Paramètres (1)'!$A$1:$I$88,7,0))</f>
        <v>#REF!</v>
      </c>
      <c r="DY201" s="135" t="str">
        <f>IF(ISNA(VLOOKUP(A201,'Données projet (1)'!$A$165:$I$185,6,0)),0%,VLOOKUP(A201,'Données projet (1)'!$A$165:$I$185,6,0)*VLOOKUP('Données projet (1)'!$B$14,'Paramètres (1)'!$A$1:$I$88,7,0))</f>
        <v>#REF!</v>
      </c>
      <c r="DZ201" s="135" t="str">
        <f t="shared" si="64"/>
        <v>#REF!</v>
      </c>
      <c r="EA201" s="142" t="str">
        <f>EXP(-LN(2)/35)*EA200+(1-EXP(-LN(2)/35))/(LN(2)/35)*DW201*DX201*VLOOKUP('Données projet (1)'!$B$14,'Paramètres (1)'!$A$1:$I$88,3,0)*0.475*44/12</f>
        <v>#REF!</v>
      </c>
      <c r="EB201" s="142" t="str">
        <f>EXP(-LN(2)/25)*EB200+(1-EXP(-LN(2)/25))/(LN(2)/25)*'Calculateur (1)'!DW201*'Calculateur (1)'!DY201*VLOOKUP('Données projet (1)'!$B$14,'Paramètres (1)'!$A$1:$I$88,3,0)*0.475*44/12</f>
        <v>#REF!</v>
      </c>
      <c r="EC201" s="142" t="str">
        <f>EXP(-LN(2)/2)*EC200+(1-EXP(-LN(2)/2))/(LN(2)/2)*DW201*DZ201*VLOOKUP('Données projet (1)'!$B$14,'Paramètres (1)'!$A$1:$I$88,3,0)*0.475*44/12</f>
        <v>#REF!</v>
      </c>
      <c r="ED201" s="143" t="str">
        <f t="shared" si="65"/>
        <v>#REF!</v>
      </c>
      <c r="EE201" s="139" t="str">
        <f t="shared" si="66"/>
        <v>#REF!</v>
      </c>
      <c r="EF201" s="131">
        <f t="shared" si="67"/>
        <v>10</v>
      </c>
      <c r="EG201" s="131" t="str">
        <f t="shared" si="132"/>
        <v>#REF!</v>
      </c>
      <c r="EH201" s="131" t="str">
        <f t="shared" si="68"/>
        <v>#REF!</v>
      </c>
      <c r="EI201" s="131" t="str">
        <f t="array" ref="EI201">INDEX(EH:EH,MIN(IF(ISNUMBER(EH201:EH397),ROW(EH201:EH397),"")))</f>
        <v/>
      </c>
      <c r="EJ201" s="131" t="str">
        <f t="shared" si="133"/>
        <v>#REF!</v>
      </c>
      <c r="EK201" s="138" t="str">
        <f>EJ201*VLOOKUP('Données projet (1)'!$B$15,'Paramètres (1)'!$A$1:$I$88,3,0)*VLOOKUP('Données projet (1)'!$B$15,'Paramètres (1)'!$A$1:$I$88,5,0)</f>
        <v>#REF!</v>
      </c>
      <c r="EL201" s="130" t="str">
        <f t="shared" si="134"/>
        <v>#REF!</v>
      </c>
      <c r="EM201" s="141" t="str">
        <f t="shared" si="69"/>
        <v>#REF!</v>
      </c>
      <c r="EN201" s="133" t="str">
        <f t="shared" si="70"/>
        <v>#REF!</v>
      </c>
      <c r="EO201" s="133" t="str">
        <f t="shared" si="71"/>
        <v>#REF!</v>
      </c>
      <c r="EP201" s="133" t="str">
        <f t="shared" si="135"/>
        <v>#REF!</v>
      </c>
      <c r="EQ201" s="134" t="str">
        <f t="shared" si="72"/>
        <v>#REF!</v>
      </c>
      <c r="ER201" s="134" t="str">
        <f t="shared" si="73"/>
        <v>#REF!</v>
      </c>
      <c r="ES201" s="135" t="str">
        <f>IF(ISNA(VLOOKUP(A201,'Données projet (1)'!$A$191:$I$211,5,0)),0%,VLOOKUP(A201,'Données projet (1)'!$A$191:$I$211,5,0)*VLOOKUP('Données projet (1)'!$B$15,'Paramètres (1)'!$A$1:$I$88,7,0))</f>
        <v>#REF!</v>
      </c>
      <c r="ET201" s="135" t="str">
        <f>IF(ISNA(VLOOKUP(A201,'Données projet (1)'!$A$191:$I$211,6,0)),0%,VLOOKUP(A201,'Données projet (1)'!$A$191:$I$211,6,0)*VLOOKUP('Données projet (1)'!$B$15,'Paramètres (1)'!$A$1:$I$88,7,0))</f>
        <v>#REF!</v>
      </c>
      <c r="EU201" s="135" t="str">
        <f t="shared" si="74"/>
        <v>#REF!</v>
      </c>
      <c r="EV201" s="142" t="str">
        <f>EXP(-LN(2)/35)*EV200+(1-EXP(-LN(2)/35))/(LN(2)/35)*ER201*ES201*VLOOKUP('Données projet (1)'!$B$15,'Paramètres (1)'!$A$1:$I$88,3,0)*0.475*44/12</f>
        <v>#REF!</v>
      </c>
      <c r="EW201" s="142" t="str">
        <f>EXP(-LN(2)/25)*EW200+(1-EXP(-LN(2)/25))/(LN(2)/25)*'Calculateur (1)'!ER201*'Calculateur (1)'!ET201*VLOOKUP('Données projet (1)'!$B$15,'Paramètres (1)'!$A$1:$I$88,3,0)*0.475*44/12</f>
        <v>#REF!</v>
      </c>
      <c r="EX201" s="142" t="str">
        <f>EXP(-LN(2)/2)*EX200+(1-EXP(-LN(2)/2))/(LN(2)/2)*ER201*EU201*VLOOKUP('Données projet (1)'!$B$15,'Paramètres (1)'!$A$1:$I$88,3,0)*0.475*44/12</f>
        <v>#REF!</v>
      </c>
      <c r="EY201" s="143" t="str">
        <f t="shared" si="75"/>
        <v>#REF!</v>
      </c>
      <c r="EZ201" s="139" t="str">
        <f t="shared" si="76"/>
        <v>#REF!</v>
      </c>
      <c r="FA201" s="131">
        <f t="shared" si="77"/>
        <v>10</v>
      </c>
      <c r="FB201" s="131" t="str">
        <f t="shared" si="136"/>
        <v>#REF!</v>
      </c>
      <c r="FC201" s="131" t="str">
        <f t="shared" si="78"/>
        <v>#REF!</v>
      </c>
      <c r="FD201" s="131" t="str">
        <f t="array" ref="FD201">INDEX(FC:FC,MIN(IF(ISNUMBER(FC201:FC397),ROW(FC201:FC397),"")))</f>
        <v/>
      </c>
      <c r="FE201" s="131" t="str">
        <f t="shared" si="137"/>
        <v>#REF!</v>
      </c>
      <c r="FF201" s="138" t="str">
        <f>FE201*VLOOKUP('Données projet (1)'!$B$16,'Paramètres (1)'!$A$1:$I$88,3,0)*VLOOKUP('Données projet (1)'!$B$16,'Paramètres (1)'!$A$1:$I$88,5,0)</f>
        <v>#REF!</v>
      </c>
      <c r="FG201" s="130" t="str">
        <f t="shared" si="138"/>
        <v>#REF!</v>
      </c>
      <c r="FH201" s="141" t="str">
        <f t="shared" si="79"/>
        <v>#REF!</v>
      </c>
      <c r="FI201" s="133" t="str">
        <f t="shared" si="80"/>
        <v>#REF!</v>
      </c>
      <c r="FJ201" s="133" t="str">
        <f t="shared" si="81"/>
        <v>#REF!</v>
      </c>
      <c r="FK201" s="133" t="str">
        <f t="shared" si="139"/>
        <v>#REF!</v>
      </c>
      <c r="FL201" s="134" t="str">
        <f t="shared" si="82"/>
        <v>#REF!</v>
      </c>
      <c r="FM201" s="134" t="str">
        <f t="shared" si="83"/>
        <v>#REF!</v>
      </c>
      <c r="FN201" s="135" t="str">
        <f>IF(ISNA(VLOOKUP(A201,'Données projet (1)'!$A$217:$I$237,5,0)),0%,VLOOKUP(A201,'Données projet (1)'!$A$217:$I$237,5,0)*VLOOKUP('Données projet (1)'!$B$16,'Paramètres (1)'!$A$1:$I$88,7,0))</f>
        <v>#REF!</v>
      </c>
      <c r="FO201" s="135" t="str">
        <f>IF(ISNA(VLOOKUP(A201,'Données projet (1)'!$A$217:$I$237,6,0)),0%,VLOOKUP(A201,'Données projet (1)'!$A$217:$I$237,6,0)*VLOOKUP('Données projet (1)'!$B$16,'Paramètres (1)'!$A$1:$I$88,7,0))</f>
        <v>#REF!</v>
      </c>
      <c r="FP201" s="135" t="str">
        <f t="shared" si="84"/>
        <v>#REF!</v>
      </c>
      <c r="FQ201" s="142" t="str">
        <f>EXP(-LN(2)/35)*FQ200+(1-EXP(-LN(2)/35))/(LN(2)/35)*FM201*FN201*VLOOKUP('Données projet (1)'!$B$16,'Paramètres (1)'!$A$1:$I$88,3,0)*0.475*44/12</f>
        <v>#REF!</v>
      </c>
      <c r="FR201" s="142" t="str">
        <f>EXP(-LN(2)/25)*FR200+(1-EXP(-LN(2)/25))/(LN(2)/25)*'Calculateur (1)'!FM201*'Calculateur (1)'!FO201*VLOOKUP('Données projet (1)'!$B$16,'Paramètres (1)'!$A$1:$I$88,3,0)*0.475*44/12</f>
        <v>#REF!</v>
      </c>
      <c r="FS201" s="142" t="str">
        <f>EXP(-LN(2)/2)*FS200+(1-EXP(-LN(2)/2))/(LN(2)/2)*FM201*FP201*VLOOKUP('Données projet (1)'!$B$16,'Paramètres (1)'!$A$1:$I$88,3,0)*0.475*44/12</f>
        <v>#REF!</v>
      </c>
      <c r="FT201" s="143" t="str">
        <f t="shared" si="85"/>
        <v>#REF!</v>
      </c>
      <c r="FU201" s="139" t="str">
        <f t="shared" si="86"/>
        <v>#REF!</v>
      </c>
      <c r="FV201" s="131">
        <f t="shared" si="87"/>
        <v>10</v>
      </c>
      <c r="FW201" s="131" t="str">
        <f t="shared" si="140"/>
        <v>#REF!</v>
      </c>
      <c r="FX201" s="131" t="str">
        <f t="shared" si="88"/>
        <v>#REF!</v>
      </c>
      <c r="FY201" s="131" t="str">
        <f t="array" ref="FY201">INDEX(FX:FX,MIN(IF(ISNUMBER(FX201:FX397),ROW(FX201:FX397),"")))</f>
        <v/>
      </c>
      <c r="FZ201" s="131" t="str">
        <f t="shared" si="141"/>
        <v>#REF!</v>
      </c>
      <c r="GA201" s="138" t="str">
        <f>FZ201*VLOOKUP('Données projet (1)'!$B$17,'Paramètres (1)'!$A$1:$I$88,3,0)*VLOOKUP('Données projet (1)'!$B$17,'Paramètres (1)'!$A$1:$I$88,5,0)</f>
        <v>#REF!</v>
      </c>
      <c r="GB201" s="130" t="str">
        <f t="shared" si="142"/>
        <v>#REF!</v>
      </c>
      <c r="GC201" s="141" t="str">
        <f t="shared" si="89"/>
        <v>#REF!</v>
      </c>
      <c r="GD201" s="133" t="str">
        <f t="shared" si="90"/>
        <v>#REF!</v>
      </c>
      <c r="GE201" s="133" t="str">
        <f t="shared" si="91"/>
        <v>#REF!</v>
      </c>
      <c r="GF201" s="133" t="str">
        <f t="shared" si="143"/>
        <v>#REF!</v>
      </c>
      <c r="GG201" s="134" t="str">
        <f t="shared" si="92"/>
        <v>#REF!</v>
      </c>
      <c r="GH201" s="134" t="str">
        <f t="shared" si="93"/>
        <v>#REF!</v>
      </c>
      <c r="GI201" s="135" t="str">
        <f>IF(ISNA(VLOOKUP(A201,'Données projet (1)'!$A$243:$I$263,5,0)),0%,VLOOKUP(A201,'Données projet (1)'!$A$243:$I$263,5,0)*VLOOKUP('Données projet (1)'!$B$17,'Paramètres (1)'!$A$1:$I$88,7,0))</f>
        <v>#REF!</v>
      </c>
      <c r="GJ201" s="135" t="str">
        <f>IF(ISNA(VLOOKUP(A201,'Données projet (1)'!$A$243:$I$263,6,0)),0%,VLOOKUP(A201,'Données projet (1)'!$A$243:$I$263,6,0)*VLOOKUP('Données projet (1)'!$B$17,'Paramètres (1)'!$A$1:$I$88,7,0))</f>
        <v>#REF!</v>
      </c>
      <c r="GK201" s="135" t="str">
        <f t="shared" si="94"/>
        <v>#REF!</v>
      </c>
      <c r="GL201" s="142" t="str">
        <f>EXP(-LN(2)/35)*GL200+(1-EXP(-LN(2)/35))/(LN(2)/35)*GH201*GI201*VLOOKUP('Données projet (1)'!$B$17,'Paramètres (1)'!$A$1:$I$88,3,0)*0.475*44/12</f>
        <v>#REF!</v>
      </c>
      <c r="GM201" s="142" t="str">
        <f>EXP(-LN(2)/25)*GM200+(1-EXP(-LN(2)/25))/(LN(2)/25)*'Calculateur (1)'!GH201*'Calculateur (1)'!GJ201*VLOOKUP('Données projet (1)'!$B$17,'Paramètres (1)'!$A$1:$I$88,3,0)*0.475*44/12</f>
        <v>#REF!</v>
      </c>
      <c r="GN201" s="142" t="str">
        <f>EXP(-LN(2)/2)*GN200+(1-EXP(-LN(2)/2))/(LN(2)/2)*GH201*GK201*VLOOKUP('Données projet (1)'!$B$17,'Paramètres (1)'!$A$1:$I$88,3,0)*0.475*44/12</f>
        <v>#REF!</v>
      </c>
      <c r="GO201" s="142" t="str">
        <f t="shared" si="95"/>
        <v>#REF!</v>
      </c>
      <c r="GP201" s="139" t="str">
        <f t="shared" si="96"/>
        <v>#REF!</v>
      </c>
      <c r="GQ201" s="131">
        <f t="shared" si="97"/>
        <v>10</v>
      </c>
      <c r="GR201" s="131" t="str">
        <f t="shared" si="144"/>
        <v>#REF!</v>
      </c>
      <c r="GS201" s="131" t="str">
        <f t="shared" si="98"/>
        <v>#REF!</v>
      </c>
      <c r="GT201" s="131" t="str">
        <f t="array" ref="GT201">INDEX(GS:GS,MIN(IF(ISNUMBER(GS201:GS397),ROW(GS201:GS397),"")))</f>
        <v/>
      </c>
      <c r="GU201" s="131" t="str">
        <f t="shared" si="145"/>
        <v>#REF!</v>
      </c>
      <c r="GV201" s="138" t="str">
        <f>GU201*VLOOKUP('Données projet (1)'!$B$18,'Paramètres (1)'!$A$1:$I$88,3,0)*VLOOKUP('Données projet (1)'!$B$18,'Paramètres (1)'!$A$1:$I$88,5,0)</f>
        <v>#REF!</v>
      </c>
      <c r="GW201" s="130" t="str">
        <f t="shared" si="146"/>
        <v>#REF!</v>
      </c>
      <c r="GX201" s="141" t="str">
        <f t="shared" si="99"/>
        <v>#REF!</v>
      </c>
      <c r="GY201" s="133" t="str">
        <f t="shared" si="100"/>
        <v>#REF!</v>
      </c>
      <c r="GZ201" s="133" t="str">
        <f t="shared" si="101"/>
        <v>#REF!</v>
      </c>
      <c r="HA201" s="133" t="str">
        <f t="shared" si="147"/>
        <v>#REF!</v>
      </c>
      <c r="HB201" s="134" t="str">
        <f t="shared" si="102"/>
        <v>#REF!</v>
      </c>
      <c r="HC201" s="134" t="str">
        <f t="shared" si="103"/>
        <v>#REF!</v>
      </c>
      <c r="HD201" s="135" t="str">
        <f>IF(ISNA(VLOOKUP(A201,'Données projet (1)'!$A$269:$I$289,5,0)),0%,VLOOKUP(A201,'Données projet (1)'!$A$269:$I$289,5,0)*VLOOKUP('Données projet (1)'!$B$18,'Paramètres (1)'!$A$1:$I$88,7,0))</f>
        <v>#REF!</v>
      </c>
      <c r="HE201" s="135" t="str">
        <f>IF(ISNA(VLOOKUP(A201,'Données projet (1)'!$A$269:$I$289,6,0)),0%,VLOOKUP(A201,'Données projet (1)'!$A$269:$I$289,6,0)*VLOOKUP('Données projet (1)'!$B$18,'Paramètres (1)'!$A$1:$I$88,7,0))</f>
        <v>#REF!</v>
      </c>
      <c r="HF201" s="135" t="str">
        <f t="shared" si="104"/>
        <v>#REF!</v>
      </c>
      <c r="HG201" s="142" t="str">
        <f>EXP(-LN(2)/35)*HG200+(1-EXP(-LN(2)/35))/(LN(2)/35)*HC201*HD201*VLOOKUP('Données projet (1)'!$B$18,'Paramètres (1)'!$A$1:$I$88,3,0)*0.475*44/12</f>
        <v>#REF!</v>
      </c>
      <c r="HH201" s="142" t="str">
        <f>EXP(-LN(2)/25)*HH200+(1-EXP(-LN(2)/25))/(LN(2)/25)*'Calculateur (1)'!HC201*'Calculateur (1)'!HE201*VLOOKUP('Données projet (1)'!$B$18,'Paramètres (1)'!$A$1:$I$88,3,0)*0.475*44/12</f>
        <v>#REF!</v>
      </c>
      <c r="HI201" s="142" t="str">
        <f>EXP(-LN(2)/2)*HI200+(1-EXP(-LN(2)/2))/(LN(2)/2)*HC201*HF201*VLOOKUP('Données projet (1)'!$B$18,'Paramètres (1)'!$A$1:$I$88,3,0)*0.475*44/12</f>
        <v>#REF!</v>
      </c>
      <c r="HJ201" s="143" t="str">
        <f t="shared" si="105"/>
        <v>#REF!</v>
      </c>
    </row>
    <row r="202" ht="14.25" customHeight="1">
      <c r="A202" s="125">
        <f t="shared" si="106"/>
        <v>199</v>
      </c>
      <c r="B202" s="126" t="str">
        <f t="shared" si="1"/>
        <v>#REF!</v>
      </c>
      <c r="C202" s="140" t="str">
        <f>'Calculateur (1)'!C201+'Scénario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2" s="127">
        <f t="shared" si="107"/>
        <v>0</v>
      </c>
      <c r="E202" s="127" t="str">
        <f t="shared" si="2"/>
        <v>#REF!</v>
      </c>
      <c r="F202" s="127" t="str">
        <f t="shared" si="3"/>
        <v>#REF!</v>
      </c>
      <c r="G202" s="127" t="str">
        <f t="shared" si="4"/>
        <v>#REF!</v>
      </c>
      <c r="H202" s="128" t="str">
        <f t="shared" si="5"/>
        <v>#REF!</v>
      </c>
      <c r="I202" s="129" t="str">
        <f t="shared" si="6"/>
        <v>#REF!</v>
      </c>
      <c r="J202" s="130">
        <f t="shared" si="7"/>
        <v>10</v>
      </c>
      <c r="K202" s="131" t="str">
        <f t="shared" si="108"/>
        <v>#REF!</v>
      </c>
      <c r="L202" s="131" t="str">
        <f t="shared" si="8"/>
        <v>#REF!</v>
      </c>
      <c r="M202" s="131" t="str">
        <f t="array" ref="M202">INDEX(L:L,MIN(IF(ISNUMBER(L202:L398),ROW(L202:L398),"")))</f>
        <v/>
      </c>
      <c r="N202" s="130" t="str">
        <f t="shared" si="109"/>
        <v>#REF!</v>
      </c>
      <c r="O202" s="130" t="str">
        <f>N202*VLOOKUP('Données projet (1)'!$B$9,'Paramètres (1)'!$A$1:$I$88,3,0)*VLOOKUP('Données projet (1)'!$B$9,'Paramètres (1)'!$A$1:$I$88,5,0)</f>
        <v>#REF!</v>
      </c>
      <c r="P202" s="130" t="str">
        <f t="shared" si="110"/>
        <v>#REF!</v>
      </c>
      <c r="Q202" s="141" t="str">
        <f t="shared" si="9"/>
        <v>#REF!</v>
      </c>
      <c r="R202" s="133" t="str">
        <f t="shared" si="10"/>
        <v>#REF!</v>
      </c>
      <c r="S202" s="133" t="str">
        <f t="shared" si="11"/>
        <v>#REF!</v>
      </c>
      <c r="T202" s="133" t="str">
        <f t="shared" si="111"/>
        <v>#REF!</v>
      </c>
      <c r="U202" s="134" t="str">
        <f t="shared" si="12"/>
        <v>#REF!</v>
      </c>
      <c r="V202" s="134" t="str">
        <f t="shared" si="13"/>
        <v>#REF!</v>
      </c>
      <c r="W202" s="135" t="str">
        <f>IF(ISNA(VLOOKUP(A202,'Données projet (1)'!$A$35:$I$55,5,0)),0%,VLOOKUP(A202,'Données projet (1)'!$A$35:$I$55,5,0)*VLOOKUP('Données projet (1)'!$B$9,'Paramètres (1)'!$A$1:$I$88,7,0))</f>
        <v>#REF!</v>
      </c>
      <c r="X202" s="135" t="str">
        <f>IF(ISNA(VLOOKUP(A202,'Données projet (1)'!$A$35:$I$55,6,0)),0%,VLOOKUP(A202,'Données projet (1)'!$A$35:$I$55,6,0)*VLOOKUP('Données projet (1)'!$B$9,'Paramètres (1)'!$A$1:$I$88,7,0))</f>
        <v>#REF!</v>
      </c>
      <c r="Y202" s="135" t="str">
        <f t="shared" si="14"/>
        <v>#REF!</v>
      </c>
      <c r="Z202" s="142" t="str">
        <f>EXP(-LN(2)/35)*Z201+(1-EXP(-LN(2)/35))/(LN(2)/35)*V202*W202*VLOOKUP('Données projet (1)'!$B$9,'Paramètres (1)'!$A$1:$I$88,3,0)*0.475*44/12</f>
        <v>#REF!</v>
      </c>
      <c r="AA202" s="142" t="str">
        <f>EXP(-LN(2)/25)*AA201+(1-EXP(-LN(2)/25))/(LN(2)/25)*'Calculateur (1)'!V202*'Calculateur (1)'!X202*VLOOKUP('Données projet (1)'!$B$9,'Paramètres (1)'!$A$1:$I$88,3,0)*0.475*44/12</f>
        <v>#REF!</v>
      </c>
      <c r="AB202" s="142" t="str">
        <f>EXP(-LN(2)/2)*AB201+(1-EXP(-LN(2)/2))/(LN(2)/2)*V202*Y202*VLOOKUP('Données projet (1)'!$B$9,'Paramètres (1)'!$A$1:$I$88,3,0)*0.475*44/12</f>
        <v>#REF!</v>
      </c>
      <c r="AC202" s="143" t="str">
        <f t="shared" si="15"/>
        <v>#REF!</v>
      </c>
      <c r="AD202" s="130" t="str">
        <f t="shared" si="16"/>
        <v>#REF!</v>
      </c>
      <c r="AE202" s="130">
        <f t="shared" si="17"/>
        <v>10</v>
      </c>
      <c r="AF202" s="131" t="str">
        <f t="shared" si="112"/>
        <v>#REF!</v>
      </c>
      <c r="AG202" s="131" t="str">
        <f t="shared" si="18"/>
        <v>#REF!</v>
      </c>
      <c r="AH202" s="131" t="str">
        <f t="array" ref="AH202">INDEX(AG:AG,MIN(IF(ISNUMBER(AG202:AG398),ROW(AG202:AG398),"")))</f>
        <v/>
      </c>
      <c r="AI202" s="130" t="str">
        <f t="shared" si="113"/>
        <v>#REF!</v>
      </c>
      <c r="AJ202" s="130" t="str">
        <f>AI202*VLOOKUP('Données projet (1)'!$B$10,'Paramètres (1)'!$A$1:$I$88,3,0)*VLOOKUP('Données projet (1)'!$B$10,'Paramètres (1)'!$A$1:$I$88,5,0)</f>
        <v>#REF!</v>
      </c>
      <c r="AK202" s="130" t="str">
        <f t="shared" si="114"/>
        <v>#REF!</v>
      </c>
      <c r="AL202" s="141" t="str">
        <f t="shared" si="19"/>
        <v>#REF!</v>
      </c>
      <c r="AM202" s="133" t="str">
        <f t="shared" si="20"/>
        <v>#REF!</v>
      </c>
      <c r="AN202" s="133" t="str">
        <f t="shared" si="21"/>
        <v>#REF!</v>
      </c>
      <c r="AO202" s="133" t="str">
        <f t="shared" si="115"/>
        <v>#REF!</v>
      </c>
      <c r="AP202" s="134" t="str">
        <f t="shared" si="22"/>
        <v>#REF!</v>
      </c>
      <c r="AQ202" s="134" t="str">
        <f t="shared" si="23"/>
        <v>#REF!</v>
      </c>
      <c r="AR202" s="135" t="str">
        <f>IF(ISNA(VLOOKUP(A202,'Données projet (1)'!$A$61:$I$81,5,0)),0%,VLOOKUP(A202,'Données projet (1)'!$A$61:$I$81,5,0)*VLOOKUP('Données projet (1)'!$B$10,'Paramètres (1)'!$A$1:$I$88,7,0))</f>
        <v>#REF!</v>
      </c>
      <c r="AS202" s="135" t="str">
        <f>IF(ISNA(VLOOKUP(A202,'Données projet (1)'!$A$61:$I$81,6,0)),0%,VLOOKUP(A202,'Données projet (1)'!$A$61:$I$81,6,0)*VLOOKUP('Données projet (1)'!$B$10,'Paramètres (1)'!$A$1:$I$88,7,0))</f>
        <v>#REF!</v>
      </c>
      <c r="AT202" s="135" t="str">
        <f t="shared" si="24"/>
        <v>#REF!</v>
      </c>
      <c r="AU202" s="142" t="str">
        <f>EXP(-LN(2)/35)*AU201+(1-EXP(-LN(2)/35))/(LN(2)/35)*AQ202*AR202*VLOOKUP('Données projet (1)'!$B$10,'Paramètres (1)'!$A$1:$I$88,3,0)*0.475*44/12</f>
        <v>#REF!</v>
      </c>
      <c r="AV202" s="142" t="str">
        <f>EXP(-LN(2)/25)*AV201+(1-EXP(-LN(2)/25))/(LN(2)/25)*'Calculateur (1)'!AQ202*'Calculateur (1)'!AS202*VLOOKUP('Données projet (1)'!$B$10,'Paramètres (1)'!$A$1:$I$88,3,0)*0.475*44/12</f>
        <v>#REF!</v>
      </c>
      <c r="AW202" s="142" t="str">
        <f>EXP(-LN(2)/2)*AW201+(1-EXP(-LN(2)/2))/(LN(2)/2)*AQ202*AT202*VLOOKUP('Données projet (1)'!$B$10,'Paramètres (1)'!$A$1:$I$88,3,0)*0.475*44/12</f>
        <v>#REF!</v>
      </c>
      <c r="AX202" s="142" t="str">
        <f t="shared" si="25"/>
        <v>#REF!</v>
      </c>
      <c r="AY202" s="137" t="str">
        <f t="shared" si="26"/>
        <v>#REF!</v>
      </c>
      <c r="AZ202" s="131">
        <f t="shared" si="27"/>
        <v>10</v>
      </c>
      <c r="BA202" s="131" t="str">
        <f t="shared" si="116"/>
        <v>#REF!</v>
      </c>
      <c r="BB202" s="131" t="str">
        <f t="shared" si="28"/>
        <v>#REF!</v>
      </c>
      <c r="BC202" s="131" t="str">
        <f t="array" ref="BC202">INDEX(BB:BB,MIN(IF(ISNUMBER(BB202:BB398),ROW(BB202:BB398),"")))</f>
        <v/>
      </c>
      <c r="BD202" s="131" t="str">
        <f t="shared" si="117"/>
        <v>#REF!</v>
      </c>
      <c r="BE202" s="130" t="str">
        <f>BD202*VLOOKUP('Données projet (1)'!$B$11,'Paramètres (1)'!$A$1:$I$88,3,0)*VLOOKUP('Données projet (1)'!$B$11,'Paramètres (1)'!$A$1:$I$88,5,0)</f>
        <v>#REF!</v>
      </c>
      <c r="BF202" s="130" t="str">
        <f t="shared" si="118"/>
        <v>#REF!</v>
      </c>
      <c r="BG202" s="141" t="str">
        <f t="shared" si="29"/>
        <v>#REF!</v>
      </c>
      <c r="BH202" s="133" t="str">
        <f t="shared" si="30"/>
        <v>#REF!</v>
      </c>
      <c r="BI202" s="133" t="str">
        <f t="shared" si="31"/>
        <v>#REF!</v>
      </c>
      <c r="BJ202" s="133" t="str">
        <f t="shared" si="119"/>
        <v>#REF!</v>
      </c>
      <c r="BK202" s="134" t="str">
        <f t="shared" si="32"/>
        <v>#REF!</v>
      </c>
      <c r="BL202" s="134" t="str">
        <f t="shared" si="33"/>
        <v>#REF!</v>
      </c>
      <c r="BM202" s="135" t="str">
        <f>IF(ISNA(VLOOKUP(A202,'Données projet (1)'!$A$87:$I$107,5,0)),0%,VLOOKUP(A202,'Données projet (1)'!$A$87:$I$107,5,0)*VLOOKUP('Données projet (1)'!$B$11,'Paramètres (1)'!$A$1:$I$88,7,0))</f>
        <v>#REF!</v>
      </c>
      <c r="BN202" s="135" t="str">
        <f>IF(ISNA(VLOOKUP(A202,'Données projet (1)'!$A$87:$I$107,6,0)),0%,VLOOKUP(A202,'Données projet (1)'!$A$87:$I$107,6,0)*VLOOKUP('Données projet (1)'!$B$11,'Paramètres (1)'!$A$1:$I$88,7,0))</f>
        <v>#REF!</v>
      </c>
      <c r="BO202" s="135" t="str">
        <f t="shared" si="34"/>
        <v>#REF!</v>
      </c>
      <c r="BP202" s="142" t="str">
        <f>EXP(-LN(2)/35)*BP201+(1-EXP(-LN(2)/35))/(LN(2)/35)*BL202*BM202*VLOOKUP('Données projet (1)'!$B$11,'Paramètres (1)'!$A$1:$I$88,3,0)*0.475*44/12</f>
        <v>#REF!</v>
      </c>
      <c r="BQ202" s="142" t="str">
        <f>EXP(-LN(2)/25)*BQ201+(1-EXP(-LN(2)/25))/(LN(2)/25)*'Calculateur (1)'!BL202*'Calculateur (1)'!BN202*VLOOKUP('Données projet (1)'!$B$11,'Paramètres (1)'!$A$1:$I$88,3,0)*0.475*44/12</f>
        <v>#REF!</v>
      </c>
      <c r="BR202" s="142" t="str">
        <f>EXP(-LN(2)/2)*BR201+(1-EXP(-LN(2)/2))/(LN(2)/2)*BL202*BO202*VLOOKUP('Données projet (1)'!$B$11,'Paramètres (1)'!$A$1:$I$88,3,0)*0.475*44/12</f>
        <v>#REF!</v>
      </c>
      <c r="BS202" s="143" t="str">
        <f t="shared" si="35"/>
        <v>#REF!</v>
      </c>
      <c r="BT202" s="139" t="str">
        <f t="shared" si="36"/>
        <v>#REF!</v>
      </c>
      <c r="BU202" s="131">
        <f t="shared" si="37"/>
        <v>10</v>
      </c>
      <c r="BV202" s="131" t="str">
        <f t="shared" si="120"/>
        <v>#REF!</v>
      </c>
      <c r="BW202" s="131" t="str">
        <f t="shared" si="38"/>
        <v>#REF!</v>
      </c>
      <c r="BX202" s="131" t="str">
        <f t="array" ref="BX202">INDEX(BW:BW,MIN(IF(ISNUMBER(BW202:BW398),ROW(BW202:BW398),"")))</f>
        <v/>
      </c>
      <c r="BY202" s="131" t="str">
        <f t="shared" si="121"/>
        <v>#REF!</v>
      </c>
      <c r="BZ202" s="130" t="str">
        <f>BY202*VLOOKUP('Données projet (1)'!$B$12,'Paramètres (1)'!$A$1:$I$88,3,0)*VLOOKUP('Données projet (1)'!$B$12,'Paramètres (1)'!$A$1:$I$88,5,0)</f>
        <v>#REF!</v>
      </c>
      <c r="CA202" s="130" t="str">
        <f t="shared" si="122"/>
        <v>#REF!</v>
      </c>
      <c r="CB202" s="141" t="str">
        <f t="shared" si="39"/>
        <v>#REF!</v>
      </c>
      <c r="CC202" s="133" t="str">
        <f t="shared" si="40"/>
        <v>#REF!</v>
      </c>
      <c r="CD202" s="133" t="str">
        <f t="shared" si="41"/>
        <v>#REF!</v>
      </c>
      <c r="CE202" s="133" t="str">
        <f t="shared" si="123"/>
        <v>#REF!</v>
      </c>
      <c r="CF202" s="134" t="str">
        <f t="shared" si="42"/>
        <v>#REF!</v>
      </c>
      <c r="CG202" s="134" t="str">
        <f t="shared" si="43"/>
        <v>#REF!</v>
      </c>
      <c r="CH202" s="135" t="str">
        <f>IF(ISNA(VLOOKUP(A202,'Données projet (1)'!$A$113:$I$133,5,0)),0%,VLOOKUP(A202,'Données projet (1)'!$A$113:$I$133,5,0)*VLOOKUP('Données projet (1)'!$B$12,'Paramètres (1)'!$A$1:$I$88,7,0))</f>
        <v>#REF!</v>
      </c>
      <c r="CI202" s="135" t="str">
        <f>IF(ISNA(VLOOKUP(A202,'Données projet (1)'!$A$113:$I$133,6,0)),0%,VLOOKUP(A202,'Données projet (1)'!$A$113:$I$133,6,0)*VLOOKUP('Données projet (1)'!$B$12,'Paramètres (1)'!$A$1:$I$88,7,0))</f>
        <v>#REF!</v>
      </c>
      <c r="CJ202" s="135" t="str">
        <f t="shared" si="44"/>
        <v>#REF!</v>
      </c>
      <c r="CK202" s="142" t="str">
        <f>EXP(-LN(2)/35)*CK201+(1-EXP(-LN(2)/35))/(LN(2)/35)*CG202*CH202*VLOOKUP('Données projet (1)'!$B$12,'Paramètres (1)'!$A$1:$I$88,3,0)*0.475*44/12</f>
        <v>#REF!</v>
      </c>
      <c r="CL202" s="142" t="str">
        <f>EXP(-LN(2)/25)*CL201+(1-EXP(-LN(2)/25))/(LN(2)/25)*'Calculateur (1)'!CG202*'Calculateur (1)'!CI202*VLOOKUP('Données projet (1)'!$B$12,'Paramètres (1)'!$A$1:$I$88,3,0)*0.475*44/12</f>
        <v>#REF!</v>
      </c>
      <c r="CM202" s="142" t="str">
        <f>EXP(-LN(2)/2)*CM201+(1-EXP(-LN(2)/2))/(LN(2)/2)*CG202*CJ202*VLOOKUP('Données projet (1)'!$B$12,'Paramètres (1)'!$A$1:$I$88,3,0)*0.475*44/12</f>
        <v>#REF!</v>
      </c>
      <c r="CN202" s="143" t="str">
        <f t="shared" si="45"/>
        <v>#REF!</v>
      </c>
      <c r="CO202" s="139" t="str">
        <f t="shared" si="46"/>
        <v>#REF!</v>
      </c>
      <c r="CP202" s="131">
        <f t="shared" si="47"/>
        <v>10</v>
      </c>
      <c r="CQ202" s="131" t="str">
        <f t="shared" si="124"/>
        <v>#REF!</v>
      </c>
      <c r="CR202" s="131" t="str">
        <f t="shared" si="48"/>
        <v>#REF!</v>
      </c>
      <c r="CS202" s="131" t="str">
        <f t="array" ref="CS202">INDEX(CR:CR,MIN(IF(ISNUMBER(CR202:CR398),ROW(CR202:CR398),"")))</f>
        <v/>
      </c>
      <c r="CT202" s="131" t="str">
        <f t="shared" si="125"/>
        <v>#REF!</v>
      </c>
      <c r="CU202" s="138" t="str">
        <f>CT202*VLOOKUP('Données projet (1)'!$B$13,'Paramètres (1)'!$A$1:$I$88,3,0)*VLOOKUP('Données projet (1)'!$B$13,'Paramètres (1)'!$A$1:$I$88,5,0)</f>
        <v>#REF!</v>
      </c>
      <c r="CV202" s="130" t="str">
        <f t="shared" si="126"/>
        <v>#REF!</v>
      </c>
      <c r="CW202" s="141" t="str">
        <f t="shared" si="49"/>
        <v>#REF!</v>
      </c>
      <c r="CX202" s="133" t="str">
        <f t="shared" si="50"/>
        <v>#REF!</v>
      </c>
      <c r="CY202" s="133" t="str">
        <f t="shared" si="51"/>
        <v>#REF!</v>
      </c>
      <c r="CZ202" s="133" t="str">
        <f t="shared" si="127"/>
        <v>#REF!</v>
      </c>
      <c r="DA202" s="134" t="str">
        <f t="shared" si="52"/>
        <v>#REF!</v>
      </c>
      <c r="DB202" s="134" t="str">
        <f t="shared" si="53"/>
        <v>#REF!</v>
      </c>
      <c r="DC202" s="135" t="str">
        <f>IF(ISNA(VLOOKUP(A202,'Données projet (1)'!$A$139:$I$159,5,0)),0%,VLOOKUP(A202,'Données projet (1)'!$A$139:$I$159,5,0)*VLOOKUP('Données projet (1)'!$B$13,'Paramètres (1)'!$A$1:$I$88,7,0))</f>
        <v>#REF!</v>
      </c>
      <c r="DD202" s="135" t="str">
        <f>IF(ISNA(VLOOKUP(A202,'Données projet (1)'!$A$139:$I$159,6,0)),0%,VLOOKUP(A202,'Données projet (1)'!$A$139:$I$159,6,0)*VLOOKUP('Données projet (1)'!$B$13,'Paramètres (1)'!$A$1:$I$88,7,0))</f>
        <v>#REF!</v>
      </c>
      <c r="DE202" s="135" t="str">
        <f t="shared" si="54"/>
        <v>#REF!</v>
      </c>
      <c r="DF202" s="142" t="str">
        <f>EXP(-LN(2)/35)*DF201+(1-EXP(-LN(2)/35))/(LN(2)/35)*DB202*DC202*VLOOKUP('Données projet (1)'!$B$13,'Paramètres (1)'!$A$1:$I$88,3,0)*0.475*44/12</f>
        <v>#REF!</v>
      </c>
      <c r="DG202" s="142" t="str">
        <f>EXP(-LN(2)/25)*DG201+(1-EXP(-LN(2)/25))/(LN(2)/25)*'Calculateur (1)'!DB202*'Calculateur (1)'!DD202*VLOOKUP('Données projet (1)'!$B$13,'Paramètres (1)'!$A$1:$I$88,3,0)*0.475*44/12</f>
        <v>#REF!</v>
      </c>
      <c r="DH202" s="142" t="str">
        <f>EXP(-LN(2)/2)*DH201+(1-EXP(-LN(2)/2))/(LN(2)/2)*DB202*DE202*VLOOKUP('Données projet (1)'!$B$13,'Paramètres (1)'!$A$1:$I$88,3,0)*0.475*44/12</f>
        <v>#REF!</v>
      </c>
      <c r="DI202" s="143" t="str">
        <f t="shared" si="55"/>
        <v>#REF!</v>
      </c>
      <c r="DJ202" s="139" t="str">
        <f t="shared" si="56"/>
        <v>#REF!</v>
      </c>
      <c r="DK202" s="131">
        <f t="shared" si="57"/>
        <v>10</v>
      </c>
      <c r="DL202" s="131" t="str">
        <f t="shared" si="128"/>
        <v>#REF!</v>
      </c>
      <c r="DM202" s="131" t="str">
        <f t="shared" si="58"/>
        <v>#REF!</v>
      </c>
      <c r="DN202" s="131" t="str">
        <f t="array" ref="DN202">INDEX(DM:DM,MIN(IF(ISNUMBER(DM202:DM398),ROW(DM202:DM398),"")))</f>
        <v/>
      </c>
      <c r="DO202" s="131" t="str">
        <f t="shared" si="129"/>
        <v>#REF!</v>
      </c>
      <c r="DP202" s="138" t="str">
        <f>DO202*VLOOKUP('Données projet (1)'!$B$14,'Paramètres (1)'!$A$1:$I$88,3,0)*VLOOKUP('Données projet (1)'!$B$14,'Paramètres (1)'!$A$1:$I$88,5,0)</f>
        <v>#REF!</v>
      </c>
      <c r="DQ202" s="130" t="str">
        <f t="shared" si="130"/>
        <v>#REF!</v>
      </c>
      <c r="DR202" s="141" t="str">
        <f t="shared" si="59"/>
        <v>#REF!</v>
      </c>
      <c r="DS202" s="133" t="str">
        <f t="shared" si="60"/>
        <v>#REF!</v>
      </c>
      <c r="DT202" s="133" t="str">
        <f t="shared" si="61"/>
        <v>#REF!</v>
      </c>
      <c r="DU202" s="133" t="str">
        <f t="shared" si="131"/>
        <v>#REF!</v>
      </c>
      <c r="DV202" s="134" t="str">
        <f t="shared" si="62"/>
        <v>#REF!</v>
      </c>
      <c r="DW202" s="134" t="str">
        <f t="shared" si="63"/>
        <v>#REF!</v>
      </c>
      <c r="DX202" s="135" t="str">
        <f>IF(ISNA(VLOOKUP(A202,'Données projet (1)'!$A$165:$I$185,5,0)),0%,VLOOKUP(A202,'Données projet (1)'!$A$165:$I$185,5,0)*VLOOKUP('Données projet (1)'!$B$14,'Paramètres (1)'!$A$1:$I$88,7,0))</f>
        <v>#REF!</v>
      </c>
      <c r="DY202" s="135" t="str">
        <f>IF(ISNA(VLOOKUP(A202,'Données projet (1)'!$A$165:$I$185,6,0)),0%,VLOOKUP(A202,'Données projet (1)'!$A$165:$I$185,6,0)*VLOOKUP('Données projet (1)'!$B$14,'Paramètres (1)'!$A$1:$I$88,7,0))</f>
        <v>#REF!</v>
      </c>
      <c r="DZ202" s="135" t="str">
        <f t="shared" si="64"/>
        <v>#REF!</v>
      </c>
      <c r="EA202" s="142" t="str">
        <f>EXP(-LN(2)/35)*EA201+(1-EXP(-LN(2)/35))/(LN(2)/35)*DW202*DX202*VLOOKUP('Données projet (1)'!$B$14,'Paramètres (1)'!$A$1:$I$88,3,0)*0.475*44/12</f>
        <v>#REF!</v>
      </c>
      <c r="EB202" s="142" t="str">
        <f>EXP(-LN(2)/25)*EB201+(1-EXP(-LN(2)/25))/(LN(2)/25)*'Calculateur (1)'!DW202*'Calculateur (1)'!DY202*VLOOKUP('Données projet (1)'!$B$14,'Paramètres (1)'!$A$1:$I$88,3,0)*0.475*44/12</f>
        <v>#REF!</v>
      </c>
      <c r="EC202" s="142" t="str">
        <f>EXP(-LN(2)/2)*EC201+(1-EXP(-LN(2)/2))/(LN(2)/2)*DW202*DZ202*VLOOKUP('Données projet (1)'!$B$14,'Paramètres (1)'!$A$1:$I$88,3,0)*0.475*44/12</f>
        <v>#REF!</v>
      </c>
      <c r="ED202" s="143" t="str">
        <f t="shared" si="65"/>
        <v>#REF!</v>
      </c>
      <c r="EE202" s="139" t="str">
        <f t="shared" si="66"/>
        <v>#REF!</v>
      </c>
      <c r="EF202" s="131">
        <f t="shared" si="67"/>
        <v>10</v>
      </c>
      <c r="EG202" s="131" t="str">
        <f t="shared" si="132"/>
        <v>#REF!</v>
      </c>
      <c r="EH202" s="131" t="str">
        <f t="shared" si="68"/>
        <v>#REF!</v>
      </c>
      <c r="EI202" s="131" t="str">
        <f t="array" ref="EI202">INDEX(EH:EH,MIN(IF(ISNUMBER(EH202:EH398),ROW(EH202:EH398),"")))</f>
        <v/>
      </c>
      <c r="EJ202" s="131" t="str">
        <f t="shared" si="133"/>
        <v>#REF!</v>
      </c>
      <c r="EK202" s="138" t="str">
        <f>EJ202*VLOOKUP('Données projet (1)'!$B$15,'Paramètres (1)'!$A$1:$I$88,3,0)*VLOOKUP('Données projet (1)'!$B$15,'Paramètres (1)'!$A$1:$I$88,5,0)</f>
        <v>#REF!</v>
      </c>
      <c r="EL202" s="130" t="str">
        <f t="shared" si="134"/>
        <v>#REF!</v>
      </c>
      <c r="EM202" s="141" t="str">
        <f t="shared" si="69"/>
        <v>#REF!</v>
      </c>
      <c r="EN202" s="133" t="str">
        <f t="shared" si="70"/>
        <v>#REF!</v>
      </c>
      <c r="EO202" s="133" t="str">
        <f t="shared" si="71"/>
        <v>#REF!</v>
      </c>
      <c r="EP202" s="133" t="str">
        <f t="shared" si="135"/>
        <v>#REF!</v>
      </c>
      <c r="EQ202" s="134" t="str">
        <f t="shared" si="72"/>
        <v>#REF!</v>
      </c>
      <c r="ER202" s="134" t="str">
        <f t="shared" si="73"/>
        <v>#REF!</v>
      </c>
      <c r="ES202" s="135" t="str">
        <f>IF(ISNA(VLOOKUP(A202,'Données projet (1)'!$A$191:$I$211,5,0)),0%,VLOOKUP(A202,'Données projet (1)'!$A$191:$I$211,5,0)*VLOOKUP('Données projet (1)'!$B$15,'Paramètres (1)'!$A$1:$I$88,7,0))</f>
        <v>#REF!</v>
      </c>
      <c r="ET202" s="135" t="str">
        <f>IF(ISNA(VLOOKUP(A202,'Données projet (1)'!$A$191:$I$211,6,0)),0%,VLOOKUP(A202,'Données projet (1)'!$A$191:$I$211,6,0)*VLOOKUP('Données projet (1)'!$B$15,'Paramètres (1)'!$A$1:$I$88,7,0))</f>
        <v>#REF!</v>
      </c>
      <c r="EU202" s="135" t="str">
        <f t="shared" si="74"/>
        <v>#REF!</v>
      </c>
      <c r="EV202" s="142" t="str">
        <f>EXP(-LN(2)/35)*EV201+(1-EXP(-LN(2)/35))/(LN(2)/35)*ER202*ES202*VLOOKUP('Données projet (1)'!$B$15,'Paramètres (1)'!$A$1:$I$88,3,0)*0.475*44/12</f>
        <v>#REF!</v>
      </c>
      <c r="EW202" s="142" t="str">
        <f>EXP(-LN(2)/25)*EW201+(1-EXP(-LN(2)/25))/(LN(2)/25)*'Calculateur (1)'!ER202*'Calculateur (1)'!ET202*VLOOKUP('Données projet (1)'!$B$15,'Paramètres (1)'!$A$1:$I$88,3,0)*0.475*44/12</f>
        <v>#REF!</v>
      </c>
      <c r="EX202" s="142" t="str">
        <f>EXP(-LN(2)/2)*EX201+(1-EXP(-LN(2)/2))/(LN(2)/2)*ER202*EU202*VLOOKUP('Données projet (1)'!$B$15,'Paramètres (1)'!$A$1:$I$88,3,0)*0.475*44/12</f>
        <v>#REF!</v>
      </c>
      <c r="EY202" s="143" t="str">
        <f t="shared" si="75"/>
        <v>#REF!</v>
      </c>
      <c r="EZ202" s="139" t="str">
        <f t="shared" si="76"/>
        <v>#REF!</v>
      </c>
      <c r="FA202" s="131">
        <f t="shared" si="77"/>
        <v>10</v>
      </c>
      <c r="FB202" s="131" t="str">
        <f t="shared" si="136"/>
        <v>#REF!</v>
      </c>
      <c r="FC202" s="131" t="str">
        <f t="shared" si="78"/>
        <v>#REF!</v>
      </c>
      <c r="FD202" s="131" t="str">
        <f t="array" ref="FD202">INDEX(FC:FC,MIN(IF(ISNUMBER(FC202:FC398),ROW(FC202:FC398),"")))</f>
        <v/>
      </c>
      <c r="FE202" s="131" t="str">
        <f t="shared" si="137"/>
        <v>#REF!</v>
      </c>
      <c r="FF202" s="138" t="str">
        <f>FE202*VLOOKUP('Données projet (1)'!$B$16,'Paramètres (1)'!$A$1:$I$88,3,0)*VLOOKUP('Données projet (1)'!$B$16,'Paramètres (1)'!$A$1:$I$88,5,0)</f>
        <v>#REF!</v>
      </c>
      <c r="FG202" s="130" t="str">
        <f t="shared" si="138"/>
        <v>#REF!</v>
      </c>
      <c r="FH202" s="141" t="str">
        <f t="shared" si="79"/>
        <v>#REF!</v>
      </c>
      <c r="FI202" s="133" t="str">
        <f t="shared" si="80"/>
        <v>#REF!</v>
      </c>
      <c r="FJ202" s="133" t="str">
        <f t="shared" si="81"/>
        <v>#REF!</v>
      </c>
      <c r="FK202" s="133" t="str">
        <f t="shared" si="139"/>
        <v>#REF!</v>
      </c>
      <c r="FL202" s="134" t="str">
        <f t="shared" si="82"/>
        <v>#REF!</v>
      </c>
      <c r="FM202" s="134" t="str">
        <f t="shared" si="83"/>
        <v>#REF!</v>
      </c>
      <c r="FN202" s="135" t="str">
        <f>IF(ISNA(VLOOKUP(A202,'Données projet (1)'!$A$217:$I$237,5,0)),0%,VLOOKUP(A202,'Données projet (1)'!$A$217:$I$237,5,0)*VLOOKUP('Données projet (1)'!$B$16,'Paramètres (1)'!$A$1:$I$88,7,0))</f>
        <v>#REF!</v>
      </c>
      <c r="FO202" s="135" t="str">
        <f>IF(ISNA(VLOOKUP(A202,'Données projet (1)'!$A$217:$I$237,6,0)),0%,VLOOKUP(A202,'Données projet (1)'!$A$217:$I$237,6,0)*VLOOKUP('Données projet (1)'!$B$16,'Paramètres (1)'!$A$1:$I$88,7,0))</f>
        <v>#REF!</v>
      </c>
      <c r="FP202" s="135" t="str">
        <f t="shared" si="84"/>
        <v>#REF!</v>
      </c>
      <c r="FQ202" s="142" t="str">
        <f>EXP(-LN(2)/35)*FQ201+(1-EXP(-LN(2)/35))/(LN(2)/35)*FM202*FN202*VLOOKUP('Données projet (1)'!$B$16,'Paramètres (1)'!$A$1:$I$88,3,0)*0.475*44/12</f>
        <v>#REF!</v>
      </c>
      <c r="FR202" s="142" t="str">
        <f>EXP(-LN(2)/25)*FR201+(1-EXP(-LN(2)/25))/(LN(2)/25)*'Calculateur (1)'!FM202*'Calculateur (1)'!FO202*VLOOKUP('Données projet (1)'!$B$16,'Paramètres (1)'!$A$1:$I$88,3,0)*0.475*44/12</f>
        <v>#REF!</v>
      </c>
      <c r="FS202" s="142" t="str">
        <f>EXP(-LN(2)/2)*FS201+(1-EXP(-LN(2)/2))/(LN(2)/2)*FM202*FP202*VLOOKUP('Données projet (1)'!$B$16,'Paramètres (1)'!$A$1:$I$88,3,0)*0.475*44/12</f>
        <v>#REF!</v>
      </c>
      <c r="FT202" s="143" t="str">
        <f t="shared" si="85"/>
        <v>#REF!</v>
      </c>
      <c r="FU202" s="139" t="str">
        <f t="shared" si="86"/>
        <v>#REF!</v>
      </c>
      <c r="FV202" s="131">
        <f t="shared" si="87"/>
        <v>10</v>
      </c>
      <c r="FW202" s="131" t="str">
        <f t="shared" si="140"/>
        <v>#REF!</v>
      </c>
      <c r="FX202" s="131" t="str">
        <f t="shared" si="88"/>
        <v>#REF!</v>
      </c>
      <c r="FY202" s="131" t="str">
        <f t="array" ref="FY202">INDEX(FX:FX,MIN(IF(ISNUMBER(FX202:FX398),ROW(FX202:FX398),"")))</f>
        <v/>
      </c>
      <c r="FZ202" s="131" t="str">
        <f t="shared" si="141"/>
        <v>#REF!</v>
      </c>
      <c r="GA202" s="138" t="str">
        <f>FZ202*VLOOKUP('Données projet (1)'!$B$17,'Paramètres (1)'!$A$1:$I$88,3,0)*VLOOKUP('Données projet (1)'!$B$17,'Paramètres (1)'!$A$1:$I$88,5,0)</f>
        <v>#REF!</v>
      </c>
      <c r="GB202" s="130" t="str">
        <f t="shared" si="142"/>
        <v>#REF!</v>
      </c>
      <c r="GC202" s="141" t="str">
        <f t="shared" si="89"/>
        <v>#REF!</v>
      </c>
      <c r="GD202" s="133" t="str">
        <f t="shared" si="90"/>
        <v>#REF!</v>
      </c>
      <c r="GE202" s="133" t="str">
        <f t="shared" si="91"/>
        <v>#REF!</v>
      </c>
      <c r="GF202" s="133" t="str">
        <f t="shared" si="143"/>
        <v>#REF!</v>
      </c>
      <c r="GG202" s="134" t="str">
        <f t="shared" si="92"/>
        <v>#REF!</v>
      </c>
      <c r="GH202" s="134" t="str">
        <f t="shared" si="93"/>
        <v>#REF!</v>
      </c>
      <c r="GI202" s="135" t="str">
        <f>IF(ISNA(VLOOKUP(A202,'Données projet (1)'!$A$243:$I$263,5,0)),0%,VLOOKUP(A202,'Données projet (1)'!$A$243:$I$263,5,0)*VLOOKUP('Données projet (1)'!$B$17,'Paramètres (1)'!$A$1:$I$88,7,0))</f>
        <v>#REF!</v>
      </c>
      <c r="GJ202" s="135" t="str">
        <f>IF(ISNA(VLOOKUP(A202,'Données projet (1)'!$A$243:$I$263,6,0)),0%,VLOOKUP(A202,'Données projet (1)'!$A$243:$I$263,6,0)*VLOOKUP('Données projet (1)'!$B$17,'Paramètres (1)'!$A$1:$I$88,7,0))</f>
        <v>#REF!</v>
      </c>
      <c r="GK202" s="135" t="str">
        <f t="shared" si="94"/>
        <v>#REF!</v>
      </c>
      <c r="GL202" s="142" t="str">
        <f>EXP(-LN(2)/35)*GL201+(1-EXP(-LN(2)/35))/(LN(2)/35)*GH202*GI202*VLOOKUP('Données projet (1)'!$B$17,'Paramètres (1)'!$A$1:$I$88,3,0)*0.475*44/12</f>
        <v>#REF!</v>
      </c>
      <c r="GM202" s="142" t="str">
        <f>EXP(-LN(2)/25)*GM201+(1-EXP(-LN(2)/25))/(LN(2)/25)*'Calculateur (1)'!GH202*'Calculateur (1)'!GJ202*VLOOKUP('Données projet (1)'!$B$17,'Paramètres (1)'!$A$1:$I$88,3,0)*0.475*44/12</f>
        <v>#REF!</v>
      </c>
      <c r="GN202" s="142" t="str">
        <f>EXP(-LN(2)/2)*GN201+(1-EXP(-LN(2)/2))/(LN(2)/2)*GH202*GK202*VLOOKUP('Données projet (1)'!$B$17,'Paramètres (1)'!$A$1:$I$88,3,0)*0.475*44/12</f>
        <v>#REF!</v>
      </c>
      <c r="GO202" s="142" t="str">
        <f t="shared" si="95"/>
        <v>#REF!</v>
      </c>
      <c r="GP202" s="139" t="str">
        <f t="shared" si="96"/>
        <v>#REF!</v>
      </c>
      <c r="GQ202" s="131">
        <f t="shared" si="97"/>
        <v>10</v>
      </c>
      <c r="GR202" s="131" t="str">
        <f t="shared" si="144"/>
        <v>#REF!</v>
      </c>
      <c r="GS202" s="131" t="str">
        <f t="shared" si="98"/>
        <v>#REF!</v>
      </c>
      <c r="GT202" s="131" t="str">
        <f t="array" ref="GT202">INDEX(GS:GS,MIN(IF(ISNUMBER(GS202:GS398),ROW(GS202:GS398),"")))</f>
        <v/>
      </c>
      <c r="GU202" s="131" t="str">
        <f t="shared" si="145"/>
        <v>#REF!</v>
      </c>
      <c r="GV202" s="138" t="str">
        <f>GU202*VLOOKUP('Données projet (1)'!$B$18,'Paramètres (1)'!$A$1:$I$88,3,0)*VLOOKUP('Données projet (1)'!$B$18,'Paramètres (1)'!$A$1:$I$88,5,0)</f>
        <v>#REF!</v>
      </c>
      <c r="GW202" s="130" t="str">
        <f t="shared" si="146"/>
        <v>#REF!</v>
      </c>
      <c r="GX202" s="141" t="str">
        <f t="shared" si="99"/>
        <v>#REF!</v>
      </c>
      <c r="GY202" s="133" t="str">
        <f t="shared" si="100"/>
        <v>#REF!</v>
      </c>
      <c r="GZ202" s="133" t="str">
        <f t="shared" si="101"/>
        <v>#REF!</v>
      </c>
      <c r="HA202" s="133" t="str">
        <f t="shared" si="147"/>
        <v>#REF!</v>
      </c>
      <c r="HB202" s="134" t="str">
        <f t="shared" si="102"/>
        <v>#REF!</v>
      </c>
      <c r="HC202" s="134" t="str">
        <f t="shared" si="103"/>
        <v>#REF!</v>
      </c>
      <c r="HD202" s="135" t="str">
        <f>IF(ISNA(VLOOKUP(A202,'Données projet (1)'!$A$269:$I$289,5,0)),0%,VLOOKUP(A202,'Données projet (1)'!$A$269:$I$289,5,0)*VLOOKUP('Données projet (1)'!$B$18,'Paramètres (1)'!$A$1:$I$88,7,0))</f>
        <v>#REF!</v>
      </c>
      <c r="HE202" s="135" t="str">
        <f>IF(ISNA(VLOOKUP(A202,'Données projet (1)'!$A$269:$I$289,6,0)),0%,VLOOKUP(A202,'Données projet (1)'!$A$269:$I$289,6,0)*VLOOKUP('Données projet (1)'!$B$18,'Paramètres (1)'!$A$1:$I$88,7,0))</f>
        <v>#REF!</v>
      </c>
      <c r="HF202" s="135" t="str">
        <f t="shared" si="104"/>
        <v>#REF!</v>
      </c>
      <c r="HG202" s="142" t="str">
        <f>EXP(-LN(2)/35)*HG201+(1-EXP(-LN(2)/35))/(LN(2)/35)*HC202*HD202*VLOOKUP('Données projet (1)'!$B$18,'Paramètres (1)'!$A$1:$I$88,3,0)*0.475*44/12</f>
        <v>#REF!</v>
      </c>
      <c r="HH202" s="142" t="str">
        <f>EXP(-LN(2)/25)*HH201+(1-EXP(-LN(2)/25))/(LN(2)/25)*'Calculateur (1)'!HC202*'Calculateur (1)'!HE202*VLOOKUP('Données projet (1)'!$B$18,'Paramètres (1)'!$A$1:$I$88,3,0)*0.475*44/12</f>
        <v>#REF!</v>
      </c>
      <c r="HI202" s="142" t="str">
        <f>EXP(-LN(2)/2)*HI201+(1-EXP(-LN(2)/2))/(LN(2)/2)*HC202*HF202*VLOOKUP('Données projet (1)'!$B$18,'Paramètres (1)'!$A$1:$I$88,3,0)*0.475*44/12</f>
        <v>#REF!</v>
      </c>
      <c r="HJ202" s="143" t="str">
        <f t="shared" si="105"/>
        <v>#REF!</v>
      </c>
    </row>
    <row r="203" ht="14.25" customHeight="1">
      <c r="A203" s="125">
        <f t="shared" si="106"/>
        <v>200</v>
      </c>
      <c r="B203" s="126" t="str">
        <f t="shared" si="1"/>
        <v>#REF!</v>
      </c>
      <c r="C203" s="140" t="str">
        <f>'Calculateur (1)'!C202+'Scénario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3" s="127">
        <f t="shared" si="107"/>
        <v>0</v>
      </c>
      <c r="E203" s="127" t="str">
        <f t="shared" si="2"/>
        <v>#REF!</v>
      </c>
      <c r="F203" s="127" t="str">
        <f t="shared" si="3"/>
        <v>#REF!</v>
      </c>
      <c r="G203" s="127" t="str">
        <f t="shared" si="4"/>
        <v>#REF!</v>
      </c>
      <c r="H203" s="128" t="str">
        <f t="shared" si="5"/>
        <v>#REF!</v>
      </c>
      <c r="I203" s="129" t="str">
        <f t="shared" si="6"/>
        <v>#REF!</v>
      </c>
      <c r="J203" s="130">
        <f t="shared" si="7"/>
        <v>10</v>
      </c>
      <c r="K203" s="131" t="str">
        <f t="shared" si="108"/>
        <v>#REF!</v>
      </c>
      <c r="L203" s="131" t="str">
        <f t="shared" si="8"/>
        <v>#REF!</v>
      </c>
      <c r="M203" s="131" t="str">
        <f t="array" ref="M203">INDEX(L:L,MIN(IF(ISNUMBER(L203:L399),ROW(L203:L399),"")))</f>
        <v/>
      </c>
      <c r="N203" s="130" t="str">
        <f t="shared" si="109"/>
        <v>#REF!</v>
      </c>
      <c r="O203" s="130" t="str">
        <f>N203*VLOOKUP('Données projet (1)'!$B$9,'Paramètres (1)'!$A$1:$I$88,3,0)*VLOOKUP('Données projet (1)'!$B$9,'Paramètres (1)'!$A$1:$I$88,5,0)</f>
        <v>#REF!</v>
      </c>
      <c r="P203" s="130" t="str">
        <f t="shared" si="110"/>
        <v>#REF!</v>
      </c>
      <c r="Q203" s="141" t="str">
        <f t="shared" si="9"/>
        <v>#REF!</v>
      </c>
      <c r="R203" s="133" t="str">
        <f t="shared" si="10"/>
        <v>#REF!</v>
      </c>
      <c r="S203" s="133" t="str">
        <f t="shared" si="11"/>
        <v>#REF!</v>
      </c>
      <c r="T203" s="133" t="str">
        <f t="shared" si="111"/>
        <v>#REF!</v>
      </c>
      <c r="U203" s="134" t="str">
        <f t="shared" si="12"/>
        <v>#REF!</v>
      </c>
      <c r="V203" s="134" t="str">
        <f t="shared" si="13"/>
        <v>#REF!</v>
      </c>
      <c r="W203" s="135" t="str">
        <f>IF(ISNA(VLOOKUP(A203,'Données projet (1)'!$A$35:$I$55,5,0)),0%,VLOOKUP(A203,'Données projet (1)'!$A$35:$I$55,5,0)*VLOOKUP('Données projet (1)'!$B$9,'Paramètres (1)'!$A$1:$I$88,7,0))</f>
        <v>#REF!</v>
      </c>
      <c r="X203" s="135" t="str">
        <f>IF(ISNA(VLOOKUP(A203,'Données projet (1)'!$A$35:$I$55,6,0)),0%,VLOOKUP(A203,'Données projet (1)'!$A$35:$I$55,6,0)*VLOOKUP('Données projet (1)'!$B$9,'Paramètres (1)'!$A$1:$I$88,7,0))</f>
        <v>#REF!</v>
      </c>
      <c r="Y203" s="135" t="str">
        <f t="shared" si="14"/>
        <v>#REF!</v>
      </c>
      <c r="Z203" s="142" t="str">
        <f>EXP(-LN(2)/35)*Z202+(1-EXP(-LN(2)/35))/(LN(2)/35)*V203*W203*VLOOKUP('Données projet (1)'!$B$9,'Paramètres (1)'!$A$1:$I$88,3,0)*0.475*44/12</f>
        <v>#REF!</v>
      </c>
      <c r="AA203" s="142" t="str">
        <f>EXP(-LN(2)/25)*AA202+(1-EXP(-LN(2)/25))/(LN(2)/25)*'Calculateur (1)'!V203*'Calculateur (1)'!X203*VLOOKUP('Données projet (1)'!$B$9,'Paramètres (1)'!$A$1:$I$88,3,0)*0.475*44/12</f>
        <v>#REF!</v>
      </c>
      <c r="AB203" s="142" t="str">
        <f>EXP(-LN(2)/2)*AB202+(1-EXP(-LN(2)/2))/(LN(2)/2)*V203*Y203*VLOOKUP('Données projet (1)'!$B$9,'Paramètres (1)'!$A$1:$I$88,3,0)*0.475*44/12</f>
        <v>#REF!</v>
      </c>
      <c r="AC203" s="143" t="str">
        <f t="shared" si="15"/>
        <v>#REF!</v>
      </c>
      <c r="AD203" s="130" t="str">
        <f t="shared" si="16"/>
        <v>#REF!</v>
      </c>
      <c r="AE203" s="130">
        <f t="shared" si="17"/>
        <v>10</v>
      </c>
      <c r="AF203" s="131" t="str">
        <f t="shared" si="112"/>
        <v>#REF!</v>
      </c>
      <c r="AG203" s="131" t="str">
        <f t="shared" si="18"/>
        <v>#REF!</v>
      </c>
      <c r="AH203" s="131" t="str">
        <f t="array" ref="AH203">INDEX(AG:AG,MIN(IF(ISNUMBER(AG203:AG399),ROW(AG203:AG399),"")))</f>
        <v/>
      </c>
      <c r="AI203" s="130" t="str">
        <f t="shared" si="113"/>
        <v>#REF!</v>
      </c>
      <c r="AJ203" s="130" t="str">
        <f>AI203*VLOOKUP('Données projet (1)'!$B$10,'Paramètres (1)'!$A$1:$I$88,3,0)*VLOOKUP('Données projet (1)'!$B$10,'Paramètres (1)'!$A$1:$I$88,5,0)</f>
        <v>#REF!</v>
      </c>
      <c r="AK203" s="130" t="str">
        <f t="shared" si="114"/>
        <v>#REF!</v>
      </c>
      <c r="AL203" s="141" t="str">
        <f t="shared" si="19"/>
        <v>#REF!</v>
      </c>
      <c r="AM203" s="133" t="str">
        <f t="shared" si="20"/>
        <v>#REF!</v>
      </c>
      <c r="AN203" s="133" t="str">
        <f t="shared" si="21"/>
        <v>#REF!</v>
      </c>
      <c r="AO203" s="133" t="str">
        <f t="shared" si="115"/>
        <v>#REF!</v>
      </c>
      <c r="AP203" s="134" t="str">
        <f t="shared" si="22"/>
        <v>#REF!</v>
      </c>
      <c r="AQ203" s="134" t="str">
        <f t="shared" si="23"/>
        <v>#REF!</v>
      </c>
      <c r="AR203" s="135" t="str">
        <f>IF(ISNA(VLOOKUP(A203,'Données projet (1)'!$A$61:$I$81,5,0)),0%,VLOOKUP(A203,'Données projet (1)'!$A$61:$I$81,5,0)*VLOOKUP('Données projet (1)'!$B$10,'Paramètres (1)'!$A$1:$I$88,7,0))</f>
        <v>#REF!</v>
      </c>
      <c r="AS203" s="135" t="str">
        <f>IF(ISNA(VLOOKUP(A203,'Données projet (1)'!$A$61:$I$81,6,0)),0%,VLOOKUP(A203,'Données projet (1)'!$A$61:$I$81,6,0)*VLOOKUP('Données projet (1)'!$B$10,'Paramètres (1)'!$A$1:$I$88,7,0))</f>
        <v>#REF!</v>
      </c>
      <c r="AT203" s="135" t="str">
        <f t="shared" si="24"/>
        <v>#REF!</v>
      </c>
      <c r="AU203" s="142" t="str">
        <f>EXP(-LN(2)/35)*AU202+(1-EXP(-LN(2)/35))/(LN(2)/35)*AQ203*AR203*VLOOKUP('Données projet (1)'!$B$10,'Paramètres (1)'!$A$1:$I$88,3,0)*0.475*44/12</f>
        <v>#REF!</v>
      </c>
      <c r="AV203" s="142" t="str">
        <f>EXP(-LN(2)/25)*AV202+(1-EXP(-LN(2)/25))/(LN(2)/25)*'Calculateur (1)'!AQ203*'Calculateur (1)'!AS203*VLOOKUP('Données projet (1)'!$B$10,'Paramètres (1)'!$A$1:$I$88,3,0)*0.475*44/12</f>
        <v>#REF!</v>
      </c>
      <c r="AW203" s="142" t="str">
        <f>EXP(-LN(2)/2)*AW202+(1-EXP(-LN(2)/2))/(LN(2)/2)*AQ203*AT203*VLOOKUP('Données projet (1)'!$B$10,'Paramètres (1)'!$A$1:$I$88,3,0)*0.475*44/12</f>
        <v>#REF!</v>
      </c>
      <c r="AX203" s="142" t="str">
        <f t="shared" si="25"/>
        <v>#REF!</v>
      </c>
      <c r="AY203" s="137" t="str">
        <f t="shared" si="26"/>
        <v>#REF!</v>
      </c>
      <c r="AZ203" s="131">
        <f t="shared" si="27"/>
        <v>10</v>
      </c>
      <c r="BA203" s="131" t="str">
        <f t="shared" si="116"/>
        <v>#REF!</v>
      </c>
      <c r="BB203" s="131" t="str">
        <f t="shared" si="28"/>
        <v>#REF!</v>
      </c>
      <c r="BC203" s="131" t="str">
        <f t="array" ref="BC203">INDEX(BB:BB,MIN(IF(ISNUMBER(BB203:BB399),ROW(BB203:BB399),"")))</f>
        <v/>
      </c>
      <c r="BD203" s="131" t="str">
        <f t="shared" si="117"/>
        <v>#REF!</v>
      </c>
      <c r="BE203" s="130" t="str">
        <f>BD203*VLOOKUP('Données projet (1)'!$B$11,'Paramètres (1)'!$A$1:$I$88,3,0)*VLOOKUP('Données projet (1)'!$B$11,'Paramètres (1)'!$A$1:$I$88,5,0)</f>
        <v>#REF!</v>
      </c>
      <c r="BF203" s="130" t="str">
        <f t="shared" si="118"/>
        <v>#REF!</v>
      </c>
      <c r="BG203" s="141" t="str">
        <f t="shared" si="29"/>
        <v>#REF!</v>
      </c>
      <c r="BH203" s="133" t="str">
        <f t="shared" si="30"/>
        <v>#REF!</v>
      </c>
      <c r="BI203" s="133" t="str">
        <f t="shared" si="31"/>
        <v>#REF!</v>
      </c>
      <c r="BJ203" s="133" t="str">
        <f t="shared" si="119"/>
        <v>#REF!</v>
      </c>
      <c r="BK203" s="134" t="str">
        <f t="shared" si="32"/>
        <v>#REF!</v>
      </c>
      <c r="BL203" s="134" t="str">
        <f t="shared" si="33"/>
        <v>#REF!</v>
      </c>
      <c r="BM203" s="135" t="str">
        <f>IF(ISNA(VLOOKUP(A203,'Données projet (1)'!$A$87:$I$107,5,0)),0%,VLOOKUP(A203,'Données projet (1)'!$A$87:$I$107,5,0)*VLOOKUP('Données projet (1)'!$B$11,'Paramètres (1)'!$A$1:$I$88,7,0))</f>
        <v>#REF!</v>
      </c>
      <c r="BN203" s="135" t="str">
        <f>IF(ISNA(VLOOKUP(A203,'Données projet (1)'!$A$87:$I$107,6,0)),0%,VLOOKUP(A203,'Données projet (1)'!$A$87:$I$107,6,0)*VLOOKUP('Données projet (1)'!$B$11,'Paramètres (1)'!$A$1:$I$88,7,0))</f>
        <v>#REF!</v>
      </c>
      <c r="BO203" s="135" t="str">
        <f t="shared" si="34"/>
        <v>#REF!</v>
      </c>
      <c r="BP203" s="142" t="str">
        <f>EXP(-LN(2)/35)*BP202+(1-EXP(-LN(2)/35))/(LN(2)/35)*BL203*BM203*VLOOKUP('Données projet (1)'!$B$11,'Paramètres (1)'!$A$1:$I$88,3,0)*0.475*44/12</f>
        <v>#REF!</v>
      </c>
      <c r="BQ203" s="142" t="str">
        <f>EXP(-LN(2)/25)*BQ202+(1-EXP(-LN(2)/25))/(LN(2)/25)*'Calculateur (1)'!BL203*'Calculateur (1)'!BN203*VLOOKUP('Données projet (1)'!$B$11,'Paramètres (1)'!$A$1:$I$88,3,0)*0.475*44/12</f>
        <v>#REF!</v>
      </c>
      <c r="BR203" s="142" t="str">
        <f>EXP(-LN(2)/2)*BR202+(1-EXP(-LN(2)/2))/(LN(2)/2)*BL203*BO203*VLOOKUP('Données projet (1)'!$B$11,'Paramètres (1)'!$A$1:$I$88,3,0)*0.475*44/12</f>
        <v>#REF!</v>
      </c>
      <c r="BS203" s="143" t="str">
        <f t="shared" si="35"/>
        <v>#REF!</v>
      </c>
      <c r="BT203" s="139" t="str">
        <f t="shared" si="36"/>
        <v>#REF!</v>
      </c>
      <c r="BU203" s="131">
        <f t="shared" si="37"/>
        <v>10</v>
      </c>
      <c r="BV203" s="131" t="str">
        <f t="shared" si="120"/>
        <v>#REF!</v>
      </c>
      <c r="BW203" s="131" t="str">
        <f t="shared" si="38"/>
        <v>#REF!</v>
      </c>
      <c r="BX203" s="131" t="str">
        <f t="array" ref="BX203">INDEX(BW:BW,MIN(IF(ISNUMBER(BW203:BW399),ROW(BW203:BW399),"")))</f>
        <v/>
      </c>
      <c r="BY203" s="131" t="str">
        <f t="shared" si="121"/>
        <v>#REF!</v>
      </c>
      <c r="BZ203" s="130" t="str">
        <f>BY203*VLOOKUP('Données projet (1)'!$B$12,'Paramètres (1)'!$A$1:$I$88,3,0)*VLOOKUP('Données projet (1)'!$B$12,'Paramètres (1)'!$A$1:$I$88,5,0)</f>
        <v>#REF!</v>
      </c>
      <c r="CA203" s="130" t="str">
        <f t="shared" si="122"/>
        <v>#REF!</v>
      </c>
      <c r="CB203" s="141" t="str">
        <f t="shared" si="39"/>
        <v>#REF!</v>
      </c>
      <c r="CC203" s="133" t="str">
        <f t="shared" si="40"/>
        <v>#REF!</v>
      </c>
      <c r="CD203" s="133" t="str">
        <f t="shared" si="41"/>
        <v>#REF!</v>
      </c>
      <c r="CE203" s="133" t="str">
        <f t="shared" si="123"/>
        <v>#REF!</v>
      </c>
      <c r="CF203" s="134" t="str">
        <f t="shared" si="42"/>
        <v>#REF!</v>
      </c>
      <c r="CG203" s="134" t="str">
        <f t="shared" si="43"/>
        <v>#REF!</v>
      </c>
      <c r="CH203" s="135" t="str">
        <f>IF(ISNA(VLOOKUP(A203,'Données projet (1)'!$A$113:$I$133,5,0)),0%,VLOOKUP(A203,'Données projet (1)'!$A$113:$I$133,5,0)*VLOOKUP('Données projet (1)'!$B$12,'Paramètres (1)'!$A$1:$I$88,7,0))</f>
        <v>#REF!</v>
      </c>
      <c r="CI203" s="135" t="str">
        <f>IF(ISNA(VLOOKUP(A203,'Données projet (1)'!$A$113:$I$133,6,0)),0%,VLOOKUP(A203,'Données projet (1)'!$A$113:$I$133,6,0)*VLOOKUP('Données projet (1)'!$B$12,'Paramètres (1)'!$A$1:$I$88,7,0))</f>
        <v>#REF!</v>
      </c>
      <c r="CJ203" s="135" t="str">
        <f t="shared" si="44"/>
        <v>#REF!</v>
      </c>
      <c r="CK203" s="142" t="str">
        <f>EXP(-LN(2)/35)*CK202+(1-EXP(-LN(2)/35))/(LN(2)/35)*CG203*CH203*VLOOKUP('Données projet (1)'!$B$12,'Paramètres (1)'!$A$1:$I$88,3,0)*0.475*44/12</f>
        <v>#REF!</v>
      </c>
      <c r="CL203" s="142" t="str">
        <f>EXP(-LN(2)/25)*CL202+(1-EXP(-LN(2)/25))/(LN(2)/25)*'Calculateur (1)'!CG203*'Calculateur (1)'!CI203*VLOOKUP('Données projet (1)'!$B$12,'Paramètres (1)'!$A$1:$I$88,3,0)*0.475*44/12</f>
        <v>#REF!</v>
      </c>
      <c r="CM203" s="142" t="str">
        <f>EXP(-LN(2)/2)*CM202+(1-EXP(-LN(2)/2))/(LN(2)/2)*CG203*CJ203*VLOOKUP('Données projet (1)'!$B$12,'Paramètres (1)'!$A$1:$I$88,3,0)*0.475*44/12</f>
        <v>#REF!</v>
      </c>
      <c r="CN203" s="143" t="str">
        <f t="shared" si="45"/>
        <v>#REF!</v>
      </c>
      <c r="CO203" s="139" t="str">
        <f t="shared" si="46"/>
        <v>#REF!</v>
      </c>
      <c r="CP203" s="131">
        <f t="shared" si="47"/>
        <v>10</v>
      </c>
      <c r="CQ203" s="131" t="str">
        <f t="shared" si="124"/>
        <v>#REF!</v>
      </c>
      <c r="CR203" s="131" t="str">
        <f t="shared" si="48"/>
        <v>#REF!</v>
      </c>
      <c r="CS203" s="131" t="str">
        <f t="array" ref="CS203">INDEX(CR:CR,MIN(IF(ISNUMBER(CR203:CR399),ROW(CR203:CR399),"")))</f>
        <v/>
      </c>
      <c r="CT203" s="131" t="str">
        <f t="shared" si="125"/>
        <v>#REF!</v>
      </c>
      <c r="CU203" s="138" t="str">
        <f>CT203*VLOOKUP('Données projet (1)'!$B$13,'Paramètres (1)'!$A$1:$I$88,3,0)*VLOOKUP('Données projet (1)'!$B$13,'Paramètres (1)'!$A$1:$I$88,5,0)</f>
        <v>#REF!</v>
      </c>
      <c r="CV203" s="130" t="str">
        <f t="shared" si="126"/>
        <v>#REF!</v>
      </c>
      <c r="CW203" s="141" t="str">
        <f t="shared" si="49"/>
        <v>#REF!</v>
      </c>
      <c r="CX203" s="133" t="str">
        <f t="shared" si="50"/>
        <v>#REF!</v>
      </c>
      <c r="CY203" s="133" t="str">
        <f t="shared" si="51"/>
        <v>#REF!</v>
      </c>
      <c r="CZ203" s="133" t="str">
        <f t="shared" si="127"/>
        <v>#REF!</v>
      </c>
      <c r="DA203" s="134" t="str">
        <f t="shared" si="52"/>
        <v>#REF!</v>
      </c>
      <c r="DB203" s="134" t="str">
        <f t="shared" si="53"/>
        <v>#REF!</v>
      </c>
      <c r="DC203" s="135" t="str">
        <f>IF(ISNA(VLOOKUP(A203,'Données projet (1)'!$A$139:$I$159,5,0)),0%,VLOOKUP(A203,'Données projet (1)'!$A$139:$I$159,5,0)*VLOOKUP('Données projet (1)'!$B$13,'Paramètres (1)'!$A$1:$I$88,7,0))</f>
        <v>#REF!</v>
      </c>
      <c r="DD203" s="135" t="str">
        <f>IF(ISNA(VLOOKUP(A203,'Données projet (1)'!$A$139:$I$159,6,0)),0%,VLOOKUP(A203,'Données projet (1)'!$A$139:$I$159,6,0)*VLOOKUP('Données projet (1)'!$B$13,'Paramètres (1)'!$A$1:$I$88,7,0))</f>
        <v>#REF!</v>
      </c>
      <c r="DE203" s="135" t="str">
        <f t="shared" si="54"/>
        <v>#REF!</v>
      </c>
      <c r="DF203" s="142" t="str">
        <f>EXP(-LN(2)/35)*DF202+(1-EXP(-LN(2)/35))/(LN(2)/35)*DB203*DC203*VLOOKUP('Données projet (1)'!$B$13,'Paramètres (1)'!$A$1:$I$88,3,0)*0.475*44/12</f>
        <v>#REF!</v>
      </c>
      <c r="DG203" s="142" t="str">
        <f>EXP(-LN(2)/25)*DG202+(1-EXP(-LN(2)/25))/(LN(2)/25)*'Calculateur (1)'!DB203*'Calculateur (1)'!DD203*VLOOKUP('Données projet (1)'!$B$13,'Paramètres (1)'!$A$1:$I$88,3,0)*0.475*44/12</f>
        <v>#REF!</v>
      </c>
      <c r="DH203" s="142" t="str">
        <f>EXP(-LN(2)/2)*DH202+(1-EXP(-LN(2)/2))/(LN(2)/2)*DB203*DE203*VLOOKUP('Données projet (1)'!$B$13,'Paramètres (1)'!$A$1:$I$88,3,0)*0.475*44/12</f>
        <v>#REF!</v>
      </c>
      <c r="DI203" s="143" t="str">
        <f t="shared" si="55"/>
        <v>#REF!</v>
      </c>
      <c r="DJ203" s="139" t="str">
        <f t="shared" si="56"/>
        <v>#REF!</v>
      </c>
      <c r="DK203" s="131">
        <f t="shared" si="57"/>
        <v>10</v>
      </c>
      <c r="DL203" s="131" t="str">
        <f t="shared" si="128"/>
        <v>#REF!</v>
      </c>
      <c r="DM203" s="131" t="str">
        <f t="shared" si="58"/>
        <v>#REF!</v>
      </c>
      <c r="DN203" s="131" t="str">
        <f t="array" ref="DN203">INDEX(DM:DM,MIN(IF(ISNUMBER(DM203:DM399),ROW(DM203:DM399),"")))</f>
        <v/>
      </c>
      <c r="DO203" s="131" t="str">
        <f t="shared" si="129"/>
        <v>#REF!</v>
      </c>
      <c r="DP203" s="138" t="str">
        <f>DO203*VLOOKUP('Données projet (1)'!$B$14,'Paramètres (1)'!$A$1:$I$88,3,0)*VLOOKUP('Données projet (1)'!$B$14,'Paramètres (1)'!$A$1:$I$88,5,0)</f>
        <v>#REF!</v>
      </c>
      <c r="DQ203" s="130" t="str">
        <f t="shared" si="130"/>
        <v>#REF!</v>
      </c>
      <c r="DR203" s="141" t="str">
        <f t="shared" si="59"/>
        <v>#REF!</v>
      </c>
      <c r="DS203" s="133" t="str">
        <f t="shared" si="60"/>
        <v>#REF!</v>
      </c>
      <c r="DT203" s="133" t="str">
        <f t="shared" si="61"/>
        <v>#REF!</v>
      </c>
      <c r="DU203" s="133" t="str">
        <f t="shared" si="131"/>
        <v>#REF!</v>
      </c>
      <c r="DV203" s="134" t="str">
        <f t="shared" si="62"/>
        <v>#REF!</v>
      </c>
      <c r="DW203" s="134" t="str">
        <f t="shared" si="63"/>
        <v>#REF!</v>
      </c>
      <c r="DX203" s="135" t="str">
        <f>IF(ISNA(VLOOKUP(A203,'Données projet (1)'!$A$165:$I$185,5,0)),0%,VLOOKUP(A203,'Données projet (1)'!$A$165:$I$185,5,0)*VLOOKUP('Données projet (1)'!$B$14,'Paramètres (1)'!$A$1:$I$88,7,0))</f>
        <v>#REF!</v>
      </c>
      <c r="DY203" s="135" t="str">
        <f>IF(ISNA(VLOOKUP(A203,'Données projet (1)'!$A$165:$I$185,6,0)),0%,VLOOKUP(A203,'Données projet (1)'!$A$165:$I$185,6,0)*VLOOKUP('Données projet (1)'!$B$14,'Paramètres (1)'!$A$1:$I$88,7,0))</f>
        <v>#REF!</v>
      </c>
      <c r="DZ203" s="135" t="str">
        <f t="shared" si="64"/>
        <v>#REF!</v>
      </c>
      <c r="EA203" s="142" t="str">
        <f>EXP(-LN(2)/35)*EA202+(1-EXP(-LN(2)/35))/(LN(2)/35)*DW203*DX203*VLOOKUP('Données projet (1)'!$B$14,'Paramètres (1)'!$A$1:$I$88,3,0)*0.475*44/12</f>
        <v>#REF!</v>
      </c>
      <c r="EB203" s="142" t="str">
        <f>EXP(-LN(2)/25)*EB202+(1-EXP(-LN(2)/25))/(LN(2)/25)*'Calculateur (1)'!DW203*'Calculateur (1)'!DY203*VLOOKUP('Données projet (1)'!$B$14,'Paramètres (1)'!$A$1:$I$88,3,0)*0.475*44/12</f>
        <v>#REF!</v>
      </c>
      <c r="EC203" s="142" t="str">
        <f>EXP(-LN(2)/2)*EC202+(1-EXP(-LN(2)/2))/(LN(2)/2)*DW203*DZ203*VLOOKUP('Données projet (1)'!$B$14,'Paramètres (1)'!$A$1:$I$88,3,0)*0.475*44/12</f>
        <v>#REF!</v>
      </c>
      <c r="ED203" s="143" t="str">
        <f t="shared" si="65"/>
        <v>#REF!</v>
      </c>
      <c r="EE203" s="139" t="str">
        <f t="shared" si="66"/>
        <v>#REF!</v>
      </c>
      <c r="EF203" s="131">
        <f t="shared" si="67"/>
        <v>10</v>
      </c>
      <c r="EG203" s="131" t="str">
        <f t="shared" si="132"/>
        <v>#REF!</v>
      </c>
      <c r="EH203" s="131" t="str">
        <f t="shared" si="68"/>
        <v>#REF!</v>
      </c>
      <c r="EI203" s="131" t="str">
        <f t="array" ref="EI203">INDEX(EH:EH,MIN(IF(ISNUMBER(EH203:EH399),ROW(EH203:EH399),"")))</f>
        <v/>
      </c>
      <c r="EJ203" s="131" t="str">
        <f t="shared" si="133"/>
        <v>#REF!</v>
      </c>
      <c r="EK203" s="138" t="str">
        <f>EJ203*VLOOKUP('Données projet (1)'!$B$15,'Paramètres (1)'!$A$1:$I$88,3,0)*VLOOKUP('Données projet (1)'!$B$15,'Paramètres (1)'!$A$1:$I$88,5,0)</f>
        <v>#REF!</v>
      </c>
      <c r="EL203" s="130" t="str">
        <f t="shared" si="134"/>
        <v>#REF!</v>
      </c>
      <c r="EM203" s="141" t="str">
        <f t="shared" si="69"/>
        <v>#REF!</v>
      </c>
      <c r="EN203" s="133" t="str">
        <f t="shared" si="70"/>
        <v>#REF!</v>
      </c>
      <c r="EO203" s="133" t="str">
        <f t="shared" si="71"/>
        <v>#REF!</v>
      </c>
      <c r="EP203" s="133" t="str">
        <f t="shared" si="135"/>
        <v>#REF!</v>
      </c>
      <c r="EQ203" s="134" t="str">
        <f t="shared" si="72"/>
        <v>#REF!</v>
      </c>
      <c r="ER203" s="134" t="str">
        <f t="shared" si="73"/>
        <v>#REF!</v>
      </c>
      <c r="ES203" s="135" t="str">
        <f>IF(ISNA(VLOOKUP(A203,'Données projet (1)'!$A$191:$I$211,5,0)),0%,VLOOKUP(A203,'Données projet (1)'!$A$191:$I$211,5,0)*VLOOKUP('Données projet (1)'!$B$15,'Paramètres (1)'!$A$1:$I$88,7,0))</f>
        <v>#REF!</v>
      </c>
      <c r="ET203" s="135" t="str">
        <f>IF(ISNA(VLOOKUP(A203,'Données projet (1)'!$A$191:$I$211,6,0)),0%,VLOOKUP(A203,'Données projet (1)'!$A$191:$I$211,6,0)*VLOOKUP('Données projet (1)'!$B$15,'Paramètres (1)'!$A$1:$I$88,7,0))</f>
        <v>#REF!</v>
      </c>
      <c r="EU203" s="135" t="str">
        <f t="shared" si="74"/>
        <v>#REF!</v>
      </c>
      <c r="EV203" s="142" t="str">
        <f>EXP(-LN(2)/35)*EV202+(1-EXP(-LN(2)/35))/(LN(2)/35)*ER203*ES203*VLOOKUP('Données projet (1)'!$B$15,'Paramètres (1)'!$A$1:$I$88,3,0)*0.475*44/12</f>
        <v>#REF!</v>
      </c>
      <c r="EW203" s="142" t="str">
        <f>EXP(-LN(2)/25)*EW202+(1-EXP(-LN(2)/25))/(LN(2)/25)*'Calculateur (1)'!ER203*'Calculateur (1)'!ET203*VLOOKUP('Données projet (1)'!$B$15,'Paramètres (1)'!$A$1:$I$88,3,0)*0.475*44/12</f>
        <v>#REF!</v>
      </c>
      <c r="EX203" s="142" t="str">
        <f>EXP(-LN(2)/2)*EX202+(1-EXP(-LN(2)/2))/(LN(2)/2)*ER203*EU203*VLOOKUP('Données projet (1)'!$B$15,'Paramètres (1)'!$A$1:$I$88,3,0)*0.475*44/12</f>
        <v>#REF!</v>
      </c>
      <c r="EY203" s="143" t="str">
        <f t="shared" si="75"/>
        <v>#REF!</v>
      </c>
      <c r="EZ203" s="139" t="str">
        <f t="shared" si="76"/>
        <v>#REF!</v>
      </c>
      <c r="FA203" s="131">
        <f t="shared" si="77"/>
        <v>10</v>
      </c>
      <c r="FB203" s="131" t="str">
        <f t="shared" si="136"/>
        <v>#REF!</v>
      </c>
      <c r="FC203" s="131" t="str">
        <f t="shared" si="78"/>
        <v>#REF!</v>
      </c>
      <c r="FD203" s="131" t="str">
        <f t="array" ref="FD203">INDEX(FC:FC,MIN(IF(ISNUMBER(FC203:FC399),ROW(FC203:FC399),"")))</f>
        <v/>
      </c>
      <c r="FE203" s="131" t="str">
        <f t="shared" si="137"/>
        <v>#REF!</v>
      </c>
      <c r="FF203" s="138" t="str">
        <f>FE203*VLOOKUP('Données projet (1)'!$B$16,'Paramètres (1)'!$A$1:$I$88,3,0)*VLOOKUP('Données projet (1)'!$B$16,'Paramètres (1)'!$A$1:$I$88,5,0)</f>
        <v>#REF!</v>
      </c>
      <c r="FG203" s="130" t="str">
        <f t="shared" si="138"/>
        <v>#REF!</v>
      </c>
      <c r="FH203" s="141" t="str">
        <f t="shared" si="79"/>
        <v>#REF!</v>
      </c>
      <c r="FI203" s="133" t="str">
        <f t="shared" si="80"/>
        <v>#REF!</v>
      </c>
      <c r="FJ203" s="133" t="str">
        <f t="shared" si="81"/>
        <v>#REF!</v>
      </c>
      <c r="FK203" s="133" t="str">
        <f t="shared" si="139"/>
        <v>#REF!</v>
      </c>
      <c r="FL203" s="134" t="str">
        <f t="shared" si="82"/>
        <v>#REF!</v>
      </c>
      <c r="FM203" s="134" t="str">
        <f t="shared" si="83"/>
        <v>#REF!</v>
      </c>
      <c r="FN203" s="135" t="str">
        <f>IF(ISNA(VLOOKUP(A203,'Données projet (1)'!$A$217:$I$237,5,0)),0%,VLOOKUP(A203,'Données projet (1)'!$A$217:$I$237,5,0)*VLOOKUP('Données projet (1)'!$B$16,'Paramètres (1)'!$A$1:$I$88,7,0))</f>
        <v>#REF!</v>
      </c>
      <c r="FO203" s="135" t="str">
        <f>IF(ISNA(VLOOKUP(A203,'Données projet (1)'!$A$217:$I$237,6,0)),0%,VLOOKUP(A203,'Données projet (1)'!$A$217:$I$237,6,0)*VLOOKUP('Données projet (1)'!$B$16,'Paramètres (1)'!$A$1:$I$88,7,0))</f>
        <v>#REF!</v>
      </c>
      <c r="FP203" s="135" t="str">
        <f t="shared" si="84"/>
        <v>#REF!</v>
      </c>
      <c r="FQ203" s="142" t="str">
        <f>EXP(-LN(2)/35)*FQ202+(1-EXP(-LN(2)/35))/(LN(2)/35)*FM203*FN203*VLOOKUP('Données projet (1)'!$B$16,'Paramètres (1)'!$A$1:$I$88,3,0)*0.475*44/12</f>
        <v>#REF!</v>
      </c>
      <c r="FR203" s="142" t="str">
        <f>EXP(-LN(2)/25)*FR202+(1-EXP(-LN(2)/25))/(LN(2)/25)*'Calculateur (1)'!FM203*'Calculateur (1)'!FO203*VLOOKUP('Données projet (1)'!$B$16,'Paramètres (1)'!$A$1:$I$88,3,0)*0.475*44/12</f>
        <v>#REF!</v>
      </c>
      <c r="FS203" s="142" t="str">
        <f>EXP(-LN(2)/2)*FS202+(1-EXP(-LN(2)/2))/(LN(2)/2)*FM203*FP203*VLOOKUP('Données projet (1)'!$B$16,'Paramètres (1)'!$A$1:$I$88,3,0)*0.475*44/12</f>
        <v>#REF!</v>
      </c>
      <c r="FT203" s="143" t="str">
        <f t="shared" si="85"/>
        <v>#REF!</v>
      </c>
      <c r="FU203" s="139" t="str">
        <f t="shared" si="86"/>
        <v>#REF!</v>
      </c>
      <c r="FV203" s="131">
        <f t="shared" si="87"/>
        <v>10</v>
      </c>
      <c r="FW203" s="131" t="str">
        <f t="shared" si="140"/>
        <v>#REF!</v>
      </c>
      <c r="FX203" s="131" t="str">
        <f t="shared" si="88"/>
        <v>#REF!</v>
      </c>
      <c r="FY203" s="131" t="str">
        <f t="array" ref="FY203">INDEX(FX:FX,MIN(IF(ISNUMBER(FX203:FX399),ROW(FX203:FX399),"")))</f>
        <v/>
      </c>
      <c r="FZ203" s="131" t="str">
        <f t="shared" si="141"/>
        <v>#REF!</v>
      </c>
      <c r="GA203" s="138" t="str">
        <f>FZ203*VLOOKUP('Données projet (1)'!$B$17,'Paramètres (1)'!$A$1:$I$88,3,0)*VLOOKUP('Données projet (1)'!$B$17,'Paramètres (1)'!$A$1:$I$88,5,0)</f>
        <v>#REF!</v>
      </c>
      <c r="GB203" s="130" t="str">
        <f t="shared" si="142"/>
        <v>#REF!</v>
      </c>
      <c r="GC203" s="141" t="str">
        <f t="shared" si="89"/>
        <v>#REF!</v>
      </c>
      <c r="GD203" s="133" t="str">
        <f t="shared" si="90"/>
        <v>#REF!</v>
      </c>
      <c r="GE203" s="133" t="str">
        <f t="shared" si="91"/>
        <v>#REF!</v>
      </c>
      <c r="GF203" s="133" t="str">
        <f t="shared" si="143"/>
        <v>#REF!</v>
      </c>
      <c r="GG203" s="134" t="str">
        <f t="shared" si="92"/>
        <v>#REF!</v>
      </c>
      <c r="GH203" s="134" t="str">
        <f t="shared" si="93"/>
        <v>#REF!</v>
      </c>
      <c r="GI203" s="135" t="str">
        <f>IF(ISNA(VLOOKUP(A203,'Données projet (1)'!$A$243:$I$263,5,0)),0%,VLOOKUP(A203,'Données projet (1)'!$A$243:$I$263,5,0)*VLOOKUP('Données projet (1)'!$B$17,'Paramètres (1)'!$A$1:$I$88,7,0))</f>
        <v>#REF!</v>
      </c>
      <c r="GJ203" s="135" t="str">
        <f>IF(ISNA(VLOOKUP(A203,'Données projet (1)'!$A$243:$I$263,6,0)),0%,VLOOKUP(A203,'Données projet (1)'!$A$243:$I$263,6,0)*VLOOKUP('Données projet (1)'!$B$17,'Paramètres (1)'!$A$1:$I$88,7,0))</f>
        <v>#REF!</v>
      </c>
      <c r="GK203" s="135" t="str">
        <f t="shared" si="94"/>
        <v>#REF!</v>
      </c>
      <c r="GL203" s="142" t="str">
        <f>EXP(-LN(2)/35)*GL202+(1-EXP(-LN(2)/35))/(LN(2)/35)*GH203*GI203*VLOOKUP('Données projet (1)'!$B$17,'Paramètres (1)'!$A$1:$I$88,3,0)*0.475*44/12</f>
        <v>#REF!</v>
      </c>
      <c r="GM203" s="142" t="str">
        <f>EXP(-LN(2)/25)*GM202+(1-EXP(-LN(2)/25))/(LN(2)/25)*'Calculateur (1)'!GH203*'Calculateur (1)'!GJ203*VLOOKUP('Données projet (1)'!$B$17,'Paramètres (1)'!$A$1:$I$88,3,0)*0.475*44/12</f>
        <v>#REF!</v>
      </c>
      <c r="GN203" s="142" t="str">
        <f>EXP(-LN(2)/2)*GN202+(1-EXP(-LN(2)/2))/(LN(2)/2)*GH203*GK203*VLOOKUP('Données projet (1)'!$B$17,'Paramètres (1)'!$A$1:$I$88,3,0)*0.475*44/12</f>
        <v>#REF!</v>
      </c>
      <c r="GO203" s="142" t="str">
        <f t="shared" si="95"/>
        <v>#REF!</v>
      </c>
      <c r="GP203" s="139" t="str">
        <f t="shared" si="96"/>
        <v>#REF!</v>
      </c>
      <c r="GQ203" s="131">
        <f t="shared" si="97"/>
        <v>10</v>
      </c>
      <c r="GR203" s="131" t="str">
        <f t="shared" si="144"/>
        <v>#REF!</v>
      </c>
      <c r="GS203" s="131" t="str">
        <f t="shared" si="98"/>
        <v>#REF!</v>
      </c>
      <c r="GT203" s="131" t="str">
        <f t="array" ref="GT203">INDEX(GS:GS,MIN(IF(ISNUMBER(GS203:GS399),ROW(GS203:GS399),"")))</f>
        <v/>
      </c>
      <c r="GU203" s="131" t="str">
        <f t="shared" si="145"/>
        <v>#REF!</v>
      </c>
      <c r="GV203" s="138" t="str">
        <f>GU203*VLOOKUP('Données projet (1)'!$B$18,'Paramètres (1)'!$A$1:$I$88,3,0)*VLOOKUP('Données projet (1)'!$B$18,'Paramètres (1)'!$A$1:$I$88,5,0)</f>
        <v>#REF!</v>
      </c>
      <c r="GW203" s="130" t="str">
        <f t="shared" si="146"/>
        <v>#REF!</v>
      </c>
      <c r="GX203" s="141" t="str">
        <f t="shared" si="99"/>
        <v>#REF!</v>
      </c>
      <c r="GY203" s="133" t="str">
        <f t="shared" si="100"/>
        <v>#REF!</v>
      </c>
      <c r="GZ203" s="133" t="str">
        <f t="shared" si="101"/>
        <v>#REF!</v>
      </c>
      <c r="HA203" s="133" t="str">
        <f t="shared" si="147"/>
        <v>#REF!</v>
      </c>
      <c r="HB203" s="134" t="str">
        <f t="shared" si="102"/>
        <v>#REF!</v>
      </c>
      <c r="HC203" s="134" t="str">
        <f t="shared" si="103"/>
        <v>#REF!</v>
      </c>
      <c r="HD203" s="135" t="str">
        <f>IF(ISNA(VLOOKUP(A203,'Données projet (1)'!$A$269:$I$289,5,0)),0%,VLOOKUP(A203,'Données projet (1)'!$A$269:$I$289,5,0)*VLOOKUP('Données projet (1)'!$B$18,'Paramètres (1)'!$A$1:$I$88,7,0))</f>
        <v>#REF!</v>
      </c>
      <c r="HE203" s="135" t="str">
        <f>IF(ISNA(VLOOKUP(A203,'Données projet (1)'!$A$269:$I$289,6,0)),0%,VLOOKUP(A203,'Données projet (1)'!$A$269:$I$289,6,0)*VLOOKUP('Données projet (1)'!$B$18,'Paramètres (1)'!$A$1:$I$88,7,0))</f>
        <v>#REF!</v>
      </c>
      <c r="HF203" s="135" t="str">
        <f t="shared" si="104"/>
        <v>#REF!</v>
      </c>
      <c r="HG203" s="142" t="str">
        <f>EXP(-LN(2)/35)*HG202+(1-EXP(-LN(2)/35))/(LN(2)/35)*HC203*HD203*VLOOKUP('Données projet (1)'!$B$18,'Paramètres (1)'!$A$1:$I$88,3,0)*0.475*44/12</f>
        <v>#REF!</v>
      </c>
      <c r="HH203" s="142" t="str">
        <f>EXP(-LN(2)/25)*HH202+(1-EXP(-LN(2)/25))/(LN(2)/25)*'Calculateur (1)'!HC203*'Calculateur (1)'!HE203*VLOOKUP('Données projet (1)'!$B$18,'Paramètres (1)'!$A$1:$I$88,3,0)*0.475*44/12</f>
        <v>#REF!</v>
      </c>
      <c r="HI203" s="142" t="str">
        <f>EXP(-LN(2)/2)*HI202+(1-EXP(-LN(2)/2))/(LN(2)/2)*HC203*HF203*VLOOKUP('Données projet (1)'!$B$18,'Paramètres (1)'!$A$1:$I$88,3,0)*0.475*44/12</f>
        <v>#REF!</v>
      </c>
      <c r="HJ203" s="143" t="str">
        <f t="shared" si="105"/>
        <v>#REF!</v>
      </c>
    </row>
    <row r="204" ht="14.25" customHeight="1">
      <c r="A204" s="9"/>
      <c r="B204" s="125"/>
      <c r="C204" s="147"/>
      <c r="D204" s="148"/>
      <c r="E204" s="148"/>
      <c r="F204" s="148"/>
      <c r="G204" s="127" t="str">
        <f t="shared" si="4"/>
        <v>#REF!</v>
      </c>
      <c r="H204" s="147"/>
      <c r="I204" s="147"/>
      <c r="J204" s="147"/>
      <c r="K204" s="149" t="s">
        <v>127</v>
      </c>
      <c r="L204" s="40"/>
      <c r="M204" s="40"/>
      <c r="N204" s="40"/>
      <c r="O204" s="147"/>
      <c r="P204" s="147"/>
      <c r="Q204" s="148"/>
      <c r="R204" s="150"/>
      <c r="S204" s="150"/>
      <c r="T204" s="150"/>
      <c r="U204" s="40"/>
      <c r="V204" s="40"/>
      <c r="W204" s="151"/>
      <c r="X204" s="151"/>
      <c r="Y204" s="151"/>
      <c r="Z204" s="147"/>
      <c r="AA204" s="147"/>
      <c r="AB204" s="147"/>
      <c r="AC204" s="147"/>
      <c r="AD204" s="147"/>
      <c r="AE204" s="147"/>
      <c r="AF204" s="152" t="s">
        <v>127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52" t="s">
        <v>127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52" t="s">
        <v>127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52" t="s">
        <v>127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52" t="s">
        <v>127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52" t="s">
        <v>127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52" t="s">
        <v>127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52" t="s">
        <v>127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52" t="s">
        <v>127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25"/>
      <c r="C205" s="147"/>
      <c r="D205" s="148"/>
      <c r="E205" s="148"/>
      <c r="F205" s="148"/>
      <c r="G205" s="127" t="str">
        <f t="shared" si="4"/>
        <v>#REF!</v>
      </c>
      <c r="H205" s="147"/>
      <c r="I205" s="147"/>
      <c r="J205" s="147"/>
      <c r="K205" s="153" t="str">
        <f>EXP(LN('Données projet (1)'!B36)/'Données projet (1)'!A36)</f>
        <v>#REF!</v>
      </c>
      <c r="L205" s="40"/>
      <c r="M205" s="40"/>
      <c r="N205" s="40"/>
      <c r="O205" s="147"/>
      <c r="P205" s="147"/>
      <c r="Q205" s="148"/>
      <c r="R205" s="150"/>
      <c r="S205" s="150"/>
      <c r="T205" s="150"/>
      <c r="U205" s="40"/>
      <c r="V205" s="40"/>
      <c r="W205" s="151"/>
      <c r="X205" s="151"/>
      <c r="Y205" s="151"/>
      <c r="Z205" s="147"/>
      <c r="AA205" s="147"/>
      <c r="AB205" s="147"/>
      <c r="AC205" s="147"/>
      <c r="AD205" s="147"/>
      <c r="AE205" s="147"/>
      <c r="AF205" s="154" t="str">
        <f>EXP(LN('Données projet (1)'!B62)/'Données projet (1)'!A62)</f>
        <v>#REF!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53" t="str">
        <f>EXP(LN('Données projet (1)'!B88)/'Données projet (1)'!A88)</f>
        <v>#REF!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53" t="str">
        <f>EXP(LN('Données projet (1)'!B114)/'Données projet (1)'!A114)</f>
        <v>#REF!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53" t="str">
        <f>EXP(LN('Données projet (1)'!B140)/'Données projet (1)'!A140)</f>
        <v>#REF!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53" t="str">
        <f>EXP(LN('Données projet (1)'!B166)/'Données projet (1)'!A166)</f>
        <v>#REF!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53" t="str">
        <f>EXP(LN('Données projet (1)'!B192)/'Données projet (1)'!A192)</f>
        <v>#REF!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53" t="str">
        <f>EXP(LN('Données projet (1)'!B218)/'Données projet (1)'!A218)</f>
        <v>#REF!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53" t="str">
        <f>EXP(LN('Données projet (1)'!B244)/'Données projet (1)'!A244)</f>
        <v>#REF!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53" t="str">
        <f>EXP(LN('Données projet (1)'!B270)/'Données projet (1)'!A270)</f>
        <v>#REF!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71"/>
    <col customWidth="1" min="4" max="4" width="40.0"/>
    <col customWidth="1" min="5" max="5" width="11.71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55" t="s">
        <v>128</v>
      </c>
      <c r="B1" s="156" t="s">
        <v>129</v>
      </c>
      <c r="C1" s="157" t="s">
        <v>352</v>
      </c>
      <c r="D1" s="156" t="s">
        <v>131</v>
      </c>
      <c r="E1" s="157" t="s">
        <v>132</v>
      </c>
      <c r="F1" s="157" t="s">
        <v>131</v>
      </c>
      <c r="G1" s="157" t="s">
        <v>133</v>
      </c>
      <c r="H1" s="157" t="s">
        <v>131</v>
      </c>
      <c r="I1" s="158" t="s">
        <v>353</v>
      </c>
      <c r="J1" s="40"/>
      <c r="K1" s="40"/>
      <c r="L1" s="40"/>
      <c r="M1" s="40"/>
      <c r="N1" s="40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59" t="s">
        <v>135</v>
      </c>
      <c r="B2" s="160" t="s">
        <v>136</v>
      </c>
      <c r="C2" s="161">
        <v>0.62</v>
      </c>
      <c r="D2" s="161" t="s">
        <v>137</v>
      </c>
      <c r="E2" s="161">
        <v>1.56</v>
      </c>
      <c r="F2" s="161" t="s">
        <v>138</v>
      </c>
      <c r="G2" s="162">
        <v>0.43</v>
      </c>
      <c r="H2" s="163" t="s">
        <v>139</v>
      </c>
      <c r="I2" s="164">
        <v>0.25</v>
      </c>
      <c r="J2" s="40"/>
      <c r="K2" s="40"/>
      <c r="L2" s="40"/>
      <c r="M2" s="40"/>
      <c r="N2" s="40"/>
      <c r="O2" s="165" t="s">
        <v>140</v>
      </c>
      <c r="P2" s="166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67" t="s">
        <v>141</v>
      </c>
      <c r="B3" s="168" t="s">
        <v>142</v>
      </c>
      <c r="C3" s="169">
        <v>0.64</v>
      </c>
      <c r="D3" s="169" t="s">
        <v>137</v>
      </c>
      <c r="E3" s="169">
        <v>1.56</v>
      </c>
      <c r="F3" s="170" t="s">
        <v>138</v>
      </c>
      <c r="G3" s="171">
        <v>0.43</v>
      </c>
      <c r="H3" s="169" t="s">
        <v>139</v>
      </c>
      <c r="I3" s="172">
        <v>0.25</v>
      </c>
      <c r="J3" s="40"/>
      <c r="K3" s="40"/>
      <c r="L3" s="40"/>
      <c r="M3" s="40"/>
      <c r="N3" s="40"/>
      <c r="O3" s="173"/>
      <c r="P3" s="174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67" t="s">
        <v>143</v>
      </c>
      <c r="B4" s="168" t="s">
        <v>144</v>
      </c>
      <c r="C4" s="169">
        <v>0.42</v>
      </c>
      <c r="D4" s="169" t="s">
        <v>137</v>
      </c>
      <c r="E4" s="169">
        <v>1.56</v>
      </c>
      <c r="F4" s="170" t="s">
        <v>138</v>
      </c>
      <c r="G4" s="171">
        <v>0.43</v>
      </c>
      <c r="H4" s="169" t="s">
        <v>139</v>
      </c>
      <c r="I4" s="172">
        <v>0.25</v>
      </c>
      <c r="J4" s="40"/>
      <c r="K4" s="40"/>
      <c r="L4" s="40"/>
      <c r="M4" s="40"/>
      <c r="N4" s="40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67" t="s">
        <v>145</v>
      </c>
      <c r="B5" s="168" t="s">
        <v>146</v>
      </c>
      <c r="C5" s="169">
        <v>0.42</v>
      </c>
      <c r="D5" s="169" t="s">
        <v>137</v>
      </c>
      <c r="E5" s="169">
        <v>1.56</v>
      </c>
      <c r="F5" s="170" t="s">
        <v>138</v>
      </c>
      <c r="G5" s="171">
        <v>0.43</v>
      </c>
      <c r="H5" s="169" t="s">
        <v>139</v>
      </c>
      <c r="I5" s="172">
        <v>0.25</v>
      </c>
      <c r="J5" s="40"/>
      <c r="K5" s="40"/>
      <c r="L5" s="40"/>
      <c r="M5" s="40"/>
      <c r="N5" s="40"/>
      <c r="O5" s="165" t="s">
        <v>147</v>
      </c>
      <c r="P5" s="166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67" t="s">
        <v>148</v>
      </c>
      <c r="B6" s="168" t="s">
        <v>149</v>
      </c>
      <c r="C6" s="169">
        <v>0.42</v>
      </c>
      <c r="D6" s="169" t="s">
        <v>137</v>
      </c>
      <c r="E6" s="169">
        <v>1.56</v>
      </c>
      <c r="F6" s="170" t="s">
        <v>138</v>
      </c>
      <c r="G6" s="171">
        <v>0.43</v>
      </c>
      <c r="H6" s="169" t="s">
        <v>139</v>
      </c>
      <c r="I6" s="172">
        <v>0.25</v>
      </c>
      <c r="J6" s="40"/>
      <c r="K6" s="40"/>
      <c r="L6" s="40"/>
      <c r="M6" s="40"/>
      <c r="N6" s="40"/>
      <c r="O6" s="175"/>
      <c r="P6" s="176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67" t="s">
        <v>150</v>
      </c>
      <c r="B7" s="168" t="s">
        <v>151</v>
      </c>
      <c r="C7" s="169">
        <v>0.52</v>
      </c>
      <c r="D7" s="169" t="s">
        <v>137</v>
      </c>
      <c r="E7" s="169">
        <v>1.56</v>
      </c>
      <c r="F7" s="170" t="s">
        <v>138</v>
      </c>
      <c r="G7" s="171">
        <v>0.43</v>
      </c>
      <c r="H7" s="169" t="s">
        <v>139</v>
      </c>
      <c r="I7" s="172">
        <v>0.25</v>
      </c>
      <c r="J7" s="40"/>
      <c r="K7" s="40"/>
      <c r="L7" s="40"/>
      <c r="M7" s="40"/>
      <c r="N7" s="40"/>
      <c r="O7" s="175"/>
      <c r="P7" s="176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67" t="s">
        <v>21</v>
      </c>
      <c r="B8" s="168" t="s">
        <v>152</v>
      </c>
      <c r="C8" s="169">
        <v>0.36</v>
      </c>
      <c r="D8" s="169" t="s">
        <v>137</v>
      </c>
      <c r="E8" s="169">
        <v>1.3</v>
      </c>
      <c r="F8" s="170" t="s">
        <v>138</v>
      </c>
      <c r="G8" s="171">
        <v>0.55</v>
      </c>
      <c r="H8" s="169" t="s">
        <v>153</v>
      </c>
      <c r="I8" s="172">
        <v>0.43</v>
      </c>
      <c r="J8" s="40"/>
      <c r="K8" s="40"/>
      <c r="L8" s="40"/>
      <c r="M8" s="40"/>
      <c r="N8" s="40"/>
      <c r="O8" s="173"/>
      <c r="P8" s="174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67" t="s">
        <v>154</v>
      </c>
      <c r="B9" s="168" t="s">
        <v>155</v>
      </c>
      <c r="C9" s="169">
        <v>0.61</v>
      </c>
      <c r="D9" s="169" t="s">
        <v>137</v>
      </c>
      <c r="E9" s="169">
        <v>1.56</v>
      </c>
      <c r="F9" s="170" t="s">
        <v>138</v>
      </c>
      <c r="G9" s="171">
        <v>0.43</v>
      </c>
      <c r="H9" s="169" t="s">
        <v>139</v>
      </c>
      <c r="I9" s="172">
        <v>0.25</v>
      </c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67" t="s">
        <v>156</v>
      </c>
      <c r="B10" s="168" t="s">
        <v>157</v>
      </c>
      <c r="C10" s="169">
        <v>0.66</v>
      </c>
      <c r="D10" s="169" t="s">
        <v>137</v>
      </c>
      <c r="E10" s="169">
        <v>1.56</v>
      </c>
      <c r="F10" s="170" t="s">
        <v>138</v>
      </c>
      <c r="G10" s="171">
        <v>0.43</v>
      </c>
      <c r="H10" s="169" t="s">
        <v>139</v>
      </c>
      <c r="I10" s="172">
        <v>0.25</v>
      </c>
      <c r="J10" s="40"/>
      <c r="K10" s="40"/>
      <c r="L10" s="40"/>
      <c r="M10" s="40"/>
      <c r="N10" s="40"/>
      <c r="O10" s="165" t="s">
        <v>158</v>
      </c>
      <c r="P10" s="166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67" t="s">
        <v>29</v>
      </c>
      <c r="B11" s="168" t="s">
        <v>159</v>
      </c>
      <c r="C11" s="169">
        <v>0.47</v>
      </c>
      <c r="D11" s="169" t="s">
        <v>137</v>
      </c>
      <c r="E11" s="169">
        <v>1.56</v>
      </c>
      <c r="F11" s="170" t="s">
        <v>138</v>
      </c>
      <c r="G11" s="171">
        <v>0.43</v>
      </c>
      <c r="H11" s="169" t="s">
        <v>139</v>
      </c>
      <c r="I11" s="172">
        <v>0.25</v>
      </c>
      <c r="J11" s="40"/>
      <c r="K11" s="40"/>
      <c r="L11" s="40"/>
      <c r="M11" s="40"/>
      <c r="N11" s="40"/>
      <c r="O11" s="173"/>
      <c r="P11" s="174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67" t="s">
        <v>160</v>
      </c>
      <c r="B12" s="168" t="s">
        <v>161</v>
      </c>
      <c r="C12" s="169">
        <v>0.67</v>
      </c>
      <c r="D12" s="169" t="s">
        <v>137</v>
      </c>
      <c r="E12" s="169">
        <v>1.56</v>
      </c>
      <c r="F12" s="170" t="s">
        <v>138</v>
      </c>
      <c r="G12" s="171">
        <v>0.43</v>
      </c>
      <c r="H12" s="169" t="s">
        <v>162</v>
      </c>
      <c r="I12" s="172">
        <v>0.25</v>
      </c>
      <c r="J12" s="40"/>
      <c r="K12" s="40"/>
      <c r="L12" s="40"/>
      <c r="M12" s="40"/>
      <c r="N12" s="4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67" t="s">
        <v>163</v>
      </c>
      <c r="B13" s="168" t="s">
        <v>164</v>
      </c>
      <c r="C13" s="169">
        <v>0.7</v>
      </c>
      <c r="D13" s="169" t="s">
        <v>137</v>
      </c>
      <c r="E13" s="169">
        <v>1.56</v>
      </c>
      <c r="F13" s="170" t="s">
        <v>138</v>
      </c>
      <c r="G13" s="171">
        <v>0.43</v>
      </c>
      <c r="H13" s="169" t="s">
        <v>162</v>
      </c>
      <c r="I13" s="172">
        <v>0.25</v>
      </c>
      <c r="J13" s="40"/>
      <c r="K13" s="40"/>
      <c r="L13" s="40"/>
      <c r="M13" s="40"/>
      <c r="N13" s="40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67" t="s">
        <v>165</v>
      </c>
      <c r="B14" s="168" t="s">
        <v>166</v>
      </c>
      <c r="C14" s="169">
        <v>0.54</v>
      </c>
      <c r="D14" s="169" t="s">
        <v>137</v>
      </c>
      <c r="E14" s="169">
        <v>1.56</v>
      </c>
      <c r="F14" s="170" t="s">
        <v>138</v>
      </c>
      <c r="G14" s="171">
        <v>0.43</v>
      </c>
      <c r="H14" s="169" t="s">
        <v>162</v>
      </c>
      <c r="I14" s="172">
        <v>0.25</v>
      </c>
      <c r="J14" s="40"/>
      <c r="K14" s="40"/>
      <c r="L14" s="40"/>
      <c r="M14" s="40"/>
      <c r="N14" s="4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67" t="s">
        <v>25</v>
      </c>
      <c r="B15" s="168" t="s">
        <v>167</v>
      </c>
      <c r="C15" s="169">
        <v>0.65</v>
      </c>
      <c r="D15" s="169" t="s">
        <v>137</v>
      </c>
      <c r="E15" s="169">
        <v>1.56</v>
      </c>
      <c r="F15" s="170" t="s">
        <v>138</v>
      </c>
      <c r="G15" s="171">
        <v>0.43</v>
      </c>
      <c r="H15" s="169" t="s">
        <v>162</v>
      </c>
      <c r="I15" s="172">
        <v>0.25</v>
      </c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67" t="s">
        <v>168</v>
      </c>
      <c r="B16" s="168" t="s">
        <v>169</v>
      </c>
      <c r="C16" s="169">
        <v>0.56</v>
      </c>
      <c r="D16" s="169" t="s">
        <v>137</v>
      </c>
      <c r="E16" s="169">
        <v>1.56</v>
      </c>
      <c r="F16" s="170" t="s">
        <v>138</v>
      </c>
      <c r="G16" s="171">
        <v>0.43</v>
      </c>
      <c r="H16" s="169" t="s">
        <v>162</v>
      </c>
      <c r="I16" s="172">
        <v>0.25</v>
      </c>
      <c r="J16" s="40"/>
      <c r="K16" s="40"/>
      <c r="L16" s="40"/>
      <c r="M16" s="40"/>
      <c r="N16" s="40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67" t="s">
        <v>27</v>
      </c>
      <c r="B17" s="168" t="s">
        <v>170</v>
      </c>
      <c r="C17" s="169">
        <v>0.58</v>
      </c>
      <c r="D17" s="169" t="s">
        <v>137</v>
      </c>
      <c r="E17" s="169">
        <v>1.56</v>
      </c>
      <c r="F17" s="170" t="s">
        <v>138</v>
      </c>
      <c r="G17" s="171">
        <v>0.43</v>
      </c>
      <c r="H17" s="169" t="s">
        <v>162</v>
      </c>
      <c r="I17" s="172">
        <v>0.25</v>
      </c>
      <c r="J17" s="40"/>
      <c r="K17" s="40"/>
      <c r="L17" s="40"/>
      <c r="M17" s="40"/>
      <c r="N17" s="4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67" t="s">
        <v>171</v>
      </c>
      <c r="B18" s="168" t="s">
        <v>172</v>
      </c>
      <c r="C18" s="169">
        <v>0.64</v>
      </c>
      <c r="D18" s="169" t="s">
        <v>137</v>
      </c>
      <c r="E18" s="169">
        <v>1.56</v>
      </c>
      <c r="F18" s="170" t="s">
        <v>138</v>
      </c>
      <c r="G18" s="171">
        <v>0.43</v>
      </c>
      <c r="H18" s="169" t="s">
        <v>162</v>
      </c>
      <c r="I18" s="172">
        <v>0.25</v>
      </c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67" t="s">
        <v>173</v>
      </c>
      <c r="B19" s="168" t="s">
        <v>174</v>
      </c>
      <c r="C19" s="169">
        <v>0.73</v>
      </c>
      <c r="D19" s="169" t="s">
        <v>137</v>
      </c>
      <c r="E19" s="169">
        <v>1.56</v>
      </c>
      <c r="F19" s="170" t="s">
        <v>138</v>
      </c>
      <c r="G19" s="171">
        <v>0.43</v>
      </c>
      <c r="H19" s="169" t="s">
        <v>162</v>
      </c>
      <c r="I19" s="172">
        <v>0.25</v>
      </c>
      <c r="J19" s="40"/>
      <c r="K19" s="40"/>
      <c r="L19" s="40"/>
      <c r="M19" s="40"/>
      <c r="N19" s="40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67" t="s">
        <v>35</v>
      </c>
      <c r="B20" s="168" t="s">
        <v>175</v>
      </c>
      <c r="C20" s="169">
        <v>0.69</v>
      </c>
      <c r="D20" s="169" t="s">
        <v>176</v>
      </c>
      <c r="E20" s="169">
        <v>1.56</v>
      </c>
      <c r="F20" s="170" t="s">
        <v>138</v>
      </c>
      <c r="G20" s="171">
        <v>0.43</v>
      </c>
      <c r="H20" s="169" t="s">
        <v>177</v>
      </c>
      <c r="I20" s="172">
        <v>0.25</v>
      </c>
      <c r="J20" s="40"/>
      <c r="K20" s="40"/>
      <c r="L20" s="40"/>
      <c r="M20" s="40"/>
      <c r="N20" s="4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67" t="s">
        <v>178</v>
      </c>
      <c r="B21" s="168" t="s">
        <v>179</v>
      </c>
      <c r="C21" s="169">
        <v>0.36</v>
      </c>
      <c r="D21" s="169" t="s">
        <v>137</v>
      </c>
      <c r="E21" s="169">
        <v>1.3</v>
      </c>
      <c r="F21" s="170" t="s">
        <v>138</v>
      </c>
      <c r="G21" s="171">
        <v>0.55</v>
      </c>
      <c r="H21" s="169" t="s">
        <v>153</v>
      </c>
      <c r="I21" s="172">
        <v>0.43</v>
      </c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67" t="s">
        <v>180</v>
      </c>
      <c r="B22" s="168" t="s">
        <v>181</v>
      </c>
      <c r="C22" s="169">
        <v>0.4</v>
      </c>
      <c r="D22" s="169" t="s">
        <v>137</v>
      </c>
      <c r="E22" s="169">
        <v>1.3</v>
      </c>
      <c r="F22" s="170" t="s">
        <v>138</v>
      </c>
      <c r="G22" s="171">
        <v>0.55</v>
      </c>
      <c r="H22" s="169" t="s">
        <v>153</v>
      </c>
      <c r="I22" s="172">
        <v>0.43</v>
      </c>
      <c r="J22" s="40"/>
      <c r="K22" s="40"/>
      <c r="L22" s="40"/>
      <c r="M22" s="40"/>
      <c r="N22" s="4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67" t="s">
        <v>182</v>
      </c>
      <c r="B23" s="168" t="s">
        <v>183</v>
      </c>
      <c r="C23" s="169">
        <v>0.43</v>
      </c>
      <c r="D23" s="169" t="s">
        <v>137</v>
      </c>
      <c r="E23" s="169">
        <v>1.3</v>
      </c>
      <c r="F23" s="170" t="s">
        <v>138</v>
      </c>
      <c r="G23" s="171">
        <v>0.55</v>
      </c>
      <c r="H23" s="169" t="s">
        <v>153</v>
      </c>
      <c r="I23" s="172">
        <v>0.43</v>
      </c>
      <c r="J23" s="40"/>
      <c r="K23" s="40"/>
      <c r="L23" s="40"/>
      <c r="M23" s="40"/>
      <c r="N23" s="40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67" t="s">
        <v>184</v>
      </c>
      <c r="B24" s="168" t="s">
        <v>185</v>
      </c>
      <c r="C24" s="169">
        <v>0.37</v>
      </c>
      <c r="D24" s="169" t="s">
        <v>137</v>
      </c>
      <c r="E24" s="169">
        <v>1.3</v>
      </c>
      <c r="F24" s="170" t="s">
        <v>138</v>
      </c>
      <c r="G24" s="171">
        <v>0.55</v>
      </c>
      <c r="H24" s="169" t="s">
        <v>162</v>
      </c>
      <c r="I24" s="172">
        <v>0.43</v>
      </c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67" t="s">
        <v>186</v>
      </c>
      <c r="B25" s="168" t="s">
        <v>187</v>
      </c>
      <c r="C25" s="169">
        <v>0.36</v>
      </c>
      <c r="D25" s="169" t="s">
        <v>137</v>
      </c>
      <c r="E25" s="169">
        <v>1.3</v>
      </c>
      <c r="F25" s="170" t="s">
        <v>138</v>
      </c>
      <c r="G25" s="171">
        <v>0.55</v>
      </c>
      <c r="H25" s="169" t="s">
        <v>162</v>
      </c>
      <c r="I25" s="172">
        <v>0.43</v>
      </c>
      <c r="J25" s="40"/>
      <c r="K25" s="40"/>
      <c r="L25" s="40"/>
      <c r="M25" s="40"/>
      <c r="N25" s="40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67" t="s">
        <v>188</v>
      </c>
      <c r="B26" s="168" t="s">
        <v>189</v>
      </c>
      <c r="C26" s="169">
        <v>0.56</v>
      </c>
      <c r="D26" s="169" t="s">
        <v>137</v>
      </c>
      <c r="E26" s="169">
        <v>1.56</v>
      </c>
      <c r="F26" s="170" t="s">
        <v>138</v>
      </c>
      <c r="G26" s="171">
        <v>0.53</v>
      </c>
      <c r="H26" s="169" t="s">
        <v>190</v>
      </c>
      <c r="I26" s="172">
        <v>0.25</v>
      </c>
      <c r="J26" s="40"/>
      <c r="K26" s="40"/>
      <c r="L26" s="40"/>
      <c r="M26" s="40"/>
      <c r="N26" s="40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67" t="s">
        <v>191</v>
      </c>
      <c r="B27" s="168" t="s">
        <v>192</v>
      </c>
      <c r="C27" s="169">
        <v>0.51</v>
      </c>
      <c r="D27" s="169" t="s">
        <v>137</v>
      </c>
      <c r="E27" s="169">
        <v>1.56</v>
      </c>
      <c r="F27" s="170" t="s">
        <v>138</v>
      </c>
      <c r="G27" s="171">
        <v>0.53</v>
      </c>
      <c r="H27" s="169" t="s">
        <v>190</v>
      </c>
      <c r="I27" s="172">
        <v>0.25</v>
      </c>
      <c r="J27" s="40"/>
      <c r="K27" s="40"/>
      <c r="L27" s="40"/>
      <c r="M27" s="40"/>
      <c r="N27" s="4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67" t="s">
        <v>193</v>
      </c>
      <c r="B28" s="168" t="s">
        <v>194</v>
      </c>
      <c r="C28" s="169">
        <v>0.51</v>
      </c>
      <c r="D28" s="169" t="s">
        <v>137</v>
      </c>
      <c r="E28" s="169">
        <v>1.56</v>
      </c>
      <c r="F28" s="170" t="s">
        <v>138</v>
      </c>
      <c r="G28" s="171">
        <v>0.53</v>
      </c>
      <c r="H28" s="169" t="s">
        <v>190</v>
      </c>
      <c r="I28" s="172">
        <v>0.25</v>
      </c>
      <c r="J28" s="40"/>
      <c r="K28" s="40"/>
      <c r="L28" s="40"/>
      <c r="M28" s="40"/>
      <c r="N28" s="40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67" t="s">
        <v>195</v>
      </c>
      <c r="B29" s="168" t="s">
        <v>195</v>
      </c>
      <c r="C29" s="169">
        <v>0.56</v>
      </c>
      <c r="D29" s="169" t="s">
        <v>137</v>
      </c>
      <c r="E29" s="169">
        <v>1.56</v>
      </c>
      <c r="F29" s="170" t="s">
        <v>138</v>
      </c>
      <c r="G29" s="171">
        <v>0.53</v>
      </c>
      <c r="H29" s="169" t="s">
        <v>190</v>
      </c>
      <c r="I29" s="172">
        <v>0.25</v>
      </c>
      <c r="J29" s="40"/>
      <c r="K29" s="40"/>
      <c r="L29" s="40"/>
      <c r="M29" s="40"/>
      <c r="N29" s="4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67" t="s">
        <v>196</v>
      </c>
      <c r="B30" s="168" t="s">
        <v>197</v>
      </c>
      <c r="C30" s="169">
        <v>0.55</v>
      </c>
      <c r="D30" s="169" t="s">
        <v>137</v>
      </c>
      <c r="E30" s="169">
        <v>1.56</v>
      </c>
      <c r="F30" s="170" t="s">
        <v>138</v>
      </c>
      <c r="G30" s="171">
        <v>0.53</v>
      </c>
      <c r="H30" s="169" t="s">
        <v>162</v>
      </c>
      <c r="I30" s="172">
        <v>0.25</v>
      </c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67" t="s">
        <v>198</v>
      </c>
      <c r="B31" s="168" t="s">
        <v>199</v>
      </c>
      <c r="C31" s="169">
        <v>0.56</v>
      </c>
      <c r="D31" s="169" t="s">
        <v>137</v>
      </c>
      <c r="E31" s="169">
        <v>1.56</v>
      </c>
      <c r="F31" s="170" t="s">
        <v>138</v>
      </c>
      <c r="G31" s="171">
        <v>0.43</v>
      </c>
      <c r="H31" s="169" t="s">
        <v>139</v>
      </c>
      <c r="I31" s="172">
        <v>0.25</v>
      </c>
      <c r="J31" s="40"/>
      <c r="K31" s="40"/>
      <c r="L31" s="40"/>
      <c r="M31" s="40"/>
      <c r="N31" s="40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67" t="s">
        <v>200</v>
      </c>
      <c r="B32" s="168" t="s">
        <v>201</v>
      </c>
      <c r="C32" s="169">
        <v>0.48</v>
      </c>
      <c r="D32" s="169" t="s">
        <v>137</v>
      </c>
      <c r="E32" s="169">
        <v>1.3</v>
      </c>
      <c r="F32" s="170" t="s">
        <v>138</v>
      </c>
      <c r="G32" s="171">
        <v>0.6</v>
      </c>
      <c r="H32" s="169" t="s">
        <v>354</v>
      </c>
      <c r="I32" s="172">
        <v>0.43</v>
      </c>
      <c r="J32" s="40"/>
      <c r="K32" s="40"/>
      <c r="L32" s="40"/>
      <c r="M32" s="40"/>
      <c r="N32" s="4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67" t="s">
        <v>203</v>
      </c>
      <c r="B33" s="168" t="s">
        <v>204</v>
      </c>
      <c r="C33" s="169">
        <v>0.42</v>
      </c>
      <c r="D33" s="169" t="s">
        <v>137</v>
      </c>
      <c r="E33" s="169">
        <v>1.3</v>
      </c>
      <c r="F33" s="170" t="s">
        <v>138</v>
      </c>
      <c r="G33" s="171">
        <v>0.6</v>
      </c>
      <c r="H33" s="169" t="s">
        <v>355</v>
      </c>
      <c r="I33" s="172">
        <v>0.43</v>
      </c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67" t="s">
        <v>206</v>
      </c>
      <c r="B34" s="168" t="s">
        <v>207</v>
      </c>
      <c r="C34" s="169">
        <v>0.42</v>
      </c>
      <c r="D34" s="169" t="s">
        <v>208</v>
      </c>
      <c r="E34" s="169">
        <v>1.3</v>
      </c>
      <c r="F34" s="170" t="s">
        <v>138</v>
      </c>
      <c r="G34" s="171">
        <v>0.6</v>
      </c>
      <c r="H34" s="168" t="s">
        <v>209</v>
      </c>
      <c r="I34" s="172">
        <v>0.43</v>
      </c>
      <c r="J34" s="40"/>
      <c r="K34" s="40"/>
      <c r="L34" s="40"/>
      <c r="M34" s="40"/>
      <c r="N34" s="40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67" t="s">
        <v>210</v>
      </c>
      <c r="B35" s="168" t="s">
        <v>211</v>
      </c>
      <c r="C35" s="169">
        <v>0.5</v>
      </c>
      <c r="D35" s="169" t="s">
        <v>137</v>
      </c>
      <c r="E35" s="169">
        <v>1.56</v>
      </c>
      <c r="F35" s="170" t="s">
        <v>138</v>
      </c>
      <c r="G35" s="171">
        <v>0.43</v>
      </c>
      <c r="H35" s="169" t="s">
        <v>139</v>
      </c>
      <c r="I35" s="172">
        <v>0.25</v>
      </c>
      <c r="J35" s="40"/>
      <c r="K35" s="40"/>
      <c r="L35" s="40"/>
      <c r="M35" s="40"/>
      <c r="N35" s="4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67" t="s">
        <v>212</v>
      </c>
      <c r="B36" s="168" t="s">
        <v>213</v>
      </c>
      <c r="C36" s="169">
        <v>0.55</v>
      </c>
      <c r="D36" s="169" t="s">
        <v>137</v>
      </c>
      <c r="E36" s="169">
        <v>1.56</v>
      </c>
      <c r="F36" s="170" t="s">
        <v>138</v>
      </c>
      <c r="G36" s="171">
        <v>0.53</v>
      </c>
      <c r="H36" s="169" t="s">
        <v>190</v>
      </c>
      <c r="I36" s="172">
        <v>0.25</v>
      </c>
      <c r="J36" s="40"/>
      <c r="K36" s="40"/>
      <c r="L36" s="40"/>
      <c r="M36" s="40"/>
      <c r="N36" s="4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67" t="s">
        <v>214</v>
      </c>
      <c r="B37" s="168" t="s">
        <v>215</v>
      </c>
      <c r="C37" s="169">
        <v>0.52</v>
      </c>
      <c r="D37" s="169" t="s">
        <v>137</v>
      </c>
      <c r="E37" s="169">
        <v>1.56</v>
      </c>
      <c r="F37" s="170" t="s">
        <v>138</v>
      </c>
      <c r="G37" s="171">
        <v>0.53</v>
      </c>
      <c r="H37" s="169" t="s">
        <v>190</v>
      </c>
      <c r="I37" s="172">
        <v>0.25</v>
      </c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67" t="s">
        <v>216</v>
      </c>
      <c r="B38" s="168" t="s">
        <v>217</v>
      </c>
      <c r="C38" s="169">
        <v>0.52</v>
      </c>
      <c r="D38" s="169" t="s">
        <v>137</v>
      </c>
      <c r="E38" s="169">
        <v>1.56</v>
      </c>
      <c r="F38" s="170" t="s">
        <v>138</v>
      </c>
      <c r="G38" s="171">
        <v>0.43</v>
      </c>
      <c r="H38" s="169" t="s">
        <v>139</v>
      </c>
      <c r="I38" s="172">
        <v>0.25</v>
      </c>
      <c r="J38" s="40"/>
      <c r="K38" s="40"/>
      <c r="L38" s="40"/>
      <c r="M38" s="40"/>
      <c r="N38" s="40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67" t="s">
        <v>218</v>
      </c>
      <c r="B39" s="168" t="s">
        <v>219</v>
      </c>
      <c r="C39" s="169">
        <v>0.313</v>
      </c>
      <c r="D39" s="169" t="s">
        <v>220</v>
      </c>
      <c r="E39" s="169">
        <v>1.56</v>
      </c>
      <c r="F39" s="170" t="s">
        <v>138</v>
      </c>
      <c r="G39" s="171">
        <v>0.6</v>
      </c>
      <c r="H39" s="169" t="s">
        <v>221</v>
      </c>
      <c r="I39" s="172">
        <v>1.03</v>
      </c>
      <c r="J39" s="40"/>
      <c r="K39" s="40"/>
      <c r="L39" s="40"/>
      <c r="M39" s="40"/>
      <c r="N39" s="40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67" t="s">
        <v>222</v>
      </c>
      <c r="B40" s="168" t="s">
        <v>219</v>
      </c>
      <c r="C40" s="169">
        <v>0.352</v>
      </c>
      <c r="D40" s="169" t="s">
        <v>220</v>
      </c>
      <c r="E40" s="169">
        <v>1.56</v>
      </c>
      <c r="F40" s="170" t="s">
        <v>138</v>
      </c>
      <c r="G40" s="171">
        <v>0.6</v>
      </c>
      <c r="H40" s="169" t="s">
        <v>221</v>
      </c>
      <c r="I40" s="172">
        <v>1.03</v>
      </c>
      <c r="J40" s="40"/>
      <c r="K40" s="40"/>
      <c r="L40" s="40"/>
      <c r="M40" s="40"/>
      <c r="N40" s="4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67" t="s">
        <v>223</v>
      </c>
      <c r="B41" s="168" t="s">
        <v>219</v>
      </c>
      <c r="C41" s="169">
        <v>0.322</v>
      </c>
      <c r="D41" s="169" t="s">
        <v>220</v>
      </c>
      <c r="E41" s="169">
        <v>1.56</v>
      </c>
      <c r="F41" s="170" t="s">
        <v>138</v>
      </c>
      <c r="G41" s="171">
        <v>0.6</v>
      </c>
      <c r="H41" s="169" t="s">
        <v>221</v>
      </c>
      <c r="I41" s="172">
        <v>1.03</v>
      </c>
      <c r="J41" s="40"/>
      <c r="K41" s="40"/>
      <c r="L41" s="40"/>
      <c r="M41" s="40"/>
      <c r="N41" s="40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67" t="s">
        <v>224</v>
      </c>
      <c r="B42" s="168" t="s">
        <v>219</v>
      </c>
      <c r="C42" s="169">
        <v>0.311</v>
      </c>
      <c r="D42" s="169" t="s">
        <v>220</v>
      </c>
      <c r="E42" s="169">
        <v>1.56</v>
      </c>
      <c r="F42" s="170" t="s">
        <v>138</v>
      </c>
      <c r="G42" s="171">
        <v>0.6</v>
      </c>
      <c r="H42" s="169" t="s">
        <v>221</v>
      </c>
      <c r="I42" s="172">
        <v>1.03</v>
      </c>
      <c r="J42" s="40"/>
      <c r="K42" s="40"/>
      <c r="L42" s="40"/>
      <c r="M42" s="40"/>
      <c r="N42" s="4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67" t="s">
        <v>225</v>
      </c>
      <c r="B43" s="168" t="s">
        <v>219</v>
      </c>
      <c r="C43" s="169">
        <v>0.339</v>
      </c>
      <c r="D43" s="169" t="s">
        <v>220</v>
      </c>
      <c r="E43" s="169">
        <v>1.56</v>
      </c>
      <c r="F43" s="170" t="s">
        <v>138</v>
      </c>
      <c r="G43" s="171">
        <v>0.6</v>
      </c>
      <c r="H43" s="169" t="s">
        <v>221</v>
      </c>
      <c r="I43" s="172">
        <v>1.03</v>
      </c>
      <c r="J43" s="40"/>
      <c r="K43" s="40"/>
      <c r="L43" s="40"/>
      <c r="M43" s="40"/>
      <c r="N43" s="40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67" t="s">
        <v>226</v>
      </c>
      <c r="B44" s="168" t="s">
        <v>219</v>
      </c>
      <c r="C44" s="169">
        <v>0.336</v>
      </c>
      <c r="D44" s="169" t="s">
        <v>220</v>
      </c>
      <c r="E44" s="169">
        <v>1.56</v>
      </c>
      <c r="F44" s="170" t="s">
        <v>138</v>
      </c>
      <c r="G44" s="171">
        <v>0.6</v>
      </c>
      <c r="H44" s="169" t="s">
        <v>221</v>
      </c>
      <c r="I44" s="172">
        <v>1.03</v>
      </c>
      <c r="J44" s="40"/>
      <c r="K44" s="40"/>
      <c r="L44" s="40"/>
      <c r="M44" s="40"/>
      <c r="N44" s="4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67" t="s">
        <v>227</v>
      </c>
      <c r="B45" s="168" t="s">
        <v>219</v>
      </c>
      <c r="C45" s="169">
        <v>0.329</v>
      </c>
      <c r="D45" s="169" t="s">
        <v>220</v>
      </c>
      <c r="E45" s="169">
        <v>1.56</v>
      </c>
      <c r="F45" s="170" t="s">
        <v>138</v>
      </c>
      <c r="G45" s="171">
        <v>0.6</v>
      </c>
      <c r="H45" s="169" t="s">
        <v>221</v>
      </c>
      <c r="I45" s="172">
        <v>1.03</v>
      </c>
      <c r="J45" s="40"/>
      <c r="K45" s="40"/>
      <c r="L45" s="40"/>
      <c r="M45" s="40"/>
      <c r="N45" s="40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67" t="s">
        <v>228</v>
      </c>
      <c r="B46" s="168" t="s">
        <v>219</v>
      </c>
      <c r="C46" s="169">
        <v>0.343</v>
      </c>
      <c r="D46" s="169" t="s">
        <v>220</v>
      </c>
      <c r="E46" s="169">
        <v>1.56</v>
      </c>
      <c r="F46" s="170" t="s">
        <v>138</v>
      </c>
      <c r="G46" s="171">
        <v>0.6</v>
      </c>
      <c r="H46" s="169" t="s">
        <v>221</v>
      </c>
      <c r="I46" s="172">
        <v>1.03</v>
      </c>
      <c r="J46" s="40"/>
      <c r="K46" s="40"/>
      <c r="L46" s="40"/>
      <c r="M46" s="40"/>
      <c r="N46" s="4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67" t="s">
        <v>229</v>
      </c>
      <c r="B47" s="168" t="s">
        <v>219</v>
      </c>
      <c r="C47" s="169">
        <v>0.325</v>
      </c>
      <c r="D47" s="169" t="s">
        <v>220</v>
      </c>
      <c r="E47" s="169">
        <v>1.56</v>
      </c>
      <c r="F47" s="170" t="s">
        <v>138</v>
      </c>
      <c r="G47" s="171">
        <v>0.6</v>
      </c>
      <c r="H47" s="169" t="s">
        <v>221</v>
      </c>
      <c r="I47" s="172">
        <v>1.03</v>
      </c>
      <c r="J47" s="40"/>
      <c r="K47" s="40"/>
      <c r="L47" s="40"/>
      <c r="M47" s="40"/>
      <c r="N47" s="4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67" t="s">
        <v>230</v>
      </c>
      <c r="B48" s="168" t="s">
        <v>219</v>
      </c>
      <c r="C48" s="169">
        <v>0.32</v>
      </c>
      <c r="D48" s="169" t="s">
        <v>220</v>
      </c>
      <c r="E48" s="169">
        <v>1.56</v>
      </c>
      <c r="F48" s="170" t="s">
        <v>138</v>
      </c>
      <c r="G48" s="171">
        <v>0.6</v>
      </c>
      <c r="H48" s="169" t="s">
        <v>221</v>
      </c>
      <c r="I48" s="172">
        <v>1.03</v>
      </c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67" t="s">
        <v>231</v>
      </c>
      <c r="B49" s="168" t="s">
        <v>219</v>
      </c>
      <c r="C49" s="169">
        <v>0.282</v>
      </c>
      <c r="D49" s="169" t="s">
        <v>220</v>
      </c>
      <c r="E49" s="169">
        <v>1.56</v>
      </c>
      <c r="F49" s="170" t="s">
        <v>138</v>
      </c>
      <c r="G49" s="171">
        <v>0.6</v>
      </c>
      <c r="H49" s="169" t="s">
        <v>221</v>
      </c>
      <c r="I49" s="172">
        <v>1.03</v>
      </c>
      <c r="J49" s="40"/>
      <c r="K49" s="40"/>
      <c r="L49" s="40"/>
      <c r="M49" s="40"/>
      <c r="N49" s="40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67" t="s">
        <v>232</v>
      </c>
      <c r="B50" s="168" t="s">
        <v>219</v>
      </c>
      <c r="C50" s="169">
        <v>0.328</v>
      </c>
      <c r="D50" s="169" t="s">
        <v>220</v>
      </c>
      <c r="E50" s="169">
        <v>1.56</v>
      </c>
      <c r="F50" s="170" t="s">
        <v>138</v>
      </c>
      <c r="G50" s="171">
        <v>0.6</v>
      </c>
      <c r="H50" s="169" t="s">
        <v>221</v>
      </c>
      <c r="I50" s="172">
        <v>1.03</v>
      </c>
      <c r="J50" s="40"/>
      <c r="K50" s="40"/>
      <c r="L50" s="40"/>
      <c r="M50" s="40"/>
      <c r="N50" s="4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67" t="s">
        <v>233</v>
      </c>
      <c r="B51" s="168" t="s">
        <v>219</v>
      </c>
      <c r="C51" s="169">
        <v>0.326</v>
      </c>
      <c r="D51" s="169" t="s">
        <v>220</v>
      </c>
      <c r="E51" s="169">
        <v>1.56</v>
      </c>
      <c r="F51" s="170" t="s">
        <v>138</v>
      </c>
      <c r="G51" s="171">
        <v>0.6</v>
      </c>
      <c r="H51" s="169" t="s">
        <v>221</v>
      </c>
      <c r="I51" s="172">
        <v>1.03</v>
      </c>
      <c r="J51" s="40"/>
      <c r="K51" s="40"/>
      <c r="L51" s="40"/>
      <c r="M51" s="40"/>
      <c r="N51" s="40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67" t="s">
        <v>234</v>
      </c>
      <c r="B52" s="168" t="s">
        <v>219</v>
      </c>
      <c r="C52" s="169">
        <v>0.359</v>
      </c>
      <c r="D52" s="169" t="s">
        <v>220</v>
      </c>
      <c r="E52" s="169">
        <v>1.56</v>
      </c>
      <c r="F52" s="170" t="s">
        <v>138</v>
      </c>
      <c r="G52" s="171">
        <v>0.6</v>
      </c>
      <c r="H52" s="169" t="s">
        <v>221</v>
      </c>
      <c r="I52" s="172">
        <v>1.03</v>
      </c>
      <c r="J52" s="40"/>
      <c r="K52" s="40"/>
      <c r="L52" s="40"/>
      <c r="M52" s="40"/>
      <c r="N52" s="40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67" t="s">
        <v>235</v>
      </c>
      <c r="B53" s="168" t="s">
        <v>219</v>
      </c>
      <c r="C53" s="169">
        <v>0.346</v>
      </c>
      <c r="D53" s="169" t="s">
        <v>220</v>
      </c>
      <c r="E53" s="169">
        <v>1.56</v>
      </c>
      <c r="F53" s="170" t="s">
        <v>138</v>
      </c>
      <c r="G53" s="171">
        <v>0.6</v>
      </c>
      <c r="H53" s="169" t="s">
        <v>221</v>
      </c>
      <c r="I53" s="172">
        <v>1.03</v>
      </c>
      <c r="J53" s="40"/>
      <c r="K53" s="40"/>
      <c r="L53" s="40"/>
      <c r="M53" s="40"/>
      <c r="N53" s="40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67" t="s">
        <v>236</v>
      </c>
      <c r="B54" s="168" t="s">
        <v>219</v>
      </c>
      <c r="C54" s="169">
        <v>0.326</v>
      </c>
      <c r="D54" s="169" t="s">
        <v>220</v>
      </c>
      <c r="E54" s="169">
        <v>1.56</v>
      </c>
      <c r="F54" s="170" t="s">
        <v>138</v>
      </c>
      <c r="G54" s="171">
        <v>0.6</v>
      </c>
      <c r="H54" s="169" t="s">
        <v>221</v>
      </c>
      <c r="I54" s="172">
        <v>1.03</v>
      </c>
      <c r="J54" s="40"/>
      <c r="K54" s="40"/>
      <c r="L54" s="40"/>
      <c r="M54" s="40"/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67" t="s">
        <v>237</v>
      </c>
      <c r="B55" s="168" t="s">
        <v>219</v>
      </c>
      <c r="C55" s="169">
        <v>0.305</v>
      </c>
      <c r="D55" s="169" t="s">
        <v>220</v>
      </c>
      <c r="E55" s="169">
        <v>1.56</v>
      </c>
      <c r="F55" s="170" t="s">
        <v>138</v>
      </c>
      <c r="G55" s="171">
        <v>0.6</v>
      </c>
      <c r="H55" s="169" t="s">
        <v>221</v>
      </c>
      <c r="I55" s="172">
        <v>1.03</v>
      </c>
      <c r="J55" s="40"/>
      <c r="K55" s="40"/>
      <c r="L55" s="40"/>
      <c r="M55" s="40"/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67" t="s">
        <v>238</v>
      </c>
      <c r="B56" s="168" t="s">
        <v>219</v>
      </c>
      <c r="C56" s="169">
        <v>0.323</v>
      </c>
      <c r="D56" s="169" t="s">
        <v>220</v>
      </c>
      <c r="E56" s="169">
        <v>1.56</v>
      </c>
      <c r="F56" s="170" t="s">
        <v>138</v>
      </c>
      <c r="G56" s="171">
        <v>0.6</v>
      </c>
      <c r="H56" s="169" t="s">
        <v>221</v>
      </c>
      <c r="I56" s="172">
        <v>1.03</v>
      </c>
      <c r="J56" s="40"/>
      <c r="K56" s="40"/>
      <c r="L56" s="40"/>
      <c r="M56" s="40"/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67" t="s">
        <v>239</v>
      </c>
      <c r="B57" s="168" t="s">
        <v>219</v>
      </c>
      <c r="C57" s="169">
        <v>0.367</v>
      </c>
      <c r="D57" s="169" t="s">
        <v>220</v>
      </c>
      <c r="E57" s="169">
        <v>1.56</v>
      </c>
      <c r="F57" s="170" t="s">
        <v>138</v>
      </c>
      <c r="G57" s="171">
        <v>0.6</v>
      </c>
      <c r="H57" s="169" t="s">
        <v>221</v>
      </c>
      <c r="I57" s="172">
        <v>1.03</v>
      </c>
      <c r="J57" s="40"/>
      <c r="K57" s="40"/>
      <c r="L57" s="40"/>
      <c r="M57" s="40"/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67" t="s">
        <v>240</v>
      </c>
      <c r="B58" s="168" t="s">
        <v>219</v>
      </c>
      <c r="C58" s="169">
        <v>0.36</v>
      </c>
      <c r="D58" s="169" t="s">
        <v>220</v>
      </c>
      <c r="E58" s="169">
        <v>1.56</v>
      </c>
      <c r="F58" s="170" t="s">
        <v>138</v>
      </c>
      <c r="G58" s="171">
        <v>0.6</v>
      </c>
      <c r="H58" s="169" t="s">
        <v>221</v>
      </c>
      <c r="I58" s="172">
        <v>1.03</v>
      </c>
      <c r="J58" s="40"/>
      <c r="K58" s="40"/>
      <c r="L58" s="40"/>
      <c r="M58" s="40"/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67" t="s">
        <v>241</v>
      </c>
      <c r="B59" s="168" t="s">
        <v>219</v>
      </c>
      <c r="C59" s="169">
        <v>0.368</v>
      </c>
      <c r="D59" s="169" t="s">
        <v>220</v>
      </c>
      <c r="E59" s="169">
        <v>1.56</v>
      </c>
      <c r="F59" s="170" t="s">
        <v>138</v>
      </c>
      <c r="G59" s="171">
        <v>0.6</v>
      </c>
      <c r="H59" s="169" t="s">
        <v>221</v>
      </c>
      <c r="I59" s="172">
        <v>1.03</v>
      </c>
      <c r="J59" s="40"/>
      <c r="K59" s="40"/>
      <c r="L59" s="40"/>
      <c r="M59" s="40"/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67" t="s">
        <v>242</v>
      </c>
      <c r="B60" s="168" t="s">
        <v>219</v>
      </c>
      <c r="C60" s="169">
        <v>0.306</v>
      </c>
      <c r="D60" s="169" t="s">
        <v>220</v>
      </c>
      <c r="E60" s="169">
        <v>1.56</v>
      </c>
      <c r="F60" s="170" t="s">
        <v>138</v>
      </c>
      <c r="G60" s="171">
        <v>0.6</v>
      </c>
      <c r="H60" s="169" t="s">
        <v>221</v>
      </c>
      <c r="I60" s="172">
        <v>1.03</v>
      </c>
      <c r="J60" s="40"/>
      <c r="K60" s="40"/>
      <c r="L60" s="40"/>
      <c r="M60" s="40"/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67" t="s">
        <v>243</v>
      </c>
      <c r="B61" s="168" t="s">
        <v>219</v>
      </c>
      <c r="C61" s="169">
        <v>0.313</v>
      </c>
      <c r="D61" s="169" t="s">
        <v>220</v>
      </c>
      <c r="E61" s="169">
        <v>1.56</v>
      </c>
      <c r="F61" s="170" t="s">
        <v>138</v>
      </c>
      <c r="G61" s="171">
        <v>0.6</v>
      </c>
      <c r="H61" s="169" t="s">
        <v>221</v>
      </c>
      <c r="I61" s="172">
        <v>1.03</v>
      </c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67" t="s">
        <v>244</v>
      </c>
      <c r="B62" s="168" t="s">
        <v>245</v>
      </c>
      <c r="C62" s="169">
        <v>0.37</v>
      </c>
      <c r="D62" s="169" t="s">
        <v>137</v>
      </c>
      <c r="E62" s="169">
        <v>1.56</v>
      </c>
      <c r="F62" s="170" t="s">
        <v>138</v>
      </c>
      <c r="G62" s="171">
        <v>0.6</v>
      </c>
      <c r="H62" s="169" t="s">
        <v>221</v>
      </c>
      <c r="I62" s="172">
        <v>1.03</v>
      </c>
      <c r="J62" s="40"/>
      <c r="K62" s="40"/>
      <c r="L62" s="40"/>
      <c r="M62" s="40"/>
      <c r="N62" s="4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67" t="s">
        <v>246</v>
      </c>
      <c r="B63" s="168" t="s">
        <v>247</v>
      </c>
      <c r="C63" s="169">
        <v>0.45</v>
      </c>
      <c r="D63" s="169" t="s">
        <v>137</v>
      </c>
      <c r="E63" s="169">
        <v>1.3</v>
      </c>
      <c r="F63" s="170" t="s">
        <v>138</v>
      </c>
      <c r="G63" s="171">
        <v>0.45</v>
      </c>
      <c r="H63" s="169" t="s">
        <v>248</v>
      </c>
      <c r="I63" s="172">
        <v>0.43</v>
      </c>
      <c r="J63" s="40"/>
      <c r="K63" s="40"/>
      <c r="L63" s="40"/>
      <c r="M63" s="40"/>
      <c r="N63" s="40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67" t="s">
        <v>249</v>
      </c>
      <c r="B64" s="168" t="s">
        <v>250</v>
      </c>
      <c r="C64" s="169">
        <v>0.39</v>
      </c>
      <c r="D64" s="169" t="s">
        <v>137</v>
      </c>
      <c r="E64" s="169">
        <v>1.3</v>
      </c>
      <c r="F64" s="170" t="s">
        <v>138</v>
      </c>
      <c r="G64" s="171">
        <v>0.45</v>
      </c>
      <c r="H64" s="169" t="s">
        <v>248</v>
      </c>
      <c r="I64" s="172">
        <v>0.43</v>
      </c>
      <c r="J64" s="40"/>
      <c r="K64" s="40"/>
      <c r="L64" s="40"/>
      <c r="M64" s="40"/>
      <c r="N64" s="4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67" t="s">
        <v>251</v>
      </c>
      <c r="B65" s="168" t="s">
        <v>252</v>
      </c>
      <c r="C65" s="169">
        <v>0.44</v>
      </c>
      <c r="D65" s="169" t="s">
        <v>137</v>
      </c>
      <c r="E65" s="169">
        <v>1.3</v>
      </c>
      <c r="F65" s="170" t="s">
        <v>138</v>
      </c>
      <c r="G65" s="171">
        <v>0.45</v>
      </c>
      <c r="H65" s="169" t="s">
        <v>248</v>
      </c>
      <c r="I65" s="172">
        <v>0.43</v>
      </c>
      <c r="J65" s="40"/>
      <c r="K65" s="40"/>
      <c r="L65" s="40"/>
      <c r="M65" s="40"/>
      <c r="N65" s="40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67" t="s">
        <v>19</v>
      </c>
      <c r="B66" s="168" t="s">
        <v>253</v>
      </c>
      <c r="C66" s="169">
        <v>0.46</v>
      </c>
      <c r="D66" s="169" t="s">
        <v>137</v>
      </c>
      <c r="E66" s="169">
        <v>1.3</v>
      </c>
      <c r="F66" s="170" t="s">
        <v>138</v>
      </c>
      <c r="G66" s="171">
        <v>0.45</v>
      </c>
      <c r="H66" s="169" t="s">
        <v>248</v>
      </c>
      <c r="I66" s="172">
        <v>0.43</v>
      </c>
      <c r="J66" s="40"/>
      <c r="K66" s="40"/>
      <c r="L66" s="40"/>
      <c r="M66" s="40"/>
      <c r="N66" s="40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67" t="s">
        <v>254</v>
      </c>
      <c r="B67" s="168" t="s">
        <v>255</v>
      </c>
      <c r="C67" s="169">
        <v>0.46</v>
      </c>
      <c r="D67" s="169" t="s">
        <v>137</v>
      </c>
      <c r="E67" s="169">
        <v>1.3</v>
      </c>
      <c r="F67" s="170" t="s">
        <v>138</v>
      </c>
      <c r="G67" s="171">
        <v>0.45</v>
      </c>
      <c r="H67" s="169" t="s">
        <v>162</v>
      </c>
      <c r="I67" s="172">
        <v>0.59</v>
      </c>
      <c r="J67" s="40"/>
      <c r="K67" s="40"/>
      <c r="L67" s="40"/>
      <c r="M67" s="40"/>
      <c r="N67" s="4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67" t="s">
        <v>256</v>
      </c>
      <c r="B68" s="168" t="s">
        <v>257</v>
      </c>
      <c r="C68" s="169">
        <v>0.44</v>
      </c>
      <c r="D68" s="169" t="s">
        <v>137</v>
      </c>
      <c r="E68" s="169">
        <v>1.3</v>
      </c>
      <c r="F68" s="170" t="s">
        <v>138</v>
      </c>
      <c r="G68" s="171">
        <v>0.45</v>
      </c>
      <c r="H68" s="169" t="s">
        <v>248</v>
      </c>
      <c r="I68" s="172">
        <v>0.43</v>
      </c>
      <c r="J68" s="40"/>
      <c r="K68" s="40"/>
      <c r="L68" s="40"/>
      <c r="M68" s="40"/>
      <c r="N68" s="40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67" t="s">
        <v>258</v>
      </c>
      <c r="B69" s="168" t="s">
        <v>259</v>
      </c>
      <c r="C69" s="169">
        <v>0.46</v>
      </c>
      <c r="D69" s="169" t="s">
        <v>137</v>
      </c>
      <c r="E69" s="169">
        <v>1.3</v>
      </c>
      <c r="F69" s="170" t="s">
        <v>138</v>
      </c>
      <c r="G69" s="171">
        <v>0.45</v>
      </c>
      <c r="H69" s="169" t="s">
        <v>248</v>
      </c>
      <c r="I69" s="172">
        <v>0.43</v>
      </c>
      <c r="J69" s="40"/>
      <c r="K69" s="40"/>
      <c r="L69" s="40"/>
      <c r="M69" s="40"/>
      <c r="N69" s="40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67" t="s">
        <v>260</v>
      </c>
      <c r="B70" s="168" t="s">
        <v>261</v>
      </c>
      <c r="C70" s="169">
        <v>0.48</v>
      </c>
      <c r="D70" s="169" t="s">
        <v>137</v>
      </c>
      <c r="E70" s="169">
        <v>2.4</v>
      </c>
      <c r="F70" s="169" t="s">
        <v>262</v>
      </c>
      <c r="G70" s="171">
        <v>0.45</v>
      </c>
      <c r="H70" s="169" t="s">
        <v>248</v>
      </c>
      <c r="I70" s="172">
        <v>0.43</v>
      </c>
      <c r="J70" s="40"/>
      <c r="K70" s="40"/>
      <c r="L70" s="40"/>
      <c r="M70" s="40"/>
      <c r="N70" s="40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67" t="s">
        <v>263</v>
      </c>
      <c r="B71" s="168" t="s">
        <v>264</v>
      </c>
      <c r="C71" s="169">
        <v>0.46</v>
      </c>
      <c r="D71" s="169" t="s">
        <v>265</v>
      </c>
      <c r="E71" s="169">
        <v>1.3</v>
      </c>
      <c r="F71" s="170" t="s">
        <v>138</v>
      </c>
      <c r="G71" s="171">
        <v>0.45</v>
      </c>
      <c r="H71" s="169" t="s">
        <v>248</v>
      </c>
      <c r="I71" s="172">
        <v>0.43</v>
      </c>
      <c r="J71" s="40"/>
      <c r="K71" s="40"/>
      <c r="L71" s="40"/>
      <c r="M71" s="40"/>
      <c r="N71" s="40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67" t="s">
        <v>16</v>
      </c>
      <c r="B72" s="168" t="s">
        <v>266</v>
      </c>
      <c r="C72" s="169">
        <v>0.44</v>
      </c>
      <c r="D72" s="169" t="s">
        <v>137</v>
      </c>
      <c r="E72" s="169">
        <v>1.3</v>
      </c>
      <c r="F72" s="170" t="s">
        <v>138</v>
      </c>
      <c r="G72" s="171">
        <v>0.45</v>
      </c>
      <c r="H72" s="169" t="s">
        <v>248</v>
      </c>
      <c r="I72" s="172">
        <v>0.43</v>
      </c>
      <c r="J72" s="40"/>
      <c r="K72" s="40"/>
      <c r="L72" s="40"/>
      <c r="M72" s="40"/>
      <c r="N72" s="40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67" t="s">
        <v>267</v>
      </c>
      <c r="B73" s="168" t="s">
        <v>268</v>
      </c>
      <c r="C73" s="169">
        <v>0.46</v>
      </c>
      <c r="D73" s="169" t="s">
        <v>269</v>
      </c>
      <c r="E73" s="169">
        <v>1.3</v>
      </c>
      <c r="F73" s="170" t="s">
        <v>138</v>
      </c>
      <c r="G73" s="171">
        <v>0.45</v>
      </c>
      <c r="H73" s="169" t="s">
        <v>248</v>
      </c>
      <c r="I73" s="172">
        <v>0.43</v>
      </c>
      <c r="J73" s="40"/>
      <c r="K73" s="40"/>
      <c r="L73" s="40"/>
      <c r="M73" s="40"/>
      <c r="N73" s="40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67" t="s">
        <v>270</v>
      </c>
      <c r="B74" s="168" t="s">
        <v>271</v>
      </c>
      <c r="C74" s="169">
        <v>0.34</v>
      </c>
      <c r="D74" s="169" t="s">
        <v>137</v>
      </c>
      <c r="E74" s="169">
        <v>1.3</v>
      </c>
      <c r="F74" s="170" t="s">
        <v>138</v>
      </c>
      <c r="G74" s="171">
        <v>0.45</v>
      </c>
      <c r="H74" s="169" t="s">
        <v>248</v>
      </c>
      <c r="I74" s="172">
        <v>0.43</v>
      </c>
      <c r="J74" s="40"/>
      <c r="K74" s="40"/>
      <c r="L74" s="40"/>
      <c r="M74" s="40"/>
      <c r="N74" s="40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67" t="s">
        <v>272</v>
      </c>
      <c r="B75" s="168" t="s">
        <v>273</v>
      </c>
      <c r="C75" s="169">
        <v>0.5</v>
      </c>
      <c r="D75" s="169" t="s">
        <v>137</v>
      </c>
      <c r="E75" s="169">
        <v>1.56</v>
      </c>
      <c r="F75" s="170" t="s">
        <v>138</v>
      </c>
      <c r="G75" s="171">
        <v>0.53</v>
      </c>
      <c r="H75" s="169" t="s">
        <v>190</v>
      </c>
      <c r="I75" s="172">
        <v>0.25</v>
      </c>
      <c r="J75" s="40"/>
      <c r="K75" s="40"/>
      <c r="L75" s="40"/>
      <c r="M75" s="40"/>
      <c r="N75" s="40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67" t="s">
        <v>31</v>
      </c>
      <c r="B76" s="168" t="s">
        <v>274</v>
      </c>
      <c r="C76" s="169">
        <v>0.58</v>
      </c>
      <c r="D76" s="169" t="s">
        <v>137</v>
      </c>
      <c r="E76" s="169">
        <v>1.56</v>
      </c>
      <c r="F76" s="170" t="s">
        <v>138</v>
      </c>
      <c r="G76" s="171">
        <v>0.3</v>
      </c>
      <c r="H76" s="169" t="s">
        <v>275</v>
      </c>
      <c r="I76" s="172">
        <v>0.25</v>
      </c>
      <c r="J76" s="40"/>
      <c r="K76" s="40"/>
      <c r="L76" s="40"/>
      <c r="M76" s="40"/>
      <c r="N76" s="40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67" t="s">
        <v>276</v>
      </c>
      <c r="B77" s="168" t="s">
        <v>277</v>
      </c>
      <c r="C77" s="169">
        <v>0.37</v>
      </c>
      <c r="D77" s="169" t="s">
        <v>137</v>
      </c>
      <c r="E77" s="169">
        <v>1.3</v>
      </c>
      <c r="F77" s="170" t="s">
        <v>138</v>
      </c>
      <c r="G77" s="171">
        <v>0.55</v>
      </c>
      <c r="H77" s="169" t="s">
        <v>162</v>
      </c>
      <c r="I77" s="172">
        <v>0.43</v>
      </c>
      <c r="J77" s="40"/>
      <c r="K77" s="40"/>
      <c r="L77" s="40"/>
      <c r="M77" s="40"/>
      <c r="N77" s="4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67" t="s">
        <v>278</v>
      </c>
      <c r="B78" s="168" t="s">
        <v>279</v>
      </c>
      <c r="C78" s="169">
        <v>0.37</v>
      </c>
      <c r="D78" s="169" t="s">
        <v>137</v>
      </c>
      <c r="E78" s="169">
        <v>1.3</v>
      </c>
      <c r="F78" s="170" t="s">
        <v>138</v>
      </c>
      <c r="G78" s="171">
        <v>0.55</v>
      </c>
      <c r="H78" s="169" t="s">
        <v>162</v>
      </c>
      <c r="I78" s="172">
        <v>0.43</v>
      </c>
      <c r="J78" s="40"/>
      <c r="K78" s="40"/>
      <c r="L78" s="40"/>
      <c r="M78" s="40"/>
      <c r="N78" s="40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67" t="s">
        <v>23</v>
      </c>
      <c r="B79" s="168" t="s">
        <v>280</v>
      </c>
      <c r="C79" s="169">
        <v>0.38</v>
      </c>
      <c r="D79" s="169" t="s">
        <v>137</v>
      </c>
      <c r="E79" s="169">
        <v>1.3</v>
      </c>
      <c r="F79" s="170" t="s">
        <v>138</v>
      </c>
      <c r="G79" s="171">
        <v>0.55</v>
      </c>
      <c r="H79" s="169" t="s">
        <v>153</v>
      </c>
      <c r="I79" s="172">
        <v>0.43</v>
      </c>
      <c r="J79" s="40"/>
      <c r="K79" s="40"/>
      <c r="L79" s="40"/>
      <c r="M79" s="40"/>
      <c r="N79" s="40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67" t="s">
        <v>281</v>
      </c>
      <c r="B80" s="168" t="s">
        <v>282</v>
      </c>
      <c r="C80" s="169">
        <v>0.36</v>
      </c>
      <c r="D80" s="169" t="s">
        <v>137</v>
      </c>
      <c r="E80" s="169">
        <v>1.3</v>
      </c>
      <c r="F80" s="170" t="s">
        <v>138</v>
      </c>
      <c r="G80" s="171">
        <v>0.55</v>
      </c>
      <c r="H80" s="169" t="s">
        <v>153</v>
      </c>
      <c r="I80" s="172">
        <v>0.43</v>
      </c>
      <c r="J80" s="40"/>
      <c r="K80" s="40"/>
      <c r="L80" s="40"/>
      <c r="M80" s="40"/>
      <c r="N80" s="40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67" t="s">
        <v>283</v>
      </c>
      <c r="B81" s="168" t="s">
        <v>284</v>
      </c>
      <c r="C81" s="169">
        <v>0.37</v>
      </c>
      <c r="D81" s="169" t="s">
        <v>137</v>
      </c>
      <c r="E81" s="169">
        <v>1.56</v>
      </c>
      <c r="F81" s="170" t="s">
        <v>138</v>
      </c>
      <c r="G81" s="171">
        <v>0.43</v>
      </c>
      <c r="H81" s="169" t="s">
        <v>139</v>
      </c>
      <c r="I81" s="172">
        <v>0.25</v>
      </c>
      <c r="J81" s="40"/>
      <c r="K81" s="40"/>
      <c r="L81" s="40"/>
      <c r="M81" s="40"/>
      <c r="N81" s="40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67" t="s">
        <v>285</v>
      </c>
      <c r="B82" s="168" t="s">
        <v>286</v>
      </c>
      <c r="C82" s="169">
        <v>0.35</v>
      </c>
      <c r="D82" s="169" t="s">
        <v>287</v>
      </c>
      <c r="E82" s="169">
        <v>1.3</v>
      </c>
      <c r="F82" s="170" t="s">
        <v>138</v>
      </c>
      <c r="G82" s="171">
        <v>0.55</v>
      </c>
      <c r="H82" s="169" t="s">
        <v>153</v>
      </c>
      <c r="I82" s="172">
        <v>0.43</v>
      </c>
      <c r="J82" s="40"/>
      <c r="K82" s="40"/>
      <c r="L82" s="40"/>
      <c r="M82" s="40"/>
      <c r="N82" s="40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67" t="s">
        <v>288</v>
      </c>
      <c r="B83" s="168" t="s">
        <v>289</v>
      </c>
      <c r="C83" s="169">
        <v>0.34</v>
      </c>
      <c r="D83" s="169" t="s">
        <v>137</v>
      </c>
      <c r="E83" s="169">
        <v>1.3</v>
      </c>
      <c r="F83" s="170" t="s">
        <v>138</v>
      </c>
      <c r="G83" s="171">
        <v>0.55</v>
      </c>
      <c r="H83" s="169" t="s">
        <v>153</v>
      </c>
      <c r="I83" s="172">
        <v>0.43</v>
      </c>
      <c r="J83" s="40"/>
      <c r="K83" s="40"/>
      <c r="L83" s="40"/>
      <c r="M83" s="40"/>
      <c r="N83" s="4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67" t="s">
        <v>290</v>
      </c>
      <c r="B84" s="168" t="s">
        <v>291</v>
      </c>
      <c r="C84" s="169">
        <v>0.31</v>
      </c>
      <c r="D84" s="169" t="s">
        <v>137</v>
      </c>
      <c r="E84" s="169">
        <v>1.3</v>
      </c>
      <c r="F84" s="170" t="s">
        <v>138</v>
      </c>
      <c r="G84" s="171">
        <v>0.55</v>
      </c>
      <c r="H84" s="169" t="s">
        <v>153</v>
      </c>
      <c r="I84" s="172">
        <v>0.43</v>
      </c>
      <c r="J84" s="40"/>
      <c r="K84" s="40"/>
      <c r="L84" s="40"/>
      <c r="M84" s="40"/>
      <c r="N84" s="40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67" t="s">
        <v>33</v>
      </c>
      <c r="B85" s="168" t="s">
        <v>292</v>
      </c>
      <c r="C85" s="169">
        <v>0.43</v>
      </c>
      <c r="D85" s="169" t="s">
        <v>137</v>
      </c>
      <c r="E85" s="169">
        <v>1.56</v>
      </c>
      <c r="F85" s="170" t="s">
        <v>138</v>
      </c>
      <c r="G85" s="171">
        <v>0.53</v>
      </c>
      <c r="H85" s="169" t="s">
        <v>190</v>
      </c>
      <c r="I85" s="172">
        <v>0.25</v>
      </c>
      <c r="J85" s="40"/>
      <c r="K85" s="40"/>
      <c r="L85" s="40"/>
      <c r="M85" s="40"/>
      <c r="N85" s="40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67" t="s">
        <v>293</v>
      </c>
      <c r="B86" s="168" t="s">
        <v>294</v>
      </c>
      <c r="C86" s="169">
        <v>0.38</v>
      </c>
      <c r="D86" s="169" t="s">
        <v>137</v>
      </c>
      <c r="E86" s="169">
        <v>1.56</v>
      </c>
      <c r="F86" s="170" t="s">
        <v>138</v>
      </c>
      <c r="G86" s="171">
        <v>0.6</v>
      </c>
      <c r="H86" s="169" t="s">
        <v>295</v>
      </c>
      <c r="I86" s="172">
        <v>0.25</v>
      </c>
      <c r="J86" s="40"/>
      <c r="K86" s="40"/>
      <c r="L86" s="40"/>
      <c r="M86" s="40"/>
      <c r="N86" s="40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67" t="s">
        <v>97</v>
      </c>
      <c r="B87" s="177"/>
      <c r="C87" s="169">
        <v>0.42</v>
      </c>
      <c r="D87" s="169" t="s">
        <v>137</v>
      </c>
      <c r="E87" s="169">
        <v>1.3</v>
      </c>
      <c r="F87" s="170" t="s">
        <v>138</v>
      </c>
      <c r="G87" s="178"/>
      <c r="H87" s="177"/>
      <c r="I87" s="17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80" t="s">
        <v>299</v>
      </c>
      <c r="B88" s="181"/>
      <c r="C88" s="182">
        <v>0.57</v>
      </c>
      <c r="D88" s="183" t="s">
        <v>137</v>
      </c>
      <c r="E88" s="182">
        <v>1.56</v>
      </c>
      <c r="F88" s="182" t="s">
        <v>138</v>
      </c>
      <c r="G88" s="181"/>
      <c r="H88" s="181"/>
      <c r="I88" s="184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167" t="s">
        <v>98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67" t="s">
        <v>99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67" t="s">
        <v>100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